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S:\AI\cropimg\"/>
    </mc:Choice>
  </mc:AlternateContent>
  <xr:revisionPtr revIDLastSave="0" documentId="13_ncr:1_{A1E4190C-F8DD-4CF5-BEFF-9A6F566E043D}" xr6:coauthVersionLast="47" xr6:coauthVersionMax="47" xr10:uidLastSave="{00000000-0000-0000-0000-000000000000}"/>
  <bookViews>
    <workbookView xWindow="1898" yWindow="1853" windowWidth="21600" windowHeight="11872" activeTab="7" xr2:uid="{00000000-000D-0000-FFFF-FFFF00000000}"/>
  </bookViews>
  <sheets>
    <sheet name="mpipei (2)" sheetId="7" r:id="rId1"/>
    <sheet name="minfo" sheetId="1" r:id="rId2"/>
    <sheet name="mpipei" sheetId="6" r:id="rId3"/>
    <sheet name="fileps" sheetId="2" r:id="rId4"/>
    <sheet name="流派" sheetId="3" r:id="rId5"/>
    <sheet name="Sheet1" sheetId="4" r:id="rId6"/>
    <sheet name="歌单" sheetId="5" r:id="rId7"/>
    <sheet name="剩余" sheetId="8" r:id="rId8"/>
    <sheet name="Sheet6" sheetId="9" r:id="rId9"/>
  </sheets>
  <definedNames>
    <definedName name="_xlnm._FilterDatabase" localSheetId="3" hidden="1">fileps!$A$1:$U$2203</definedName>
    <definedName name="_xlnm._FilterDatabase" localSheetId="1" hidden="1">minfo!$A$1:$M$651</definedName>
    <definedName name="_xlnm._FilterDatabase" localSheetId="2" hidden="1">mpipei!$A$1:$P$730</definedName>
    <definedName name="_xlnm._FilterDatabase" localSheetId="0" hidden="1">'mpipei (2)'!$A$1:$Q$728</definedName>
    <definedName name="_xlnm._FilterDatabase" localSheetId="8" hidden="1">Sheet6!$A$1:$B$141</definedName>
    <definedName name="_xlnm._FilterDatabase" localSheetId="6" hidden="1">歌单!$A$1:$G$4926</definedName>
    <definedName name="_xlnm._FilterDatabase" localSheetId="7" hidden="1">剩余!$B$1:$E$193</definedName>
  </definedNames>
  <calcPr calcId="191029"/>
</workbook>
</file>

<file path=xl/calcChain.xml><?xml version="1.0" encoding="utf-8"?>
<calcChain xmlns="http://schemas.openxmlformats.org/spreadsheetml/2006/main">
  <c r="Q66" i="7" l="1"/>
  <c r="Q67" i="7"/>
  <c r="Q68" i="7"/>
  <c r="Q69" i="7"/>
  <c r="Q70" i="7"/>
  <c r="Q71" i="7"/>
  <c r="Q72" i="7"/>
  <c r="Q73" i="7"/>
  <c r="Q74" i="7"/>
  <c r="Q75" i="7"/>
  <c r="Q76" i="7"/>
  <c r="Q77" i="7"/>
  <c r="Q79" i="7"/>
  <c r="Q82" i="7"/>
  <c r="Q83" i="7"/>
  <c r="Q84" i="7"/>
  <c r="Q85" i="7"/>
  <c r="Q86" i="7"/>
  <c r="Q87" i="7"/>
  <c r="Q88" i="7"/>
  <c r="Q90" i="7"/>
  <c r="Q91" i="7"/>
  <c r="Q92" i="7"/>
  <c r="Q93" i="7"/>
  <c r="Q94" i="7"/>
  <c r="Q95" i="7"/>
  <c r="Q96" i="7"/>
  <c r="Q97" i="7"/>
  <c r="Q98" i="7"/>
  <c r="Q99" i="7"/>
  <c r="Q100" i="7"/>
  <c r="Q101" i="7"/>
  <c r="Q102" i="7"/>
  <c r="Q105" i="7"/>
  <c r="Q106" i="7"/>
  <c r="Q107" i="7"/>
  <c r="Q108" i="7"/>
  <c r="Q109" i="7"/>
  <c r="Q110" i="7"/>
  <c r="Q111" i="7"/>
  <c r="Q112" i="7"/>
  <c r="Q113" i="7"/>
  <c r="Q114" i="7"/>
  <c r="Q115" i="7"/>
  <c r="Q116" i="7"/>
  <c r="Q117" i="7"/>
  <c r="Q118" i="7"/>
  <c r="Q119" i="7"/>
  <c r="Q120" i="7"/>
  <c r="Q121" i="7"/>
  <c r="Q122" i="7"/>
  <c r="Q124" i="7"/>
  <c r="Q125" i="7"/>
  <c r="Q126" i="7"/>
  <c r="Q127" i="7"/>
  <c r="Q128" i="7"/>
  <c r="Q129" i="7"/>
  <c r="Q130" i="7"/>
  <c r="Q131" i="7"/>
  <c r="Q132" i="7"/>
  <c r="Q134" i="7"/>
  <c r="Q135" i="7"/>
  <c r="Q136" i="7"/>
  <c r="Q137" i="7"/>
  <c r="Q138" i="7"/>
  <c r="Q139" i="7"/>
  <c r="Q140" i="7"/>
  <c r="Q142" i="7"/>
  <c r="Q143" i="7"/>
  <c r="Q144" i="7"/>
  <c r="Q145" i="7"/>
  <c r="Q146" i="7"/>
  <c r="Q147" i="7"/>
  <c r="Q148" i="7"/>
  <c r="Q149" i="7"/>
  <c r="Q150" i="7"/>
  <c r="Q151" i="7"/>
  <c r="Q152" i="7"/>
  <c r="Q153" i="7"/>
  <c r="Q154" i="7"/>
  <c r="Q157" i="7"/>
  <c r="Q158" i="7"/>
  <c r="Q159" i="7"/>
  <c r="Q160" i="7"/>
  <c r="Q161" i="7"/>
  <c r="Q162" i="7"/>
  <c r="Q163" i="7"/>
  <c r="Q164" i="7"/>
  <c r="Q165" i="7"/>
  <c r="Q166" i="7"/>
  <c r="Q168" i="7"/>
  <c r="Q169" i="7"/>
  <c r="Q170" i="7"/>
  <c r="Q171" i="7"/>
  <c r="Q172" i="7"/>
  <c r="Q173" i="7"/>
  <c r="Q174" i="7"/>
  <c r="Q175" i="7"/>
  <c r="Q176" i="7"/>
  <c r="Q178" i="7"/>
  <c r="Q179" i="7"/>
  <c r="Q183" i="7"/>
  <c r="Q184" i="7"/>
  <c r="Q185" i="7"/>
  <c r="Q186" i="7"/>
  <c r="Q187" i="7"/>
  <c r="Q188" i="7"/>
  <c r="Q189" i="7"/>
  <c r="Q190" i="7"/>
  <c r="Q191" i="7"/>
  <c r="Q192" i="7"/>
  <c r="Q193" i="7"/>
  <c r="Q194" i="7"/>
  <c r="Q195" i="7"/>
  <c r="Q196" i="7"/>
  <c r="Q197" i="7"/>
  <c r="Q198" i="7"/>
  <c r="Q199" i="7"/>
  <c r="Q202" i="7"/>
  <c r="Q203" i="7"/>
  <c r="Q204" i="7"/>
  <c r="Q205" i="7"/>
  <c r="Q206" i="7"/>
  <c r="Q207" i="7"/>
  <c r="Q208" i="7"/>
  <c r="Q209" i="7"/>
  <c r="Q210" i="7"/>
  <c r="Q211" i="7"/>
  <c r="Q213" i="7"/>
  <c r="Q214" i="7"/>
  <c r="Q215" i="7"/>
  <c r="Q216" i="7"/>
  <c r="Q217" i="7"/>
  <c r="Q219" i="7"/>
  <c r="Q221" i="7"/>
  <c r="Q222" i="7"/>
  <c r="Q223" i="7"/>
  <c r="Q224" i="7"/>
  <c r="Q225" i="7"/>
  <c r="Q226" i="7"/>
  <c r="Q227" i="7"/>
  <c r="Q228" i="7"/>
  <c r="Q231" i="7"/>
  <c r="Q232" i="7"/>
  <c r="Q234" i="7"/>
  <c r="Q236" i="7"/>
  <c r="Q238" i="7"/>
  <c r="Q239" i="7"/>
  <c r="Q240" i="7"/>
  <c r="Q243" i="7"/>
  <c r="Q244" i="7"/>
  <c r="Q249" i="7"/>
  <c r="Q250" i="7"/>
  <c r="Q251" i="7"/>
  <c r="Q252" i="7"/>
  <c r="Q253" i="7"/>
  <c r="Q254" i="7"/>
  <c r="Q255" i="7"/>
  <c r="Q256" i="7"/>
  <c r="Q258" i="7"/>
  <c r="Q260" i="7"/>
  <c r="Q262" i="7"/>
  <c r="Q263" i="7"/>
  <c r="Q265" i="7"/>
  <c r="Q266" i="7"/>
  <c r="Q267" i="7"/>
  <c r="Q268" i="7"/>
  <c r="Q269" i="7"/>
  <c r="Q270" i="7"/>
  <c r="Q271" i="7"/>
  <c r="Q272" i="7"/>
  <c r="Q274" i="7"/>
  <c r="Q276" i="7"/>
  <c r="Q280" i="7"/>
  <c r="Q281" i="7"/>
  <c r="Q284" i="7"/>
  <c r="Q286" i="7"/>
  <c r="Q287" i="7"/>
  <c r="Q289" i="7"/>
  <c r="Q290" i="7"/>
  <c r="Q291" i="7"/>
  <c r="Q293" i="7"/>
  <c r="Q294" i="7"/>
  <c r="Q297" i="7"/>
  <c r="Q298" i="7"/>
  <c r="Q299" i="7"/>
  <c r="Q300" i="7"/>
  <c r="Q302" i="7"/>
  <c r="Q303" i="7"/>
  <c r="Q304" i="7"/>
  <c r="Q305" i="7"/>
  <c r="Q307" i="7"/>
  <c r="Q308" i="7"/>
  <c r="Q309" i="7"/>
  <c r="Q310" i="7"/>
  <c r="Q311" i="7"/>
  <c r="Q312" i="7"/>
  <c r="Q313" i="7"/>
  <c r="Q315" i="7"/>
  <c r="Q316" i="7"/>
  <c r="Q319" i="7"/>
  <c r="Q320" i="7"/>
  <c r="Q321" i="7"/>
  <c r="Q322" i="7"/>
  <c r="Q323" i="7"/>
  <c r="Q324" i="7"/>
  <c r="Q325" i="7"/>
  <c r="Q326" i="7"/>
  <c r="Q328" i="7"/>
  <c r="Q329" i="7"/>
  <c r="Q330" i="7"/>
  <c r="Q331" i="7"/>
  <c r="Q333" i="7"/>
  <c r="Q334" i="7"/>
  <c r="Q335" i="7"/>
  <c r="Q336" i="7"/>
  <c r="Q337" i="7"/>
  <c r="Q338" i="7"/>
  <c r="Q339" i="7"/>
  <c r="Q340" i="7"/>
  <c r="Q341" i="7"/>
  <c r="Q342" i="7"/>
  <c r="Q343" i="7"/>
  <c r="Q345" i="7"/>
  <c r="Q347" i="7"/>
  <c r="Q349" i="7"/>
  <c r="Q350" i="7"/>
  <c r="Q351" i="7"/>
  <c r="Q352" i="7"/>
  <c r="Q353" i="7"/>
  <c r="Q354" i="7"/>
  <c r="Q355" i="7"/>
  <c r="Q356" i="7"/>
  <c r="Q357" i="7"/>
  <c r="Q359" i="7"/>
  <c r="Q361" i="7"/>
  <c r="Q365" i="7"/>
  <c r="Q366" i="7"/>
  <c r="Q367" i="7"/>
  <c r="Q368" i="7"/>
  <c r="Q369" i="7"/>
  <c r="Q370" i="7"/>
  <c r="Q371" i="7"/>
  <c r="Q372" i="7"/>
  <c r="Q373" i="7"/>
  <c r="Q377" i="7"/>
  <c r="Q379" i="7"/>
  <c r="Q380" i="7"/>
  <c r="Q381" i="7"/>
  <c r="Q382" i="7"/>
  <c r="Q383" i="7"/>
  <c r="Q384" i="7"/>
  <c r="Q385" i="7"/>
  <c r="Q386" i="7"/>
  <c r="Q387" i="7"/>
  <c r="Q388" i="7"/>
  <c r="Q389" i="7"/>
  <c r="Q390" i="7"/>
  <c r="Q393" i="7"/>
  <c r="Q395" i="7"/>
  <c r="Q396" i="7"/>
  <c r="Q397" i="7"/>
  <c r="Q399" i="7"/>
  <c r="Q400" i="7"/>
  <c r="Q401" i="7"/>
  <c r="Q402" i="7"/>
  <c r="Q407" i="7"/>
  <c r="Q409" i="7"/>
  <c r="Q410" i="7"/>
  <c r="Q411" i="7"/>
  <c r="Q412" i="7"/>
  <c r="Q415" i="7"/>
  <c r="Q416" i="7"/>
  <c r="Q417" i="7"/>
  <c r="Q418" i="7"/>
  <c r="Q421" i="7"/>
  <c r="Q422" i="7"/>
  <c r="Q424" i="7"/>
  <c r="Q426" i="7"/>
  <c r="Q427" i="7"/>
  <c r="Q428" i="7"/>
  <c r="Q430" i="7"/>
  <c r="Q431" i="7"/>
  <c r="Q433" i="7"/>
  <c r="Q434" i="7"/>
  <c r="Q435" i="7"/>
  <c r="Q436" i="7"/>
  <c r="Q437" i="7"/>
  <c r="Q438" i="7"/>
  <c r="Q439" i="7"/>
  <c r="Q440" i="7"/>
  <c r="Q441" i="7"/>
  <c r="Q442" i="7"/>
  <c r="Q443" i="7"/>
  <c r="Q444" i="7"/>
  <c r="Q445" i="7"/>
  <c r="Q446" i="7"/>
  <c r="Q447" i="7"/>
  <c r="Q449" i="7"/>
  <c r="Q450" i="7"/>
  <c r="Q451" i="7"/>
  <c r="Q453" i="7"/>
  <c r="Q455" i="7"/>
  <c r="Q457" i="7"/>
  <c r="Q458" i="7"/>
  <c r="Q459" i="7"/>
  <c r="Q460" i="7"/>
  <c r="Q461" i="7"/>
  <c r="Q462" i="7"/>
  <c r="Q464" i="7"/>
  <c r="Q465" i="7"/>
  <c r="Q466" i="7"/>
  <c r="Q468" i="7"/>
  <c r="Q469" i="7"/>
  <c r="Q470" i="7"/>
  <c r="Q471" i="7"/>
  <c r="Q472" i="7"/>
  <c r="Q474" i="7"/>
  <c r="Q476" i="7"/>
  <c r="Q477" i="7"/>
  <c r="Q478" i="7"/>
  <c r="Q479" i="7"/>
  <c r="Q480" i="7"/>
  <c r="Q481" i="7"/>
  <c r="Q482" i="7"/>
  <c r="Q483" i="7"/>
  <c r="Q485" i="7"/>
  <c r="Q486" i="7"/>
  <c r="Q488" i="7"/>
  <c r="Q491" i="7"/>
  <c r="Q493" i="7"/>
  <c r="Q494" i="7"/>
  <c r="Q495" i="7"/>
  <c r="Q496" i="7"/>
  <c r="Q499" i="7"/>
  <c r="Q500" i="7"/>
  <c r="Q501" i="7"/>
  <c r="Q502" i="7"/>
  <c r="Q503" i="7"/>
  <c r="Q504" i="7"/>
  <c r="Q505" i="7"/>
  <c r="Q506" i="7"/>
  <c r="Q507" i="7"/>
  <c r="Q509" i="7"/>
  <c r="Q510" i="7"/>
  <c r="Q511" i="7"/>
  <c r="Q513" i="7"/>
  <c r="Q514" i="7"/>
  <c r="Q515" i="7"/>
  <c r="Q516" i="7"/>
  <c r="Q517" i="7"/>
  <c r="Q520" i="7"/>
  <c r="Q521" i="7"/>
  <c r="Q522" i="7"/>
  <c r="Q523" i="7"/>
  <c r="Q524" i="7"/>
  <c r="Q525" i="7"/>
  <c r="Q527" i="7"/>
  <c r="Q528" i="7"/>
  <c r="Q529" i="7"/>
  <c r="Q530" i="7"/>
  <c r="Q531" i="7"/>
  <c r="Q532" i="7"/>
  <c r="Q533" i="7"/>
  <c r="Q535" i="7"/>
  <c r="Q536" i="7"/>
  <c r="Q539" i="7"/>
  <c r="Q540" i="7"/>
  <c r="Q541" i="7"/>
  <c r="Q542" i="7"/>
  <c r="Q544" i="7"/>
  <c r="Q546" i="7"/>
  <c r="Q547" i="7"/>
  <c r="Q548" i="7"/>
  <c r="Q549" i="7"/>
  <c r="Q550" i="7"/>
  <c r="Q554" i="7"/>
  <c r="Q555" i="7"/>
  <c r="Q556" i="7"/>
  <c r="Q557" i="7"/>
  <c r="Q558" i="7"/>
  <c r="Q559" i="7"/>
  <c r="Q561" i="7"/>
  <c r="Q563" i="7"/>
  <c r="Q565" i="7"/>
  <c r="Q566" i="7"/>
  <c r="Q567" i="7"/>
  <c r="Q568" i="7"/>
  <c r="Q570" i="7"/>
  <c r="Q571" i="7"/>
  <c r="Q572" i="7"/>
  <c r="Q573" i="7"/>
  <c r="Q574" i="7"/>
  <c r="Q575" i="7"/>
  <c r="Q576" i="7"/>
  <c r="Q580" i="7"/>
  <c r="Q583" i="7"/>
  <c r="Q584" i="7"/>
  <c r="Q585" i="7"/>
  <c r="Q589" i="7"/>
  <c r="Q590" i="7"/>
  <c r="Q591" i="7"/>
  <c r="Q592" i="7"/>
  <c r="Q594" i="7"/>
  <c r="Q595" i="7"/>
  <c r="Q596" i="7"/>
  <c r="Q597" i="7"/>
  <c r="Q599" i="7"/>
  <c r="Q600" i="7"/>
  <c r="Q601" i="7"/>
  <c r="Q602" i="7"/>
  <c r="Q603" i="7"/>
  <c r="Q604" i="7"/>
  <c r="Q608" i="7"/>
  <c r="Q609" i="7"/>
  <c r="Q610" i="7"/>
  <c r="Q611" i="7"/>
  <c r="Q615" i="7"/>
  <c r="Q616" i="7"/>
  <c r="Q617" i="7"/>
  <c r="Q619" i="7"/>
  <c r="Q620" i="7"/>
  <c r="Q622" i="7"/>
  <c r="Q623" i="7"/>
  <c r="Q626" i="7"/>
  <c r="Q628" i="7"/>
  <c r="Q630" i="7"/>
  <c r="Q633" i="7"/>
  <c r="Q635" i="7"/>
  <c r="Q639" i="7"/>
  <c r="Q642" i="7"/>
  <c r="Q644" i="7"/>
  <c r="Q645" i="7"/>
  <c r="Q647" i="7"/>
  <c r="Q648" i="7"/>
  <c r="Q649" i="7"/>
  <c r="Q650" i="7"/>
  <c r="Q651" i="7"/>
  <c r="Q652" i="7"/>
  <c r="Q653" i="7"/>
  <c r="Q655" i="7"/>
  <c r="Q658" i="7"/>
  <c r="Q660" i="7"/>
  <c r="Q661" i="7"/>
  <c r="Q663" i="7"/>
  <c r="Q665" i="7"/>
  <c r="Q666" i="7"/>
  <c r="Q668" i="7"/>
  <c r="Q669" i="7"/>
  <c r="Q670" i="7"/>
  <c r="Q671" i="7"/>
  <c r="Q672" i="7"/>
  <c r="Q673" i="7"/>
  <c r="Q676" i="7"/>
  <c r="Q678" i="7"/>
  <c r="Q679" i="7"/>
  <c r="Q680" i="7"/>
  <c r="Q681" i="7"/>
  <c r="Q684" i="7"/>
  <c r="Q685" i="7"/>
  <c r="Q687" i="7"/>
  <c r="Q689" i="7"/>
  <c r="Q690" i="7"/>
  <c r="Q691" i="7"/>
  <c r="Q692" i="7"/>
  <c r="Q693" i="7"/>
  <c r="Q694" i="7"/>
  <c r="Q695" i="7"/>
  <c r="Q697" i="7"/>
  <c r="Q699" i="7"/>
  <c r="Q701" i="7"/>
  <c r="Q702" i="7"/>
  <c r="Q703" i="7"/>
  <c r="Q704" i="7"/>
  <c r="Q705" i="7"/>
  <c r="Q707" i="7"/>
  <c r="Q709" i="7"/>
  <c r="Q710" i="7"/>
  <c r="Q714" i="7"/>
  <c r="Q716" i="7"/>
  <c r="Q717" i="7"/>
  <c r="Q721" i="7"/>
  <c r="Q722" i="7"/>
  <c r="Q723" i="7"/>
  <c r="Q724" i="7"/>
  <c r="Q727" i="7"/>
  <c r="Q728" i="7"/>
  <c r="Q42" i="7"/>
  <c r="Q45" i="7"/>
  <c r="Q49" i="7"/>
  <c r="Q50" i="7"/>
  <c r="Q56" i="7"/>
  <c r="Q57" i="7"/>
  <c r="Q58" i="7"/>
  <c r="Q60" i="7"/>
  <c r="Q61" i="7"/>
  <c r="Q62" i="7"/>
  <c r="Q63" i="7"/>
  <c r="Q64" i="7"/>
  <c r="Q65" i="7"/>
  <c r="Q31" i="7"/>
  <c r="Q16" i="7"/>
  <c r="Q21" i="7"/>
  <c r="Q30" i="7"/>
  <c r="Q3" i="7"/>
  <c r="Q4" i="7"/>
  <c r="Q5" i="7"/>
  <c r="Q6" i="7"/>
  <c r="Q7" i="7"/>
  <c r="Q8" i="7"/>
  <c r="Q11" i="7"/>
  <c r="Q13" i="7"/>
  <c r="P3" i="7"/>
  <c r="P4" i="7"/>
  <c r="P5" i="7"/>
  <c r="P6" i="7"/>
  <c r="P7" i="7"/>
  <c r="P8" i="7"/>
  <c r="P11" i="7"/>
  <c r="P13" i="7"/>
  <c r="P16" i="7"/>
  <c r="P21" i="7"/>
  <c r="P30" i="7"/>
  <c r="P31" i="7"/>
  <c r="P42" i="7"/>
  <c r="P45" i="7"/>
  <c r="P49" i="7"/>
  <c r="P50" i="7"/>
  <c r="P56" i="7"/>
  <c r="P57" i="7"/>
  <c r="P58" i="7"/>
  <c r="P60" i="7"/>
  <c r="P61" i="7"/>
  <c r="P62" i="7"/>
  <c r="P63" i="7"/>
  <c r="P64" i="7"/>
  <c r="P65" i="7"/>
  <c r="P66" i="7"/>
  <c r="P67" i="7"/>
  <c r="P68" i="7"/>
  <c r="P69" i="7"/>
  <c r="P70" i="7"/>
  <c r="P71" i="7"/>
  <c r="P72" i="7"/>
  <c r="P73" i="7"/>
  <c r="P74" i="7"/>
  <c r="P75" i="7"/>
  <c r="P76" i="7"/>
  <c r="P77" i="7"/>
  <c r="P79" i="7"/>
  <c r="P82" i="7"/>
  <c r="P83" i="7"/>
  <c r="P84" i="7"/>
  <c r="P85" i="7"/>
  <c r="P86" i="7"/>
  <c r="P87" i="7"/>
  <c r="P88" i="7"/>
  <c r="P90" i="7"/>
  <c r="P91" i="7"/>
  <c r="P92" i="7"/>
  <c r="P93" i="7"/>
  <c r="P94" i="7"/>
  <c r="P95" i="7"/>
  <c r="P96" i="7"/>
  <c r="P97" i="7"/>
  <c r="P98" i="7"/>
  <c r="P99" i="7"/>
  <c r="P100" i="7"/>
  <c r="P101" i="7"/>
  <c r="P102" i="7"/>
  <c r="P105" i="7"/>
  <c r="P106" i="7"/>
  <c r="P107" i="7"/>
  <c r="P108" i="7"/>
  <c r="P109" i="7"/>
  <c r="P110" i="7"/>
  <c r="P111" i="7"/>
  <c r="P112" i="7"/>
  <c r="P113" i="7"/>
  <c r="P114" i="7"/>
  <c r="P115" i="7"/>
  <c r="P116" i="7"/>
  <c r="P117" i="7"/>
  <c r="P118" i="7"/>
  <c r="P119" i="7"/>
  <c r="P120" i="7"/>
  <c r="P121" i="7"/>
  <c r="P122" i="7"/>
  <c r="P124" i="7"/>
  <c r="P125" i="7"/>
  <c r="P126" i="7"/>
  <c r="P127" i="7"/>
  <c r="P128" i="7"/>
  <c r="P129" i="7"/>
  <c r="P130" i="7"/>
  <c r="P131" i="7"/>
  <c r="P132" i="7"/>
  <c r="P134" i="7"/>
  <c r="P135" i="7"/>
  <c r="P136" i="7"/>
  <c r="P137" i="7"/>
  <c r="P138" i="7"/>
  <c r="P139" i="7"/>
  <c r="P140" i="7"/>
  <c r="P142" i="7"/>
  <c r="P143" i="7"/>
  <c r="P144" i="7"/>
  <c r="P145" i="7"/>
  <c r="P146" i="7"/>
  <c r="P147" i="7"/>
  <c r="P148" i="7"/>
  <c r="P149" i="7"/>
  <c r="P150" i="7"/>
  <c r="P151" i="7"/>
  <c r="P152" i="7"/>
  <c r="P153" i="7"/>
  <c r="P154" i="7"/>
  <c r="P157" i="7"/>
  <c r="P158" i="7"/>
  <c r="P159" i="7"/>
  <c r="P160" i="7"/>
  <c r="P161" i="7"/>
  <c r="P162" i="7"/>
  <c r="P163" i="7"/>
  <c r="P164" i="7"/>
  <c r="P165" i="7"/>
  <c r="P166" i="7"/>
  <c r="P168" i="7"/>
  <c r="P169" i="7"/>
  <c r="P170" i="7"/>
  <c r="P171" i="7"/>
  <c r="P172" i="7"/>
  <c r="P173" i="7"/>
  <c r="P174" i="7"/>
  <c r="P175" i="7"/>
  <c r="P176" i="7"/>
  <c r="P178" i="7"/>
  <c r="P179" i="7"/>
  <c r="P183" i="7"/>
  <c r="P184" i="7"/>
  <c r="P185" i="7"/>
  <c r="P186" i="7"/>
  <c r="P187" i="7"/>
  <c r="P188" i="7"/>
  <c r="P189" i="7"/>
  <c r="P190" i="7"/>
  <c r="P191" i="7"/>
  <c r="P192" i="7"/>
  <c r="P193" i="7"/>
  <c r="P194" i="7"/>
  <c r="P195" i="7"/>
  <c r="P196" i="7"/>
  <c r="P197" i="7"/>
  <c r="P198" i="7"/>
  <c r="P199" i="7"/>
  <c r="P202" i="7"/>
  <c r="P203" i="7"/>
  <c r="P204" i="7"/>
  <c r="P205" i="7"/>
  <c r="P206" i="7"/>
  <c r="P207" i="7"/>
  <c r="P208" i="7"/>
  <c r="P209" i="7"/>
  <c r="P210" i="7"/>
  <c r="P211" i="7"/>
  <c r="P213" i="7"/>
  <c r="P214" i="7"/>
  <c r="P215" i="7"/>
  <c r="P216" i="7"/>
  <c r="P217" i="7"/>
  <c r="P219" i="7"/>
  <c r="P221" i="7"/>
  <c r="P222" i="7"/>
  <c r="P223" i="7"/>
  <c r="P224" i="7"/>
  <c r="P225" i="7"/>
  <c r="P226" i="7"/>
  <c r="P227" i="7"/>
  <c r="P228" i="7"/>
  <c r="P231" i="7"/>
  <c r="P232" i="7"/>
  <c r="P234" i="7"/>
  <c r="P236" i="7"/>
  <c r="P238" i="7"/>
  <c r="P239" i="7"/>
  <c r="P240" i="7"/>
  <c r="P243" i="7"/>
  <c r="P244" i="7"/>
  <c r="P249" i="7"/>
  <c r="P250" i="7"/>
  <c r="P251" i="7"/>
  <c r="P253" i="7"/>
  <c r="P254" i="7"/>
  <c r="P255" i="7"/>
  <c r="P256" i="7"/>
  <c r="P258" i="7"/>
  <c r="P260" i="7"/>
  <c r="P262" i="7"/>
  <c r="P263" i="7"/>
  <c r="P265" i="7"/>
  <c r="P266" i="7"/>
  <c r="P267" i="7"/>
  <c r="P268" i="7"/>
  <c r="P269" i="7"/>
  <c r="P270" i="7"/>
  <c r="P271" i="7"/>
  <c r="P272" i="7"/>
  <c r="P274" i="7"/>
  <c r="P276" i="7"/>
  <c r="P280" i="7"/>
  <c r="P281" i="7"/>
  <c r="P284" i="7"/>
  <c r="P286" i="7"/>
  <c r="P287" i="7"/>
  <c r="P289" i="7"/>
  <c r="P290" i="7"/>
  <c r="P291" i="7"/>
  <c r="P293" i="7"/>
  <c r="P294" i="7"/>
  <c r="P297" i="7"/>
  <c r="P298" i="7"/>
  <c r="P299" i="7"/>
  <c r="P300" i="7"/>
  <c r="P302" i="7"/>
  <c r="P303" i="7"/>
  <c r="P304" i="7"/>
  <c r="P305" i="7"/>
  <c r="P307" i="7"/>
  <c r="P308" i="7"/>
  <c r="P309" i="7"/>
  <c r="P310" i="7"/>
  <c r="P311" i="7"/>
  <c r="P312" i="7"/>
  <c r="P313" i="7"/>
  <c r="P315" i="7"/>
  <c r="P316" i="7"/>
  <c r="P319" i="7"/>
  <c r="P320" i="7"/>
  <c r="P321" i="7"/>
  <c r="P322" i="7"/>
  <c r="P323" i="7"/>
  <c r="P324" i="7"/>
  <c r="P325" i="7"/>
  <c r="P326" i="7"/>
  <c r="P328" i="7"/>
  <c r="P329" i="7"/>
  <c r="P330" i="7"/>
  <c r="P331" i="7"/>
  <c r="P333" i="7"/>
  <c r="P334" i="7"/>
  <c r="P335" i="7"/>
  <c r="P336" i="7"/>
  <c r="P337" i="7"/>
  <c r="P338" i="7"/>
  <c r="P339" i="7"/>
  <c r="P340" i="7"/>
  <c r="P341" i="7"/>
  <c r="P342" i="7"/>
  <c r="P343" i="7"/>
  <c r="P345" i="7"/>
  <c r="P347" i="7"/>
  <c r="P349" i="7"/>
  <c r="P350" i="7"/>
  <c r="P351" i="7"/>
  <c r="P352" i="7"/>
  <c r="P353" i="7"/>
  <c r="P354" i="7"/>
  <c r="P355" i="7"/>
  <c r="P356" i="7"/>
  <c r="P357" i="7"/>
  <c r="P359" i="7"/>
  <c r="P361" i="7"/>
  <c r="P365" i="7"/>
  <c r="P366" i="7"/>
  <c r="P367" i="7"/>
  <c r="P368" i="7"/>
  <c r="P369" i="7"/>
  <c r="P370" i="7"/>
  <c r="P371" i="7"/>
  <c r="P372" i="7"/>
  <c r="P373" i="7"/>
  <c r="P377" i="7"/>
  <c r="P379" i="7"/>
  <c r="P380" i="7"/>
  <c r="P381" i="7"/>
  <c r="P382" i="7"/>
  <c r="P383" i="7"/>
  <c r="P384" i="7"/>
  <c r="P385" i="7"/>
  <c r="P386" i="7"/>
  <c r="P387" i="7"/>
  <c r="P388" i="7"/>
  <c r="P389" i="7"/>
  <c r="P390" i="7"/>
  <c r="P393" i="7"/>
  <c r="P395" i="7"/>
  <c r="P396" i="7"/>
  <c r="P397" i="7"/>
  <c r="P399" i="7"/>
  <c r="P400" i="7"/>
  <c r="P401" i="7"/>
  <c r="P402" i="7"/>
  <c r="P407" i="7"/>
  <c r="P409" i="7"/>
  <c r="P410" i="7"/>
  <c r="P411" i="7"/>
  <c r="P412" i="7"/>
  <c r="P415" i="7"/>
  <c r="P416" i="7"/>
  <c r="P417" i="7"/>
  <c r="P418" i="7"/>
  <c r="P421" i="7"/>
  <c r="P422" i="7"/>
  <c r="P424" i="7"/>
  <c r="P426" i="7"/>
  <c r="P427" i="7"/>
  <c r="P428" i="7"/>
  <c r="P430" i="7"/>
  <c r="P431" i="7"/>
  <c r="P433" i="7"/>
  <c r="P434" i="7"/>
  <c r="P435" i="7"/>
  <c r="P436" i="7"/>
  <c r="P437" i="7"/>
  <c r="P438" i="7"/>
  <c r="P439" i="7"/>
  <c r="P440" i="7"/>
  <c r="P441" i="7"/>
  <c r="P442" i="7"/>
  <c r="P443" i="7"/>
  <c r="P444" i="7"/>
  <c r="P445" i="7"/>
  <c r="P446" i="7"/>
  <c r="P447" i="7"/>
  <c r="P449" i="7"/>
  <c r="P450" i="7"/>
  <c r="P451" i="7"/>
  <c r="P453" i="7"/>
  <c r="P455" i="7"/>
  <c r="P457" i="7"/>
  <c r="P458" i="7"/>
  <c r="P459" i="7"/>
  <c r="P460" i="7"/>
  <c r="P461" i="7"/>
  <c r="P462" i="7"/>
  <c r="P464" i="7"/>
  <c r="P465" i="7"/>
  <c r="P466" i="7"/>
  <c r="P468" i="7"/>
  <c r="P469" i="7"/>
  <c r="P470" i="7"/>
  <c r="P471" i="7"/>
  <c r="P472" i="7"/>
  <c r="P474" i="7"/>
  <c r="P476" i="7"/>
  <c r="P477" i="7"/>
  <c r="P478" i="7"/>
  <c r="P479" i="7"/>
  <c r="P480" i="7"/>
  <c r="P481" i="7"/>
  <c r="P482" i="7"/>
  <c r="P483" i="7"/>
  <c r="P485" i="7"/>
  <c r="P486" i="7"/>
  <c r="P488" i="7"/>
  <c r="P491" i="7"/>
  <c r="P493" i="7"/>
  <c r="P494" i="7"/>
  <c r="P495" i="7"/>
  <c r="P496" i="7"/>
  <c r="P499" i="7"/>
  <c r="P500" i="7"/>
  <c r="P501" i="7"/>
  <c r="P502" i="7"/>
  <c r="P503" i="7"/>
  <c r="P504" i="7"/>
  <c r="P505" i="7"/>
  <c r="P506" i="7"/>
  <c r="P507" i="7"/>
  <c r="P509" i="7"/>
  <c r="P510" i="7"/>
  <c r="P511" i="7"/>
  <c r="P513" i="7"/>
  <c r="P514" i="7"/>
  <c r="P515" i="7"/>
  <c r="P516" i="7"/>
  <c r="P517" i="7"/>
  <c r="P520" i="7"/>
  <c r="P521" i="7"/>
  <c r="P522" i="7"/>
  <c r="P523" i="7"/>
  <c r="P524" i="7"/>
  <c r="P525" i="7"/>
  <c r="P527" i="7"/>
  <c r="P528" i="7"/>
  <c r="P529" i="7"/>
  <c r="P530" i="7"/>
  <c r="P531" i="7"/>
  <c r="P532" i="7"/>
  <c r="P533" i="7"/>
  <c r="P535" i="7"/>
  <c r="P536" i="7"/>
  <c r="P539" i="7"/>
  <c r="P540" i="7"/>
  <c r="P541" i="7"/>
  <c r="P542" i="7"/>
  <c r="P544" i="7"/>
  <c r="P546" i="7"/>
  <c r="P547" i="7"/>
  <c r="P548" i="7"/>
  <c r="P549" i="7"/>
  <c r="P550" i="7"/>
  <c r="P554" i="7"/>
  <c r="P555" i="7"/>
  <c r="P556" i="7"/>
  <c r="P557" i="7"/>
  <c r="P558" i="7"/>
  <c r="P559" i="7"/>
  <c r="P561" i="7"/>
  <c r="P563" i="7"/>
  <c r="P565" i="7"/>
  <c r="P566" i="7"/>
  <c r="P567" i="7"/>
  <c r="P568" i="7"/>
  <c r="P570" i="7"/>
  <c r="P571" i="7"/>
  <c r="P572" i="7"/>
  <c r="P573" i="7"/>
  <c r="P574" i="7"/>
  <c r="P575" i="7"/>
  <c r="P576" i="7"/>
  <c r="P580" i="7"/>
  <c r="P583" i="7"/>
  <c r="P584" i="7"/>
  <c r="P585" i="7"/>
  <c r="P589" i="7"/>
  <c r="P590" i="7"/>
  <c r="P591" i="7"/>
  <c r="P592" i="7"/>
  <c r="P594" i="7"/>
  <c r="P595" i="7"/>
  <c r="P596" i="7"/>
  <c r="P597" i="7"/>
  <c r="P599" i="7"/>
  <c r="P600" i="7"/>
  <c r="P601" i="7"/>
  <c r="P602" i="7"/>
  <c r="P603" i="7"/>
  <c r="P604" i="7"/>
  <c r="P608" i="7"/>
  <c r="P609" i="7"/>
  <c r="P610" i="7"/>
  <c r="P611" i="7"/>
  <c r="P615" i="7"/>
  <c r="P616" i="7"/>
  <c r="P617" i="7"/>
  <c r="P619" i="7"/>
  <c r="P620" i="7"/>
  <c r="P622" i="7"/>
  <c r="P623" i="7"/>
  <c r="P626" i="7"/>
  <c r="P628" i="7"/>
  <c r="P630" i="7"/>
  <c r="P633" i="7"/>
  <c r="P635" i="7"/>
  <c r="P639" i="7"/>
  <c r="P640" i="7"/>
  <c r="P642" i="7"/>
  <c r="P644" i="7"/>
  <c r="P645" i="7"/>
  <c r="P647" i="7"/>
  <c r="P648" i="7"/>
  <c r="P649" i="7"/>
  <c r="P650" i="7"/>
  <c r="P651" i="7"/>
  <c r="P652" i="7"/>
  <c r="P653" i="7"/>
  <c r="P655" i="7"/>
  <c r="P658" i="7"/>
  <c r="P660" i="7"/>
  <c r="P661" i="7"/>
  <c r="P662" i="7"/>
  <c r="P663" i="7"/>
  <c r="P665" i="7"/>
  <c r="P666" i="7"/>
  <c r="P668" i="7"/>
  <c r="P669" i="7"/>
  <c r="P670" i="7"/>
  <c r="P671" i="7"/>
  <c r="P672" i="7"/>
  <c r="P673" i="7"/>
  <c r="P676" i="7"/>
  <c r="P678" i="7"/>
  <c r="P679" i="7"/>
  <c r="P680" i="7"/>
  <c r="P681" i="7"/>
  <c r="P684" i="7"/>
  <c r="P685" i="7"/>
  <c r="P687" i="7"/>
  <c r="P689" i="7"/>
  <c r="P690" i="7"/>
  <c r="P691" i="7"/>
  <c r="P692" i="7"/>
  <c r="P693" i="7"/>
  <c r="P694" i="7"/>
  <c r="P695" i="7"/>
  <c r="P697" i="7"/>
  <c r="P699" i="7"/>
  <c r="P701" i="7"/>
  <c r="P702" i="7"/>
  <c r="P703" i="7"/>
  <c r="P704" i="7"/>
  <c r="P705" i="7"/>
  <c r="P707" i="7"/>
  <c r="P709" i="7"/>
  <c r="P710" i="7"/>
  <c r="P714" i="7"/>
  <c r="P716" i="7"/>
  <c r="P717" i="7"/>
  <c r="P721" i="7"/>
  <c r="P722" i="7"/>
  <c r="P723" i="7"/>
  <c r="P724" i="7"/>
  <c r="P727" i="7"/>
  <c r="P728" i="7"/>
  <c r="N21" i="7"/>
  <c r="O21" i="7" s="1"/>
  <c r="N2" i="7"/>
  <c r="O2" i="7" s="1"/>
  <c r="N728" i="7"/>
  <c r="O728" i="7" s="1"/>
  <c r="N727" i="7"/>
  <c r="O727" i="7" s="1"/>
  <c r="N726" i="7"/>
  <c r="O726" i="7" s="1"/>
  <c r="N725" i="7"/>
  <c r="O725" i="7" s="1"/>
  <c r="N724" i="7"/>
  <c r="O724" i="7" s="1"/>
  <c r="N723" i="7"/>
  <c r="O723" i="7" s="1"/>
  <c r="N722" i="7"/>
  <c r="O722" i="7" s="1"/>
  <c r="N721" i="7"/>
  <c r="O721" i="7" s="1"/>
  <c r="N720" i="7"/>
  <c r="O720" i="7" s="1"/>
  <c r="N719" i="7"/>
  <c r="O719" i="7" s="1"/>
  <c r="N718" i="7"/>
  <c r="O718" i="7" s="1"/>
  <c r="N717" i="7"/>
  <c r="O717" i="7" s="1"/>
  <c r="N716" i="7"/>
  <c r="O716" i="7" s="1"/>
  <c r="N715" i="7"/>
  <c r="O715" i="7" s="1"/>
  <c r="N714" i="7"/>
  <c r="O714" i="7" s="1"/>
  <c r="N713" i="7"/>
  <c r="O713" i="7" s="1"/>
  <c r="N712" i="7"/>
  <c r="O712" i="7" s="1"/>
  <c r="N711" i="7"/>
  <c r="O711" i="7" s="1"/>
  <c r="N710" i="7"/>
  <c r="O710" i="7" s="1"/>
  <c r="N709" i="7"/>
  <c r="O709" i="7" s="1"/>
  <c r="N708" i="7"/>
  <c r="O708" i="7" s="1"/>
  <c r="N707" i="7"/>
  <c r="O707" i="7" s="1"/>
  <c r="N706" i="7"/>
  <c r="O706" i="7" s="1"/>
  <c r="N705" i="7"/>
  <c r="O705" i="7" s="1"/>
  <c r="N704" i="7"/>
  <c r="O704" i="7" s="1"/>
  <c r="N703" i="7"/>
  <c r="O703" i="7" s="1"/>
  <c r="N702" i="7"/>
  <c r="O702" i="7" s="1"/>
  <c r="N701" i="7"/>
  <c r="O701" i="7" s="1"/>
  <c r="N700" i="7"/>
  <c r="O700" i="7" s="1"/>
  <c r="N699" i="7"/>
  <c r="O699" i="7" s="1"/>
  <c r="N698" i="7"/>
  <c r="O698" i="7" s="1"/>
  <c r="N697" i="7"/>
  <c r="O697" i="7" s="1"/>
  <c r="N696" i="7"/>
  <c r="O696" i="7" s="1"/>
  <c r="N695" i="7"/>
  <c r="O695" i="7" s="1"/>
  <c r="N694" i="7"/>
  <c r="O694" i="7" s="1"/>
  <c r="N693" i="7"/>
  <c r="O693" i="7" s="1"/>
  <c r="N692" i="7"/>
  <c r="O692" i="7" s="1"/>
  <c r="N691" i="7"/>
  <c r="O691" i="7" s="1"/>
  <c r="N690" i="7"/>
  <c r="O690" i="7" s="1"/>
  <c r="N689" i="7"/>
  <c r="O689" i="7" s="1"/>
  <c r="N688" i="7"/>
  <c r="O688" i="7" s="1"/>
  <c r="N687" i="7"/>
  <c r="O687" i="7" s="1"/>
  <c r="N686" i="7"/>
  <c r="O686" i="7" s="1"/>
  <c r="N685" i="7"/>
  <c r="O685" i="7" s="1"/>
  <c r="N684" i="7"/>
  <c r="O684" i="7" s="1"/>
  <c r="N683" i="7"/>
  <c r="O683" i="7" s="1"/>
  <c r="N682" i="7"/>
  <c r="O682" i="7" s="1"/>
  <c r="N681" i="7"/>
  <c r="O681" i="7" s="1"/>
  <c r="N680" i="7"/>
  <c r="O680" i="7" s="1"/>
  <c r="O679" i="7"/>
  <c r="O678" i="7"/>
  <c r="N677" i="7"/>
  <c r="O677" i="7" s="1"/>
  <c r="N676" i="7"/>
  <c r="O676" i="7" s="1"/>
  <c r="N675" i="7"/>
  <c r="O675" i="7" s="1"/>
  <c r="N674" i="7"/>
  <c r="O674" i="7" s="1"/>
  <c r="N673" i="7"/>
  <c r="O673" i="7" s="1"/>
  <c r="N672" i="7"/>
  <c r="O672" i="7" s="1"/>
  <c r="N671" i="7"/>
  <c r="O671" i="7" s="1"/>
  <c r="N670" i="7"/>
  <c r="O670" i="7" s="1"/>
  <c r="N669" i="7"/>
  <c r="O669" i="7" s="1"/>
  <c r="N668" i="7"/>
  <c r="O668" i="7" s="1"/>
  <c r="N667" i="7"/>
  <c r="O667" i="7" s="1"/>
  <c r="N666" i="7"/>
  <c r="O666" i="7" s="1"/>
  <c r="N665" i="7"/>
  <c r="O665" i="7" s="1"/>
  <c r="N664" i="7"/>
  <c r="O664" i="7" s="1"/>
  <c r="N663" i="7"/>
  <c r="O663" i="7" s="1"/>
  <c r="N662" i="7"/>
  <c r="O662" i="7" s="1"/>
  <c r="N661" i="7"/>
  <c r="O661" i="7" s="1"/>
  <c r="N660" i="7"/>
  <c r="O660" i="7" s="1"/>
  <c r="N659" i="7"/>
  <c r="O659" i="7" s="1"/>
  <c r="N658" i="7"/>
  <c r="O658" i="7" s="1"/>
  <c r="N657" i="7"/>
  <c r="O657" i="7" s="1"/>
  <c r="N656" i="7"/>
  <c r="O656" i="7" s="1"/>
  <c r="N655" i="7"/>
  <c r="O655" i="7" s="1"/>
  <c r="N654" i="7"/>
  <c r="O654" i="7" s="1"/>
  <c r="N653" i="7"/>
  <c r="O653" i="7" s="1"/>
  <c r="N652" i="7"/>
  <c r="O652" i="7" s="1"/>
  <c r="N651" i="7"/>
  <c r="O651" i="7" s="1"/>
  <c r="N650" i="7"/>
  <c r="O650" i="7" s="1"/>
  <c r="N649" i="7"/>
  <c r="O649" i="7" s="1"/>
  <c r="N648" i="7"/>
  <c r="O648" i="7" s="1"/>
  <c r="N647" i="7"/>
  <c r="O647" i="7" s="1"/>
  <c r="N646" i="7"/>
  <c r="O646" i="7" s="1"/>
  <c r="N645" i="7"/>
  <c r="O645" i="7" s="1"/>
  <c r="N644" i="7"/>
  <c r="O644" i="7" s="1"/>
  <c r="N643" i="7"/>
  <c r="O643" i="7" s="1"/>
  <c r="N642" i="7"/>
  <c r="O642" i="7" s="1"/>
  <c r="N641" i="7"/>
  <c r="O641" i="7" s="1"/>
  <c r="N640" i="7"/>
  <c r="O640" i="7" s="1"/>
  <c r="N639" i="7"/>
  <c r="O639" i="7" s="1"/>
  <c r="N638" i="7"/>
  <c r="O638" i="7" s="1"/>
  <c r="N637" i="7"/>
  <c r="O637" i="7" s="1"/>
  <c r="N636" i="7"/>
  <c r="O636" i="7" s="1"/>
  <c r="N635" i="7"/>
  <c r="O635" i="7" s="1"/>
  <c r="N634" i="7"/>
  <c r="O634" i="7" s="1"/>
  <c r="N633" i="7"/>
  <c r="O633" i="7" s="1"/>
  <c r="N632" i="7"/>
  <c r="O632" i="7" s="1"/>
  <c r="N631" i="7"/>
  <c r="O631" i="7" s="1"/>
  <c r="N630" i="7"/>
  <c r="O630" i="7" s="1"/>
  <c r="N629" i="7"/>
  <c r="O629" i="7" s="1"/>
  <c r="N628" i="7"/>
  <c r="O628" i="7" s="1"/>
  <c r="N627" i="7"/>
  <c r="O627" i="7" s="1"/>
  <c r="N626" i="7"/>
  <c r="O626" i="7" s="1"/>
  <c r="N625" i="7"/>
  <c r="O625" i="7" s="1"/>
  <c r="N624" i="7"/>
  <c r="O624" i="7" s="1"/>
  <c r="N623" i="7"/>
  <c r="O623" i="7" s="1"/>
  <c r="N622" i="7"/>
  <c r="O622" i="7" s="1"/>
  <c r="N621" i="7"/>
  <c r="O621" i="7" s="1"/>
  <c r="N620" i="7"/>
  <c r="O620" i="7" s="1"/>
  <c r="N619" i="7"/>
  <c r="O619" i="7" s="1"/>
  <c r="N618" i="7"/>
  <c r="O618" i="7" s="1"/>
  <c r="N617" i="7"/>
  <c r="O617" i="7" s="1"/>
  <c r="N616" i="7"/>
  <c r="O616" i="7" s="1"/>
  <c r="N615" i="7"/>
  <c r="O615" i="7" s="1"/>
  <c r="N614" i="7"/>
  <c r="O614" i="7" s="1"/>
  <c r="N613" i="7"/>
  <c r="O613" i="7" s="1"/>
  <c r="N612" i="7"/>
  <c r="O612" i="7" s="1"/>
  <c r="N611" i="7"/>
  <c r="O611" i="7" s="1"/>
  <c r="N610" i="7"/>
  <c r="O610" i="7" s="1"/>
  <c r="N609" i="7"/>
  <c r="O609" i="7" s="1"/>
  <c r="N608" i="7"/>
  <c r="O608" i="7" s="1"/>
  <c r="N607" i="7"/>
  <c r="O607" i="7" s="1"/>
  <c r="N606" i="7"/>
  <c r="O606" i="7" s="1"/>
  <c r="N605" i="7"/>
  <c r="O605" i="7" s="1"/>
  <c r="N604" i="7"/>
  <c r="O604" i="7" s="1"/>
  <c r="N603" i="7"/>
  <c r="O603" i="7" s="1"/>
  <c r="N602" i="7"/>
  <c r="O602" i="7" s="1"/>
  <c r="N601" i="7"/>
  <c r="O601" i="7" s="1"/>
  <c r="N600" i="7"/>
  <c r="O600" i="7" s="1"/>
  <c r="N599" i="7"/>
  <c r="O599" i="7" s="1"/>
  <c r="N598" i="7"/>
  <c r="O598" i="7" s="1"/>
  <c r="N597" i="7"/>
  <c r="O597" i="7" s="1"/>
  <c r="N596" i="7"/>
  <c r="O596" i="7" s="1"/>
  <c r="N595" i="7"/>
  <c r="O595" i="7" s="1"/>
  <c r="N594" i="7"/>
  <c r="O594" i="7" s="1"/>
  <c r="N593" i="7"/>
  <c r="O593" i="7" s="1"/>
  <c r="N592" i="7"/>
  <c r="O592" i="7" s="1"/>
  <c r="N591" i="7"/>
  <c r="O591" i="7" s="1"/>
  <c r="N590" i="7"/>
  <c r="O590" i="7" s="1"/>
  <c r="N589" i="7"/>
  <c r="O589" i="7" s="1"/>
  <c r="N588" i="7"/>
  <c r="O588" i="7" s="1"/>
  <c r="N587" i="7"/>
  <c r="O587" i="7" s="1"/>
  <c r="N586" i="7"/>
  <c r="O586" i="7" s="1"/>
  <c r="N585" i="7"/>
  <c r="O585" i="7" s="1"/>
  <c r="N584" i="7"/>
  <c r="O584" i="7" s="1"/>
  <c r="N583" i="7"/>
  <c r="O583" i="7" s="1"/>
  <c r="N582" i="7"/>
  <c r="O582" i="7" s="1"/>
  <c r="N581" i="7"/>
  <c r="O581" i="7" s="1"/>
  <c r="N580" i="7"/>
  <c r="O580" i="7" s="1"/>
  <c r="N579" i="7"/>
  <c r="O579" i="7" s="1"/>
  <c r="N578" i="7"/>
  <c r="O578" i="7" s="1"/>
  <c r="N577" i="7"/>
  <c r="O577" i="7" s="1"/>
  <c r="N576" i="7"/>
  <c r="O576" i="7" s="1"/>
  <c r="N575" i="7"/>
  <c r="O575" i="7" s="1"/>
  <c r="N574" i="7"/>
  <c r="O574" i="7" s="1"/>
  <c r="N573" i="7"/>
  <c r="O573" i="7" s="1"/>
  <c r="N572" i="7"/>
  <c r="O572" i="7" s="1"/>
  <c r="N571" i="7"/>
  <c r="O571" i="7" s="1"/>
  <c r="N570" i="7"/>
  <c r="O570" i="7" s="1"/>
  <c r="N569" i="7"/>
  <c r="O569" i="7" s="1"/>
  <c r="N568" i="7"/>
  <c r="O568" i="7" s="1"/>
  <c r="N567" i="7"/>
  <c r="O567" i="7" s="1"/>
  <c r="N566" i="7"/>
  <c r="O566" i="7" s="1"/>
  <c r="N565" i="7"/>
  <c r="O565" i="7" s="1"/>
  <c r="N564" i="7"/>
  <c r="O564" i="7" s="1"/>
  <c r="N563" i="7"/>
  <c r="O563" i="7" s="1"/>
  <c r="N562" i="7"/>
  <c r="O562" i="7" s="1"/>
  <c r="N561" i="7"/>
  <c r="O561" i="7" s="1"/>
  <c r="N560" i="7"/>
  <c r="O560" i="7" s="1"/>
  <c r="N559" i="7"/>
  <c r="O559" i="7" s="1"/>
  <c r="N558" i="7"/>
  <c r="O558" i="7" s="1"/>
  <c r="N557" i="7"/>
  <c r="O557" i="7" s="1"/>
  <c r="N556" i="7"/>
  <c r="O556" i="7" s="1"/>
  <c r="N555" i="7"/>
  <c r="O555" i="7" s="1"/>
  <c r="N554" i="7"/>
  <c r="O554" i="7" s="1"/>
  <c r="N553" i="7"/>
  <c r="O553" i="7" s="1"/>
  <c r="N552" i="7"/>
  <c r="O552" i="7" s="1"/>
  <c r="N551" i="7"/>
  <c r="O551" i="7" s="1"/>
  <c r="N550" i="7"/>
  <c r="O550" i="7" s="1"/>
  <c r="N549" i="7"/>
  <c r="O549" i="7" s="1"/>
  <c r="N548" i="7"/>
  <c r="O548" i="7" s="1"/>
  <c r="N547" i="7"/>
  <c r="O547" i="7" s="1"/>
  <c r="N546" i="7"/>
  <c r="O546" i="7" s="1"/>
  <c r="N545" i="7"/>
  <c r="O545" i="7" s="1"/>
  <c r="N544" i="7"/>
  <c r="O544" i="7" s="1"/>
  <c r="N543" i="7"/>
  <c r="O543" i="7" s="1"/>
  <c r="O542" i="7"/>
  <c r="N541" i="7"/>
  <c r="O541" i="7" s="1"/>
  <c r="N540" i="7"/>
  <c r="O540" i="7" s="1"/>
  <c r="N539" i="7"/>
  <c r="O539" i="7" s="1"/>
  <c r="N538" i="7"/>
  <c r="O538" i="7" s="1"/>
  <c r="N537" i="7"/>
  <c r="O537" i="7" s="1"/>
  <c r="N536" i="7"/>
  <c r="O536" i="7" s="1"/>
  <c r="N535" i="7"/>
  <c r="O535" i="7" s="1"/>
  <c r="N534" i="7"/>
  <c r="O534" i="7" s="1"/>
  <c r="N533" i="7"/>
  <c r="O533" i="7" s="1"/>
  <c r="N532" i="7"/>
  <c r="O532" i="7" s="1"/>
  <c r="N531" i="7"/>
  <c r="O531" i="7" s="1"/>
  <c r="N530" i="7"/>
  <c r="O530" i="7" s="1"/>
  <c r="N529" i="7"/>
  <c r="O529" i="7" s="1"/>
  <c r="N528" i="7"/>
  <c r="O528" i="7" s="1"/>
  <c r="N527" i="7"/>
  <c r="O527" i="7" s="1"/>
  <c r="N526" i="7"/>
  <c r="O526" i="7" s="1"/>
  <c r="N525" i="7"/>
  <c r="O525" i="7" s="1"/>
  <c r="N524" i="7"/>
  <c r="O524" i="7" s="1"/>
  <c r="N523" i="7"/>
  <c r="O523" i="7" s="1"/>
  <c r="N522" i="7"/>
  <c r="O522" i="7" s="1"/>
  <c r="N521" i="7"/>
  <c r="O521" i="7" s="1"/>
  <c r="N520" i="7"/>
  <c r="O520" i="7" s="1"/>
  <c r="N519" i="7"/>
  <c r="O519" i="7" s="1"/>
  <c r="N518" i="7"/>
  <c r="O518" i="7" s="1"/>
  <c r="N517" i="7"/>
  <c r="O517" i="7" s="1"/>
  <c r="N516" i="7"/>
  <c r="O516" i="7" s="1"/>
  <c r="O515" i="7"/>
  <c r="N514" i="7"/>
  <c r="O514" i="7" s="1"/>
  <c r="N513" i="7"/>
  <c r="O513" i="7" s="1"/>
  <c r="N512" i="7"/>
  <c r="O512" i="7" s="1"/>
  <c r="N511" i="7"/>
  <c r="O511" i="7" s="1"/>
  <c r="N510" i="7"/>
  <c r="O510" i="7" s="1"/>
  <c r="N509" i="7"/>
  <c r="O509" i="7" s="1"/>
  <c r="N508" i="7"/>
  <c r="O508" i="7" s="1"/>
  <c r="N507" i="7"/>
  <c r="O507" i="7" s="1"/>
  <c r="N506" i="7"/>
  <c r="O506" i="7" s="1"/>
  <c r="N505" i="7"/>
  <c r="O505" i="7" s="1"/>
  <c r="N504" i="7"/>
  <c r="O504" i="7" s="1"/>
  <c r="N503" i="7"/>
  <c r="O503" i="7" s="1"/>
  <c r="N502" i="7"/>
  <c r="O502" i="7" s="1"/>
  <c r="N501" i="7"/>
  <c r="O501" i="7" s="1"/>
  <c r="N500" i="7"/>
  <c r="O500" i="7" s="1"/>
  <c r="N499" i="7"/>
  <c r="O499" i="7" s="1"/>
  <c r="N498" i="7"/>
  <c r="O498" i="7" s="1"/>
  <c r="N497" i="7"/>
  <c r="O497" i="7" s="1"/>
  <c r="N496" i="7"/>
  <c r="O496" i="7" s="1"/>
  <c r="N495" i="7"/>
  <c r="O495" i="7" s="1"/>
  <c r="N494" i="7"/>
  <c r="O494" i="7" s="1"/>
  <c r="N493" i="7"/>
  <c r="O493" i="7" s="1"/>
  <c r="N492" i="7"/>
  <c r="O492" i="7" s="1"/>
  <c r="N491" i="7"/>
  <c r="O491" i="7" s="1"/>
  <c r="N490" i="7"/>
  <c r="O490" i="7" s="1"/>
  <c r="N489" i="7"/>
  <c r="O489" i="7" s="1"/>
  <c r="N488" i="7"/>
  <c r="O488" i="7" s="1"/>
  <c r="N487" i="7"/>
  <c r="O487" i="7" s="1"/>
  <c r="N486" i="7"/>
  <c r="O486" i="7" s="1"/>
  <c r="N485" i="7"/>
  <c r="O485" i="7" s="1"/>
  <c r="N484" i="7"/>
  <c r="O484" i="7" s="1"/>
  <c r="N483" i="7"/>
  <c r="O483" i="7" s="1"/>
  <c r="O482" i="7"/>
  <c r="N481" i="7"/>
  <c r="O481" i="7" s="1"/>
  <c r="N480" i="7"/>
  <c r="O480" i="7" s="1"/>
  <c r="N479" i="7"/>
  <c r="O479" i="7" s="1"/>
  <c r="N478" i="7"/>
  <c r="O478" i="7" s="1"/>
  <c r="N477" i="7"/>
  <c r="O477" i="7" s="1"/>
  <c r="N476" i="7"/>
  <c r="O476" i="7" s="1"/>
  <c r="N475" i="7"/>
  <c r="O475" i="7" s="1"/>
  <c r="N474" i="7"/>
  <c r="O474" i="7" s="1"/>
  <c r="N473" i="7"/>
  <c r="O473" i="7" s="1"/>
  <c r="N472" i="7"/>
  <c r="O472" i="7" s="1"/>
  <c r="N471" i="7"/>
  <c r="O471" i="7" s="1"/>
  <c r="N470" i="7"/>
  <c r="O470" i="7" s="1"/>
  <c r="N469" i="7"/>
  <c r="O469" i="7" s="1"/>
  <c r="N468" i="7"/>
  <c r="O468" i="7" s="1"/>
  <c r="N467" i="7"/>
  <c r="O467" i="7" s="1"/>
  <c r="N466" i="7"/>
  <c r="O466" i="7" s="1"/>
  <c r="N465" i="7"/>
  <c r="O465" i="7" s="1"/>
  <c r="N464" i="7"/>
  <c r="O464" i="7" s="1"/>
  <c r="N463" i="7"/>
  <c r="O463" i="7" s="1"/>
  <c r="N462" i="7"/>
  <c r="O462" i="7" s="1"/>
  <c r="N461" i="7"/>
  <c r="O461" i="7" s="1"/>
  <c r="N460" i="7"/>
  <c r="O460" i="7" s="1"/>
  <c r="N459" i="7"/>
  <c r="O459" i="7" s="1"/>
  <c r="N458" i="7"/>
  <c r="O458" i="7" s="1"/>
  <c r="N457" i="7"/>
  <c r="O457" i="7" s="1"/>
  <c r="N456" i="7"/>
  <c r="O456" i="7" s="1"/>
  <c r="N455" i="7"/>
  <c r="O455" i="7" s="1"/>
  <c r="N454" i="7"/>
  <c r="O454" i="7" s="1"/>
  <c r="N453" i="7"/>
  <c r="O453" i="7" s="1"/>
  <c r="N452" i="7"/>
  <c r="O452" i="7" s="1"/>
  <c r="N451" i="7"/>
  <c r="O451" i="7" s="1"/>
  <c r="N450" i="7"/>
  <c r="O450" i="7" s="1"/>
  <c r="N449" i="7"/>
  <c r="O449" i="7" s="1"/>
  <c r="N448" i="7"/>
  <c r="O448" i="7" s="1"/>
  <c r="N447" i="7"/>
  <c r="O447" i="7" s="1"/>
  <c r="N446" i="7"/>
  <c r="O446" i="7" s="1"/>
  <c r="N445" i="7"/>
  <c r="O445" i="7" s="1"/>
  <c r="N444" i="7"/>
  <c r="O444" i="7" s="1"/>
  <c r="N443" i="7"/>
  <c r="O443" i="7" s="1"/>
  <c r="N442" i="7"/>
  <c r="O442" i="7" s="1"/>
  <c r="N441" i="7"/>
  <c r="O441" i="7" s="1"/>
  <c r="N440" i="7"/>
  <c r="O440" i="7" s="1"/>
  <c r="N439" i="7"/>
  <c r="O439" i="7" s="1"/>
  <c r="N438" i="7"/>
  <c r="O438" i="7" s="1"/>
  <c r="N437" i="7"/>
  <c r="O437" i="7" s="1"/>
  <c r="N436" i="7"/>
  <c r="O436" i="7" s="1"/>
  <c r="N435" i="7"/>
  <c r="O435" i="7" s="1"/>
  <c r="N434" i="7"/>
  <c r="O434" i="7" s="1"/>
  <c r="N433" i="7"/>
  <c r="O433" i="7" s="1"/>
  <c r="N432" i="7"/>
  <c r="O432" i="7" s="1"/>
  <c r="N431" i="7"/>
  <c r="O431" i="7" s="1"/>
  <c r="N430" i="7"/>
  <c r="O430" i="7" s="1"/>
  <c r="N429" i="7"/>
  <c r="O429" i="7" s="1"/>
  <c r="N428" i="7"/>
  <c r="O428" i="7" s="1"/>
  <c r="N427" i="7"/>
  <c r="O427" i="7" s="1"/>
  <c r="N426" i="7"/>
  <c r="O426" i="7" s="1"/>
  <c r="N425" i="7"/>
  <c r="O425" i="7" s="1"/>
  <c r="N424" i="7"/>
  <c r="O424" i="7" s="1"/>
  <c r="N423" i="7"/>
  <c r="O423" i="7" s="1"/>
  <c r="N422" i="7"/>
  <c r="O422" i="7" s="1"/>
  <c r="N421" i="7"/>
  <c r="O421" i="7" s="1"/>
  <c r="N420" i="7"/>
  <c r="O420" i="7" s="1"/>
  <c r="N419" i="7"/>
  <c r="O419" i="7" s="1"/>
  <c r="N418" i="7"/>
  <c r="O418" i="7" s="1"/>
  <c r="N417" i="7"/>
  <c r="O417" i="7" s="1"/>
  <c r="N416" i="7"/>
  <c r="O416" i="7" s="1"/>
  <c r="N415" i="7"/>
  <c r="O415" i="7" s="1"/>
  <c r="N414" i="7"/>
  <c r="O414" i="7" s="1"/>
  <c r="N413" i="7"/>
  <c r="O413" i="7" s="1"/>
  <c r="N412" i="7"/>
  <c r="O412" i="7" s="1"/>
  <c r="N411" i="7"/>
  <c r="O411" i="7" s="1"/>
  <c r="N410" i="7"/>
  <c r="O410" i="7" s="1"/>
  <c r="N409" i="7"/>
  <c r="O409" i="7" s="1"/>
  <c r="N408" i="7"/>
  <c r="O408" i="7" s="1"/>
  <c r="N407" i="7"/>
  <c r="O407" i="7" s="1"/>
  <c r="N406" i="7"/>
  <c r="O406" i="7" s="1"/>
  <c r="N405" i="7"/>
  <c r="O405" i="7" s="1"/>
  <c r="N404" i="7"/>
  <c r="O404" i="7" s="1"/>
  <c r="N403" i="7"/>
  <c r="O403" i="7" s="1"/>
  <c r="N402" i="7"/>
  <c r="O402" i="7" s="1"/>
  <c r="N401" i="7"/>
  <c r="O401" i="7" s="1"/>
  <c r="N400" i="7"/>
  <c r="O400" i="7" s="1"/>
  <c r="N399" i="7"/>
  <c r="O399" i="7" s="1"/>
  <c r="N398" i="7"/>
  <c r="O398" i="7" s="1"/>
  <c r="N397" i="7"/>
  <c r="O397" i="7" s="1"/>
  <c r="N396" i="7"/>
  <c r="O396" i="7" s="1"/>
  <c r="N395" i="7"/>
  <c r="O395" i="7" s="1"/>
  <c r="N394" i="7"/>
  <c r="O394" i="7" s="1"/>
  <c r="N393" i="7"/>
  <c r="O393" i="7" s="1"/>
  <c r="N392" i="7"/>
  <c r="O392" i="7" s="1"/>
  <c r="N391" i="7"/>
  <c r="O391" i="7" s="1"/>
  <c r="N390" i="7"/>
  <c r="O390" i="7" s="1"/>
  <c r="N389" i="7"/>
  <c r="O389" i="7" s="1"/>
  <c r="N388" i="7"/>
  <c r="O388" i="7" s="1"/>
  <c r="N387" i="7"/>
  <c r="O387" i="7" s="1"/>
  <c r="N386" i="7"/>
  <c r="O386" i="7" s="1"/>
  <c r="N385" i="7"/>
  <c r="O385" i="7" s="1"/>
  <c r="N384" i="7"/>
  <c r="O384" i="7" s="1"/>
  <c r="N383" i="7"/>
  <c r="O383" i="7" s="1"/>
  <c r="N382" i="7"/>
  <c r="O382" i="7" s="1"/>
  <c r="N381" i="7"/>
  <c r="O381" i="7" s="1"/>
  <c r="N380" i="7"/>
  <c r="O380" i="7" s="1"/>
  <c r="N379" i="7"/>
  <c r="O379" i="7" s="1"/>
  <c r="N378" i="7"/>
  <c r="O378" i="7" s="1"/>
  <c r="N377" i="7"/>
  <c r="O377" i="7" s="1"/>
  <c r="N376" i="7"/>
  <c r="O376" i="7" s="1"/>
  <c r="N375" i="7"/>
  <c r="O375" i="7" s="1"/>
  <c r="N374" i="7"/>
  <c r="O374" i="7" s="1"/>
  <c r="N373" i="7"/>
  <c r="O373" i="7" s="1"/>
  <c r="N372" i="7"/>
  <c r="O372" i="7" s="1"/>
  <c r="N371" i="7"/>
  <c r="O371" i="7" s="1"/>
  <c r="N370" i="7"/>
  <c r="O370" i="7" s="1"/>
  <c r="N369" i="7"/>
  <c r="O369" i="7" s="1"/>
  <c r="N368" i="7"/>
  <c r="O368" i="7" s="1"/>
  <c r="N367" i="7"/>
  <c r="O367" i="7" s="1"/>
  <c r="N366" i="7"/>
  <c r="O366" i="7" s="1"/>
  <c r="N365" i="7"/>
  <c r="O365" i="7" s="1"/>
  <c r="N364" i="7"/>
  <c r="O364" i="7" s="1"/>
  <c r="N363" i="7"/>
  <c r="O363" i="7" s="1"/>
  <c r="N362" i="7"/>
  <c r="O362" i="7" s="1"/>
  <c r="N361" i="7"/>
  <c r="O361" i="7" s="1"/>
  <c r="N360" i="7"/>
  <c r="O360" i="7" s="1"/>
  <c r="N359" i="7"/>
  <c r="O359" i="7" s="1"/>
  <c r="N358" i="7"/>
  <c r="O358" i="7" s="1"/>
  <c r="N357" i="7"/>
  <c r="O357" i="7" s="1"/>
  <c r="N356" i="7"/>
  <c r="O356" i="7" s="1"/>
  <c r="N355" i="7"/>
  <c r="O355" i="7" s="1"/>
  <c r="N354" i="7"/>
  <c r="O354" i="7" s="1"/>
  <c r="N353" i="7"/>
  <c r="O353" i="7" s="1"/>
  <c r="N352" i="7"/>
  <c r="O352" i="7" s="1"/>
  <c r="N351" i="7"/>
  <c r="O351" i="7" s="1"/>
  <c r="N350" i="7"/>
  <c r="O350" i="7" s="1"/>
  <c r="N349" i="7"/>
  <c r="O349" i="7" s="1"/>
  <c r="N348" i="7"/>
  <c r="O348" i="7" s="1"/>
  <c r="N347" i="7"/>
  <c r="O347" i="7" s="1"/>
  <c r="N346" i="7"/>
  <c r="O346" i="7" s="1"/>
  <c r="N345" i="7"/>
  <c r="O345" i="7" s="1"/>
  <c r="N344" i="7"/>
  <c r="O344" i="7" s="1"/>
  <c r="N343" i="7"/>
  <c r="O343" i="7" s="1"/>
  <c r="N342" i="7"/>
  <c r="O342" i="7" s="1"/>
  <c r="N341" i="7"/>
  <c r="O341" i="7" s="1"/>
  <c r="N340" i="7"/>
  <c r="O340" i="7" s="1"/>
  <c r="N339" i="7"/>
  <c r="O339" i="7" s="1"/>
  <c r="N338" i="7"/>
  <c r="O338" i="7" s="1"/>
  <c r="N337" i="7"/>
  <c r="O337" i="7" s="1"/>
  <c r="N336" i="7"/>
  <c r="O336" i="7" s="1"/>
  <c r="N335" i="7"/>
  <c r="O335" i="7" s="1"/>
  <c r="N334" i="7"/>
  <c r="O334" i="7" s="1"/>
  <c r="N333" i="7"/>
  <c r="O333" i="7" s="1"/>
  <c r="N332" i="7"/>
  <c r="O332" i="7" s="1"/>
  <c r="N331" i="7"/>
  <c r="O331" i="7" s="1"/>
  <c r="N330" i="7"/>
  <c r="O330" i="7" s="1"/>
  <c r="N329" i="7"/>
  <c r="O329" i="7" s="1"/>
  <c r="N328" i="7"/>
  <c r="O328" i="7" s="1"/>
  <c r="N327" i="7"/>
  <c r="O327" i="7" s="1"/>
  <c r="N326" i="7"/>
  <c r="O326" i="7" s="1"/>
  <c r="N325" i="7"/>
  <c r="O325" i="7" s="1"/>
  <c r="N324" i="7"/>
  <c r="O324" i="7" s="1"/>
  <c r="N323" i="7"/>
  <c r="O323" i="7" s="1"/>
  <c r="N322" i="7"/>
  <c r="O322" i="7" s="1"/>
  <c r="N321" i="7"/>
  <c r="O321" i="7" s="1"/>
  <c r="N320" i="7"/>
  <c r="O320" i="7" s="1"/>
  <c r="N319" i="7"/>
  <c r="O319" i="7" s="1"/>
  <c r="N318" i="7"/>
  <c r="O318" i="7" s="1"/>
  <c r="N317" i="7"/>
  <c r="O317" i="7" s="1"/>
  <c r="N316" i="7"/>
  <c r="O316" i="7" s="1"/>
  <c r="N315" i="7"/>
  <c r="O315" i="7" s="1"/>
  <c r="N314" i="7"/>
  <c r="O314" i="7" s="1"/>
  <c r="N313" i="7"/>
  <c r="O313" i="7" s="1"/>
  <c r="N312" i="7"/>
  <c r="O312" i="7" s="1"/>
  <c r="N311" i="7"/>
  <c r="O311" i="7" s="1"/>
  <c r="N310" i="7"/>
  <c r="O310" i="7" s="1"/>
  <c r="N309" i="7"/>
  <c r="O309" i="7" s="1"/>
  <c r="N308" i="7"/>
  <c r="O308" i="7" s="1"/>
  <c r="N307" i="7"/>
  <c r="O307" i="7" s="1"/>
  <c r="N306" i="7"/>
  <c r="O306" i="7" s="1"/>
  <c r="N305" i="7"/>
  <c r="O305" i="7" s="1"/>
  <c r="N304" i="7"/>
  <c r="O304" i="7" s="1"/>
  <c r="N303" i="7"/>
  <c r="O303" i="7" s="1"/>
  <c r="N302" i="7"/>
  <c r="O302" i="7" s="1"/>
  <c r="N301" i="7"/>
  <c r="O301" i="7" s="1"/>
  <c r="N300" i="7"/>
  <c r="O300" i="7" s="1"/>
  <c r="N299" i="7"/>
  <c r="O299" i="7" s="1"/>
  <c r="N298" i="7"/>
  <c r="O298" i="7" s="1"/>
  <c r="N297" i="7"/>
  <c r="O297" i="7" s="1"/>
  <c r="N296" i="7"/>
  <c r="O296" i="7" s="1"/>
  <c r="N295" i="7"/>
  <c r="O295" i="7" s="1"/>
  <c r="N294" i="7"/>
  <c r="O294" i="7" s="1"/>
  <c r="N293" i="7"/>
  <c r="O293" i="7" s="1"/>
  <c r="N292" i="7"/>
  <c r="O292" i="7" s="1"/>
  <c r="N291" i="7"/>
  <c r="O291" i="7" s="1"/>
  <c r="N290" i="7"/>
  <c r="O290" i="7" s="1"/>
  <c r="N289" i="7"/>
  <c r="O289" i="7" s="1"/>
  <c r="N288" i="7"/>
  <c r="O288" i="7" s="1"/>
  <c r="N287" i="7"/>
  <c r="O287" i="7" s="1"/>
  <c r="N286" i="7"/>
  <c r="O286" i="7" s="1"/>
  <c r="N285" i="7"/>
  <c r="O285" i="7" s="1"/>
  <c r="N284" i="7"/>
  <c r="O284" i="7" s="1"/>
  <c r="N283" i="7"/>
  <c r="O283" i="7" s="1"/>
  <c r="N282" i="7"/>
  <c r="O282" i="7" s="1"/>
  <c r="N281" i="7"/>
  <c r="O281" i="7" s="1"/>
  <c r="N280" i="7"/>
  <c r="O280" i="7" s="1"/>
  <c r="N279" i="7"/>
  <c r="O279" i="7" s="1"/>
  <c r="N278" i="7"/>
  <c r="O278" i="7" s="1"/>
  <c r="N277" i="7"/>
  <c r="O277" i="7" s="1"/>
  <c r="N276" i="7"/>
  <c r="O276" i="7" s="1"/>
  <c r="N275" i="7"/>
  <c r="O275" i="7" s="1"/>
  <c r="N274" i="7"/>
  <c r="O274" i="7" s="1"/>
  <c r="N273" i="7"/>
  <c r="O273" i="7" s="1"/>
  <c r="N272" i="7"/>
  <c r="O272" i="7" s="1"/>
  <c r="N271" i="7"/>
  <c r="O271" i="7" s="1"/>
  <c r="N270" i="7"/>
  <c r="O270" i="7" s="1"/>
  <c r="N269" i="7"/>
  <c r="O269" i="7" s="1"/>
  <c r="N268" i="7"/>
  <c r="O268" i="7" s="1"/>
  <c r="N267" i="7"/>
  <c r="O267" i="7" s="1"/>
  <c r="N266" i="7"/>
  <c r="O266" i="7" s="1"/>
  <c r="N265" i="7"/>
  <c r="O265" i="7" s="1"/>
  <c r="N264" i="7"/>
  <c r="O264" i="7" s="1"/>
  <c r="N263" i="7"/>
  <c r="O263" i="7" s="1"/>
  <c r="N262" i="7"/>
  <c r="O262" i="7" s="1"/>
  <c r="N261" i="7"/>
  <c r="O261" i="7" s="1"/>
  <c r="N260" i="7"/>
  <c r="O260" i="7" s="1"/>
  <c r="N259" i="7"/>
  <c r="O259" i="7" s="1"/>
  <c r="N258" i="7"/>
  <c r="O258" i="7" s="1"/>
  <c r="N257" i="7"/>
  <c r="O257" i="7" s="1"/>
  <c r="N256" i="7"/>
  <c r="O256" i="7" s="1"/>
  <c r="N255" i="7"/>
  <c r="O255" i="7" s="1"/>
  <c r="N254" i="7"/>
  <c r="O254" i="7" s="1"/>
  <c r="N253" i="7"/>
  <c r="O253" i="7" s="1"/>
  <c r="N252" i="7"/>
  <c r="O252" i="7" s="1"/>
  <c r="N251" i="7"/>
  <c r="O251" i="7" s="1"/>
  <c r="N250" i="7"/>
  <c r="O250" i="7" s="1"/>
  <c r="N249" i="7"/>
  <c r="O249" i="7" s="1"/>
  <c r="N248" i="7"/>
  <c r="O248" i="7" s="1"/>
  <c r="N247" i="7"/>
  <c r="O247" i="7" s="1"/>
  <c r="N246" i="7"/>
  <c r="O246" i="7" s="1"/>
  <c r="N245" i="7"/>
  <c r="O245" i="7" s="1"/>
  <c r="N244" i="7"/>
  <c r="O244" i="7" s="1"/>
  <c r="N243" i="7"/>
  <c r="O243" i="7" s="1"/>
  <c r="N242" i="7"/>
  <c r="O242" i="7" s="1"/>
  <c r="N241" i="7"/>
  <c r="O241" i="7" s="1"/>
  <c r="N240" i="7"/>
  <c r="O240" i="7" s="1"/>
  <c r="N239" i="7"/>
  <c r="O239" i="7" s="1"/>
  <c r="N238" i="7"/>
  <c r="O238" i="7" s="1"/>
  <c r="N237" i="7"/>
  <c r="O237" i="7" s="1"/>
  <c r="N236" i="7"/>
  <c r="O236" i="7" s="1"/>
  <c r="N235" i="7"/>
  <c r="O235" i="7" s="1"/>
  <c r="N234" i="7"/>
  <c r="O234" i="7" s="1"/>
  <c r="N233" i="7"/>
  <c r="O233" i="7" s="1"/>
  <c r="N232" i="7"/>
  <c r="O232" i="7" s="1"/>
  <c r="N231" i="7"/>
  <c r="O231" i="7" s="1"/>
  <c r="N230" i="7"/>
  <c r="O230" i="7" s="1"/>
  <c r="N229" i="7"/>
  <c r="O229" i="7" s="1"/>
  <c r="N228" i="7"/>
  <c r="O228" i="7" s="1"/>
  <c r="N227" i="7"/>
  <c r="O227" i="7" s="1"/>
  <c r="N226" i="7"/>
  <c r="O226" i="7" s="1"/>
  <c r="N225" i="7"/>
  <c r="O225" i="7" s="1"/>
  <c r="N224" i="7"/>
  <c r="O224" i="7" s="1"/>
  <c r="N223" i="7"/>
  <c r="O223" i="7" s="1"/>
  <c r="N222" i="7"/>
  <c r="O222" i="7" s="1"/>
  <c r="N221" i="7"/>
  <c r="O221" i="7" s="1"/>
  <c r="N220" i="7"/>
  <c r="O220" i="7" s="1"/>
  <c r="N219" i="7"/>
  <c r="O219" i="7" s="1"/>
  <c r="N218" i="7"/>
  <c r="O218" i="7" s="1"/>
  <c r="N217" i="7"/>
  <c r="O217" i="7" s="1"/>
  <c r="N216" i="7"/>
  <c r="O216" i="7" s="1"/>
  <c r="N215" i="7"/>
  <c r="O215" i="7" s="1"/>
  <c r="N214" i="7"/>
  <c r="O214" i="7" s="1"/>
  <c r="N213" i="7"/>
  <c r="O213" i="7" s="1"/>
  <c r="N212" i="7"/>
  <c r="O212" i="7" s="1"/>
  <c r="N211" i="7"/>
  <c r="O211" i="7" s="1"/>
  <c r="N210" i="7"/>
  <c r="O210" i="7" s="1"/>
  <c r="N209" i="7"/>
  <c r="O209" i="7" s="1"/>
  <c r="N208" i="7"/>
  <c r="O208" i="7" s="1"/>
  <c r="N207" i="7"/>
  <c r="O207" i="7" s="1"/>
  <c r="N206" i="7"/>
  <c r="O206" i="7" s="1"/>
  <c r="N205" i="7"/>
  <c r="O205" i="7" s="1"/>
  <c r="N204" i="7"/>
  <c r="O204" i="7" s="1"/>
  <c r="N203" i="7"/>
  <c r="O203" i="7" s="1"/>
  <c r="N202" i="7"/>
  <c r="O202" i="7" s="1"/>
  <c r="N201" i="7"/>
  <c r="O201" i="7" s="1"/>
  <c r="N200" i="7"/>
  <c r="O200" i="7" s="1"/>
  <c r="N199" i="7"/>
  <c r="O199" i="7" s="1"/>
  <c r="N198" i="7"/>
  <c r="O198" i="7" s="1"/>
  <c r="N197" i="7"/>
  <c r="O197" i="7" s="1"/>
  <c r="N196" i="7"/>
  <c r="O196" i="7" s="1"/>
  <c r="N195" i="7"/>
  <c r="O195" i="7" s="1"/>
  <c r="N194" i="7"/>
  <c r="O194" i="7" s="1"/>
  <c r="N193" i="7"/>
  <c r="O193" i="7" s="1"/>
  <c r="N192" i="7"/>
  <c r="O192" i="7" s="1"/>
  <c r="N191" i="7"/>
  <c r="O191" i="7" s="1"/>
  <c r="N190" i="7"/>
  <c r="O190" i="7" s="1"/>
  <c r="N189" i="7"/>
  <c r="O189" i="7" s="1"/>
  <c r="N188" i="7"/>
  <c r="O188" i="7" s="1"/>
  <c r="N187" i="7"/>
  <c r="O187" i="7" s="1"/>
  <c r="N186" i="7"/>
  <c r="O185" i="7"/>
  <c r="N184" i="7"/>
  <c r="N183" i="7"/>
  <c r="O183" i="7" s="1"/>
  <c r="N182" i="7"/>
  <c r="O182" i="7" s="1"/>
  <c r="N181" i="7"/>
  <c r="O181" i="7" s="1"/>
  <c r="N180" i="7"/>
  <c r="O180" i="7" s="1"/>
  <c r="N179" i="7"/>
  <c r="O179" i="7" s="1"/>
  <c r="N178" i="7"/>
  <c r="O178" i="7" s="1"/>
  <c r="N177" i="7"/>
  <c r="O177" i="7" s="1"/>
  <c r="N176" i="7"/>
  <c r="O176" i="7" s="1"/>
  <c r="N175" i="7"/>
  <c r="O175" i="7" s="1"/>
  <c r="N174" i="7"/>
  <c r="O174" i="7" s="1"/>
  <c r="N173" i="7"/>
  <c r="O173" i="7" s="1"/>
  <c r="N172" i="7"/>
  <c r="O172" i="7" s="1"/>
  <c r="N171" i="7"/>
  <c r="O171" i="7" s="1"/>
  <c r="N170" i="7"/>
  <c r="O170" i="7" s="1"/>
  <c r="N169" i="7"/>
  <c r="O169" i="7" s="1"/>
  <c r="N168" i="7"/>
  <c r="O168" i="7" s="1"/>
  <c r="N167" i="7"/>
  <c r="O167" i="7" s="1"/>
  <c r="N166" i="7"/>
  <c r="O166" i="7" s="1"/>
  <c r="N165" i="7"/>
  <c r="O165" i="7" s="1"/>
  <c r="N164" i="7"/>
  <c r="O164" i="7" s="1"/>
  <c r="N163" i="7"/>
  <c r="O163" i="7" s="1"/>
  <c r="N162" i="7"/>
  <c r="O162" i="7" s="1"/>
  <c r="N161" i="7"/>
  <c r="O161" i="7" s="1"/>
  <c r="N160" i="7"/>
  <c r="O160" i="7" s="1"/>
  <c r="N159" i="7"/>
  <c r="O159" i="7" s="1"/>
  <c r="N158" i="7"/>
  <c r="O158" i="7" s="1"/>
  <c r="N157" i="7"/>
  <c r="O157" i="7" s="1"/>
  <c r="N156" i="7"/>
  <c r="O156" i="7" s="1"/>
  <c r="N155" i="7"/>
  <c r="O155" i="7" s="1"/>
  <c r="N154" i="7"/>
  <c r="O154" i="7" s="1"/>
  <c r="N153" i="7"/>
  <c r="O153" i="7" s="1"/>
  <c r="N152" i="7"/>
  <c r="O152" i="7" s="1"/>
  <c r="N151" i="7"/>
  <c r="O151" i="7" s="1"/>
  <c r="N150" i="7"/>
  <c r="O150" i="7" s="1"/>
  <c r="N149" i="7"/>
  <c r="O149" i="7" s="1"/>
  <c r="N148" i="7"/>
  <c r="O148" i="7" s="1"/>
  <c r="N147" i="7"/>
  <c r="O147" i="7" s="1"/>
  <c r="N146" i="7"/>
  <c r="O146" i="7" s="1"/>
  <c r="N145" i="7"/>
  <c r="N144" i="7"/>
  <c r="O144" i="7" s="1"/>
  <c r="N143" i="7"/>
  <c r="O143" i="7" s="1"/>
  <c r="N142" i="7"/>
  <c r="O142" i="7" s="1"/>
  <c r="N141" i="7"/>
  <c r="O141" i="7" s="1"/>
  <c r="N140" i="7"/>
  <c r="O140" i="7" s="1"/>
  <c r="N139" i="7"/>
  <c r="O139" i="7" s="1"/>
  <c r="N138" i="7"/>
  <c r="O138" i="7" s="1"/>
  <c r="N137" i="7"/>
  <c r="O137" i="7" s="1"/>
  <c r="N136" i="7"/>
  <c r="O136" i="7" s="1"/>
  <c r="N135" i="7"/>
  <c r="O135" i="7" s="1"/>
  <c r="N134" i="7"/>
  <c r="O134" i="7" s="1"/>
  <c r="N133" i="7"/>
  <c r="O133" i="7" s="1"/>
  <c r="N132" i="7"/>
  <c r="O132" i="7" s="1"/>
  <c r="N131" i="7"/>
  <c r="N130" i="7"/>
  <c r="O130" i="7" s="1"/>
  <c r="N129" i="7"/>
  <c r="O129" i="7" s="1"/>
  <c r="N128" i="7"/>
  <c r="O128" i="7" s="1"/>
  <c r="N127" i="7"/>
  <c r="O127" i="7" s="1"/>
  <c r="N126" i="7"/>
  <c r="O126" i="7" s="1"/>
  <c r="N125" i="7"/>
  <c r="O125" i="7" s="1"/>
  <c r="N124" i="7"/>
  <c r="O124" i="7" s="1"/>
  <c r="N123" i="7"/>
  <c r="O123" i="7" s="1"/>
  <c r="N122" i="7"/>
  <c r="O122" i="7" s="1"/>
  <c r="N121" i="7"/>
  <c r="O121" i="7" s="1"/>
  <c r="N120" i="7"/>
  <c r="O120" i="7" s="1"/>
  <c r="N119" i="7"/>
  <c r="O119" i="7" s="1"/>
  <c r="N118" i="7"/>
  <c r="O118" i="7" s="1"/>
  <c r="N117" i="7"/>
  <c r="O117" i="7" s="1"/>
  <c r="N116" i="7"/>
  <c r="O116" i="7" s="1"/>
  <c r="N115" i="7"/>
  <c r="O115" i="7" s="1"/>
  <c r="N114" i="7"/>
  <c r="O114" i="7" s="1"/>
  <c r="N113" i="7"/>
  <c r="O113" i="7" s="1"/>
  <c r="N112" i="7"/>
  <c r="O112" i="7" s="1"/>
  <c r="N111" i="7"/>
  <c r="O111" i="7" s="1"/>
  <c r="N110" i="7"/>
  <c r="O110" i="7" s="1"/>
  <c r="N109" i="7"/>
  <c r="O109" i="7" s="1"/>
  <c r="N108" i="7"/>
  <c r="O108" i="7" s="1"/>
  <c r="N107" i="7"/>
  <c r="O107" i="7" s="1"/>
  <c r="N106" i="7"/>
  <c r="O106" i="7" s="1"/>
  <c r="N105" i="7"/>
  <c r="O105" i="7" s="1"/>
  <c r="N104" i="7"/>
  <c r="O104" i="7" s="1"/>
  <c r="N103" i="7"/>
  <c r="O103" i="7" s="1"/>
  <c r="N102" i="7"/>
  <c r="O102" i="7" s="1"/>
  <c r="N101" i="7"/>
  <c r="O101" i="7" s="1"/>
  <c r="N100" i="7"/>
  <c r="N99" i="7"/>
  <c r="O99" i="7" s="1"/>
  <c r="N98" i="7"/>
  <c r="O98" i="7" s="1"/>
  <c r="N97" i="7"/>
  <c r="O97" i="7" s="1"/>
  <c r="N96" i="7"/>
  <c r="O96" i="7" s="1"/>
  <c r="N95" i="7"/>
  <c r="O95" i="7" s="1"/>
  <c r="N94" i="7"/>
  <c r="O94" i="7" s="1"/>
  <c r="N93" i="7"/>
  <c r="O93" i="7" s="1"/>
  <c r="N92" i="7"/>
  <c r="N91" i="7"/>
  <c r="O91" i="7" s="1"/>
  <c r="N90" i="7"/>
  <c r="O90" i="7" s="1"/>
  <c r="N89" i="7"/>
  <c r="O89" i="7" s="1"/>
  <c r="N88" i="7"/>
  <c r="O88" i="7" s="1"/>
  <c r="N87" i="7"/>
  <c r="O87" i="7" s="1"/>
  <c r="N86" i="7"/>
  <c r="O86" i="7" s="1"/>
  <c r="N85" i="7"/>
  <c r="O85" i="7" s="1"/>
  <c r="N84" i="7"/>
  <c r="O84" i="7" s="1"/>
  <c r="N83" i="7"/>
  <c r="O83" i="7" s="1"/>
  <c r="N82" i="7"/>
  <c r="O82" i="7" s="1"/>
  <c r="N81" i="7"/>
  <c r="O81" i="7" s="1"/>
  <c r="N80" i="7"/>
  <c r="O80" i="7" s="1"/>
  <c r="N79" i="7"/>
  <c r="O79" i="7" s="1"/>
  <c r="N78" i="7"/>
  <c r="O78" i="7" s="1"/>
  <c r="N77" i="7"/>
  <c r="O77" i="7" s="1"/>
  <c r="N76" i="7"/>
  <c r="O76" i="7" s="1"/>
  <c r="N75" i="7"/>
  <c r="O75" i="7" s="1"/>
  <c r="N74" i="7"/>
  <c r="O74" i="7" s="1"/>
  <c r="N73" i="7"/>
  <c r="O73" i="7" s="1"/>
  <c r="N72" i="7"/>
  <c r="O72" i="7" s="1"/>
  <c r="N71" i="7"/>
  <c r="N70" i="7"/>
  <c r="O70" i="7" s="1"/>
  <c r="N69" i="7"/>
  <c r="O69" i="7" s="1"/>
  <c r="N68" i="7"/>
  <c r="O68" i="7" s="1"/>
  <c r="N67" i="7"/>
  <c r="O67" i="7" s="1"/>
  <c r="N66" i="7"/>
  <c r="O66" i="7" s="1"/>
  <c r="N65" i="7"/>
  <c r="O65" i="7" s="1"/>
  <c r="N64" i="7"/>
  <c r="O64" i="7" s="1"/>
  <c r="N63" i="7"/>
  <c r="O63" i="7" s="1"/>
  <c r="N62" i="7"/>
  <c r="O62" i="7" s="1"/>
  <c r="N61" i="7"/>
  <c r="O61" i="7" s="1"/>
  <c r="N60" i="7"/>
  <c r="O60" i="7" s="1"/>
  <c r="N59" i="7"/>
  <c r="O59" i="7" s="1"/>
  <c r="N58" i="7"/>
  <c r="O58" i="7" s="1"/>
  <c r="N57" i="7"/>
  <c r="O57" i="7" s="1"/>
  <c r="N56" i="7"/>
  <c r="O56" i="7" s="1"/>
  <c r="N55" i="7"/>
  <c r="O55" i="7" s="1"/>
  <c r="N54" i="7"/>
  <c r="O54" i="7" s="1"/>
  <c r="N53" i="7"/>
  <c r="O53" i="7" s="1"/>
  <c r="N52" i="7"/>
  <c r="O52" i="7" s="1"/>
  <c r="N51" i="7"/>
  <c r="O51" i="7" s="1"/>
  <c r="N50" i="7"/>
  <c r="O50" i="7" s="1"/>
  <c r="N49" i="7"/>
  <c r="O49" i="7" s="1"/>
  <c r="N48" i="7"/>
  <c r="O48" i="7" s="1"/>
  <c r="N47" i="7"/>
  <c r="O47" i="7" s="1"/>
  <c r="N46" i="7"/>
  <c r="O46" i="7" s="1"/>
  <c r="N45" i="7"/>
  <c r="O45" i="7" s="1"/>
  <c r="N44" i="7"/>
  <c r="O44" i="7" s="1"/>
  <c r="N43" i="7"/>
  <c r="O43" i="7" s="1"/>
  <c r="N42" i="7"/>
  <c r="O42" i="7" s="1"/>
  <c r="N41" i="7"/>
  <c r="O41" i="7" s="1"/>
  <c r="N40" i="7"/>
  <c r="O40" i="7" s="1"/>
  <c r="N39" i="7"/>
  <c r="O39" i="7" s="1"/>
  <c r="N38" i="7"/>
  <c r="O38" i="7" s="1"/>
  <c r="N37" i="7"/>
  <c r="O37" i="7" s="1"/>
  <c r="N36" i="7"/>
  <c r="O36" i="7" s="1"/>
  <c r="N35" i="7"/>
  <c r="O35" i="7" s="1"/>
  <c r="N34" i="7"/>
  <c r="O34" i="7" s="1"/>
  <c r="N33" i="7"/>
  <c r="O33" i="7" s="1"/>
  <c r="N32" i="7"/>
  <c r="O32" i="7" s="1"/>
  <c r="N31" i="7"/>
  <c r="N30" i="7"/>
  <c r="O30" i="7" s="1"/>
  <c r="N29" i="7"/>
  <c r="O29" i="7" s="1"/>
  <c r="N28" i="7"/>
  <c r="O28" i="7" s="1"/>
  <c r="N27" i="7"/>
  <c r="O27" i="7" s="1"/>
  <c r="N26" i="7"/>
  <c r="O26" i="7" s="1"/>
  <c r="N25" i="7"/>
  <c r="O25" i="7" s="1"/>
  <c r="N24" i="7"/>
  <c r="O24" i="7" s="1"/>
  <c r="N23" i="7"/>
  <c r="O23" i="7" s="1"/>
  <c r="N22" i="7"/>
  <c r="O22" i="7" s="1"/>
  <c r="N20" i="7"/>
  <c r="O20" i="7" s="1"/>
  <c r="N19" i="7"/>
  <c r="O19" i="7" s="1"/>
  <c r="N18" i="7"/>
  <c r="O18" i="7" s="1"/>
  <c r="N17" i="7"/>
  <c r="O17" i="7" s="1"/>
  <c r="N16" i="7"/>
  <c r="O16" i="7" s="1"/>
  <c r="N15" i="7"/>
  <c r="O15" i="7" s="1"/>
  <c r="N14" i="7"/>
  <c r="N13" i="7"/>
  <c r="N12" i="7"/>
  <c r="N11" i="7"/>
  <c r="O11" i="7" s="1"/>
  <c r="N10" i="7"/>
  <c r="O10" i="7" s="1"/>
  <c r="N9" i="7"/>
  <c r="N8" i="7"/>
  <c r="O8" i="7" s="1"/>
  <c r="N7" i="7"/>
  <c r="O7" i="7" s="1"/>
  <c r="N6" i="7"/>
  <c r="N5" i="7"/>
  <c r="N4" i="7"/>
  <c r="N3" i="7"/>
  <c r="O3" i="7" s="1"/>
  <c r="N472" i="6"/>
  <c r="O472" i="6" s="1"/>
  <c r="N78" i="6"/>
  <c r="O78" i="6" s="1"/>
  <c r="N79" i="6"/>
  <c r="O79" i="6" s="1"/>
  <c r="N7" i="6"/>
  <c r="O7" i="6" s="1"/>
  <c r="N2" i="6"/>
  <c r="O2" i="6" s="1"/>
  <c r="P8" i="6"/>
  <c r="P4" i="6"/>
  <c r="P19" i="6"/>
  <c r="P2" i="6"/>
  <c r="O544" i="6"/>
  <c r="O517" i="6"/>
  <c r="O483" i="6"/>
  <c r="N3" i="6"/>
  <c r="O3" i="6" s="1"/>
  <c r="P3" i="6"/>
  <c r="P5" i="6"/>
  <c r="P6" i="6"/>
  <c r="P7" i="6"/>
  <c r="P9" i="6"/>
  <c r="P10" i="6"/>
  <c r="P11" i="6"/>
  <c r="P12" i="6"/>
  <c r="P13" i="6"/>
  <c r="P14" i="6"/>
  <c r="P15" i="6"/>
  <c r="P16" i="6"/>
  <c r="P17" i="6"/>
  <c r="P18"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N4" i="6"/>
  <c r="O4" i="6" s="1"/>
  <c r="N5" i="6"/>
  <c r="O5" i="6" s="1"/>
  <c r="N6" i="6"/>
  <c r="O6" i="6" s="1"/>
  <c r="N8" i="6"/>
  <c r="O8" i="6" s="1"/>
  <c r="N9" i="6"/>
  <c r="O9" i="6" s="1"/>
  <c r="N10" i="6"/>
  <c r="O10" i="6" s="1"/>
  <c r="N11" i="6"/>
  <c r="N12" i="6"/>
  <c r="O12" i="6" s="1"/>
  <c r="N13" i="6"/>
  <c r="O13" i="6" s="1"/>
  <c r="N14" i="6"/>
  <c r="O14" i="6" s="1"/>
  <c r="N15" i="6"/>
  <c r="O15" i="6" s="1"/>
  <c r="N16" i="6"/>
  <c r="O16" i="6" s="1"/>
  <c r="N17" i="6"/>
  <c r="O17" i="6" s="1"/>
  <c r="N18" i="6"/>
  <c r="O18" i="6" s="1"/>
  <c r="N19" i="6"/>
  <c r="O19" i="6" s="1"/>
  <c r="N20" i="6"/>
  <c r="O20" i="6" s="1"/>
  <c r="N21" i="6"/>
  <c r="O21" i="6" s="1"/>
  <c r="N22" i="6"/>
  <c r="O22" i="6" s="1"/>
  <c r="N23" i="6"/>
  <c r="O23" i="6" s="1"/>
  <c r="N24" i="6"/>
  <c r="O24" i="6" s="1"/>
  <c r="N25" i="6"/>
  <c r="O25" i="6" s="1"/>
  <c r="N26" i="6"/>
  <c r="O26" i="6" s="1"/>
  <c r="N27" i="6"/>
  <c r="O27" i="6" s="1"/>
  <c r="N28" i="6"/>
  <c r="O28" i="6" s="1"/>
  <c r="N29" i="6"/>
  <c r="O29" i="6" s="1"/>
  <c r="N30" i="6"/>
  <c r="O30" i="6" s="1"/>
  <c r="N31" i="6"/>
  <c r="Q31" i="6" s="1"/>
  <c r="N32" i="6"/>
  <c r="O32" i="6" s="1"/>
  <c r="N33" i="6"/>
  <c r="O33" i="6" s="1"/>
  <c r="N34" i="6"/>
  <c r="O34" i="6" s="1"/>
  <c r="N35" i="6"/>
  <c r="O35" i="6" s="1"/>
  <c r="N36" i="6"/>
  <c r="O36" i="6" s="1"/>
  <c r="N37" i="6"/>
  <c r="O37" i="6" s="1"/>
  <c r="N38" i="6"/>
  <c r="O38" i="6" s="1"/>
  <c r="N39" i="6"/>
  <c r="O39" i="6" s="1"/>
  <c r="N40" i="6"/>
  <c r="O40" i="6" s="1"/>
  <c r="N41" i="6"/>
  <c r="O41" i="6" s="1"/>
  <c r="N42" i="6"/>
  <c r="N43" i="6"/>
  <c r="O43" i="6" s="1"/>
  <c r="N44" i="6"/>
  <c r="O44" i="6" s="1"/>
  <c r="N45" i="6"/>
  <c r="O45" i="6" s="1"/>
  <c r="N46" i="6"/>
  <c r="O46" i="6" s="1"/>
  <c r="N47" i="6"/>
  <c r="O47" i="6" s="1"/>
  <c r="N48" i="6"/>
  <c r="O48" i="6" s="1"/>
  <c r="N49" i="6"/>
  <c r="N50" i="6"/>
  <c r="O50" i="6" s="1"/>
  <c r="N51" i="6"/>
  <c r="O51" i="6" s="1"/>
  <c r="N52" i="6"/>
  <c r="O52" i="6" s="1"/>
  <c r="N53" i="6"/>
  <c r="O53" i="6" s="1"/>
  <c r="N54" i="6"/>
  <c r="O54" i="6" s="1"/>
  <c r="N55" i="6"/>
  <c r="O55" i="6" s="1"/>
  <c r="N56" i="6"/>
  <c r="O56" i="6" s="1"/>
  <c r="N57" i="6"/>
  <c r="O57" i="6" s="1"/>
  <c r="N58" i="6"/>
  <c r="N59" i="6"/>
  <c r="O59" i="6" s="1"/>
  <c r="N60" i="6"/>
  <c r="O60" i="6" s="1"/>
  <c r="N61" i="6"/>
  <c r="O61" i="6" s="1"/>
  <c r="N62" i="6"/>
  <c r="N63" i="6"/>
  <c r="O63" i="6" s="1"/>
  <c r="N64" i="6"/>
  <c r="O64" i="6" s="1"/>
  <c r="N65" i="6"/>
  <c r="O65" i="6" s="1"/>
  <c r="N66" i="6"/>
  <c r="Q66" i="6" s="1"/>
  <c r="N67" i="6"/>
  <c r="O67" i="6" s="1"/>
  <c r="N68" i="6"/>
  <c r="O68" i="6" s="1"/>
  <c r="N69" i="6"/>
  <c r="O69" i="6" s="1"/>
  <c r="N70" i="6"/>
  <c r="O70" i="6" s="1"/>
  <c r="N71" i="6"/>
  <c r="O71" i="6" s="1"/>
  <c r="N72" i="6"/>
  <c r="O72" i="6" s="1"/>
  <c r="N73" i="6"/>
  <c r="O73" i="6" s="1"/>
  <c r="N74" i="6"/>
  <c r="O74" i="6" s="1"/>
  <c r="N75" i="6"/>
  <c r="O75" i="6" s="1"/>
  <c r="N76" i="6"/>
  <c r="O76" i="6" s="1"/>
  <c r="N77" i="6"/>
  <c r="O77" i="6" s="1"/>
  <c r="N80" i="6"/>
  <c r="O80" i="6" s="1"/>
  <c r="N81" i="6"/>
  <c r="O81" i="6" s="1"/>
  <c r="N82" i="6"/>
  <c r="O82" i="6" s="1"/>
  <c r="N83" i="6"/>
  <c r="O83" i="6" s="1"/>
  <c r="N84" i="6"/>
  <c r="O84" i="6" s="1"/>
  <c r="N85" i="6"/>
  <c r="O85" i="6" s="1"/>
  <c r="N86" i="6"/>
  <c r="O86" i="6" s="1"/>
  <c r="N87" i="6"/>
  <c r="O87" i="6" s="1"/>
  <c r="N88" i="6"/>
  <c r="O88" i="6" s="1"/>
  <c r="N89" i="6"/>
  <c r="O89" i="6" s="1"/>
  <c r="N90" i="6"/>
  <c r="O90" i="6" s="1"/>
  <c r="N91" i="6"/>
  <c r="O91" i="6" s="1"/>
  <c r="N92" i="6"/>
  <c r="O92" i="6" s="1"/>
  <c r="N93" i="6"/>
  <c r="O93" i="6" s="1"/>
  <c r="N94" i="6"/>
  <c r="O94" i="6" s="1"/>
  <c r="N95" i="6"/>
  <c r="O95" i="6" s="1"/>
  <c r="N96" i="6"/>
  <c r="O96" i="6" s="1"/>
  <c r="N97" i="6"/>
  <c r="O97" i="6" s="1"/>
  <c r="N98" i="6"/>
  <c r="O98" i="6" s="1"/>
  <c r="N99" i="6"/>
  <c r="O99" i="6" s="1"/>
  <c r="N100" i="6"/>
  <c r="O100" i="6" s="1"/>
  <c r="N101" i="6"/>
  <c r="O101" i="6" s="1"/>
  <c r="N102" i="6"/>
  <c r="O102" i="6" s="1"/>
  <c r="N103" i="6"/>
  <c r="O103" i="6" s="1"/>
  <c r="N104" i="6"/>
  <c r="O104" i="6" s="1"/>
  <c r="N105" i="6"/>
  <c r="O105" i="6" s="1"/>
  <c r="N106" i="6"/>
  <c r="O106" i="6" s="1"/>
  <c r="N107" i="6"/>
  <c r="O107" i="6" s="1"/>
  <c r="N108" i="6"/>
  <c r="O108" i="6" s="1"/>
  <c r="N109" i="6"/>
  <c r="O109" i="6" s="1"/>
  <c r="N110" i="6"/>
  <c r="O110" i="6" s="1"/>
  <c r="N111" i="6"/>
  <c r="O111" i="6" s="1"/>
  <c r="N112" i="6"/>
  <c r="O112" i="6" s="1"/>
  <c r="N113" i="6"/>
  <c r="O113" i="6" s="1"/>
  <c r="N114" i="6"/>
  <c r="O114" i="6" s="1"/>
  <c r="N115" i="6"/>
  <c r="O115" i="6" s="1"/>
  <c r="N116" i="6"/>
  <c r="O116" i="6" s="1"/>
  <c r="N117" i="6"/>
  <c r="O117" i="6" s="1"/>
  <c r="N118" i="6"/>
  <c r="O118" i="6" s="1"/>
  <c r="N119" i="6"/>
  <c r="O119" i="6" s="1"/>
  <c r="N120" i="6"/>
  <c r="O120" i="6" s="1"/>
  <c r="N121" i="6"/>
  <c r="O121" i="6" s="1"/>
  <c r="N122" i="6"/>
  <c r="O122" i="6" s="1"/>
  <c r="N123" i="6"/>
  <c r="O123" i="6" s="1"/>
  <c r="N124" i="6"/>
  <c r="O124" i="6" s="1"/>
  <c r="N125" i="6"/>
  <c r="O125" i="6" s="1"/>
  <c r="N126" i="6"/>
  <c r="O126" i="6" s="1"/>
  <c r="N127" i="6"/>
  <c r="O127" i="6" s="1"/>
  <c r="N128" i="6"/>
  <c r="O128" i="6" s="1"/>
  <c r="N129" i="6"/>
  <c r="O129" i="6" s="1"/>
  <c r="N130" i="6"/>
  <c r="O130" i="6" s="1"/>
  <c r="N131" i="6"/>
  <c r="O131" i="6" s="1"/>
  <c r="N132" i="6"/>
  <c r="O132" i="6" s="1"/>
  <c r="N133" i="6"/>
  <c r="O133" i="6" s="1"/>
  <c r="N134" i="6"/>
  <c r="O134" i="6" s="1"/>
  <c r="N135" i="6"/>
  <c r="O135" i="6" s="1"/>
  <c r="N136" i="6"/>
  <c r="O136" i="6" s="1"/>
  <c r="N137" i="6"/>
  <c r="O137" i="6" s="1"/>
  <c r="N138" i="6"/>
  <c r="O138" i="6" s="1"/>
  <c r="N139" i="6"/>
  <c r="O139" i="6" s="1"/>
  <c r="N140" i="6"/>
  <c r="O140" i="6" s="1"/>
  <c r="N141" i="6"/>
  <c r="O141" i="6" s="1"/>
  <c r="N142" i="6"/>
  <c r="O142" i="6" s="1"/>
  <c r="N143" i="6"/>
  <c r="O143" i="6" s="1"/>
  <c r="N144" i="6"/>
  <c r="O144" i="6" s="1"/>
  <c r="N145" i="6"/>
  <c r="O145" i="6" s="1"/>
  <c r="N146" i="6"/>
  <c r="O146" i="6" s="1"/>
  <c r="N147" i="6"/>
  <c r="O147" i="6" s="1"/>
  <c r="N148" i="6"/>
  <c r="O148" i="6" s="1"/>
  <c r="N149" i="6"/>
  <c r="O149" i="6" s="1"/>
  <c r="N150" i="6"/>
  <c r="O150" i="6" s="1"/>
  <c r="N151" i="6"/>
  <c r="O151" i="6" s="1"/>
  <c r="N152" i="6"/>
  <c r="O152" i="6" s="1"/>
  <c r="N153" i="6"/>
  <c r="O153" i="6" s="1"/>
  <c r="N154" i="6"/>
  <c r="O154" i="6" s="1"/>
  <c r="N155" i="6"/>
  <c r="O155" i="6" s="1"/>
  <c r="N156" i="6"/>
  <c r="O156" i="6" s="1"/>
  <c r="N157" i="6"/>
  <c r="O157" i="6" s="1"/>
  <c r="N158" i="6"/>
  <c r="O158" i="6" s="1"/>
  <c r="N159" i="6"/>
  <c r="O159" i="6" s="1"/>
  <c r="N160" i="6"/>
  <c r="O160" i="6" s="1"/>
  <c r="N161" i="6"/>
  <c r="O161" i="6" s="1"/>
  <c r="N162" i="6"/>
  <c r="O162" i="6" s="1"/>
  <c r="N163" i="6"/>
  <c r="O163" i="6" s="1"/>
  <c r="N164" i="6"/>
  <c r="O164" i="6" s="1"/>
  <c r="N165" i="6"/>
  <c r="O165" i="6" s="1"/>
  <c r="N166" i="6"/>
  <c r="O166" i="6" s="1"/>
  <c r="N167" i="6"/>
  <c r="O167" i="6" s="1"/>
  <c r="N168" i="6"/>
  <c r="O168" i="6" s="1"/>
  <c r="N169" i="6"/>
  <c r="O169" i="6" s="1"/>
  <c r="N170" i="6"/>
  <c r="O170" i="6" s="1"/>
  <c r="N171" i="6"/>
  <c r="O171" i="6" s="1"/>
  <c r="N172" i="6"/>
  <c r="O172" i="6" s="1"/>
  <c r="N173" i="6"/>
  <c r="O173" i="6" s="1"/>
  <c r="N174" i="6"/>
  <c r="O174" i="6" s="1"/>
  <c r="N175" i="6"/>
  <c r="O175" i="6" s="1"/>
  <c r="N176" i="6"/>
  <c r="O176" i="6" s="1"/>
  <c r="N177" i="6"/>
  <c r="O177" i="6" s="1"/>
  <c r="N178" i="6"/>
  <c r="N179" i="6"/>
  <c r="N180" i="6"/>
  <c r="O180" i="6" s="1"/>
  <c r="N181" i="6"/>
  <c r="O181" i="6" s="1"/>
  <c r="N182" i="6"/>
  <c r="O182" i="6" s="1"/>
  <c r="N183" i="6"/>
  <c r="O183" i="6" s="1"/>
  <c r="N184" i="6"/>
  <c r="Q184" i="6" s="1"/>
  <c r="N186" i="6"/>
  <c r="Q186" i="6" s="1"/>
  <c r="N187" i="6"/>
  <c r="O187" i="6" s="1"/>
  <c r="N188" i="6"/>
  <c r="O188" i="6" s="1"/>
  <c r="N189" i="6"/>
  <c r="O189" i="6" s="1"/>
  <c r="N190" i="6"/>
  <c r="N191" i="6"/>
  <c r="O191" i="6" s="1"/>
  <c r="N192" i="6"/>
  <c r="O192" i="6" s="1"/>
  <c r="N193" i="6"/>
  <c r="O193" i="6" s="1"/>
  <c r="N194" i="6"/>
  <c r="O194" i="6" s="1"/>
  <c r="N195" i="6"/>
  <c r="O195" i="6" s="1"/>
  <c r="N196" i="6"/>
  <c r="O196" i="6" s="1"/>
  <c r="N197" i="6"/>
  <c r="O197" i="6" s="1"/>
  <c r="N198" i="6"/>
  <c r="O198" i="6" s="1"/>
  <c r="N199" i="6"/>
  <c r="O199" i="6" s="1"/>
  <c r="N200" i="6"/>
  <c r="O200" i="6" s="1"/>
  <c r="N201" i="6"/>
  <c r="O201" i="6" s="1"/>
  <c r="N202" i="6"/>
  <c r="O202" i="6" s="1"/>
  <c r="N203" i="6"/>
  <c r="O203" i="6" s="1"/>
  <c r="N204" i="6"/>
  <c r="O204" i="6" s="1"/>
  <c r="N205" i="6"/>
  <c r="O205" i="6" s="1"/>
  <c r="N206" i="6"/>
  <c r="O206" i="6" s="1"/>
  <c r="N207" i="6"/>
  <c r="O207" i="6" s="1"/>
  <c r="N208" i="6"/>
  <c r="O208" i="6" s="1"/>
  <c r="N209" i="6"/>
  <c r="O209" i="6" s="1"/>
  <c r="N210" i="6"/>
  <c r="O210" i="6" s="1"/>
  <c r="N211" i="6"/>
  <c r="O211" i="6" s="1"/>
  <c r="N212" i="6"/>
  <c r="O212" i="6" s="1"/>
  <c r="N213" i="6"/>
  <c r="O213" i="6" s="1"/>
  <c r="N214" i="6"/>
  <c r="O214" i="6" s="1"/>
  <c r="N215" i="6"/>
  <c r="O215" i="6" s="1"/>
  <c r="N216" i="6"/>
  <c r="O216" i="6" s="1"/>
  <c r="N217" i="6"/>
  <c r="O217" i="6" s="1"/>
  <c r="N218" i="6"/>
  <c r="O218" i="6" s="1"/>
  <c r="N219" i="6"/>
  <c r="O219" i="6" s="1"/>
  <c r="N220" i="6"/>
  <c r="O220" i="6" s="1"/>
  <c r="N221" i="6"/>
  <c r="O221" i="6" s="1"/>
  <c r="N222" i="6"/>
  <c r="O222" i="6" s="1"/>
  <c r="N223" i="6"/>
  <c r="O223" i="6" s="1"/>
  <c r="N224" i="6"/>
  <c r="O224" i="6" s="1"/>
  <c r="N225" i="6"/>
  <c r="O225" i="6" s="1"/>
  <c r="O226" i="6"/>
  <c r="N227" i="6"/>
  <c r="O227" i="6" s="1"/>
  <c r="N228" i="6"/>
  <c r="O228" i="6" s="1"/>
  <c r="N229" i="6"/>
  <c r="O229" i="6" s="1"/>
  <c r="N230" i="6"/>
  <c r="O230" i="6" s="1"/>
  <c r="N231" i="6"/>
  <c r="O231" i="6" s="1"/>
  <c r="N232" i="6"/>
  <c r="O232" i="6" s="1"/>
  <c r="N233" i="6"/>
  <c r="O233" i="6" s="1"/>
  <c r="N234" i="6"/>
  <c r="O234" i="6" s="1"/>
  <c r="N235" i="6"/>
  <c r="O235" i="6" s="1"/>
  <c r="N236" i="6"/>
  <c r="O236" i="6" s="1"/>
  <c r="N237" i="6"/>
  <c r="O237" i="6" s="1"/>
  <c r="N238" i="6"/>
  <c r="O238" i="6" s="1"/>
  <c r="N239" i="6"/>
  <c r="O239" i="6" s="1"/>
  <c r="N240" i="6"/>
  <c r="O240" i="6" s="1"/>
  <c r="N241" i="6"/>
  <c r="O241" i="6" s="1"/>
  <c r="N242" i="6"/>
  <c r="O242" i="6" s="1"/>
  <c r="N243" i="6"/>
  <c r="O243" i="6" s="1"/>
  <c r="N244" i="6"/>
  <c r="O244" i="6" s="1"/>
  <c r="N245" i="6"/>
  <c r="O245" i="6" s="1"/>
  <c r="N246" i="6"/>
  <c r="O246" i="6" s="1"/>
  <c r="N247" i="6"/>
  <c r="O247" i="6" s="1"/>
  <c r="N248" i="6"/>
  <c r="O248" i="6" s="1"/>
  <c r="N249" i="6"/>
  <c r="O249" i="6" s="1"/>
  <c r="N250" i="6"/>
  <c r="O250" i="6" s="1"/>
  <c r="N251" i="6"/>
  <c r="O251" i="6" s="1"/>
  <c r="N252" i="6"/>
  <c r="O252" i="6" s="1"/>
  <c r="N253" i="6"/>
  <c r="O253" i="6" s="1"/>
  <c r="N254" i="6"/>
  <c r="O254" i="6" s="1"/>
  <c r="N255" i="6"/>
  <c r="O255" i="6" s="1"/>
  <c r="N256" i="6"/>
  <c r="O256" i="6" s="1"/>
  <c r="N257" i="6"/>
  <c r="O257" i="6" s="1"/>
  <c r="N258" i="6"/>
  <c r="O258" i="6" s="1"/>
  <c r="N259" i="6"/>
  <c r="O259" i="6" s="1"/>
  <c r="N260" i="6"/>
  <c r="O260" i="6" s="1"/>
  <c r="N261" i="6"/>
  <c r="O261" i="6" s="1"/>
  <c r="N262" i="6"/>
  <c r="O262" i="6" s="1"/>
  <c r="N263" i="6"/>
  <c r="O263" i="6" s="1"/>
  <c r="N264" i="6"/>
  <c r="O264" i="6" s="1"/>
  <c r="N265" i="6"/>
  <c r="O265" i="6" s="1"/>
  <c r="N266" i="6"/>
  <c r="O266" i="6" s="1"/>
  <c r="N267" i="6"/>
  <c r="O267" i="6" s="1"/>
  <c r="N268" i="6"/>
  <c r="O268" i="6" s="1"/>
  <c r="N269" i="6"/>
  <c r="O269" i="6" s="1"/>
  <c r="N270" i="6"/>
  <c r="O270" i="6" s="1"/>
  <c r="N271" i="6"/>
  <c r="O271" i="6" s="1"/>
  <c r="N272" i="6"/>
  <c r="O272" i="6" s="1"/>
  <c r="N273" i="6"/>
  <c r="O273" i="6" s="1"/>
  <c r="N274" i="6"/>
  <c r="O274" i="6" s="1"/>
  <c r="N275" i="6"/>
  <c r="O275" i="6" s="1"/>
  <c r="N276" i="6"/>
  <c r="O276" i="6" s="1"/>
  <c r="N277" i="6"/>
  <c r="O277" i="6" s="1"/>
  <c r="N278" i="6"/>
  <c r="O278" i="6" s="1"/>
  <c r="N279" i="6"/>
  <c r="O279" i="6" s="1"/>
  <c r="N280" i="6"/>
  <c r="O280" i="6" s="1"/>
  <c r="N281" i="6"/>
  <c r="O281" i="6" s="1"/>
  <c r="N282" i="6"/>
  <c r="O282" i="6" s="1"/>
  <c r="N283" i="6"/>
  <c r="O283" i="6" s="1"/>
  <c r="N284" i="6"/>
  <c r="O284" i="6" s="1"/>
  <c r="N285" i="6"/>
  <c r="O285" i="6" s="1"/>
  <c r="N286" i="6"/>
  <c r="O286" i="6" s="1"/>
  <c r="N287" i="6"/>
  <c r="O287" i="6" s="1"/>
  <c r="N288" i="6"/>
  <c r="O288" i="6" s="1"/>
  <c r="N289" i="6"/>
  <c r="O289" i="6" s="1"/>
  <c r="N290" i="6"/>
  <c r="O290" i="6" s="1"/>
  <c r="N291" i="6"/>
  <c r="O291" i="6" s="1"/>
  <c r="N292" i="6"/>
  <c r="O292" i="6" s="1"/>
  <c r="N293" i="6"/>
  <c r="O293" i="6" s="1"/>
  <c r="N294" i="6"/>
  <c r="O294" i="6" s="1"/>
  <c r="N295" i="6"/>
  <c r="O295" i="6" s="1"/>
  <c r="N296" i="6"/>
  <c r="O296" i="6" s="1"/>
  <c r="N297" i="6"/>
  <c r="O297" i="6" s="1"/>
  <c r="N298" i="6"/>
  <c r="O298" i="6" s="1"/>
  <c r="N299" i="6"/>
  <c r="O299" i="6" s="1"/>
  <c r="N300" i="6"/>
  <c r="O300" i="6" s="1"/>
  <c r="N301" i="6"/>
  <c r="O301" i="6" s="1"/>
  <c r="N302" i="6"/>
  <c r="O302" i="6" s="1"/>
  <c r="N303" i="6"/>
  <c r="O303" i="6" s="1"/>
  <c r="N304" i="6"/>
  <c r="O304" i="6" s="1"/>
  <c r="N305" i="6"/>
  <c r="O305" i="6" s="1"/>
  <c r="N306" i="6"/>
  <c r="O306" i="6" s="1"/>
  <c r="N307" i="6"/>
  <c r="O307" i="6" s="1"/>
  <c r="N308" i="6"/>
  <c r="O308" i="6" s="1"/>
  <c r="N309" i="6"/>
  <c r="O309" i="6" s="1"/>
  <c r="N310" i="6"/>
  <c r="O310" i="6" s="1"/>
  <c r="N311" i="6"/>
  <c r="O311" i="6" s="1"/>
  <c r="N312" i="6"/>
  <c r="O312" i="6" s="1"/>
  <c r="N313" i="6"/>
  <c r="O313" i="6" s="1"/>
  <c r="N314" i="6"/>
  <c r="O314" i="6" s="1"/>
  <c r="N315" i="6"/>
  <c r="O315" i="6" s="1"/>
  <c r="N316" i="6"/>
  <c r="O316" i="6" s="1"/>
  <c r="N317" i="6"/>
  <c r="O317" i="6" s="1"/>
  <c r="N318" i="6"/>
  <c r="O318" i="6" s="1"/>
  <c r="N319" i="6"/>
  <c r="O319" i="6" s="1"/>
  <c r="N320" i="6"/>
  <c r="O320" i="6" s="1"/>
  <c r="N321" i="6"/>
  <c r="O321" i="6" s="1"/>
  <c r="N322" i="6"/>
  <c r="O322" i="6" s="1"/>
  <c r="N323" i="6"/>
  <c r="O323" i="6" s="1"/>
  <c r="N324" i="6"/>
  <c r="O324" i="6" s="1"/>
  <c r="N325" i="6"/>
  <c r="O325" i="6" s="1"/>
  <c r="N326" i="6"/>
  <c r="O326" i="6" s="1"/>
  <c r="N327" i="6"/>
  <c r="O327" i="6" s="1"/>
  <c r="N328" i="6"/>
  <c r="O328" i="6" s="1"/>
  <c r="N329" i="6"/>
  <c r="O329" i="6" s="1"/>
  <c r="N330" i="6"/>
  <c r="O330" i="6" s="1"/>
  <c r="N331" i="6"/>
  <c r="O331" i="6" s="1"/>
  <c r="N332" i="6"/>
  <c r="O332" i="6" s="1"/>
  <c r="N333" i="6"/>
  <c r="O333" i="6" s="1"/>
  <c r="N334" i="6"/>
  <c r="O334" i="6" s="1"/>
  <c r="N335" i="6"/>
  <c r="O335" i="6" s="1"/>
  <c r="N336" i="6"/>
  <c r="O336" i="6" s="1"/>
  <c r="N337" i="6"/>
  <c r="O337" i="6" s="1"/>
  <c r="N338" i="6"/>
  <c r="O338" i="6" s="1"/>
  <c r="N339" i="6"/>
  <c r="O339" i="6" s="1"/>
  <c r="N340" i="6"/>
  <c r="O340" i="6" s="1"/>
  <c r="N341" i="6"/>
  <c r="O341" i="6" s="1"/>
  <c r="N342" i="6"/>
  <c r="O342" i="6" s="1"/>
  <c r="N343" i="6"/>
  <c r="O343" i="6" s="1"/>
  <c r="N344" i="6"/>
  <c r="O344" i="6" s="1"/>
  <c r="N345" i="6"/>
  <c r="O345" i="6" s="1"/>
  <c r="N346" i="6"/>
  <c r="O346" i="6" s="1"/>
  <c r="N347" i="6"/>
  <c r="O347" i="6" s="1"/>
  <c r="N348" i="6"/>
  <c r="O348" i="6" s="1"/>
  <c r="N349" i="6"/>
  <c r="O349" i="6" s="1"/>
  <c r="N350" i="6"/>
  <c r="O350" i="6" s="1"/>
  <c r="N351" i="6"/>
  <c r="O351" i="6" s="1"/>
  <c r="N352" i="6"/>
  <c r="O352" i="6" s="1"/>
  <c r="N353" i="6"/>
  <c r="O353" i="6" s="1"/>
  <c r="N354" i="6"/>
  <c r="O354" i="6" s="1"/>
  <c r="N355" i="6"/>
  <c r="O355" i="6" s="1"/>
  <c r="N356" i="6"/>
  <c r="O356" i="6" s="1"/>
  <c r="N357" i="6"/>
  <c r="O357" i="6" s="1"/>
  <c r="N358" i="6"/>
  <c r="O358" i="6" s="1"/>
  <c r="N359" i="6"/>
  <c r="O359" i="6" s="1"/>
  <c r="N360" i="6"/>
  <c r="O360" i="6" s="1"/>
  <c r="N361" i="6"/>
  <c r="O361" i="6" s="1"/>
  <c r="N362" i="6"/>
  <c r="O362" i="6" s="1"/>
  <c r="N363" i="6"/>
  <c r="O363" i="6" s="1"/>
  <c r="N364" i="6"/>
  <c r="O364" i="6" s="1"/>
  <c r="N365" i="6"/>
  <c r="O365" i="6" s="1"/>
  <c r="N366" i="6"/>
  <c r="O366" i="6" s="1"/>
  <c r="N367" i="6"/>
  <c r="O367" i="6" s="1"/>
  <c r="N368" i="6"/>
  <c r="O368" i="6" s="1"/>
  <c r="N369" i="6"/>
  <c r="O369" i="6" s="1"/>
  <c r="N370" i="6"/>
  <c r="O370" i="6" s="1"/>
  <c r="N371" i="6"/>
  <c r="O371" i="6" s="1"/>
  <c r="N372" i="6"/>
  <c r="O372" i="6" s="1"/>
  <c r="N373" i="6"/>
  <c r="O373" i="6" s="1"/>
  <c r="N374" i="6"/>
  <c r="O374" i="6" s="1"/>
  <c r="N375" i="6"/>
  <c r="O375" i="6" s="1"/>
  <c r="N376" i="6"/>
  <c r="O376" i="6" s="1"/>
  <c r="N377" i="6"/>
  <c r="O377" i="6" s="1"/>
  <c r="N378" i="6"/>
  <c r="O378" i="6" s="1"/>
  <c r="N379" i="6"/>
  <c r="O379" i="6" s="1"/>
  <c r="N380" i="6"/>
  <c r="O380" i="6" s="1"/>
  <c r="N381" i="6"/>
  <c r="O381" i="6" s="1"/>
  <c r="N382" i="6"/>
  <c r="O382" i="6" s="1"/>
  <c r="N383" i="6"/>
  <c r="O383" i="6" s="1"/>
  <c r="N384" i="6"/>
  <c r="O384" i="6" s="1"/>
  <c r="N385" i="6"/>
  <c r="O385" i="6" s="1"/>
  <c r="N386" i="6"/>
  <c r="O386" i="6" s="1"/>
  <c r="N387" i="6"/>
  <c r="O387" i="6" s="1"/>
  <c r="N388" i="6"/>
  <c r="O388" i="6" s="1"/>
  <c r="N389" i="6"/>
  <c r="O389" i="6" s="1"/>
  <c r="N390" i="6"/>
  <c r="O390" i="6" s="1"/>
  <c r="N391" i="6"/>
  <c r="O391" i="6" s="1"/>
  <c r="N392" i="6"/>
  <c r="O392" i="6" s="1"/>
  <c r="N393" i="6"/>
  <c r="O393" i="6" s="1"/>
  <c r="N394" i="6"/>
  <c r="O394" i="6" s="1"/>
  <c r="N395" i="6"/>
  <c r="O395" i="6" s="1"/>
  <c r="N396" i="6"/>
  <c r="O396" i="6" s="1"/>
  <c r="N397" i="6"/>
  <c r="O397" i="6" s="1"/>
  <c r="N398" i="6"/>
  <c r="O398" i="6" s="1"/>
  <c r="N399" i="6"/>
  <c r="O399" i="6" s="1"/>
  <c r="N400" i="6"/>
  <c r="O400" i="6" s="1"/>
  <c r="N401" i="6"/>
  <c r="O401" i="6" s="1"/>
  <c r="N402" i="6"/>
  <c r="O402" i="6" s="1"/>
  <c r="N403" i="6"/>
  <c r="O403" i="6" s="1"/>
  <c r="N404" i="6"/>
  <c r="O404" i="6" s="1"/>
  <c r="N405" i="6"/>
  <c r="O405" i="6" s="1"/>
  <c r="N406" i="6"/>
  <c r="O406" i="6" s="1"/>
  <c r="N407" i="6"/>
  <c r="O407" i="6" s="1"/>
  <c r="N408" i="6"/>
  <c r="O408" i="6" s="1"/>
  <c r="N409" i="6"/>
  <c r="O409" i="6" s="1"/>
  <c r="N410" i="6"/>
  <c r="O410" i="6" s="1"/>
  <c r="N411" i="6"/>
  <c r="O411" i="6" s="1"/>
  <c r="N412" i="6"/>
  <c r="O412" i="6" s="1"/>
  <c r="N413" i="6"/>
  <c r="O413" i="6" s="1"/>
  <c r="N414" i="6"/>
  <c r="O414" i="6" s="1"/>
  <c r="N415" i="6"/>
  <c r="O415" i="6" s="1"/>
  <c r="O416" i="6"/>
  <c r="N417" i="6"/>
  <c r="O417" i="6" s="1"/>
  <c r="N418" i="6"/>
  <c r="O418" i="6" s="1"/>
  <c r="N419" i="6"/>
  <c r="O419" i="6" s="1"/>
  <c r="N420" i="6"/>
  <c r="O420" i="6" s="1"/>
  <c r="N421" i="6"/>
  <c r="O421" i="6" s="1"/>
  <c r="N422" i="6"/>
  <c r="O422" i="6" s="1"/>
  <c r="N423" i="6"/>
  <c r="O423" i="6" s="1"/>
  <c r="N424" i="6"/>
  <c r="O424" i="6" s="1"/>
  <c r="N425" i="6"/>
  <c r="O425" i="6" s="1"/>
  <c r="N426" i="6"/>
  <c r="O426" i="6" s="1"/>
  <c r="N427" i="6"/>
  <c r="O427" i="6" s="1"/>
  <c r="N428" i="6"/>
  <c r="O428" i="6" s="1"/>
  <c r="N429" i="6"/>
  <c r="O429" i="6" s="1"/>
  <c r="N430" i="6"/>
  <c r="O430" i="6" s="1"/>
  <c r="N431" i="6"/>
  <c r="O431" i="6" s="1"/>
  <c r="N432" i="6"/>
  <c r="O432" i="6" s="1"/>
  <c r="N433" i="6"/>
  <c r="O433" i="6" s="1"/>
  <c r="N434" i="6"/>
  <c r="O434" i="6" s="1"/>
  <c r="N435" i="6"/>
  <c r="O435" i="6" s="1"/>
  <c r="N436" i="6"/>
  <c r="O436" i="6" s="1"/>
  <c r="N437" i="6"/>
  <c r="O437" i="6" s="1"/>
  <c r="N438" i="6"/>
  <c r="O438" i="6" s="1"/>
  <c r="N439" i="6"/>
  <c r="O439" i="6" s="1"/>
  <c r="N440" i="6"/>
  <c r="O440" i="6" s="1"/>
  <c r="N441" i="6"/>
  <c r="O441" i="6" s="1"/>
  <c r="N442" i="6"/>
  <c r="O442" i="6" s="1"/>
  <c r="N443" i="6"/>
  <c r="O443" i="6" s="1"/>
  <c r="N444" i="6"/>
  <c r="O444" i="6" s="1"/>
  <c r="N445" i="6"/>
  <c r="O445" i="6" s="1"/>
  <c r="N446" i="6"/>
  <c r="O446" i="6" s="1"/>
  <c r="N447" i="6"/>
  <c r="O447" i="6" s="1"/>
  <c r="N448" i="6"/>
  <c r="O448" i="6" s="1"/>
  <c r="N449" i="6"/>
  <c r="O449" i="6" s="1"/>
  <c r="N450" i="6"/>
  <c r="O450" i="6" s="1"/>
  <c r="N451" i="6"/>
  <c r="O451" i="6" s="1"/>
  <c r="N452" i="6"/>
  <c r="O452" i="6" s="1"/>
  <c r="N453" i="6"/>
  <c r="O453" i="6" s="1"/>
  <c r="N454" i="6"/>
  <c r="O454" i="6" s="1"/>
  <c r="N455" i="6"/>
  <c r="O455" i="6" s="1"/>
  <c r="N456" i="6"/>
  <c r="O456" i="6" s="1"/>
  <c r="N457" i="6"/>
  <c r="O457" i="6" s="1"/>
  <c r="N458" i="6"/>
  <c r="O458" i="6" s="1"/>
  <c r="N459" i="6"/>
  <c r="O459" i="6" s="1"/>
  <c r="N460" i="6"/>
  <c r="O460" i="6" s="1"/>
  <c r="N461" i="6"/>
  <c r="O461" i="6" s="1"/>
  <c r="N462" i="6"/>
  <c r="O462" i="6" s="1"/>
  <c r="N463" i="6"/>
  <c r="O463" i="6" s="1"/>
  <c r="N464" i="6"/>
  <c r="O464" i="6" s="1"/>
  <c r="N465" i="6"/>
  <c r="O465" i="6" s="1"/>
  <c r="N466" i="6"/>
  <c r="O466" i="6" s="1"/>
  <c r="N467" i="6"/>
  <c r="O467" i="6" s="1"/>
  <c r="N468" i="6"/>
  <c r="O468" i="6" s="1"/>
  <c r="N469" i="6"/>
  <c r="O469" i="6" s="1"/>
  <c r="N470" i="6"/>
  <c r="O470" i="6" s="1"/>
  <c r="N471" i="6"/>
  <c r="O471" i="6" s="1"/>
  <c r="N473" i="6"/>
  <c r="O473" i="6" s="1"/>
  <c r="N474" i="6"/>
  <c r="O474" i="6" s="1"/>
  <c r="N475" i="6"/>
  <c r="O475" i="6" s="1"/>
  <c r="N476" i="6"/>
  <c r="O476" i="6" s="1"/>
  <c r="N477" i="6"/>
  <c r="O477" i="6" s="1"/>
  <c r="N478" i="6"/>
  <c r="O478" i="6" s="1"/>
  <c r="N479" i="6"/>
  <c r="O479" i="6" s="1"/>
  <c r="N480" i="6"/>
  <c r="O480" i="6" s="1"/>
  <c r="N481" i="6"/>
  <c r="O481" i="6" s="1"/>
  <c r="N482" i="6"/>
  <c r="O482" i="6" s="1"/>
  <c r="N484" i="6"/>
  <c r="O484" i="6" s="1"/>
  <c r="N485" i="6"/>
  <c r="O485" i="6" s="1"/>
  <c r="N486" i="6"/>
  <c r="O486" i="6" s="1"/>
  <c r="N487" i="6"/>
  <c r="O487" i="6" s="1"/>
  <c r="N488" i="6"/>
  <c r="O488" i="6" s="1"/>
  <c r="N489" i="6"/>
  <c r="O489" i="6" s="1"/>
  <c r="N490" i="6"/>
  <c r="O490" i="6" s="1"/>
  <c r="N491" i="6"/>
  <c r="O491" i="6" s="1"/>
  <c r="N492" i="6"/>
  <c r="O492" i="6" s="1"/>
  <c r="N493" i="6"/>
  <c r="O493" i="6" s="1"/>
  <c r="N494" i="6"/>
  <c r="O494" i="6" s="1"/>
  <c r="N495" i="6"/>
  <c r="O495" i="6" s="1"/>
  <c r="N496" i="6"/>
  <c r="O496" i="6" s="1"/>
  <c r="N497" i="6"/>
  <c r="O497" i="6" s="1"/>
  <c r="N498" i="6"/>
  <c r="O498" i="6" s="1"/>
  <c r="N499" i="6"/>
  <c r="O499" i="6" s="1"/>
  <c r="N500" i="6"/>
  <c r="O500" i="6" s="1"/>
  <c r="N501" i="6"/>
  <c r="O501" i="6" s="1"/>
  <c r="N502" i="6"/>
  <c r="O502" i="6" s="1"/>
  <c r="N503" i="6"/>
  <c r="O503" i="6" s="1"/>
  <c r="N504" i="6"/>
  <c r="O504" i="6" s="1"/>
  <c r="N505" i="6"/>
  <c r="O505" i="6" s="1"/>
  <c r="N506" i="6"/>
  <c r="O506" i="6" s="1"/>
  <c r="N507" i="6"/>
  <c r="O507" i="6" s="1"/>
  <c r="N508" i="6"/>
  <c r="O508" i="6" s="1"/>
  <c r="N509" i="6"/>
  <c r="O509" i="6" s="1"/>
  <c r="N510" i="6"/>
  <c r="O510" i="6" s="1"/>
  <c r="N511" i="6"/>
  <c r="O511" i="6" s="1"/>
  <c r="N512" i="6"/>
  <c r="O512" i="6" s="1"/>
  <c r="N513" i="6"/>
  <c r="O513" i="6" s="1"/>
  <c r="N514" i="6"/>
  <c r="O514" i="6" s="1"/>
  <c r="N515" i="6"/>
  <c r="O515" i="6" s="1"/>
  <c r="N516" i="6"/>
  <c r="O516" i="6" s="1"/>
  <c r="N518" i="6"/>
  <c r="O518" i="6" s="1"/>
  <c r="N519" i="6"/>
  <c r="O519" i="6" s="1"/>
  <c r="N520" i="6"/>
  <c r="O520" i="6" s="1"/>
  <c r="N521" i="6"/>
  <c r="O521" i="6" s="1"/>
  <c r="N522" i="6"/>
  <c r="O522" i="6" s="1"/>
  <c r="N523" i="6"/>
  <c r="O523" i="6" s="1"/>
  <c r="N524" i="6"/>
  <c r="O524" i="6" s="1"/>
  <c r="N525" i="6"/>
  <c r="O525" i="6" s="1"/>
  <c r="N526" i="6"/>
  <c r="O526" i="6" s="1"/>
  <c r="N527" i="6"/>
  <c r="O527" i="6" s="1"/>
  <c r="N528" i="6"/>
  <c r="O528" i="6" s="1"/>
  <c r="N529" i="6"/>
  <c r="O529" i="6" s="1"/>
  <c r="N530" i="6"/>
  <c r="O530" i="6" s="1"/>
  <c r="N531" i="6"/>
  <c r="O531" i="6" s="1"/>
  <c r="N532" i="6"/>
  <c r="O532" i="6" s="1"/>
  <c r="N533" i="6"/>
  <c r="O533" i="6" s="1"/>
  <c r="N534" i="6"/>
  <c r="O534" i="6" s="1"/>
  <c r="N535" i="6"/>
  <c r="O535" i="6" s="1"/>
  <c r="N536" i="6"/>
  <c r="O536" i="6" s="1"/>
  <c r="N537" i="6"/>
  <c r="O537" i="6" s="1"/>
  <c r="N538" i="6"/>
  <c r="O538" i="6" s="1"/>
  <c r="N539" i="6"/>
  <c r="O539" i="6" s="1"/>
  <c r="N540" i="6"/>
  <c r="O540" i="6" s="1"/>
  <c r="N541" i="6"/>
  <c r="O541" i="6" s="1"/>
  <c r="N542" i="6"/>
  <c r="O542" i="6" s="1"/>
  <c r="N543" i="6"/>
  <c r="O543" i="6" s="1"/>
  <c r="N545" i="6"/>
  <c r="O545" i="6" s="1"/>
  <c r="N546" i="6"/>
  <c r="O546" i="6" s="1"/>
  <c r="N547" i="6"/>
  <c r="O547" i="6" s="1"/>
  <c r="N548" i="6"/>
  <c r="O548" i="6" s="1"/>
  <c r="N549" i="6"/>
  <c r="O549" i="6" s="1"/>
  <c r="N550" i="6"/>
  <c r="O550" i="6" s="1"/>
  <c r="N551" i="6"/>
  <c r="O551" i="6" s="1"/>
  <c r="N552" i="6"/>
  <c r="O552" i="6" s="1"/>
  <c r="N553" i="6"/>
  <c r="O553" i="6" s="1"/>
  <c r="N554" i="6"/>
  <c r="O554" i="6" s="1"/>
  <c r="N555" i="6"/>
  <c r="O555" i="6" s="1"/>
  <c r="N556" i="6"/>
  <c r="O556" i="6" s="1"/>
  <c r="N557" i="6"/>
  <c r="O557" i="6" s="1"/>
  <c r="N558" i="6"/>
  <c r="O558" i="6" s="1"/>
  <c r="N559" i="6"/>
  <c r="O559" i="6" s="1"/>
  <c r="N560" i="6"/>
  <c r="O560" i="6" s="1"/>
  <c r="N561" i="6"/>
  <c r="O561" i="6" s="1"/>
  <c r="N562" i="6"/>
  <c r="O562" i="6" s="1"/>
  <c r="N563" i="6"/>
  <c r="O563" i="6" s="1"/>
  <c r="N564" i="6"/>
  <c r="O564" i="6" s="1"/>
  <c r="N565" i="6"/>
  <c r="O565" i="6" s="1"/>
  <c r="N566" i="6"/>
  <c r="O566" i="6" s="1"/>
  <c r="N567" i="6"/>
  <c r="O567" i="6" s="1"/>
  <c r="N568" i="6"/>
  <c r="O568" i="6" s="1"/>
  <c r="N569" i="6"/>
  <c r="O569" i="6" s="1"/>
  <c r="N570" i="6"/>
  <c r="O570" i="6" s="1"/>
  <c r="N571" i="6"/>
  <c r="O571" i="6" s="1"/>
  <c r="N572" i="6"/>
  <c r="O572" i="6" s="1"/>
  <c r="N573" i="6"/>
  <c r="O573" i="6" s="1"/>
  <c r="N574" i="6"/>
  <c r="O574" i="6" s="1"/>
  <c r="N575" i="6"/>
  <c r="O575" i="6" s="1"/>
  <c r="N576" i="6"/>
  <c r="O576" i="6" s="1"/>
  <c r="N577" i="6"/>
  <c r="O577" i="6" s="1"/>
  <c r="N578" i="6"/>
  <c r="O578" i="6" s="1"/>
  <c r="N579" i="6"/>
  <c r="O579" i="6" s="1"/>
  <c r="N580" i="6"/>
  <c r="O580" i="6" s="1"/>
  <c r="N581" i="6"/>
  <c r="O581" i="6" s="1"/>
  <c r="N582" i="6"/>
  <c r="O582" i="6" s="1"/>
  <c r="N583" i="6"/>
  <c r="O583" i="6" s="1"/>
  <c r="N584" i="6"/>
  <c r="O584" i="6" s="1"/>
  <c r="N585" i="6"/>
  <c r="O585" i="6" s="1"/>
  <c r="N586" i="6"/>
  <c r="O586" i="6" s="1"/>
  <c r="N587" i="6"/>
  <c r="O587" i="6" s="1"/>
  <c r="N588" i="6"/>
  <c r="O588" i="6" s="1"/>
  <c r="N589" i="6"/>
  <c r="O589" i="6" s="1"/>
  <c r="N590" i="6"/>
  <c r="O590" i="6" s="1"/>
  <c r="N591" i="6"/>
  <c r="O591" i="6" s="1"/>
  <c r="N592" i="6"/>
  <c r="O592" i="6" s="1"/>
  <c r="N593" i="6"/>
  <c r="O593" i="6" s="1"/>
  <c r="N594" i="6"/>
  <c r="O594" i="6" s="1"/>
  <c r="N595" i="6"/>
  <c r="O595" i="6" s="1"/>
  <c r="N596" i="6"/>
  <c r="O596" i="6" s="1"/>
  <c r="N597" i="6"/>
  <c r="O597" i="6" s="1"/>
  <c r="N598" i="6"/>
  <c r="O598" i="6" s="1"/>
  <c r="N599" i="6"/>
  <c r="O599" i="6" s="1"/>
  <c r="N600" i="6"/>
  <c r="O600" i="6" s="1"/>
  <c r="N601" i="6"/>
  <c r="O601" i="6" s="1"/>
  <c r="N602" i="6"/>
  <c r="O602" i="6" s="1"/>
  <c r="N603" i="6"/>
  <c r="O603" i="6" s="1"/>
  <c r="N604" i="6"/>
  <c r="O604" i="6" s="1"/>
  <c r="N605" i="6"/>
  <c r="O605" i="6" s="1"/>
  <c r="N606" i="6"/>
  <c r="O606" i="6" s="1"/>
  <c r="N607" i="6"/>
  <c r="O607" i="6" s="1"/>
  <c r="N608" i="6"/>
  <c r="O608" i="6" s="1"/>
  <c r="N609" i="6"/>
  <c r="O609" i="6" s="1"/>
  <c r="N610" i="6"/>
  <c r="O610" i="6" s="1"/>
  <c r="N611" i="6"/>
  <c r="O611" i="6" s="1"/>
  <c r="N612" i="6"/>
  <c r="O612" i="6" s="1"/>
  <c r="N613" i="6"/>
  <c r="O613" i="6" s="1"/>
  <c r="N614" i="6"/>
  <c r="O614" i="6" s="1"/>
  <c r="N615" i="6"/>
  <c r="O615" i="6" s="1"/>
  <c r="N616" i="6"/>
  <c r="O616" i="6" s="1"/>
  <c r="N617" i="6"/>
  <c r="O617" i="6" s="1"/>
  <c r="N618" i="6"/>
  <c r="O618" i="6" s="1"/>
  <c r="N619" i="6"/>
  <c r="O619" i="6" s="1"/>
  <c r="N620" i="6"/>
  <c r="O620" i="6" s="1"/>
  <c r="O621" i="6"/>
  <c r="N622" i="6"/>
  <c r="O622" i="6" s="1"/>
  <c r="N623" i="6"/>
  <c r="O623" i="6" s="1"/>
  <c r="N624" i="6"/>
  <c r="O624" i="6" s="1"/>
  <c r="N625" i="6"/>
  <c r="O625" i="6" s="1"/>
  <c r="N626" i="6"/>
  <c r="O626" i="6" s="1"/>
  <c r="N627" i="6"/>
  <c r="O627" i="6" s="1"/>
  <c r="N628" i="6"/>
  <c r="O628" i="6" s="1"/>
  <c r="N629" i="6"/>
  <c r="O629" i="6" s="1"/>
  <c r="N630" i="6"/>
  <c r="O630" i="6" s="1"/>
  <c r="N631" i="6"/>
  <c r="O631" i="6" s="1"/>
  <c r="N632" i="6"/>
  <c r="O632" i="6" s="1"/>
  <c r="N633" i="6"/>
  <c r="O633" i="6" s="1"/>
  <c r="N634" i="6"/>
  <c r="O634" i="6" s="1"/>
  <c r="N635" i="6"/>
  <c r="O635" i="6" s="1"/>
  <c r="N636" i="6"/>
  <c r="O636" i="6" s="1"/>
  <c r="N637" i="6"/>
  <c r="O637" i="6" s="1"/>
  <c r="N638" i="6"/>
  <c r="O638" i="6" s="1"/>
  <c r="N639" i="6"/>
  <c r="O639" i="6" s="1"/>
  <c r="N640" i="6"/>
  <c r="O640" i="6" s="1"/>
  <c r="N641" i="6"/>
  <c r="O641" i="6" s="1"/>
  <c r="N642" i="6"/>
  <c r="O642" i="6" s="1"/>
  <c r="N643" i="6"/>
  <c r="O643" i="6" s="1"/>
  <c r="N644" i="6"/>
  <c r="O644" i="6" s="1"/>
  <c r="N645" i="6"/>
  <c r="O645" i="6" s="1"/>
  <c r="N646" i="6"/>
  <c r="O646" i="6" s="1"/>
  <c r="N647" i="6"/>
  <c r="O647" i="6" s="1"/>
  <c r="N648" i="6"/>
  <c r="O648" i="6" s="1"/>
  <c r="N649" i="6"/>
  <c r="O649" i="6" s="1"/>
  <c r="N650" i="6"/>
  <c r="O650" i="6" s="1"/>
  <c r="N651" i="6"/>
  <c r="O651" i="6" s="1"/>
  <c r="N652" i="6"/>
  <c r="O652" i="6" s="1"/>
  <c r="N653" i="6"/>
  <c r="O653" i="6" s="1"/>
  <c r="N654" i="6"/>
  <c r="O654" i="6" s="1"/>
  <c r="N655" i="6"/>
  <c r="O655" i="6" s="1"/>
  <c r="N656" i="6"/>
  <c r="O656" i="6" s="1"/>
  <c r="N657" i="6"/>
  <c r="O657" i="6" s="1"/>
  <c r="N658" i="6"/>
  <c r="O658" i="6" s="1"/>
  <c r="N659" i="6"/>
  <c r="O659" i="6" s="1"/>
  <c r="N660" i="6"/>
  <c r="O660" i="6" s="1"/>
  <c r="N661" i="6"/>
  <c r="O661" i="6" s="1"/>
  <c r="N662" i="6"/>
  <c r="O662" i="6" s="1"/>
  <c r="N663" i="6"/>
  <c r="O663" i="6" s="1"/>
  <c r="N664" i="6"/>
  <c r="O664" i="6" s="1"/>
  <c r="N665" i="6"/>
  <c r="O665" i="6" s="1"/>
  <c r="N666" i="6"/>
  <c r="O666" i="6" s="1"/>
  <c r="N667" i="6"/>
  <c r="O667" i="6" s="1"/>
  <c r="N668" i="6"/>
  <c r="O668" i="6" s="1"/>
  <c r="N669" i="6"/>
  <c r="O669" i="6" s="1"/>
  <c r="N670" i="6"/>
  <c r="O670" i="6" s="1"/>
  <c r="N671" i="6"/>
  <c r="O671" i="6" s="1"/>
  <c r="N672" i="6"/>
  <c r="O672" i="6" s="1"/>
  <c r="N673" i="6"/>
  <c r="O673" i="6" s="1"/>
  <c r="N674" i="6"/>
  <c r="O674" i="6" s="1"/>
  <c r="N675" i="6"/>
  <c r="O675" i="6" s="1"/>
  <c r="N676" i="6"/>
  <c r="O676" i="6" s="1"/>
  <c r="N677" i="6"/>
  <c r="O677" i="6" s="1"/>
  <c r="N678" i="6"/>
  <c r="O678" i="6" s="1"/>
  <c r="N679" i="6"/>
  <c r="O679" i="6" s="1"/>
  <c r="O680" i="6"/>
  <c r="O681" i="6"/>
  <c r="N682" i="6"/>
  <c r="O682" i="6" s="1"/>
  <c r="N683" i="6"/>
  <c r="O683" i="6" s="1"/>
  <c r="N684" i="6"/>
  <c r="O684" i="6" s="1"/>
  <c r="N685" i="6"/>
  <c r="O685" i="6" s="1"/>
  <c r="N686" i="6"/>
  <c r="O686" i="6" s="1"/>
  <c r="N687" i="6"/>
  <c r="O687" i="6" s="1"/>
  <c r="N688" i="6"/>
  <c r="O688" i="6" s="1"/>
  <c r="N689" i="6"/>
  <c r="O689" i="6" s="1"/>
  <c r="N690" i="6"/>
  <c r="O690" i="6" s="1"/>
  <c r="N691" i="6"/>
  <c r="O691" i="6" s="1"/>
  <c r="N692" i="6"/>
  <c r="O692" i="6" s="1"/>
  <c r="N693" i="6"/>
  <c r="O693" i="6" s="1"/>
  <c r="N694" i="6"/>
  <c r="O694" i="6" s="1"/>
  <c r="N695" i="6"/>
  <c r="O695" i="6" s="1"/>
  <c r="N696" i="6"/>
  <c r="O696" i="6" s="1"/>
  <c r="N697" i="6"/>
  <c r="O697" i="6" s="1"/>
  <c r="N698" i="6"/>
  <c r="O698" i="6" s="1"/>
  <c r="O699" i="6"/>
  <c r="N700" i="6"/>
  <c r="O700" i="6" s="1"/>
  <c r="N701" i="6"/>
  <c r="O701" i="6" s="1"/>
  <c r="N702" i="6"/>
  <c r="O702" i="6" s="1"/>
  <c r="N703" i="6"/>
  <c r="O703" i="6" s="1"/>
  <c r="N704" i="6"/>
  <c r="O704" i="6" s="1"/>
  <c r="N705" i="6"/>
  <c r="O705" i="6" s="1"/>
  <c r="N706" i="6"/>
  <c r="O706" i="6" s="1"/>
  <c r="N707" i="6"/>
  <c r="O707" i="6" s="1"/>
  <c r="N708" i="6"/>
  <c r="O708" i="6" s="1"/>
  <c r="N709" i="6"/>
  <c r="O709" i="6" s="1"/>
  <c r="N710" i="6"/>
  <c r="O710" i="6" s="1"/>
  <c r="N711" i="6"/>
  <c r="O711" i="6" s="1"/>
  <c r="N712" i="6"/>
  <c r="O712" i="6" s="1"/>
  <c r="N713" i="6"/>
  <c r="O713" i="6" s="1"/>
  <c r="N714" i="6"/>
  <c r="O714" i="6" s="1"/>
  <c r="N715" i="6"/>
  <c r="O715" i="6" s="1"/>
  <c r="N716" i="6"/>
  <c r="O716" i="6" s="1"/>
  <c r="N717" i="6"/>
  <c r="O717" i="6" s="1"/>
  <c r="N718" i="6"/>
  <c r="O718" i="6" s="1"/>
  <c r="N719" i="6"/>
  <c r="O719" i="6" s="1"/>
  <c r="N720" i="6"/>
  <c r="O720" i="6" s="1"/>
  <c r="N721" i="6"/>
  <c r="O721" i="6" s="1"/>
  <c r="N722" i="6"/>
  <c r="O722" i="6" s="1"/>
  <c r="N723" i="6"/>
  <c r="O723" i="6" s="1"/>
  <c r="N724" i="6"/>
  <c r="O724" i="6" s="1"/>
  <c r="N725" i="6"/>
  <c r="O725" i="6" s="1"/>
  <c r="N726" i="6"/>
  <c r="O726" i="6" s="1"/>
  <c r="N727" i="6"/>
  <c r="O727" i="6" s="1"/>
  <c r="N728" i="6"/>
  <c r="O728" i="6" s="1"/>
  <c r="N729" i="6"/>
  <c r="O729" i="6" s="1"/>
  <c r="N730" i="6"/>
  <c r="O730" i="6" s="1"/>
  <c r="I2315" i="2"/>
  <c r="I2314" i="2"/>
  <c r="I2313" i="2"/>
  <c r="I2312" i="2"/>
  <c r="I2311" i="2"/>
  <c r="I2310" i="2"/>
  <c r="I2309" i="2"/>
  <c r="I2308" i="2"/>
  <c r="I2307" i="2"/>
  <c r="I2306" i="2"/>
  <c r="I2305" i="2"/>
  <c r="I2304" i="2"/>
  <c r="I2303" i="2"/>
  <c r="I2302" i="2"/>
  <c r="I2301" i="2"/>
  <c r="I2300" i="2"/>
  <c r="I2299" i="2"/>
  <c r="I2298" i="2"/>
  <c r="I2297" i="2"/>
  <c r="I2296" i="2"/>
  <c r="I2295" i="2"/>
  <c r="I2294" i="2"/>
  <c r="I2293" i="2"/>
  <c r="I2292" i="2"/>
  <c r="I2291" i="2"/>
  <c r="I2290" i="2"/>
  <c r="I2289" i="2"/>
  <c r="I2288" i="2"/>
  <c r="I2287" i="2"/>
  <c r="I2286" i="2"/>
  <c r="I2285" i="2"/>
  <c r="I2284" i="2"/>
  <c r="I2283" i="2"/>
  <c r="I2282" i="2"/>
  <c r="I2281" i="2"/>
  <c r="I2280" i="2"/>
  <c r="I2279" i="2"/>
  <c r="I2278" i="2"/>
  <c r="I2277" i="2"/>
  <c r="I2276" i="2"/>
  <c r="I2275" i="2"/>
  <c r="I2274" i="2"/>
  <c r="I2273" i="2"/>
  <c r="I2272" i="2"/>
  <c r="I2271" i="2"/>
  <c r="I2270" i="2"/>
  <c r="I2269" i="2"/>
  <c r="I2268" i="2"/>
  <c r="I2267" i="2"/>
  <c r="I2266" i="2"/>
  <c r="I2265" i="2"/>
  <c r="I2264" i="2"/>
  <c r="I2263" i="2"/>
  <c r="I2262" i="2"/>
  <c r="I2261" i="2"/>
  <c r="I2260" i="2"/>
  <c r="I2259" i="2"/>
  <c r="I2258" i="2"/>
  <c r="I2257" i="2"/>
  <c r="I2256" i="2"/>
  <c r="I2255" i="2"/>
  <c r="I2254" i="2"/>
  <c r="I2253" i="2"/>
  <c r="I2252" i="2"/>
  <c r="I2251" i="2"/>
  <c r="I2250" i="2"/>
  <c r="I2249" i="2"/>
  <c r="I2248" i="2"/>
  <c r="I2247" i="2"/>
  <c r="I2246" i="2"/>
  <c r="I2245" i="2"/>
  <c r="I2244" i="2"/>
  <c r="I2243" i="2"/>
  <c r="I2242" i="2"/>
  <c r="I2241" i="2"/>
  <c r="I2240" i="2"/>
  <c r="I2239" i="2"/>
  <c r="I2238" i="2"/>
  <c r="I2237" i="2"/>
  <c r="I2236" i="2"/>
  <c r="I2235" i="2"/>
  <c r="I2234" i="2"/>
  <c r="I2233" i="2"/>
  <c r="I2232" i="2"/>
  <c r="I2231" i="2"/>
  <c r="I2230" i="2"/>
  <c r="I2229" i="2"/>
  <c r="I2228" i="2"/>
  <c r="I2227" i="2"/>
  <c r="I2226" i="2"/>
  <c r="I2225" i="2"/>
  <c r="I2224" i="2"/>
  <c r="I2223" i="2"/>
  <c r="I2222" i="2"/>
  <c r="I2221" i="2"/>
  <c r="I2220" i="2"/>
  <c r="I2219" i="2"/>
  <c r="I2218" i="2"/>
  <c r="I2217" i="2"/>
  <c r="I2216" i="2"/>
  <c r="I2215" i="2"/>
  <c r="I2214" i="2"/>
  <c r="I2213" i="2"/>
  <c r="I2212" i="2"/>
  <c r="I2211" i="2"/>
  <c r="I2210" i="2"/>
  <c r="I2209" i="2"/>
  <c r="I2208" i="2"/>
  <c r="I2207" i="2"/>
  <c r="I2206" i="2"/>
  <c r="I2205" i="2"/>
  <c r="I2204" i="2"/>
  <c r="I2203" i="2"/>
  <c r="I2202" i="2"/>
  <c r="I2201" i="2"/>
  <c r="I2200" i="2"/>
  <c r="I2199" i="2"/>
  <c r="I2198" i="2"/>
  <c r="I2197" i="2"/>
  <c r="I2196" i="2"/>
  <c r="I2195" i="2"/>
  <c r="I2194" i="2"/>
  <c r="I2193" i="2"/>
  <c r="I2192" i="2"/>
  <c r="I2191" i="2"/>
  <c r="I2190" i="2"/>
  <c r="I2189" i="2"/>
  <c r="I2188" i="2"/>
  <c r="I2187" i="2"/>
  <c r="I2186" i="2"/>
  <c r="I2185" i="2"/>
  <c r="I2184" i="2"/>
  <c r="I2183" i="2"/>
  <c r="I2182" i="2"/>
  <c r="I2181" i="2"/>
  <c r="I2180" i="2"/>
  <c r="I2179" i="2"/>
  <c r="I2178" i="2"/>
  <c r="I2177" i="2"/>
  <c r="I2176" i="2"/>
  <c r="I2175" i="2"/>
  <c r="I2174" i="2"/>
  <c r="I2173" i="2"/>
  <c r="I2172" i="2"/>
  <c r="I2171" i="2"/>
  <c r="I2170" i="2"/>
  <c r="I2169" i="2"/>
  <c r="I2168" i="2"/>
  <c r="I2167" i="2"/>
  <c r="I2166" i="2"/>
  <c r="I2165" i="2"/>
  <c r="I2164" i="2"/>
  <c r="I2163" i="2"/>
  <c r="I2162" i="2"/>
  <c r="I2161" i="2"/>
  <c r="I2160" i="2"/>
  <c r="I2159" i="2"/>
  <c r="I2158" i="2"/>
  <c r="I2157" i="2"/>
  <c r="I2156" i="2"/>
  <c r="I2155" i="2"/>
  <c r="I2154" i="2"/>
  <c r="I2153" i="2"/>
  <c r="I2152" i="2"/>
  <c r="I2151" i="2"/>
  <c r="I2150" i="2"/>
  <c r="I2149" i="2"/>
  <c r="I2148" i="2"/>
  <c r="I2147" i="2"/>
  <c r="I2146" i="2"/>
  <c r="I2145" i="2"/>
  <c r="I2144" i="2"/>
  <c r="I2143" i="2"/>
  <c r="I2142" i="2"/>
  <c r="I2141" i="2"/>
  <c r="I2140" i="2"/>
  <c r="I2139" i="2"/>
  <c r="I2138" i="2"/>
  <c r="I2137" i="2"/>
  <c r="I2136" i="2"/>
  <c r="I2135" i="2"/>
  <c r="I2134" i="2"/>
  <c r="I2133" i="2"/>
  <c r="I2132" i="2"/>
  <c r="I2131" i="2"/>
  <c r="I2130" i="2"/>
  <c r="I2129" i="2"/>
  <c r="I2128" i="2"/>
  <c r="I2127" i="2"/>
  <c r="I2126" i="2"/>
  <c r="I2125" i="2"/>
  <c r="I2124" i="2"/>
  <c r="I2123" i="2"/>
  <c r="I2122" i="2"/>
  <c r="I2121" i="2"/>
  <c r="I2120" i="2"/>
  <c r="I2119" i="2"/>
  <c r="I2118" i="2"/>
  <c r="I2117" i="2"/>
  <c r="I2116" i="2"/>
  <c r="I2115" i="2"/>
  <c r="I2114" i="2"/>
  <c r="I2113" i="2"/>
  <c r="I2112" i="2"/>
  <c r="I2111" i="2"/>
  <c r="I2110" i="2"/>
  <c r="I2109" i="2"/>
  <c r="I2108" i="2"/>
  <c r="I2107" i="2"/>
  <c r="I2106" i="2"/>
  <c r="I2105" i="2"/>
  <c r="I2104" i="2"/>
  <c r="I2103" i="2"/>
  <c r="I2102" i="2"/>
  <c r="I2101" i="2"/>
  <c r="I2100" i="2"/>
  <c r="I2099" i="2"/>
  <c r="I2098" i="2"/>
  <c r="I2097" i="2"/>
  <c r="I2096" i="2"/>
  <c r="I2095" i="2"/>
  <c r="I2094" i="2"/>
  <c r="I2093" i="2"/>
  <c r="I2092" i="2"/>
  <c r="I2091" i="2"/>
  <c r="I2090" i="2"/>
  <c r="I2089" i="2"/>
  <c r="I2088" i="2"/>
  <c r="I2087" i="2"/>
  <c r="I2086" i="2"/>
  <c r="I2085" i="2"/>
  <c r="I2084" i="2"/>
  <c r="I2083" i="2"/>
  <c r="I2082" i="2"/>
  <c r="I2081" i="2"/>
  <c r="I2080" i="2"/>
  <c r="I2079" i="2"/>
  <c r="I2078" i="2"/>
  <c r="I2077" i="2"/>
  <c r="I2076" i="2"/>
  <c r="I2075" i="2"/>
  <c r="I2074" i="2"/>
  <c r="I2073" i="2"/>
  <c r="I2072" i="2"/>
  <c r="I2071" i="2"/>
  <c r="I2070" i="2"/>
  <c r="I2069" i="2"/>
  <c r="I2068" i="2"/>
  <c r="I2067" i="2"/>
  <c r="I2066" i="2"/>
  <c r="I2065" i="2"/>
  <c r="I2064" i="2"/>
  <c r="I2063" i="2"/>
  <c r="I2062" i="2"/>
  <c r="I2061" i="2"/>
  <c r="I2060" i="2"/>
  <c r="I2059" i="2"/>
  <c r="I2058" i="2"/>
  <c r="I2057" i="2"/>
  <c r="I2056" i="2"/>
  <c r="I2055" i="2"/>
  <c r="I2054" i="2"/>
  <c r="I2053" i="2"/>
  <c r="I2052" i="2"/>
  <c r="I2051" i="2"/>
  <c r="I2050" i="2"/>
  <c r="I2049" i="2"/>
  <c r="I2048" i="2"/>
  <c r="I2047" i="2"/>
  <c r="I2046" i="2"/>
  <c r="I2045" i="2"/>
  <c r="I2044" i="2"/>
  <c r="I2043" i="2"/>
  <c r="I2042" i="2"/>
  <c r="I2041" i="2"/>
  <c r="I2040" i="2"/>
  <c r="I2039" i="2"/>
  <c r="I2038" i="2"/>
  <c r="I2037" i="2"/>
  <c r="I2036" i="2"/>
  <c r="I2035" i="2"/>
  <c r="I2034" i="2"/>
  <c r="I2033" i="2"/>
  <c r="I2032" i="2"/>
  <c r="I2031" i="2"/>
  <c r="I2030" i="2"/>
  <c r="I2029" i="2"/>
  <c r="I2028" i="2"/>
  <c r="I2027" i="2"/>
  <c r="I2026" i="2"/>
  <c r="I2025" i="2"/>
  <c r="I2024" i="2"/>
  <c r="I2023" i="2"/>
  <c r="I2022" i="2"/>
  <c r="I2021" i="2"/>
  <c r="I2020" i="2"/>
  <c r="I2019" i="2"/>
  <c r="I2018" i="2"/>
  <c r="I2017" i="2"/>
  <c r="I2016" i="2"/>
  <c r="I2015" i="2"/>
  <c r="I2014" i="2"/>
  <c r="I2013" i="2"/>
  <c r="I2012" i="2"/>
  <c r="I2011" i="2"/>
  <c r="I2010" i="2"/>
  <c r="I2009" i="2"/>
  <c r="I2008" i="2"/>
  <c r="I2007" i="2"/>
  <c r="I2006" i="2"/>
  <c r="I2005" i="2"/>
  <c r="I2004" i="2"/>
  <c r="I2003" i="2"/>
  <c r="I2002" i="2"/>
  <c r="I2001" i="2"/>
  <c r="I2000" i="2"/>
  <c r="I1999" i="2"/>
  <c r="I1998" i="2"/>
  <c r="I1997" i="2"/>
  <c r="I1996" i="2"/>
  <c r="I1995" i="2"/>
  <c r="I1994" i="2"/>
  <c r="I1993" i="2"/>
  <c r="I1992" i="2"/>
  <c r="I1991" i="2"/>
  <c r="I1990" i="2"/>
  <c r="I1989" i="2"/>
  <c r="I1988" i="2"/>
  <c r="I1987" i="2"/>
  <c r="I1986" i="2"/>
  <c r="I1985" i="2"/>
  <c r="I1984" i="2"/>
  <c r="I1983" i="2"/>
  <c r="I1982" i="2"/>
  <c r="I1981" i="2"/>
  <c r="I1980" i="2"/>
  <c r="I1979" i="2"/>
  <c r="I1978" i="2"/>
  <c r="I1977" i="2"/>
  <c r="I1976" i="2"/>
  <c r="I1975" i="2"/>
  <c r="I1974" i="2"/>
  <c r="I1973" i="2"/>
  <c r="I1972" i="2"/>
  <c r="I1971" i="2"/>
  <c r="I1970" i="2"/>
  <c r="I1969" i="2"/>
  <c r="I1968" i="2"/>
  <c r="I1967" i="2"/>
  <c r="I1966" i="2"/>
  <c r="I1965" i="2"/>
  <c r="I1964" i="2"/>
  <c r="I1963" i="2"/>
  <c r="I1962" i="2"/>
  <c r="I1961" i="2"/>
  <c r="I1960" i="2"/>
  <c r="I1959" i="2"/>
  <c r="I1958" i="2"/>
  <c r="I1957" i="2"/>
  <c r="I1956" i="2"/>
  <c r="I1955" i="2"/>
  <c r="I1954" i="2"/>
  <c r="I1953" i="2"/>
  <c r="I1952" i="2"/>
  <c r="I1951" i="2"/>
  <c r="I1950" i="2"/>
  <c r="I1949" i="2"/>
  <c r="I1948" i="2"/>
  <c r="I1947" i="2"/>
  <c r="I1946" i="2"/>
  <c r="I1945" i="2"/>
  <c r="I1944" i="2"/>
  <c r="I1943" i="2"/>
  <c r="I1942" i="2"/>
  <c r="I1941" i="2"/>
  <c r="I1940" i="2"/>
  <c r="I1939" i="2"/>
  <c r="I1938" i="2"/>
  <c r="I1937" i="2"/>
  <c r="I1936" i="2"/>
  <c r="I1935" i="2"/>
  <c r="I1934" i="2"/>
  <c r="I1933" i="2"/>
  <c r="I1932" i="2"/>
  <c r="I1931" i="2"/>
  <c r="I1930" i="2"/>
  <c r="I1929" i="2"/>
  <c r="I1928" i="2"/>
  <c r="I1927" i="2"/>
  <c r="I1926" i="2"/>
  <c r="I1925" i="2"/>
  <c r="I1924" i="2"/>
  <c r="I1923" i="2"/>
  <c r="I1922" i="2"/>
  <c r="I1921" i="2"/>
  <c r="I1920" i="2"/>
  <c r="I1919" i="2"/>
  <c r="I1918" i="2"/>
  <c r="I1917" i="2"/>
  <c r="I1916" i="2"/>
  <c r="I1915" i="2"/>
  <c r="I1914" i="2"/>
  <c r="I1913" i="2"/>
  <c r="I1912" i="2"/>
  <c r="I1911" i="2"/>
  <c r="I1910" i="2"/>
  <c r="I1909" i="2"/>
  <c r="I1908" i="2"/>
  <c r="I1907" i="2"/>
  <c r="I1906" i="2"/>
  <c r="I1905" i="2"/>
  <c r="I1904" i="2"/>
  <c r="I1903" i="2"/>
  <c r="I1902" i="2"/>
  <c r="I1901" i="2"/>
  <c r="I1900" i="2"/>
  <c r="I1899" i="2"/>
  <c r="I1898" i="2"/>
  <c r="I1897" i="2"/>
  <c r="I1896" i="2"/>
  <c r="I1895" i="2"/>
  <c r="I1894" i="2"/>
  <c r="I1893" i="2"/>
  <c r="I1892" i="2"/>
  <c r="I1891" i="2"/>
  <c r="I1890" i="2"/>
  <c r="I1889" i="2"/>
  <c r="I1888" i="2"/>
  <c r="I1887" i="2"/>
  <c r="I1886" i="2"/>
  <c r="I1885" i="2"/>
  <c r="I1884" i="2"/>
  <c r="I1883" i="2"/>
  <c r="I1882" i="2"/>
  <c r="I1881" i="2"/>
  <c r="I1880" i="2"/>
  <c r="I1879" i="2"/>
  <c r="I1878" i="2"/>
  <c r="I1877" i="2"/>
  <c r="I1876" i="2"/>
  <c r="I1875" i="2"/>
  <c r="I1874" i="2"/>
  <c r="I1873" i="2"/>
  <c r="I1872" i="2"/>
  <c r="I1871" i="2"/>
  <c r="I1870" i="2"/>
  <c r="I1869" i="2"/>
  <c r="I1868" i="2"/>
  <c r="I1867" i="2"/>
  <c r="I1866" i="2"/>
  <c r="I1865" i="2"/>
  <c r="I1864" i="2"/>
  <c r="I1863" i="2"/>
  <c r="I1862" i="2"/>
  <c r="I1861" i="2"/>
  <c r="I1860" i="2"/>
  <c r="I1859" i="2"/>
  <c r="I1858" i="2"/>
  <c r="I1857" i="2"/>
  <c r="I1856" i="2"/>
  <c r="I1855" i="2"/>
  <c r="I1854" i="2"/>
  <c r="I1853" i="2"/>
  <c r="I1852" i="2"/>
  <c r="I1851" i="2"/>
  <c r="I1850" i="2"/>
  <c r="I1849" i="2"/>
  <c r="I1848" i="2"/>
  <c r="I1847" i="2"/>
  <c r="I1846" i="2"/>
  <c r="I1845" i="2"/>
  <c r="I1844" i="2"/>
  <c r="I1843" i="2"/>
  <c r="I1842" i="2"/>
  <c r="I1841" i="2"/>
  <c r="I1840" i="2"/>
  <c r="I1839" i="2"/>
  <c r="I1838" i="2"/>
  <c r="I1837" i="2"/>
  <c r="I1836" i="2"/>
  <c r="I1835" i="2"/>
  <c r="I1834" i="2"/>
  <c r="I1833" i="2"/>
  <c r="I1832" i="2"/>
  <c r="I1831" i="2"/>
  <c r="I1830" i="2"/>
  <c r="I1829" i="2"/>
  <c r="I1828" i="2"/>
  <c r="I1827" i="2"/>
  <c r="I1826" i="2"/>
  <c r="I1825" i="2"/>
  <c r="I1824" i="2"/>
  <c r="I1823" i="2"/>
  <c r="I1822" i="2"/>
  <c r="I1821" i="2"/>
  <c r="I1820" i="2"/>
  <c r="I1819" i="2"/>
  <c r="I1818" i="2"/>
  <c r="I1817" i="2"/>
  <c r="I1816" i="2"/>
  <c r="I1815" i="2"/>
  <c r="I1814" i="2"/>
  <c r="I1813" i="2"/>
  <c r="I1812" i="2"/>
  <c r="I1811" i="2"/>
  <c r="I1810" i="2"/>
  <c r="I1809" i="2"/>
  <c r="I1808" i="2"/>
  <c r="I1807" i="2"/>
  <c r="I1806" i="2"/>
  <c r="I1805" i="2"/>
  <c r="I1804" i="2"/>
  <c r="I1803" i="2"/>
  <c r="I1802" i="2"/>
  <c r="I1801" i="2"/>
  <c r="I1800" i="2"/>
  <c r="I1799" i="2"/>
  <c r="I1798" i="2"/>
  <c r="I1797" i="2"/>
  <c r="I1796" i="2"/>
  <c r="I1795" i="2"/>
  <c r="I1794" i="2"/>
  <c r="I1793" i="2"/>
  <c r="I1792" i="2"/>
  <c r="I1791" i="2"/>
  <c r="I1790" i="2"/>
  <c r="I1789" i="2"/>
  <c r="I1788" i="2"/>
  <c r="I1787" i="2"/>
  <c r="I1786" i="2"/>
  <c r="I1785" i="2"/>
  <c r="I1784" i="2"/>
  <c r="I1783" i="2"/>
  <c r="I1782" i="2"/>
  <c r="I1781" i="2"/>
  <c r="I1780" i="2"/>
  <c r="I1779" i="2"/>
  <c r="I1778" i="2"/>
  <c r="I1777" i="2"/>
  <c r="I1776" i="2"/>
  <c r="I1775" i="2"/>
  <c r="I1774" i="2"/>
  <c r="I1773" i="2"/>
  <c r="I1772" i="2"/>
  <c r="I1771" i="2"/>
  <c r="I1770" i="2"/>
  <c r="I1769" i="2"/>
  <c r="I1768" i="2"/>
  <c r="I1767" i="2"/>
  <c r="I1766" i="2"/>
  <c r="I1765" i="2"/>
  <c r="I1764" i="2"/>
  <c r="I1763" i="2"/>
  <c r="I1762" i="2"/>
  <c r="I1761" i="2"/>
  <c r="I1760" i="2"/>
  <c r="I1759" i="2"/>
  <c r="I1758" i="2"/>
  <c r="I1757" i="2"/>
  <c r="I1756" i="2"/>
  <c r="I1755" i="2"/>
  <c r="I1754" i="2"/>
  <c r="I1753" i="2"/>
  <c r="I1752" i="2"/>
  <c r="I1751" i="2"/>
  <c r="I1750" i="2"/>
  <c r="I1749" i="2"/>
  <c r="I1748" i="2"/>
  <c r="I1747" i="2"/>
  <c r="I1746" i="2"/>
  <c r="I1745" i="2"/>
  <c r="I1744" i="2"/>
  <c r="I1743" i="2"/>
  <c r="I1742" i="2"/>
  <c r="I1741" i="2"/>
  <c r="I1740" i="2"/>
  <c r="I1739" i="2"/>
  <c r="I1738" i="2"/>
  <c r="I1737" i="2"/>
  <c r="I1736" i="2"/>
  <c r="I1735" i="2"/>
  <c r="I1734" i="2"/>
  <c r="I1733" i="2"/>
  <c r="I1732" i="2"/>
  <c r="I1731" i="2"/>
  <c r="I1730" i="2"/>
  <c r="I1729" i="2"/>
  <c r="I1728" i="2"/>
  <c r="I1727" i="2"/>
  <c r="I1726" i="2"/>
  <c r="I1725" i="2"/>
  <c r="I1724" i="2"/>
  <c r="I1723" i="2"/>
  <c r="I1722" i="2"/>
  <c r="I1721" i="2"/>
  <c r="I1720" i="2"/>
  <c r="I1719" i="2"/>
  <c r="I1718" i="2"/>
  <c r="I1717" i="2"/>
  <c r="I1716" i="2"/>
  <c r="I1715" i="2"/>
  <c r="I1714" i="2"/>
  <c r="I1713" i="2"/>
  <c r="I1712" i="2"/>
  <c r="I1711" i="2"/>
  <c r="I1710" i="2"/>
  <c r="I1709" i="2"/>
  <c r="I1708" i="2"/>
  <c r="I1707" i="2"/>
  <c r="I1706" i="2"/>
  <c r="I1705" i="2"/>
  <c r="I1704" i="2"/>
  <c r="I1703" i="2"/>
  <c r="I1702" i="2"/>
  <c r="I1701" i="2"/>
  <c r="I1700" i="2"/>
  <c r="I1699" i="2"/>
  <c r="I1698" i="2"/>
  <c r="I1697" i="2"/>
  <c r="I1696" i="2"/>
  <c r="I1695" i="2"/>
  <c r="I1694" i="2"/>
  <c r="I1693" i="2"/>
  <c r="I1692" i="2"/>
  <c r="I1691" i="2"/>
  <c r="I1690" i="2"/>
  <c r="I1689" i="2"/>
  <c r="I1688" i="2"/>
  <c r="I1687" i="2"/>
  <c r="I1686" i="2"/>
  <c r="I1685" i="2"/>
  <c r="I1684" i="2"/>
  <c r="I1683" i="2"/>
  <c r="I1682" i="2"/>
  <c r="I1681" i="2"/>
  <c r="I1680" i="2"/>
  <c r="I1679" i="2"/>
  <c r="I1678" i="2"/>
  <c r="I1677" i="2"/>
  <c r="I1676" i="2"/>
  <c r="I1675" i="2"/>
  <c r="I1674" i="2"/>
  <c r="I1673" i="2"/>
  <c r="I1672" i="2"/>
  <c r="I1671" i="2"/>
  <c r="I1670" i="2"/>
  <c r="I1669" i="2"/>
  <c r="I1668" i="2"/>
  <c r="I1667" i="2"/>
  <c r="I1666" i="2"/>
  <c r="I1665" i="2"/>
  <c r="I1664" i="2"/>
  <c r="I1663" i="2"/>
  <c r="I1662" i="2"/>
  <c r="I1661" i="2"/>
  <c r="I1660" i="2"/>
  <c r="I1659" i="2"/>
  <c r="I1658" i="2"/>
  <c r="I1657" i="2"/>
  <c r="I1656" i="2"/>
  <c r="I1655" i="2"/>
  <c r="I1654" i="2"/>
  <c r="I1653" i="2"/>
  <c r="I1652" i="2"/>
  <c r="I1651" i="2"/>
  <c r="I1650" i="2"/>
  <c r="I1649" i="2"/>
  <c r="I1648" i="2"/>
  <c r="I1647" i="2"/>
  <c r="I1646" i="2"/>
  <c r="I1645" i="2"/>
  <c r="I1644" i="2"/>
  <c r="I1643" i="2"/>
  <c r="I1642" i="2"/>
  <c r="I1641" i="2"/>
  <c r="I1640" i="2"/>
  <c r="I1639" i="2"/>
  <c r="I1638" i="2"/>
  <c r="I1637" i="2"/>
  <c r="I1636" i="2"/>
  <c r="I1635" i="2"/>
  <c r="I1634" i="2"/>
  <c r="I1633" i="2"/>
  <c r="I1632" i="2"/>
  <c r="I1631" i="2"/>
  <c r="I1630" i="2"/>
  <c r="I1629" i="2"/>
  <c r="I1628" i="2"/>
  <c r="I1627" i="2"/>
  <c r="I1626" i="2"/>
  <c r="I1625" i="2"/>
  <c r="I1624" i="2"/>
  <c r="I1623" i="2"/>
  <c r="I1622" i="2"/>
  <c r="I1621" i="2"/>
  <c r="I1620" i="2"/>
  <c r="I1619" i="2"/>
  <c r="I1618" i="2"/>
  <c r="I1617" i="2"/>
  <c r="I1616" i="2"/>
  <c r="I1615" i="2"/>
  <c r="I1614" i="2"/>
  <c r="I1613" i="2"/>
  <c r="I1612" i="2"/>
  <c r="I1611" i="2"/>
  <c r="I1610" i="2"/>
  <c r="I1609" i="2"/>
  <c r="I1608" i="2"/>
  <c r="I1607" i="2"/>
  <c r="I1606" i="2"/>
  <c r="I1605" i="2"/>
  <c r="I1604" i="2"/>
  <c r="I1603" i="2"/>
  <c r="I1602" i="2"/>
  <c r="I1601" i="2"/>
  <c r="I1600" i="2"/>
  <c r="I1599" i="2"/>
  <c r="I1598" i="2"/>
  <c r="I1597" i="2"/>
  <c r="I1596" i="2"/>
  <c r="I1595" i="2"/>
  <c r="I1594" i="2"/>
  <c r="I1593" i="2"/>
  <c r="I1592" i="2"/>
  <c r="I1591" i="2"/>
  <c r="I1590" i="2"/>
  <c r="I1589" i="2"/>
  <c r="I1588" i="2"/>
  <c r="I1587" i="2"/>
  <c r="I1586" i="2"/>
  <c r="I1585" i="2"/>
  <c r="I1584" i="2"/>
  <c r="I1583" i="2"/>
  <c r="I1582" i="2"/>
  <c r="I1581" i="2"/>
  <c r="I1580" i="2"/>
  <c r="I1579" i="2"/>
  <c r="I1578" i="2"/>
  <c r="I1577" i="2"/>
  <c r="I1576" i="2"/>
  <c r="I1575" i="2"/>
  <c r="I1574" i="2"/>
  <c r="I1573" i="2"/>
  <c r="I1572" i="2"/>
  <c r="I1571" i="2"/>
  <c r="I1570" i="2"/>
  <c r="I1569" i="2"/>
  <c r="I1568" i="2"/>
  <c r="I1567" i="2"/>
  <c r="I1566" i="2"/>
  <c r="I1565" i="2"/>
  <c r="I1564" i="2"/>
  <c r="I1563" i="2"/>
  <c r="I1562" i="2"/>
  <c r="I1561" i="2"/>
  <c r="I1560" i="2"/>
  <c r="I1559" i="2"/>
  <c r="I1558" i="2"/>
  <c r="I1557" i="2"/>
  <c r="I1556" i="2"/>
  <c r="I1555" i="2"/>
  <c r="I1554" i="2"/>
  <c r="I1553" i="2"/>
  <c r="I1552" i="2"/>
  <c r="I1551" i="2"/>
  <c r="I1550" i="2"/>
  <c r="I1549" i="2"/>
  <c r="I1548" i="2"/>
  <c r="I1547" i="2"/>
  <c r="I1546" i="2"/>
  <c r="I1545" i="2"/>
  <c r="I1544" i="2"/>
  <c r="I1543" i="2"/>
  <c r="I1542" i="2"/>
  <c r="I1541" i="2"/>
  <c r="I1540" i="2"/>
  <c r="I1539" i="2"/>
  <c r="I1538" i="2"/>
  <c r="I1537" i="2"/>
  <c r="I1536" i="2"/>
  <c r="I1535" i="2"/>
  <c r="I1534" i="2"/>
  <c r="I1533" i="2"/>
  <c r="I1532" i="2"/>
  <c r="I1531" i="2"/>
  <c r="I1530" i="2"/>
  <c r="I1529" i="2"/>
  <c r="I1528" i="2"/>
  <c r="I1527" i="2"/>
  <c r="I1526" i="2"/>
  <c r="I1525" i="2"/>
  <c r="I1524" i="2"/>
  <c r="I1523" i="2"/>
  <c r="I1522" i="2"/>
  <c r="I1521" i="2"/>
  <c r="I1520" i="2"/>
  <c r="I1519" i="2"/>
  <c r="I1518" i="2"/>
  <c r="I1517" i="2"/>
  <c r="I1516" i="2"/>
  <c r="I1515" i="2"/>
  <c r="I1514" i="2"/>
  <c r="I1513" i="2"/>
  <c r="I1512" i="2"/>
  <c r="I1511" i="2"/>
  <c r="I1510" i="2"/>
  <c r="I1509" i="2"/>
  <c r="I1508" i="2"/>
  <c r="I1507" i="2"/>
  <c r="I1506" i="2"/>
  <c r="I1505" i="2"/>
  <c r="I1504" i="2"/>
  <c r="I1503" i="2"/>
  <c r="I1502" i="2"/>
  <c r="I1501" i="2"/>
  <c r="I1500" i="2"/>
  <c r="I1499" i="2"/>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1"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O6" i="7" l="1"/>
  <c r="O71" i="7"/>
  <c r="O131" i="7"/>
  <c r="O5" i="7"/>
  <c r="O186" i="7"/>
  <c r="O14" i="7"/>
  <c r="O145" i="7"/>
  <c r="O13" i="7"/>
  <c r="O92" i="7"/>
  <c r="O9" i="7"/>
  <c r="O4" i="7"/>
  <c r="O184" i="7"/>
  <c r="O100" i="7"/>
  <c r="O12" i="7"/>
  <c r="O31" i="7"/>
  <c r="Q2" i="6"/>
  <c r="Q14" i="6"/>
  <c r="Q13" i="6"/>
  <c r="Q12" i="6"/>
  <c r="Q10" i="6"/>
  <c r="Q9" i="6"/>
  <c r="Q8" i="6"/>
  <c r="Q7" i="6"/>
  <c r="Q6" i="6"/>
  <c r="Q5" i="6"/>
  <c r="Q4" i="6"/>
  <c r="O11" i="6"/>
  <c r="O62" i="6"/>
  <c r="O42" i="6"/>
  <c r="O179" i="6"/>
  <c r="O178" i="6"/>
  <c r="O58" i="6"/>
  <c r="O31" i="6"/>
  <c r="O190" i="6"/>
  <c r="O49" i="6"/>
  <c r="O186" i="6"/>
  <c r="O66" i="6"/>
  <c r="O185" i="6"/>
  <c r="O184" i="6"/>
  <c r="Q71" i="6"/>
  <c r="Q92" i="6"/>
  <c r="Q100" i="6"/>
  <c r="Q109" i="6"/>
  <c r="Q131" i="6"/>
  <c r="Q143" i="6"/>
  <c r="Q145" i="6"/>
  <c r="S2250" i="2"/>
  <c r="Q2299" i="2"/>
  <c r="O2087" i="2"/>
  <c r="M2258" i="2"/>
  <c r="L2255" i="2"/>
  <c r="K2242" i="2"/>
  <c r="O2115" i="2"/>
  <c r="O2034" i="2"/>
  <c r="Q2184" i="2"/>
  <c r="O2201" i="2"/>
  <c r="S2225" i="2"/>
  <c r="T1872" i="2"/>
  <c r="S2269" i="2"/>
  <c r="L2111" i="2"/>
  <c r="Q2260" i="2"/>
  <c r="Q2054" i="2"/>
  <c r="Q2283" i="2"/>
  <c r="U2312" i="2"/>
  <c r="L2218" i="2"/>
  <c r="R2217" i="2"/>
  <c r="Q2315" i="2"/>
  <c r="R2235" i="2"/>
  <c r="S2299" i="2"/>
  <c r="N2151" i="2"/>
  <c r="Q2027" i="2"/>
  <c r="R1988" i="2"/>
  <c r="J2295" i="2"/>
  <c r="R2097" i="2"/>
  <c r="N2279" i="2"/>
  <c r="O2139" i="2"/>
  <c r="L2089" i="2"/>
  <c r="P2072" i="2"/>
  <c r="L2269" i="2"/>
  <c r="P2244" i="2"/>
  <c r="S1953" i="2"/>
  <c r="L2231" i="2"/>
  <c r="M2101" i="2"/>
  <c r="J2117" i="2"/>
  <c r="P2290" i="2"/>
  <c r="L2199" i="2"/>
  <c r="Q2301" i="2"/>
  <c r="O2191" i="2"/>
  <c r="P2254" i="2"/>
  <c r="K2257" i="2"/>
  <c r="O2092" i="2"/>
  <c r="N1922" i="2"/>
  <c r="N2077" i="2"/>
  <c r="J2262" i="2"/>
  <c r="M2254" i="2"/>
  <c r="L2237" i="2"/>
  <c r="P2095" i="2"/>
  <c r="U2249" i="2"/>
  <c r="N1961" i="2"/>
  <c r="T2294" i="2"/>
  <c r="J2208" i="2"/>
  <c r="K2236" i="2"/>
  <c r="P2228" i="2"/>
  <c r="Q2107" i="2"/>
  <c r="T1954" i="2"/>
  <c r="M2221" i="2"/>
  <c r="R2303" i="2"/>
  <c r="P2217" i="2"/>
  <c r="U2229" i="2"/>
  <c r="P1950" i="2"/>
  <c r="N2032" i="2"/>
  <c r="P1961" i="2"/>
  <c r="M2273" i="2"/>
  <c r="N2143" i="2"/>
  <c r="U2282" i="2"/>
  <c r="Q2067" i="2"/>
  <c r="K2009" i="2"/>
  <c r="T2075" i="2"/>
  <c r="O2114" i="2"/>
  <c r="M2279" i="2"/>
  <c r="R2092" i="2"/>
  <c r="U2265" i="2"/>
  <c r="T2023" i="2"/>
  <c r="Q2219" i="2"/>
  <c r="S2204" i="2"/>
  <c r="R2245" i="2"/>
  <c r="L2013" i="2"/>
  <c r="J2193" i="2"/>
  <c r="L1993" i="2"/>
  <c r="L2127" i="2"/>
  <c r="Q1941" i="2"/>
  <c r="P2140" i="2"/>
  <c r="S2078" i="2"/>
  <c r="M1599" i="2"/>
  <c r="P2029" i="2"/>
  <c r="T1978" i="2"/>
  <c r="L1603" i="2"/>
  <c r="U2192" i="2"/>
  <c r="L2102" i="2"/>
  <c r="S2137" i="2"/>
  <c r="T1848" i="2"/>
  <c r="T2166" i="2"/>
  <c r="T1725" i="2"/>
  <c r="U1753" i="2"/>
  <c r="R1698" i="2"/>
  <c r="M1796" i="2"/>
  <c r="U1647" i="2"/>
  <c r="S1872" i="2"/>
  <c r="Q1853" i="2"/>
  <c r="T2195" i="2"/>
  <c r="P2279" i="2"/>
  <c r="L2087" i="2"/>
  <c r="Q1971" i="2"/>
  <c r="R2156" i="2"/>
  <c r="O1929" i="2"/>
  <c r="R2127" i="2"/>
  <c r="L1970" i="2"/>
  <c r="O2003" i="2"/>
  <c r="M1860" i="2"/>
  <c r="S1830" i="2"/>
  <c r="T2260" i="2"/>
  <c r="S2174" i="2"/>
  <c r="M2126" i="2"/>
  <c r="S1659" i="2"/>
  <c r="O2037" i="2"/>
  <c r="J1977" i="2"/>
  <c r="N1924" i="2"/>
  <c r="R1602" i="2"/>
  <c r="U1842" i="2"/>
  <c r="K1648" i="2"/>
  <c r="T2272" i="2"/>
  <c r="N2082" i="2"/>
  <c r="M2229" i="2"/>
  <c r="M2199" i="2"/>
  <c r="T2148" i="2"/>
  <c r="N2130" i="2"/>
  <c r="R2076" i="2"/>
  <c r="U2310" i="2"/>
  <c r="Q2191" i="2"/>
  <c r="U2037" i="2"/>
  <c r="O2305" i="2"/>
  <c r="L1949" i="2"/>
  <c r="T2236" i="2"/>
  <c r="R2255" i="2"/>
  <c r="U2152" i="2"/>
  <c r="R2151" i="2"/>
  <c r="K2262" i="2"/>
  <c r="L2284" i="2"/>
  <c r="S2303" i="2"/>
  <c r="N2223" i="2"/>
  <c r="N2261" i="2"/>
  <c r="P2314" i="2"/>
  <c r="N2270" i="2"/>
  <c r="T2169" i="2"/>
  <c r="K1890" i="2"/>
  <c r="Q2126" i="2"/>
  <c r="L2300" i="2"/>
  <c r="T2215" i="2"/>
  <c r="M2228" i="2"/>
  <c r="T2142" i="2"/>
  <c r="L2276" i="2"/>
  <c r="P1925" i="2"/>
  <c r="O2306" i="2"/>
  <c r="M2270" i="2"/>
  <c r="N2209" i="2"/>
  <c r="T2273" i="2"/>
  <c r="M2044" i="2"/>
  <c r="M2274" i="2"/>
  <c r="M2183" i="2"/>
  <c r="U2175" i="2"/>
  <c r="Q2268" i="2"/>
  <c r="M2059" i="2"/>
  <c r="J2233" i="2"/>
  <c r="K2154" i="2"/>
  <c r="Q1989" i="2"/>
  <c r="J2003" i="2"/>
  <c r="S2187" i="2"/>
  <c r="J2197" i="2"/>
  <c r="T2244" i="2"/>
  <c r="S2301" i="2"/>
  <c r="S1982" i="2"/>
  <c r="T2000" i="2"/>
  <c r="S2072" i="2"/>
  <c r="R2298" i="2"/>
  <c r="P2177" i="2"/>
  <c r="M2293" i="2"/>
  <c r="T2189" i="2"/>
  <c r="R2267" i="2"/>
  <c r="S2055" i="2"/>
  <c r="O2275" i="2"/>
  <c r="O2143" i="2"/>
  <c r="K2258" i="2"/>
  <c r="R2213" i="2"/>
  <c r="M1947" i="2"/>
  <c r="M1986" i="2"/>
  <c r="R2285" i="2"/>
  <c r="S2273" i="2"/>
  <c r="R2237" i="2"/>
  <c r="L2260" i="2"/>
  <c r="K2132" i="2"/>
  <c r="U2216" i="2"/>
  <c r="K2037" i="2"/>
  <c r="S2212" i="2"/>
  <c r="T2269" i="2"/>
  <c r="J2274" i="2"/>
  <c r="P2256" i="2"/>
  <c r="U2020" i="2"/>
  <c r="O2250" i="2"/>
  <c r="M2291" i="2"/>
  <c r="O2265" i="2"/>
  <c r="J1960" i="2"/>
  <c r="Q2104" i="2"/>
  <c r="K1857" i="2"/>
  <c r="J2242" i="2"/>
  <c r="O1966" i="2"/>
  <c r="L1755" i="2"/>
  <c r="R2177" i="2"/>
  <c r="P1637" i="2"/>
  <c r="J1876" i="2"/>
  <c r="O1890" i="2"/>
  <c r="T1846" i="2"/>
  <c r="O2207" i="2"/>
  <c r="J1996" i="2"/>
  <c r="J2266" i="2"/>
  <c r="M2295" i="2"/>
  <c r="N1940" i="2"/>
  <c r="S1976" i="2"/>
  <c r="U1654" i="2"/>
  <c r="K2046" i="2"/>
  <c r="T1690" i="2"/>
  <c r="U1493" i="2"/>
  <c r="L1723" i="2"/>
  <c r="Q1959" i="2"/>
  <c r="S2268" i="2"/>
  <c r="L1992" i="2"/>
  <c r="S2096" i="2"/>
  <c r="R1882" i="2"/>
  <c r="P2241" i="2"/>
  <c r="K2019" i="2"/>
  <c r="K2221" i="2"/>
  <c r="L1927" i="2"/>
  <c r="T2003" i="2"/>
  <c r="O1724" i="2"/>
  <c r="M2306" i="2"/>
  <c r="K2189" i="2"/>
  <c r="Q2090" i="2"/>
  <c r="L1978" i="2"/>
  <c r="M2040" i="2"/>
  <c r="O2113" i="2"/>
  <c r="M1858" i="2"/>
  <c r="T1616" i="2"/>
  <c r="P1564" i="2"/>
  <c r="N1888" i="2"/>
  <c r="L1748" i="2"/>
  <c r="U1960" i="2"/>
  <c r="U1660" i="2"/>
  <c r="S2213" i="2"/>
  <c r="R2208" i="2"/>
  <c r="R2300" i="2"/>
  <c r="T2219" i="2"/>
  <c r="U2102" i="2"/>
  <c r="U2215" i="2"/>
  <c r="J2077" i="2"/>
  <c r="K2214" i="2"/>
  <c r="S2287" i="2"/>
  <c r="S2140" i="2"/>
  <c r="O2274" i="2"/>
  <c r="L2050" i="2"/>
  <c r="Q2182" i="2"/>
  <c r="M2188" i="2"/>
  <c r="U2227" i="2"/>
  <c r="P2196" i="2"/>
  <c r="O2307" i="2"/>
  <c r="S2097" i="2"/>
  <c r="J2225" i="2"/>
  <c r="P2126" i="2"/>
  <c r="R2224" i="2"/>
  <c r="R2185" i="2"/>
  <c r="P2303" i="2"/>
  <c r="Q2189" i="2"/>
  <c r="N1885" i="2"/>
  <c r="Q1918" i="2"/>
  <c r="K2265" i="2"/>
  <c r="P2146" i="2"/>
  <c r="O2256" i="2"/>
  <c r="R2209" i="2"/>
  <c r="M1916" i="2"/>
  <c r="O2190" i="2"/>
  <c r="P1951" i="2"/>
  <c r="S2208" i="2"/>
  <c r="M2240" i="2"/>
  <c r="J2210" i="2"/>
  <c r="J2207" i="2"/>
  <c r="N2297" i="2"/>
  <c r="T2264" i="2"/>
  <c r="P2031" i="2"/>
  <c r="S2237" i="2"/>
  <c r="K2192" i="2"/>
  <c r="L2109" i="2"/>
  <c r="M2265" i="2"/>
  <c r="J2053" i="2"/>
  <c r="N1843" i="2"/>
  <c r="M1791" i="2"/>
  <c r="J2251" i="2"/>
  <c r="O2008" i="2"/>
  <c r="S2263" i="2"/>
  <c r="L2201" i="2"/>
  <c r="R1901" i="2"/>
  <c r="M2225" i="2"/>
  <c r="K1824" i="2"/>
  <c r="R2198" i="2"/>
  <c r="N2304" i="2"/>
  <c r="M2247" i="2"/>
  <c r="L2036" i="2"/>
  <c r="Q2172" i="2"/>
  <c r="L1817" i="2"/>
  <c r="K2290" i="2"/>
  <c r="Q2145" i="2"/>
  <c r="P2218" i="2"/>
  <c r="K2140" i="2"/>
  <c r="N2091" i="2"/>
  <c r="L2082" i="2"/>
  <c r="K2053" i="2"/>
  <c r="O2198" i="2"/>
  <c r="J2265" i="2"/>
  <c r="J2313" i="2"/>
  <c r="T2126" i="2"/>
  <c r="N2156" i="2"/>
  <c r="L1884" i="2"/>
  <c r="U2269" i="2"/>
  <c r="L2272" i="2"/>
  <c r="M2246" i="2"/>
  <c r="P2315" i="2"/>
  <c r="K2028" i="2"/>
  <c r="O2285" i="2"/>
  <c r="T2180" i="2"/>
  <c r="T2188" i="2"/>
  <c r="K1855" i="2"/>
  <c r="U2019" i="2"/>
  <c r="N1721" i="2"/>
  <c r="T2018" i="2"/>
  <c r="T1773" i="2"/>
  <c r="L1940" i="2"/>
  <c r="J1706" i="2"/>
  <c r="M1754" i="2"/>
  <c r="Q1663" i="2"/>
  <c r="T1861" i="2"/>
  <c r="O1408" i="2"/>
  <c r="R2199" i="2"/>
  <c r="O2166" i="2"/>
  <c r="U2179" i="2"/>
  <c r="N2063" i="2"/>
  <c r="J1789" i="2"/>
  <c r="U1853" i="2"/>
  <c r="U1777" i="2"/>
  <c r="T2052" i="2"/>
  <c r="N1847" i="2"/>
  <c r="U1991" i="2"/>
  <c r="R1866" i="2"/>
  <c r="Q1702" i="2"/>
  <c r="S2305" i="2"/>
  <c r="T2132" i="2"/>
  <c r="P2197" i="2"/>
  <c r="P1730" i="2"/>
  <c r="J2067" i="2"/>
  <c r="Q1778" i="2"/>
  <c r="U2237" i="2"/>
  <c r="P2150" i="2"/>
  <c r="U2224" i="2"/>
  <c r="P2127" i="2"/>
  <c r="T2139" i="2"/>
  <c r="M2216" i="2"/>
  <c r="O1684" i="2"/>
  <c r="K2308" i="2"/>
  <c r="U2313" i="2"/>
  <c r="K2100" i="2"/>
  <c r="K1769" i="2"/>
  <c r="J2273" i="2"/>
  <c r="Q2309" i="2"/>
  <c r="U2272" i="2"/>
  <c r="N2205" i="2"/>
  <c r="M2035" i="2"/>
  <c r="R2183" i="2"/>
  <c r="P1957" i="2"/>
  <c r="L2236" i="2"/>
  <c r="J2310" i="2"/>
  <c r="L2259" i="2"/>
  <c r="R2271" i="2"/>
  <c r="U2091" i="2"/>
  <c r="P2104" i="2"/>
  <c r="M2269" i="2"/>
  <c r="P2213" i="2"/>
  <c r="L2092" i="2"/>
  <c r="K2233" i="2"/>
  <c r="L2176" i="2"/>
  <c r="N2246" i="2"/>
  <c r="L2124" i="2"/>
  <c r="R2201" i="2"/>
  <c r="K2165" i="2"/>
  <c r="S2256" i="2"/>
  <c r="U2003" i="2"/>
  <c r="P2026" i="2"/>
  <c r="N1988" i="2"/>
  <c r="M2234" i="2"/>
  <c r="O2147" i="2"/>
  <c r="U2221" i="2"/>
  <c r="R2141" i="2"/>
  <c r="U2076" i="2"/>
  <c r="R2206" i="2"/>
  <c r="N2061" i="2"/>
  <c r="U2181" i="2"/>
  <c r="U2285" i="2"/>
  <c r="U2261" i="2"/>
  <c r="R2182" i="2"/>
  <c r="N2211" i="2"/>
  <c r="L2247" i="2"/>
  <c r="T2285" i="2"/>
  <c r="U2294" i="2"/>
  <c r="O2165" i="2"/>
  <c r="J2224" i="2"/>
  <c r="L2151" i="2"/>
  <c r="J2149" i="2"/>
  <c r="L2291" i="2"/>
  <c r="M1618" i="2"/>
  <c r="R2301" i="2"/>
  <c r="K2080" i="2"/>
  <c r="L2197" i="2"/>
  <c r="O2159" i="2"/>
  <c r="R1818" i="2"/>
  <c r="M2147" i="2"/>
  <c r="J1649" i="2"/>
  <c r="N2045" i="2"/>
  <c r="Q2251" i="2"/>
  <c r="T2199" i="2"/>
  <c r="M2080" i="2"/>
  <c r="J2121" i="2"/>
  <c r="R2007" i="2"/>
  <c r="L2161" i="2"/>
  <c r="K2107" i="2"/>
  <c r="Q2200" i="2"/>
  <c r="L2140" i="2"/>
  <c r="M2020" i="2"/>
  <c r="S1923" i="2"/>
  <c r="S2242" i="2"/>
  <c r="N2152" i="2"/>
  <c r="U2233" i="2"/>
  <c r="P2199" i="2"/>
  <c r="Q2059" i="2"/>
  <c r="M2245" i="2"/>
  <c r="Q1974" i="2"/>
  <c r="T2213" i="2"/>
  <c r="N2232" i="2"/>
  <c r="M2315" i="2"/>
  <c r="U2184" i="2"/>
  <c r="O2241" i="2"/>
  <c r="S2245" i="2"/>
  <c r="R2239" i="2"/>
  <c r="R2231" i="2"/>
  <c r="U1959" i="2"/>
  <c r="O1823" i="2"/>
  <c r="Q2096" i="2"/>
  <c r="L2166" i="2"/>
  <c r="R2122" i="2"/>
  <c r="R1680" i="2"/>
  <c r="Q1906" i="2"/>
  <c r="L1726" i="2"/>
  <c r="T1783" i="2"/>
  <c r="R1627" i="2"/>
  <c r="J2314" i="2"/>
  <c r="Q2232" i="2"/>
  <c r="P1968" i="2"/>
  <c r="K2035" i="2"/>
  <c r="L2155" i="2"/>
  <c r="P2237" i="2"/>
  <c r="R1844" i="2"/>
  <c r="U2033" i="2"/>
  <c r="T1951" i="2"/>
  <c r="L1556" i="2"/>
  <c r="N1860" i="2"/>
  <c r="R1867" i="2"/>
  <c r="P2067" i="2"/>
  <c r="K2191" i="2"/>
  <c r="R2000" i="2"/>
  <c r="M2083" i="2"/>
  <c r="M1806" i="2"/>
  <c r="O2039" i="2"/>
  <c r="Q1988" i="2"/>
  <c r="U2174" i="2"/>
  <c r="N1879" i="2"/>
  <c r="N2078" i="2"/>
  <c r="J1858" i="2"/>
  <c r="Q2244" i="2"/>
  <c r="O2196" i="2"/>
  <c r="L2149" i="2"/>
  <c r="O2185" i="2"/>
  <c r="S1996" i="2"/>
  <c r="P1667" i="2"/>
  <c r="K1699" i="2"/>
  <c r="L2302" i="2"/>
  <c r="S1993" i="2"/>
  <c r="K1873" i="2"/>
  <c r="S1643" i="2"/>
  <c r="O2277" i="2"/>
  <c r="T2312" i="2"/>
  <c r="Q2164" i="2"/>
  <c r="T2293" i="2"/>
  <c r="O2122" i="2"/>
  <c r="O1880" i="2"/>
  <c r="M2146" i="2"/>
  <c r="N2098" i="2"/>
  <c r="U2218" i="2"/>
  <c r="L2214" i="2"/>
  <c r="N2245" i="2"/>
  <c r="S2199" i="2"/>
  <c r="U2208" i="2"/>
  <c r="K2077" i="2"/>
  <c r="L2222" i="2"/>
  <c r="J2155" i="2"/>
  <c r="R2236" i="2"/>
  <c r="S2203" i="2"/>
  <c r="O2276" i="2"/>
  <c r="N2177" i="2"/>
  <c r="J2211" i="2"/>
  <c r="Q2085" i="2"/>
  <c r="N2292" i="2"/>
  <c r="S2128" i="2"/>
  <c r="J2279" i="2"/>
  <c r="Q2109" i="2"/>
  <c r="U2250" i="2"/>
  <c r="T2258" i="2"/>
  <c r="K2219" i="2"/>
  <c r="P2048" i="2"/>
  <c r="T2112" i="2"/>
  <c r="L2238" i="2"/>
  <c r="O2153" i="2"/>
  <c r="R2241" i="2"/>
  <c r="S2180" i="2"/>
  <c r="K2312" i="2"/>
  <c r="M2022" i="2"/>
  <c r="Q2118" i="2"/>
  <c r="U2300" i="2"/>
  <c r="K2076" i="2"/>
  <c r="N2250" i="2"/>
  <c r="M2198" i="2"/>
  <c r="Q2237" i="2"/>
  <c r="S2214" i="2"/>
  <c r="O2090" i="2"/>
  <c r="T2307" i="2"/>
  <c r="P1984" i="2"/>
  <c r="P2149" i="2"/>
  <c r="N2169" i="2"/>
  <c r="K2278" i="2"/>
  <c r="T2051" i="2"/>
  <c r="R2212" i="2"/>
  <c r="N2025" i="2"/>
  <c r="Q2154" i="2"/>
  <c r="R1950" i="2"/>
  <c r="R2257" i="2"/>
  <c r="K2203" i="2"/>
  <c r="N2242" i="2"/>
  <c r="P2208" i="2"/>
  <c r="Q2178" i="2"/>
  <c r="U2083" i="2"/>
  <c r="O2007" i="2"/>
  <c r="P2277" i="2"/>
  <c r="P2094" i="2"/>
  <c r="L2264" i="2"/>
  <c r="S2057" i="2"/>
  <c r="K2272" i="2"/>
  <c r="U2263" i="2"/>
  <c r="Q2242" i="2"/>
  <c r="K1996" i="2"/>
  <c r="T2194" i="2"/>
  <c r="O2230" i="2"/>
  <c r="T2302" i="2"/>
  <c r="R2172" i="2"/>
  <c r="K2156" i="2"/>
  <c r="P2295" i="2"/>
  <c r="Q2136" i="2"/>
  <c r="M2038" i="2"/>
  <c r="N1958" i="2"/>
  <c r="T2306" i="2"/>
  <c r="Q2156" i="2"/>
  <c r="P1992" i="2"/>
  <c r="P1802" i="2"/>
  <c r="R2015" i="2"/>
  <c r="J2127" i="2"/>
  <c r="S1656" i="2"/>
  <c r="U1995" i="2"/>
  <c r="S1575" i="2"/>
  <c r="L1903" i="2"/>
  <c r="K2193" i="2"/>
  <c r="K1828" i="2"/>
  <c r="S1832" i="2"/>
  <c r="N2117" i="2"/>
  <c r="N2138" i="2"/>
  <c r="T1817" i="2"/>
  <c r="O1943" i="2"/>
  <c r="M1678" i="2"/>
  <c r="U2098" i="2"/>
  <c r="T1699" i="2"/>
  <c r="S1878" i="2"/>
  <c r="R1663" i="2"/>
  <c r="M1952" i="2"/>
  <c r="P1599" i="2"/>
  <c r="J1779" i="2"/>
  <c r="R1782" i="2"/>
  <c r="T2165" i="2"/>
  <c r="R2121" i="2"/>
  <c r="L2160" i="2"/>
  <c r="T2155" i="2"/>
  <c r="U1742" i="2"/>
  <c r="K1791" i="2"/>
  <c r="M2143" i="2"/>
  <c r="Q2305" i="2"/>
  <c r="R2091" i="2"/>
  <c r="S2087" i="2"/>
  <c r="T2288" i="2"/>
  <c r="O2308" i="2"/>
  <c r="M2066" i="2"/>
  <c r="R2169" i="2"/>
  <c r="S1859" i="2"/>
  <c r="S2190" i="2"/>
  <c r="P2010" i="2"/>
  <c r="L1886" i="2"/>
  <c r="N1811" i="2"/>
  <c r="M2017" i="2"/>
  <c r="Q1809" i="2"/>
  <c r="K2079" i="2"/>
  <c r="R1952" i="2"/>
  <c r="M2275" i="2"/>
  <c r="M2067" i="2"/>
  <c r="U2108" i="2"/>
  <c r="R2085" i="2"/>
  <c r="O2214" i="2"/>
  <c r="S2106" i="2"/>
  <c r="N2299" i="2"/>
  <c r="L2172" i="2"/>
  <c r="S2254" i="2"/>
  <c r="R2192" i="2"/>
  <c r="J2129" i="2"/>
  <c r="M2154" i="2"/>
  <c r="T1825" i="2"/>
  <c r="T2181" i="2"/>
  <c r="R2104" i="2"/>
  <c r="Q2265" i="2"/>
  <c r="Q2071" i="2"/>
  <c r="L2282" i="2"/>
  <c r="K2264" i="2"/>
  <c r="R2211" i="2"/>
  <c r="K2314" i="2"/>
  <c r="Q2264" i="2"/>
  <c r="J2021" i="2"/>
  <c r="M2251" i="2"/>
  <c r="J2180" i="2"/>
  <c r="R2037" i="2"/>
  <c r="T2118" i="2"/>
  <c r="L2241" i="2"/>
  <c r="O2096" i="2"/>
  <c r="T2300" i="2"/>
  <c r="P2147" i="2"/>
  <c r="L2123" i="2"/>
  <c r="J2185" i="2"/>
  <c r="U2240" i="2"/>
  <c r="U2164" i="2"/>
  <c r="N2094" i="2"/>
  <c r="R2249" i="2"/>
  <c r="P2291" i="2"/>
  <c r="S2029" i="2"/>
  <c r="P2166" i="2"/>
  <c r="T2173" i="2"/>
  <c r="L2228" i="2"/>
  <c r="Q2303" i="2"/>
  <c r="R2277" i="2"/>
  <c r="Q2270" i="2"/>
  <c r="R1968" i="2"/>
  <c r="U2040" i="2"/>
  <c r="S2277" i="2"/>
  <c r="L2295" i="2"/>
  <c r="S2265" i="2"/>
  <c r="N2213" i="2"/>
  <c r="Q2022" i="2"/>
  <c r="N2132" i="2"/>
  <c r="N2068" i="2"/>
  <c r="Q2206" i="2"/>
  <c r="P2188" i="2"/>
  <c r="Q2214" i="2"/>
  <c r="N2096" i="2"/>
  <c r="Q2148" i="2"/>
  <c r="J2051" i="2"/>
  <c r="N2219" i="2"/>
  <c r="S2314" i="2"/>
  <c r="R2205" i="2"/>
  <c r="O2301" i="2"/>
  <c r="S2145" i="2"/>
  <c r="U2140" i="2"/>
  <c r="N2282" i="2"/>
  <c r="L2233" i="2"/>
  <c r="T2200" i="2"/>
  <c r="K2206" i="2"/>
  <c r="R2137" i="2"/>
  <c r="S2153" i="2"/>
  <c r="L2067" i="2"/>
  <c r="J2219" i="2"/>
  <c r="O2248" i="2"/>
  <c r="L2086" i="2"/>
  <c r="O2299" i="2"/>
  <c r="J2290" i="2"/>
  <c r="P2298" i="2"/>
  <c r="S2217" i="2"/>
  <c r="U2301" i="2"/>
  <c r="O2195" i="2"/>
  <c r="J1913" i="2"/>
  <c r="R2066" i="2"/>
  <c r="P2179" i="2"/>
  <c r="L2040" i="2"/>
  <c r="L2029" i="2"/>
  <c r="Q2202" i="2"/>
  <c r="U1833" i="2"/>
  <c r="L1548" i="2"/>
  <c r="R1935" i="2"/>
  <c r="O2210" i="2"/>
  <c r="R2304" i="2"/>
  <c r="K2085" i="2"/>
  <c r="K1772" i="2"/>
  <c r="M1991" i="2"/>
  <c r="N2101" i="2"/>
  <c r="O2070" i="2"/>
  <c r="S1641" i="2"/>
  <c r="O1833" i="2"/>
  <c r="S1652" i="2"/>
  <c r="K1675" i="2"/>
  <c r="J1978" i="2"/>
  <c r="S2210" i="2"/>
  <c r="M2299" i="2"/>
  <c r="J1927" i="2"/>
  <c r="R1959" i="2"/>
  <c r="M2113" i="2"/>
  <c r="R2297" i="2"/>
  <c r="R1768" i="2"/>
  <c r="M2220" i="2"/>
  <c r="K2291" i="2"/>
  <c r="R2233" i="2"/>
  <c r="T1897" i="2"/>
  <c r="O2171" i="2"/>
  <c r="N2116" i="2"/>
  <c r="T2257" i="2"/>
  <c r="M1799" i="2"/>
  <c r="O1992" i="2"/>
  <c r="M2100" i="2"/>
  <c r="R1893" i="2"/>
  <c r="T2069" i="2"/>
  <c r="S2253" i="2"/>
  <c r="O2284" i="2"/>
  <c r="J2060" i="2"/>
  <c r="S2240" i="2"/>
  <c r="N2186" i="2"/>
  <c r="O2300" i="2"/>
  <c r="M2145" i="2"/>
  <c r="P2130" i="2"/>
  <c r="S2311" i="2"/>
  <c r="P2008" i="2"/>
  <c r="O2083" i="2"/>
  <c r="U1965" i="2"/>
  <c r="Q1650" i="2"/>
  <c r="S2080" i="2"/>
  <c r="Q2000" i="2"/>
  <c r="K2172" i="2"/>
  <c r="T2123" i="2"/>
  <c r="K2182" i="2"/>
  <c r="L2286" i="2"/>
  <c r="Q2278" i="2"/>
  <c r="S2239" i="2"/>
  <c r="O2280" i="2"/>
  <c r="U2260" i="2"/>
  <c r="K2210" i="2"/>
  <c r="K2127" i="2"/>
  <c r="P2077" i="2"/>
  <c r="R2252" i="2"/>
  <c r="U2236" i="2"/>
  <c r="J2269" i="2"/>
  <c r="N2263" i="2"/>
  <c r="S2070" i="2"/>
  <c r="K1975" i="2"/>
  <c r="L1950" i="2"/>
  <c r="P2231" i="2"/>
  <c r="T2063" i="2"/>
  <c r="O2204" i="2"/>
  <c r="R2064" i="2"/>
  <c r="K2282" i="2"/>
  <c r="S2285" i="2"/>
  <c r="Q2174" i="2"/>
  <c r="Q2125" i="2"/>
  <c r="L2292" i="2"/>
  <c r="O2283" i="2"/>
  <c r="Q2226" i="2"/>
  <c r="K2250" i="2"/>
  <c r="L2279" i="2"/>
  <c r="J1873" i="2"/>
  <c r="N2283" i="2"/>
  <c r="Q2180" i="2"/>
  <c r="T2287" i="2"/>
  <c r="Q2290" i="2"/>
  <c r="N2030" i="2"/>
  <c r="M2182" i="2"/>
  <c r="M2170" i="2"/>
  <c r="U2283" i="2"/>
  <c r="Q2287" i="2"/>
  <c r="M2205" i="2"/>
  <c r="N2054" i="2"/>
  <c r="R2204" i="2"/>
  <c r="M1919" i="2"/>
  <c r="R2226" i="2"/>
  <c r="R2229" i="2"/>
  <c r="O2269" i="2"/>
  <c r="J2287" i="2"/>
  <c r="K2068" i="2"/>
  <c r="K2129" i="2"/>
  <c r="Q2254" i="2"/>
  <c r="N2255" i="2"/>
  <c r="L2254" i="2"/>
  <c r="M2263" i="2"/>
  <c r="J2140" i="2"/>
  <c r="U2147" i="2"/>
  <c r="U1920" i="2"/>
  <c r="S2282" i="2"/>
  <c r="K2178" i="2"/>
  <c r="K2239" i="2"/>
  <c r="S2144" i="2"/>
  <c r="K2196" i="2"/>
  <c r="U2134" i="2"/>
  <c r="Q2074" i="2"/>
  <c r="U2198" i="2"/>
  <c r="P2073" i="2"/>
  <c r="K2041" i="2"/>
  <c r="O1996" i="2"/>
  <c r="K2025" i="2"/>
  <c r="R1685" i="2"/>
  <c r="J1689" i="2"/>
  <c r="M2015" i="2"/>
  <c r="L1621" i="2"/>
  <c r="T1569" i="2"/>
  <c r="O1810" i="2"/>
  <c r="L2221" i="2"/>
  <c r="J2058" i="2"/>
  <c r="N1999" i="2"/>
  <c r="K2286" i="2"/>
  <c r="J2112" i="2"/>
  <c r="O1953" i="2"/>
  <c r="U1963" i="2"/>
  <c r="O2033" i="2"/>
  <c r="L2271" i="2"/>
  <c r="K2137" i="2"/>
  <c r="P1614" i="2"/>
  <c r="Q1583" i="2"/>
  <c r="O2271" i="2"/>
  <c r="Q2263" i="2"/>
  <c r="Q1871" i="2"/>
  <c r="R1978" i="2"/>
  <c r="R2002" i="2"/>
  <c r="K2302" i="2"/>
  <c r="K1948" i="2"/>
  <c r="M2123" i="2"/>
  <c r="S2279" i="2"/>
  <c r="R2081" i="2"/>
  <c r="O1910" i="2"/>
  <c r="O2132" i="2"/>
  <c r="U2187" i="2"/>
  <c r="J2029" i="2"/>
  <c r="N1664" i="2"/>
  <c r="T1837" i="2"/>
  <c r="Q1898" i="2"/>
  <c r="N2059" i="2"/>
  <c r="Q1536" i="2"/>
  <c r="U1996" i="2"/>
  <c r="J2084" i="2"/>
  <c r="P2312" i="2"/>
  <c r="N2303" i="2"/>
  <c r="M1955" i="2"/>
  <c r="T2262" i="2"/>
  <c r="M2195" i="2"/>
  <c r="P1964" i="2"/>
  <c r="S2025" i="2"/>
  <c r="K2284" i="2"/>
  <c r="R2203" i="2"/>
  <c r="Q2048" i="2"/>
  <c r="L2225" i="2"/>
  <c r="N2296" i="2"/>
  <c r="S2276" i="2"/>
  <c r="U2034" i="2"/>
  <c r="R2225" i="2"/>
  <c r="S2139" i="2"/>
  <c r="T2265" i="2"/>
  <c r="P2028" i="2"/>
  <c r="U2241" i="2"/>
  <c r="J2174" i="2"/>
  <c r="L2315" i="2"/>
  <c r="P2273" i="2"/>
  <c r="P2251" i="2"/>
  <c r="L2240" i="2"/>
  <c r="U2117" i="2"/>
  <c r="T2039" i="2"/>
  <c r="N2308" i="2"/>
  <c r="U2231" i="2"/>
  <c r="M2241" i="2"/>
  <c r="N2275" i="2"/>
  <c r="P2109" i="2"/>
  <c r="K2099" i="2"/>
  <c r="J2047" i="2"/>
  <c r="M2217" i="2"/>
  <c r="P2252" i="2"/>
  <c r="Q2261" i="2"/>
  <c r="Q2095" i="2"/>
  <c r="S2201" i="2"/>
  <c r="O2211" i="2"/>
  <c r="N2146" i="2"/>
  <c r="M2264" i="2"/>
  <c r="S2115" i="2"/>
  <c r="J2236" i="2"/>
  <c r="P2205" i="2"/>
  <c r="N2102" i="2"/>
  <c r="J2196" i="2"/>
  <c r="N1893" i="2"/>
  <c r="N2235" i="2"/>
  <c r="O2025" i="2"/>
  <c r="Q2245" i="2"/>
  <c r="P2172" i="2"/>
  <c r="M1950" i="2"/>
  <c r="S1938" i="2"/>
  <c r="P2173" i="2"/>
  <c r="L2163" i="2"/>
  <c r="L2278" i="2"/>
  <c r="O2273" i="2"/>
  <c r="T1940" i="2"/>
  <c r="N2105" i="2"/>
  <c r="S1987" i="2"/>
  <c r="J2237" i="2"/>
  <c r="N2227" i="2"/>
  <c r="J2255" i="2"/>
  <c r="J2188" i="2"/>
  <c r="S2257" i="2"/>
  <c r="M2001" i="2"/>
  <c r="S2226" i="2"/>
  <c r="K2111" i="2"/>
  <c r="O2291" i="2"/>
  <c r="Q2304" i="2"/>
  <c r="S1914" i="2"/>
  <c r="K1947" i="2"/>
  <c r="O2302" i="2"/>
  <c r="N2298" i="2"/>
  <c r="M2132" i="2"/>
  <c r="L2261" i="2"/>
  <c r="U2104" i="2"/>
  <c r="L2101" i="2"/>
  <c r="P2170" i="2"/>
  <c r="N2229" i="2"/>
  <c r="M1895" i="2"/>
  <c r="R2259" i="2"/>
  <c r="L1855" i="2"/>
  <c r="R2221" i="2"/>
  <c r="N2112" i="2"/>
  <c r="M1861" i="2"/>
  <c r="J2024" i="2"/>
  <c r="L1933" i="2"/>
  <c r="T1580" i="2"/>
  <c r="J1923" i="2"/>
  <c r="S1710" i="2"/>
  <c r="S2122" i="2"/>
  <c r="L1897" i="2"/>
  <c r="U2163" i="2"/>
  <c r="U1945" i="2"/>
  <c r="N2009" i="2"/>
  <c r="R1613" i="2"/>
  <c r="Q1919" i="2"/>
  <c r="R1538" i="2"/>
  <c r="R2107" i="2"/>
  <c r="N2145" i="2"/>
  <c r="J1762" i="2"/>
  <c r="Q1756" i="2"/>
  <c r="S2076" i="2"/>
  <c r="Q2165" i="2"/>
  <c r="N2294" i="2"/>
  <c r="S1888" i="2"/>
  <c r="T1639" i="2"/>
  <c r="K2022" i="2"/>
  <c r="K1632" i="2"/>
  <c r="U2308" i="2"/>
  <c r="M2156" i="2"/>
  <c r="U2053" i="2"/>
  <c r="L1834" i="2"/>
  <c r="P2204" i="2"/>
  <c r="S1971" i="2"/>
  <c r="P1915" i="2"/>
  <c r="Q2313" i="2"/>
  <c r="S2101" i="2"/>
  <c r="P1786" i="2"/>
  <c r="M1930" i="2"/>
  <c r="L1777" i="2"/>
  <c r="M2116" i="2"/>
  <c r="S1941" i="2"/>
  <c r="P1840" i="2"/>
  <c r="L2168" i="2"/>
  <c r="U2287" i="2"/>
  <c r="J2280" i="2"/>
  <c r="J2252" i="2"/>
  <c r="R2307" i="2"/>
  <c r="J2283" i="2"/>
  <c r="S2084" i="2"/>
  <c r="K2082" i="2"/>
  <c r="K1979" i="2"/>
  <c r="S2209" i="2"/>
  <c r="J2050" i="2"/>
  <c r="Q2262" i="2"/>
  <c r="M2102" i="2"/>
  <c r="O2181" i="2"/>
  <c r="J2031" i="2"/>
  <c r="O2247" i="2"/>
  <c r="P2299" i="2"/>
  <c r="K2094" i="2"/>
  <c r="K2303" i="2"/>
  <c r="Q2069" i="2"/>
  <c r="O2220" i="2"/>
  <c r="S2020" i="2"/>
  <c r="Q2197" i="2"/>
  <c r="M2219" i="2"/>
  <c r="O2293" i="2"/>
  <c r="O2130" i="2"/>
  <c r="J2308" i="2"/>
  <c r="S1887" i="2"/>
  <c r="U2271" i="2"/>
  <c r="J2166" i="2"/>
  <c r="T2283" i="2"/>
  <c r="S2155" i="2"/>
  <c r="U2166" i="2"/>
  <c r="R1881" i="2"/>
  <c r="P2305" i="2"/>
  <c r="R2112" i="2"/>
  <c r="S2289" i="2"/>
  <c r="P2300" i="2"/>
  <c r="O1882" i="2"/>
  <c r="K2211" i="2"/>
  <c r="Q2295" i="2"/>
  <c r="M2276" i="2"/>
  <c r="T2254" i="2"/>
  <c r="S2113" i="2"/>
  <c r="R2261" i="2"/>
  <c r="L2143" i="2"/>
  <c r="M2196" i="2"/>
  <c r="N2048" i="2"/>
  <c r="K1804" i="2"/>
  <c r="R2196" i="2"/>
  <c r="T2067" i="2"/>
  <c r="K2225" i="2"/>
  <c r="L2019" i="2"/>
  <c r="J1811" i="2"/>
  <c r="K2066" i="2"/>
  <c r="N2284" i="2"/>
  <c r="U2167" i="2"/>
  <c r="J2228" i="2"/>
  <c r="N2167" i="2"/>
  <c r="U2177" i="2"/>
  <c r="N2306" i="2"/>
  <c r="J1788" i="2"/>
  <c r="K2200" i="2"/>
  <c r="S2227" i="2"/>
  <c r="R2214" i="2"/>
  <c r="N2002" i="2"/>
  <c r="K2180" i="2"/>
  <c r="Q2160" i="2"/>
  <c r="P2248" i="2"/>
  <c r="R2108" i="2"/>
  <c r="S2313" i="2"/>
  <c r="T2190" i="2"/>
  <c r="Q2073" i="2"/>
  <c r="U2002" i="2"/>
  <c r="R2129" i="2"/>
  <c r="J2248" i="2"/>
  <c r="J2306" i="2"/>
  <c r="R2274" i="2"/>
  <c r="M2049" i="2"/>
  <c r="K2292" i="2"/>
  <c r="Q2072" i="2"/>
  <c r="K2229" i="2"/>
  <c r="N2181" i="2"/>
  <c r="Q2294" i="2"/>
  <c r="L1823" i="2"/>
  <c r="M2081" i="2"/>
  <c r="S2033" i="2"/>
  <c r="U1819" i="2"/>
  <c r="N1908" i="2"/>
  <c r="K1863" i="2"/>
  <c r="T1755" i="2"/>
  <c r="P1789" i="2"/>
  <c r="R1857" i="2"/>
  <c r="K2251" i="2"/>
  <c r="K2212" i="2"/>
  <c r="R2179" i="2"/>
  <c r="S1860" i="2"/>
  <c r="P2038" i="2"/>
  <c r="J2010" i="2"/>
  <c r="J1951" i="2"/>
  <c r="R1921" i="2"/>
  <c r="T2172" i="2"/>
  <c r="O1963" i="2"/>
  <c r="K1945" i="2"/>
  <c r="Q1798" i="2"/>
  <c r="S2293" i="2"/>
  <c r="U2228" i="2"/>
  <c r="N2017" i="2"/>
  <c r="K1735" i="2"/>
  <c r="R1928" i="2"/>
  <c r="S2002" i="2"/>
  <c r="J2056" i="2"/>
  <c r="P2227" i="2"/>
  <c r="J2076" i="2"/>
  <c r="S2178" i="2"/>
  <c r="K1695" i="2"/>
  <c r="S2159" i="2"/>
  <c r="L1969" i="2"/>
  <c r="Q1924" i="2"/>
  <c r="S2068" i="2"/>
  <c r="K2062" i="2"/>
  <c r="U1874" i="2"/>
  <c r="S1762" i="2"/>
  <c r="S2164" i="2"/>
  <c r="Q1904" i="2"/>
  <c r="U1969" i="2"/>
  <c r="S1751" i="2"/>
  <c r="L2025" i="2"/>
  <c r="U2278" i="2"/>
  <c r="J2288" i="2"/>
  <c r="P2190" i="2"/>
  <c r="U2254" i="2"/>
  <c r="Q2285" i="2"/>
  <c r="K2030" i="2"/>
  <c r="N2084" i="2"/>
  <c r="O2253" i="2"/>
  <c r="U2291" i="2"/>
  <c r="U2207" i="2"/>
  <c r="L2253" i="2"/>
  <c r="Q2063" i="2"/>
  <c r="J2206" i="2"/>
  <c r="L2030" i="2"/>
  <c r="P2269" i="2"/>
  <c r="T2278" i="2"/>
  <c r="L2294" i="2"/>
  <c r="J2303" i="2"/>
  <c r="J2289" i="2"/>
  <c r="T2113" i="2"/>
  <c r="Q2092" i="2"/>
  <c r="U2063" i="2"/>
  <c r="T2209" i="2"/>
  <c r="J2191" i="2"/>
  <c r="Q2081" i="2"/>
  <c r="N2148" i="2"/>
  <c r="M1977" i="2"/>
  <c r="T2167" i="2"/>
  <c r="K2125" i="2"/>
  <c r="L2215" i="2"/>
  <c r="N2158" i="2"/>
  <c r="U1966" i="2"/>
  <c r="K1928" i="2"/>
  <c r="Q2267" i="2"/>
  <c r="N2110" i="2"/>
  <c r="T2298" i="2"/>
  <c r="N2192" i="2"/>
  <c r="K2012" i="2"/>
  <c r="M2268" i="2"/>
  <c r="K2275" i="2"/>
  <c r="P2219" i="2"/>
  <c r="P2308" i="2"/>
  <c r="U2074" i="2"/>
  <c r="M2230" i="2"/>
  <c r="T2143" i="2"/>
  <c r="N2237" i="2"/>
  <c r="U2290" i="2"/>
  <c r="U1776" i="2"/>
  <c r="O2125" i="2"/>
  <c r="N2257" i="2"/>
  <c r="K2112" i="2"/>
  <c r="S2090" i="2"/>
  <c r="O2286" i="2"/>
  <c r="L2046" i="2"/>
  <c r="M2233" i="2"/>
  <c r="K2146" i="2"/>
  <c r="N2163" i="2"/>
  <c r="T2119" i="2"/>
  <c r="T2033" i="2"/>
  <c r="M2167" i="2"/>
  <c r="L1615" i="2"/>
  <c r="J2013" i="2"/>
  <c r="U2284" i="2"/>
  <c r="P2167" i="2"/>
  <c r="L2196" i="2"/>
  <c r="O2151" i="2"/>
  <c r="J1945" i="2"/>
  <c r="N2127" i="2"/>
  <c r="R2067" i="2"/>
  <c r="M2197" i="2"/>
  <c r="Q2167" i="2"/>
  <c r="J1969" i="2"/>
  <c r="L1878" i="2"/>
  <c r="J2214" i="2"/>
  <c r="J2192" i="2"/>
  <c r="M2253" i="2"/>
  <c r="U2281" i="2"/>
  <c r="S1989" i="2"/>
  <c r="R2146" i="2"/>
  <c r="K2246" i="2"/>
  <c r="S2179" i="2"/>
  <c r="O1986" i="2"/>
  <c r="J2080" i="2"/>
  <c r="R2089" i="2"/>
  <c r="T2064" i="2"/>
  <c r="U2238" i="2"/>
  <c r="S1705" i="2"/>
  <c r="K2059" i="2"/>
  <c r="O1730" i="2"/>
  <c r="T1574" i="2"/>
  <c r="K1790" i="2"/>
  <c r="N2182" i="2"/>
  <c r="U2006" i="2"/>
  <c r="U2129" i="2"/>
  <c r="T1877" i="2"/>
  <c r="T1966" i="2"/>
  <c r="M1932" i="2"/>
  <c r="L2042" i="2"/>
  <c r="R1641" i="2"/>
  <c r="U1622" i="2"/>
  <c r="T1885" i="2"/>
  <c r="N2100" i="2"/>
  <c r="J1531" i="2"/>
  <c r="P1728" i="2"/>
  <c r="M2226" i="2"/>
  <c r="P2086" i="2"/>
  <c r="M2077" i="2"/>
  <c r="K2253" i="2"/>
  <c r="S2191" i="2"/>
  <c r="Q1884" i="2"/>
  <c r="T1847" i="2"/>
  <c r="M2157" i="2"/>
  <c r="L1955" i="2"/>
  <c r="U2030" i="2"/>
  <c r="U1766" i="2"/>
  <c r="M2208" i="2"/>
  <c r="U2182" i="2"/>
  <c r="R2136" i="2"/>
  <c r="R2166" i="2"/>
  <c r="T2096" i="2"/>
  <c r="K2183" i="2"/>
  <c r="J1790" i="2"/>
  <c r="O2067" i="2"/>
  <c r="K2151" i="2"/>
  <c r="L2191" i="2"/>
  <c r="R2284" i="2"/>
  <c r="O2140" i="2"/>
  <c r="K1990" i="2"/>
  <c r="Q1917" i="2"/>
  <c r="S2130" i="2"/>
  <c r="O2270" i="2"/>
  <c r="T2217" i="2"/>
  <c r="Q2300" i="2"/>
  <c r="Q2099" i="2"/>
  <c r="S2135" i="2"/>
  <c r="J2088" i="2"/>
  <c r="N2310" i="2"/>
  <c r="S2231" i="2"/>
  <c r="J2250" i="2"/>
  <c r="P2186" i="2"/>
  <c r="M2261" i="2"/>
  <c r="S2177" i="2"/>
  <c r="L2229" i="2"/>
  <c r="K2115" i="2"/>
  <c r="S2246" i="2"/>
  <c r="O2088" i="2"/>
  <c r="T1976" i="2"/>
  <c r="K2074" i="2"/>
  <c r="K1958" i="2"/>
  <c r="O2182" i="2"/>
  <c r="R2106" i="2"/>
  <c r="L2141" i="2"/>
  <c r="K2126" i="2"/>
  <c r="O2219" i="2"/>
  <c r="M1718" i="2"/>
  <c r="L2258" i="2"/>
  <c r="P2069" i="2"/>
  <c r="T2198" i="2"/>
  <c r="S2169" i="2"/>
  <c r="J1929" i="2"/>
  <c r="O2315" i="2"/>
  <c r="K2093" i="2"/>
  <c r="K2295" i="2"/>
  <c r="O2186" i="2"/>
  <c r="Q2307" i="2"/>
  <c r="S2184" i="2"/>
  <c r="T2114" i="2"/>
  <c r="R2289" i="2"/>
  <c r="N2160" i="2"/>
  <c r="Q2173" i="2"/>
  <c r="T2079" i="2"/>
  <c r="P2207" i="2"/>
  <c r="S2172" i="2"/>
  <c r="K2309" i="2"/>
  <c r="T2105" i="2"/>
  <c r="P2306" i="2"/>
  <c r="J2222" i="2"/>
  <c r="L2274" i="2"/>
  <c r="M2062" i="2"/>
  <c r="K2014" i="2"/>
  <c r="Q2233" i="2"/>
  <c r="M2249" i="2"/>
  <c r="O2260" i="2"/>
  <c r="R2083" i="2"/>
  <c r="U2226" i="2"/>
  <c r="N2134" i="2"/>
  <c r="M2224" i="2"/>
  <c r="Q2234" i="2"/>
  <c r="O2292" i="2"/>
  <c r="P2078" i="2"/>
  <c r="S2220" i="2"/>
  <c r="K2013" i="2"/>
  <c r="S2171" i="2"/>
  <c r="Q2276" i="2"/>
  <c r="U1858" i="2"/>
  <c r="O2309" i="2"/>
  <c r="N2194" i="2"/>
  <c r="N2280" i="2"/>
  <c r="L2142" i="2"/>
  <c r="R1942" i="2"/>
  <c r="J2144" i="2"/>
  <c r="M2303" i="2"/>
  <c r="N2228" i="2"/>
  <c r="U2023" i="2"/>
  <c r="J2110" i="2"/>
  <c r="Q1744" i="2"/>
  <c r="M2058" i="2"/>
  <c r="K2081" i="2"/>
  <c r="O2120" i="2"/>
  <c r="J2044" i="2"/>
  <c r="L1994" i="2"/>
  <c r="N2014" i="2"/>
  <c r="K2152" i="2"/>
  <c r="S1802" i="2"/>
  <c r="R2262" i="2"/>
  <c r="O2107" i="2"/>
  <c r="K2171" i="2"/>
  <c r="L1805" i="2"/>
  <c r="U2279" i="2"/>
  <c r="T2092" i="2"/>
  <c r="K1800" i="2"/>
  <c r="R2025" i="2"/>
  <c r="J2035" i="2"/>
  <c r="J2068" i="2"/>
  <c r="O1785" i="2"/>
  <c r="R1665" i="2"/>
  <c r="L2187" i="2"/>
  <c r="S2118" i="2"/>
  <c r="R2004" i="2"/>
  <c r="N2088" i="2"/>
  <c r="J1944" i="2"/>
  <c r="T2022" i="2"/>
  <c r="L1853" i="2"/>
  <c r="K2306" i="2"/>
  <c r="O1787" i="2"/>
  <c r="T2247" i="2"/>
  <c r="R2243" i="2"/>
  <c r="R2150" i="2"/>
  <c r="Q2033" i="2"/>
  <c r="S1957" i="2"/>
  <c r="Q1815" i="2"/>
  <c r="L1791" i="2"/>
  <c r="N2136" i="2"/>
  <c r="K1932" i="2"/>
  <c r="M1803" i="2"/>
  <c r="T2152" i="2"/>
  <c r="R2072" i="2"/>
  <c r="J2200" i="2"/>
  <c r="T2177" i="2"/>
  <c r="N2252" i="2"/>
  <c r="P1929" i="2"/>
  <c r="S2310" i="2"/>
  <c r="R2094" i="2"/>
  <c r="S2286" i="2"/>
  <c r="P2189" i="2"/>
  <c r="N1991" i="2"/>
  <c r="U2267" i="2"/>
  <c r="N1957" i="2"/>
  <c r="J2302" i="2"/>
  <c r="T2250" i="2"/>
  <c r="J2267" i="2"/>
  <c r="Q2302" i="2"/>
  <c r="K2260" i="2"/>
  <c r="M2051" i="2"/>
  <c r="O2266" i="2"/>
  <c r="P2272" i="2"/>
  <c r="L2134" i="2"/>
  <c r="J2045" i="2"/>
  <c r="Q2240" i="2"/>
  <c r="L2305" i="2"/>
  <c r="M2252" i="2"/>
  <c r="P2159" i="2"/>
  <c r="T2305" i="2"/>
  <c r="T2090" i="2"/>
  <c r="N2312" i="2"/>
  <c r="T2184" i="2"/>
  <c r="N2289" i="2"/>
  <c r="M2206" i="2"/>
  <c r="O2252" i="2"/>
  <c r="R2014" i="2"/>
  <c r="T2175" i="2"/>
  <c r="N2243" i="2"/>
  <c r="L2186" i="2"/>
  <c r="K2157" i="2"/>
  <c r="R2294" i="2"/>
  <c r="N2085" i="2"/>
  <c r="L2298" i="2"/>
  <c r="R1997" i="2"/>
  <c r="K2271" i="2"/>
  <c r="N2141" i="2"/>
  <c r="M2096" i="2"/>
  <c r="R2164" i="2"/>
  <c r="U2270" i="2"/>
  <c r="K2248" i="2"/>
  <c r="R2049" i="2"/>
  <c r="S2234" i="2"/>
  <c r="P2148" i="2"/>
  <c r="T2159" i="2"/>
  <c r="R2215" i="2"/>
  <c r="O2311" i="2"/>
  <c r="R2165" i="2"/>
  <c r="R2247" i="2"/>
  <c r="P2136" i="2"/>
  <c r="L2039" i="2"/>
  <c r="U2061" i="2"/>
  <c r="J2291" i="2"/>
  <c r="R2187" i="2"/>
  <c r="R2275" i="2"/>
  <c r="O2174" i="2"/>
  <c r="N2195" i="2"/>
  <c r="U2143" i="2"/>
  <c r="S1973" i="2"/>
  <c r="Q2212" i="2"/>
  <c r="Q2053" i="2"/>
  <c r="L2304" i="2"/>
  <c r="Q2185" i="2"/>
  <c r="O2238" i="2"/>
  <c r="L2250" i="2"/>
  <c r="O2074" i="2"/>
  <c r="Q2201" i="2"/>
  <c r="R2180" i="2"/>
  <c r="P1827" i="2"/>
  <c r="K2313" i="2"/>
  <c r="M2272" i="2"/>
  <c r="Q2130" i="2"/>
  <c r="T2246" i="2"/>
  <c r="O1928" i="2"/>
  <c r="P2131" i="2"/>
  <c r="O2001" i="2"/>
  <c r="P2087" i="2"/>
  <c r="U1827" i="2"/>
  <c r="R1934" i="2"/>
  <c r="J1865" i="2"/>
  <c r="R1566" i="2"/>
  <c r="U2096" i="2"/>
  <c r="K1967" i="2"/>
  <c r="O2262" i="2"/>
  <c r="L2099" i="2"/>
  <c r="K2228" i="2"/>
  <c r="S1783" i="2"/>
  <c r="R2134" i="2"/>
  <c r="U1950" i="2"/>
  <c r="N1758" i="2"/>
  <c r="S1820" i="2"/>
  <c r="S1784" i="2"/>
  <c r="N1700" i="2"/>
  <c r="P1996" i="2"/>
  <c r="U1723" i="2"/>
  <c r="P2266" i="2"/>
  <c r="O2203" i="2"/>
  <c r="O2176" i="2"/>
  <c r="J2081" i="2"/>
  <c r="J1967" i="2"/>
  <c r="J1993" i="2"/>
  <c r="O1887" i="2"/>
  <c r="P2133" i="2"/>
  <c r="O2085" i="2"/>
  <c r="Q2101" i="2"/>
  <c r="R2068" i="2"/>
  <c r="P2236" i="2"/>
  <c r="O1849" i="2"/>
  <c r="Q2143" i="2"/>
  <c r="P1687" i="2"/>
  <c r="S2243" i="2"/>
  <c r="R1868" i="2"/>
  <c r="P1933" i="2"/>
  <c r="K2167" i="2"/>
  <c r="K2119" i="2"/>
  <c r="Q2277" i="2"/>
  <c r="L2182" i="2"/>
  <c r="S2079" i="2"/>
  <c r="K2215" i="2"/>
  <c r="U2015" i="2"/>
  <c r="O2236" i="2"/>
  <c r="T2162" i="2"/>
  <c r="N2290" i="2"/>
  <c r="U2086" i="2"/>
  <c r="U1844" i="2"/>
  <c r="R2193" i="2"/>
  <c r="N1989" i="2"/>
  <c r="L2133" i="2"/>
  <c r="K2288" i="2"/>
  <c r="T2158" i="2"/>
  <c r="L2293" i="2"/>
  <c r="L2265" i="2"/>
  <c r="S2297" i="2"/>
  <c r="L2220" i="2"/>
  <c r="S2309" i="2"/>
  <c r="T2134" i="2"/>
  <c r="J2246" i="2"/>
  <c r="Q2161" i="2"/>
  <c r="N2168" i="2"/>
  <c r="Q2127" i="2"/>
  <c r="T2235" i="2"/>
  <c r="P2209" i="2"/>
  <c r="Q1987" i="2"/>
  <c r="M2286" i="2"/>
  <c r="K2190" i="2"/>
  <c r="P2176" i="2"/>
  <c r="N2183" i="2"/>
  <c r="P2274" i="2"/>
  <c r="M2055" i="2"/>
  <c r="U2230" i="2"/>
  <c r="N2062" i="2"/>
  <c r="U2159" i="2"/>
  <c r="J2159" i="2"/>
  <c r="T2171" i="2"/>
  <c r="R2041" i="2"/>
  <c r="T2211" i="2"/>
  <c r="U2220" i="2"/>
  <c r="J2260" i="2"/>
  <c r="S2150" i="2"/>
  <c r="T2314" i="2"/>
  <c r="N2007" i="2"/>
  <c r="P2261" i="2"/>
  <c r="L2267" i="2"/>
  <c r="N2314" i="2"/>
  <c r="S2283" i="2"/>
  <c r="S2166" i="2"/>
  <c r="N1993" i="2"/>
  <c r="K2311" i="2"/>
  <c r="N2221" i="2"/>
  <c r="K2299" i="2"/>
  <c r="R2291" i="2"/>
  <c r="T1982" i="2"/>
  <c r="O2079" i="2"/>
  <c r="P2007" i="2"/>
  <c r="U2239" i="2"/>
  <c r="U2139" i="2"/>
  <c r="U2247" i="2"/>
  <c r="R2168" i="2"/>
  <c r="K2069" i="2"/>
  <c r="Q2122" i="2"/>
  <c r="N2254" i="2"/>
  <c r="R2311" i="2"/>
  <c r="N2207" i="2"/>
  <c r="N2268" i="2"/>
  <c r="N2099" i="2"/>
  <c r="N2135" i="2"/>
  <c r="M2312" i="2"/>
  <c r="M2309" i="2"/>
  <c r="K2185" i="2"/>
  <c r="P2081" i="2"/>
  <c r="R2219" i="2"/>
  <c r="T2151" i="2"/>
  <c r="Q2190" i="2"/>
  <c r="R2254" i="2"/>
  <c r="Q2289" i="2"/>
  <c r="M2238" i="2"/>
  <c r="S2156" i="2"/>
  <c r="P1829" i="2"/>
  <c r="T1945" i="2"/>
  <c r="K1992" i="2"/>
  <c r="U2028" i="2"/>
  <c r="S2148" i="2"/>
  <c r="P2070" i="2"/>
  <c r="M1689" i="2"/>
  <c r="M2030" i="2"/>
  <c r="M2144" i="2"/>
  <c r="R1945" i="2"/>
  <c r="U2199" i="2"/>
  <c r="T1984" i="2"/>
  <c r="K2234" i="2"/>
  <c r="O2233" i="2"/>
  <c r="J1657" i="2"/>
  <c r="R1984" i="2"/>
  <c r="N2018" i="2"/>
  <c r="P1532" i="2"/>
  <c r="J2008" i="2"/>
  <c r="M1862" i="2"/>
  <c r="U2165" i="2"/>
  <c r="P2003" i="2"/>
  <c r="M2068" i="2"/>
  <c r="L1910" i="2"/>
  <c r="M1872" i="2"/>
  <c r="K1972" i="2"/>
  <c r="K2244" i="2"/>
  <c r="N2214" i="2"/>
  <c r="Q1888" i="2"/>
  <c r="O1902" i="2"/>
  <c r="Q2038" i="2"/>
  <c r="M2271" i="2"/>
  <c r="U2135" i="2"/>
  <c r="L2287" i="2"/>
  <c r="M1998" i="2"/>
  <c r="O2061" i="2"/>
  <c r="N1807" i="2"/>
  <c r="S1618" i="2"/>
  <c r="N1822" i="2"/>
  <c r="K1884" i="2"/>
  <c r="K1836" i="2"/>
  <c r="T1790" i="2"/>
  <c r="P2198" i="2"/>
  <c r="U2144" i="2"/>
  <c r="L2224" i="2"/>
  <c r="U2292" i="2"/>
  <c r="Q2311" i="2"/>
  <c r="P2222" i="2"/>
  <c r="M2298" i="2"/>
  <c r="R2142" i="2"/>
  <c r="R2167" i="2"/>
  <c r="R2200" i="2"/>
  <c r="P2289" i="2"/>
  <c r="U2151" i="2"/>
  <c r="K2274" i="2"/>
  <c r="J2137" i="2"/>
  <c r="K2227" i="2"/>
  <c r="R2114" i="2"/>
  <c r="T2225" i="2"/>
  <c r="N2200" i="2"/>
  <c r="J2131" i="2"/>
  <c r="L2200" i="2"/>
  <c r="T2070" i="2"/>
  <c r="N2285" i="2"/>
  <c r="S2037" i="2"/>
  <c r="T2178" i="2"/>
  <c r="K2223" i="2"/>
  <c r="M2255" i="2"/>
  <c r="S1950" i="2"/>
  <c r="N2201" i="2"/>
  <c r="Q1996" i="2"/>
  <c r="T2261" i="2"/>
  <c r="R2269" i="2"/>
  <c r="T2284" i="2"/>
  <c r="J2232" i="2"/>
  <c r="U2027" i="2"/>
  <c r="O1984" i="2"/>
  <c r="U2234" i="2"/>
  <c r="O2313" i="2"/>
  <c r="Q2274" i="2"/>
  <c r="L2217" i="2"/>
  <c r="U2069" i="2"/>
  <c r="M2204" i="2"/>
  <c r="T2277" i="2"/>
  <c r="T2137" i="2"/>
  <c r="J2216" i="2"/>
  <c r="M2042" i="2"/>
  <c r="S2258" i="2"/>
  <c r="T2202" i="2"/>
  <c r="P1935" i="2"/>
  <c r="K2297" i="2"/>
  <c r="L1863" i="2"/>
  <c r="M2180" i="2"/>
  <c r="N2269" i="2"/>
  <c r="J2297" i="2"/>
  <c r="J2070" i="2"/>
  <c r="U2161" i="2"/>
  <c r="K1854" i="2"/>
  <c r="T2206" i="2"/>
  <c r="R2202" i="2"/>
  <c r="O2225" i="2"/>
  <c r="O2172" i="2"/>
  <c r="O2091" i="2"/>
  <c r="R1889" i="2"/>
  <c r="O2177" i="2"/>
  <c r="N2129" i="2"/>
  <c r="P2311" i="2"/>
  <c r="T2231" i="2"/>
  <c r="P1908" i="2"/>
  <c r="K2036" i="2"/>
  <c r="K1931" i="2"/>
  <c r="Q2275" i="2"/>
  <c r="J2229" i="2"/>
  <c r="P2233" i="2"/>
  <c r="L2154" i="2"/>
  <c r="U2232" i="2"/>
  <c r="M1959" i="2"/>
  <c r="P2234" i="2"/>
  <c r="T2223" i="2"/>
  <c r="Q2222" i="2"/>
  <c r="R2266" i="2"/>
  <c r="N2056" i="2"/>
  <c r="Q1874" i="2"/>
  <c r="R2280" i="2"/>
  <c r="Q2258" i="2"/>
  <c r="O2069" i="2"/>
  <c r="T1974" i="2"/>
  <c r="Q2002" i="2"/>
  <c r="J2256" i="2"/>
  <c r="S2065" i="2"/>
  <c r="M1682" i="2"/>
  <c r="N1857" i="2"/>
  <c r="S1793" i="2"/>
  <c r="R2045" i="2"/>
  <c r="M1941" i="2"/>
  <c r="U1805" i="2"/>
  <c r="N2092" i="2"/>
  <c r="M2282" i="2"/>
  <c r="J1893" i="2"/>
  <c r="S2127" i="2"/>
  <c r="T1948" i="2"/>
  <c r="R1992" i="2"/>
  <c r="Q1961" i="2"/>
  <c r="O1997" i="2"/>
  <c r="T2274" i="2"/>
  <c r="S1855" i="2"/>
  <c r="T1893" i="2"/>
  <c r="L2037" i="2"/>
  <c r="O2294" i="2"/>
  <c r="N2131" i="2"/>
  <c r="L2248" i="2"/>
  <c r="O1750" i="2"/>
  <c r="S2059" i="2"/>
  <c r="U1892" i="2"/>
  <c r="N2185" i="2"/>
  <c r="Q2155" i="2"/>
  <c r="Q2204" i="2"/>
  <c r="J1846" i="2"/>
  <c r="N1601" i="2"/>
  <c r="N2315" i="2"/>
  <c r="P2098" i="2"/>
  <c r="P2163" i="2"/>
  <c r="P1596" i="2"/>
  <c r="P2079" i="2"/>
  <c r="O2023" i="2"/>
  <c r="O2056" i="2"/>
  <c r="U2085" i="2"/>
  <c r="T1733" i="2"/>
  <c r="T1715" i="2"/>
  <c r="O1690" i="2"/>
  <c r="L1762" i="2"/>
  <c r="T2157" i="2"/>
  <c r="L2297" i="2"/>
  <c r="Q2293" i="2"/>
  <c r="K2263" i="2"/>
  <c r="M2260" i="2"/>
  <c r="N2021" i="2"/>
  <c r="M2009" i="2"/>
  <c r="U2235" i="2"/>
  <c r="P2270" i="2"/>
  <c r="R2140" i="2"/>
  <c r="P2304" i="2"/>
  <c r="J2103" i="2"/>
  <c r="J2094" i="2"/>
  <c r="L2137" i="2"/>
  <c r="K2243" i="2"/>
  <c r="L2016" i="2"/>
  <c r="U2295" i="2"/>
  <c r="U2046" i="2"/>
  <c r="Q1967" i="2"/>
  <c r="R2176" i="2"/>
  <c r="L2309" i="2"/>
  <c r="R1994" i="2"/>
  <c r="K2217" i="2"/>
  <c r="P2175" i="2"/>
  <c r="Q2098" i="2"/>
  <c r="T2229" i="2"/>
  <c r="P1832" i="2"/>
  <c r="L2185" i="2"/>
  <c r="Q2252" i="2"/>
  <c r="O2240" i="2"/>
  <c r="U2194" i="2"/>
  <c r="N2301" i="2"/>
  <c r="P2076" i="2"/>
  <c r="N2226" i="2"/>
  <c r="U2127" i="2"/>
  <c r="T2226" i="2"/>
  <c r="U2121" i="2"/>
  <c r="S2098" i="2"/>
  <c r="J2285" i="2"/>
  <c r="Q2220" i="2"/>
  <c r="N2244" i="2"/>
  <c r="J2220" i="2"/>
  <c r="N2128" i="2"/>
  <c r="R2132" i="2"/>
  <c r="Q2132" i="2"/>
  <c r="P1852" i="2"/>
  <c r="Q2034" i="2"/>
  <c r="N1681" i="2"/>
  <c r="L2079" i="2"/>
  <c r="M2218" i="2"/>
  <c r="U2193" i="2"/>
  <c r="N2121" i="2"/>
  <c r="S2099" i="2"/>
  <c r="N2176" i="2"/>
  <c r="J2195" i="2"/>
  <c r="S2168" i="2"/>
  <c r="U2306" i="2"/>
  <c r="L2192" i="2"/>
  <c r="R2131" i="2"/>
  <c r="J1980" i="2"/>
  <c r="O2209" i="2"/>
  <c r="P2129" i="2"/>
  <c r="L2310" i="2"/>
  <c r="J2135" i="2"/>
  <c r="R2060" i="2"/>
  <c r="T2303" i="2"/>
  <c r="K2057" i="2"/>
  <c r="M2166" i="2"/>
  <c r="K2261" i="2"/>
  <c r="U2297" i="2"/>
  <c r="O2156" i="2"/>
  <c r="P2201" i="2"/>
  <c r="L2015" i="2"/>
  <c r="S2298" i="2"/>
  <c r="J2194" i="2"/>
  <c r="L2213" i="2"/>
  <c r="J2223" i="2"/>
  <c r="J2092" i="2"/>
  <c r="K1895" i="2"/>
  <c r="U2252" i="2"/>
  <c r="S2205" i="2"/>
  <c r="T2153" i="2"/>
  <c r="N2256" i="2"/>
  <c r="Q1808" i="2"/>
  <c r="O1987" i="2"/>
  <c r="Q1958" i="2"/>
  <c r="Q1858" i="2"/>
  <c r="T1760" i="2"/>
  <c r="L1581" i="2"/>
  <c r="L2035" i="2"/>
  <c r="M1994" i="2"/>
  <c r="U1794" i="2"/>
  <c r="O2268" i="2"/>
  <c r="S2315" i="2"/>
  <c r="T2291" i="2"/>
  <c r="O2021" i="2"/>
  <c r="O1786" i="2"/>
  <c r="P1880" i="2"/>
  <c r="Q1912" i="2"/>
  <c r="Q2066" i="2"/>
  <c r="K2018" i="2"/>
  <c r="Q2045" i="2"/>
  <c r="P1635" i="2"/>
  <c r="T2041" i="2"/>
  <c r="O2110" i="2"/>
  <c r="L1913" i="2"/>
  <c r="O2078" i="2"/>
  <c r="P1918" i="2"/>
  <c r="U2315" i="2"/>
  <c r="K2194" i="2"/>
  <c r="L2252" i="2"/>
  <c r="J2293" i="2"/>
  <c r="J1972" i="2"/>
  <c r="S1699" i="2"/>
  <c r="P1876" i="2"/>
  <c r="U2095" i="2"/>
  <c r="U2243" i="2"/>
  <c r="K2023" i="2"/>
  <c r="M2105" i="2"/>
  <c r="S2061" i="2"/>
  <c r="T2108" i="2"/>
  <c r="J1928" i="2"/>
  <c r="L2074" i="2"/>
  <c r="R2190" i="2"/>
  <c r="L1572" i="2"/>
  <c r="S1677" i="2"/>
  <c r="Q1980" i="2"/>
  <c r="L2303" i="2"/>
  <c r="R2248" i="2"/>
  <c r="S2295" i="2"/>
  <c r="O2278" i="2"/>
  <c r="L2195" i="2"/>
  <c r="Q2253" i="2"/>
  <c r="K2087" i="2"/>
  <c r="P2226" i="2"/>
  <c r="O2223" i="2"/>
  <c r="K2231" i="2"/>
  <c r="U2266" i="2"/>
  <c r="Q2047" i="2"/>
  <c r="J2015" i="2"/>
  <c r="S1940" i="2"/>
  <c r="T2221" i="2"/>
  <c r="S2230" i="2"/>
  <c r="P2286" i="2"/>
  <c r="M2138" i="2"/>
  <c r="J2259" i="2"/>
  <c r="J2167" i="2"/>
  <c r="N2273" i="2"/>
  <c r="M2172" i="2"/>
  <c r="O2303" i="2"/>
  <c r="U2195" i="2"/>
  <c r="L2023" i="2"/>
  <c r="P2156" i="2"/>
  <c r="P1821" i="2"/>
  <c r="Q2031" i="2"/>
  <c r="L2243" i="2"/>
  <c r="L2157" i="2"/>
  <c r="J2184" i="2"/>
  <c r="N2170" i="2"/>
  <c r="N1921" i="2"/>
  <c r="P2135" i="2"/>
  <c r="T2203" i="2"/>
  <c r="O2298" i="2"/>
  <c r="R2120" i="2"/>
  <c r="Q1921" i="2"/>
  <c r="J2292" i="2"/>
  <c r="S2223" i="2"/>
  <c r="R2281" i="2"/>
  <c r="J2212" i="2"/>
  <c r="L2204" i="2"/>
  <c r="K2133" i="2"/>
  <c r="J2087" i="2"/>
  <c r="T2228" i="2"/>
  <c r="R2260" i="2"/>
  <c r="T2238" i="2"/>
  <c r="L2033" i="2"/>
  <c r="T2311" i="2"/>
  <c r="R2171" i="2"/>
  <c r="S2215" i="2"/>
  <c r="N2274" i="2"/>
  <c r="T1742" i="2"/>
  <c r="L2150" i="2"/>
  <c r="R2290" i="2"/>
  <c r="M2079" i="2"/>
  <c r="Q2168" i="2"/>
  <c r="T2239" i="2"/>
  <c r="L1964" i="2"/>
  <c r="Q2266" i="2"/>
  <c r="U2097" i="2"/>
  <c r="S2181" i="2"/>
  <c r="R2084" i="2"/>
  <c r="O1972" i="2"/>
  <c r="M2141" i="2"/>
  <c r="K2038" i="2"/>
  <c r="Q2179" i="2"/>
  <c r="N2218" i="2"/>
  <c r="S2202" i="2"/>
  <c r="R2123" i="2"/>
  <c r="U2070" i="2"/>
  <c r="P2105" i="2"/>
  <c r="M2215" i="2"/>
  <c r="S2040" i="2"/>
  <c r="K2267" i="2"/>
  <c r="M2201" i="2"/>
  <c r="O1969" i="2"/>
  <c r="S1805" i="2"/>
  <c r="O2218" i="2"/>
  <c r="Q2228" i="2"/>
  <c r="J1961" i="2"/>
  <c r="P2097" i="2"/>
  <c r="U1894" i="2"/>
  <c r="O1888" i="2"/>
  <c r="T1765" i="2"/>
  <c r="P1816" i="2"/>
  <c r="L1742" i="2"/>
  <c r="R1946" i="2"/>
  <c r="N1698" i="2"/>
  <c r="K1612" i="2"/>
  <c r="K1993" i="2"/>
  <c r="P2101" i="2"/>
  <c r="N2309" i="2"/>
  <c r="K2105" i="2"/>
  <c r="K2045" i="2"/>
  <c r="J2119" i="2"/>
  <c r="Q2012" i="2"/>
  <c r="U1947" i="2"/>
  <c r="N1890" i="2"/>
  <c r="R1907" i="2"/>
  <c r="O1852" i="2"/>
  <c r="U1646" i="2"/>
  <c r="P2014" i="2"/>
  <c r="R2299" i="2"/>
  <c r="N2065" i="2"/>
  <c r="S2018" i="2"/>
  <c r="M1670" i="2"/>
  <c r="S1998" i="2"/>
  <c r="R1948" i="2"/>
  <c r="Q2259" i="2"/>
  <c r="L2005" i="2"/>
  <c r="Q2057" i="2"/>
  <c r="U2214" i="2"/>
  <c r="S2067" i="2"/>
  <c r="Q2238" i="2"/>
  <c r="S2274" i="2"/>
  <c r="P2265" i="2"/>
  <c r="T2071" i="2"/>
  <c r="R1900" i="2"/>
  <c r="J2023" i="2"/>
  <c r="L1761" i="2"/>
  <c r="M1738" i="2"/>
  <c r="Q1863" i="2"/>
  <c r="Q2035" i="2"/>
  <c r="M2190" i="2"/>
  <c r="O2221" i="2"/>
  <c r="O2194" i="2"/>
  <c r="M2169" i="2"/>
  <c r="P2202" i="2"/>
  <c r="P1870" i="2"/>
  <c r="P2275" i="2"/>
  <c r="N2187" i="2"/>
  <c r="M2288" i="2"/>
  <c r="O2245" i="2"/>
  <c r="J1988" i="2"/>
  <c r="J2064" i="2"/>
  <c r="N2300" i="2"/>
  <c r="P2194" i="2"/>
  <c r="T2252" i="2"/>
  <c r="S2248" i="2"/>
  <c r="S2280" i="2"/>
  <c r="M2231" i="2"/>
  <c r="R2056" i="2"/>
  <c r="R2283" i="2"/>
  <c r="L2299" i="2"/>
  <c r="T2080" i="2"/>
  <c r="U2171" i="2"/>
  <c r="S2284" i="2"/>
  <c r="N2083" i="2"/>
  <c r="N2258" i="2"/>
  <c r="L2073" i="2"/>
  <c r="O2255" i="2"/>
  <c r="K2056" i="2"/>
  <c r="N2179" i="2"/>
  <c r="J2304" i="2"/>
  <c r="K1903" i="2"/>
  <c r="S2134" i="2"/>
  <c r="Q2065" i="2"/>
  <c r="N2107" i="2"/>
  <c r="S2083" i="2"/>
  <c r="O2314" i="2"/>
  <c r="Q2149" i="2"/>
  <c r="R2302" i="2"/>
  <c r="Q2250" i="2"/>
  <c r="L2203" i="2"/>
  <c r="S2244" i="2"/>
  <c r="O2094" i="2"/>
  <c r="Q2297" i="2"/>
  <c r="S2100" i="2"/>
  <c r="P2088" i="2"/>
  <c r="S2027" i="2"/>
  <c r="R2222" i="2"/>
  <c r="U2150" i="2"/>
  <c r="J2209" i="2"/>
  <c r="P2285" i="2"/>
  <c r="J2171" i="2"/>
  <c r="J2181" i="2"/>
  <c r="J2043" i="2"/>
  <c r="L2244" i="2"/>
  <c r="J2136" i="2"/>
  <c r="T2230" i="2"/>
  <c r="S2136" i="2"/>
  <c r="U2304" i="2"/>
  <c r="U2311" i="2"/>
  <c r="M2209" i="2"/>
  <c r="O2028" i="2"/>
  <c r="U1979" i="2"/>
  <c r="M2257" i="2"/>
  <c r="J2276" i="2"/>
  <c r="Q2273" i="2"/>
  <c r="T2156" i="2"/>
  <c r="R2308" i="2"/>
  <c r="N2161" i="2"/>
  <c r="J2221" i="2"/>
  <c r="L2246" i="2"/>
  <c r="Q2257" i="2"/>
  <c r="R2174" i="2"/>
  <c r="Q2123" i="2"/>
  <c r="K2131" i="2"/>
  <c r="T2130" i="2"/>
  <c r="O1889" i="2"/>
  <c r="S1778" i="2"/>
  <c r="T2243" i="2"/>
  <c r="R2310" i="2"/>
  <c r="L2113" i="2"/>
  <c r="Q2247" i="2"/>
  <c r="Q2246" i="2"/>
  <c r="J2000" i="2"/>
  <c r="Q1793" i="2"/>
  <c r="S1703" i="2"/>
  <c r="S1979" i="2"/>
  <c r="Q1751" i="2"/>
  <c r="N1529" i="2"/>
  <c r="P1796" i="2"/>
  <c r="J1964" i="2"/>
  <c r="K2255" i="2"/>
  <c r="P2085" i="2"/>
  <c r="S2160" i="2"/>
  <c r="P1936" i="2"/>
  <c r="T2212" i="2"/>
  <c r="N1919" i="2"/>
  <c r="K1638" i="2"/>
  <c r="O1791" i="2"/>
  <c r="P2144" i="2"/>
  <c r="L1880" i="2"/>
  <c r="O1870" i="2"/>
  <c r="P1726" i="2"/>
  <c r="S2125" i="2"/>
  <c r="K2232" i="2"/>
  <c r="J2182" i="2"/>
  <c r="K2124" i="2"/>
  <c r="R1897" i="2"/>
  <c r="R1941" i="2"/>
  <c r="K2168" i="2"/>
  <c r="K2029" i="2"/>
  <c r="J2187" i="2"/>
  <c r="O2161" i="2"/>
  <c r="S1894" i="2"/>
  <c r="R2240" i="2"/>
  <c r="Q2256" i="2"/>
  <c r="L1997" i="2"/>
  <c r="R2124" i="2"/>
  <c r="R2242" i="2"/>
  <c r="M1825" i="2"/>
  <c r="M1788" i="2"/>
  <c r="L1921" i="2"/>
  <c r="R1716" i="2"/>
  <c r="O1878" i="2"/>
  <c r="L2173" i="2"/>
  <c r="O2213" i="2"/>
  <c r="T2040" i="2"/>
  <c r="U2120" i="2"/>
  <c r="O2000" i="2"/>
  <c r="U1682" i="2"/>
  <c r="M2117" i="2"/>
  <c r="J2143" i="2"/>
  <c r="M2235" i="2"/>
  <c r="U2103" i="2"/>
  <c r="Q1940" i="2"/>
  <c r="M1873" i="2"/>
  <c r="P2232" i="2"/>
  <c r="T2060" i="2"/>
  <c r="N2216" i="2"/>
  <c r="R2155" i="2"/>
  <c r="O2206" i="2"/>
  <c r="L2230" i="2"/>
  <c r="Q2227" i="2"/>
  <c r="R2152" i="2"/>
  <c r="L2206" i="2"/>
  <c r="S2138" i="2"/>
  <c r="P2262" i="2"/>
  <c r="P2113" i="2"/>
  <c r="P2169" i="2"/>
  <c r="O2149" i="2"/>
  <c r="Q2207" i="2"/>
  <c r="S2198" i="2"/>
  <c r="J2154" i="2"/>
  <c r="Q2205" i="2"/>
  <c r="S2236" i="2"/>
  <c r="S2175" i="2"/>
  <c r="M2103" i="2"/>
  <c r="O2222" i="2"/>
  <c r="P2058" i="2"/>
  <c r="K2209" i="2"/>
  <c r="U2130" i="2"/>
  <c r="J2151" i="2"/>
  <c r="T2309" i="2"/>
  <c r="J2177" i="2"/>
  <c r="O2244" i="2"/>
  <c r="P2238" i="2"/>
  <c r="O2232" i="2"/>
  <c r="L2288" i="2"/>
  <c r="T2061" i="2"/>
  <c r="T2059" i="2"/>
  <c r="T2026" i="2"/>
  <c r="J2235" i="2"/>
  <c r="P2154" i="2"/>
  <c r="O2304" i="2"/>
  <c r="J2057" i="2"/>
  <c r="U2116" i="2"/>
  <c r="S2102" i="2"/>
  <c r="M2304" i="2"/>
  <c r="O2281" i="2"/>
  <c r="J2204" i="2"/>
  <c r="K2268" i="2"/>
  <c r="J2069" i="2"/>
  <c r="O2026" i="2"/>
  <c r="J2249" i="2"/>
  <c r="J2300" i="2"/>
  <c r="N2103" i="2"/>
  <c r="J2281" i="2"/>
  <c r="L2152" i="2"/>
  <c r="M2179" i="2"/>
  <c r="U2122" i="2"/>
  <c r="K2216" i="2"/>
  <c r="L2175" i="2"/>
  <c r="J2309" i="2"/>
  <c r="J2128" i="2"/>
  <c r="N2184" i="2"/>
  <c r="K2016" i="2"/>
  <c r="L2132" i="2"/>
  <c r="O2287" i="2"/>
  <c r="O2131" i="2"/>
  <c r="L2085" i="2"/>
  <c r="P2243" i="2"/>
  <c r="N2247" i="2"/>
  <c r="K2279" i="2"/>
  <c r="S2196" i="2"/>
  <c r="N2180" i="2"/>
  <c r="L2164" i="2"/>
  <c r="U2155" i="2"/>
  <c r="P1836" i="2"/>
  <c r="K1946" i="2"/>
  <c r="U1879" i="2"/>
  <c r="N1880" i="2"/>
  <c r="U1974" i="2"/>
  <c r="P1799" i="2"/>
  <c r="T1890" i="2"/>
  <c r="U1897" i="2"/>
  <c r="O2272" i="2"/>
  <c r="L2053" i="2"/>
  <c r="Q2298" i="2"/>
  <c r="U1765" i="2"/>
  <c r="K2148" i="2"/>
  <c r="L1856" i="2"/>
  <c r="T1797" i="2"/>
  <c r="O1719" i="2"/>
  <c r="T1545" i="2"/>
  <c r="Q1876" i="2"/>
  <c r="S1871" i="2"/>
  <c r="S1723" i="2"/>
  <c r="P2313" i="2"/>
  <c r="J2301" i="2"/>
  <c r="N2241" i="2"/>
  <c r="M1954" i="2"/>
  <c r="K2010" i="2"/>
  <c r="T1830" i="2"/>
  <c r="J2240" i="2"/>
  <c r="L2114" i="2"/>
  <c r="R2054" i="2"/>
  <c r="J2005" i="2"/>
  <c r="R1906" i="2"/>
  <c r="R2309" i="2"/>
  <c r="S2104" i="2"/>
  <c r="T2141" i="2"/>
  <c r="O1794" i="2"/>
  <c r="N2240" i="2"/>
  <c r="R1937" i="2"/>
  <c r="S2129" i="2"/>
  <c r="O1977" i="2"/>
  <c r="K2159" i="2"/>
  <c r="L2076" i="2"/>
  <c r="S2116" i="2"/>
  <c r="L2235" i="2"/>
  <c r="P2302" i="2"/>
  <c r="L2066" i="2"/>
  <c r="P2052" i="2"/>
  <c r="K2238" i="2"/>
  <c r="O1795" i="2"/>
  <c r="L2184" i="2"/>
  <c r="T1928" i="2"/>
  <c r="U1666" i="2"/>
  <c r="P1732" i="2"/>
  <c r="M2277" i="2"/>
  <c r="P2065" i="2"/>
  <c r="U2044" i="2"/>
  <c r="P2080" i="2"/>
  <c r="M2242" i="2"/>
  <c r="Q2131" i="2"/>
  <c r="Q1845" i="2"/>
  <c r="M2307" i="2"/>
  <c r="S2281" i="2"/>
  <c r="J1926" i="2"/>
  <c r="N1948" i="2"/>
  <c r="U2157" i="2"/>
  <c r="R2250" i="2"/>
  <c r="L2146" i="2"/>
  <c r="U2309" i="2"/>
  <c r="S2074" i="2"/>
  <c r="U1806" i="2"/>
  <c r="S1975" i="2"/>
  <c r="P1710" i="2"/>
  <c r="U2168" i="2"/>
  <c r="Q2291" i="2"/>
  <c r="K2259" i="2"/>
  <c r="T1999" i="2"/>
  <c r="J2157" i="2"/>
  <c r="S1949" i="2"/>
  <c r="J1694" i="2"/>
  <c r="Q2152" i="2"/>
  <c r="M1969" i="2"/>
  <c r="P2210" i="2"/>
  <c r="Q2120" i="2"/>
  <c r="Q1993" i="2"/>
  <c r="R2305" i="2"/>
  <c r="Q1985" i="2"/>
  <c r="P2001" i="2"/>
  <c r="Q2113" i="2"/>
  <c r="S2162" i="2"/>
  <c r="N1547" i="2"/>
  <c r="K2222" i="2"/>
  <c r="M2239" i="2"/>
  <c r="P2114" i="2"/>
  <c r="M1810" i="2"/>
  <c r="J2147" i="2"/>
  <c r="K2270" i="2"/>
  <c r="M1981" i="2"/>
  <c r="M2137" i="2"/>
  <c r="R1850" i="2"/>
  <c r="L1893" i="2"/>
  <c r="L1814" i="2"/>
  <c r="P2034" i="2"/>
  <c r="K2230" i="2"/>
  <c r="P1770" i="2"/>
  <c r="J1698" i="2"/>
  <c r="R1773" i="2"/>
  <c r="N1950" i="2"/>
  <c r="O2002" i="2"/>
  <c r="P2212" i="2"/>
  <c r="N2272" i="2"/>
  <c r="J1956" i="2"/>
  <c r="N2071" i="2"/>
  <c r="K2218" i="2"/>
  <c r="T1833" i="2"/>
  <c r="S2105" i="2"/>
  <c r="P1886" i="2"/>
  <c r="T1938" i="2"/>
  <c r="M1644" i="2"/>
  <c r="T2205" i="2"/>
  <c r="L2032" i="2"/>
  <c r="S2222" i="2"/>
  <c r="U1835" i="2"/>
  <c r="T1719" i="2"/>
  <c r="R2265" i="2"/>
  <c r="N2206" i="2"/>
  <c r="T2255" i="2"/>
  <c r="K2207" i="2"/>
  <c r="P1987" i="2"/>
  <c r="P1909" i="2"/>
  <c r="S2056" i="2"/>
  <c r="K1994" i="2"/>
  <c r="Q1899" i="2"/>
  <c r="O1711" i="2"/>
  <c r="Q1868" i="2"/>
  <c r="K2003" i="2"/>
  <c r="J1984" i="2"/>
  <c r="J1534" i="2"/>
  <c r="Q2176" i="2"/>
  <c r="M1856" i="2"/>
  <c r="K1943" i="2"/>
  <c r="O1726" i="2"/>
  <c r="U1522" i="2"/>
  <c r="Q1914" i="2"/>
  <c r="T1414" i="2"/>
  <c r="L2167" i="2"/>
  <c r="N2031" i="2"/>
  <c r="M2171" i="2"/>
  <c r="M1638" i="2"/>
  <c r="L2249" i="2"/>
  <c r="N1778" i="2"/>
  <c r="J1701" i="2"/>
  <c r="P2042" i="2"/>
  <c r="J1276" i="2"/>
  <c r="P2181" i="2"/>
  <c r="M2013" i="2"/>
  <c r="K1814" i="2"/>
  <c r="Q1722" i="2"/>
  <c r="U2264" i="2"/>
  <c r="R2148" i="2"/>
  <c r="U1769" i="2"/>
  <c r="N2122" i="2"/>
  <c r="J1946" i="2"/>
  <c r="S2249" i="2"/>
  <c r="U2201" i="2"/>
  <c r="P2155" i="2"/>
  <c r="L2210" i="2"/>
  <c r="K1963" i="2"/>
  <c r="J2175" i="2"/>
  <c r="U1783" i="2"/>
  <c r="K2289" i="2"/>
  <c r="O2267" i="2"/>
  <c r="O2045" i="2"/>
  <c r="U1951" i="2"/>
  <c r="M2259" i="2"/>
  <c r="S2034" i="2"/>
  <c r="N2305" i="2"/>
  <c r="J2231" i="2"/>
  <c r="P2276" i="2"/>
  <c r="S2275" i="2"/>
  <c r="R2135" i="2"/>
  <c r="R2012" i="2"/>
  <c r="S2271" i="2"/>
  <c r="T2224" i="2"/>
  <c r="Q2137" i="2"/>
  <c r="S2296" i="2"/>
  <c r="O2290" i="2"/>
  <c r="K2273" i="2"/>
  <c r="M2148" i="2"/>
  <c r="P2083" i="2"/>
  <c r="U2258" i="2"/>
  <c r="J2315" i="2"/>
  <c r="J2190" i="2"/>
  <c r="N1954" i="2"/>
  <c r="N2015" i="2"/>
  <c r="U1762" i="2"/>
  <c r="J2109" i="2"/>
  <c r="T2117" i="2"/>
  <c r="T1619" i="2"/>
  <c r="R2189" i="2"/>
  <c r="S2182" i="2"/>
  <c r="N2005" i="2"/>
  <c r="T2121" i="2"/>
  <c r="T1994" i="2"/>
  <c r="R2101" i="2"/>
  <c r="U1967" i="2"/>
  <c r="M1925" i="2"/>
  <c r="S2022" i="2"/>
  <c r="T2145" i="2"/>
  <c r="J2150" i="2"/>
  <c r="P2092" i="2"/>
  <c r="O2135" i="2"/>
  <c r="R2195" i="2"/>
  <c r="M2232" i="2"/>
  <c r="O2310" i="2"/>
  <c r="O2141" i="2"/>
  <c r="U2262" i="2"/>
  <c r="S1847" i="2"/>
  <c r="P2255" i="2"/>
  <c r="R2133" i="2"/>
  <c r="N2133" i="2"/>
  <c r="U1930" i="2"/>
  <c r="Q1832" i="2"/>
  <c r="U2145" i="2"/>
  <c r="K1763" i="2"/>
  <c r="T1898" i="2"/>
  <c r="L2047" i="2"/>
  <c r="R2287" i="2"/>
  <c r="P2165" i="2"/>
  <c r="M2207" i="2"/>
  <c r="T1931" i="2"/>
  <c r="O1727" i="2"/>
  <c r="Q2141" i="2"/>
  <c r="Q1613" i="2"/>
  <c r="N1768" i="2"/>
  <c r="P1680" i="2"/>
  <c r="Q1821" i="2"/>
  <c r="M2187" i="2"/>
  <c r="L2130" i="2"/>
  <c r="Q2032" i="2"/>
  <c r="M1896" i="2"/>
  <c r="U2298" i="2"/>
  <c r="T2289" i="2"/>
  <c r="U2060" i="2"/>
  <c r="T1863" i="2"/>
  <c r="U2101" i="2"/>
  <c r="U2128" i="2"/>
  <c r="K2090" i="2"/>
  <c r="R1958" i="2"/>
  <c r="S1918" i="2"/>
  <c r="J1971" i="2"/>
  <c r="K1877" i="2"/>
  <c r="T1717" i="2"/>
  <c r="P1755" i="2"/>
  <c r="P2240" i="2"/>
  <c r="M1970" i="2"/>
  <c r="K2163" i="2"/>
  <c r="U1748" i="2"/>
  <c r="R1931" i="2"/>
  <c r="S1759" i="2"/>
  <c r="U1946" i="2"/>
  <c r="M2031" i="2"/>
  <c r="S1980" i="2"/>
  <c r="O1551" i="2"/>
  <c r="L1939" i="2"/>
  <c r="L2257" i="2"/>
  <c r="S2290" i="2"/>
  <c r="U2209" i="2"/>
  <c r="R2184" i="2"/>
  <c r="R1820" i="2"/>
  <c r="S2189" i="2"/>
  <c r="T2091" i="2"/>
  <c r="R2013" i="2"/>
  <c r="S1926" i="2"/>
  <c r="K1615" i="2"/>
  <c r="P2020" i="2"/>
  <c r="P1583" i="2"/>
  <c r="T1662" i="2"/>
  <c r="K1581" i="2"/>
  <c r="R2052" i="2"/>
  <c r="U2154" i="2"/>
  <c r="S1667" i="2"/>
  <c r="N1876" i="2"/>
  <c r="R1775" i="2"/>
  <c r="P2296" i="2"/>
  <c r="K1865" i="2"/>
  <c r="Q1946" i="2"/>
  <c r="U1932" i="2"/>
  <c r="O1765" i="2"/>
  <c r="K1715" i="2"/>
  <c r="R1990" i="2"/>
  <c r="S2054" i="2"/>
  <c r="T1818" i="2"/>
  <c r="M2280" i="2"/>
  <c r="S1890" i="2"/>
  <c r="N1997" i="2"/>
  <c r="M2302" i="2"/>
  <c r="L2239" i="2"/>
  <c r="K2109" i="2"/>
  <c r="S2092" i="2"/>
  <c r="M2267" i="2"/>
  <c r="T2210" i="2"/>
  <c r="M2168" i="2"/>
  <c r="N2147" i="2"/>
  <c r="Q1865" i="2"/>
  <c r="O2116" i="2"/>
  <c r="P2293" i="2"/>
  <c r="M2122" i="2"/>
  <c r="S1869" i="2"/>
  <c r="R1798" i="2"/>
  <c r="K2195" i="2"/>
  <c r="U1880" i="2"/>
  <c r="L1916" i="2"/>
  <c r="Q2008" i="2"/>
  <c r="S2064" i="2"/>
  <c r="P2005" i="2"/>
  <c r="N1848" i="2"/>
  <c r="J1752" i="2"/>
  <c r="O2163" i="2"/>
  <c r="L2270" i="2"/>
  <c r="T2268" i="2"/>
  <c r="Q1931" i="2"/>
  <c r="J2241" i="2"/>
  <c r="O2237" i="2"/>
  <c r="T2281" i="2"/>
  <c r="S2095" i="2"/>
  <c r="L1882" i="2"/>
  <c r="R2306" i="2"/>
  <c r="M1701" i="2"/>
  <c r="R2143" i="2"/>
  <c r="M1939" i="2"/>
  <c r="T1903" i="2"/>
  <c r="J1819" i="2"/>
  <c r="N1983" i="2"/>
  <c r="Q2025" i="2"/>
  <c r="S1695" i="2"/>
  <c r="J2198" i="2"/>
  <c r="M1988" i="2"/>
  <c r="J2133" i="2"/>
  <c r="P2068" i="2"/>
  <c r="M1953" i="2"/>
  <c r="O1866" i="2"/>
  <c r="P2307" i="2"/>
  <c r="L1870" i="2"/>
  <c r="S2117" i="2"/>
  <c r="P1719" i="2"/>
  <c r="P1644" i="2"/>
  <c r="T2286" i="2"/>
  <c r="L2223" i="2"/>
  <c r="U2080" i="2"/>
  <c r="K1916" i="2"/>
  <c r="R1908" i="2"/>
  <c r="K2199" i="2"/>
  <c r="U2170" i="2"/>
  <c r="Q1992" i="2"/>
  <c r="M1978" i="2"/>
  <c r="T1792" i="2"/>
  <c r="P2162" i="2"/>
  <c r="P1966" i="2"/>
  <c r="J1903" i="2"/>
  <c r="J1667" i="2"/>
  <c r="O1991" i="2"/>
  <c r="O1989" i="2"/>
  <c r="O1673" i="2"/>
  <c r="M1763" i="2"/>
  <c r="L2126" i="2"/>
  <c r="Q1835" i="2"/>
  <c r="K2097" i="2"/>
  <c r="N1916" i="2"/>
  <c r="P1948" i="2"/>
  <c r="K1921" i="2"/>
  <c r="T1884" i="2"/>
  <c r="P1979" i="2"/>
  <c r="K1998" i="2"/>
  <c r="T1576" i="2"/>
  <c r="S2089" i="2"/>
  <c r="J2123" i="2"/>
  <c r="Q1973" i="2"/>
  <c r="O2254" i="2"/>
  <c r="M2162" i="2"/>
  <c r="N1971" i="2"/>
  <c r="T2025" i="2"/>
  <c r="O2259" i="2"/>
  <c r="T1912" i="2"/>
  <c r="S2120" i="2"/>
  <c r="N1709" i="2"/>
  <c r="L2301" i="2"/>
  <c r="T2204" i="2"/>
  <c r="T1708" i="2"/>
  <c r="J1895" i="2"/>
  <c r="R2282" i="2"/>
  <c r="Q2142" i="2"/>
  <c r="U1642" i="2"/>
  <c r="M2120" i="2"/>
  <c r="S1773" i="2"/>
  <c r="K1743" i="2"/>
  <c r="J2028" i="2"/>
  <c r="U1903" i="2"/>
  <c r="R1991" i="2"/>
  <c r="Q2193" i="2"/>
  <c r="R2159" i="2"/>
  <c r="K2063" i="2"/>
  <c r="P2253" i="2"/>
  <c r="O2024" i="2"/>
  <c r="Q1960" i="2"/>
  <c r="J2111" i="2"/>
  <c r="O2005" i="2"/>
  <c r="O1908" i="2"/>
  <c r="K1917" i="2"/>
  <c r="L2117" i="2"/>
  <c r="U2131" i="2"/>
  <c r="U1758" i="2"/>
  <c r="O1995" i="2"/>
  <c r="S1576" i="2"/>
  <c r="P2264" i="2"/>
  <c r="M1853" i="2"/>
  <c r="R1864" i="2"/>
  <c r="S1974" i="2"/>
  <c r="K2134" i="2"/>
  <c r="K1536" i="2"/>
  <c r="R1744" i="2"/>
  <c r="S2123" i="2"/>
  <c r="U2090" i="2"/>
  <c r="O2097" i="2"/>
  <c r="N1905" i="2"/>
  <c r="U2071" i="2"/>
  <c r="P2200" i="2"/>
  <c r="M1775" i="2"/>
  <c r="O1767" i="2"/>
  <c r="P1875" i="2"/>
  <c r="L1875" i="2"/>
  <c r="M2052" i="2"/>
  <c r="U1562" i="2"/>
  <c r="Q1840" i="2"/>
  <c r="S1823" i="2"/>
  <c r="J1692" i="2"/>
  <c r="N2239" i="2"/>
  <c r="Q2223" i="2"/>
  <c r="K2088" i="2"/>
  <c r="K2293" i="2"/>
  <c r="J2106" i="2"/>
  <c r="R1825" i="2"/>
  <c r="L1638" i="2"/>
  <c r="K1721" i="2"/>
  <c r="O1848" i="2"/>
  <c r="M2285" i="2"/>
  <c r="L2242" i="2"/>
  <c r="M2019" i="2"/>
  <c r="U1722" i="2"/>
  <c r="P1882" i="2"/>
  <c r="U2118" i="2"/>
  <c r="U1906" i="2"/>
  <c r="U2196" i="2"/>
  <c r="O1950" i="2"/>
  <c r="M1715" i="2"/>
  <c r="S1612" i="2"/>
  <c r="P1969" i="2"/>
  <c r="U1953" i="2"/>
  <c r="T2234" i="2"/>
  <c r="K1876" i="2"/>
  <c r="Q1680" i="2"/>
  <c r="O1626" i="2"/>
  <c r="P2242" i="2"/>
  <c r="R1871" i="2"/>
  <c r="S1626" i="2"/>
  <c r="P1958" i="2"/>
  <c r="Q1794" i="2"/>
  <c r="M2093" i="2"/>
  <c r="T2280" i="2"/>
  <c r="N2166" i="2"/>
  <c r="U2039" i="2"/>
  <c r="T2182" i="2"/>
  <c r="N1856" i="2"/>
  <c r="L1782" i="2"/>
  <c r="O1712" i="2"/>
  <c r="N1793" i="2"/>
  <c r="N2251" i="2"/>
  <c r="R2149" i="2"/>
  <c r="O1772" i="2"/>
  <c r="O2164" i="2"/>
  <c r="P1638" i="2"/>
  <c r="T2154" i="2"/>
  <c r="T2133" i="2"/>
  <c r="M1646" i="2"/>
  <c r="Q1554" i="2"/>
  <c r="R2058" i="2"/>
  <c r="S2241" i="2"/>
  <c r="L2056" i="2"/>
  <c r="L2115" i="2"/>
  <c r="S1897" i="2"/>
  <c r="S1683" i="2"/>
  <c r="N1736" i="2"/>
  <c r="T2191" i="2"/>
  <c r="O2099" i="2"/>
  <c r="J1862" i="2"/>
  <c r="O1806" i="2"/>
  <c r="J1686" i="2"/>
  <c r="O2054" i="2"/>
  <c r="U2043" i="2"/>
  <c r="J2124" i="2"/>
  <c r="O1931" i="2"/>
  <c r="S1970" i="2"/>
  <c r="M2133" i="2"/>
  <c r="L1890" i="2"/>
  <c r="K2226" i="2"/>
  <c r="N1829" i="2"/>
  <c r="L1985" i="2"/>
  <c r="U1664" i="2"/>
  <c r="R1741" i="2"/>
  <c r="J1763" i="2"/>
  <c r="S1679" i="2"/>
  <c r="N1557" i="2"/>
  <c r="P1639" i="2"/>
  <c r="U1988" i="2"/>
  <c r="P1665" i="2"/>
  <c r="T1689" i="2"/>
  <c r="R1920" i="2"/>
  <c r="M1779" i="2"/>
  <c r="J2038" i="2"/>
  <c r="K1520" i="2"/>
  <c r="N1570" i="2"/>
  <c r="U1774" i="2"/>
  <c r="N1536" i="2"/>
  <c r="Q2269" i="2"/>
  <c r="L1952" i="2"/>
  <c r="Q1785" i="2"/>
  <c r="L1898" i="2"/>
  <c r="S1864" i="2"/>
  <c r="S2200" i="2"/>
  <c r="L2121" i="2"/>
  <c r="U2082" i="2"/>
  <c r="L2181" i="2"/>
  <c r="P2044" i="2"/>
  <c r="U2031" i="2"/>
  <c r="M2064" i="2"/>
  <c r="M2193" i="2"/>
  <c r="K2205" i="2"/>
  <c r="L2268" i="2"/>
  <c r="J1935" i="2"/>
  <c r="R2125" i="2"/>
  <c r="S2308" i="2"/>
  <c r="Q1878" i="2"/>
  <c r="Q1935" i="2"/>
  <c r="L1984" i="2"/>
  <c r="J1857" i="2"/>
  <c r="K2174" i="2"/>
  <c r="R2246" i="2"/>
  <c r="T2015" i="2"/>
  <c r="N2193" i="2"/>
  <c r="M2075" i="2"/>
  <c r="T2266" i="2"/>
  <c r="L1979" i="2"/>
  <c r="U1998" i="2"/>
  <c r="J2138" i="2"/>
  <c r="K1846" i="2"/>
  <c r="L1857" i="2"/>
  <c r="Q2296" i="2"/>
  <c r="M2061" i="2"/>
  <c r="S2158" i="2"/>
  <c r="T2122" i="2"/>
  <c r="Q2194" i="2"/>
  <c r="T1667" i="2"/>
  <c r="L2061" i="2"/>
  <c r="T2024" i="2"/>
  <c r="M2203" i="2"/>
  <c r="R2118" i="2"/>
  <c r="L1960" i="2"/>
  <c r="N2293" i="2"/>
  <c r="P2019" i="2"/>
  <c r="U2047" i="2"/>
  <c r="U2124" i="2"/>
  <c r="Q2308" i="2"/>
  <c r="L2122" i="2"/>
  <c r="O1942" i="2"/>
  <c r="L2038" i="2"/>
  <c r="P2139" i="2"/>
  <c r="P2145" i="2"/>
  <c r="O1967" i="2"/>
  <c r="K1689" i="2"/>
  <c r="Q2209" i="2"/>
  <c r="T1832" i="2"/>
  <c r="R2042" i="2"/>
  <c r="U2048" i="2"/>
  <c r="L2004" i="2"/>
  <c r="U1744" i="2"/>
  <c r="T1634" i="2"/>
  <c r="J2172" i="2"/>
  <c r="N2262" i="2"/>
  <c r="R1919" i="2"/>
  <c r="J2083" i="2"/>
  <c r="O1923" i="2"/>
  <c r="Q1938" i="2"/>
  <c r="J1799" i="2"/>
  <c r="K1713" i="2"/>
  <c r="R2026" i="2"/>
  <c r="U2296" i="2"/>
  <c r="K2114" i="2"/>
  <c r="O2167" i="2"/>
  <c r="R2103" i="2"/>
  <c r="O2312" i="2"/>
  <c r="L2281" i="2"/>
  <c r="J1919" i="2"/>
  <c r="U2219" i="2"/>
  <c r="Q2112" i="2"/>
  <c r="P1615" i="2"/>
  <c r="M1843" i="2"/>
  <c r="Q1556" i="2"/>
  <c r="U1702" i="2"/>
  <c r="T2100" i="2"/>
  <c r="J1816" i="2"/>
  <c r="N2234" i="2"/>
  <c r="K1605" i="2"/>
  <c r="Q2121" i="2"/>
  <c r="R2044" i="2"/>
  <c r="P1706" i="2"/>
  <c r="L1783" i="2"/>
  <c r="J1739" i="2"/>
  <c r="N1960" i="2"/>
  <c r="K2184" i="2"/>
  <c r="T2120" i="2"/>
  <c r="O2217" i="2"/>
  <c r="O2133" i="2"/>
  <c r="Q1831" i="2"/>
  <c r="R1972" i="2"/>
  <c r="R1676" i="2"/>
  <c r="N1572" i="2"/>
  <c r="N2233" i="2"/>
  <c r="Q2171" i="2"/>
  <c r="L1813" i="2"/>
  <c r="L2108" i="2"/>
  <c r="K1676" i="2"/>
  <c r="J1801" i="2"/>
  <c r="T2124" i="2"/>
  <c r="K2113" i="2"/>
  <c r="O1681" i="2"/>
  <c r="L2000" i="2"/>
  <c r="T2233" i="2"/>
  <c r="P1973" i="2"/>
  <c r="U1727" i="2"/>
  <c r="S1619" i="2"/>
  <c r="U1929" i="2"/>
  <c r="S1967" i="2"/>
  <c r="J2162" i="2"/>
  <c r="P1851" i="2"/>
  <c r="O1742" i="2"/>
  <c r="S2008" i="2"/>
  <c r="S1806" i="2"/>
  <c r="O2158" i="2"/>
  <c r="Q2188" i="2"/>
  <c r="J2099" i="2"/>
  <c r="M1655" i="2"/>
  <c r="L2198" i="2"/>
  <c r="R1847" i="2"/>
  <c r="R1823" i="2"/>
  <c r="S2053" i="2"/>
  <c r="P1937" i="2"/>
  <c r="O2123" i="2"/>
  <c r="J2168" i="2"/>
  <c r="R2030" i="2"/>
  <c r="S2077" i="2"/>
  <c r="J2264" i="2"/>
  <c r="T2078" i="2"/>
  <c r="J2027" i="2"/>
  <c r="T2086" i="2"/>
  <c r="M1893" i="2"/>
  <c r="K2170" i="2"/>
  <c r="T1802" i="2"/>
  <c r="T1971" i="2"/>
  <c r="M2175" i="2"/>
  <c r="U1868" i="2"/>
  <c r="P2142" i="2"/>
  <c r="K2249" i="2"/>
  <c r="T2089" i="2"/>
  <c r="S2091" i="2"/>
  <c r="L2251" i="2"/>
  <c r="R2288" i="2"/>
  <c r="L2110" i="2"/>
  <c r="S1884" i="2"/>
  <c r="N2072" i="2"/>
  <c r="Q1969" i="2"/>
  <c r="S2146" i="2"/>
  <c r="P1967" i="2"/>
  <c r="T2220" i="2"/>
  <c r="S2081" i="2"/>
  <c r="J2118" i="2"/>
  <c r="M2301" i="2"/>
  <c r="O2197" i="2"/>
  <c r="J2298" i="2"/>
  <c r="U1800" i="2"/>
  <c r="S1819" i="2"/>
  <c r="O1883" i="2"/>
  <c r="Q1568" i="2"/>
  <c r="U1989" i="2"/>
  <c r="U1866" i="2"/>
  <c r="J1765" i="2"/>
  <c r="Q2213" i="2"/>
  <c r="O1788" i="2"/>
  <c r="K2241" i="2"/>
  <c r="P2220" i="2"/>
  <c r="J2286" i="2"/>
  <c r="J2205" i="2"/>
  <c r="J2041" i="2"/>
  <c r="O2212" i="2"/>
  <c r="Q1610" i="2"/>
  <c r="Q2218" i="2"/>
  <c r="K1983" i="2"/>
  <c r="J2307" i="2"/>
  <c r="T1995" i="2"/>
  <c r="N1951" i="2"/>
  <c r="J2189" i="2"/>
  <c r="U2107" i="2"/>
  <c r="N2039" i="2"/>
  <c r="L2211" i="2"/>
  <c r="O1728" i="2"/>
  <c r="K1805" i="2"/>
  <c r="M2173" i="2"/>
  <c r="P2249" i="2"/>
  <c r="U2289" i="2"/>
  <c r="U1860" i="2"/>
  <c r="M2308" i="2"/>
  <c r="K2089" i="2"/>
  <c r="Q2144" i="2"/>
  <c r="K1858" i="2"/>
  <c r="M2292" i="2"/>
  <c r="Q2147" i="2"/>
  <c r="U2217" i="2"/>
  <c r="S1991" i="2"/>
  <c r="L1922" i="2"/>
  <c r="R2059" i="2"/>
  <c r="U1665" i="2"/>
  <c r="P1571" i="2"/>
  <c r="T1788" i="2"/>
  <c r="L2285" i="2"/>
  <c r="T1868" i="2"/>
  <c r="S2143" i="2"/>
  <c r="Q2106" i="2"/>
  <c r="O2150" i="2"/>
  <c r="K1578" i="2"/>
  <c r="U1605" i="2"/>
  <c r="P1977" i="2"/>
  <c r="Q2288" i="2"/>
  <c r="P2281" i="2"/>
  <c r="M2178" i="2"/>
  <c r="N1821" i="2"/>
  <c r="S2312" i="2"/>
  <c r="K2224" i="2"/>
  <c r="K2026" i="2"/>
  <c r="N1944" i="2"/>
  <c r="U2066" i="2"/>
  <c r="O2018" i="2"/>
  <c r="O1636" i="2"/>
  <c r="K1913" i="2"/>
  <c r="L1842" i="2"/>
  <c r="O1739" i="2"/>
  <c r="O2027" i="2"/>
  <c r="J2107" i="2"/>
  <c r="Q1998" i="2"/>
  <c r="J1755" i="2"/>
  <c r="M1758" i="2"/>
  <c r="K2143" i="2"/>
  <c r="L1830" i="2"/>
  <c r="P2006" i="2"/>
  <c r="P1940" i="2"/>
  <c r="T1656" i="2"/>
  <c r="O2229" i="2"/>
  <c r="O2152" i="2"/>
  <c r="N2172" i="2"/>
  <c r="J1930" i="2"/>
  <c r="O2288" i="2"/>
  <c r="K1952" i="2"/>
  <c r="N2079" i="2"/>
  <c r="K2283" i="2"/>
  <c r="T2270" i="2"/>
  <c r="U2089" i="2"/>
  <c r="J2102" i="2"/>
  <c r="Q2062" i="2"/>
  <c r="N1834" i="2"/>
  <c r="Q2248" i="2"/>
  <c r="J1948" i="2"/>
  <c r="J2016" i="2"/>
  <c r="O1693" i="2"/>
  <c r="S2044" i="2"/>
  <c r="O2216" i="2"/>
  <c r="L1907" i="2"/>
  <c r="N1873" i="2"/>
  <c r="J1911" i="2"/>
  <c r="S1702" i="2"/>
  <c r="R1982" i="2"/>
  <c r="P2057" i="2"/>
  <c r="P2128" i="2"/>
  <c r="O1968" i="2"/>
  <c r="U1513" i="2"/>
  <c r="P1780" i="2"/>
  <c r="T1874" i="2"/>
  <c r="N1980" i="2"/>
  <c r="Q2231" i="2"/>
  <c r="Q1911" i="2"/>
  <c r="P1538" i="2"/>
  <c r="J1902" i="2"/>
  <c r="K2034" i="2"/>
  <c r="L2131" i="2"/>
  <c r="N2087" i="2"/>
  <c r="S1997" i="2"/>
  <c r="P2230" i="2"/>
  <c r="N2111" i="2"/>
  <c r="J2203" i="2"/>
  <c r="O1829" i="2"/>
  <c r="N2044" i="2"/>
  <c r="R1890" i="2"/>
  <c r="N1831" i="2"/>
  <c r="J1753" i="2"/>
  <c r="S1919" i="2"/>
  <c r="K2173" i="2"/>
  <c r="S2306" i="2"/>
  <c r="S2058" i="2"/>
  <c r="L2118" i="2"/>
  <c r="M1665" i="2"/>
  <c r="U1981" i="2"/>
  <c r="L2312" i="2"/>
  <c r="Q2093" i="2"/>
  <c r="J2105" i="2"/>
  <c r="L1951" i="2"/>
  <c r="M2078" i="2"/>
  <c r="K2269" i="2"/>
  <c r="U1940" i="2"/>
  <c r="P2122" i="2"/>
  <c r="L1999" i="2"/>
  <c r="U1911" i="2"/>
  <c r="N2120" i="2"/>
  <c r="O1940" i="2"/>
  <c r="O2040" i="2"/>
  <c r="R2031" i="2"/>
  <c r="R1633" i="2"/>
  <c r="J1966" i="2"/>
  <c r="S1717" i="2"/>
  <c r="R2244" i="2"/>
  <c r="U2051" i="2"/>
  <c r="T2256" i="2"/>
  <c r="P1959" i="2"/>
  <c r="L2052" i="2"/>
  <c r="P1845" i="2"/>
  <c r="K1934" i="2"/>
  <c r="L2273" i="2"/>
  <c r="M2165" i="2"/>
  <c r="O2081" i="2"/>
  <c r="Q1953" i="2"/>
  <c r="O2082" i="2"/>
  <c r="O2148" i="2"/>
  <c r="Q2159" i="2"/>
  <c r="M2046" i="2"/>
  <c r="L1859" i="2"/>
  <c r="R1995" i="2"/>
  <c r="K1746" i="2"/>
  <c r="K1795" i="2"/>
  <c r="J2030" i="2"/>
  <c r="K1888" i="2"/>
  <c r="N1598" i="2"/>
  <c r="U1546" i="2"/>
  <c r="P2268" i="2"/>
  <c r="T1926" i="2"/>
  <c r="U2125" i="2"/>
  <c r="U2099" i="2"/>
  <c r="M2021" i="2"/>
  <c r="T1607" i="2"/>
  <c r="O1664" i="2"/>
  <c r="U1718" i="2"/>
  <c r="O1743" i="2"/>
  <c r="L2178" i="2"/>
  <c r="Q2116" i="2"/>
  <c r="Q2052" i="2"/>
  <c r="T1934" i="2"/>
  <c r="N2287" i="2"/>
  <c r="Q2271" i="2"/>
  <c r="J2275" i="2"/>
  <c r="R2093" i="2"/>
  <c r="T1923" i="2"/>
  <c r="S1826" i="2"/>
  <c r="P1848" i="2"/>
  <c r="S2292" i="2"/>
  <c r="N2191" i="2"/>
  <c r="M2212" i="2"/>
  <c r="T2240" i="2"/>
  <c r="R2238" i="2"/>
  <c r="T2299" i="2"/>
  <c r="R2036" i="2"/>
  <c r="R1693" i="2"/>
  <c r="S2304" i="2"/>
  <c r="U1825" i="2"/>
  <c r="T1776" i="2"/>
  <c r="T1678" i="2"/>
  <c r="P1923" i="2"/>
  <c r="R2090" i="2"/>
  <c r="P1993" i="2"/>
  <c r="K2144" i="2"/>
  <c r="N2140" i="2"/>
  <c r="U1999" i="2"/>
  <c r="K2204" i="2"/>
  <c r="O1944" i="2"/>
  <c r="L1936" i="2"/>
  <c r="P2184" i="2"/>
  <c r="Q2211" i="2"/>
  <c r="T2104" i="2"/>
  <c r="Q2091" i="2"/>
  <c r="T2136" i="2"/>
  <c r="M1985" i="2"/>
  <c r="N1813" i="2"/>
  <c r="J2089" i="2"/>
  <c r="Q1900" i="2"/>
  <c r="U1810" i="2"/>
  <c r="L2208" i="2"/>
  <c r="S1837" i="2"/>
  <c r="N2026" i="2"/>
  <c r="P1696" i="2"/>
  <c r="S2251" i="2"/>
  <c r="K2175" i="2"/>
  <c r="Q2014" i="2"/>
  <c r="N2302" i="2"/>
  <c r="N2188" i="2"/>
  <c r="R2312" i="2"/>
  <c r="P2309" i="2"/>
  <c r="J1616" i="2"/>
  <c r="T1901" i="2"/>
  <c r="T2271" i="2"/>
  <c r="S1964" i="2"/>
  <c r="Q1679" i="2"/>
  <c r="O1919" i="2"/>
  <c r="K1817" i="2"/>
  <c r="O2098" i="2"/>
  <c r="N2010" i="2"/>
  <c r="R1974" i="2"/>
  <c r="P1873" i="2"/>
  <c r="U1738" i="2"/>
  <c r="K2237" i="2"/>
  <c r="Q1819" i="2"/>
  <c r="P1976" i="2"/>
  <c r="P1928" i="2"/>
  <c r="P2284" i="2"/>
  <c r="L2096" i="2"/>
  <c r="O2063" i="2"/>
  <c r="O2073" i="2"/>
  <c r="N1895" i="2"/>
  <c r="R2276" i="2"/>
  <c r="M2149" i="2"/>
  <c r="M2121" i="2"/>
  <c r="P1781" i="2"/>
  <c r="L2280" i="2"/>
  <c r="T1612" i="2"/>
  <c r="P1650" i="2"/>
  <c r="S2193" i="2"/>
  <c r="U2126" i="2"/>
  <c r="L2219" i="2"/>
  <c r="P2022" i="2"/>
  <c r="K1915" i="2"/>
  <c r="Q2088" i="2"/>
  <c r="S1932" i="2"/>
  <c r="N2222" i="2"/>
  <c r="J2217" i="2"/>
  <c r="Q2175" i="2"/>
  <c r="K2096" i="2"/>
  <c r="Q2225" i="2"/>
  <c r="T2081" i="2"/>
  <c r="P2030" i="2"/>
  <c r="N2001" i="2"/>
  <c r="J2218" i="2"/>
  <c r="P1999" i="2"/>
  <c r="N1752" i="2"/>
  <c r="O1544" i="2"/>
  <c r="O2055" i="2"/>
  <c r="L1977" i="2"/>
  <c r="N1624" i="2"/>
  <c r="J1629" i="2"/>
  <c r="U1830" i="2"/>
  <c r="L2188" i="2"/>
  <c r="T2227" i="2"/>
  <c r="P2157" i="2"/>
  <c r="Q2084" i="2"/>
  <c r="T1932" i="2"/>
  <c r="U2093" i="2"/>
  <c r="T2304" i="2"/>
  <c r="U2307" i="2"/>
  <c r="O1999" i="2"/>
  <c r="S1739" i="2"/>
  <c r="L2205" i="2"/>
  <c r="T2032" i="2"/>
  <c r="Q2243" i="2"/>
  <c r="R2110" i="2"/>
  <c r="O2124" i="2"/>
  <c r="K1935" i="2"/>
  <c r="O1811" i="2"/>
  <c r="S2048" i="2"/>
  <c r="R2278" i="2"/>
  <c r="R2039" i="2"/>
  <c r="M2186" i="2"/>
  <c r="T1860" i="2"/>
  <c r="P2214" i="2"/>
  <c r="T1845" i="2"/>
  <c r="L1986" i="2"/>
  <c r="K2166" i="2"/>
  <c r="N2149" i="2"/>
  <c r="Q2129" i="2"/>
  <c r="S2035" i="2"/>
  <c r="Q1693" i="2"/>
  <c r="J2243" i="2"/>
  <c r="Q2216" i="2"/>
  <c r="R2139" i="2"/>
  <c r="J1782" i="2"/>
  <c r="L2275" i="2"/>
  <c r="M1698" i="2"/>
  <c r="P1847" i="2"/>
  <c r="L1932" i="2"/>
  <c r="K1748" i="2"/>
  <c r="U1820" i="2"/>
  <c r="T1645" i="2"/>
  <c r="Q2138" i="2"/>
  <c r="Q2124" i="2"/>
  <c r="J1732" i="2"/>
  <c r="O2118" i="2"/>
  <c r="J2073" i="2"/>
  <c r="N2037" i="2"/>
  <c r="K1976" i="2"/>
  <c r="T1749" i="2"/>
  <c r="J2054" i="2"/>
  <c r="P2259" i="2"/>
  <c r="S2082" i="2"/>
  <c r="P1863" i="2"/>
  <c r="M2248" i="2"/>
  <c r="T2127" i="2"/>
  <c r="O2193" i="2"/>
  <c r="U2088" i="2"/>
  <c r="O2235" i="2"/>
  <c r="R2023" i="2"/>
  <c r="Q1894" i="2"/>
  <c r="P1790" i="2"/>
  <c r="T1527" i="2"/>
  <c r="K1781" i="2"/>
  <c r="J2017" i="2"/>
  <c r="S1690" i="2"/>
  <c r="R1913" i="2"/>
  <c r="N1887" i="2"/>
  <c r="S2052" i="2"/>
  <c r="S1882" i="2"/>
  <c r="Q1950" i="2"/>
  <c r="Q1774" i="2"/>
  <c r="T1913" i="2"/>
  <c r="K1774" i="2"/>
  <c r="M1940" i="2"/>
  <c r="N2248" i="2"/>
  <c r="N2208" i="2"/>
  <c r="K1782" i="2"/>
  <c r="U2025" i="2"/>
  <c r="M1642" i="2"/>
  <c r="R1963" i="2"/>
  <c r="M1714" i="2"/>
  <c r="K2011" i="2"/>
  <c r="P2282" i="2"/>
  <c r="N1692" i="2"/>
  <c r="Q1670" i="2"/>
  <c r="P2246" i="2"/>
  <c r="K2004" i="2"/>
  <c r="R1740" i="2"/>
  <c r="O1644" i="2"/>
  <c r="N1530" i="2"/>
  <c r="M1917" i="2"/>
  <c r="S2252" i="2"/>
  <c r="K2095" i="2"/>
  <c r="M2192" i="2"/>
  <c r="R1758" i="2"/>
  <c r="Q1732" i="2"/>
  <c r="N1648" i="2"/>
  <c r="L2090" i="2"/>
  <c r="K2138" i="2"/>
  <c r="N2173" i="2"/>
  <c r="R2286" i="2"/>
  <c r="O2179" i="2"/>
  <c r="S2049" i="2"/>
  <c r="K2017" i="2"/>
  <c r="S2272" i="2"/>
  <c r="O1935" i="2"/>
  <c r="O1580" i="2"/>
  <c r="N1976" i="2"/>
  <c r="P2050" i="2"/>
  <c r="S1935" i="2"/>
  <c r="P2239" i="2"/>
  <c r="R2138" i="2"/>
  <c r="U2132" i="2"/>
  <c r="Q2198" i="2"/>
  <c r="S2188" i="2"/>
  <c r="T1852" i="2"/>
  <c r="L2043" i="2"/>
  <c r="Q2284" i="2"/>
  <c r="L2308" i="2"/>
  <c r="K2072" i="2"/>
  <c r="U2190" i="2"/>
  <c r="K1989" i="2"/>
  <c r="R1855" i="2"/>
  <c r="J1890" i="2"/>
  <c r="P2017" i="2"/>
  <c r="K1893" i="2"/>
  <c r="T2125" i="2"/>
  <c r="R1910" i="2"/>
  <c r="O2047" i="2"/>
  <c r="R1835" i="2"/>
  <c r="Q1802" i="2"/>
  <c r="O2086" i="2"/>
  <c r="K2106" i="2"/>
  <c r="L2034" i="2"/>
  <c r="M2278" i="2"/>
  <c r="O2296" i="2"/>
  <c r="K2201" i="2"/>
  <c r="L2177" i="2"/>
  <c r="L2202" i="2"/>
  <c r="R2251" i="2"/>
  <c r="T2083" i="2"/>
  <c r="U1673" i="2"/>
  <c r="M1809" i="2"/>
  <c r="J1918" i="2"/>
  <c r="P1785" i="2"/>
  <c r="Q1758" i="2"/>
  <c r="Q2241" i="2"/>
  <c r="U2189" i="2"/>
  <c r="O2187" i="2"/>
  <c r="Q2181" i="2"/>
  <c r="Q2028" i="2"/>
  <c r="S1722" i="2"/>
  <c r="P1891" i="2"/>
  <c r="P2171" i="2"/>
  <c r="L2088" i="2"/>
  <c r="S2066" i="2"/>
  <c r="M2152" i="2"/>
  <c r="O2228" i="2"/>
  <c r="N1744" i="2"/>
  <c r="Q1887" i="2"/>
  <c r="U2113" i="2"/>
  <c r="U1898" i="2"/>
  <c r="N2311" i="2"/>
  <c r="U2156" i="2"/>
  <c r="P2120" i="2"/>
  <c r="Q1907" i="2"/>
  <c r="J2261" i="2"/>
  <c r="K1655" i="2"/>
  <c r="L2041" i="2"/>
  <c r="P1795" i="2"/>
  <c r="P2263" i="2"/>
  <c r="R2268" i="2"/>
  <c r="O2048" i="2"/>
  <c r="P1952" i="2"/>
  <c r="U1808" i="2"/>
  <c r="U1661" i="2"/>
  <c r="N2043" i="2"/>
  <c r="J1952" i="2"/>
  <c r="S2255" i="2"/>
  <c r="M2284" i="2"/>
  <c r="S2288" i="2"/>
  <c r="Q2042" i="2"/>
  <c r="M1703" i="2"/>
  <c r="P1914" i="2"/>
  <c r="R1629" i="2"/>
  <c r="J1994" i="2"/>
  <c r="L1959" i="2"/>
  <c r="L2216" i="2"/>
  <c r="P2216" i="2"/>
  <c r="Q2183" i="2"/>
  <c r="T1927" i="2"/>
  <c r="J2120" i="2"/>
  <c r="K1838" i="2"/>
  <c r="P1922" i="2"/>
  <c r="S2207" i="2"/>
  <c r="J2072" i="2"/>
  <c r="S1936" i="2"/>
  <c r="U2253" i="2"/>
  <c r="T2297" i="2"/>
  <c r="S2032" i="2"/>
  <c r="U1976" i="2"/>
  <c r="J1875" i="2"/>
  <c r="K2086" i="2"/>
  <c r="T2168" i="2"/>
  <c r="T2242" i="2"/>
  <c r="J2108" i="2"/>
  <c r="U1818" i="2"/>
  <c r="N2265" i="2"/>
  <c r="J1933" i="2"/>
  <c r="U2029" i="2"/>
  <c r="S1582" i="2"/>
  <c r="R2153" i="2"/>
  <c r="J2179" i="2"/>
  <c r="T2084" i="2"/>
  <c r="N1969" i="2"/>
  <c r="P1670" i="2"/>
  <c r="T1620" i="2"/>
  <c r="O2044" i="2"/>
  <c r="R1899" i="2"/>
  <c r="T2192" i="2"/>
  <c r="N1644" i="2"/>
  <c r="J1827" i="2"/>
  <c r="J2032" i="2"/>
  <c r="K2186" i="2"/>
  <c r="O2189" i="2"/>
  <c r="K2153" i="2"/>
  <c r="L1658" i="2"/>
  <c r="S2247" i="2"/>
  <c r="U1541" i="2"/>
  <c r="P1809" i="2"/>
  <c r="K1797" i="2"/>
  <c r="T1747" i="2"/>
  <c r="Q1652" i="2"/>
  <c r="U2222" i="2"/>
  <c r="L2190" i="2"/>
  <c r="T2187" i="2"/>
  <c r="R2086" i="2"/>
  <c r="K2145" i="2"/>
  <c r="U2057" i="2"/>
  <c r="K1601" i="2"/>
  <c r="J2066" i="2"/>
  <c r="T1750" i="2"/>
  <c r="S1664" i="2"/>
  <c r="R2296" i="2"/>
  <c r="J1887" i="2"/>
  <c r="N1899" i="2"/>
  <c r="N2190" i="2"/>
  <c r="S2194" i="2"/>
  <c r="M2296" i="2"/>
  <c r="K2307" i="2"/>
  <c r="M2063" i="2"/>
  <c r="Q1726" i="2"/>
  <c r="T1688" i="2"/>
  <c r="M2111" i="2"/>
  <c r="L2120" i="2"/>
  <c r="U1839" i="2"/>
  <c r="T2160" i="2"/>
  <c r="M1911" i="2"/>
  <c r="R1762" i="2"/>
  <c r="Q1851" i="2"/>
  <c r="J2074" i="2"/>
  <c r="J1645" i="2"/>
  <c r="M1836" i="2"/>
  <c r="Q1779" i="2"/>
  <c r="R1784" i="2"/>
  <c r="N1565" i="2"/>
  <c r="T2036" i="2"/>
  <c r="J2294" i="2"/>
  <c r="T2263" i="2"/>
  <c r="L1968" i="2"/>
  <c r="U1788" i="2"/>
  <c r="Q1881" i="2"/>
  <c r="S1487" i="2"/>
  <c r="M1867" i="2"/>
  <c r="P2257" i="2"/>
  <c r="N1979" i="2"/>
  <c r="M1906" i="2"/>
  <c r="Q1909" i="2"/>
  <c r="S2046" i="2"/>
  <c r="P1849" i="2"/>
  <c r="N1854" i="2"/>
  <c r="M1901" i="2"/>
  <c r="L2234" i="2"/>
  <c r="Q1986" i="2"/>
  <c r="P2112" i="2"/>
  <c r="Q1869" i="2"/>
  <c r="K1862" i="2"/>
  <c r="N1408" i="2"/>
  <c r="R1985" i="2"/>
  <c r="L1768" i="2"/>
  <c r="Q2272" i="2"/>
  <c r="P1994" i="2"/>
  <c r="O2057" i="2"/>
  <c r="P1692" i="2"/>
  <c r="M1762" i="2"/>
  <c r="K2177" i="2"/>
  <c r="L1974" i="2"/>
  <c r="J1894" i="2"/>
  <c r="K2179" i="2"/>
  <c r="J2227" i="2"/>
  <c r="M2266" i="2"/>
  <c r="J2230" i="2"/>
  <c r="M2150" i="2"/>
  <c r="M1905" i="2"/>
  <c r="T2267" i="2"/>
  <c r="U1636" i="2"/>
  <c r="U1795" i="2"/>
  <c r="N1932" i="2"/>
  <c r="P1970" i="2"/>
  <c r="L1541" i="2"/>
  <c r="P2115" i="2"/>
  <c r="Q2208" i="2"/>
  <c r="P2301" i="2"/>
  <c r="P1815" i="2"/>
  <c r="P2040" i="2"/>
  <c r="R1580" i="2"/>
  <c r="M2008" i="2"/>
  <c r="L2080" i="2"/>
  <c r="J1749" i="2"/>
  <c r="O1604" i="2"/>
  <c r="J2046" i="2"/>
  <c r="M2039" i="2"/>
  <c r="P1945" i="2"/>
  <c r="K2287" i="2"/>
  <c r="R2115" i="2"/>
  <c r="K2103" i="2"/>
  <c r="U2244" i="2"/>
  <c r="M2041" i="2"/>
  <c r="Q2044" i="2"/>
  <c r="K2117" i="2"/>
  <c r="M2163" i="2"/>
  <c r="U1970" i="2"/>
  <c r="L1827" i="2"/>
  <c r="N2106" i="2"/>
  <c r="U2255" i="2"/>
  <c r="O2243" i="2"/>
  <c r="R2270" i="2"/>
  <c r="M1880" i="2"/>
  <c r="N2125" i="2"/>
  <c r="K1744" i="2"/>
  <c r="N1794" i="2"/>
  <c r="P2161" i="2"/>
  <c r="K2298" i="2"/>
  <c r="M1839" i="2"/>
  <c r="P2160" i="2"/>
  <c r="S1849" i="2"/>
  <c r="N2204" i="2"/>
  <c r="K2280" i="2"/>
  <c r="S2267" i="2"/>
  <c r="M2236" i="2"/>
  <c r="M1961" i="2"/>
  <c r="K2084" i="2"/>
  <c r="N1684" i="2"/>
  <c r="J1910" i="2"/>
  <c r="T1718" i="2"/>
  <c r="T1888" i="2"/>
  <c r="R2109" i="2"/>
  <c r="L1919" i="2"/>
  <c r="N1995" i="2"/>
  <c r="T2077" i="2"/>
  <c r="O1861" i="2"/>
  <c r="Q1849" i="2"/>
  <c r="U1750" i="2"/>
  <c r="T1866" i="2"/>
  <c r="O1722" i="2"/>
  <c r="M2297" i="2"/>
  <c r="M2189" i="2"/>
  <c r="U1913" i="2"/>
  <c r="M1912" i="2"/>
  <c r="N1986" i="2"/>
  <c r="L2313" i="2"/>
  <c r="T2058" i="2"/>
  <c r="L2159" i="2"/>
  <c r="Q2192" i="2"/>
  <c r="T1917" i="2"/>
  <c r="N2046" i="2"/>
  <c r="L1722" i="2"/>
  <c r="K1843" i="2"/>
  <c r="U1431" i="2"/>
  <c r="U1878" i="2"/>
  <c r="K1579" i="2"/>
  <c r="K2162" i="2"/>
  <c r="T1706" i="2"/>
  <c r="T2008" i="2"/>
  <c r="M2095" i="2"/>
  <c r="P1982" i="2"/>
  <c r="Q1609" i="2"/>
  <c r="L1740" i="2"/>
  <c r="K1336" i="2"/>
  <c r="T1876" i="2"/>
  <c r="J1796" i="2"/>
  <c r="Q1966" i="2"/>
  <c r="L1966" i="2"/>
  <c r="L1561" i="2"/>
  <c r="R1788" i="2"/>
  <c r="P1747" i="2"/>
  <c r="O1863" i="2"/>
  <c r="K2176" i="2"/>
  <c r="N2109" i="2"/>
  <c r="S1742" i="2"/>
  <c r="O1792" i="2"/>
  <c r="U1964" i="2"/>
  <c r="N2278" i="2"/>
  <c r="P1658" i="2"/>
  <c r="U1685" i="2"/>
  <c r="P2187" i="2"/>
  <c r="L1990" i="2"/>
  <c r="M1661" i="2"/>
  <c r="J1777" i="2"/>
  <c r="T1588" i="2"/>
  <c r="S1774" i="2"/>
  <c r="J1636" i="2"/>
  <c r="T2197" i="2"/>
  <c r="U2148" i="2"/>
  <c r="U2204" i="2"/>
  <c r="M2131" i="2"/>
  <c r="O1945" i="2"/>
  <c r="R1695" i="2"/>
  <c r="T1679" i="2"/>
  <c r="O2076" i="2"/>
  <c r="L1652" i="2"/>
  <c r="R1842" i="2"/>
  <c r="N1826" i="2"/>
  <c r="M1983" i="2"/>
  <c r="L2139" i="2"/>
  <c r="U2022" i="2"/>
  <c r="K2301" i="2"/>
  <c r="K1752" i="2"/>
  <c r="K2150" i="2"/>
  <c r="J2247" i="2"/>
  <c r="J2161" i="2"/>
  <c r="R2163" i="2"/>
  <c r="T1786" i="2"/>
  <c r="J2049" i="2"/>
  <c r="K2276" i="2"/>
  <c r="U1861" i="2"/>
  <c r="P1607" i="2"/>
  <c r="Q2230" i="2"/>
  <c r="O2106" i="2"/>
  <c r="L2064" i="2"/>
  <c r="L1917" i="2"/>
  <c r="U1828" i="2"/>
  <c r="J1746" i="2"/>
  <c r="J1669" i="2"/>
  <c r="M2184" i="2"/>
  <c r="R2128" i="2"/>
  <c r="T2259" i="2"/>
  <c r="K2202" i="2"/>
  <c r="Q2195" i="2"/>
  <c r="N2276" i="2"/>
  <c r="L2183" i="2"/>
  <c r="N1984" i="2"/>
  <c r="M2140" i="2"/>
  <c r="O2239" i="2"/>
  <c r="M2085" i="2"/>
  <c r="T1748" i="2"/>
  <c r="M1667" i="2"/>
  <c r="P2297" i="2"/>
  <c r="J2134" i="2"/>
  <c r="J2104" i="2"/>
  <c r="K1988" i="2"/>
  <c r="P2182" i="2"/>
  <c r="U2136" i="2"/>
  <c r="P2193" i="2"/>
  <c r="O2168" i="2"/>
  <c r="M2294" i="2"/>
  <c r="P2211" i="2"/>
  <c r="S2224" i="2"/>
  <c r="S2302" i="2"/>
  <c r="R2207" i="2"/>
  <c r="S1915" i="2"/>
  <c r="R1878" i="2"/>
  <c r="L2078" i="2"/>
  <c r="M1666" i="2"/>
  <c r="O1593" i="2"/>
  <c r="O2105" i="2"/>
  <c r="T1920" i="2"/>
  <c r="P1630" i="2"/>
  <c r="M2185" i="2"/>
  <c r="N2260" i="2"/>
  <c r="U2110" i="2"/>
  <c r="J1834" i="2"/>
  <c r="S1937" i="2"/>
  <c r="S1945" i="2"/>
  <c r="U2173" i="2"/>
  <c r="T1899" i="2"/>
  <c r="R2008" i="2"/>
  <c r="U1887" i="2"/>
  <c r="J2170" i="2"/>
  <c r="O1846" i="2"/>
  <c r="T1990" i="2"/>
  <c r="L1678" i="2"/>
  <c r="J1791" i="2"/>
  <c r="K2049" i="2"/>
  <c r="R1912" i="2"/>
  <c r="U2106" i="2"/>
  <c r="P2292" i="2"/>
  <c r="K2300" i="2"/>
  <c r="P2185" i="2"/>
  <c r="M2048" i="2"/>
  <c r="K1984" i="2"/>
  <c r="L2027" i="2"/>
  <c r="N1776" i="2"/>
  <c r="R1675" i="2"/>
  <c r="U2223" i="2"/>
  <c r="K2120" i="2"/>
  <c r="L2055" i="2"/>
  <c r="N2016" i="2"/>
  <c r="Q2170" i="2"/>
  <c r="O1970" i="2"/>
  <c r="O2075" i="2"/>
  <c r="S1870" i="2"/>
  <c r="M1997" i="2"/>
  <c r="Q2239" i="2"/>
  <c r="N2154" i="2"/>
  <c r="T2012" i="2"/>
  <c r="P2084" i="2"/>
  <c r="P1998" i="2"/>
  <c r="T1806" i="2"/>
  <c r="T1820" i="2"/>
  <c r="S1924" i="2"/>
  <c r="P1663" i="2"/>
  <c r="R1839" i="2"/>
  <c r="M2287" i="2"/>
  <c r="J1748" i="2"/>
  <c r="O1675" i="2"/>
  <c r="P2043" i="2"/>
  <c r="K2098" i="2"/>
  <c r="L1947" i="2"/>
  <c r="J1595" i="2"/>
  <c r="U1734" i="2"/>
  <c r="P1406" i="2"/>
  <c r="P2071" i="2"/>
  <c r="P1887" i="2"/>
  <c r="L2083" i="2"/>
  <c r="O2227" i="2"/>
  <c r="O1647" i="2"/>
  <c r="R1607" i="2"/>
  <c r="O2029" i="2"/>
  <c r="N1817" i="2"/>
  <c r="T1880" i="2"/>
  <c r="N1727" i="2"/>
  <c r="T1843" i="2"/>
  <c r="K1329" i="2"/>
  <c r="N2055" i="2"/>
  <c r="J2176" i="2"/>
  <c r="J1376" i="2"/>
  <c r="R1785" i="2"/>
  <c r="K1692" i="2"/>
  <c r="R1989" i="2"/>
  <c r="K2139" i="2"/>
  <c r="T1930" i="2"/>
  <c r="M1587" i="2"/>
  <c r="S1862" i="2"/>
  <c r="L1864" i="2"/>
  <c r="N1918" i="2"/>
  <c r="N1554" i="2"/>
  <c r="K2055" i="2"/>
  <c r="J1562" i="2"/>
  <c r="S1734" i="2"/>
  <c r="P1776" i="2"/>
  <c r="M1473" i="2"/>
  <c r="N2051" i="2"/>
  <c r="U2299" i="2"/>
  <c r="R2154" i="2"/>
  <c r="Q2082" i="2"/>
  <c r="R1911" i="2"/>
  <c r="M2136" i="2"/>
  <c r="L2266" i="2"/>
  <c r="M1987" i="2"/>
  <c r="O1648" i="2"/>
  <c r="N2137" i="2"/>
  <c r="Q2019" i="2"/>
  <c r="L1929" i="2"/>
  <c r="S2088" i="2"/>
  <c r="N1910" i="2"/>
  <c r="Q1719" i="2"/>
  <c r="Q2102" i="2"/>
  <c r="J2033" i="2"/>
  <c r="O2051" i="2"/>
  <c r="T2218" i="2"/>
  <c r="N2215" i="2"/>
  <c r="U1938" i="2"/>
  <c r="O1868" i="2"/>
  <c r="L1945" i="2"/>
  <c r="O1793" i="2"/>
  <c r="U2036" i="2"/>
  <c r="K2254" i="2"/>
  <c r="L2011" i="2"/>
  <c r="Q1991" i="2"/>
  <c r="O1964" i="2"/>
  <c r="K2048" i="2"/>
  <c r="Q1597" i="2"/>
  <c r="S2218" i="2"/>
  <c r="T2163" i="2"/>
  <c r="R1858" i="2"/>
  <c r="K2149" i="2"/>
  <c r="K2245" i="2"/>
  <c r="J1860" i="2"/>
  <c r="U1614" i="2"/>
  <c r="K1779" i="2"/>
  <c r="R1647" i="2"/>
  <c r="R2191" i="2"/>
  <c r="U1972" i="2"/>
  <c r="M1630" i="2"/>
  <c r="P2074" i="2"/>
  <c r="M1958" i="2"/>
  <c r="O1601" i="2"/>
  <c r="N1509" i="2"/>
  <c r="R2264" i="2"/>
  <c r="K2158" i="2"/>
  <c r="T1981" i="2"/>
  <c r="R1914" i="2"/>
  <c r="M1931" i="2"/>
  <c r="L1508" i="2"/>
  <c r="L2263" i="2"/>
  <c r="N1877" i="2"/>
  <c r="M1604" i="2"/>
  <c r="K2078" i="2"/>
  <c r="T2111" i="2"/>
  <c r="O1581" i="2"/>
  <c r="P2280" i="2"/>
  <c r="N2019" i="2"/>
  <c r="M2158" i="2"/>
  <c r="N1858" i="2"/>
  <c r="K1919" i="2"/>
  <c r="J2277" i="2"/>
  <c r="N2118" i="2"/>
  <c r="S1946" i="2"/>
  <c r="J1881" i="2"/>
  <c r="T2292" i="2"/>
  <c r="L1851" i="2"/>
  <c r="P1811" i="2"/>
  <c r="P1943" i="2"/>
  <c r="P1771" i="2"/>
  <c r="L1749" i="2"/>
  <c r="M1926" i="2"/>
  <c r="T2101" i="2"/>
  <c r="R1869" i="2"/>
  <c r="Q1818" i="2"/>
  <c r="R1656" i="2"/>
  <c r="T1752" i="2"/>
  <c r="J2116" i="2"/>
  <c r="O1752" i="2"/>
  <c r="Q1796" i="2"/>
  <c r="N1160" i="2"/>
  <c r="J1844" i="2"/>
  <c r="J2311" i="2"/>
  <c r="R2051" i="2"/>
  <c r="T1768" i="2"/>
  <c r="M2213" i="2"/>
  <c r="J1549" i="2"/>
  <c r="N1532" i="2"/>
  <c r="N2069" i="2"/>
  <c r="T1784" i="2"/>
  <c r="J1703" i="2"/>
  <c r="O1680" i="2"/>
  <c r="L2045" i="2"/>
  <c r="R1962" i="2"/>
  <c r="U1956" i="2"/>
  <c r="P1777" i="2"/>
  <c r="U1440" i="2"/>
  <c r="J1420" i="2"/>
  <c r="J1758" i="2"/>
  <c r="S1653" i="2"/>
  <c r="M2110" i="2"/>
  <c r="P1878" i="2"/>
  <c r="U1851" i="2"/>
  <c r="P1703" i="2"/>
  <c r="Q2224" i="2"/>
  <c r="M2311" i="2"/>
  <c r="N2249" i="2"/>
  <c r="K1652" i="2"/>
  <c r="U1900" i="2"/>
  <c r="N2123" i="2"/>
  <c r="T2248" i="2"/>
  <c r="M1874" i="2"/>
  <c r="N2081" i="2"/>
  <c r="Q2310" i="2"/>
  <c r="P2180" i="2"/>
  <c r="Q2166" i="2"/>
  <c r="R2098" i="2"/>
  <c r="J2093" i="2"/>
  <c r="L1660" i="2"/>
  <c r="Q1854" i="2"/>
  <c r="R2095" i="2"/>
  <c r="T1862" i="2"/>
  <c r="Q2051" i="2"/>
  <c r="N2040" i="2"/>
  <c r="O2289" i="2"/>
  <c r="Q1982" i="2"/>
  <c r="M2032" i="2"/>
  <c r="L1785" i="2"/>
  <c r="M1936" i="2"/>
  <c r="T2313" i="2"/>
  <c r="U2158" i="2"/>
  <c r="S2005" i="2"/>
  <c r="J1922" i="2"/>
  <c r="T2054" i="2"/>
  <c r="M1632" i="2"/>
  <c r="K1969" i="2"/>
  <c r="S2300" i="2"/>
  <c r="K1856" i="2"/>
  <c r="T2251" i="2"/>
  <c r="M2082" i="2"/>
  <c r="P2082" i="2"/>
  <c r="U2092" i="2"/>
  <c r="N1882" i="2"/>
  <c r="T1869" i="2"/>
  <c r="R2253" i="2"/>
  <c r="T2115" i="2"/>
  <c r="U1832" i="2"/>
  <c r="K2305" i="2"/>
  <c r="N2057" i="2"/>
  <c r="J1695" i="2"/>
  <c r="P2134" i="2"/>
  <c r="T1813" i="2"/>
  <c r="Q2312" i="2"/>
  <c r="L1963" i="2"/>
  <c r="L2179" i="2"/>
  <c r="Q1826" i="2"/>
  <c r="N1688" i="2"/>
  <c r="O2103" i="2"/>
  <c r="Q1804" i="2"/>
  <c r="L1579" i="2"/>
  <c r="U2246" i="2"/>
  <c r="S1994" i="2"/>
  <c r="O2121" i="2"/>
  <c r="P1861" i="2"/>
  <c r="U1912" i="2"/>
  <c r="R1961" i="2"/>
  <c r="R2029" i="2"/>
  <c r="R1599" i="2"/>
  <c r="S2060" i="2"/>
  <c r="L1925" i="2"/>
  <c r="L1812" i="2"/>
  <c r="T1705" i="2"/>
  <c r="J2126" i="2"/>
  <c r="P1894" i="2"/>
  <c r="J1623" i="2"/>
  <c r="Q1995" i="2"/>
  <c r="L2128" i="2"/>
  <c r="U1804" i="2"/>
  <c r="K2294" i="2"/>
  <c r="U1928" i="2"/>
  <c r="L1838" i="2"/>
  <c r="J1142" i="2"/>
  <c r="L2062" i="2"/>
  <c r="S1749" i="2"/>
  <c r="M1786" i="2"/>
  <c r="P1756" i="2"/>
  <c r="Q1725" i="2"/>
  <c r="L1818" i="2"/>
  <c r="P1956" i="2"/>
  <c r="L1996" i="2"/>
  <c r="U1982" i="2"/>
  <c r="S1748" i="2"/>
  <c r="Q1638" i="2"/>
  <c r="R1132" i="2"/>
  <c r="L1775" i="2"/>
  <c r="K1436" i="2"/>
  <c r="L2017" i="2"/>
  <c r="T1611" i="2"/>
  <c r="N2093" i="2"/>
  <c r="U2084" i="2"/>
  <c r="R2018" i="2"/>
  <c r="S1622" i="2"/>
  <c r="T1891" i="2"/>
  <c r="S1673" i="2"/>
  <c r="M1897" i="2"/>
  <c r="Q1614" i="2"/>
  <c r="J1359" i="2"/>
  <c r="T1821" i="2"/>
  <c r="O1891" i="2"/>
  <c r="U1490" i="2"/>
  <c r="N1647" i="2"/>
  <c r="R1860" i="2"/>
  <c r="M1751" i="2"/>
  <c r="P1881" i="2"/>
  <c r="Q1685" i="2"/>
  <c r="O1577" i="2"/>
  <c r="J1950" i="2"/>
  <c r="L2063" i="2"/>
  <c r="M1537" i="2"/>
  <c r="Q1551" i="2"/>
  <c r="J1202" i="2"/>
  <c r="Q1518" i="2"/>
  <c r="S1841" i="2"/>
  <c r="L1942" i="2"/>
  <c r="O1564" i="2"/>
  <c r="P1474" i="2"/>
  <c r="L1641" i="2"/>
  <c r="U1585" i="2"/>
  <c r="L1643" i="2"/>
  <c r="K1803" i="2"/>
  <c r="U1971" i="2"/>
  <c r="U2286" i="2"/>
  <c r="M2194" i="2"/>
  <c r="Q1820" i="2"/>
  <c r="N1985" i="2"/>
  <c r="N1844" i="2"/>
  <c r="N2225" i="2"/>
  <c r="N2281" i="2"/>
  <c r="M2003" i="2"/>
  <c r="J2284" i="2"/>
  <c r="M2130" i="2"/>
  <c r="T1993" i="2"/>
  <c r="O1843" i="2"/>
  <c r="L1876" i="2"/>
  <c r="Q2005" i="2"/>
  <c r="U1618" i="2"/>
  <c r="M1868" i="2"/>
  <c r="J2239" i="2"/>
  <c r="S2167" i="2"/>
  <c r="N1972" i="2"/>
  <c r="K1962" i="2"/>
  <c r="M1964" i="2"/>
  <c r="R2065" i="2"/>
  <c r="J1841" i="2"/>
  <c r="O2264" i="2"/>
  <c r="R2279" i="2"/>
  <c r="R1983" i="2"/>
  <c r="J2215" i="2"/>
  <c r="S1962" i="2"/>
  <c r="T2088" i="2"/>
  <c r="P2229" i="2"/>
  <c r="O1841" i="2"/>
  <c r="L2212" i="2"/>
  <c r="T2016" i="2"/>
  <c r="R1854" i="2"/>
  <c r="N1626" i="2"/>
  <c r="M1891" i="2"/>
  <c r="S2183" i="2"/>
  <c r="Q1739" i="2"/>
  <c r="S1969" i="2"/>
  <c r="L2058" i="2"/>
  <c r="T2097" i="2"/>
  <c r="Q2215" i="2"/>
  <c r="J1612" i="2"/>
  <c r="O1803" i="2"/>
  <c r="Q1891" i="2"/>
  <c r="N1909" i="2"/>
  <c r="N1633" i="2"/>
  <c r="P2025" i="2"/>
  <c r="J2271" i="2"/>
  <c r="O2200" i="2"/>
  <c r="T1622" i="2"/>
  <c r="J1855" i="2"/>
  <c r="M1746" i="2"/>
  <c r="N1787" i="2"/>
  <c r="R2272" i="2"/>
  <c r="K2060" i="2"/>
  <c r="P2055" i="2"/>
  <c r="N2271" i="2"/>
  <c r="T2207" i="2"/>
  <c r="M1902" i="2"/>
  <c r="S1943" i="2"/>
  <c r="S2126" i="2"/>
  <c r="Q1913" i="2"/>
  <c r="L1899" i="2"/>
  <c r="L1738" i="2"/>
  <c r="M1982" i="2"/>
  <c r="T2050" i="2"/>
  <c r="N1746" i="2"/>
  <c r="N1796" i="2"/>
  <c r="N1576" i="2"/>
  <c r="M1948" i="2"/>
  <c r="M2024" i="2"/>
  <c r="L1962" i="2"/>
  <c r="J2085" i="2"/>
  <c r="J1807" i="2"/>
  <c r="Q2210" i="2"/>
  <c r="M1922" i="2"/>
  <c r="U1883" i="2"/>
  <c r="P2260" i="2"/>
  <c r="S2014" i="2"/>
  <c r="L2049" i="2"/>
  <c r="M1990" i="2"/>
  <c r="U2242" i="2"/>
  <c r="O2175" i="2"/>
  <c r="S1700" i="2"/>
  <c r="T1756" i="2"/>
  <c r="J1598" i="2"/>
  <c r="O2297" i="2"/>
  <c r="L2227" i="2"/>
  <c r="S1668" i="2"/>
  <c r="U2276" i="2"/>
  <c r="M1831" i="2"/>
  <c r="R2055" i="2"/>
  <c r="Q2157" i="2"/>
  <c r="O1877" i="2"/>
  <c r="Q2061" i="2"/>
  <c r="M1840" i="2"/>
  <c r="R1669" i="2"/>
  <c r="P1582" i="2"/>
  <c r="J2036" i="2"/>
  <c r="T2164" i="2"/>
  <c r="S1902" i="2"/>
  <c r="P2152" i="2"/>
  <c r="L2059" i="2"/>
  <c r="N2008" i="2"/>
  <c r="M2036" i="2"/>
  <c r="M2074" i="2"/>
  <c r="S1981" i="2"/>
  <c r="P1889" i="2"/>
  <c r="Q1944" i="2"/>
  <c r="T1671" i="2"/>
  <c r="Q1932" i="2"/>
  <c r="R2173" i="2"/>
  <c r="J2156" i="2"/>
  <c r="P1904" i="2"/>
  <c r="P1946" i="2"/>
  <c r="K1860" i="2"/>
  <c r="M1677" i="2"/>
  <c r="Q2094" i="2"/>
  <c r="T2179" i="2"/>
  <c r="L2153" i="2"/>
  <c r="R2210" i="2"/>
  <c r="U2073" i="2"/>
  <c r="N1747" i="2"/>
  <c r="K2052" i="2"/>
  <c r="Q1675" i="2"/>
  <c r="S1489" i="2"/>
  <c r="M1927" i="2"/>
  <c r="P1932" i="2"/>
  <c r="O1621" i="2"/>
  <c r="U2109" i="2"/>
  <c r="R1849" i="2"/>
  <c r="K1558" i="2"/>
  <c r="Q1571" i="2"/>
  <c r="T2295" i="2"/>
  <c r="Q2055" i="2"/>
  <c r="R1975" i="2"/>
  <c r="S2069" i="2"/>
  <c r="U2054" i="2"/>
  <c r="T2301" i="2"/>
  <c r="Q1866" i="2"/>
  <c r="R1559" i="2"/>
  <c r="S1966" i="2"/>
  <c r="O2249" i="2"/>
  <c r="P2191" i="2"/>
  <c r="Q1999" i="2"/>
  <c r="M1577" i="2"/>
  <c r="R2194" i="2"/>
  <c r="S2307" i="2"/>
  <c r="T1842" i="2"/>
  <c r="K2252" i="2"/>
  <c r="R2009" i="2"/>
  <c r="J1823" i="2"/>
  <c r="P1760" i="2"/>
  <c r="R1993" i="2"/>
  <c r="U2141" i="2"/>
  <c r="M2072" i="2"/>
  <c r="U2087" i="2"/>
  <c r="L2277" i="2"/>
  <c r="N1897" i="2"/>
  <c r="Q2108" i="2"/>
  <c r="M2160" i="2"/>
  <c r="P2103" i="2"/>
  <c r="O2080" i="2"/>
  <c r="U2072" i="2"/>
  <c r="U1662" i="2"/>
  <c r="P1975" i="2"/>
  <c r="L2226" i="2"/>
  <c r="S2211" i="2"/>
  <c r="Q2162" i="2"/>
  <c r="K2024" i="2"/>
  <c r="N2020" i="2"/>
  <c r="O1952" i="2"/>
  <c r="S2206" i="2"/>
  <c r="M2290" i="2"/>
  <c r="Q1892" i="2"/>
  <c r="P2287" i="2"/>
  <c r="J2011" i="2"/>
  <c r="L1573" i="2"/>
  <c r="J2096" i="2"/>
  <c r="M2214" i="2"/>
  <c r="Q2186" i="2"/>
  <c r="O2142" i="2"/>
  <c r="M1702" i="2"/>
  <c r="R2314" i="2"/>
  <c r="R1726" i="2"/>
  <c r="L2245" i="2"/>
  <c r="K2075" i="2"/>
  <c r="M2065" i="2"/>
  <c r="J2199" i="2"/>
  <c r="M1841" i="2"/>
  <c r="J2142" i="2"/>
  <c r="L2071" i="2"/>
  <c r="K1991" i="2"/>
  <c r="P2221" i="2"/>
  <c r="R1529" i="2"/>
  <c r="O1602" i="2"/>
  <c r="R1969" i="2"/>
  <c r="Q2306" i="2"/>
  <c r="L1918" i="2"/>
  <c r="U2138" i="2"/>
  <c r="L2232" i="2"/>
  <c r="O2231" i="2"/>
  <c r="M1934" i="2"/>
  <c r="R1852" i="2"/>
  <c r="J2201" i="2"/>
  <c r="S1798" i="2"/>
  <c r="O1941" i="2"/>
  <c r="T1907" i="2"/>
  <c r="O2279" i="2"/>
  <c r="K2240" i="2"/>
  <c r="N1853" i="2"/>
  <c r="M2281" i="2"/>
  <c r="P1905" i="2"/>
  <c r="U1952" i="2"/>
  <c r="S2112" i="2"/>
  <c r="U1612" i="2"/>
  <c r="N1965" i="2"/>
  <c r="T1722" i="2"/>
  <c r="U2203" i="2"/>
  <c r="U2251" i="2"/>
  <c r="T2216" i="2"/>
  <c r="T1793" i="2"/>
  <c r="M2033" i="2"/>
  <c r="M2106" i="2"/>
  <c r="R1936" i="2"/>
  <c r="J1995" i="2"/>
  <c r="Q2134" i="2"/>
  <c r="L1891" i="2"/>
  <c r="N1764" i="2"/>
  <c r="U1760" i="2"/>
  <c r="S2264" i="2"/>
  <c r="J2169" i="2"/>
  <c r="T2099" i="2"/>
  <c r="K1951" i="2"/>
  <c r="S2110" i="2"/>
  <c r="R2126" i="2"/>
  <c r="M2069" i="2"/>
  <c r="R2145" i="2"/>
  <c r="J1937" i="2"/>
  <c r="U1799" i="2"/>
  <c r="N1883" i="2"/>
  <c r="J2071" i="2"/>
  <c r="U1595" i="2"/>
  <c r="S1646" i="2"/>
  <c r="K1954" i="2"/>
  <c r="M2108" i="2"/>
  <c r="O2215" i="2"/>
  <c r="P1627" i="2"/>
  <c r="U1871" i="2"/>
  <c r="L1794" i="2"/>
  <c r="S1920" i="2"/>
  <c r="U2010" i="2"/>
  <c r="S2195" i="2"/>
  <c r="U2185" i="2"/>
  <c r="Q2009" i="2"/>
  <c r="P1980" i="2"/>
  <c r="U1993" i="2"/>
  <c r="N1795" i="2"/>
  <c r="Q2286" i="2"/>
  <c r="P2132" i="2"/>
  <c r="L1843" i="2"/>
  <c r="L2010" i="2"/>
  <c r="L2105" i="2"/>
  <c r="U2004" i="2"/>
  <c r="K1730" i="2"/>
  <c r="R2197" i="2"/>
  <c r="P1871" i="2"/>
  <c r="M2086" i="2"/>
  <c r="T2093" i="2"/>
  <c r="J1742" i="2"/>
  <c r="U2058" i="2"/>
  <c r="N1868" i="2"/>
  <c r="K1786" i="2"/>
  <c r="L1841" i="2"/>
  <c r="P2056" i="2"/>
  <c r="J1785" i="2"/>
  <c r="J1843" i="2"/>
  <c r="K2220" i="2"/>
  <c r="L1971" i="2"/>
  <c r="J1769" i="2"/>
  <c r="M1951" i="2"/>
  <c r="S1420" i="2"/>
  <c r="O1971" i="2"/>
  <c r="S1821" i="2"/>
  <c r="R1932" i="2"/>
  <c r="J1963" i="2"/>
  <c r="N1697" i="2"/>
  <c r="R2063" i="2"/>
  <c r="O1624" i="2"/>
  <c r="Q1994" i="2"/>
  <c r="R2057" i="2"/>
  <c r="Q2068" i="2"/>
  <c r="S1701" i="2"/>
  <c r="O1801" i="2"/>
  <c r="Q2117" i="2"/>
  <c r="U1907" i="2"/>
  <c r="P2288" i="2"/>
  <c r="K1813" i="2"/>
  <c r="R1981" i="2"/>
  <c r="O1688" i="2"/>
  <c r="Q1890" i="2"/>
  <c r="S1737" i="2"/>
  <c r="K1568" i="2"/>
  <c r="O1571" i="2"/>
  <c r="O1832" i="2"/>
  <c r="M1771" i="2"/>
  <c r="N1733" i="2"/>
  <c r="S1817" i="2"/>
  <c r="T1480" i="2"/>
  <c r="Q1421" i="2"/>
  <c r="S2152" i="2"/>
  <c r="K1912" i="2"/>
  <c r="U2176" i="2"/>
  <c r="M2050" i="2"/>
  <c r="S1708" i="2"/>
  <c r="R1578" i="2"/>
  <c r="P1533" i="2"/>
  <c r="Q1775" i="2"/>
  <c r="S1272" i="2"/>
  <c r="L1287" i="2"/>
  <c r="K1974" i="2"/>
  <c r="Q1555" i="2"/>
  <c r="O1607" i="2"/>
  <c r="K1622" i="2"/>
  <c r="J2158" i="2"/>
  <c r="O1484" i="2"/>
  <c r="L1796" i="2"/>
  <c r="P1263" i="2"/>
  <c r="J1596" i="2"/>
  <c r="N2003" i="2"/>
  <c r="T1805" i="2"/>
  <c r="Q1763" i="2"/>
  <c r="M1629" i="2"/>
  <c r="T1952" i="2"/>
  <c r="R1579" i="2"/>
  <c r="R1874" i="2"/>
  <c r="J1888" i="2"/>
  <c r="L1803" i="2"/>
  <c r="Q1978" i="2"/>
  <c r="M1782" i="2"/>
  <c r="P2013" i="2"/>
  <c r="T1835" i="2"/>
  <c r="P1752" i="2"/>
  <c r="L1801" i="2"/>
  <c r="R1494" i="2"/>
  <c r="L1771" i="2"/>
  <c r="O2242" i="2"/>
  <c r="U2302" i="2"/>
  <c r="Q1622" i="2"/>
  <c r="Q2036" i="2"/>
  <c r="U2274" i="2"/>
  <c r="Q1968" i="2"/>
  <c r="R1789" i="2"/>
  <c r="K2102" i="2"/>
  <c r="N2022" i="2"/>
  <c r="J1847" i="2"/>
  <c r="J2014" i="2"/>
  <c r="O2160" i="2"/>
  <c r="J2086" i="2"/>
  <c r="Q2023" i="2"/>
  <c r="N1967" i="2"/>
  <c r="J2312" i="2"/>
  <c r="Q1852" i="2"/>
  <c r="N1832" i="2"/>
  <c r="R2256" i="2"/>
  <c r="J2125" i="2"/>
  <c r="U2200" i="2"/>
  <c r="K1645" i="2"/>
  <c r="S1736" i="2"/>
  <c r="L2193" i="2"/>
  <c r="J2065" i="2"/>
  <c r="K1553" i="2"/>
  <c r="K1987" i="2"/>
  <c r="K2073" i="2"/>
  <c r="N2066" i="2"/>
  <c r="J2039" i="2"/>
  <c r="Q2169" i="2"/>
  <c r="J2272" i="2"/>
  <c r="T2095" i="2"/>
  <c r="P2278" i="2"/>
  <c r="T2241" i="2"/>
  <c r="T1887" i="2"/>
  <c r="U2115" i="2"/>
  <c r="L1728" i="2"/>
  <c r="J2234" i="2"/>
  <c r="J1812" i="2"/>
  <c r="U2305" i="2"/>
  <c r="P2164" i="2"/>
  <c r="L2296" i="2"/>
  <c r="O2170" i="2"/>
  <c r="T2065" i="2"/>
  <c r="J1601" i="2"/>
  <c r="U2105" i="2"/>
  <c r="O1776" i="2"/>
  <c r="T2253" i="2"/>
  <c r="S1735" i="2"/>
  <c r="N2058" i="2"/>
  <c r="K2032" i="2"/>
  <c r="S2192" i="2"/>
  <c r="T2214" i="2"/>
  <c r="J2113" i="2"/>
  <c r="J1907" i="2"/>
  <c r="S1818" i="2"/>
  <c r="K1910" i="2"/>
  <c r="S2028" i="2"/>
  <c r="J2245" i="2"/>
  <c r="R1779" i="2"/>
  <c r="P2064" i="2"/>
  <c r="Q1905" i="2"/>
  <c r="U2212" i="2"/>
  <c r="O2295" i="2"/>
  <c r="N1939" i="2"/>
  <c r="P2032" i="2"/>
  <c r="N1810" i="2"/>
  <c r="R2020" i="2"/>
  <c r="M2177" i="2"/>
  <c r="J2296" i="2"/>
  <c r="N2307" i="2"/>
  <c r="U2123" i="2"/>
  <c r="N2023" i="2"/>
  <c r="P2223" i="2"/>
  <c r="M2023" i="2"/>
  <c r="U1919" i="2"/>
  <c r="J1712" i="2"/>
  <c r="R1923" i="2"/>
  <c r="T1764" i="2"/>
  <c r="O2138" i="2"/>
  <c r="M2202" i="2"/>
  <c r="O1721" i="2"/>
  <c r="O1828" i="2"/>
  <c r="K2141" i="2"/>
  <c r="P1978" i="2"/>
  <c r="N2189" i="2"/>
  <c r="N1952" i="2"/>
  <c r="M1787" i="2"/>
  <c r="Q1910" i="2"/>
  <c r="O1643" i="2"/>
  <c r="L2103" i="2"/>
  <c r="U1814" i="2"/>
  <c r="N2231" i="2"/>
  <c r="P2192" i="2"/>
  <c r="S2259" i="2"/>
  <c r="L2116" i="2"/>
  <c r="R2082" i="2"/>
  <c r="S1839" i="2"/>
  <c r="N2236" i="2"/>
  <c r="L2194" i="2"/>
  <c r="U1617" i="2"/>
  <c r="J2226" i="2"/>
  <c r="U2303" i="2"/>
  <c r="S2024" i="2"/>
  <c r="R1752" i="2"/>
  <c r="M1564" i="2"/>
  <c r="O1630" i="2"/>
  <c r="M2174" i="2"/>
  <c r="N1945" i="2"/>
  <c r="T2055" i="2"/>
  <c r="J1884" i="2"/>
  <c r="U2065" i="2"/>
  <c r="M1857" i="2"/>
  <c r="K1776" i="2"/>
  <c r="M2283" i="2"/>
  <c r="Q1792" i="2"/>
  <c r="P2066" i="2"/>
  <c r="K1885" i="2"/>
  <c r="T1761" i="2"/>
  <c r="T1629" i="2"/>
  <c r="L2289" i="2"/>
  <c r="S1911" i="2"/>
  <c r="L1765" i="2"/>
  <c r="Q2292" i="2"/>
  <c r="T1968" i="2"/>
  <c r="K1820" i="2"/>
  <c r="N2224" i="2"/>
  <c r="R1970" i="2"/>
  <c r="K1540" i="2"/>
  <c r="M1942" i="2"/>
  <c r="Q2001" i="2"/>
  <c r="R1801" i="2"/>
  <c r="T2005" i="2"/>
  <c r="K2121" i="2"/>
  <c r="T1651" i="2"/>
  <c r="M2164" i="2"/>
  <c r="M1943" i="2"/>
  <c r="M1817" i="2"/>
  <c r="N2238" i="2"/>
  <c r="R1653" i="2"/>
  <c r="L1869" i="2"/>
  <c r="O1921" i="2"/>
  <c r="P1839" i="2"/>
  <c r="P1971" i="2"/>
  <c r="L1480" i="2"/>
  <c r="S2197" i="2"/>
  <c r="O1938" i="2"/>
  <c r="T1791" i="2"/>
  <c r="Q1582" i="2"/>
  <c r="M1859" i="2"/>
  <c r="T2276" i="2"/>
  <c r="Q2087" i="2"/>
  <c r="Q2064" i="2"/>
  <c r="O1851" i="2"/>
  <c r="K1842" i="2"/>
  <c r="Q2010" i="2"/>
  <c r="L2174" i="2"/>
  <c r="J1936" i="2"/>
  <c r="O2046" i="2"/>
  <c r="N1761" i="2"/>
  <c r="U1921" i="2"/>
  <c r="U1527" i="2"/>
  <c r="N2041" i="2"/>
  <c r="U1987" i="2"/>
  <c r="R2162" i="2"/>
  <c r="J2022" i="2"/>
  <c r="P1541" i="2"/>
  <c r="N1553" i="2"/>
  <c r="N1946" i="2"/>
  <c r="O2101" i="2"/>
  <c r="P2054" i="2"/>
  <c r="R2024" i="2"/>
  <c r="M1584" i="2"/>
  <c r="L1946" i="2"/>
  <c r="M2153" i="2"/>
  <c r="U1588" i="2"/>
  <c r="Q1945" i="2"/>
  <c r="Q1550" i="2"/>
  <c r="K1732" i="2"/>
  <c r="O2202" i="2"/>
  <c r="K1940" i="2"/>
  <c r="L2094" i="2"/>
  <c r="K1775" i="2"/>
  <c r="M1802" i="2"/>
  <c r="U1625" i="2"/>
  <c r="U1958" i="2"/>
  <c r="J1990" i="2"/>
  <c r="U2146" i="2"/>
  <c r="Q1771" i="2"/>
  <c r="R2088" i="2"/>
  <c r="R2116" i="2"/>
  <c r="T2146" i="2"/>
  <c r="S1649" i="2"/>
  <c r="J1854" i="2"/>
  <c r="T1824" i="2"/>
  <c r="T1659" i="2"/>
  <c r="J1447" i="2"/>
  <c r="M1528" i="2"/>
  <c r="K1938" i="2"/>
  <c r="P1493" i="2"/>
  <c r="M1823" i="2"/>
  <c r="N1757" i="2"/>
  <c r="L2158" i="2"/>
  <c r="P1697" i="2"/>
  <c r="K1564" i="2"/>
  <c r="O1291" i="2"/>
  <c r="O1631" i="2"/>
  <c r="M2043" i="2"/>
  <c r="L2072" i="2"/>
  <c r="S1800" i="2"/>
  <c r="K1815" i="2"/>
  <c r="S1732" i="2"/>
  <c r="O1637" i="2"/>
  <c r="N1912" i="2"/>
  <c r="N1613" i="2"/>
  <c r="P2174" i="2"/>
  <c r="J1870" i="2"/>
  <c r="T1965" i="2"/>
  <c r="K1506" i="2"/>
  <c r="Q1776" i="2"/>
  <c r="K1911" i="2"/>
  <c r="J1259" i="2"/>
  <c r="K1606" i="2"/>
  <c r="U2064" i="2"/>
  <c r="O1802" i="2"/>
  <c r="L2136" i="2"/>
  <c r="R1960" i="2"/>
  <c r="U1809" i="2"/>
  <c r="O2127" i="2"/>
  <c r="M2016" i="2"/>
  <c r="J1690" i="2"/>
  <c r="L1595" i="2"/>
  <c r="T1309" i="2"/>
  <c r="R1423" i="2"/>
  <c r="S1760" i="2"/>
  <c r="J2258" i="2"/>
  <c r="L2022" i="2"/>
  <c r="S1930" i="2"/>
  <c r="S1587" i="2"/>
  <c r="R1482" i="2"/>
  <c r="O1371" i="2"/>
  <c r="L2081" i="2"/>
  <c r="O1911" i="2"/>
  <c r="S1934" i="2"/>
  <c r="K1332" i="2"/>
  <c r="U1984" i="2"/>
  <c r="L1690" i="2"/>
  <c r="S2062" i="2"/>
  <c r="U1594" i="2"/>
  <c r="N2028" i="2"/>
  <c r="U1415" i="2"/>
  <c r="Q1908" i="2"/>
  <c r="P1826" i="2"/>
  <c r="M1764" i="2"/>
  <c r="U1424" i="2"/>
  <c r="L1516" i="2"/>
  <c r="M1530" i="2"/>
  <c r="S2000" i="2"/>
  <c r="T1939" i="2"/>
  <c r="N1896" i="2"/>
  <c r="R1777" i="2"/>
  <c r="O1450" i="2"/>
  <c r="R2046" i="2"/>
  <c r="Q1784" i="2"/>
  <c r="O1820" i="2"/>
  <c r="S1617" i="2"/>
  <c r="T1517" i="2"/>
  <c r="P1521" i="2"/>
  <c r="N1690" i="2"/>
  <c r="J1554" i="2"/>
  <c r="N1815" i="2"/>
  <c r="J1548" i="2"/>
  <c r="P1531" i="2"/>
  <c r="U1587" i="2"/>
  <c r="Q1378" i="2"/>
  <c r="Q2235" i="2"/>
  <c r="S2114" i="2"/>
  <c r="R1622" i="2"/>
  <c r="Q1860" i="2"/>
  <c r="K1740" i="2"/>
  <c r="N1798" i="2"/>
  <c r="O1442" i="2"/>
  <c r="J1235" i="2"/>
  <c r="S1776" i="2"/>
  <c r="U1400" i="2"/>
  <c r="R2218" i="2"/>
  <c r="T2232" i="2"/>
  <c r="U1977" i="2"/>
  <c r="R1751" i="2"/>
  <c r="T2109" i="2"/>
  <c r="R2005" i="2"/>
  <c r="U1948" i="2"/>
  <c r="U1629" i="2"/>
  <c r="L2262" i="2"/>
  <c r="R2069" i="2"/>
  <c r="L1821" i="2"/>
  <c r="J1839" i="2"/>
  <c r="M2250" i="2"/>
  <c r="Q1855" i="2"/>
  <c r="M2155" i="2"/>
  <c r="M1877" i="2"/>
  <c r="O2052" i="2"/>
  <c r="N2230" i="2"/>
  <c r="S1602" i="2"/>
  <c r="J2048" i="2"/>
  <c r="K2051" i="2"/>
  <c r="T1911" i="2"/>
  <c r="S2141" i="2"/>
  <c r="M1886" i="2"/>
  <c r="Q1879" i="2"/>
  <c r="K1738" i="2"/>
  <c r="J1786" i="2"/>
  <c r="Q1668" i="2"/>
  <c r="N1968" i="2"/>
  <c r="U2259" i="2"/>
  <c r="N2217" i="2"/>
  <c r="N2067" i="2"/>
  <c r="K2187" i="2"/>
  <c r="N1741" i="2"/>
  <c r="S1900" i="2"/>
  <c r="O1957" i="2"/>
  <c r="K1966" i="2"/>
  <c r="O1947" i="2"/>
  <c r="J2059" i="2"/>
  <c r="S1842" i="2"/>
  <c r="O1934" i="2"/>
  <c r="O2137" i="2"/>
  <c r="P2091" i="2"/>
  <c r="U1770" i="2"/>
  <c r="O2188" i="2"/>
  <c r="N1881" i="2"/>
  <c r="O2184" i="2"/>
  <c r="L1503" i="2"/>
  <c r="O2282" i="2"/>
  <c r="K2091" i="2"/>
  <c r="U1803" i="2"/>
  <c r="U2245" i="2"/>
  <c r="O2119" i="2"/>
  <c r="K1887" i="2"/>
  <c r="T1894" i="2"/>
  <c r="K1837" i="2"/>
  <c r="N1694" i="2"/>
  <c r="N1936" i="2"/>
  <c r="M1609" i="2"/>
  <c r="T1937" i="2"/>
  <c r="R1838" i="2"/>
  <c r="U1731" i="2"/>
  <c r="R1877" i="2"/>
  <c r="K1777" i="2"/>
  <c r="M1813" i="2"/>
  <c r="K1875" i="2"/>
  <c r="S1876" i="2"/>
  <c r="N2038" i="2"/>
  <c r="T2135" i="2"/>
  <c r="N2036" i="2"/>
  <c r="S1866" i="2"/>
  <c r="S1865" i="2"/>
  <c r="Q1981" i="2"/>
  <c r="R1763" i="2"/>
  <c r="L2028" i="2"/>
  <c r="J1508" i="2"/>
  <c r="T1929" i="2"/>
  <c r="P1704" i="2"/>
  <c r="S1961" i="2"/>
  <c r="Q1934" i="2"/>
  <c r="P1694" i="2"/>
  <c r="S2041" i="2"/>
  <c r="K1714" i="2"/>
  <c r="Q1769" i="2"/>
  <c r="T2103" i="2"/>
  <c r="L1854" i="2"/>
  <c r="T2308" i="2"/>
  <c r="K2002" i="2"/>
  <c r="Q2070" i="2"/>
  <c r="N1729" i="2"/>
  <c r="T1905" i="2"/>
  <c r="S1886" i="2"/>
  <c r="U1713" i="2"/>
  <c r="M1535" i="2"/>
  <c r="N1687" i="2"/>
  <c r="L1620" i="2"/>
  <c r="S2026" i="2"/>
  <c r="K1765" i="2"/>
  <c r="T1789" i="2"/>
  <c r="L1757" i="2"/>
  <c r="Q2314" i="2"/>
  <c r="P1990" i="2"/>
  <c r="Q1689" i="2"/>
  <c r="U1446" i="2"/>
  <c r="J1683" i="2"/>
  <c r="N1531" i="2"/>
  <c r="U1519" i="2"/>
  <c r="K2065" i="2"/>
  <c r="K1812" i="2"/>
  <c r="O1744" i="2"/>
  <c r="O1151" i="2"/>
  <c r="K1417" i="2"/>
  <c r="P1467" i="2"/>
  <c r="T1729" i="2"/>
  <c r="K2247" i="2"/>
  <c r="U1812" i="2"/>
  <c r="P1495" i="2"/>
  <c r="T1602" i="2"/>
  <c r="Q1577" i="2"/>
  <c r="Q1716" i="2"/>
  <c r="S1607" i="2"/>
  <c r="M1625" i="2"/>
  <c r="P1632" i="2"/>
  <c r="R2175" i="2"/>
  <c r="J1831" i="2"/>
  <c r="R1829" i="2"/>
  <c r="M1887" i="2"/>
  <c r="K1519" i="2"/>
  <c r="S1553" i="2"/>
  <c r="P1753" i="2"/>
  <c r="T2102" i="2"/>
  <c r="T1892" i="2"/>
  <c r="T1810" i="2"/>
  <c r="S1372" i="2"/>
  <c r="T1633" i="2"/>
  <c r="K1473" i="2"/>
  <c r="U1689" i="2"/>
  <c r="U1772" i="2"/>
  <c r="T2193" i="2"/>
  <c r="U1641" i="2"/>
  <c r="S1665" i="2"/>
  <c r="K2277" i="2"/>
  <c r="L1829" i="2"/>
  <c r="S2165" i="2"/>
  <c r="R2234" i="2"/>
  <c r="J1563" i="2"/>
  <c r="L1746" i="2"/>
  <c r="L1584" i="2"/>
  <c r="M1479" i="2"/>
  <c r="M2176" i="2"/>
  <c r="Q2111" i="2"/>
  <c r="T2129" i="2"/>
  <c r="L2180" i="2"/>
  <c r="O1694" i="2"/>
  <c r="U2149" i="2"/>
  <c r="N1994" i="2"/>
  <c r="M1709" i="2"/>
  <c r="U2314" i="2"/>
  <c r="P2110" i="2"/>
  <c r="M1849" i="2"/>
  <c r="T1646" i="2"/>
  <c r="Q2146" i="2"/>
  <c r="Q2003" i="2"/>
  <c r="T1936" i="2"/>
  <c r="S1959" i="2"/>
  <c r="N1718" i="2"/>
  <c r="N2266" i="2"/>
  <c r="S2161" i="2"/>
  <c r="M2181" i="2"/>
  <c r="T2045" i="2"/>
  <c r="P1953" i="2"/>
  <c r="P2141" i="2"/>
  <c r="N2035" i="2"/>
  <c r="L1811" i="2"/>
  <c r="O1858" i="2"/>
  <c r="R1964" i="2"/>
  <c r="R1649" i="2"/>
  <c r="S1858" i="2"/>
  <c r="L1844" i="2"/>
  <c r="O2257" i="2"/>
  <c r="Q2058" i="2"/>
  <c r="N1861" i="2"/>
  <c r="K1941" i="2"/>
  <c r="O2066" i="2"/>
  <c r="N2004" i="2"/>
  <c r="L1845" i="2"/>
  <c r="M2200" i="2"/>
  <c r="N2126" i="2"/>
  <c r="T1915" i="2"/>
  <c r="N2011" i="2"/>
  <c r="M1800" i="2"/>
  <c r="K1573" i="2"/>
  <c r="P1660" i="2"/>
  <c r="L1976" i="2"/>
  <c r="Q1833" i="2"/>
  <c r="S1563" i="2"/>
  <c r="R1635" i="2"/>
  <c r="R1732" i="2"/>
  <c r="Q1544" i="2"/>
  <c r="Q1653" i="2"/>
  <c r="P1656" i="2"/>
  <c r="K1619" i="2"/>
  <c r="L1764" i="2"/>
  <c r="N1679" i="2"/>
  <c r="S2047" i="2"/>
  <c r="O1979" i="2"/>
  <c r="J1662" i="2"/>
  <c r="O1993" i="2"/>
  <c r="J1885" i="2"/>
  <c r="T2002" i="2"/>
  <c r="Q1377" i="2"/>
  <c r="U1719" i="2"/>
  <c r="L1935" i="2"/>
  <c r="S1741" i="2"/>
  <c r="L1758" i="2"/>
  <c r="T1816" i="2"/>
  <c r="U1816" i="2"/>
  <c r="S1270" i="2"/>
  <c r="K1424" i="2"/>
  <c r="T2007" i="2"/>
  <c r="K2101" i="2"/>
  <c r="S1907" i="2"/>
  <c r="R2228" i="2"/>
  <c r="U1518" i="2"/>
  <c r="M1583" i="2"/>
  <c r="J1236" i="2"/>
  <c r="L1700" i="2"/>
  <c r="K2130" i="2"/>
  <c r="T1695" i="2"/>
  <c r="R2273" i="2"/>
  <c r="J1168" i="2"/>
  <c r="R1421" i="2"/>
  <c r="L1168" i="2"/>
  <c r="J2040" i="2"/>
  <c r="Q2077" i="2"/>
  <c r="R1808" i="2"/>
  <c r="L2112" i="2"/>
  <c r="M1645" i="2"/>
  <c r="P1140" i="2"/>
  <c r="M1496" i="2"/>
  <c r="O1981" i="2"/>
  <c r="R2050" i="2"/>
  <c r="U1862" i="2"/>
  <c r="N2277" i="2"/>
  <c r="O1840" i="2"/>
  <c r="Q1454" i="2"/>
  <c r="J1997" i="2"/>
  <c r="R1518" i="2"/>
  <c r="Q1528" i="2"/>
  <c r="R1630" i="2"/>
  <c r="S1740" i="2"/>
  <c r="U1986" i="2"/>
  <c r="Q1721" i="2"/>
  <c r="R1443" i="2"/>
  <c r="L1593" i="2"/>
  <c r="R2161" i="2"/>
  <c r="R2147" i="2"/>
  <c r="P1643" i="2"/>
  <c r="K1711" i="2"/>
  <c r="O1445" i="2"/>
  <c r="Q2007" i="2"/>
  <c r="L2207" i="2"/>
  <c r="J2238" i="2"/>
  <c r="T1873" i="2"/>
  <c r="Q2110" i="2"/>
  <c r="M1453" i="2"/>
  <c r="R1729" i="2"/>
  <c r="R1745" i="2"/>
  <c r="L1570" i="2"/>
  <c r="S1324" i="2"/>
  <c r="T2009" i="2"/>
  <c r="U1480" i="2"/>
  <c r="R1702" i="2"/>
  <c r="L1598" i="2"/>
  <c r="L1988" i="2"/>
  <c r="Q1812" i="2"/>
  <c r="N1701" i="2"/>
  <c r="K2304" i="2"/>
  <c r="M1882" i="2"/>
  <c r="L1923" i="2"/>
  <c r="K1922" i="2"/>
  <c r="Q1698" i="2"/>
  <c r="T2170" i="2"/>
  <c r="S2051" i="2"/>
  <c r="K1883" i="2"/>
  <c r="P1778" i="2"/>
  <c r="Q1928" i="2"/>
  <c r="U2032" i="2"/>
  <c r="S1716" i="2"/>
  <c r="R2070" i="2"/>
  <c r="K1661" i="2"/>
  <c r="N2220" i="2"/>
  <c r="N2164" i="2"/>
  <c r="J2075" i="2"/>
  <c r="U2183" i="2"/>
  <c r="S2021" i="2"/>
  <c r="M2151" i="2"/>
  <c r="J2090" i="2"/>
  <c r="P1592" i="2"/>
  <c r="Q1579" i="2"/>
  <c r="L1948" i="2"/>
  <c r="K1627" i="2"/>
  <c r="U1865" i="2"/>
  <c r="P1661" i="2"/>
  <c r="P2267" i="2"/>
  <c r="K1960" i="2"/>
  <c r="S1746" i="2"/>
  <c r="P1862" i="2"/>
  <c r="M2053" i="2"/>
  <c r="Q1813" i="2"/>
  <c r="M2099" i="2"/>
  <c r="R2223" i="2"/>
  <c r="O1975" i="2"/>
  <c r="M2088" i="2"/>
  <c r="U1901" i="2"/>
  <c r="Q1713" i="2"/>
  <c r="M2087" i="2"/>
  <c r="R1341" i="2"/>
  <c r="L1676" i="2"/>
  <c r="R1904" i="2"/>
  <c r="K1696" i="2"/>
  <c r="K1442" i="2"/>
  <c r="M1489" i="2"/>
  <c r="O1666" i="2"/>
  <c r="U1773" i="2"/>
  <c r="S1931" i="2"/>
  <c r="N1539" i="2"/>
  <c r="T1774" i="2"/>
  <c r="N1773" i="2"/>
  <c r="S2260" i="2"/>
  <c r="P2090" i="2"/>
  <c r="T2028" i="2"/>
  <c r="L2135" i="2"/>
  <c r="P1818" i="2"/>
  <c r="K1719" i="2"/>
  <c r="T1516" i="2"/>
  <c r="M1308" i="2"/>
  <c r="M1637" i="2"/>
  <c r="L1799" i="2"/>
  <c r="M1884" i="2"/>
  <c r="Q1830" i="2"/>
  <c r="P1782" i="2"/>
  <c r="P1245" i="2"/>
  <c r="Q1735" i="2"/>
  <c r="M1728" i="2"/>
  <c r="L2306" i="2"/>
  <c r="O1980" i="2"/>
  <c r="N1737" i="2"/>
  <c r="S1431" i="2"/>
  <c r="Q1623" i="2"/>
  <c r="P1366" i="2"/>
  <c r="K1463" i="2"/>
  <c r="K2181" i="2"/>
  <c r="L1862" i="2"/>
  <c r="L1716" i="2"/>
  <c r="K1894" i="2"/>
  <c r="L1377" i="2"/>
  <c r="K1908" i="2"/>
  <c r="U2005" i="2"/>
  <c r="Q1690" i="2"/>
  <c r="J1880" i="2"/>
  <c r="P1604" i="2"/>
  <c r="K1597" i="2"/>
  <c r="K1672" i="2"/>
  <c r="S1290" i="2"/>
  <c r="J1775" i="2"/>
  <c r="O1634" i="2"/>
  <c r="O1946" i="2"/>
  <c r="T2001" i="2"/>
  <c r="R1753" i="2"/>
  <c r="T1740" i="2"/>
  <c r="M1699" i="2"/>
  <c r="Q1327" i="2"/>
  <c r="L1651" i="2"/>
  <c r="S1603" i="2"/>
  <c r="R2117" i="2"/>
  <c r="O1854" i="2"/>
  <c r="L1597" i="2"/>
  <c r="K1677" i="2"/>
  <c r="S1645" i="2"/>
  <c r="M2305" i="2"/>
  <c r="K1918" i="2"/>
  <c r="P2206" i="2"/>
  <c r="O1872" i="2"/>
  <c r="M1443" i="2"/>
  <c r="M1442" i="2"/>
  <c r="L2125" i="2"/>
  <c r="R2105" i="2"/>
  <c r="K1942" i="2"/>
  <c r="L2098" i="2"/>
  <c r="R1506" i="2"/>
  <c r="O1894" i="2"/>
  <c r="U1780" i="2"/>
  <c r="K1276" i="2"/>
  <c r="P1671" i="2"/>
  <c r="M1935" i="2"/>
  <c r="Q1600" i="2"/>
  <c r="J1482" i="2"/>
  <c r="N2013" i="2"/>
  <c r="O1764" i="2"/>
  <c r="L1649" i="2"/>
  <c r="T2076" i="2"/>
  <c r="O2030" i="2"/>
  <c r="T2161" i="2"/>
  <c r="K2083" i="2"/>
  <c r="P1897" i="2"/>
  <c r="N2267" i="2"/>
  <c r="K2070" i="2"/>
  <c r="N1907" i="2"/>
  <c r="O2095" i="2"/>
  <c r="U2211" i="2"/>
  <c r="S2232" i="2"/>
  <c r="S1867" i="2"/>
  <c r="N1953" i="2"/>
  <c r="P2153" i="2"/>
  <c r="O2104" i="2"/>
  <c r="T2138" i="2"/>
  <c r="S2003" i="2"/>
  <c r="O2180" i="2"/>
  <c r="N1941" i="2"/>
  <c r="Q2229" i="2"/>
  <c r="K1798" i="2"/>
  <c r="R1749" i="2"/>
  <c r="M2223" i="2"/>
  <c r="Q2011" i="2"/>
  <c r="J1666" i="2"/>
  <c r="O1753" i="2"/>
  <c r="L2077" i="2"/>
  <c r="U2293" i="2"/>
  <c r="T2176" i="2"/>
  <c r="L1519" i="2"/>
  <c r="U2188" i="2"/>
  <c r="O1916" i="2"/>
  <c r="J1983" i="2"/>
  <c r="O1898" i="2"/>
  <c r="U2067" i="2"/>
  <c r="R2186" i="2"/>
  <c r="S2270" i="2"/>
  <c r="O1905" i="2"/>
  <c r="S2023" i="2"/>
  <c r="T2147" i="2"/>
  <c r="S1696" i="2"/>
  <c r="Q1705" i="2"/>
  <c r="T2185" i="2"/>
  <c r="Q2158" i="2"/>
  <c r="S2132" i="2"/>
  <c r="Q1637" i="2"/>
  <c r="M2097" i="2"/>
  <c r="P2121" i="2"/>
  <c r="K2108" i="2"/>
  <c r="K1827" i="2"/>
  <c r="T1713" i="2"/>
  <c r="L2138" i="2"/>
  <c r="M1854" i="2"/>
  <c r="T1989" i="2"/>
  <c r="L1804" i="2"/>
  <c r="K1599" i="2"/>
  <c r="R2038" i="2"/>
  <c r="P2102" i="2"/>
  <c r="J2001" i="2"/>
  <c r="J1797" i="2"/>
  <c r="M2300" i="2"/>
  <c r="M2210" i="2"/>
  <c r="O1735" i="2"/>
  <c r="M1724" i="2"/>
  <c r="T2315" i="2"/>
  <c r="M1781" i="2"/>
  <c r="K1456" i="2"/>
  <c r="L1987" i="2"/>
  <c r="U2268" i="2"/>
  <c r="K1898" i="2"/>
  <c r="U2206" i="2"/>
  <c r="K1760" i="2"/>
  <c r="O2065" i="2"/>
  <c r="P1895" i="2"/>
  <c r="J1989" i="2"/>
  <c r="M1989" i="2"/>
  <c r="S1978" i="2"/>
  <c r="R1673" i="2"/>
  <c r="U1657" i="2"/>
  <c r="Q1805" i="2"/>
  <c r="T1529" i="2"/>
  <c r="J1590" i="2"/>
  <c r="J1921" i="2"/>
  <c r="U1847" i="2"/>
  <c r="R1639" i="2"/>
  <c r="L1824" i="2"/>
  <c r="P1275" i="2"/>
  <c r="J1647" i="2"/>
  <c r="U2162" i="2"/>
  <c r="M2211" i="2"/>
  <c r="Q2006" i="2"/>
  <c r="R1658" i="2"/>
  <c r="T2290" i="2"/>
  <c r="Q1823" i="2"/>
  <c r="T1745" i="2"/>
  <c r="J1502" i="2"/>
  <c r="P1415" i="2"/>
  <c r="S1788" i="2"/>
  <c r="R1671" i="2"/>
  <c r="L1713" i="2"/>
  <c r="P2021" i="2"/>
  <c r="U1942" i="2"/>
  <c r="K1682" i="2"/>
  <c r="N1479" i="2"/>
  <c r="N1537" i="2"/>
  <c r="O1822" i="2"/>
  <c r="S1758" i="2"/>
  <c r="O1747" i="2"/>
  <c r="N1508" i="2"/>
  <c r="U1904" i="2"/>
  <c r="N1825" i="2"/>
  <c r="Q1954" i="2"/>
  <c r="R2178" i="2"/>
  <c r="M1946" i="2"/>
  <c r="U2050" i="2"/>
  <c r="O2019" i="2"/>
  <c r="R1778" i="2"/>
  <c r="S2221" i="2"/>
  <c r="R1815" i="2"/>
  <c r="Q2013" i="2"/>
  <c r="R1834" i="2"/>
  <c r="U2075" i="2"/>
  <c r="N2097" i="2"/>
  <c r="U1980" i="2"/>
  <c r="O2183" i="2"/>
  <c r="N2174" i="2"/>
  <c r="N2286" i="2"/>
  <c r="M1845" i="2"/>
  <c r="M2010" i="2"/>
  <c r="J1717" i="2"/>
  <c r="M1975" i="2"/>
  <c r="N1841" i="2"/>
  <c r="O2020" i="2"/>
  <c r="J1493" i="2"/>
  <c r="R2220" i="2"/>
  <c r="N1929" i="2"/>
  <c r="Q2105" i="2"/>
  <c r="P2033" i="2"/>
  <c r="J1917" i="2"/>
  <c r="L1698" i="2"/>
  <c r="N1982" i="2"/>
  <c r="J1829" i="2"/>
  <c r="T1918" i="2"/>
  <c r="Q1837" i="2"/>
  <c r="M2129" i="2"/>
  <c r="J1818" i="2"/>
  <c r="T2046" i="2"/>
  <c r="P1807" i="2"/>
  <c r="O2173" i="2"/>
  <c r="L2162" i="2"/>
  <c r="K1755" i="2"/>
  <c r="T2282" i="2"/>
  <c r="U1787" i="2"/>
  <c r="L1616" i="2"/>
  <c r="U1985" i="2"/>
  <c r="U1639" i="2"/>
  <c r="K2296" i="2"/>
  <c r="J2268" i="2"/>
  <c r="R1827" i="2"/>
  <c r="P1290" i="2"/>
  <c r="P1624" i="2"/>
  <c r="M1325" i="2"/>
  <c r="L2311" i="2"/>
  <c r="Q1925" i="2"/>
  <c r="L1601" i="2"/>
  <c r="M1652" i="2"/>
  <c r="R1929" i="2"/>
  <c r="P1757" i="2"/>
  <c r="P1808" i="2"/>
  <c r="P1590" i="2"/>
  <c r="S1768" i="2"/>
  <c r="O1702" i="2"/>
  <c r="R1826" i="2"/>
  <c r="Q1710" i="2"/>
  <c r="U1934" i="2"/>
  <c r="U1369" i="2"/>
  <c r="Q1743" i="2"/>
  <c r="S2229" i="2"/>
  <c r="O1815" i="2"/>
  <c r="R1803" i="2"/>
  <c r="O1638" i="2"/>
  <c r="U1370" i="2"/>
  <c r="L1668" i="2"/>
  <c r="K1588" i="2"/>
  <c r="T2037" i="2"/>
  <c r="J1736" i="2"/>
  <c r="L2018" i="2"/>
  <c r="Q2041" i="2"/>
  <c r="K1794" i="2"/>
  <c r="O2169" i="2"/>
  <c r="Q1948" i="2"/>
  <c r="S1990" i="2"/>
  <c r="S1719" i="2"/>
  <c r="T2237" i="2"/>
  <c r="Q1770" i="2"/>
  <c r="L1718" i="2"/>
  <c r="M2256" i="2"/>
  <c r="J1729" i="2"/>
  <c r="P2183" i="2"/>
  <c r="K2235" i="2"/>
  <c r="L2129" i="2"/>
  <c r="O1515" i="2"/>
  <c r="O2234" i="2"/>
  <c r="U2153" i="2"/>
  <c r="N2178" i="2"/>
  <c r="S1834" i="2"/>
  <c r="T2275" i="2"/>
  <c r="O2192" i="2"/>
  <c r="R1659" i="2"/>
  <c r="Q1867" i="2"/>
  <c r="P2116" i="2"/>
  <c r="S1904" i="2"/>
  <c r="R2232" i="2"/>
  <c r="R1966" i="2"/>
  <c r="J2299" i="2"/>
  <c r="T2249" i="2"/>
  <c r="K1906" i="2"/>
  <c r="Q1839" i="2"/>
  <c r="K2198" i="2"/>
  <c r="S2163" i="2"/>
  <c r="L1618" i="2"/>
  <c r="O1959" i="2"/>
  <c r="N1682" i="2"/>
  <c r="N2049" i="2"/>
  <c r="Q2115" i="2"/>
  <c r="M1883" i="2"/>
  <c r="T1865" i="2"/>
  <c r="Q1667" i="2"/>
  <c r="M2076" i="2"/>
  <c r="O1973" i="2"/>
  <c r="T2072" i="2"/>
  <c r="N1706" i="2"/>
  <c r="N1523" i="2"/>
  <c r="J1458" i="2"/>
  <c r="K2197" i="2"/>
  <c r="R1976" i="2"/>
  <c r="L1915" i="2"/>
  <c r="R1642" i="2"/>
  <c r="L1750" i="2"/>
  <c r="J1555" i="2"/>
  <c r="J2122" i="2"/>
  <c r="O1879" i="2"/>
  <c r="P1872" i="2"/>
  <c r="Q2249" i="2"/>
  <c r="S2185" i="2"/>
  <c r="K2161" i="2"/>
  <c r="L1715" i="2"/>
  <c r="N1704" i="2"/>
  <c r="J1716" i="2"/>
  <c r="K1851" i="2"/>
  <c r="U2017" i="2"/>
  <c r="M1808" i="2"/>
  <c r="U2280" i="2"/>
  <c r="P1901" i="2"/>
  <c r="S2010" i="2"/>
  <c r="N2074" i="2"/>
  <c r="N1923" i="2"/>
  <c r="K2285" i="2"/>
  <c r="P1931" i="2"/>
  <c r="M2012" i="2"/>
  <c r="O1978" i="2"/>
  <c r="J1897" i="2"/>
  <c r="M1992" i="2"/>
  <c r="Q2083" i="2"/>
  <c r="L2145" i="2"/>
  <c r="R1810" i="2"/>
  <c r="N1930" i="2"/>
  <c r="P2117" i="2"/>
  <c r="N1630" i="2"/>
  <c r="T2140" i="2"/>
  <c r="K1598" i="2"/>
  <c r="O1736" i="2"/>
  <c r="R2130" i="2"/>
  <c r="L2060" i="2"/>
  <c r="P1906" i="2"/>
  <c r="J1521" i="2"/>
  <c r="K1673" i="2"/>
  <c r="K1829" i="2"/>
  <c r="Q1810" i="2"/>
  <c r="U1705" i="2"/>
  <c r="T2043" i="2"/>
  <c r="J1908" i="2"/>
  <c r="R1759" i="2"/>
  <c r="K1621" i="2"/>
  <c r="R1586" i="2"/>
  <c r="O2015" i="2"/>
  <c r="U2114" i="2"/>
  <c r="T1744" i="2"/>
  <c r="K1572" i="2"/>
  <c r="N1513" i="2"/>
  <c r="R1699" i="2"/>
  <c r="N2159" i="2"/>
  <c r="M2006" i="2"/>
  <c r="K1328" i="2"/>
  <c r="L1736" i="2"/>
  <c r="S1812" i="2"/>
  <c r="M1675" i="2"/>
  <c r="S1868" i="2"/>
  <c r="O1403" i="2"/>
  <c r="M1500" i="2"/>
  <c r="U1822" i="2"/>
  <c r="T1731" i="2"/>
  <c r="U1688" i="2"/>
  <c r="T1230" i="2"/>
  <c r="U1577" i="2"/>
  <c r="J1705" i="2"/>
  <c r="L2068" i="2"/>
  <c r="P2099" i="2"/>
  <c r="N1842" i="2"/>
  <c r="R1563" i="2"/>
  <c r="S1873" i="2"/>
  <c r="M1509" i="2"/>
  <c r="T1844" i="2"/>
  <c r="N1660" i="2"/>
  <c r="L1732" i="2"/>
  <c r="U1674" i="2"/>
  <c r="Q2075" i="2"/>
  <c r="R1742" i="2"/>
  <c r="N1489" i="2"/>
  <c r="K1723" i="2"/>
  <c r="J2132" i="2"/>
  <c r="K1379" i="2"/>
  <c r="T1485" i="2"/>
  <c r="S1952" i="2"/>
  <c r="S1504" i="2"/>
  <c r="M1588" i="2"/>
  <c r="O1798" i="2"/>
  <c r="N1550" i="2"/>
  <c r="O2042" i="2"/>
  <c r="M1801" i="2"/>
  <c r="N2033" i="2"/>
  <c r="M2004" i="2"/>
  <c r="Q1237" i="2"/>
  <c r="J2148" i="2"/>
  <c r="O1701" i="2"/>
  <c r="U2202" i="2"/>
  <c r="R1585" i="2"/>
  <c r="T1703" i="2"/>
  <c r="R1483" i="2"/>
  <c r="O1705" i="2"/>
  <c r="J1515" i="2"/>
  <c r="L1364" i="2"/>
  <c r="S1274" i="2"/>
  <c r="Q1217" i="2"/>
  <c r="P1866" i="2"/>
  <c r="N1594" i="2"/>
  <c r="L1983" i="2"/>
  <c r="J1429" i="2"/>
  <c r="J1584" i="2"/>
  <c r="U1659" i="2"/>
  <c r="P1183" i="2"/>
  <c r="J1702" i="2"/>
  <c r="Q1298" i="2"/>
  <c r="L1865" i="2"/>
  <c r="N1237" i="2"/>
  <c r="M1405" i="2"/>
  <c r="K1826" i="2"/>
  <c r="O1687" i="2"/>
  <c r="R1618" i="2"/>
  <c r="O1799" i="2"/>
  <c r="J1392" i="2"/>
  <c r="N1671" i="2"/>
  <c r="O2208" i="2"/>
  <c r="U1311" i="2"/>
  <c r="L1302" i="2"/>
  <c r="L1753" i="2"/>
  <c r="M1812" i="2"/>
  <c r="K1864" i="2"/>
  <c r="T2098" i="2"/>
  <c r="S1744" i="2"/>
  <c r="O2058" i="2"/>
  <c r="T1854" i="2"/>
  <c r="N1496" i="2"/>
  <c r="P1240" i="2"/>
  <c r="O1808" i="2"/>
  <c r="T1723" i="2"/>
  <c r="N1253" i="2"/>
  <c r="S1985" i="2"/>
  <c r="N1616" i="2"/>
  <c r="K1425" i="2"/>
  <c r="S1874" i="2"/>
  <c r="Q2281" i="2"/>
  <c r="T1967" i="2"/>
  <c r="L1995" i="2"/>
  <c r="R1930" i="2"/>
  <c r="N2124" i="2"/>
  <c r="S1629" i="2"/>
  <c r="U2225" i="2"/>
  <c r="L2170" i="2"/>
  <c r="R2119" i="2"/>
  <c r="N2095" i="2"/>
  <c r="N2150" i="2"/>
  <c r="J1957" i="2"/>
  <c r="Q2089" i="2"/>
  <c r="N1603" i="2"/>
  <c r="P1991" i="2"/>
  <c r="S1927" i="2"/>
  <c r="O2261" i="2"/>
  <c r="Q1803" i="2"/>
  <c r="Q1520" i="2"/>
  <c r="N1840" i="2"/>
  <c r="L2014" i="2"/>
  <c r="K1810" i="2"/>
  <c r="P1573" i="2"/>
  <c r="O2136" i="2"/>
  <c r="M1956" i="2"/>
  <c r="U2014" i="2"/>
  <c r="O1698" i="2"/>
  <c r="U1645" i="2"/>
  <c r="S2147" i="2"/>
  <c r="T1707" i="2"/>
  <c r="U1843" i="2"/>
  <c r="L1640" i="2"/>
  <c r="P1621" i="2"/>
  <c r="Q1632" i="2"/>
  <c r="K2315" i="2"/>
  <c r="J2037" i="2"/>
  <c r="M1349" i="2"/>
  <c r="L1671" i="2"/>
  <c r="M2027" i="2"/>
  <c r="P1885" i="2"/>
  <c r="Q1599" i="2"/>
  <c r="S1682" i="2"/>
  <c r="N1699" i="2"/>
  <c r="R1684" i="2"/>
  <c r="M1921" i="2"/>
  <c r="U1884" i="2"/>
  <c r="R1206" i="2"/>
  <c r="K1537" i="2"/>
  <c r="U1672" i="2"/>
  <c r="O1570" i="2"/>
  <c r="N1670" i="2"/>
  <c r="P1490" i="2"/>
  <c r="J2186" i="2"/>
  <c r="L1696" i="2"/>
  <c r="N2259" i="2"/>
  <c r="R1651" i="2"/>
  <c r="U1746" i="2"/>
  <c r="R1772" i="2"/>
  <c r="J1886" i="2"/>
  <c r="M2057" i="2"/>
  <c r="R1793" i="2"/>
  <c r="P1981" i="2"/>
  <c r="M1620" i="2"/>
  <c r="J1613" i="2"/>
  <c r="T1886" i="2"/>
  <c r="L1784" i="2"/>
  <c r="P1308" i="2"/>
  <c r="J1914" i="2"/>
  <c r="U1678" i="2"/>
  <c r="Q1642" i="2"/>
  <c r="K1973" i="2"/>
  <c r="N2196" i="2"/>
  <c r="M1973" i="2"/>
  <c r="K2005" i="2"/>
  <c r="P1739" i="2"/>
  <c r="J1368" i="2"/>
  <c r="K2067" i="2"/>
  <c r="J1704" i="2"/>
  <c r="P1775" i="2"/>
  <c r="K1517" i="2"/>
  <c r="U1630" i="2"/>
  <c r="U1339" i="2"/>
  <c r="R1706" i="2"/>
  <c r="O1864" i="2"/>
  <c r="O1489" i="2"/>
  <c r="T1220" i="2"/>
  <c r="S1552" i="2"/>
  <c r="J1861" i="2"/>
  <c r="N1269" i="2"/>
  <c r="O1632" i="2"/>
  <c r="J1542" i="2"/>
  <c r="O1796" i="2"/>
  <c r="Q1787" i="2"/>
  <c r="P2024" i="2"/>
  <c r="Q1467" i="2"/>
  <c r="L1793" i="2"/>
  <c r="T1980" i="2"/>
  <c r="Q1975" i="2"/>
  <c r="R1301" i="2"/>
  <c r="Q1844" i="2"/>
  <c r="N1749" i="2"/>
  <c r="K1939" i="2"/>
  <c r="R1598" i="2"/>
  <c r="S1209" i="2"/>
  <c r="L1511" i="2"/>
  <c r="M1783" i="2"/>
  <c r="J1872" i="2"/>
  <c r="P1587" i="2"/>
  <c r="R1977" i="2"/>
  <c r="P2124" i="2"/>
  <c r="S1560" i="2"/>
  <c r="R1450" i="2"/>
  <c r="M1996" i="2"/>
  <c r="M1557" i="2"/>
  <c r="P1744" i="2"/>
  <c r="M1700" i="2"/>
  <c r="T1581" i="2"/>
  <c r="K1866" i="2"/>
  <c r="L1790" i="2"/>
  <c r="R1535" i="2"/>
  <c r="T1511" i="2"/>
  <c r="L1363" i="2"/>
  <c r="N955" i="2"/>
  <c r="O1994" i="2"/>
  <c r="P1324" i="2"/>
  <c r="Q1781" i="2"/>
  <c r="K1399" i="2"/>
  <c r="U1354" i="2"/>
  <c r="N1689" i="2"/>
  <c r="N2288" i="2"/>
  <c r="L1825" i="2"/>
  <c r="N1621" i="2"/>
  <c r="J1787" i="2"/>
  <c r="M1386" i="2"/>
  <c r="P2283" i="2"/>
  <c r="M1929" i="2"/>
  <c r="N2264" i="2"/>
  <c r="T1963" i="2"/>
  <c r="O2226" i="2"/>
  <c r="S2042" i="2"/>
  <c r="K1955" i="2"/>
  <c r="L2283" i="2"/>
  <c r="Q2040" i="2"/>
  <c r="M2112" i="2"/>
  <c r="L1772" i="2"/>
  <c r="Q1800" i="2"/>
  <c r="R2295" i="2"/>
  <c r="U1891" i="2"/>
  <c r="J1709" i="2"/>
  <c r="M2119" i="2"/>
  <c r="Q2221" i="2"/>
  <c r="S1597" i="2"/>
  <c r="R2227" i="2"/>
  <c r="J1904" i="2"/>
  <c r="T2106" i="2"/>
  <c r="R1971" i="2"/>
  <c r="R2078" i="2"/>
  <c r="J2097" i="2"/>
  <c r="R1713" i="2"/>
  <c r="O2049" i="2"/>
  <c r="K1796" i="2"/>
  <c r="U1726" i="2"/>
  <c r="T1562" i="2"/>
  <c r="J1981" i="2"/>
  <c r="L2044" i="2"/>
  <c r="Q1811" i="2"/>
  <c r="R2315" i="2"/>
  <c r="P1600" i="2"/>
  <c r="P2250" i="2"/>
  <c r="M1815" i="2"/>
  <c r="Q1923" i="2"/>
  <c r="K1878" i="2"/>
  <c r="U2186" i="2"/>
  <c r="U1717" i="2"/>
  <c r="T1766" i="2"/>
  <c r="N2162" i="2"/>
  <c r="Q1238" i="2"/>
  <c r="K1554" i="2"/>
  <c r="O1856" i="2"/>
  <c r="O1885" i="2"/>
  <c r="P1731" i="2"/>
  <c r="N1224" i="2"/>
  <c r="U1915" i="2"/>
  <c r="U1914" i="2"/>
  <c r="T1642" i="2"/>
  <c r="U1889" i="2"/>
  <c r="K1555" i="2"/>
  <c r="T2196" i="2"/>
  <c r="K1900" i="2"/>
  <c r="Q2103" i="2"/>
  <c r="S1484" i="2"/>
  <c r="U1779" i="2"/>
  <c r="T1512" i="2"/>
  <c r="K1929" i="2"/>
  <c r="N1569" i="2"/>
  <c r="M1450" i="2"/>
  <c r="L1906" i="2"/>
  <c r="M2159" i="2"/>
  <c r="P1598" i="2"/>
  <c r="O1689" i="2"/>
  <c r="N1517" i="2"/>
  <c r="S1706" i="2"/>
  <c r="K1897" i="2"/>
  <c r="M1664" i="2"/>
  <c r="K1447" i="2"/>
  <c r="M2094" i="2"/>
  <c r="M1838" i="2"/>
  <c r="U1656" i="2"/>
  <c r="Q1972" i="2"/>
  <c r="T1460" i="2"/>
  <c r="R2160" i="2"/>
  <c r="L1909" i="2"/>
  <c r="O1826" i="2"/>
  <c r="J1326" i="2"/>
  <c r="U1430" i="2"/>
  <c r="K1835" i="2"/>
  <c r="U1715" i="2"/>
  <c r="U1621" i="2"/>
  <c r="M1924" i="2"/>
  <c r="P1421" i="2"/>
  <c r="K1778" i="2"/>
  <c r="J1727" i="2"/>
  <c r="P1611" i="2"/>
  <c r="U1598" i="2"/>
  <c r="S1337" i="2"/>
  <c r="N1850" i="2"/>
  <c r="L1385" i="2"/>
  <c r="L1432" i="2"/>
  <c r="L1739" i="2"/>
  <c r="S1775" i="2"/>
  <c r="M2037" i="2"/>
  <c r="S2131" i="2"/>
  <c r="N2198" i="2"/>
  <c r="U1768" i="2"/>
  <c r="P1767" i="2"/>
  <c r="M1979" i="2"/>
  <c r="T2044" i="2"/>
  <c r="Q2039" i="2"/>
  <c r="O1904" i="2"/>
  <c r="P1921" i="2"/>
  <c r="L2097" i="2"/>
  <c r="P1545" i="2"/>
  <c r="R1624" i="2"/>
  <c r="U1540" i="2"/>
  <c r="T2150" i="2"/>
  <c r="S1707" i="2"/>
  <c r="R2079" i="2"/>
  <c r="Q2004" i="2"/>
  <c r="K2118" i="2"/>
  <c r="Q1742" i="2"/>
  <c r="O2072" i="2"/>
  <c r="U2275" i="2"/>
  <c r="O1926" i="2"/>
  <c r="J2101" i="2"/>
  <c r="R2034" i="2"/>
  <c r="R2099" i="2"/>
  <c r="R1737" i="2"/>
  <c r="U1743" i="2"/>
  <c r="N1784" i="2"/>
  <c r="J2278" i="2"/>
  <c r="T1853" i="2"/>
  <c r="M1408" i="2"/>
  <c r="U1909" i="2"/>
  <c r="U2055" i="2"/>
  <c r="R1822" i="2"/>
  <c r="Q1943" i="2"/>
  <c r="J1682" i="2"/>
  <c r="R1510" i="2"/>
  <c r="S1780" i="2"/>
  <c r="U2007" i="2"/>
  <c r="S1554" i="2"/>
  <c r="K1767" i="2"/>
  <c r="Q2097" i="2"/>
  <c r="J2254" i="2"/>
  <c r="J1688" i="2"/>
  <c r="R1616" i="2"/>
  <c r="R1343" i="2"/>
  <c r="M2134" i="2"/>
  <c r="L1594" i="2"/>
  <c r="R2061" i="2"/>
  <c r="L1831" i="2"/>
  <c r="N1867" i="2"/>
  <c r="P1330" i="2"/>
  <c r="M1850" i="2"/>
  <c r="P2158" i="2"/>
  <c r="N2064" i="2"/>
  <c r="U1725" i="2"/>
  <c r="T1643" i="2"/>
  <c r="R1668" i="2"/>
  <c r="J1925" i="2"/>
  <c r="J1670" i="2"/>
  <c r="R1372" i="2"/>
  <c r="O2084" i="2"/>
  <c r="M1972" i="2"/>
  <c r="K1457" i="2"/>
  <c r="P1805" i="2"/>
  <c r="M1793" i="2"/>
  <c r="L1820" i="2"/>
  <c r="S1901" i="2"/>
  <c r="S1343" i="2"/>
  <c r="R1377" i="2"/>
  <c r="L1881" i="2"/>
  <c r="L2169" i="2"/>
  <c r="Q2282" i="2"/>
  <c r="S1814" i="2"/>
  <c r="J1974" i="2"/>
  <c r="U1845" i="2"/>
  <c r="L2314" i="2"/>
  <c r="M2084" i="2"/>
  <c r="L1902" i="2"/>
  <c r="P1997" i="2"/>
  <c r="O1924" i="2"/>
  <c r="J1456" i="2"/>
  <c r="J1982" i="2"/>
  <c r="Q1647" i="2"/>
  <c r="P1707" i="2"/>
  <c r="Q1834" i="2"/>
  <c r="L2003" i="2"/>
  <c r="L1879" i="2"/>
  <c r="N1872" i="2"/>
  <c r="R1925" i="2"/>
  <c r="K2092" i="2"/>
  <c r="L2290" i="2"/>
  <c r="N2113" i="2"/>
  <c r="L1711" i="2"/>
  <c r="T1970" i="2"/>
  <c r="M1797" i="2"/>
  <c r="T1591" i="2"/>
  <c r="Q1240" i="2"/>
  <c r="M1826" i="2"/>
  <c r="M1828" i="2"/>
  <c r="K1413" i="2"/>
  <c r="L1403" i="2"/>
  <c r="S2149" i="2"/>
  <c r="T1691" i="2"/>
  <c r="L1941" i="2"/>
  <c r="O1797" i="2"/>
  <c r="J1734" i="2"/>
  <c r="N1711" i="2"/>
  <c r="P1716" i="2"/>
  <c r="Q2056" i="2"/>
  <c r="Q1601" i="2"/>
  <c r="N1658" i="2"/>
  <c r="J2152" i="2"/>
  <c r="U2137" i="2"/>
  <c r="T1423" i="2"/>
  <c r="Q1930" i="2"/>
  <c r="Q1338" i="2"/>
  <c r="N1903" i="2"/>
  <c r="N1503" i="2"/>
  <c r="U1817" i="2"/>
  <c r="R1521" i="2"/>
  <c r="K1430" i="2"/>
  <c r="M1865" i="2"/>
  <c r="P1965" i="2"/>
  <c r="K1964" i="2"/>
  <c r="U1759" i="2"/>
  <c r="R2073" i="2"/>
  <c r="T1655" i="2"/>
  <c r="Q2015" i="2"/>
  <c r="N1838" i="2"/>
  <c r="N1977" i="2"/>
  <c r="J1722" i="2"/>
  <c r="K1886" i="2"/>
  <c r="Q1587" i="2"/>
  <c r="M1292" i="2"/>
  <c r="R1426" i="2"/>
  <c r="J1560" i="2"/>
  <c r="M1777" i="2"/>
  <c r="S1569" i="2"/>
  <c r="P1664" i="2"/>
  <c r="R1532" i="2"/>
  <c r="N1780" i="2"/>
  <c r="J1783" i="2"/>
  <c r="P1555" i="2"/>
  <c r="M1592" i="2"/>
  <c r="R1541" i="2"/>
  <c r="P1934" i="2"/>
  <c r="M1798" i="2"/>
  <c r="J1832" i="2"/>
  <c r="P1927" i="2"/>
  <c r="K1717" i="2"/>
  <c r="M1211" i="2"/>
  <c r="J1826" i="2"/>
  <c r="L1489" i="2"/>
  <c r="U1733" i="2"/>
  <c r="P1384" i="2"/>
  <c r="Q1615" i="2"/>
  <c r="S1769" i="2"/>
  <c r="L1442" i="2"/>
  <c r="P1721" i="2"/>
  <c r="R1770" i="2"/>
  <c r="P1867" i="2"/>
  <c r="Q1447" i="2"/>
  <c r="R1385" i="2"/>
  <c r="U1729" i="2"/>
  <c r="Q1478" i="2"/>
  <c r="L2065" i="2"/>
  <c r="R1438" i="2"/>
  <c r="P1300" i="2"/>
  <c r="S1963" i="2"/>
  <c r="Q1350" i="2"/>
  <c r="P1939" i="2"/>
  <c r="S2107" i="2"/>
  <c r="P2089" i="2"/>
  <c r="M1552" i="2"/>
  <c r="M1820" i="2"/>
  <c r="M1406" i="2"/>
  <c r="T1228" i="2"/>
  <c r="N1391" i="2"/>
  <c r="J2025" i="2"/>
  <c r="J1496" i="2"/>
  <c r="K1545" i="2"/>
  <c r="M1898" i="2"/>
  <c r="L1873" i="2"/>
  <c r="R1781" i="2"/>
  <c r="M1923" i="2"/>
  <c r="T1479" i="2"/>
  <c r="M1685" i="2"/>
  <c r="U1488" i="2"/>
  <c r="R1040" i="2"/>
  <c r="N1376" i="2"/>
  <c r="T1178" i="2"/>
  <c r="T1919" i="2"/>
  <c r="O1457" i="2"/>
  <c r="U1578" i="2"/>
  <c r="K1905" i="2"/>
  <c r="N1611" i="2"/>
  <c r="K1733" i="2"/>
  <c r="O1514" i="2"/>
  <c r="U1957" i="2"/>
  <c r="S1370" i="2"/>
  <c r="U1372" i="2"/>
  <c r="O1859" i="2"/>
  <c r="R1337" i="2"/>
  <c r="N1904" i="2"/>
  <c r="O2112" i="2"/>
  <c r="R2263" i="2"/>
  <c r="N1640" i="2"/>
  <c r="P1884" i="2"/>
  <c r="K1930" i="2"/>
  <c r="S2294" i="2"/>
  <c r="S2266" i="2"/>
  <c r="T1657" i="2"/>
  <c r="M2002" i="2"/>
  <c r="O1707" i="2"/>
  <c r="S2142" i="2"/>
  <c r="S2073" i="2"/>
  <c r="O2263" i="2"/>
  <c r="L1670" i="2"/>
  <c r="M2142" i="2"/>
  <c r="P1942" i="2"/>
  <c r="O1667" i="2"/>
  <c r="P1823" i="2"/>
  <c r="J2007" i="2"/>
  <c r="Q1801" i="2"/>
  <c r="P2125" i="2"/>
  <c r="J1806" i="2"/>
  <c r="Q1997" i="2"/>
  <c r="U1755" i="2"/>
  <c r="U1975" i="2"/>
  <c r="T1307" i="2"/>
  <c r="J1896" i="2"/>
  <c r="O1311" i="2"/>
  <c r="U1954" i="2"/>
  <c r="U1463" i="2"/>
  <c r="T1530" i="2"/>
  <c r="U2112" i="2"/>
  <c r="Q1741" i="2"/>
  <c r="T2082" i="2"/>
  <c r="Q1684" i="2"/>
  <c r="L1294" i="2"/>
  <c r="N1494" i="2"/>
  <c r="J1711" i="2"/>
  <c r="Q1646" i="2"/>
  <c r="L1735" i="2"/>
  <c r="Q1696" i="2"/>
  <c r="Q1825" i="2"/>
  <c r="R2313" i="2"/>
  <c r="L1840" i="2"/>
  <c r="U1708" i="2"/>
  <c r="L1454" i="2"/>
  <c r="O1718" i="2"/>
  <c r="L2100" i="2"/>
  <c r="R1883" i="2"/>
  <c r="Q1847" i="2"/>
  <c r="Q1530" i="2"/>
  <c r="S1829" i="2"/>
  <c r="T1430" i="2"/>
  <c r="U2178" i="2"/>
  <c r="U1701" i="2"/>
  <c r="R1927" i="2"/>
  <c r="S1393" i="2"/>
  <c r="K1700" i="2"/>
  <c r="R2027" i="2"/>
  <c r="P1553" i="2"/>
  <c r="U1497" i="2"/>
  <c r="O1738" i="2"/>
  <c r="O1896" i="2"/>
  <c r="U1420" i="2"/>
  <c r="T1796" i="2"/>
  <c r="R1967" i="2"/>
  <c r="L1980" i="2"/>
  <c r="P1955" i="2"/>
  <c r="S1537" i="2"/>
  <c r="K1739" i="2"/>
  <c r="K1901" i="2"/>
  <c r="Q1859" i="2"/>
  <c r="S1809" i="2"/>
  <c r="S1235" i="2"/>
  <c r="L1967" i="2"/>
  <c r="Q1956" i="2"/>
  <c r="T1900" i="2"/>
  <c r="T1975" i="2"/>
  <c r="M1680" i="2"/>
  <c r="Q1535" i="2"/>
  <c r="T1753" i="2"/>
  <c r="T1389" i="2"/>
  <c r="P1846" i="2"/>
  <c r="U1341" i="2"/>
  <c r="P1511" i="2"/>
  <c r="U1632" i="2"/>
  <c r="T1407" i="2"/>
  <c r="P1335" i="2"/>
  <c r="Q2046" i="2"/>
  <c r="S1968" i="2"/>
  <c r="L1631" i="2"/>
  <c r="S1413" i="2"/>
  <c r="O1389" i="2"/>
  <c r="K1382" i="2"/>
  <c r="M1476" i="2"/>
  <c r="S1917" i="2"/>
  <c r="Q1883" i="2"/>
  <c r="R1766" i="2"/>
  <c r="Q1731" i="2"/>
  <c r="S1288" i="2"/>
  <c r="L1605" i="2"/>
  <c r="J1975" i="2"/>
  <c r="O1477" i="2"/>
  <c r="Q1263" i="2"/>
  <c r="O1807" i="2"/>
  <c r="L1537" i="2"/>
  <c r="T1732" i="2"/>
  <c r="N1812" i="2"/>
  <c r="J1924" i="2"/>
  <c r="T1252" i="2"/>
  <c r="K1617" i="2"/>
  <c r="T1973" i="2"/>
  <c r="L1308" i="2"/>
  <c r="K1684" i="2"/>
  <c r="J1781" i="2"/>
  <c r="T1336" i="2"/>
  <c r="J1373" i="2"/>
  <c r="P1609" i="2"/>
  <c r="N1712" i="2"/>
  <c r="U1274" i="2"/>
  <c r="J1284" i="2"/>
  <c r="P2039" i="2"/>
  <c r="R1428" i="2"/>
  <c r="S1406" i="2"/>
  <c r="N1614" i="2"/>
  <c r="J1394" i="2"/>
  <c r="N1963" i="2"/>
  <c r="T1964" i="2"/>
  <c r="N2139" i="2"/>
  <c r="K1570" i="2"/>
  <c r="J1808" i="2"/>
  <c r="R1859" i="2"/>
  <c r="N2157" i="2"/>
  <c r="U1990" i="2"/>
  <c r="J2009" i="2"/>
  <c r="R1756" i="2"/>
  <c r="S1831" i="2"/>
  <c r="O2012" i="2"/>
  <c r="Q1628" i="2"/>
  <c r="U1886" i="2"/>
  <c r="L2002" i="2"/>
  <c r="O1881" i="2"/>
  <c r="U1890" i="2"/>
  <c r="S1933" i="2"/>
  <c r="R2077" i="2"/>
  <c r="P2012" i="2"/>
  <c r="R2144" i="2"/>
  <c r="P2138" i="2"/>
  <c r="M1960" i="2"/>
  <c r="S2119" i="2"/>
  <c r="U1893" i="2"/>
  <c r="J1784" i="2"/>
  <c r="P1690" i="2"/>
  <c r="P1347" i="2"/>
  <c r="S1792" i="2"/>
  <c r="J1730" i="2"/>
  <c r="S1478" i="2"/>
  <c r="P1640" i="2"/>
  <c r="P2225" i="2"/>
  <c r="K1926" i="2"/>
  <c r="S1756" i="2"/>
  <c r="T1904" i="2"/>
  <c r="M1396" i="2"/>
  <c r="J1390" i="2"/>
  <c r="Q1817" i="2"/>
  <c r="O1897" i="2"/>
  <c r="M1829" i="2"/>
  <c r="P1377" i="2"/>
  <c r="S1750" i="2"/>
  <c r="K1834" i="2"/>
  <c r="N1869" i="2"/>
  <c r="J1909" i="2"/>
  <c r="U1453" i="2"/>
  <c r="S1671" i="2"/>
  <c r="J2257" i="2"/>
  <c r="M1643" i="2"/>
  <c r="J1638" i="2"/>
  <c r="J1476" i="2"/>
  <c r="J1973" i="2"/>
  <c r="N1920" i="2"/>
  <c r="K1780" i="2"/>
  <c r="J2115" i="2"/>
  <c r="N2090" i="2"/>
  <c r="Q2279" i="2"/>
  <c r="T1834" i="2"/>
  <c r="S1651" i="2"/>
  <c r="U1728" i="2"/>
  <c r="M2089" i="2"/>
  <c r="M1878" i="2"/>
  <c r="Q1791" i="2"/>
  <c r="T1613" i="2"/>
  <c r="P1844" i="2"/>
  <c r="O1932" i="2"/>
  <c r="O1781" i="2"/>
  <c r="U2273" i="2"/>
  <c r="K2310" i="2"/>
  <c r="S1880" i="2"/>
  <c r="N2210" i="2"/>
  <c r="U1978" i="2"/>
  <c r="O1998" i="2"/>
  <c r="L1694" i="2"/>
  <c r="Q1984" i="2"/>
  <c r="Q1750" i="2"/>
  <c r="J2100" i="2"/>
  <c r="M1974" i="2"/>
  <c r="J1659" i="2"/>
  <c r="T2049" i="2"/>
  <c r="L1245" i="2"/>
  <c r="M1485" i="2"/>
  <c r="S1662" i="2"/>
  <c r="J1802" i="2"/>
  <c r="S1494" i="2"/>
  <c r="O1610" i="2"/>
  <c r="L1695" i="2"/>
  <c r="K1749" i="2"/>
  <c r="R1705" i="2"/>
  <c r="L2020" i="2"/>
  <c r="O1370" i="2"/>
  <c r="K1364" i="2"/>
  <c r="M1914" i="2"/>
  <c r="P1820" i="2"/>
  <c r="M2018" i="2"/>
  <c r="R1492" i="2"/>
  <c r="N1646" i="2"/>
  <c r="M2107" i="2"/>
  <c r="O1495" i="2"/>
  <c r="J1651" i="2"/>
  <c r="U1423" i="2"/>
  <c r="Q1574" i="2"/>
  <c r="T2144" i="2"/>
  <c r="O1804" i="2"/>
  <c r="Q1886" i="2"/>
  <c r="S1807" i="2"/>
  <c r="U2018" i="2"/>
  <c r="S1592" i="2"/>
  <c r="Q2086" i="2"/>
  <c r="R1700" i="2"/>
  <c r="S1833" i="2"/>
  <c r="M1968" i="2"/>
  <c r="J2244" i="2"/>
  <c r="T1780" i="2"/>
  <c r="K2040" i="2"/>
  <c r="N2000" i="2"/>
  <c r="U2008" i="2"/>
  <c r="J1840" i="2"/>
  <c r="P1798" i="2"/>
  <c r="S1303" i="2"/>
  <c r="P2195" i="2"/>
  <c r="N1836" i="2"/>
  <c r="N1543" i="2"/>
  <c r="O1914" i="2"/>
  <c r="K1503" i="2"/>
  <c r="S2071" i="2"/>
  <c r="U1955" i="2"/>
  <c r="U2042" i="2"/>
  <c r="U1876" i="2"/>
  <c r="L1908" i="2"/>
  <c r="P1989" i="2"/>
  <c r="R1696" i="2"/>
  <c r="P2215" i="2"/>
  <c r="T1957" i="2"/>
  <c r="M1903" i="2"/>
  <c r="S1838" i="2"/>
  <c r="M2127" i="2"/>
  <c r="S1731" i="2"/>
  <c r="Q2133" i="2"/>
  <c r="S2173" i="2"/>
  <c r="N2104" i="2"/>
  <c r="S2157" i="2"/>
  <c r="J1699" i="2"/>
  <c r="O2108" i="2"/>
  <c r="L1709" i="2"/>
  <c r="J1976" i="2"/>
  <c r="T2020" i="2"/>
  <c r="N1765" i="2"/>
  <c r="L1797" i="2"/>
  <c r="O1974" i="2"/>
  <c r="K1965" i="2"/>
  <c r="J2026" i="2"/>
  <c r="M1283" i="2"/>
  <c r="R1621" i="2"/>
  <c r="M1478" i="2"/>
  <c r="S1531" i="2"/>
  <c r="T1839" i="2"/>
  <c r="P1610" i="2"/>
  <c r="J2034" i="2"/>
  <c r="O2032" i="2"/>
  <c r="J1813" i="2"/>
  <c r="U1905" i="2"/>
  <c r="S1432" i="2"/>
  <c r="S1567" i="2"/>
  <c r="L1786" i="2"/>
  <c r="J1608" i="2"/>
  <c r="J1494" i="2"/>
  <c r="L1683" i="2"/>
  <c r="U2016" i="2"/>
  <c r="N1487" i="2"/>
  <c r="P1715" i="2"/>
  <c r="J1866" i="2"/>
  <c r="O1949" i="2"/>
  <c r="S2093" i="2"/>
  <c r="J2002" i="2"/>
  <c r="R1918" i="2"/>
  <c r="T1172" i="2"/>
  <c r="Q1861" i="2"/>
  <c r="M1582" i="2"/>
  <c r="M2034" i="2"/>
  <c r="K1659" i="2"/>
  <c r="L1810" i="2"/>
  <c r="N1926" i="2"/>
  <c r="O2205" i="2"/>
  <c r="P1792" i="2"/>
  <c r="N1767" i="2"/>
  <c r="M1899" i="2"/>
  <c r="U2213" i="2"/>
  <c r="Q1976" i="2"/>
  <c r="M1694" i="2"/>
  <c r="O1435" i="2"/>
  <c r="Q2255" i="2"/>
  <c r="O2010" i="2"/>
  <c r="U1781" i="2"/>
  <c r="U1939" i="2"/>
  <c r="J1481" i="2"/>
  <c r="S1955" i="2"/>
  <c r="R1802" i="2"/>
  <c r="T1614" i="2"/>
  <c r="L1858" i="2"/>
  <c r="N1914" i="2"/>
  <c r="O2062" i="2"/>
  <c r="S1960" i="2"/>
  <c r="Q1658" i="2"/>
  <c r="M1452" i="2"/>
  <c r="K1869" i="2"/>
  <c r="K1761" i="2"/>
  <c r="O1431" i="2"/>
  <c r="N1324" i="2"/>
  <c r="J1165" i="2"/>
  <c r="T1018" i="2"/>
  <c r="K1936" i="2"/>
  <c r="L1477" i="2"/>
  <c r="L1341" i="2"/>
  <c r="S1810" i="2"/>
  <c r="S1509" i="2"/>
  <c r="T1746" i="2"/>
  <c r="J1631" i="2"/>
  <c r="U1271" i="2"/>
  <c r="K1185" i="2"/>
  <c r="R1430" i="2"/>
  <c r="T1949" i="2"/>
  <c r="J1644" i="2"/>
  <c r="Q1937" i="2"/>
  <c r="Q1970" i="2"/>
  <c r="Q1337" i="2"/>
  <c r="K1259" i="2"/>
  <c r="Q1548" i="2"/>
  <c r="P1349" i="2"/>
  <c r="O1809" i="2"/>
  <c r="K1768" i="2"/>
  <c r="O1755" i="2"/>
  <c r="S1815" i="2"/>
  <c r="S1543" i="2"/>
  <c r="P2035" i="2"/>
  <c r="N1745" i="2"/>
  <c r="M1597" i="2"/>
  <c r="L2106" i="2"/>
  <c r="J1564" i="2"/>
  <c r="K1544" i="2"/>
  <c r="L1819" i="2"/>
  <c r="K1205" i="2"/>
  <c r="M1437" i="2"/>
  <c r="K1274" i="2"/>
  <c r="U1697" i="2"/>
  <c r="T1665" i="2"/>
  <c r="P1903" i="2"/>
  <c r="U2205" i="2"/>
  <c r="P1626" i="2"/>
  <c r="P1320" i="2"/>
  <c r="M1683" i="2"/>
  <c r="L1657" i="2"/>
  <c r="O1559" i="2"/>
  <c r="P1913" i="2"/>
  <c r="U2257" i="2"/>
  <c r="O1272" i="2"/>
  <c r="O1378" i="2"/>
  <c r="K2042" i="2"/>
  <c r="T1535" i="2"/>
  <c r="T1997" i="2"/>
  <c r="J1970" i="2"/>
  <c r="L2165" i="2"/>
  <c r="P1858" i="2"/>
  <c r="N2042" i="2"/>
  <c r="M1574" i="2"/>
  <c r="O1768" i="2"/>
  <c r="N2199" i="2"/>
  <c r="Q1897" i="2"/>
  <c r="O1895" i="2"/>
  <c r="K1783" i="2"/>
  <c r="K2208" i="2"/>
  <c r="S1881" i="2"/>
  <c r="L2119" i="2"/>
  <c r="S2238" i="2"/>
  <c r="S1636" i="2"/>
  <c r="R1891" i="2"/>
  <c r="N1933" i="2"/>
  <c r="S2291" i="2"/>
  <c r="R1846" i="2"/>
  <c r="M2191" i="2"/>
  <c r="K2136" i="2"/>
  <c r="S2154" i="2"/>
  <c r="Q2017" i="2"/>
  <c r="N1931" i="2"/>
  <c r="N1491" i="2"/>
  <c r="K1352" i="2"/>
  <c r="N1582" i="2"/>
  <c r="U2081" i="2"/>
  <c r="O1692" i="2"/>
  <c r="Q1857" i="2"/>
  <c r="M1480" i="2"/>
  <c r="L2107" i="2"/>
  <c r="T1801" i="2"/>
  <c r="L1958" i="2"/>
  <c r="R1625" i="2"/>
  <c r="N2076" i="2"/>
  <c r="N1577" i="2"/>
  <c r="M2243" i="2"/>
  <c r="J2098" i="2"/>
  <c r="K1635" i="2"/>
  <c r="J1578" i="2"/>
  <c r="P1794" i="2"/>
  <c r="N1942" i="2"/>
  <c r="M1910" i="2"/>
  <c r="K1971" i="2"/>
  <c r="K1880" i="2"/>
  <c r="J1938" i="2"/>
  <c r="T1962" i="2"/>
  <c r="N1751" i="2"/>
  <c r="O2068" i="2"/>
  <c r="U1721" i="2"/>
  <c r="J1815" i="2"/>
  <c r="N1641" i="2"/>
  <c r="Q1870" i="2"/>
  <c r="M1607" i="2"/>
  <c r="Q1895" i="2"/>
  <c r="L1756" i="2"/>
  <c r="S1498" i="2"/>
  <c r="N1819" i="2"/>
  <c r="S2043" i="2"/>
  <c r="Q1649" i="2"/>
  <c r="R1487" i="2"/>
  <c r="O1725" i="2"/>
  <c r="J1912" i="2"/>
  <c r="U1679" i="2"/>
  <c r="R2048" i="2"/>
  <c r="N2171" i="2"/>
  <c r="R1727" i="2"/>
  <c r="U1840" i="2"/>
  <c r="P2258" i="2"/>
  <c r="M1794" i="2"/>
  <c r="K1486" i="2"/>
  <c r="L1648" i="2"/>
  <c r="N2086" i="2"/>
  <c r="M2313" i="2"/>
  <c r="N1809" i="2"/>
  <c r="N1200" i="2"/>
  <c r="J1953" i="2"/>
  <c r="T2038" i="2"/>
  <c r="S1781" i="2"/>
  <c r="S1790" i="2"/>
  <c r="P1835" i="2"/>
  <c r="N1785" i="2"/>
  <c r="S1517" i="2"/>
  <c r="P1535" i="2"/>
  <c r="N1779" i="2"/>
  <c r="K1623" i="2"/>
  <c r="M1712" i="2"/>
  <c r="J1737" i="2"/>
  <c r="S2170" i="2"/>
  <c r="K2213" i="2"/>
  <c r="J1535" i="2"/>
  <c r="K2000" i="2"/>
  <c r="S2017" i="2"/>
  <c r="S2015" i="2"/>
  <c r="U1877" i="2"/>
  <c r="N1864" i="2"/>
  <c r="S1616" i="2"/>
  <c r="Q2016" i="2"/>
  <c r="P1893" i="2"/>
  <c r="N1731" i="2"/>
  <c r="U1269" i="2"/>
  <c r="L2091" i="2"/>
  <c r="O2154" i="2"/>
  <c r="P1685" i="2"/>
  <c r="M1486" i="2"/>
  <c r="P1440" i="2"/>
  <c r="K2123" i="2"/>
  <c r="P1859" i="2"/>
  <c r="R1620" i="2"/>
  <c r="P1759" i="2"/>
  <c r="K1594" i="2"/>
  <c r="R1403" i="2"/>
  <c r="T1653" i="2"/>
  <c r="T1393" i="2"/>
  <c r="L1665" i="2"/>
  <c r="N1654" i="2"/>
  <c r="N2073" i="2"/>
  <c r="L1462" i="2"/>
  <c r="O1615" i="2"/>
  <c r="O1875" i="2"/>
  <c r="T1300" i="2"/>
  <c r="U1332" i="2"/>
  <c r="N1710" i="2"/>
  <c r="M1432" i="2"/>
  <c r="O1204" i="2"/>
  <c r="L1393" i="2"/>
  <c r="U1941" i="2"/>
  <c r="U1409" i="2"/>
  <c r="R1661" i="2"/>
  <c r="L1582" i="2"/>
  <c r="K1726" i="2"/>
  <c r="U1875" i="2"/>
  <c r="R1905" i="2"/>
  <c r="S1958" i="2"/>
  <c r="M1441" i="2"/>
  <c r="U1824" i="2"/>
  <c r="T1514" i="2"/>
  <c r="T1521" i="2"/>
  <c r="K1611" i="2"/>
  <c r="L1635" i="2"/>
  <c r="Q1460" i="2"/>
  <c r="M1999" i="2"/>
  <c r="K1986" i="2"/>
  <c r="O1982" i="2"/>
  <c r="P1797" i="2"/>
  <c r="O1483" i="2"/>
  <c r="J1962" i="2"/>
  <c r="T1499" i="2"/>
  <c r="J1167" i="2"/>
  <c r="M1401" i="2"/>
  <c r="S2063" i="2"/>
  <c r="S2235" i="2"/>
  <c r="K2142" i="2"/>
  <c r="P1779" i="2"/>
  <c r="R1894" i="2"/>
  <c r="P1735" i="2"/>
  <c r="Q2196" i="2"/>
  <c r="U2052" i="2"/>
  <c r="P2023" i="2"/>
  <c r="U1531" i="2"/>
  <c r="T1902" i="2"/>
  <c r="M1686" i="2"/>
  <c r="R1965" i="2"/>
  <c r="M2056" i="2"/>
  <c r="L1733" i="2"/>
  <c r="R1501" i="2"/>
  <c r="T1565" i="2"/>
  <c r="L2007" i="2"/>
  <c r="K2021" i="2"/>
  <c r="J1814" i="2"/>
  <c r="K2135" i="2"/>
  <c r="L2070" i="2"/>
  <c r="M2222" i="2"/>
  <c r="N1804" i="2"/>
  <c r="Q1730" i="2"/>
  <c r="K1770" i="2"/>
  <c r="U1691" i="2"/>
  <c r="T1759" i="2"/>
  <c r="U1813" i="2"/>
  <c r="T1624" i="2"/>
  <c r="Q2217" i="2"/>
  <c r="K2116" i="2"/>
  <c r="M1594" i="2"/>
  <c r="U2248" i="2"/>
  <c r="U1537" i="2"/>
  <c r="O2199" i="2"/>
  <c r="S2186" i="2"/>
  <c r="T1841" i="2"/>
  <c r="T1960" i="2"/>
  <c r="N2202" i="2"/>
  <c r="O1933" i="2"/>
  <c r="L2156" i="2"/>
  <c r="U2013" i="2"/>
  <c r="U1771" i="2"/>
  <c r="T2208" i="2"/>
  <c r="R1636" i="2"/>
  <c r="J1955" i="2"/>
  <c r="P2060" i="2"/>
  <c r="T1770" i="2"/>
  <c r="S2219" i="2"/>
  <c r="S1549" i="2"/>
  <c r="Q1977" i="2"/>
  <c r="T1800" i="2"/>
  <c r="M2054" i="2"/>
  <c r="S2109" i="2"/>
  <c r="J1770" i="2"/>
  <c r="J1532" i="2"/>
  <c r="K2071" i="2"/>
  <c r="L1924" i="2"/>
  <c r="O1838" i="2"/>
  <c r="L2144" i="2"/>
  <c r="T2149" i="2"/>
  <c r="N1956" i="2"/>
  <c r="M1534" i="2"/>
  <c r="N2155" i="2"/>
  <c r="Q2280" i="2"/>
  <c r="Q1707" i="2"/>
  <c r="J1900" i="2"/>
  <c r="K2033" i="2"/>
  <c r="S1999" i="2"/>
  <c r="K1771" i="2"/>
  <c r="O1782" i="2"/>
  <c r="K1654" i="2"/>
  <c r="Q2203" i="2"/>
  <c r="L1809" i="2"/>
  <c r="P2061" i="2"/>
  <c r="J2006" i="2"/>
  <c r="J2270" i="2"/>
  <c r="L1972" i="2"/>
  <c r="J1958" i="2"/>
  <c r="S1956" i="2"/>
  <c r="R1998" i="2"/>
  <c r="Q1752" i="2"/>
  <c r="U1923" i="2"/>
  <c r="N1725" i="2"/>
  <c r="K1616" i="2"/>
  <c r="R1795" i="2"/>
  <c r="M1651" i="2"/>
  <c r="T1991" i="2"/>
  <c r="J1599" i="2"/>
  <c r="Q2060" i="2"/>
  <c r="S1738" i="2"/>
  <c r="O1961" i="2"/>
  <c r="O2258" i="2"/>
  <c r="T2062" i="2"/>
  <c r="M2310" i="2"/>
  <c r="Q1630" i="2"/>
  <c r="M2237" i="2"/>
  <c r="M2227" i="2"/>
  <c r="O2009" i="2"/>
  <c r="T1808" i="2"/>
  <c r="J1607" i="2"/>
  <c r="N1661" i="2"/>
  <c r="K2058" i="2"/>
  <c r="R1790" i="2"/>
  <c r="O2035" i="2"/>
  <c r="O1906" i="2"/>
  <c r="N2291" i="2"/>
  <c r="R1888" i="2"/>
  <c r="M2135" i="2"/>
  <c r="P2235" i="2"/>
  <c r="U1764" i="2"/>
  <c r="N2203" i="2"/>
  <c r="O1821" i="2"/>
  <c r="O1837" i="2"/>
  <c r="S1663" i="2"/>
  <c r="N2253" i="2"/>
  <c r="L1392" i="2"/>
  <c r="S1883" i="2"/>
  <c r="K1924" i="2"/>
  <c r="R1721" i="2"/>
  <c r="R1736" i="2"/>
  <c r="P1274" i="2"/>
  <c r="O1812" i="2"/>
  <c r="M2098" i="2"/>
  <c r="K1459" i="2"/>
  <c r="P1841" i="2"/>
  <c r="M1601" i="2"/>
  <c r="O1676" i="2"/>
  <c r="S2001" i="2"/>
  <c r="L1134" i="2"/>
  <c r="Q1964" i="2"/>
  <c r="N2034" i="2"/>
  <c r="M1928" i="2"/>
  <c r="P1513" i="2"/>
  <c r="P1512" i="2"/>
  <c r="M2014" i="2"/>
  <c r="Q1704" i="2"/>
  <c r="R1917" i="2"/>
  <c r="P1919" i="2"/>
  <c r="M1769" i="2"/>
  <c r="T2186" i="2"/>
  <c r="Q1814" i="2"/>
  <c r="S1681" i="2"/>
  <c r="J1874" i="2"/>
  <c r="S1263" i="2"/>
  <c r="K1268" i="2"/>
  <c r="R1497" i="2"/>
  <c r="S1685" i="2"/>
  <c r="J1442" i="2"/>
  <c r="N2012" i="2"/>
  <c r="U1576" i="2"/>
  <c r="J1530" i="2"/>
  <c r="L1215" i="2"/>
  <c r="O2246" i="2"/>
  <c r="S1754" i="2"/>
  <c r="O1818" i="2"/>
  <c r="U1624" i="2"/>
  <c r="P1679" i="2"/>
  <c r="L1751" i="2"/>
  <c r="P1227" i="2"/>
  <c r="S1745" i="2"/>
  <c r="O1715" i="2"/>
  <c r="N1666" i="2"/>
  <c r="L2095" i="2"/>
  <c r="R1870" i="2"/>
  <c r="P1654" i="2"/>
  <c r="R1512" i="2"/>
  <c r="K1508" i="2"/>
  <c r="S1550" i="2"/>
  <c r="T1327" i="2"/>
  <c r="K1215" i="2"/>
  <c r="S1396" i="2"/>
  <c r="U2180" i="2"/>
  <c r="O1633" i="2"/>
  <c r="U1675" i="2"/>
  <c r="R1593" i="2"/>
  <c r="Q1322" i="2"/>
  <c r="R1222" i="2"/>
  <c r="P1576" i="2"/>
  <c r="T1618" i="2"/>
  <c r="Q1748" i="2"/>
  <c r="N1380" i="2"/>
  <c r="L2171" i="2"/>
  <c r="T1595" i="2"/>
  <c r="Q1325" i="2"/>
  <c r="Q1936" i="2"/>
  <c r="O1481" i="2"/>
  <c r="R1807" i="2"/>
  <c r="N1777" i="2"/>
  <c r="Q1452" i="2"/>
  <c r="T1724" i="2"/>
  <c r="N1228" i="2"/>
  <c r="L1613" i="2"/>
  <c r="R1452" i="2"/>
  <c r="J1916" i="2"/>
  <c r="M1527" i="2"/>
  <c r="T1925" i="2"/>
  <c r="L1435" i="2"/>
  <c r="N2027" i="2"/>
  <c r="J1630" i="2"/>
  <c r="J1754" i="2"/>
  <c r="Q2037" i="2"/>
  <c r="O1956" i="2"/>
  <c r="N1770" i="2"/>
  <c r="L1342" i="2"/>
  <c r="S1418" i="2"/>
  <c r="M1721" i="2"/>
  <c r="Q2079" i="2"/>
  <c r="L1486" i="2"/>
  <c r="Q1510" i="2"/>
  <c r="U1644" i="2"/>
  <c r="L1032" i="2"/>
  <c r="O1425" i="2"/>
  <c r="T1364" i="2"/>
  <c r="N1830" i="2"/>
  <c r="O1354" i="2"/>
  <c r="T1596" i="2"/>
  <c r="Q1492" i="2"/>
  <c r="U1560" i="2"/>
  <c r="O1227" i="2"/>
  <c r="U1199" i="2"/>
  <c r="L1351" i="2"/>
  <c r="L1679" i="2"/>
  <c r="O1305" i="2"/>
  <c r="T1250" i="2"/>
  <c r="M1091" i="2"/>
  <c r="U2288" i="2"/>
  <c r="L1701" i="2"/>
  <c r="U1402" i="2"/>
  <c r="O1409" i="2"/>
  <c r="T1840" i="2"/>
  <c r="N1118" i="2"/>
  <c r="P1522" i="2"/>
  <c r="N815" i="2"/>
  <c r="K1920" i="2"/>
  <c r="U1543" i="2"/>
  <c r="T1454" i="2"/>
  <c r="L1707" i="2"/>
  <c r="O1392" i="2"/>
  <c r="N1147" i="2"/>
  <c r="J1417" i="2"/>
  <c r="R1590" i="2"/>
  <c r="Q1595" i="2"/>
  <c r="P1321" i="2"/>
  <c r="P1672" i="2"/>
  <c r="M1719" i="2"/>
  <c r="M1242" i="2"/>
  <c r="S1428" i="2"/>
  <c r="J1269" i="2"/>
  <c r="O1288" i="2"/>
  <c r="L1547" i="2"/>
  <c r="O1287" i="2"/>
  <c r="U1151" i="2"/>
  <c r="M1759" i="2"/>
  <c r="R1536" i="2"/>
  <c r="N2047" i="2"/>
  <c r="O1558" i="2"/>
  <c r="S1195" i="2"/>
  <c r="J1634" i="2"/>
  <c r="S1200" i="2"/>
  <c r="R1070" i="2"/>
  <c r="R1054" i="2"/>
  <c r="U1396" i="2"/>
  <c r="S1299" i="2"/>
  <c r="J1409" i="2"/>
  <c r="O2031" i="2"/>
  <c r="J1287" i="2"/>
  <c r="S2016" i="2"/>
  <c r="S1430" i="2"/>
  <c r="N1449" i="2"/>
  <c r="N1401" i="2"/>
  <c r="O1686" i="2"/>
  <c r="N1364" i="2"/>
  <c r="N1271" i="2"/>
  <c r="J1998" i="2"/>
  <c r="U1532" i="2"/>
  <c r="S1410" i="2"/>
  <c r="M1253" i="2"/>
  <c r="M1388" i="2"/>
  <c r="Q1317" i="2"/>
  <c r="O1466" i="2"/>
  <c r="O1533" i="2"/>
  <c r="Q1627" i="2"/>
  <c r="M1545" i="2"/>
  <c r="P1249" i="2"/>
  <c r="N1481" i="2"/>
  <c r="Q1293" i="2"/>
  <c r="O1713" i="2"/>
  <c r="J1794" i="2"/>
  <c r="O987" i="2"/>
  <c r="O1661" i="2"/>
  <c r="O1448" i="2"/>
  <c r="O1886" i="2"/>
  <c r="J1710" i="2"/>
  <c r="Q1269" i="2"/>
  <c r="R1610" i="2"/>
  <c r="U1410" i="2"/>
  <c r="T1914" i="2"/>
  <c r="S1725" i="2"/>
  <c r="M1337" i="2"/>
  <c r="L1655" i="2"/>
  <c r="M1881" i="2"/>
  <c r="U1801" i="2"/>
  <c r="O1433" i="2"/>
  <c r="P1539" i="2"/>
  <c r="L1372" i="2"/>
  <c r="R1895" i="2"/>
  <c r="K1338" i="2"/>
  <c r="Q1131" i="2"/>
  <c r="M1412" i="2"/>
  <c r="U1709" i="2"/>
  <c r="K1241" i="2"/>
  <c r="M1710" i="2"/>
  <c r="K1285" i="2"/>
  <c r="J1401" i="2"/>
  <c r="T1775" i="2"/>
  <c r="S1675" i="2"/>
  <c r="K1751" i="2"/>
  <c r="T2048" i="2"/>
  <c r="T2031" i="2"/>
  <c r="S1362" i="2"/>
  <c r="Q1275" i="2"/>
  <c r="U1671" i="2"/>
  <c r="J1882" i="2"/>
  <c r="J1579" i="2"/>
  <c r="L1148" i="2"/>
  <c r="U2133" i="2"/>
  <c r="M1944" i="2"/>
  <c r="T999" i="2"/>
  <c r="P1382" i="2"/>
  <c r="Q1301" i="2"/>
  <c r="M2005" i="2"/>
  <c r="S2233" i="2"/>
  <c r="L1837" i="2"/>
  <c r="Q1617" i="2"/>
  <c r="N1808" i="2"/>
  <c r="Q1619" i="2"/>
  <c r="K1758" i="2"/>
  <c r="R1733" i="2"/>
  <c r="N1411" i="2"/>
  <c r="K1896" i="2"/>
  <c r="U1961" i="2"/>
  <c r="M1648" i="2"/>
  <c r="U2011" i="2"/>
  <c r="J1498" i="2"/>
  <c r="M2128" i="2"/>
  <c r="M1185" i="2"/>
  <c r="Q1760" i="2"/>
  <c r="L1895" i="2"/>
  <c r="N1839" i="2"/>
  <c r="K1747" i="2"/>
  <c r="M1681" i="2"/>
  <c r="L1699" i="2"/>
  <c r="R2016" i="2"/>
  <c r="R1848" i="2"/>
  <c r="O1824" i="2"/>
  <c r="M1567" i="2"/>
  <c r="O1321" i="2"/>
  <c r="O2251" i="2"/>
  <c r="N1274" i="2"/>
  <c r="U2172" i="2"/>
  <c r="L1591" i="2"/>
  <c r="R1475" i="2"/>
  <c r="S2086" i="2"/>
  <c r="O2117" i="2"/>
  <c r="J1312" i="2"/>
  <c r="L1956" i="2"/>
  <c r="Q1699" i="2"/>
  <c r="J1604" i="2"/>
  <c r="P1769" i="2"/>
  <c r="R2028" i="2"/>
  <c r="J1932" i="2"/>
  <c r="M1847" i="2"/>
  <c r="Q1584" i="2"/>
  <c r="N1527" i="2"/>
  <c r="P1173" i="2"/>
  <c r="R1862" i="2"/>
  <c r="T1532" i="2"/>
  <c r="J2061" i="2"/>
  <c r="T1592" i="2"/>
  <c r="R1722" i="2"/>
  <c r="U1547" i="2"/>
  <c r="U1536" i="2"/>
  <c r="T1598" i="2"/>
  <c r="J2114" i="2"/>
  <c r="P1911" i="2"/>
  <c r="U1634" i="2"/>
  <c r="R1944" i="2"/>
  <c r="J1437" i="2"/>
  <c r="M1851" i="2"/>
  <c r="O1358" i="2"/>
  <c r="O1518" i="2"/>
  <c r="Q1473" i="2"/>
  <c r="N1230" i="2"/>
  <c r="R1280" i="2"/>
  <c r="R1831" i="2"/>
  <c r="O1545" i="2"/>
  <c r="L1835" i="2"/>
  <c r="Q1648" i="2"/>
  <c r="T1661" i="2"/>
  <c r="O2146" i="2"/>
  <c r="L1770" i="2"/>
  <c r="R1879" i="2"/>
  <c r="T1349" i="2"/>
  <c r="O1565" i="2"/>
  <c r="J1871" i="2"/>
  <c r="R1379" i="2"/>
  <c r="U1872" i="2"/>
  <c r="J1920" i="2"/>
  <c r="U1362" i="2"/>
  <c r="U2256" i="2"/>
  <c r="M1790" i="2"/>
  <c r="Q1824" i="2"/>
  <c r="M1821" i="2"/>
  <c r="P1295" i="2"/>
  <c r="Q1827" i="2"/>
  <c r="O1547" i="2"/>
  <c r="Q1029" i="2"/>
  <c r="N1163" i="2"/>
  <c r="U1507" i="2"/>
  <c r="L1667" i="2"/>
  <c r="S1730" i="2"/>
  <c r="J2004" i="2"/>
  <c r="N1750" i="2"/>
  <c r="U1823" i="2"/>
  <c r="U1528" i="2"/>
  <c r="P1642" i="2"/>
  <c r="K1698" i="2"/>
  <c r="M1915" i="2"/>
  <c r="L1645" i="2"/>
  <c r="K1610" i="2"/>
  <c r="L1568" i="2"/>
  <c r="P1267" i="2"/>
  <c r="R1410" i="2"/>
  <c r="M1236" i="2"/>
  <c r="U1154" i="2"/>
  <c r="L1022" i="2"/>
  <c r="M1864" i="2"/>
  <c r="N1805" i="2"/>
  <c r="M1433" i="2"/>
  <c r="U1399" i="2"/>
  <c r="Q1456" i="2"/>
  <c r="K1163" i="2"/>
  <c r="T1020" i="2"/>
  <c r="R1079" i="2"/>
  <c r="M1281" i="2"/>
  <c r="Q950" i="2"/>
  <c r="Q1342" i="2"/>
  <c r="R887" i="2"/>
  <c r="K1538" i="2"/>
  <c r="S1557" i="2"/>
  <c r="Q1563" i="2"/>
  <c r="N1820" i="2"/>
  <c r="U1178" i="2"/>
  <c r="P1216" i="2"/>
  <c r="Q2043" i="2"/>
  <c r="M838" i="2"/>
  <c r="S1777" i="2"/>
  <c r="T1534" i="2"/>
  <c r="T1339" i="2"/>
  <c r="L1628" i="2"/>
  <c r="R1274" i="2"/>
  <c r="L1542" i="2"/>
  <c r="T953" i="2"/>
  <c r="N1677" i="2"/>
  <c r="R2043" i="2"/>
  <c r="U1196" i="2"/>
  <c r="T1177" i="2"/>
  <c r="M1628" i="2"/>
  <c r="S1765" i="2"/>
  <c r="K1853" i="2"/>
  <c r="M1197" i="2"/>
  <c r="M1468" i="2"/>
  <c r="M1585" i="2"/>
  <c r="O1153" i="2"/>
  <c r="T1109" i="2"/>
  <c r="N1617" i="2"/>
  <c r="M1692" i="2"/>
  <c r="Q1838" i="2"/>
  <c r="M1795" i="2"/>
  <c r="R1092" i="2"/>
  <c r="K1362" i="2"/>
  <c r="S1561" i="2"/>
  <c r="P1409" i="2"/>
  <c r="M1031" i="2"/>
  <c r="O1406" i="2"/>
  <c r="T1378" i="2"/>
  <c r="K1318" i="2"/>
  <c r="R1418" i="2"/>
  <c r="K1256" i="2"/>
  <c r="R2021" i="2"/>
  <c r="M1124" i="2"/>
  <c r="P1400" i="2"/>
  <c r="U1286" i="2"/>
  <c r="J1345" i="2"/>
  <c r="R1296" i="2"/>
  <c r="R1313" i="2"/>
  <c r="L1708" i="2"/>
  <c r="T1240" i="2"/>
  <c r="L1529" i="2"/>
  <c r="L1348" i="2"/>
  <c r="P1645" i="2"/>
  <c r="S1336" i="2"/>
  <c r="N1695" i="2"/>
  <c r="L1567" i="2"/>
  <c r="M1216" i="2"/>
  <c r="P1507" i="2"/>
  <c r="S1378" i="2"/>
  <c r="R1953" i="2"/>
  <c r="P1052" i="2"/>
  <c r="Q984" i="2"/>
  <c r="P1188" i="2"/>
  <c r="N1585" i="2"/>
  <c r="R1549" i="2"/>
  <c r="R1638" i="2"/>
  <c r="T2056" i="2"/>
  <c r="O1171" i="2"/>
  <c r="N1087" i="2"/>
  <c r="O1650" i="2"/>
  <c r="P2203" i="2"/>
  <c r="U1635" i="2"/>
  <c r="N1871" i="2"/>
  <c r="K1060" i="2"/>
  <c r="L1693" i="2"/>
  <c r="N1466" i="2"/>
  <c r="K1282" i="2"/>
  <c r="M1316" i="2"/>
  <c r="J1838" i="2"/>
  <c r="S1491" i="2"/>
  <c r="S1453" i="2"/>
  <c r="J1036" i="2"/>
  <c r="N1043" i="2"/>
  <c r="O1191" i="2"/>
  <c r="S1292" i="2"/>
  <c r="M1551" i="2"/>
  <c r="L1523" i="2"/>
  <c r="L1128" i="2"/>
  <c r="N1188" i="2"/>
  <c r="P1517" i="2"/>
  <c r="O1983" i="2"/>
  <c r="Q1762" i="2"/>
  <c r="L1686" i="2"/>
  <c r="P1294" i="2"/>
  <c r="S1425" i="2"/>
  <c r="S1193" i="2"/>
  <c r="Q1514" i="2"/>
  <c r="J1676" i="2"/>
  <c r="P1508" i="2"/>
  <c r="S1407" i="2"/>
  <c r="J1279" i="2"/>
  <c r="S1233" i="2"/>
  <c r="U1347" i="2"/>
  <c r="U1506" i="2"/>
  <c r="L1259" i="2"/>
  <c r="U1910" i="2"/>
  <c r="R2035" i="2"/>
  <c r="S1676" i="2"/>
  <c r="J2095" i="2"/>
  <c r="O1937" i="2"/>
  <c r="J1489" i="2"/>
  <c r="J2091" i="2"/>
  <c r="U1856" i="2"/>
  <c r="N1653" i="2"/>
  <c r="L1483" i="2"/>
  <c r="N1799" i="2"/>
  <c r="T1526" i="2"/>
  <c r="N1696" i="2"/>
  <c r="P1622" i="2"/>
  <c r="S1542" i="2"/>
  <c r="O1590" i="2"/>
  <c r="K1722" i="2"/>
  <c r="M1766" i="2"/>
  <c r="K1614" i="2"/>
  <c r="L1463" i="2"/>
  <c r="U1790" i="2"/>
  <c r="L2048" i="2"/>
  <c r="S1951" i="2"/>
  <c r="K2164" i="2"/>
  <c r="K2122" i="2"/>
  <c r="T2035" i="2"/>
  <c r="Q1902" i="2"/>
  <c r="P1619" i="2"/>
  <c r="Q1368" i="2"/>
  <c r="K2008" i="2"/>
  <c r="S1822" i="2"/>
  <c r="Q1411" i="2"/>
  <c r="N1865" i="2"/>
  <c r="R2075" i="2"/>
  <c r="N2075" i="2"/>
  <c r="R1738" i="2"/>
  <c r="N1452" i="2"/>
  <c r="P1452" i="2"/>
  <c r="L1681" i="2"/>
  <c r="R1712" i="2"/>
  <c r="M1729" i="2"/>
  <c r="M1608" i="2"/>
  <c r="P1883" i="2"/>
  <c r="J1200" i="2"/>
  <c r="R1327" i="2"/>
  <c r="J1805" i="2"/>
  <c r="Q1604" i="2"/>
  <c r="O2041" i="2"/>
  <c r="K1609" i="2"/>
  <c r="O1507" i="2"/>
  <c r="P1567" i="2"/>
  <c r="S1660" i="2"/>
  <c r="N1637" i="2"/>
  <c r="T2021" i="2"/>
  <c r="U1602" i="2"/>
  <c r="K1471" i="2"/>
  <c r="J1552" i="2"/>
  <c r="J1776" i="2"/>
  <c r="L1602" i="2"/>
  <c r="O2017" i="2"/>
  <c r="R1644" i="2"/>
  <c r="T1404" i="2"/>
  <c r="S1286" i="2"/>
  <c r="L1659" i="2"/>
  <c r="M1933" i="2"/>
  <c r="O1605" i="2"/>
  <c r="P1451" i="2"/>
  <c r="T1425" i="2"/>
  <c r="M1792" i="2"/>
  <c r="T1942" i="2"/>
  <c r="T1737" i="2"/>
  <c r="L1642" i="2"/>
  <c r="L1808" i="2"/>
  <c r="K1419" i="2"/>
  <c r="T1958" i="2"/>
  <c r="J1478" i="2"/>
  <c r="O1869" i="2"/>
  <c r="T1510" i="2"/>
  <c r="U1511" i="2"/>
  <c r="M2118" i="2"/>
  <c r="O1835" i="2"/>
  <c r="K1480" i="2"/>
  <c r="U1466" i="2"/>
  <c r="L1467" i="2"/>
  <c r="T1969" i="2"/>
  <c r="T2029" i="2"/>
  <c r="K1147" i="2"/>
  <c r="J1329" i="2"/>
  <c r="J1301" i="2"/>
  <c r="U1462" i="2"/>
  <c r="K1716" i="2"/>
  <c r="L1833" i="2"/>
  <c r="P1527" i="2"/>
  <c r="P1544" i="2"/>
  <c r="M1722" i="2"/>
  <c r="J1477" i="2"/>
  <c r="J2042" i="2"/>
  <c r="N1722" i="2"/>
  <c r="Q1541" i="2"/>
  <c r="T1856" i="2"/>
  <c r="M1598" i="2"/>
  <c r="Q1485" i="2"/>
  <c r="O1453" i="2"/>
  <c r="N1146" i="2"/>
  <c r="Q1111" i="2"/>
  <c r="T1140" i="2"/>
  <c r="K1737" i="2"/>
  <c r="O1290" i="2"/>
  <c r="M1360" i="2"/>
  <c r="L1588" i="2"/>
  <c r="N1504" i="2"/>
  <c r="L1250" i="2"/>
  <c r="T1002" i="2"/>
  <c r="Q1224" i="2"/>
  <c r="Q1296" i="2"/>
  <c r="J1047" i="2"/>
  <c r="R1121" i="2"/>
  <c r="L815" i="2"/>
  <c r="M2028" i="2"/>
  <c r="T1557" i="2"/>
  <c r="R1212" i="2"/>
  <c r="J1640" i="2"/>
  <c r="Q1180" i="2"/>
  <c r="N1600" i="2"/>
  <c r="N1573" i="2"/>
  <c r="J1625" i="2"/>
  <c r="M1879" i="2"/>
  <c r="R1286" i="2"/>
  <c r="N1518" i="2"/>
  <c r="U1343" i="2"/>
  <c r="P1345" i="2"/>
  <c r="J1161" i="2"/>
  <c r="P1480" i="2"/>
  <c r="L1220" i="2"/>
  <c r="U1569" i="2"/>
  <c r="M1420" i="2"/>
  <c r="T1322" i="2"/>
  <c r="J1495" i="2"/>
  <c r="J1622" i="2"/>
  <c r="N1859" i="2"/>
  <c r="N1060" i="2"/>
  <c r="K1393" i="2"/>
  <c r="S2038" i="2"/>
  <c r="O1552" i="2"/>
  <c r="O1205" i="2"/>
  <c r="J1959" i="2"/>
  <c r="T1987" i="2"/>
  <c r="N1593" i="2"/>
  <c r="S1439" i="2"/>
  <c r="S1444" i="2"/>
  <c r="R1814" i="2"/>
  <c r="K1103" i="2"/>
  <c r="M952" i="2"/>
  <c r="P1208" i="2"/>
  <c r="T1985" i="2"/>
  <c r="K1439" i="2"/>
  <c r="Q1522" i="2"/>
  <c r="U1712" i="2"/>
  <c r="R1417" i="2"/>
  <c r="T1666" i="2"/>
  <c r="K1273" i="2"/>
  <c r="R1691" i="2"/>
  <c r="M1635" i="2"/>
  <c r="S1331" i="2"/>
  <c r="T1476" i="2"/>
  <c r="P1636" i="2"/>
  <c r="K1373" i="2"/>
  <c r="S1129" i="2"/>
  <c r="N1788" i="2"/>
  <c r="O1090" i="2"/>
  <c r="P1322" i="2"/>
  <c r="U1217" i="2"/>
  <c r="K1736" i="2"/>
  <c r="N1738" i="2"/>
  <c r="O1663" i="2"/>
  <c r="R1314" i="2"/>
  <c r="N1197" i="2"/>
  <c r="J1357" i="2"/>
  <c r="P1116" i="2"/>
  <c r="U965" i="2"/>
  <c r="T1357" i="2"/>
  <c r="P1094" i="2"/>
  <c r="U1859" i="2"/>
  <c r="L1661" i="2"/>
  <c r="M1503" i="2"/>
  <c r="P1417" i="2"/>
  <c r="L1828" i="2"/>
  <c r="T1295" i="2"/>
  <c r="U1616" i="2"/>
  <c r="O1573" i="2"/>
  <c r="S1840" i="2"/>
  <c r="R1303" i="2"/>
  <c r="N1937" i="2"/>
  <c r="R1460" i="2"/>
  <c r="U1342" i="2"/>
  <c r="L1358" i="2"/>
  <c r="M2026" i="2"/>
  <c r="Q1260" i="2"/>
  <c r="U1520" i="2"/>
  <c r="N1894" i="2"/>
  <c r="L1082" i="2"/>
  <c r="P1655" i="2"/>
  <c r="N1264" i="2"/>
  <c r="P1280" i="2"/>
  <c r="U1652" i="2"/>
  <c r="K1416" i="2"/>
  <c r="L2006" i="2"/>
  <c r="M1361" i="2"/>
  <c r="O1620" i="2"/>
  <c r="O1576" i="2"/>
  <c r="P1689" i="2"/>
  <c r="R1634" i="2"/>
  <c r="J1311" i="2"/>
  <c r="P1613" i="2"/>
  <c r="P1677" i="2"/>
  <c r="J1467" i="2"/>
  <c r="R1715" i="2"/>
  <c r="J1272" i="2"/>
  <c r="K1242" i="2"/>
  <c r="J1055" i="2"/>
  <c r="R1407" i="2"/>
  <c r="Q1151" i="2"/>
  <c r="T1086" i="2"/>
  <c r="Q1413" i="2"/>
  <c r="M2289" i="2"/>
  <c r="N1715" i="2"/>
  <c r="N2212" i="2"/>
  <c r="S2228" i="2"/>
  <c r="M1422" i="2"/>
  <c r="S2262" i="2"/>
  <c r="M2029" i="2"/>
  <c r="K2044" i="2"/>
  <c r="T1983" i="2"/>
  <c r="J1632" i="2"/>
  <c r="P1856" i="2"/>
  <c r="K1657" i="2"/>
  <c r="R1457" i="2"/>
  <c r="O1845" i="2"/>
  <c r="J1999" i="2"/>
  <c r="M1673" i="2"/>
  <c r="M1784" i="2"/>
  <c r="J1720" i="2"/>
  <c r="P1899" i="2"/>
  <c r="U1680" i="2"/>
  <c r="S1753" i="2"/>
  <c r="T1413" i="2"/>
  <c r="S2075" i="2"/>
  <c r="J1767" i="2"/>
  <c r="Q1524" i="2"/>
  <c r="S1313" i="2"/>
  <c r="N2089" i="2"/>
  <c r="R1697" i="2"/>
  <c r="O1452" i="2"/>
  <c r="O1619" i="2"/>
  <c r="P1669" i="2"/>
  <c r="N1566" i="2"/>
  <c r="T1871" i="2"/>
  <c r="T1739" i="2"/>
  <c r="J1337" i="2"/>
  <c r="N1546" i="2"/>
  <c r="Q1697" i="2"/>
  <c r="U1494" i="2"/>
  <c r="L1394" i="2"/>
  <c r="S1596" i="2"/>
  <c r="J1864" i="2"/>
  <c r="J1663" i="2"/>
  <c r="Q1364" i="2"/>
  <c r="O1658" i="2"/>
  <c r="N1348" i="2"/>
  <c r="O1761" i="2"/>
  <c r="M1749" i="2"/>
  <c r="U1815" i="2"/>
  <c r="P1773" i="2"/>
  <c r="J1426" i="2"/>
  <c r="M1274" i="2"/>
  <c r="M1268" i="2"/>
  <c r="K1680" i="2"/>
  <c r="Q1598" i="2"/>
  <c r="S2124" i="2"/>
  <c r="S1347" i="2"/>
  <c r="T2074" i="2"/>
  <c r="S1658" i="2"/>
  <c r="Q1506" i="2"/>
  <c r="N1502" i="2"/>
  <c r="J1685" i="2"/>
  <c r="S1155" i="2"/>
  <c r="K1679" i="2"/>
  <c r="R1540" i="2"/>
  <c r="O2011" i="2"/>
  <c r="U1496" i="2"/>
  <c r="O1918" i="2"/>
  <c r="L1689" i="2"/>
  <c r="S1386" i="2"/>
  <c r="N1775" i="2"/>
  <c r="Q1625" i="2"/>
  <c r="S1892" i="2"/>
  <c r="P1659" i="2"/>
  <c r="R1288" i="2"/>
  <c r="P1498" i="2"/>
  <c r="T2013" i="2"/>
  <c r="M1578" i="2"/>
  <c r="S1674" i="2"/>
  <c r="R1458" i="2"/>
  <c r="L2009" i="2"/>
  <c r="R1353" i="2"/>
  <c r="U1512" i="2"/>
  <c r="Q1795" i="2"/>
  <c r="J1334" i="2"/>
  <c r="O1585" i="2"/>
  <c r="N1992" i="2"/>
  <c r="J1026" i="2"/>
  <c r="K1161" i="2"/>
  <c r="J1322" i="2"/>
  <c r="U1677" i="2"/>
  <c r="T1828" i="2"/>
  <c r="M1634" i="2"/>
  <c r="J2012" i="2"/>
  <c r="N1978" i="2"/>
  <c r="U1741" i="2"/>
  <c r="N1675" i="2"/>
  <c r="K1642" i="2"/>
  <c r="S1729" i="2"/>
  <c r="L1419" i="2"/>
  <c r="M1580" i="2"/>
  <c r="R1391" i="2"/>
  <c r="K1337" i="2"/>
  <c r="U2035" i="2"/>
  <c r="O1695" i="2"/>
  <c r="Q1208" i="2"/>
  <c r="S1106" i="2"/>
  <c r="O1468" i="2"/>
  <c r="J2160" i="2"/>
  <c r="O1714" i="2"/>
  <c r="O1333" i="2"/>
  <c r="K1850" i="2"/>
  <c r="O1432" i="2"/>
  <c r="Q1153" i="2"/>
  <c r="R1371" i="2"/>
  <c r="N1591" i="2"/>
  <c r="R1181" i="2"/>
  <c r="U1429" i="2"/>
  <c r="S762" i="2"/>
  <c r="M1693" i="2"/>
  <c r="U1495" i="2"/>
  <c r="S1610" i="2"/>
  <c r="Q1738" i="2"/>
  <c r="J1792" i="2"/>
  <c r="U1442" i="2"/>
  <c r="N1389" i="2"/>
  <c r="O1366" i="2"/>
  <c r="K1709" i="2"/>
  <c r="R2181" i="2"/>
  <c r="J2153" i="2"/>
  <c r="Q2151" i="2"/>
  <c r="P2118" i="2"/>
  <c r="U1716" i="2"/>
  <c r="R2017" i="2"/>
  <c r="P1801" i="2"/>
  <c r="S1850" i="2"/>
  <c r="O1691" i="2"/>
  <c r="J1877" i="2"/>
  <c r="P2002" i="2"/>
  <c r="N1564" i="2"/>
  <c r="T2042" i="2"/>
  <c r="O1566" i="2"/>
  <c r="J1684" i="2"/>
  <c r="M2070" i="2"/>
  <c r="M1631" i="2"/>
  <c r="N1837" i="2"/>
  <c r="L1725" i="2"/>
  <c r="Q1661" i="2"/>
  <c r="T1804" i="2"/>
  <c r="T1889" i="2"/>
  <c r="J1679" i="2"/>
  <c r="J1537" i="2"/>
  <c r="J1943" i="2"/>
  <c r="P1423" i="2"/>
  <c r="K2256" i="2"/>
  <c r="T1673" i="2"/>
  <c r="U1867" i="2"/>
  <c r="L1885" i="2"/>
  <c r="U1789" i="2"/>
  <c r="S1540" i="2"/>
  <c r="P1834" i="2"/>
  <c r="M1967" i="2"/>
  <c r="K1848" i="2"/>
  <c r="U1650" i="2"/>
  <c r="T1366" i="2"/>
  <c r="M1445" i="2"/>
  <c r="K1603" i="2"/>
  <c r="K1613" i="2"/>
  <c r="M1716" i="2"/>
  <c r="S1169" i="2"/>
  <c r="Q2080" i="2"/>
  <c r="L1721" i="2"/>
  <c r="Q2078" i="2"/>
  <c r="L1874" i="2"/>
  <c r="P2108" i="2"/>
  <c r="L2209" i="2"/>
  <c r="P1166" i="2"/>
  <c r="T2174" i="2"/>
  <c r="L1734" i="2"/>
  <c r="J1941" i="2"/>
  <c r="Q1657" i="2"/>
  <c r="O1774" i="2"/>
  <c r="R1719" i="2"/>
  <c r="K1482" i="2"/>
  <c r="N2153" i="2"/>
  <c r="N1445" i="2"/>
  <c r="P1864" i="2"/>
  <c r="K1844" i="2"/>
  <c r="S1304" i="2"/>
  <c r="K1997" i="2"/>
  <c r="Q1829" i="2"/>
  <c r="O1597" i="2"/>
  <c r="S1954" i="2"/>
  <c r="M1586" i="2"/>
  <c r="M1603" i="2"/>
  <c r="R1527" i="2"/>
  <c r="Q1885" i="2"/>
  <c r="L1914" i="2"/>
  <c r="N1556" i="2"/>
  <c r="P1900" i="2"/>
  <c r="T2073" i="2"/>
  <c r="P1557" i="2"/>
  <c r="T1831" i="2"/>
  <c r="R2293" i="2"/>
  <c r="P1591" i="2"/>
  <c r="M2073" i="2"/>
  <c r="K1881" i="2"/>
  <c r="Q1962" i="2"/>
  <c r="M2025" i="2"/>
  <c r="J1985" i="2"/>
  <c r="U2026" i="2"/>
  <c r="T2296" i="2"/>
  <c r="T1488" i="2"/>
  <c r="K1819" i="2"/>
  <c r="J1654" i="2"/>
  <c r="M1900" i="2"/>
  <c r="M1696" i="2"/>
  <c r="U1908" i="2"/>
  <c r="Q2026" i="2"/>
  <c r="S1684" i="2"/>
  <c r="N1851" i="2"/>
  <c r="R1240" i="2"/>
  <c r="U2001" i="2"/>
  <c r="S2004" i="2"/>
  <c r="M1540" i="2"/>
  <c r="P2119" i="2"/>
  <c r="K1688" i="2"/>
  <c r="U2049" i="2"/>
  <c r="U2277" i="2"/>
  <c r="L1553" i="2"/>
  <c r="Q1428" i="2"/>
  <c r="M2092" i="2"/>
  <c r="K1871" i="2"/>
  <c r="O2178" i="2"/>
  <c r="P1740" i="2"/>
  <c r="U1732" i="2"/>
  <c r="K1872" i="2"/>
  <c r="T1582" i="2"/>
  <c r="K1956" i="2"/>
  <c r="J1464" i="2"/>
  <c r="N1875" i="2"/>
  <c r="R1824" i="2"/>
  <c r="Q1764" i="2"/>
  <c r="N1416" i="2"/>
  <c r="K1523" i="2"/>
  <c r="U1382" i="2"/>
  <c r="J2282" i="2"/>
  <c r="J1609" i="2"/>
  <c r="O2014" i="2"/>
  <c r="N1627" i="2"/>
  <c r="O1962" i="2"/>
  <c r="J1883" i="2"/>
  <c r="N1400" i="2"/>
  <c r="O1599" i="2"/>
  <c r="L1590" i="2"/>
  <c r="J1533" i="2"/>
  <c r="P2045" i="2"/>
  <c r="P1972" i="2"/>
  <c r="L1387" i="2"/>
  <c r="J1239" i="2"/>
  <c r="U1357" i="2"/>
  <c r="O1873" i="2"/>
  <c r="N1789" i="2"/>
  <c r="T1472" i="2"/>
  <c r="K1483" i="2"/>
  <c r="J1848" i="2"/>
  <c r="Q1570" i="2"/>
  <c r="S1755" i="2"/>
  <c r="S1606" i="2"/>
  <c r="M1566" i="2"/>
  <c r="K1889" i="2"/>
  <c r="Q1789" i="2"/>
  <c r="Q1304" i="2"/>
  <c r="U1667" i="2"/>
  <c r="T1658" i="2"/>
  <c r="R1833" i="2"/>
  <c r="K1394" i="2"/>
  <c r="U1643" i="2"/>
  <c r="M1658" i="2"/>
  <c r="P2178" i="2"/>
  <c r="N1935" i="2"/>
  <c r="R1605" i="2"/>
  <c r="L1450" i="2"/>
  <c r="U1574" i="2"/>
  <c r="L1426" i="2"/>
  <c r="K1240" i="2"/>
  <c r="L1544" i="2"/>
  <c r="Q2236" i="2"/>
  <c r="M1423" i="2"/>
  <c r="U2169" i="2"/>
  <c r="P1578" i="2"/>
  <c r="Q1414" i="2"/>
  <c r="L1453" i="2"/>
  <c r="O1622" i="2"/>
  <c r="Q1369" i="2"/>
  <c r="J1587" i="2"/>
  <c r="M1345" i="2"/>
  <c r="Q1521" i="2"/>
  <c r="J1940" i="2"/>
  <c r="S2108" i="2"/>
  <c r="O1893" i="2"/>
  <c r="Q1766" i="2"/>
  <c r="J1506" i="2"/>
  <c r="T1883" i="2"/>
  <c r="K1543" i="2"/>
  <c r="S2050" i="2"/>
  <c r="T1778" i="2"/>
  <c r="T1428" i="2"/>
  <c r="U1600" i="2"/>
  <c r="J1338" i="2"/>
  <c r="O1285" i="2"/>
  <c r="J2082" i="2"/>
  <c r="S2176" i="2"/>
  <c r="U1747" i="2"/>
  <c r="L2057" i="2"/>
  <c r="K1704" i="2"/>
  <c r="N2006" i="2"/>
  <c r="M1770" i="2"/>
  <c r="R1892" i="2"/>
  <c r="M1844" i="2"/>
  <c r="J2141" i="2"/>
  <c r="O1532" i="2"/>
  <c r="U1609" i="2"/>
  <c r="J1793" i="2"/>
  <c r="N1268" i="2"/>
  <c r="S1813" i="2"/>
  <c r="S1586" i="2"/>
  <c r="L1499" i="2"/>
  <c r="K1690" i="2"/>
  <c r="K1474" i="2"/>
  <c r="O1777" i="2"/>
  <c r="N1973" i="2"/>
  <c r="J1618" i="2"/>
  <c r="T1972" i="2"/>
  <c r="T1858" i="2"/>
  <c r="P2096" i="2"/>
  <c r="J1852" i="2"/>
  <c r="O1704" i="2"/>
  <c r="U2078" i="2"/>
  <c r="L1502" i="2"/>
  <c r="L1741" i="2"/>
  <c r="N1308" i="2"/>
  <c r="U1580" i="2"/>
  <c r="J1740" i="2"/>
  <c r="P1651" i="2"/>
  <c r="N1797" i="2"/>
  <c r="Q1351" i="2"/>
  <c r="Q1979" i="2"/>
  <c r="S1548" i="2"/>
  <c r="T1542" i="2"/>
  <c r="S1349" i="2"/>
  <c r="N1562" i="2"/>
  <c r="K1637" i="2"/>
  <c r="T1311" i="2"/>
  <c r="U1542" i="2"/>
  <c r="K1492" i="2"/>
  <c r="M1741" i="2"/>
  <c r="U1526" i="2"/>
  <c r="M1602" i="2"/>
  <c r="J1263" i="2"/>
  <c r="R1632" i="2"/>
  <c r="J1849" i="2"/>
  <c r="M1750" i="2"/>
  <c r="M1589" i="2"/>
  <c r="O1618" i="2"/>
  <c r="Q1777" i="2"/>
  <c r="J1850" i="2"/>
  <c r="O2038" i="2"/>
  <c r="O1418" i="2"/>
  <c r="M1704" i="2"/>
  <c r="O1589" i="2"/>
  <c r="K1625" i="2"/>
  <c r="U1191" i="2"/>
  <c r="J1443" i="2"/>
  <c r="O2155" i="2"/>
  <c r="S1183" i="2"/>
  <c r="S1574" i="2"/>
  <c r="S2009" i="2"/>
  <c r="L1688" i="2"/>
  <c r="K1647" i="2"/>
  <c r="N1645" i="2"/>
  <c r="T1583" i="2"/>
  <c r="O1831" i="2"/>
  <c r="R1608" i="2"/>
  <c r="T1794" i="2"/>
  <c r="R1690" i="2"/>
  <c r="O1857" i="2"/>
  <c r="R1841" i="2"/>
  <c r="Q1480" i="2"/>
  <c r="M1356" i="2"/>
  <c r="P1890" i="2"/>
  <c r="L1334" i="2"/>
  <c r="Q1737" i="2"/>
  <c r="J1756" i="2"/>
  <c r="R1873" i="2"/>
  <c r="L1527" i="2"/>
  <c r="T1959" i="2"/>
  <c r="U1169" i="2"/>
  <c r="L1423" i="2"/>
  <c r="O1441" i="2"/>
  <c r="M1818" i="2"/>
  <c r="T1787" i="2"/>
  <c r="U2038" i="2"/>
  <c r="R2216" i="2"/>
  <c r="P1938" i="2"/>
  <c r="J1991" i="2"/>
  <c r="N1906" i="2"/>
  <c r="N1874" i="2"/>
  <c r="R1922" i="2"/>
  <c r="J1440" i="2"/>
  <c r="M1671" i="2"/>
  <c r="T1537" i="2"/>
  <c r="O2102" i="2"/>
  <c r="O1315" i="2"/>
  <c r="L1585" i="2"/>
  <c r="L1877" i="2"/>
  <c r="T1398" i="2"/>
  <c r="U2111" i="2"/>
  <c r="M1554" i="2"/>
  <c r="R1938" i="2"/>
  <c r="L1625" i="2"/>
  <c r="T1406" i="2"/>
  <c r="Q1773" i="2"/>
  <c r="U1745" i="2"/>
  <c r="O1328" i="2"/>
  <c r="L1647" i="2"/>
  <c r="O2145" i="2"/>
  <c r="J1939" i="2"/>
  <c r="N1568" i="2"/>
  <c r="U1944" i="2"/>
  <c r="T1781" i="2"/>
  <c r="J1673" i="2"/>
  <c r="R2032" i="2"/>
  <c r="R1573" i="2"/>
  <c r="P1723" i="2"/>
  <c r="N2050" i="2"/>
  <c r="S1857" i="2"/>
  <c r="P1830" i="2"/>
  <c r="U1509" i="2"/>
  <c r="U1564" i="2"/>
  <c r="L1266" i="2"/>
  <c r="U1378" i="2"/>
  <c r="U1384" i="2"/>
  <c r="J1396" i="2"/>
  <c r="U1352" i="2"/>
  <c r="M1684" i="2"/>
  <c r="M1267" i="2"/>
  <c r="L1943" i="2"/>
  <c r="O1760" i="2"/>
  <c r="R1682" i="2"/>
  <c r="O2053" i="2"/>
  <c r="S1906" i="2"/>
  <c r="Q1686" i="2"/>
  <c r="Q1841" i="2"/>
  <c r="O1770" i="2"/>
  <c r="L1982" i="2"/>
  <c r="N1628" i="2"/>
  <c r="O2064" i="2"/>
  <c r="P1746" i="2"/>
  <c r="Q1736" i="2"/>
  <c r="N1362" i="2"/>
  <c r="U1651" i="2"/>
  <c r="R1999" i="2"/>
  <c r="S1879" i="2"/>
  <c r="K1396" i="2"/>
  <c r="Q1836" i="2"/>
  <c r="R1949" i="2"/>
  <c r="M1753" i="2"/>
  <c r="P1879" i="2"/>
  <c r="L1754" i="2"/>
  <c r="J1915" i="2"/>
  <c r="U1917" i="2"/>
  <c r="U1739" i="2"/>
  <c r="L1229" i="2"/>
  <c r="R1363" i="2"/>
  <c r="K1488" i="2"/>
  <c r="P1963" i="2"/>
  <c r="M1765" i="2"/>
  <c r="O1655" i="2"/>
  <c r="T1559" i="2"/>
  <c r="O1954" i="2"/>
  <c r="T1238" i="2"/>
  <c r="Q1880" i="2"/>
  <c r="L1418" i="2"/>
  <c r="O1734" i="2"/>
  <c r="S2007" i="2"/>
  <c r="R1604" i="2"/>
  <c r="T1799" i="2"/>
  <c r="S1895" i="2"/>
  <c r="K1374" i="2"/>
  <c r="T1714" i="2"/>
  <c r="S1909" i="2"/>
  <c r="R2071" i="2"/>
  <c r="K2050" i="2"/>
  <c r="M1561" i="2"/>
  <c r="J2019" i="2"/>
  <c r="U1792" i="2"/>
  <c r="O1862" i="2"/>
  <c r="T1490" i="2"/>
  <c r="U1855" i="2"/>
  <c r="M1708" i="2"/>
  <c r="L1957" i="2"/>
  <c r="O1922" i="2"/>
  <c r="L1717" i="2"/>
  <c r="J2062" i="2"/>
  <c r="N1540" i="2"/>
  <c r="Q1709" i="2"/>
  <c r="M1736" i="2"/>
  <c r="R1710" i="2"/>
  <c r="P1737" i="2"/>
  <c r="R1548" i="2"/>
  <c r="L2256" i="2"/>
  <c r="R1926" i="2"/>
  <c r="L1815" i="2"/>
  <c r="P1995" i="2"/>
  <c r="N2175" i="2"/>
  <c r="U1899" i="2"/>
  <c r="N1605" i="2"/>
  <c r="K1891" i="2"/>
  <c r="T1726" i="2"/>
  <c r="J1898" i="2"/>
  <c r="M2091" i="2"/>
  <c r="Q1965" i="2"/>
  <c r="T1735" i="2"/>
  <c r="N1783" i="2"/>
  <c r="O1496" i="2"/>
  <c r="L1767" i="2"/>
  <c r="J1672" i="2"/>
  <c r="J1480" i="2"/>
  <c r="R1902" i="2"/>
  <c r="Q1790" i="2"/>
  <c r="R1435" i="2"/>
  <c r="T1568" i="2"/>
  <c r="K1406" i="2"/>
  <c r="O1737" i="2"/>
  <c r="T1859" i="2"/>
  <c r="J1602" i="2"/>
  <c r="S1983" i="2"/>
  <c r="J1615" i="2"/>
  <c r="N1436" i="2"/>
  <c r="Q1672" i="2"/>
  <c r="T1343" i="2"/>
  <c r="T1351" i="2"/>
  <c r="N1492" i="2"/>
  <c r="K1510" i="2"/>
  <c r="M1863" i="2"/>
  <c r="Q1636" i="2"/>
  <c r="M1870" i="2"/>
  <c r="U1885" i="2"/>
  <c r="U1864" i="2"/>
  <c r="K1630" i="2"/>
  <c r="U1478" i="2"/>
  <c r="J1614" i="2"/>
  <c r="S2036" i="2"/>
  <c r="P1518" i="2"/>
  <c r="T1469" i="2"/>
  <c r="U1160" i="2"/>
  <c r="Q1807" i="2"/>
  <c r="N1754" i="2"/>
  <c r="R1504" i="2"/>
  <c r="R1723" i="2"/>
  <c r="N1430" i="2"/>
  <c r="U1785" i="2"/>
  <c r="N2060" i="2"/>
  <c r="U1740" i="2"/>
  <c r="T1875" i="2"/>
  <c r="J1628" i="2"/>
  <c r="R1739" i="2"/>
  <c r="U1579" i="2"/>
  <c r="O2059" i="2"/>
  <c r="O1374" i="2"/>
  <c r="T1329" i="2"/>
  <c r="P1833" i="2"/>
  <c r="M1576" i="2"/>
  <c r="R1939" i="2"/>
  <c r="S1766" i="2"/>
  <c r="N1524" i="2"/>
  <c r="K1602" i="2"/>
  <c r="R1387" i="2"/>
  <c r="P1754" i="2"/>
  <c r="P1910" i="2"/>
  <c r="L1094" i="2"/>
  <c r="O1609" i="2"/>
  <c r="S1992" i="2"/>
  <c r="L1779" i="2"/>
  <c r="U1681" i="2"/>
  <c r="O2162" i="2"/>
  <c r="S2278" i="2"/>
  <c r="Q1474" i="2"/>
  <c r="P1714" i="2"/>
  <c r="O1733" i="2"/>
  <c r="M1908" i="2"/>
  <c r="P1476" i="2"/>
  <c r="J1986" i="2"/>
  <c r="R1465" i="2"/>
  <c r="S1568" i="2"/>
  <c r="M1904" i="2"/>
  <c r="P1514" i="2"/>
  <c r="M2047" i="2"/>
  <c r="O1642" i="2"/>
  <c r="K1764" i="2"/>
  <c r="P2310" i="2"/>
  <c r="U1857" i="2"/>
  <c r="K1728" i="2"/>
  <c r="O1784" i="2"/>
  <c r="U1962" i="2"/>
  <c r="K1874" i="2"/>
  <c r="P1550" i="2"/>
  <c r="N1604" i="2"/>
  <c r="Q1576" i="2"/>
  <c r="M1653" i="2"/>
  <c r="S1796" i="2"/>
  <c r="Q1639" i="2"/>
  <c r="S1632" i="2"/>
  <c r="L1896" i="2"/>
  <c r="R1797" i="2"/>
  <c r="R1748" i="2"/>
  <c r="R1463" i="2"/>
  <c r="K1496" i="2"/>
  <c r="M1436" i="2"/>
  <c r="P1494" i="2"/>
  <c r="L1944" i="2"/>
  <c r="N1612" i="2"/>
  <c r="U1416" i="2"/>
  <c r="N1638" i="2"/>
  <c r="T1589" i="2"/>
  <c r="U1749" i="2"/>
  <c r="S1797" i="2"/>
  <c r="T1546" i="2"/>
  <c r="K1980" i="2"/>
  <c r="K1867" i="2"/>
  <c r="S1360" i="2"/>
  <c r="L1505" i="2"/>
  <c r="L1766" i="2"/>
  <c r="M1425" i="2"/>
  <c r="R1652" i="2"/>
  <c r="N1595" i="2"/>
  <c r="P1481" i="2"/>
  <c r="R1557" i="2"/>
  <c r="O1834" i="2"/>
  <c r="Q1461" i="2"/>
  <c r="K1785" i="2"/>
  <c r="P1620" i="2"/>
  <c r="P1119" i="2"/>
  <c r="R1564" i="2"/>
  <c r="R1819" i="2"/>
  <c r="K1587" i="2"/>
  <c r="O1646" i="2"/>
  <c r="N1884" i="2"/>
  <c r="S1687" i="2"/>
  <c r="P1941" i="2"/>
  <c r="L1759" i="2"/>
  <c r="L1538" i="2"/>
  <c r="R1558" i="2"/>
  <c r="L1612" i="2"/>
  <c r="T1704" i="2"/>
  <c r="L1887" i="2"/>
  <c r="O1490" i="2"/>
  <c r="J1901" i="2"/>
  <c r="M1285" i="2"/>
  <c r="S1939" i="2"/>
  <c r="K1500" i="2"/>
  <c r="Q1565" i="2"/>
  <c r="J1726" i="2"/>
  <c r="L1710" i="2"/>
  <c r="N1886" i="2"/>
  <c r="K1607" i="2"/>
  <c r="N1636" i="2"/>
  <c r="L1219" i="2"/>
  <c r="Q1468" i="2"/>
  <c r="J1646" i="2"/>
  <c r="S1899" i="2"/>
  <c r="M1980" i="2"/>
  <c r="P1484" i="2"/>
  <c r="S1648" i="2"/>
  <c r="J1773" i="2"/>
  <c r="S1307" i="2"/>
  <c r="O1925" i="2"/>
  <c r="J1384" i="2"/>
  <c r="S1947" i="2"/>
  <c r="P1394" i="2"/>
  <c r="O2111" i="2"/>
  <c r="Q1326" i="2"/>
  <c r="O1342" i="2"/>
  <c r="M1890" i="2"/>
  <c r="N1178" i="2"/>
  <c r="Q1059" i="2"/>
  <c r="O1384" i="2"/>
  <c r="R1830" i="2"/>
  <c r="U1696" i="2"/>
  <c r="O1814" i="2"/>
  <c r="M1323" i="2"/>
  <c r="U1422" i="2"/>
  <c r="K1462" i="2"/>
  <c r="L1318" i="2"/>
  <c r="U1223" i="2"/>
  <c r="R1148" i="2"/>
  <c r="M1499" i="2"/>
  <c r="O1183" i="2"/>
  <c r="P1209" i="2"/>
  <c r="T1736" i="2"/>
  <c r="N1460" i="2"/>
  <c r="O1439" i="2"/>
  <c r="R1354" i="2"/>
  <c r="J1430" i="2"/>
  <c r="R1370" i="2"/>
  <c r="N1493" i="2"/>
  <c r="R1754" i="2"/>
  <c r="K1925" i="2"/>
  <c r="R1499" i="2"/>
  <c r="Q1873" i="2"/>
  <c r="S1202" i="2"/>
  <c r="O1231" i="2"/>
  <c r="U1238" i="2"/>
  <c r="L1198" i="2"/>
  <c r="L1106" i="2"/>
  <c r="S1053" i="2"/>
  <c r="R1427" i="2"/>
  <c r="N1358" i="2"/>
  <c r="J1905" i="2"/>
  <c r="T1549" i="2"/>
  <c r="M1501" i="2"/>
  <c r="J1177" i="2"/>
  <c r="O1485" i="2"/>
  <c r="N1117" i="2"/>
  <c r="O967" i="2"/>
  <c r="L1251" i="2"/>
  <c r="T1711" i="2"/>
  <c r="Q1799" i="2"/>
  <c r="S1791" i="2"/>
  <c r="N1792" i="2"/>
  <c r="N1499" i="2"/>
  <c r="J1388" i="2"/>
  <c r="O1451" i="2"/>
  <c r="M1072" i="2"/>
  <c r="Q1184" i="2"/>
  <c r="L1336" i="2"/>
  <c r="O1146" i="2"/>
  <c r="U1869" i="2"/>
  <c r="P1954" i="2"/>
  <c r="J1764" i="2"/>
  <c r="U1591" i="2"/>
  <c r="J1512" i="2"/>
  <c r="T1206" i="2"/>
  <c r="T1540" i="2"/>
  <c r="T1319" i="2"/>
  <c r="N1159" i="2"/>
  <c r="M1827" i="2"/>
  <c r="L1630" i="2"/>
  <c r="O1584" i="2"/>
  <c r="T1700" i="2"/>
  <c r="T1464" i="2"/>
  <c r="Q1463" i="2"/>
  <c r="S1482" i="2"/>
  <c r="M1605" i="2"/>
  <c r="O1417" i="2"/>
  <c r="S1547" i="2"/>
  <c r="M1221" i="2"/>
  <c r="M1506" i="2"/>
  <c r="P975" i="2"/>
  <c r="P1139" i="2"/>
  <c r="U1211" i="2"/>
  <c r="S1206" i="2"/>
  <c r="M2139" i="2"/>
  <c r="T1850" i="2"/>
  <c r="T1515" i="2"/>
  <c r="J1406" i="2"/>
  <c r="S1520" i="2"/>
  <c r="L1448" i="2"/>
  <c r="N1174" i="2"/>
  <c r="P1552" i="2"/>
  <c r="K1818" i="2"/>
  <c r="K1707" i="2"/>
  <c r="S1624" i="2"/>
  <c r="J1650" i="2"/>
  <c r="L1202" i="2"/>
  <c r="L1373" i="2"/>
  <c r="M1334" i="2"/>
  <c r="Q1552" i="2"/>
  <c r="K1852" i="2"/>
  <c r="Q1692" i="2"/>
  <c r="S1500" i="2"/>
  <c r="K1327" i="2"/>
  <c r="T1355" i="2"/>
  <c r="K1254" i="2"/>
  <c r="P1374" i="2"/>
  <c r="K1671" i="2"/>
  <c r="P1457" i="2"/>
  <c r="M1475" i="2"/>
  <c r="M1322" i="2"/>
  <c r="U1831" i="2"/>
  <c r="N1453" i="2"/>
  <c r="S1599" i="2"/>
  <c r="K1559" i="2"/>
  <c r="S1318" i="2"/>
  <c r="N1889" i="2"/>
  <c r="N1673" i="2"/>
  <c r="R1252" i="2"/>
  <c r="R1304" i="2"/>
  <c r="P1433" i="2"/>
  <c r="J1525" i="2"/>
  <c r="K1333" i="2"/>
  <c r="N1075" i="2"/>
  <c r="J992" i="2"/>
  <c r="T1186" i="2"/>
  <c r="S1928" i="2"/>
  <c r="S1984" i="2"/>
  <c r="Q1481" i="2"/>
  <c r="N2165" i="2"/>
  <c r="Q2076" i="2"/>
  <c r="O1600" i="2"/>
  <c r="Q1560" i="2"/>
  <c r="S1801" i="2"/>
  <c r="R1591" i="2"/>
  <c r="N1665" i="2"/>
  <c r="M1474" i="2"/>
  <c r="P1947" i="2"/>
  <c r="U2094" i="2"/>
  <c r="N1801" i="2"/>
  <c r="J1859" i="2"/>
  <c r="P1445" i="2"/>
  <c r="J2183" i="2"/>
  <c r="J1800" i="2"/>
  <c r="O1629" i="2"/>
  <c r="R1539" i="2"/>
  <c r="P2018" i="2"/>
  <c r="J1743" i="2"/>
  <c r="S1562" i="2"/>
  <c r="L2093" i="2"/>
  <c r="S1678" i="2"/>
  <c r="N1533" i="2"/>
  <c r="M2125" i="2"/>
  <c r="U1663" i="2"/>
  <c r="J1869" i="2"/>
  <c r="J1810" i="2"/>
  <c r="O1398" i="2"/>
  <c r="O1438" i="2"/>
  <c r="T1823" i="2"/>
  <c r="Q1708" i="2"/>
  <c r="S1743" i="2"/>
  <c r="P1450" i="2"/>
  <c r="M1519" i="2"/>
  <c r="P1247" i="2"/>
  <c r="L1611" i="2"/>
  <c r="S1443" i="2"/>
  <c r="P1536" i="2"/>
  <c r="U1387" i="2"/>
  <c r="O1662" i="2"/>
  <c r="M1418" i="2"/>
  <c r="J1304" i="2"/>
  <c r="J1714" i="2"/>
  <c r="Q1711" i="2"/>
  <c r="T1487" i="2"/>
  <c r="U1572" i="2"/>
  <c r="N1242" i="2"/>
  <c r="P1646" i="2"/>
  <c r="T1782" i="2"/>
  <c r="K1470" i="2"/>
  <c r="S1691" i="2"/>
  <c r="L1675" i="2"/>
  <c r="L1194" i="2"/>
  <c r="O1232" i="2"/>
  <c r="L1546" i="2"/>
  <c r="O1364" i="2"/>
  <c r="N1599" i="2"/>
  <c r="N1476" i="2"/>
  <c r="K2027" i="2"/>
  <c r="S1515" i="2"/>
  <c r="R1887" i="2"/>
  <c r="U1401" i="2"/>
  <c r="K2064" i="2"/>
  <c r="U1888" i="2"/>
  <c r="L1285" i="2"/>
  <c r="J1845" i="2"/>
  <c r="Q2163" i="2"/>
  <c r="T1474" i="2"/>
  <c r="T1727" i="2"/>
  <c r="K1521" i="2"/>
  <c r="R2230" i="2"/>
  <c r="P1902" i="2"/>
  <c r="L1860" i="2"/>
  <c r="M1691" i="2"/>
  <c r="S1344" i="2"/>
  <c r="O1758" i="2"/>
  <c r="Q1498" i="2"/>
  <c r="O1871" i="2"/>
  <c r="L1543" i="2"/>
  <c r="R1283" i="2"/>
  <c r="S1891" i="2"/>
  <c r="S1590" i="2"/>
  <c r="L1743" i="2"/>
  <c r="R1090" i="2"/>
  <c r="R2074" i="2"/>
  <c r="N1781" i="2"/>
  <c r="M1876" i="2"/>
  <c r="T1553" i="2"/>
  <c r="M2007" i="2"/>
  <c r="L1883" i="2"/>
  <c r="U1870" i="2"/>
  <c r="T1812" i="2"/>
  <c r="P2151" i="2"/>
  <c r="P1962" i="2"/>
  <c r="S1698" i="2"/>
  <c r="N2080" i="2"/>
  <c r="L1235" i="2"/>
  <c r="P2059" i="2"/>
  <c r="P2046" i="2"/>
  <c r="M1590" i="2"/>
  <c r="S2151" i="2"/>
  <c r="Q1955" i="2"/>
  <c r="L1867" i="2"/>
  <c r="J1979" i="2"/>
  <c r="M1440" i="2"/>
  <c r="J2145" i="2"/>
  <c r="R1489" i="2"/>
  <c r="O2144" i="2"/>
  <c r="T1910" i="2"/>
  <c r="L1673" i="2"/>
  <c r="K2128" i="2"/>
  <c r="K1541" i="2"/>
  <c r="P1720" i="2"/>
  <c r="U1807" i="2"/>
  <c r="M1391" i="2"/>
  <c r="S1583" i="2"/>
  <c r="N1996" i="2"/>
  <c r="U1444" i="2"/>
  <c r="J1691" i="2"/>
  <c r="J1415" i="2"/>
  <c r="P1547" i="2"/>
  <c r="L1554" i="2"/>
  <c r="O1892" i="2"/>
  <c r="K1234" i="2"/>
  <c r="Q1942" i="2"/>
  <c r="K1357" i="2"/>
  <c r="T1738" i="2"/>
  <c r="O1216" i="2"/>
  <c r="T1541" i="2"/>
  <c r="P1375" i="2"/>
  <c r="T1956" i="2"/>
  <c r="L1571" i="2"/>
  <c r="Q1694" i="2"/>
  <c r="N2052" i="2"/>
  <c r="U1455" i="2"/>
  <c r="O1909" i="2"/>
  <c r="Q1655" i="2"/>
  <c r="O1813" i="2"/>
  <c r="P1519" i="2"/>
  <c r="R1646" i="2"/>
  <c r="U1633" i="2"/>
  <c r="Q1729" i="2"/>
  <c r="O1461" i="2"/>
  <c r="L1587" i="2"/>
  <c r="K1335" i="2"/>
  <c r="K1354" i="2"/>
  <c r="S1644" i="2"/>
  <c r="P1684" i="2"/>
  <c r="L1267" i="2"/>
  <c r="P2000" i="2"/>
  <c r="M1613" i="2"/>
  <c r="M1543" i="2"/>
  <c r="S1403" i="2"/>
  <c r="P1837" i="2"/>
  <c r="Q1903" i="2"/>
  <c r="N1425" i="2"/>
  <c r="K1787" i="2"/>
  <c r="T2131" i="2"/>
  <c r="P1387" i="2"/>
  <c r="M1725" i="2"/>
  <c r="K2188" i="2"/>
  <c r="R1398" i="2"/>
  <c r="N1824" i="2"/>
  <c r="N1878" i="2"/>
  <c r="U1992" i="2"/>
  <c r="T2014" i="2"/>
  <c r="K1741" i="2"/>
  <c r="S1609" i="2"/>
  <c r="P1283" i="2"/>
  <c r="S2085" i="2"/>
  <c r="U1922" i="2"/>
  <c r="Q2150" i="2"/>
  <c r="S2012" i="2"/>
  <c r="L2307" i="2"/>
  <c r="T1943" i="2"/>
  <c r="R1707" i="2"/>
  <c r="M1832" i="2"/>
  <c r="S1786" i="2"/>
  <c r="T2087" i="2"/>
  <c r="U1782" i="2"/>
  <c r="R1957" i="2"/>
  <c r="P1768" i="2"/>
  <c r="T1539" i="2"/>
  <c r="N1911" i="2"/>
  <c r="O1375" i="2"/>
  <c r="P2247" i="2"/>
  <c r="R1743" i="2"/>
  <c r="Q2050" i="2"/>
  <c r="L1901" i="2"/>
  <c r="P1542" i="2"/>
  <c r="N2070" i="2"/>
  <c r="M1641" i="2"/>
  <c r="L2051" i="2"/>
  <c r="S2013" i="2"/>
  <c r="N1581" i="2"/>
  <c r="J2078" i="2"/>
  <c r="L1478" i="2"/>
  <c r="O1985" i="2"/>
  <c r="L1526" i="2"/>
  <c r="L1326" i="2"/>
  <c r="M2071" i="2"/>
  <c r="T1681" i="2"/>
  <c r="L1333" i="2"/>
  <c r="U1638" i="2"/>
  <c r="N1589" i="2"/>
  <c r="Q1286" i="2"/>
  <c r="U1346" i="2"/>
  <c r="M2124" i="2"/>
  <c r="O1884" i="2"/>
  <c r="M1963" i="2"/>
  <c r="S1704" i="2"/>
  <c r="L1457" i="2"/>
  <c r="P1367" i="2"/>
  <c r="K1507" i="2"/>
  <c r="O1749" i="2"/>
  <c r="T2222" i="2"/>
  <c r="O1491" i="2"/>
  <c r="O1731" i="2"/>
  <c r="T1481" i="2"/>
  <c r="U1619" i="2"/>
  <c r="M1835" i="2"/>
  <c r="N1563" i="2"/>
  <c r="N1592" i="2"/>
  <c r="Q1272" i="2"/>
  <c r="O2013" i="2"/>
  <c r="K1340" i="2"/>
  <c r="U1500" i="2"/>
  <c r="O1541" i="2"/>
  <c r="P1944" i="2"/>
  <c r="M1024" i="2"/>
  <c r="U1658" i="2"/>
  <c r="P1464" i="2"/>
  <c r="K1807" i="2"/>
  <c r="O1583" i="2"/>
  <c r="P1515" i="2"/>
  <c r="O1310" i="2"/>
  <c r="T1412" i="2"/>
  <c r="O1717" i="2"/>
  <c r="T1867" i="2"/>
  <c r="K1389" i="2"/>
  <c r="P1572" i="2"/>
  <c r="N1402" i="2"/>
  <c r="U1895" i="2"/>
  <c r="Q1788" i="2"/>
  <c r="M1355" i="2"/>
  <c r="T1686" i="2"/>
  <c r="Q2021" i="2"/>
  <c r="S1835" i="2"/>
  <c r="T1809" i="2"/>
  <c r="R2158" i="2"/>
  <c r="Q1768" i="2"/>
  <c r="J2165" i="2"/>
  <c r="J1851" i="2"/>
  <c r="K2155" i="2"/>
  <c r="J1891" i="2"/>
  <c r="R2003" i="2"/>
  <c r="U2041" i="2"/>
  <c r="O2224" i="2"/>
  <c r="L2069" i="2"/>
  <c r="U1604" i="2"/>
  <c r="O2050" i="2"/>
  <c r="L1506" i="2"/>
  <c r="K1840" i="2"/>
  <c r="T1961" i="2"/>
  <c r="T1663" i="2"/>
  <c r="J1575" i="2"/>
  <c r="M1395" i="2"/>
  <c r="U1811" i="2"/>
  <c r="O1827" i="2"/>
  <c r="Q1381" i="2"/>
  <c r="L1905" i="2"/>
  <c r="R1731" i="2"/>
  <c r="Q1733" i="2"/>
  <c r="L1787" i="2"/>
  <c r="S1853" i="2"/>
  <c r="K1981" i="2"/>
  <c r="S1477" i="2"/>
  <c r="J2253" i="2"/>
  <c r="S1912" i="2"/>
  <c r="Q1393" i="2"/>
  <c r="K1933" i="2"/>
  <c r="Q1952" i="2"/>
  <c r="K1734" i="2"/>
  <c r="M1482" i="2"/>
  <c r="J1804" i="2"/>
  <c r="U1226" i="2"/>
  <c r="U1243" i="2"/>
  <c r="M2114" i="2"/>
  <c r="Q1590" i="2"/>
  <c r="R1679" i="2"/>
  <c r="P1214" i="2"/>
  <c r="R1254" i="2"/>
  <c r="M1409" i="2"/>
  <c r="T1418" i="2"/>
  <c r="K1310" i="2"/>
  <c r="T1950" i="2"/>
  <c r="T1636" i="2"/>
  <c r="L1697" i="2"/>
  <c r="N1338" i="2"/>
  <c r="Q1278" i="2"/>
  <c r="S1893" i="2"/>
  <c r="R2080" i="2"/>
  <c r="N1949" i="2"/>
  <c r="P1822" i="2"/>
  <c r="K1999" i="2"/>
  <c r="P1455" i="2"/>
  <c r="Q2177" i="2"/>
  <c r="R1672" i="2"/>
  <c r="T1533" i="2"/>
  <c r="O972" i="2"/>
  <c r="O1306" i="2"/>
  <c r="N1590" i="2"/>
  <c r="J1821" i="2"/>
  <c r="K1515" i="2"/>
  <c r="T1463" i="2"/>
  <c r="L1763" i="2"/>
  <c r="R1654" i="2"/>
  <c r="R1840" i="2"/>
  <c r="O1683" i="2"/>
  <c r="N1373" i="2"/>
  <c r="T1654" i="2"/>
  <c r="R1843" i="2"/>
  <c r="S1661" i="2"/>
  <c r="O1685" i="2"/>
  <c r="R1328" i="2"/>
  <c r="U1838" i="2"/>
  <c r="Q1806" i="2"/>
  <c r="P1738" i="2"/>
  <c r="M1852" i="2"/>
  <c r="J1581" i="2"/>
  <c r="M1514" i="2"/>
  <c r="R1612" i="2"/>
  <c r="N1743" i="2"/>
  <c r="Q1502" i="2"/>
  <c r="L1583" i="2"/>
  <c r="U1464" i="2"/>
  <c r="M2244" i="2"/>
  <c r="Q1864" i="2"/>
  <c r="S1910" i="2"/>
  <c r="Q2049" i="2"/>
  <c r="N2142" i="2"/>
  <c r="K1977" i="2"/>
  <c r="J1954" i="2"/>
  <c r="J1639" i="2"/>
  <c r="U1443" i="2"/>
  <c r="L1773" i="2"/>
  <c r="L1303" i="2"/>
  <c r="Q2135" i="2"/>
  <c r="R1589" i="2"/>
  <c r="J1820" i="2"/>
  <c r="J1559" i="2"/>
  <c r="S1440" i="2"/>
  <c r="P1930" i="2"/>
  <c r="U1428" i="2"/>
  <c r="S1747" i="2"/>
  <c r="Q2139" i="2"/>
  <c r="R1714" i="2"/>
  <c r="P2106" i="2"/>
  <c r="N1669" i="2"/>
  <c r="P1960" i="2"/>
  <c r="U1763" i="2"/>
  <c r="K1513" i="2"/>
  <c r="U1927" i="2"/>
  <c r="O1716" i="2"/>
  <c r="N1803" i="2"/>
  <c r="J1611" i="2"/>
  <c r="M1869" i="2"/>
  <c r="N1934" i="2"/>
  <c r="R1725" i="2"/>
  <c r="J1569" i="2"/>
  <c r="K1279" i="2"/>
  <c r="T1815" i="2"/>
  <c r="P1238" i="2"/>
  <c r="N1437" i="2"/>
  <c r="K1694" i="2"/>
  <c r="U1437" i="2"/>
  <c r="T1641" i="2"/>
  <c r="L1283" i="2"/>
  <c r="K1288" i="2"/>
  <c r="O1307" i="2"/>
  <c r="Q1724" i="2"/>
  <c r="M1331" i="2"/>
  <c r="O1988" i="2"/>
  <c r="R1243" i="2"/>
  <c r="O2100" i="2"/>
  <c r="R1821" i="2"/>
  <c r="Q1306" i="2"/>
  <c r="Q2187" i="2"/>
  <c r="P1509" i="2"/>
  <c r="R1924" i="2"/>
  <c r="O1372" i="2"/>
  <c r="T2201" i="2"/>
  <c r="T1217" i="2"/>
  <c r="T1953" i="2"/>
  <c r="Q1896" i="2"/>
  <c r="U1570" i="2"/>
  <c r="K1832" i="2"/>
  <c r="S1327" i="2"/>
  <c r="M1429" i="2"/>
  <c r="M1761" i="2"/>
  <c r="L1780" i="2"/>
  <c r="J1591" i="2"/>
  <c r="J1475" i="2"/>
  <c r="J1479" i="2"/>
  <c r="M1371" i="2"/>
  <c r="N1420" i="2"/>
  <c r="J1283" i="2"/>
  <c r="J1413" i="2"/>
  <c r="S1672" i="2"/>
  <c r="Q1753" i="2"/>
  <c r="S1448" i="2"/>
  <c r="T2057" i="2"/>
  <c r="N2115" i="2"/>
  <c r="K1499" i="2"/>
  <c r="U1821" i="2"/>
  <c r="P1727" i="2"/>
  <c r="T1617" i="2"/>
  <c r="S1845" i="2"/>
  <c r="J1992" i="2"/>
  <c r="U1441" i="2"/>
  <c r="Q1747" i="2"/>
  <c r="L1577" i="2"/>
  <c r="K1634" i="2"/>
  <c r="M1945" i="2"/>
  <c r="U1405" i="2"/>
  <c r="N1450" i="2"/>
  <c r="R1383" i="2"/>
  <c r="K1706" i="2"/>
  <c r="O1404" i="2"/>
  <c r="O1247" i="2"/>
  <c r="L1569" i="2"/>
  <c r="O1211" i="2"/>
  <c r="J1472" i="2"/>
  <c r="P1774" i="2"/>
  <c r="T1362" i="2"/>
  <c r="T1881" i="2"/>
  <c r="J1899" i="2"/>
  <c r="N1561" i="2"/>
  <c r="U1937" i="2"/>
  <c r="T1379" i="2"/>
  <c r="J2305" i="2"/>
  <c r="N1870" i="2"/>
  <c r="K1539" i="2"/>
  <c r="J1181" i="2"/>
  <c r="T1721" i="2"/>
  <c r="U1216" i="2"/>
  <c r="S1764" i="2"/>
  <c r="J1856" i="2"/>
  <c r="P1252" i="2"/>
  <c r="S1475" i="2"/>
  <c r="P1265" i="2"/>
  <c r="T1849" i="2"/>
  <c r="M1108" i="2"/>
  <c r="P2047" i="2"/>
  <c r="Q1435" i="2"/>
  <c r="K1415" i="2"/>
  <c r="J1446" i="2"/>
  <c r="N2144" i="2"/>
  <c r="L1315" i="2"/>
  <c r="N1286" i="2"/>
  <c r="T1326" i="2"/>
  <c r="L1253" i="2"/>
  <c r="K1407" i="2"/>
  <c r="R1322" i="2"/>
  <c r="Q1434" i="2"/>
  <c r="P1258" i="2"/>
  <c r="M1261" i="2"/>
  <c r="O804" i="2"/>
  <c r="T1405" i="2"/>
  <c r="P1896" i="2"/>
  <c r="R1554" i="2"/>
  <c r="T1785" i="2"/>
  <c r="Q1607" i="2"/>
  <c r="J1225" i="2"/>
  <c r="T1518" i="2"/>
  <c r="R1350" i="2"/>
  <c r="T1769" i="2"/>
  <c r="L1989" i="2"/>
  <c r="O1789" i="2"/>
  <c r="N1625" i="2"/>
  <c r="K1438" i="2"/>
  <c r="T1258" i="2"/>
  <c r="Q1477" i="2"/>
  <c r="P1563" i="2"/>
  <c r="K1366" i="2"/>
  <c r="S1808" i="2"/>
  <c r="P1717" i="2"/>
  <c r="K1825" i="2"/>
  <c r="O1480" i="2"/>
  <c r="L1626" i="2"/>
  <c r="S1485" i="2"/>
  <c r="S1711" i="2"/>
  <c r="Q1347" i="2"/>
  <c r="L998" i="2"/>
  <c r="S1627" i="2"/>
  <c r="L1795" i="2"/>
  <c r="K1278" i="2"/>
  <c r="R1769" i="2"/>
  <c r="S1846" i="2"/>
  <c r="O1757" i="2"/>
  <c r="P1824" i="2"/>
  <c r="S1211" i="2"/>
  <c r="M1454" i="2"/>
  <c r="L1375" i="2"/>
  <c r="S1328" i="2"/>
  <c r="T799" i="2"/>
  <c r="K1006" i="2"/>
  <c r="Q1532" i="2"/>
  <c r="R1764" i="2"/>
  <c r="T1608" i="2"/>
  <c r="R1316" i="2"/>
  <c r="N1656" i="2"/>
  <c r="R1320" i="2"/>
  <c r="U1557" i="2"/>
  <c r="O1245" i="2"/>
  <c r="N1855" i="2"/>
  <c r="L1427" i="2"/>
  <c r="K1646" i="2"/>
  <c r="L1509" i="2"/>
  <c r="J1149" i="2"/>
  <c r="S1213" i="2"/>
  <c r="T1224" i="2"/>
  <c r="O992" i="2"/>
  <c r="O2089" i="2"/>
  <c r="N1311" i="2"/>
  <c r="P1407" i="2"/>
  <c r="O1578" i="2"/>
  <c r="M1058" i="2"/>
  <c r="K1476" i="2"/>
  <c r="N1249" i="2"/>
  <c r="U1510" i="2"/>
  <c r="P1806" i="2"/>
  <c r="P2051" i="2"/>
  <c r="L1900" i="2"/>
  <c r="T1712" i="2"/>
  <c r="J1257" i="2"/>
  <c r="J1432" i="2"/>
  <c r="K1582" i="2"/>
  <c r="P1749" i="2"/>
  <c r="N1663" i="2"/>
  <c r="J1108" i="2"/>
  <c r="U1265" i="2"/>
  <c r="N1104" i="2"/>
  <c r="T1567" i="2"/>
  <c r="N930" i="2"/>
  <c r="N1034" i="2"/>
  <c r="J958" i="2"/>
  <c r="Q890" i="2"/>
  <c r="N1429" i="2"/>
  <c r="T1218" i="2"/>
  <c r="O1265" i="2"/>
  <c r="L1847" i="2"/>
  <c r="P1179" i="2"/>
  <c r="S1398" i="2"/>
  <c r="U1058" i="2"/>
  <c r="O1617" i="2"/>
  <c r="L1209" i="2"/>
  <c r="R1451" i="2"/>
  <c r="K1250" i="2"/>
  <c r="N761" i="2"/>
  <c r="L984" i="2"/>
  <c r="M1726" i="2"/>
  <c r="U1295" i="2"/>
  <c r="N1423" i="2"/>
  <c r="K1653" i="2"/>
  <c r="N1120" i="2"/>
  <c r="R1369" i="2"/>
  <c r="S1109" i="2"/>
  <c r="T1372" i="2"/>
  <c r="T839" i="2"/>
  <c r="U1206" i="2"/>
  <c r="P1526" i="2"/>
  <c r="T1024" i="2"/>
  <c r="J1577" i="2"/>
  <c r="N1276" i="2"/>
  <c r="Q1933" i="2"/>
  <c r="R1198" i="2"/>
  <c r="K1489" i="2"/>
  <c r="Q1566" i="2"/>
  <c r="P887" i="2"/>
  <c r="U1389" i="2"/>
  <c r="M1430" i="2"/>
  <c r="S1210" i="2"/>
  <c r="O1951" i="2"/>
  <c r="M1822" i="2"/>
  <c r="R1755" i="2"/>
  <c r="U1926" i="2"/>
  <c r="P2137" i="2"/>
  <c r="U1797" i="2"/>
  <c r="P1850" i="2"/>
  <c r="N1898" i="2"/>
  <c r="Q1602" i="2"/>
  <c r="P1525" i="2"/>
  <c r="K1806" i="2"/>
  <c r="K1490" i="2"/>
  <c r="P2075" i="2"/>
  <c r="M1508" i="2"/>
  <c r="J1274" i="2"/>
  <c r="R1582" i="2"/>
  <c r="R2033" i="2"/>
  <c r="J1541" i="2"/>
  <c r="K1756" i="2"/>
  <c r="R1681" i="2"/>
  <c r="U1849" i="2"/>
  <c r="R1708" i="2"/>
  <c r="P1565" i="2"/>
  <c r="T1933" i="2"/>
  <c r="T1652" i="2"/>
  <c r="Q1575" i="2"/>
  <c r="O1449" i="2"/>
  <c r="J1889" i="2"/>
  <c r="M1593" i="2"/>
  <c r="U1973" i="2"/>
  <c r="K1762" i="2"/>
  <c r="T1269" i="2"/>
  <c r="U1285" i="2"/>
  <c r="R1052" i="2"/>
  <c r="L1247" i="2"/>
  <c r="T1385" i="2"/>
  <c r="O1709" i="2"/>
  <c r="N2108" i="2"/>
  <c r="R1436" i="2"/>
  <c r="L1807" i="2"/>
  <c r="K1701" i="2"/>
  <c r="J1074" i="2"/>
  <c r="U1365" i="2"/>
  <c r="P1131" i="2"/>
  <c r="J1267" i="2"/>
  <c r="U1260" i="2"/>
  <c r="M2000" i="2"/>
  <c r="L1888" i="2"/>
  <c r="L1165" i="2"/>
  <c r="M1663" i="2"/>
  <c r="M1115" i="2"/>
  <c r="U1949" i="2"/>
  <c r="L1174" i="2"/>
  <c r="O1254" i="2"/>
  <c r="K1455" i="2"/>
  <c r="U1252" i="2"/>
  <c r="K1380" i="2"/>
  <c r="M1149" i="2"/>
  <c r="R1152" i="2"/>
  <c r="J2202" i="2"/>
  <c r="O1779" i="2"/>
  <c r="P1761" i="2"/>
  <c r="S1297" i="2"/>
  <c r="L1052" i="2"/>
  <c r="N1232" i="2"/>
  <c r="M2262" i="2"/>
  <c r="U1694" i="2"/>
  <c r="K1970" i="2"/>
  <c r="R1628" i="2"/>
  <c r="S1799" i="2"/>
  <c r="R1692" i="2"/>
  <c r="S1505" i="2"/>
  <c r="L1276" i="2"/>
  <c r="O1499" i="2"/>
  <c r="T1935" i="2"/>
  <c r="P1586" i="2"/>
  <c r="S1601" i="2"/>
  <c r="K1574" i="2"/>
  <c r="O1334" i="2"/>
  <c r="J1439" i="2"/>
  <c r="R1746" i="2"/>
  <c r="O1751" i="2"/>
  <c r="U1931" i="2"/>
  <c r="N1610" i="2"/>
  <c r="L1953" i="2"/>
  <c r="T1734" i="2"/>
  <c r="K1801" i="2"/>
  <c r="M1413" i="2"/>
  <c r="U1558" i="2"/>
  <c r="N1814" i="2"/>
  <c r="J1655" i="2"/>
  <c r="O1360" i="2"/>
  <c r="Q1380" i="2"/>
  <c r="P1318" i="2"/>
  <c r="R1973" i="2"/>
  <c r="M1617" i="2"/>
  <c r="L1479" i="2"/>
  <c r="N1218" i="2"/>
  <c r="T1572" i="2"/>
  <c r="N1065" i="2"/>
  <c r="L1227" i="2"/>
  <c r="M1713" i="2"/>
  <c r="K1591" i="2"/>
  <c r="P1243" i="2"/>
  <c r="K1227" i="2"/>
  <c r="N1281" i="2"/>
  <c r="O1443" i="2"/>
  <c r="U1757" i="2"/>
  <c r="O1250" i="2"/>
  <c r="T1045" i="2"/>
  <c r="P1601" i="2"/>
  <c r="S1811" i="2"/>
  <c r="S1508" i="2"/>
  <c r="Q1470" i="2"/>
  <c r="K1262" i="2"/>
  <c r="P1917" i="2"/>
  <c r="M1541" i="2"/>
  <c r="Q1723" i="2"/>
  <c r="N1650" i="2"/>
  <c r="J1369" i="2"/>
  <c r="N1917" i="2"/>
  <c r="T1277" i="2"/>
  <c r="T1202" i="2"/>
  <c r="P1342" i="2"/>
  <c r="L1904" i="2"/>
  <c r="S1789" i="2"/>
  <c r="K1434" i="2"/>
  <c r="M1006" i="2"/>
  <c r="R1569" i="2"/>
  <c r="J1693" i="2"/>
  <c r="L1370" i="2"/>
  <c r="L1704" i="2"/>
  <c r="K1562" i="2"/>
  <c r="S1564" i="2"/>
  <c r="J1028" i="2"/>
  <c r="K1658" i="2"/>
  <c r="S1486" i="2"/>
  <c r="T1150" i="2"/>
  <c r="Q1155" i="2"/>
  <c r="L1339" i="2"/>
  <c r="J1252" i="2"/>
  <c r="K1982" i="2"/>
  <c r="J1745" i="2"/>
  <c r="O1867" i="2"/>
  <c r="N1409" i="2"/>
  <c r="P1734" i="2"/>
  <c r="L2104" i="2"/>
  <c r="S1108" i="2"/>
  <c r="T1822" i="2"/>
  <c r="O1294" i="2"/>
  <c r="N1719" i="2"/>
  <c r="M1280" i="2"/>
  <c r="M2161" i="2"/>
  <c r="U2021" i="2"/>
  <c r="J1500" i="2"/>
  <c r="K1058" i="2"/>
  <c r="S1271" i="2"/>
  <c r="S1309" i="2"/>
  <c r="Q1126" i="2"/>
  <c r="L1360" i="2"/>
  <c r="K1391" i="2"/>
  <c r="U1720" i="2"/>
  <c r="U1284" i="2"/>
  <c r="Q1683" i="2"/>
  <c r="L1470" i="2"/>
  <c r="T2004" i="2"/>
  <c r="L2075" i="2"/>
  <c r="R1448" i="2"/>
  <c r="J1221" i="2"/>
  <c r="S1591" i="2"/>
  <c r="U1407" i="2"/>
  <c r="Q1258" i="2"/>
  <c r="N1347" i="2"/>
  <c r="L1607" i="2"/>
  <c r="T1577" i="2"/>
  <c r="R1464" i="2"/>
  <c r="P1403" i="2"/>
  <c r="T1187" i="2"/>
  <c r="Q1673" i="2"/>
  <c r="T2027" i="2"/>
  <c r="R1431" i="2"/>
  <c r="K1557" i="2"/>
  <c r="T1855" i="2"/>
  <c r="U1298" i="2"/>
  <c r="S1573" i="2"/>
  <c r="Q1324" i="2"/>
  <c r="P1888" i="2"/>
  <c r="T1522" i="2"/>
  <c r="N1662" i="2"/>
  <c r="N1235" i="2"/>
  <c r="O1497" i="2"/>
  <c r="S1436" i="2"/>
  <c r="L1135" i="2"/>
  <c r="Q1241" i="2"/>
  <c r="P1203" i="2"/>
  <c r="Q1527" i="2"/>
  <c r="J1254" i="2"/>
  <c r="T1637" i="2"/>
  <c r="U806" i="2"/>
  <c r="O995" i="2"/>
  <c r="Q1450" i="2"/>
  <c r="N801" i="2"/>
  <c r="K1697" i="2"/>
  <c r="R1955" i="2"/>
  <c r="S1232" i="2"/>
  <c r="N1138" i="2"/>
  <c r="L1484" i="2"/>
  <c r="L1025" i="2"/>
  <c r="S1243" i="2"/>
  <c r="U956" i="2"/>
  <c r="O1588" i="2"/>
  <c r="S933" i="2"/>
  <c r="Q1087" i="2"/>
  <c r="U1208" i="2"/>
  <c r="L1926" i="2"/>
  <c r="P2016" i="2"/>
  <c r="U1706" i="2"/>
  <c r="U1205" i="2"/>
  <c r="T1173" i="2"/>
  <c r="M1164" i="2"/>
  <c r="K975" i="2"/>
  <c r="Q1011" i="2"/>
  <c r="O1045" i="2"/>
  <c r="L1036" i="2"/>
  <c r="M1161" i="2"/>
  <c r="P1217" i="2"/>
  <c r="N1432" i="2"/>
  <c r="T1694" i="2"/>
  <c r="P1520" i="2"/>
  <c r="S1330" i="2"/>
  <c r="U1329" i="2"/>
  <c r="R767" i="2"/>
  <c r="S1137" i="2"/>
  <c r="J1370" i="2"/>
  <c r="Q1436" i="2"/>
  <c r="M1679" i="2"/>
  <c r="T1473" i="2"/>
  <c r="U1881" i="2"/>
  <c r="R1865" i="2"/>
  <c r="R1522" i="2"/>
  <c r="M1976" i="2"/>
  <c r="T1603" i="2"/>
  <c r="U1754" i="2"/>
  <c r="T1331" i="2"/>
  <c r="L1562" i="2"/>
  <c r="J1593" i="2"/>
  <c r="R1294" i="2"/>
  <c r="S1623" i="2"/>
  <c r="N1703" i="2"/>
  <c r="J1868" i="2"/>
  <c r="M2109" i="2"/>
  <c r="S1555" i="2"/>
  <c r="N1204" i="2"/>
  <c r="O1901" i="2"/>
  <c r="U1149" i="2"/>
  <c r="O1594" i="2"/>
  <c r="P1733" i="2"/>
  <c r="L1730" i="2"/>
  <c r="P1297" i="2"/>
  <c r="N1762" i="2"/>
  <c r="U1603" i="2"/>
  <c r="L1539" i="2"/>
  <c r="J1931" i="2"/>
  <c r="P1652" i="2"/>
  <c r="K1799" i="2"/>
  <c r="M1455" i="2"/>
  <c r="S2261" i="2"/>
  <c r="P1593" i="2"/>
  <c r="R1817" i="2"/>
  <c r="O1665" i="2"/>
  <c r="U1767" i="2"/>
  <c r="J1294" i="2"/>
  <c r="L1256" i="2"/>
  <c r="U1328" i="2"/>
  <c r="S1824" i="2"/>
  <c r="S1709" i="2"/>
  <c r="O1458" i="2"/>
  <c r="U1258" i="2"/>
  <c r="O1145" i="2"/>
  <c r="L1390" i="2"/>
  <c r="U1267" i="2"/>
  <c r="N989" i="2"/>
  <c r="U1515" i="2"/>
  <c r="O2071" i="2"/>
  <c r="O1252" i="2"/>
  <c r="P1306" i="2"/>
  <c r="K1385" i="2"/>
  <c r="O1775" i="2"/>
  <c r="P970" i="2"/>
  <c r="T1696" i="2"/>
  <c r="J1520" i="2"/>
  <c r="M1157" i="2"/>
  <c r="P1681" i="2"/>
  <c r="Q1949" i="2"/>
  <c r="L1329" i="2"/>
  <c r="Q944" i="2"/>
  <c r="N1027" i="2"/>
  <c r="P1711" i="2"/>
  <c r="R1800" i="2"/>
  <c r="K1344" i="2"/>
  <c r="K1514" i="2"/>
  <c r="T1429" i="2"/>
  <c r="T1171" i="2"/>
  <c r="K1317" i="2"/>
  <c r="S1922" i="2"/>
  <c r="J1809" i="2"/>
  <c r="R1704" i="2"/>
  <c r="P1236" i="2"/>
  <c r="S1468" i="2"/>
  <c r="J1768" i="2"/>
  <c r="K1315" i="2"/>
  <c r="T1231" i="2"/>
  <c r="T1025" i="2"/>
  <c r="U1130" i="2"/>
  <c r="S2094" i="2"/>
  <c r="K1528" i="2"/>
  <c r="K1323" i="2"/>
  <c r="P1393" i="2"/>
  <c r="J1518" i="2"/>
  <c r="J1300" i="2"/>
  <c r="P867" i="2"/>
  <c r="R1796" i="2"/>
  <c r="K1453" i="2"/>
  <c r="M1957" i="2"/>
  <c r="L1003" i="2"/>
  <c r="L2147" i="2"/>
  <c r="J1418" i="2"/>
  <c r="K1369" i="2"/>
  <c r="K1681" i="2"/>
  <c r="R1555" i="2"/>
  <c r="O1400" i="2"/>
  <c r="R1650" i="2"/>
  <c r="U1936" i="2"/>
  <c r="J1351" i="2"/>
  <c r="Q1761" i="2"/>
  <c r="M1875" i="2"/>
  <c r="Q1491" i="2"/>
  <c r="S1995" i="2"/>
  <c r="R2096" i="2"/>
  <c r="P1411" i="2"/>
  <c r="U1261" i="2"/>
  <c r="S1168" i="2"/>
  <c r="U1983" i="2"/>
  <c r="M1949" i="2"/>
  <c r="M1562" i="2"/>
  <c r="K1502" i="2"/>
  <c r="N1693" i="2"/>
  <c r="U1280" i="2"/>
  <c r="Q1167" i="2"/>
  <c r="J1180" i="2"/>
  <c r="R2062" i="2"/>
  <c r="N1548" i="2"/>
  <c r="O1628" i="2"/>
  <c r="R1720" i="2"/>
  <c r="P1483" i="2"/>
  <c r="T1677" i="2"/>
  <c r="U1834" i="2"/>
  <c r="Q1505" i="2"/>
  <c r="M1614" i="2"/>
  <c r="S1507" i="2"/>
  <c r="S1757" i="2"/>
  <c r="T1924" i="2"/>
  <c r="T1410" i="2"/>
  <c r="O1512" i="2"/>
  <c r="N1132" i="2"/>
  <c r="T1587" i="2"/>
  <c r="J1127" i="2"/>
  <c r="K1334" i="2"/>
  <c r="L1038" i="2"/>
  <c r="K1126" i="2"/>
  <c r="Q1177" i="2"/>
  <c r="Q855" i="2"/>
  <c r="Q1052" i="2"/>
  <c r="K1112" i="2"/>
  <c r="Q974" i="2"/>
  <c r="N1606" i="2"/>
  <c r="P1281" i="2"/>
  <c r="T1219" i="2"/>
  <c r="L1311" i="2"/>
  <c r="L1182" i="2"/>
  <c r="Q796" i="2"/>
  <c r="P1577" i="2"/>
  <c r="U1394" i="2"/>
  <c r="S1311" i="2"/>
  <c r="R1105" i="2"/>
  <c r="P1468" i="2"/>
  <c r="K951" i="2"/>
  <c r="P1472" i="2"/>
  <c r="J1264" i="2"/>
  <c r="M1217" i="2"/>
  <c r="O1266" i="2"/>
  <c r="M972" i="2"/>
  <c r="J1965" i="2"/>
  <c r="Q1099" i="2"/>
  <c r="P2041" i="2"/>
  <c r="K1290" i="2"/>
  <c r="R946" i="2"/>
  <c r="M844" i="2"/>
  <c r="K718" i="2"/>
  <c r="R1238" i="2"/>
  <c r="O1383" i="2"/>
  <c r="R1581" i="2"/>
  <c r="K1481" i="2"/>
  <c r="P1449" i="2"/>
  <c r="N1345" i="2"/>
  <c r="N1406" i="2"/>
  <c r="R1126" i="2"/>
  <c r="T1538" i="2"/>
  <c r="R1565" i="2"/>
  <c r="M1471" i="2"/>
  <c r="R2001" i="2"/>
  <c r="M2045" i="2"/>
  <c r="K1371" i="2"/>
  <c r="O1361" i="2"/>
  <c r="T1556" i="2"/>
  <c r="R1595" i="2"/>
  <c r="R2040" i="2"/>
  <c r="Q1951" i="2"/>
  <c r="M1855" i="2"/>
  <c r="S1972" i="2"/>
  <c r="T1944" i="2"/>
  <c r="M1730" i="2"/>
  <c r="J1700" i="2"/>
  <c r="T1506" i="2"/>
  <c r="M1075" i="2"/>
  <c r="J1459" i="2"/>
  <c r="N1587" i="2"/>
  <c r="K2147" i="2"/>
  <c r="R1511" i="2"/>
  <c r="T1702" i="2"/>
  <c r="L1850" i="2"/>
  <c r="P1436" i="2"/>
  <c r="L1609" i="2"/>
  <c r="U1752" i="2"/>
  <c r="Q1651" i="2"/>
  <c r="L1208" i="2"/>
  <c r="O1669" i="2"/>
  <c r="M1636" i="2"/>
  <c r="N1955" i="2"/>
  <c r="L1242" i="2"/>
  <c r="O1595" i="2"/>
  <c r="P1502" i="2"/>
  <c r="O1421" i="2"/>
  <c r="Q1828" i="2"/>
  <c r="J883" i="2"/>
  <c r="K1078" i="2"/>
  <c r="R1626" i="2"/>
  <c r="M1461" i="2"/>
  <c r="S1714" i="2"/>
  <c r="N1248" i="2"/>
  <c r="S1538" i="2"/>
  <c r="J1232" i="2"/>
  <c r="M1244" i="2"/>
  <c r="U1337" i="2"/>
  <c r="R1038" i="2"/>
  <c r="Q1654" i="2"/>
  <c r="L1475" i="2"/>
  <c r="J1723" i="2"/>
  <c r="Q1248" i="2"/>
  <c r="U1481" i="2"/>
  <c r="Q1376" i="2"/>
  <c r="U1778" i="2"/>
  <c r="N1726" i="2"/>
  <c r="U1061" i="2"/>
  <c r="S1584" i="2"/>
  <c r="J1483" i="2"/>
  <c r="M1168" i="2"/>
  <c r="T969" i="2"/>
  <c r="R1087" i="2"/>
  <c r="R1667" i="2"/>
  <c r="R1572" i="2"/>
  <c r="J2139" i="2"/>
  <c r="P1351" i="2"/>
  <c r="P1313" i="2"/>
  <c r="L1158" i="2"/>
  <c r="Q1483" i="2"/>
  <c r="Q1589" i="2"/>
  <c r="Q1302" i="2"/>
  <c r="R1368" i="2"/>
  <c r="S1004" i="2"/>
  <c r="Q1543" i="2"/>
  <c r="Q1458" i="2"/>
  <c r="O1106" i="2"/>
  <c r="O1036" i="2"/>
  <c r="U1338" i="2"/>
  <c r="P1561" i="2"/>
  <c r="S1720" i="2"/>
  <c r="O1510" i="2"/>
  <c r="L1362" i="2"/>
  <c r="O1262" i="2"/>
  <c r="K1944" i="2"/>
  <c r="Q1315" i="2"/>
  <c r="N1901" i="2"/>
  <c r="U1545" i="2"/>
  <c r="O1298" i="2"/>
  <c r="S1363" i="2"/>
  <c r="M1742" i="2"/>
  <c r="J1744" i="2"/>
  <c r="M1785" i="2"/>
  <c r="J1448" i="2"/>
  <c r="R1319" i="2"/>
  <c r="M1668" i="2"/>
  <c r="T1222" i="2"/>
  <c r="J1610" i="2"/>
  <c r="L1264" i="2"/>
  <c r="O1960" i="2"/>
  <c r="Q1629" i="2"/>
  <c r="K1668" i="2"/>
  <c r="S1925" i="2"/>
  <c r="R1330" i="2"/>
  <c r="J1867" i="2"/>
  <c r="L1776" i="2"/>
  <c r="L1653" i="2"/>
  <c r="Q1403" i="2"/>
  <c r="O1428" i="2"/>
  <c r="T1896" i="2"/>
  <c r="M1202" i="2"/>
  <c r="N1379" i="2"/>
  <c r="M1467" i="2"/>
  <c r="M1633" i="2"/>
  <c r="R1903" i="2"/>
  <c r="J1160" i="2"/>
  <c r="Q1453" i="2"/>
  <c r="T1470" i="2"/>
  <c r="L1383" i="2"/>
  <c r="L2031" i="2"/>
  <c r="N1440" i="2"/>
  <c r="T1566" i="2"/>
  <c r="J1597" i="2"/>
  <c r="U1414" i="2"/>
  <c r="T1640" i="2"/>
  <c r="L1889" i="2"/>
  <c r="N1549" i="2"/>
  <c r="R1896" i="2"/>
  <c r="P1024" i="2"/>
  <c r="O1912" i="2"/>
  <c r="R1130" i="2"/>
  <c r="P1506" i="2"/>
  <c r="M1464" i="2"/>
  <c r="R976" i="2"/>
  <c r="P1103" i="2"/>
  <c r="P1447" i="2"/>
  <c r="O1555" i="2"/>
  <c r="P1073" i="2"/>
  <c r="J1594" i="2"/>
  <c r="J809" i="2"/>
  <c r="S1060" i="2"/>
  <c r="M1937" i="2"/>
  <c r="R1411" i="2"/>
  <c r="O1562" i="2"/>
  <c r="Q1392" i="2"/>
  <c r="M1233" i="2"/>
  <c r="S1278" i="2"/>
  <c r="R1199" i="2"/>
  <c r="P1579" i="2"/>
  <c r="O884" i="2"/>
  <c r="Q948" i="2"/>
  <c r="M1995" i="2"/>
  <c r="O1124" i="2"/>
  <c r="Q1640" i="2"/>
  <c r="M1745" i="2"/>
  <c r="S1042" i="2"/>
  <c r="N1302" i="2"/>
  <c r="U1032" i="2"/>
  <c r="O1800" i="2"/>
  <c r="U922" i="2"/>
  <c r="T1350" i="2"/>
  <c r="R770" i="2"/>
  <c r="P1000" i="2"/>
  <c r="T871" i="2"/>
  <c r="R1071" i="2"/>
  <c r="S870" i="2"/>
  <c r="S1464" i="2"/>
  <c r="J1188" i="2"/>
  <c r="M1177" i="2"/>
  <c r="S1282" i="2"/>
  <c r="O1295" i="2"/>
  <c r="R1298" i="2"/>
  <c r="K1196" i="2"/>
  <c r="S1527" i="2"/>
  <c r="J1510" i="2"/>
  <c r="J1152" i="2"/>
  <c r="N1714" i="2"/>
  <c r="J2146" i="2"/>
  <c r="N1629" i="2"/>
  <c r="P1277" i="2"/>
  <c r="U2191" i="2"/>
  <c r="P1332" i="2"/>
  <c r="Q1412" i="2"/>
  <c r="J1747" i="2"/>
  <c r="J1457" i="2"/>
  <c r="T1754" i="2"/>
  <c r="U1714" i="2"/>
  <c r="O1525" i="2"/>
  <c r="T1356" i="2"/>
  <c r="P1364" i="2"/>
  <c r="T1826" i="2"/>
  <c r="Q1529" i="2"/>
  <c r="N2024" i="2"/>
  <c r="U1943" i="2"/>
  <c r="S1724" i="2"/>
  <c r="N1938" i="2"/>
  <c r="J1588" i="2"/>
  <c r="O1659" i="2"/>
  <c r="K1267" i="2"/>
  <c r="U1322" i="2"/>
  <c r="J1633" i="2"/>
  <c r="Q1559" i="2"/>
  <c r="R1664" i="2"/>
  <c r="Q1664" i="2"/>
  <c r="O2129" i="2"/>
  <c r="U1653" i="2"/>
  <c r="L1405" i="2"/>
  <c r="P1693" i="2"/>
  <c r="L1188" i="2"/>
  <c r="T1365" i="2"/>
  <c r="O904" i="2"/>
  <c r="O1220" i="2"/>
  <c r="U1786" i="2"/>
  <c r="T1916" i="2"/>
  <c r="N1123" i="2"/>
  <c r="S1530" i="2"/>
  <c r="N1538" i="2"/>
  <c r="U1583" i="2"/>
  <c r="U1310" i="2"/>
  <c r="Q1209" i="2"/>
  <c r="T1275" i="2"/>
  <c r="O1671" i="2"/>
  <c r="O1965" i="2"/>
  <c r="P1766" i="2"/>
  <c r="M1179" i="2"/>
  <c r="L1313" i="2"/>
  <c r="J1073" i="2"/>
  <c r="R2019" i="2"/>
  <c r="O1363" i="2"/>
  <c r="L1286" i="2"/>
  <c r="L1147" i="2"/>
  <c r="J1664" i="2"/>
  <c r="J1019" i="2"/>
  <c r="J1750" i="2"/>
  <c r="S1019" i="2"/>
  <c r="Q1479" i="2"/>
  <c r="R1780" i="2"/>
  <c r="K1809" i="2"/>
  <c r="U1461" i="2"/>
  <c r="J1302" i="2"/>
  <c r="K1349" i="2"/>
  <c r="P1213" i="2"/>
  <c r="L1760" i="2"/>
  <c r="M1518" i="2"/>
  <c r="O1574" i="2"/>
  <c r="R1765" i="2"/>
  <c r="J1414" i="2"/>
  <c r="Q1457" i="2"/>
  <c r="J1428" i="2"/>
  <c r="Q1423" i="2"/>
  <c r="N1748" i="2"/>
  <c r="M2314" i="2"/>
  <c r="S1693" i="2"/>
  <c r="O1720" i="2"/>
  <c r="K1372" i="2"/>
  <c r="M1466" i="2"/>
  <c r="M1720" i="2"/>
  <c r="T1281" i="2"/>
  <c r="J1265" i="2"/>
  <c r="K1953" i="2"/>
  <c r="M1711" i="2"/>
  <c r="S1752" i="2"/>
  <c r="J1543" i="2"/>
  <c r="S1712" i="2"/>
  <c r="P1673" i="2"/>
  <c r="L1737" i="2"/>
  <c r="S1422" i="2"/>
  <c r="R1637" i="2"/>
  <c r="P967" i="2"/>
  <c r="R1471" i="2"/>
  <c r="L1035" i="2"/>
  <c r="K1257" i="2"/>
  <c r="T2053" i="2"/>
  <c r="N1791" i="2"/>
  <c r="T1328" i="2"/>
  <c r="K2169" i="2"/>
  <c r="O1411" i="2"/>
  <c r="K1534" i="2"/>
  <c r="J1421" i="2"/>
  <c r="J1547" i="2"/>
  <c r="U2068" i="2"/>
  <c r="N1584" i="2"/>
  <c r="P1224" i="2"/>
  <c r="N1739" i="2"/>
  <c r="S1721" i="2"/>
  <c r="R1374" i="2"/>
  <c r="M1297" i="2"/>
  <c r="J1314" i="2"/>
  <c r="U1916" i="2"/>
  <c r="L1492" i="2"/>
  <c r="K1636" i="2"/>
  <c r="U1270" i="2"/>
  <c r="P1819" i="2"/>
  <c r="T1585" i="2"/>
  <c r="K1705" i="2"/>
  <c r="P1817" i="2"/>
  <c r="U1690" i="2"/>
  <c r="P2271" i="2"/>
  <c r="P1907" i="2"/>
  <c r="S1785" i="2"/>
  <c r="P1722" i="2"/>
  <c r="R1786" i="2"/>
  <c r="O1836" i="2"/>
  <c r="N2114" i="2"/>
  <c r="P1647" i="2"/>
  <c r="S2030" i="2"/>
  <c r="U2210" i="2"/>
  <c r="S1355" i="2"/>
  <c r="T1664" i="2"/>
  <c r="T1408" i="2"/>
  <c r="R1688" i="2"/>
  <c r="Q1842" i="2"/>
  <c r="J1906" i="2"/>
  <c r="Q1561" i="2"/>
  <c r="R1164" i="2"/>
  <c r="P2100" i="2"/>
  <c r="Q2119" i="2"/>
  <c r="T1879" i="2"/>
  <c r="N1534" i="2"/>
  <c r="P1317" i="2"/>
  <c r="Q1254" i="2"/>
  <c r="T2017" i="2"/>
  <c r="P2168" i="2"/>
  <c r="Q1357" i="2"/>
  <c r="K1111" i="2"/>
  <c r="S1589" i="2"/>
  <c r="U1359" i="2"/>
  <c r="T1921" i="2"/>
  <c r="O1501" i="2"/>
  <c r="Q1596" i="2"/>
  <c r="S1455" i="2"/>
  <c r="O2022" i="2"/>
  <c r="U2079" i="2"/>
  <c r="S1339" i="2"/>
  <c r="R1300" i="2"/>
  <c r="Q1486" i="2"/>
  <c r="O1844" i="2"/>
  <c r="M1497" i="2"/>
  <c r="O1486" i="2"/>
  <c r="R1228" i="2"/>
  <c r="Q1372" i="2"/>
  <c r="J1635" i="2"/>
  <c r="T1263" i="2"/>
  <c r="S1301" i="2"/>
  <c r="M1064" i="2"/>
  <c r="M1212" i="2"/>
  <c r="T1519" i="2"/>
  <c r="R1335" i="2"/>
  <c r="L1305" i="2"/>
  <c r="S1588" i="2"/>
  <c r="L1200" i="2"/>
  <c r="O2004" i="2"/>
  <c r="O1756" i="2"/>
  <c r="Q1875" i="2"/>
  <c r="T1241" i="2"/>
  <c r="J1468" i="2"/>
  <c r="P1348" i="2"/>
  <c r="L1549" i="2"/>
  <c r="M1307" i="2"/>
  <c r="K1272" i="2"/>
  <c r="L1774" i="2"/>
  <c r="O1353" i="2"/>
  <c r="Q1318" i="2"/>
  <c r="S1333" i="2"/>
  <c r="S1733" i="2"/>
  <c r="R1143" i="2"/>
  <c r="O1456" i="2"/>
  <c r="J1488" i="2"/>
  <c r="S1203" i="2"/>
  <c r="S1770" i="2"/>
  <c r="U1360" i="2"/>
  <c r="U1355" i="2"/>
  <c r="Q1188" i="2"/>
  <c r="M1293" i="2"/>
  <c r="P1974" i="2"/>
  <c r="M1533" i="2"/>
  <c r="O1540" i="2"/>
  <c r="L1705" i="2"/>
  <c r="T1946" i="2"/>
  <c r="N1966" i="2"/>
  <c r="U2062" i="2"/>
  <c r="P2049" i="2"/>
  <c r="T1344" i="2"/>
  <c r="U1670" i="2"/>
  <c r="U1476" i="2"/>
  <c r="S1442" i="2"/>
  <c r="O1623" i="2"/>
  <c r="U1837" i="2"/>
  <c r="Q1734" i="2"/>
  <c r="U1088" i="2"/>
  <c r="M1306" i="2"/>
  <c r="U1841" i="2"/>
  <c r="K1525" i="2"/>
  <c r="N1852" i="2"/>
  <c r="L1871" i="2"/>
  <c r="Q1616" i="2"/>
  <c r="K1927" i="2"/>
  <c r="N1723" i="2"/>
  <c r="U1418" i="2"/>
  <c r="Q1107" i="2"/>
  <c r="R2102" i="2"/>
  <c r="J1681" i="2"/>
  <c r="P1986" i="2"/>
  <c r="N1597" i="2"/>
  <c r="O1653" i="2"/>
  <c r="K1660" i="2"/>
  <c r="N1283" i="2"/>
  <c r="T1422" i="2"/>
  <c r="N1419" i="2"/>
  <c r="Q1755" i="2"/>
  <c r="N1414" i="2"/>
  <c r="Q1592" i="2"/>
  <c r="R1495" i="2"/>
  <c r="K2020" i="2"/>
  <c r="R1856" i="2"/>
  <c r="Q1360" i="2"/>
  <c r="K1170" i="2"/>
  <c r="O1369" i="2"/>
  <c r="K1745" i="2"/>
  <c r="Q1662" i="2"/>
  <c r="U1090" i="2"/>
  <c r="N1567" i="2"/>
  <c r="L1282" i="2"/>
  <c r="O1341" i="2"/>
  <c r="T2116" i="2"/>
  <c r="P1698" i="2"/>
  <c r="N1639" i="2"/>
  <c r="S1686" i="2"/>
  <c r="P1272" i="2"/>
  <c r="T1453" i="2"/>
  <c r="P1383" i="2"/>
  <c r="R1174" i="2"/>
  <c r="S1852" i="2"/>
  <c r="R1674" i="2"/>
  <c r="L1400" i="2"/>
  <c r="M1965" i="2"/>
  <c r="O1427" i="2"/>
  <c r="P1702" i="2"/>
  <c r="P1284" i="2"/>
  <c r="Q1929" i="2"/>
  <c r="M1303" i="2"/>
  <c r="S1382" i="2"/>
  <c r="M1621" i="2"/>
  <c r="U1601" i="2"/>
  <c r="U1548" i="2"/>
  <c r="K1618" i="2"/>
  <c r="O1043" i="2"/>
  <c r="N715" i="2"/>
  <c r="J1211" i="2"/>
  <c r="U1454" i="2"/>
  <c r="L1337" i="2"/>
  <c r="O2128" i="2"/>
  <c r="R1837" i="2"/>
  <c r="J1771" i="2"/>
  <c r="K1959" i="2"/>
  <c r="S1795" i="2"/>
  <c r="P1751" i="2"/>
  <c r="K1302" i="2"/>
  <c r="N1433" i="2"/>
  <c r="P1916" i="2"/>
  <c r="N1755" i="2"/>
  <c r="Q2114" i="2"/>
  <c r="N1964" i="2"/>
  <c r="Q2018" i="2"/>
  <c r="L1485" i="2"/>
  <c r="P1678" i="2"/>
  <c r="L1449" i="2"/>
  <c r="R2022" i="2"/>
  <c r="P1648" i="2"/>
  <c r="O1528" i="2"/>
  <c r="L1413" i="2"/>
  <c r="P1709" i="2"/>
  <c r="N1477" i="2"/>
  <c r="J1317" i="2"/>
  <c r="Q1558" i="2"/>
  <c r="R2258" i="2"/>
  <c r="Q1495" i="2"/>
  <c r="L1920" i="2"/>
  <c r="K1339" i="2"/>
  <c r="O1990" i="2"/>
  <c r="R1592" i="2"/>
  <c r="L1295" i="2"/>
  <c r="L1206" i="2"/>
  <c r="Q1718" i="2"/>
  <c r="R1261" i="2"/>
  <c r="U1669" i="2"/>
  <c r="R1734" i="2"/>
  <c r="R1643" i="2"/>
  <c r="P1497" i="2"/>
  <c r="L1563" i="2"/>
  <c r="S1421" i="2"/>
  <c r="M1114" i="2"/>
  <c r="S1252" i="2"/>
  <c r="O1508" i="2"/>
  <c r="R1117" i="2"/>
  <c r="J866" i="2"/>
  <c r="N1790" i="2"/>
  <c r="L1719" i="2"/>
  <c r="T1345" i="2"/>
  <c r="U1465" i="2"/>
  <c r="Q1666" i="2"/>
  <c r="U2009" i="2"/>
  <c r="O1649" i="2"/>
  <c r="P1471" i="2"/>
  <c r="L1703" i="2"/>
  <c r="Q1363" i="2"/>
  <c r="Q1526" i="2"/>
  <c r="N1272" i="2"/>
  <c r="J1123" i="2"/>
  <c r="T1105" i="2"/>
  <c r="N1806" i="2"/>
  <c r="M1465" i="2"/>
  <c r="U2119" i="2"/>
  <c r="P1126" i="2"/>
  <c r="Q1557" i="2"/>
  <c r="L1321" i="2"/>
  <c r="M1147" i="2"/>
  <c r="U1615" i="2"/>
  <c r="N1464" i="2"/>
  <c r="O1523" i="2"/>
  <c r="P1540" i="2"/>
  <c r="K1313" i="2"/>
  <c r="M738" i="2"/>
  <c r="K2281" i="2"/>
  <c r="P1912" i="2"/>
  <c r="J1668" i="2"/>
  <c r="N1730" i="2"/>
  <c r="N1542" i="2"/>
  <c r="L2084" i="2"/>
  <c r="K1145" i="2"/>
  <c r="M1610" i="2"/>
  <c r="U1468" i="2"/>
  <c r="J1336" i="2"/>
  <c r="M1909" i="2"/>
  <c r="L1624" i="2"/>
  <c r="N1291" i="2"/>
  <c r="O1745" i="2"/>
  <c r="R1677" i="2"/>
  <c r="L1416" i="2"/>
  <c r="L1636" i="2"/>
  <c r="N1290" i="2"/>
  <c r="K1292" i="2"/>
  <c r="O1516" i="2"/>
  <c r="R1245" i="2"/>
  <c r="P1234" i="2"/>
  <c r="L1398" i="2"/>
  <c r="J1319" i="2"/>
  <c r="T2245" i="2"/>
  <c r="R2011" i="2"/>
  <c r="U1925" i="2"/>
  <c r="P1612" i="2"/>
  <c r="K1845" i="2"/>
  <c r="K1904" i="2"/>
  <c r="N1862" i="2"/>
  <c r="U2142" i="2"/>
  <c r="J1658" i="2"/>
  <c r="T1500" i="2"/>
  <c r="K1667" i="2"/>
  <c r="T1571" i="2"/>
  <c r="O1538" i="2"/>
  <c r="P1454" i="2"/>
  <c r="P1326" i="2"/>
  <c r="R1596" i="2"/>
  <c r="N2313" i="2"/>
  <c r="O1219" i="2"/>
  <c r="Q2140" i="2"/>
  <c r="T2128" i="2"/>
  <c r="J2263" i="2"/>
  <c r="T1368" i="2"/>
  <c r="T1630" i="2"/>
  <c r="M1789" i="2"/>
  <c r="M1656" i="2"/>
  <c r="N1892" i="2"/>
  <c r="K1902" i="2"/>
  <c r="R1390" i="2"/>
  <c r="U2077" i="2"/>
  <c r="T1132" i="2"/>
  <c r="Q1641" i="2"/>
  <c r="T1436" i="2"/>
  <c r="L1521" i="2"/>
  <c r="K1441" i="2"/>
  <c r="K1669" i="2"/>
  <c r="S1306" i="2"/>
  <c r="R1648" i="2"/>
  <c r="M1521" i="2"/>
  <c r="S1234" i="2"/>
  <c r="U1933" i="2"/>
  <c r="T1610" i="2"/>
  <c r="N1457" i="2"/>
  <c r="T2068" i="2"/>
  <c r="K1757" i="2"/>
  <c r="J1761" i="2"/>
  <c r="J1713" i="2"/>
  <c r="S1364" i="2"/>
  <c r="M1472" i="2"/>
  <c r="R1561" i="2"/>
  <c r="K1377" i="2"/>
  <c r="T1125" i="2"/>
  <c r="N1833" i="2"/>
  <c r="O1331" i="2"/>
  <c r="Q2100" i="2"/>
  <c r="O1479" i="2"/>
  <c r="M1807" i="2"/>
  <c r="O1395" i="2"/>
  <c r="Q1037" i="2"/>
  <c r="M1269" i="2"/>
  <c r="T1036" i="2"/>
  <c r="T1133" i="2"/>
  <c r="L2008" i="2"/>
  <c r="R1816" i="2"/>
  <c r="P1606" i="2"/>
  <c r="N1478" i="2"/>
  <c r="P1299" i="2"/>
  <c r="T1563" i="2"/>
  <c r="Q1612" i="2"/>
  <c r="M1660" i="2"/>
  <c r="R1331" i="2"/>
  <c r="R1500" i="2"/>
  <c r="U1222" i="2"/>
  <c r="R1474" i="2"/>
  <c r="N1179" i="2"/>
  <c r="L1471" i="2"/>
  <c r="J1536" i="2"/>
  <c r="T1777" i="2"/>
  <c r="J1516" i="2"/>
  <c r="Q1313" i="2"/>
  <c r="P1355" i="2"/>
  <c r="N1480" i="2"/>
  <c r="L1412" i="2"/>
  <c r="R1524" i="2"/>
  <c r="Q1677" i="2"/>
  <c r="O1164" i="2"/>
  <c r="O1137" i="2"/>
  <c r="P1344" i="2"/>
  <c r="O1437" i="2"/>
  <c r="S1461" i="2"/>
  <c r="L1185" i="2"/>
  <c r="K1355" i="2"/>
  <c r="M1744" i="2"/>
  <c r="P1461" i="2"/>
  <c r="N1643" i="2"/>
  <c r="O1348" i="2"/>
  <c r="L1720" i="2"/>
  <c r="K1195" i="2"/>
  <c r="Q1319" i="2"/>
  <c r="O1379" i="2"/>
  <c r="L1634" i="2"/>
  <c r="Q2020" i="2"/>
  <c r="N1483" i="2"/>
  <c r="Q1621" i="2"/>
  <c r="K1830" i="2"/>
  <c r="K1839" i="2"/>
  <c r="Q1277" i="2"/>
  <c r="T1513" i="2"/>
  <c r="S1604" i="2"/>
  <c r="S1143" i="2"/>
  <c r="T1420" i="2"/>
  <c r="P1298" i="2"/>
  <c r="O1920" i="2"/>
  <c r="T1716" i="2"/>
  <c r="J1256" i="2"/>
  <c r="P1649" i="2"/>
  <c r="U1438" i="2"/>
  <c r="S1836" i="2"/>
  <c r="T2085" i="2"/>
  <c r="N1742" i="2"/>
  <c r="O1563" i="2"/>
  <c r="M1332" i="2"/>
  <c r="Q1540" i="2"/>
  <c r="L1216" i="2"/>
  <c r="M1619" i="2"/>
  <c r="J1033" i="2"/>
  <c r="O1470" i="2"/>
  <c r="U1134" i="2"/>
  <c r="K1595" i="2"/>
  <c r="J1942" i="2"/>
  <c r="T1606" i="2"/>
  <c r="K1529" i="2"/>
  <c r="U1283" i="2"/>
  <c r="L1912" i="2"/>
  <c r="M1727" i="2"/>
  <c r="O1699" i="2"/>
  <c r="L1231" i="2"/>
  <c r="K1448" i="2"/>
  <c r="L1518" i="2"/>
  <c r="K1788" i="2"/>
  <c r="U1385" i="2"/>
  <c r="P1357" i="2"/>
  <c r="O1560" i="2"/>
  <c r="M1373" i="2"/>
  <c r="K1879" i="2"/>
  <c r="M1755" i="2"/>
  <c r="R1776" i="2"/>
  <c r="M1560" i="2"/>
  <c r="S1885" i="2"/>
  <c r="T1367" i="2"/>
  <c r="U1535" i="2"/>
  <c r="J1316" i="2"/>
  <c r="L1685" i="2"/>
  <c r="L2012" i="2"/>
  <c r="K1892" i="2"/>
  <c r="P1469" i="2"/>
  <c r="R1787" i="2"/>
  <c r="M1824" i="2"/>
  <c r="P1397" i="2"/>
  <c r="Q1669" i="2"/>
  <c r="S2045" i="2"/>
  <c r="J1545" i="2"/>
  <c r="T1807" i="2"/>
  <c r="R1694" i="2"/>
  <c r="T1447" i="2"/>
  <c r="T1268" i="2"/>
  <c r="M1084" i="2"/>
  <c r="N1828" i="2"/>
  <c r="T1762" i="2"/>
  <c r="R1980" i="2"/>
  <c r="O1816" i="2"/>
  <c r="L1666" i="2"/>
  <c r="S1655" i="2"/>
  <c r="T2030" i="2"/>
  <c r="S1635" i="2"/>
  <c r="T1254" i="2"/>
  <c r="M1358" i="2"/>
  <c r="S1305" i="2"/>
  <c r="U1366" i="2"/>
  <c r="J1349" i="2"/>
  <c r="N1378" i="2"/>
  <c r="U1902" i="2"/>
  <c r="M1740" i="2"/>
  <c r="M1706" i="2"/>
  <c r="Q1152" i="2"/>
  <c r="Q1085" i="2"/>
  <c r="S1944" i="2"/>
  <c r="O1416" i="2"/>
  <c r="R1365" i="2"/>
  <c r="N1574" i="2"/>
  <c r="S1988" i="2"/>
  <c r="M1335" i="2"/>
  <c r="J1425" i="2"/>
  <c r="N1659" i="2"/>
  <c r="P1439" i="2"/>
  <c r="S1223" i="2"/>
  <c r="N1823" i="2"/>
  <c r="P1143" i="2"/>
  <c r="J1822" i="2"/>
  <c r="Q1035" i="2"/>
  <c r="K1206" i="2"/>
  <c r="R1384" i="2"/>
  <c r="L1496" i="2"/>
  <c r="P1748" i="2"/>
  <c r="U1798" i="2"/>
  <c r="J1803" i="2"/>
  <c r="T2006" i="2"/>
  <c r="M1504" i="2"/>
  <c r="Q1250" i="2"/>
  <c r="S910" i="2"/>
  <c r="R1553" i="2"/>
  <c r="R1380" i="2"/>
  <c r="U1539" i="2"/>
  <c r="P1319" i="2"/>
  <c r="L1500" i="2"/>
  <c r="R1218" i="2"/>
  <c r="T1730" i="2"/>
  <c r="T933" i="2"/>
  <c r="S1207" i="2"/>
  <c r="J1558" i="2"/>
  <c r="K1524" i="2"/>
  <c r="U1684" i="2"/>
  <c r="S1291" i="2"/>
  <c r="K1255" i="2"/>
  <c r="Q1162" i="2"/>
  <c r="R1194" i="2"/>
  <c r="L1536" i="2"/>
  <c r="L1343" i="2"/>
  <c r="S1427" i="2"/>
  <c r="U1434" i="2"/>
  <c r="N1667" i="2"/>
  <c r="T1674" i="2"/>
  <c r="O1874" i="2"/>
  <c r="U1406" i="2"/>
  <c r="N1265" i="2"/>
  <c r="S1598" i="2"/>
  <c r="L1662" i="2"/>
  <c r="O1028" i="2"/>
  <c r="N1707" i="2"/>
  <c r="Q1501" i="2"/>
  <c r="R1853" i="2"/>
  <c r="M1687" i="2"/>
  <c r="M1830" i="2"/>
  <c r="N1475" i="2"/>
  <c r="L1961" i="2"/>
  <c r="R1361" i="2"/>
  <c r="K1552" i="2"/>
  <c r="L1769" i="2"/>
  <c r="K1498" i="2"/>
  <c r="L1930" i="2"/>
  <c r="S1387" i="2"/>
  <c r="J1158" i="2"/>
  <c r="P1634" i="2"/>
  <c r="N2053" i="2"/>
  <c r="N1981" i="2"/>
  <c r="Q1340" i="2"/>
  <c r="K2061" i="2"/>
  <c r="K1718" i="2"/>
  <c r="R1308" i="2"/>
  <c r="T1315" i="2"/>
  <c r="K1626" i="2"/>
  <c r="K1650" i="2"/>
  <c r="R1805" i="2"/>
  <c r="K1624" i="2"/>
  <c r="K1566" i="2"/>
  <c r="T1433" i="2"/>
  <c r="S1346" i="2"/>
  <c r="O1948" i="2"/>
  <c r="R1433" i="2"/>
  <c r="K1629" i="2"/>
  <c r="L1237" i="2"/>
  <c r="M1510" i="2"/>
  <c r="N961" i="2"/>
  <c r="Q1472" i="2"/>
  <c r="L1981" i="2"/>
  <c r="L1365" i="2"/>
  <c r="K1504" i="2"/>
  <c r="Q1915" i="2"/>
  <c r="P2053" i="2"/>
  <c r="P1803" i="2"/>
  <c r="P1492" i="2"/>
  <c r="K1868" i="2"/>
  <c r="L1243" i="2"/>
  <c r="P1699" i="2"/>
  <c r="S1848" i="2"/>
  <c r="J1268" i="2"/>
  <c r="K1759" i="2"/>
  <c r="P1675" i="2"/>
  <c r="O1915" i="2"/>
  <c r="P1386" i="2"/>
  <c r="Q1644" i="2"/>
  <c r="T1644" i="2"/>
  <c r="L1366" i="2"/>
  <c r="O1161" i="2"/>
  <c r="M1513" i="2"/>
  <c r="S1415" i="2"/>
  <c r="S1246" i="2"/>
  <c r="K1360" i="2"/>
  <c r="S1385" i="2"/>
  <c r="N1377" i="2"/>
  <c r="S1929" i="2"/>
  <c r="P1688" i="2"/>
  <c r="R1396" i="2"/>
  <c r="T2066" i="2"/>
  <c r="N1555" i="2"/>
  <c r="N1018" i="2"/>
  <c r="K1466" i="2"/>
  <c r="T1130" i="2"/>
  <c r="J1661" i="2"/>
  <c r="K2001" i="2"/>
  <c r="U970" i="2"/>
  <c r="M1639" i="2"/>
  <c r="J1243" i="2"/>
  <c r="R1767" i="2"/>
  <c r="T1584" i="2"/>
  <c r="P1463" i="2"/>
  <c r="P1877" i="2"/>
  <c r="M1365" i="2"/>
  <c r="U1292" i="2"/>
  <c r="J1197" i="2"/>
  <c r="U776" i="2"/>
  <c r="K1882" i="2"/>
  <c r="U1775" i="2"/>
  <c r="K1101" i="2"/>
  <c r="P1574" i="2"/>
  <c r="K1742" i="2"/>
  <c r="U1704" i="2"/>
  <c r="R1915" i="2"/>
  <c r="S1541" i="2"/>
  <c r="S1450" i="2"/>
  <c r="U1397" i="2"/>
  <c r="L1137" i="2"/>
  <c r="L1931" i="2"/>
  <c r="J1523" i="2"/>
  <c r="T1249" i="2"/>
  <c r="S1861" i="2"/>
  <c r="U1793" i="2"/>
  <c r="T1226" i="2"/>
  <c r="K1497" i="2"/>
  <c r="U1447" i="2"/>
  <c r="T2107" i="2"/>
  <c r="P1750" i="2"/>
  <c r="P1152" i="2"/>
  <c r="K1560" i="2"/>
  <c r="T1192" i="2"/>
  <c r="J1258" i="2"/>
  <c r="O1147" i="2"/>
  <c r="R1211" i="2"/>
  <c r="K1203" i="2"/>
  <c r="J991" i="2"/>
  <c r="O790" i="2"/>
  <c r="M981" i="2"/>
  <c r="O1899" i="2"/>
  <c r="S1082" i="2"/>
  <c r="P1315" i="2"/>
  <c r="K1280" i="2"/>
  <c r="R1324" i="2"/>
  <c r="S976" i="2"/>
  <c r="P1370" i="2"/>
  <c r="U1086" i="2"/>
  <c r="O1029" i="2"/>
  <c r="R927" i="2"/>
  <c r="O1459" i="2"/>
  <c r="U1330" i="2"/>
  <c r="K949" i="2"/>
  <c r="K1401" i="2"/>
  <c r="P1172" i="2"/>
  <c r="O1239" i="2"/>
  <c r="M1400" i="2"/>
  <c r="L864" i="2"/>
  <c r="T1075" i="2"/>
  <c r="O1210" i="2"/>
  <c r="S1456" i="2"/>
  <c r="L1143" i="2"/>
  <c r="S1100" i="2"/>
  <c r="N1067" i="2"/>
  <c r="Q1173" i="2"/>
  <c r="L1367" i="2"/>
  <c r="S1250" i="2"/>
  <c r="Q1429" i="2"/>
  <c r="T1426" i="2"/>
  <c r="K1211" i="2"/>
  <c r="U1314" i="2"/>
  <c r="R1068" i="2"/>
  <c r="Q964" i="2"/>
  <c r="P1176" i="2"/>
  <c r="S859" i="2"/>
  <c r="T1181" i="2"/>
  <c r="M1627" i="2"/>
  <c r="P1429" i="2"/>
  <c r="O1152" i="2"/>
  <c r="N1045" i="2"/>
  <c r="M1119" i="2"/>
  <c r="P1174" i="2"/>
  <c r="Q924" i="2"/>
  <c r="R1249" i="2"/>
  <c r="P1192" i="2"/>
  <c r="R846" i="2"/>
  <c r="J735" i="2"/>
  <c r="N985" i="2"/>
  <c r="P1008" i="2"/>
  <c r="M1357" i="2"/>
  <c r="M1398" i="2"/>
  <c r="K1978" i="2"/>
  <c r="P1282" i="2"/>
  <c r="J1580" i="2"/>
  <c r="O1192" i="2"/>
  <c r="N2295" i="2"/>
  <c r="S1269" i="2"/>
  <c r="U1305" i="2"/>
  <c r="L1199" i="2"/>
  <c r="N1352" i="2"/>
  <c r="M1571" i="2"/>
  <c r="P1117" i="2"/>
  <c r="L1663" i="2"/>
  <c r="M1399" i="2"/>
  <c r="J1092" i="2"/>
  <c r="S1657" i="2"/>
  <c r="L1330" i="2"/>
  <c r="K1283" i="2"/>
  <c r="L1033" i="2"/>
  <c r="R1230" i="2"/>
  <c r="U1499" i="2"/>
  <c r="R1556" i="2"/>
  <c r="R1444" i="2"/>
  <c r="S1523" i="2"/>
  <c r="Q1290" i="2"/>
  <c r="J1735" i="2"/>
  <c r="P1666" i="2"/>
  <c r="R1277" i="2"/>
  <c r="R1136" i="2"/>
  <c r="L1476" i="2"/>
  <c r="U1403" i="2"/>
  <c r="S1521" i="2"/>
  <c r="O1351" i="2"/>
  <c r="M1536" i="2"/>
  <c r="S1097" i="2"/>
  <c r="J1262" i="2"/>
  <c r="R1491" i="2"/>
  <c r="J1718" i="2"/>
  <c r="N1467" i="2"/>
  <c r="U1176" i="2"/>
  <c r="O1032" i="2"/>
  <c r="L1826" i="2"/>
  <c r="T1341" i="2"/>
  <c r="Q1211" i="2"/>
  <c r="U1010" i="2"/>
  <c r="K1087" i="2"/>
  <c r="O1055" i="2"/>
  <c r="N1395" i="2"/>
  <c r="J695" i="2"/>
  <c r="J1061" i="2"/>
  <c r="N905" i="2"/>
  <c r="M1136" i="2"/>
  <c r="L578" i="2"/>
  <c r="N637" i="2"/>
  <c r="L1459" i="2"/>
  <c r="J1325" i="2"/>
  <c r="K789" i="2"/>
  <c r="K1460" i="2"/>
  <c r="T1551" i="2"/>
  <c r="M1669" i="2"/>
  <c r="U1015" i="2"/>
  <c r="T884" i="2"/>
  <c r="K764" i="2"/>
  <c r="M943" i="2"/>
  <c r="N883" i="2"/>
  <c r="L581" i="2"/>
  <c r="P1713" i="2"/>
  <c r="Q1148" i="2"/>
  <c r="O1073" i="2"/>
  <c r="R956" i="2"/>
  <c r="O1130" i="2"/>
  <c r="P787" i="2"/>
  <c r="U811" i="2"/>
  <c r="R1041" i="2"/>
  <c r="R1774" i="2"/>
  <c r="K1429" i="2"/>
  <c r="P1570" i="2"/>
  <c r="T1586" i="2"/>
  <c r="S1666" i="2"/>
  <c r="O1319" i="2"/>
  <c r="J1114" i="2"/>
  <c r="Q813" i="2"/>
  <c r="R972" i="2"/>
  <c r="L490" i="2"/>
  <c r="O1569" i="2"/>
  <c r="P713" i="2"/>
  <c r="P986" i="2"/>
  <c r="N1691" i="2"/>
  <c r="O1339" i="2"/>
  <c r="Q1284" i="2"/>
  <c r="U1281" i="2"/>
  <c r="Q930" i="2"/>
  <c r="S750" i="2"/>
  <c r="K989" i="2"/>
  <c r="O817" i="2"/>
  <c r="U557" i="2"/>
  <c r="U875" i="2"/>
  <c r="Q1195" i="2"/>
  <c r="P840" i="2"/>
  <c r="L470" i="2"/>
  <c r="Q1060" i="2"/>
  <c r="L1252" i="2"/>
  <c r="T958" i="2"/>
  <c r="N1029" i="2"/>
  <c r="Q1102" i="2"/>
  <c r="S1119" i="2"/>
  <c r="R1378" i="2"/>
  <c r="N582" i="2"/>
  <c r="T949" i="2"/>
  <c r="U1000" i="2"/>
  <c r="L759" i="2"/>
  <c r="T907" i="2"/>
  <c r="M1885" i="2"/>
  <c r="R1141" i="2"/>
  <c r="U1358" i="2"/>
  <c r="M1380" i="2"/>
  <c r="R961" i="2"/>
  <c r="Q1963" i="2"/>
  <c r="Q1092" i="2"/>
  <c r="S1241" i="2"/>
  <c r="M1752" i="2"/>
  <c r="R1002" i="2"/>
  <c r="R856" i="2"/>
  <c r="K824" i="2"/>
  <c r="K1003" i="2"/>
  <c r="N1166" i="2"/>
  <c r="T1298" i="2"/>
  <c r="N1296" i="2"/>
  <c r="Q1331" i="2"/>
  <c r="M1416" i="2"/>
  <c r="R1584" i="2"/>
  <c r="P1800" i="2"/>
  <c r="M1481" i="2"/>
  <c r="J2213" i="2"/>
  <c r="L1510" i="2"/>
  <c r="J1760" i="2"/>
  <c r="Q1720" i="2"/>
  <c r="U1852" i="2"/>
  <c r="L1021" i="2"/>
  <c r="P1985" i="2"/>
  <c r="P1708" i="2"/>
  <c r="O1853" i="2"/>
  <c r="U1404" i="2"/>
  <c r="L1566" i="2"/>
  <c r="P1503" i="2"/>
  <c r="L1512" i="2"/>
  <c r="T1288" i="2"/>
  <c r="J1299" i="2"/>
  <c r="Q1484" i="2"/>
  <c r="S1772" i="2"/>
  <c r="U1544" i="2"/>
  <c r="Q1433" i="2"/>
  <c r="Q1225" i="2"/>
  <c r="N1267" i="2"/>
  <c r="P1718" i="2"/>
  <c r="P1404" i="2"/>
  <c r="Q2024" i="2"/>
  <c r="O1780" i="2"/>
  <c r="T1685" i="2"/>
  <c r="N1393" i="2"/>
  <c r="P1095" i="2"/>
  <c r="M1426" i="2"/>
  <c r="J1842" i="2"/>
  <c r="N1618" i="2"/>
  <c r="K1154" i="2"/>
  <c r="O1352" i="2"/>
  <c r="K1985" i="2"/>
  <c r="T1829" i="2"/>
  <c r="T1316" i="2"/>
  <c r="T1626" i="2"/>
  <c r="R1575" i="2"/>
  <c r="J1471" i="2"/>
  <c r="J1170" i="2"/>
  <c r="J1553" i="2"/>
  <c r="J1934" i="2"/>
  <c r="J1485" i="2"/>
  <c r="J1399" i="2"/>
  <c r="L2021" i="2"/>
  <c r="M1573" i="2"/>
  <c r="R1996" i="2"/>
  <c r="T1941" i="2"/>
  <c r="K1899" i="2"/>
  <c r="K1561" i="2"/>
  <c r="M1057" i="2"/>
  <c r="R1124" i="2"/>
  <c r="O1233" i="2"/>
  <c r="R1264" i="2"/>
  <c r="Q1624" i="2"/>
  <c r="K1703" i="2"/>
  <c r="R1533" i="2"/>
  <c r="L1894" i="2"/>
  <c r="N1350" i="2"/>
  <c r="T1402" i="2"/>
  <c r="U1514" i="2"/>
  <c r="S1613" i="2"/>
  <c r="K1089" i="2"/>
  <c r="J1444" i="2"/>
  <c r="O1195" i="2"/>
  <c r="O1463" i="2"/>
  <c r="R1006" i="2"/>
  <c r="N1438" i="2"/>
  <c r="M1889" i="2"/>
  <c r="J1014" i="2"/>
  <c r="R825" i="2"/>
  <c r="N1323" i="2"/>
  <c r="O1839" i="2"/>
  <c r="M998" i="2"/>
  <c r="L1458" i="2"/>
  <c r="J1450" i="2"/>
  <c r="J1017" i="2"/>
  <c r="N1488" i="2"/>
  <c r="R1180" i="2"/>
  <c r="S821" i="2"/>
  <c r="L1466" i="2"/>
  <c r="T1088" i="2"/>
  <c r="N1497" i="2"/>
  <c r="O1511" i="2"/>
  <c r="Q1545" i="2"/>
  <c r="U1266" i="2"/>
  <c r="S1215" i="2"/>
  <c r="P1473" i="2"/>
  <c r="U1254" i="2"/>
  <c r="K807" i="2"/>
  <c r="K1129" i="2"/>
  <c r="T896" i="2"/>
  <c r="O1865" i="2"/>
  <c r="P1496" i="2"/>
  <c r="K1565" i="2"/>
  <c r="N1473" i="2"/>
  <c r="M1312" i="2"/>
  <c r="S983" i="2"/>
  <c r="M1265" i="2"/>
  <c r="U1235" i="2"/>
  <c r="U1161" i="2"/>
  <c r="N1223" i="2"/>
  <c r="P1221" i="2"/>
  <c r="P1120" i="2"/>
  <c r="O1913" i="2"/>
  <c r="P1206" i="2"/>
  <c r="J798" i="2"/>
  <c r="U796" i="2"/>
  <c r="K1937" i="2"/>
  <c r="K1533" i="2"/>
  <c r="N1321" i="2"/>
  <c r="S1067" i="2"/>
  <c r="P1196" i="2"/>
  <c r="T1310" i="2"/>
  <c r="R813" i="2"/>
  <c r="L1056" i="2"/>
  <c r="R983" i="2"/>
  <c r="O889" i="2"/>
  <c r="P1105" i="2"/>
  <c r="J1697" i="2"/>
  <c r="P721" i="2"/>
  <c r="K2031" i="2"/>
  <c r="U1649" i="2"/>
  <c r="N1173" i="2"/>
  <c r="O1129" i="2"/>
  <c r="L1125" i="2"/>
  <c r="L729" i="2"/>
  <c r="L1839" i="2"/>
  <c r="P1255" i="2"/>
  <c r="R1588" i="2"/>
  <c r="U1315" i="2"/>
  <c r="K1307" i="2"/>
  <c r="M1311" i="2"/>
  <c r="K1271" i="2"/>
  <c r="M1205" i="2"/>
  <c r="U1245" i="2"/>
  <c r="K1269" i="2"/>
  <c r="N1299" i="2"/>
  <c r="L1778" i="2"/>
  <c r="P1325" i="2"/>
  <c r="O1168" i="2"/>
  <c r="P1328" i="2"/>
  <c r="O1422" i="2"/>
  <c r="K1381" i="2"/>
  <c r="O1261" i="2"/>
  <c r="L1379" i="2"/>
  <c r="T1276" i="2"/>
  <c r="R1771" i="2"/>
  <c r="U1229" i="2"/>
  <c r="K1175" i="2"/>
  <c r="O1264" i="2"/>
  <c r="P1273" i="2"/>
  <c r="J1134" i="2"/>
  <c r="T1141" i="2"/>
  <c r="M1240" i="2"/>
  <c r="T1604" i="2"/>
  <c r="S1182" i="2"/>
  <c r="P1346" i="2"/>
  <c r="L1431" i="2"/>
  <c r="O1645" i="2"/>
  <c r="U1451" i="2"/>
  <c r="N1115" i="2"/>
  <c r="S710" i="2"/>
  <c r="L1340" i="2"/>
  <c r="P1178" i="2"/>
  <c r="T1041" i="2"/>
  <c r="R1227" i="2"/>
  <c r="M861" i="2"/>
  <c r="U1093" i="2"/>
  <c r="U1417" i="2"/>
  <c r="Q1201" i="2"/>
  <c r="N1190" i="2"/>
  <c r="K1054" i="2"/>
  <c r="Q553" i="2"/>
  <c r="N878" i="2"/>
  <c r="L563" i="2"/>
  <c r="T1693" i="2"/>
  <c r="O1281" i="2"/>
  <c r="O1329" i="2"/>
  <c r="Q824" i="2"/>
  <c r="M997" i="2"/>
  <c r="J1878" i="2"/>
  <c r="Q1220" i="2"/>
  <c r="O776" i="2"/>
  <c r="M1387" i="2"/>
  <c r="P1007" i="2"/>
  <c r="L618" i="2"/>
  <c r="N809" i="2"/>
  <c r="N1802" i="2"/>
  <c r="S1578" i="2"/>
  <c r="Q913" i="2"/>
  <c r="R1184" i="2"/>
  <c r="K1216" i="2"/>
  <c r="K861" i="2"/>
  <c r="R931" i="2"/>
  <c r="O849" i="2"/>
  <c r="R1401" i="2"/>
  <c r="J1048" i="2"/>
  <c r="Q1036" i="2"/>
  <c r="M1271" i="2"/>
  <c r="L2054" i="2"/>
  <c r="R1161" i="2"/>
  <c r="U1030" i="2"/>
  <c r="P1021" i="2"/>
  <c r="L920" i="2"/>
  <c r="S577" i="2"/>
  <c r="R1065" i="2"/>
  <c r="Q1138" i="2"/>
  <c r="J756" i="2"/>
  <c r="L1402" i="2"/>
  <c r="L1371" i="2"/>
  <c r="K1002" i="2"/>
  <c r="U1110" i="2"/>
  <c r="S965" i="2"/>
  <c r="M1381" i="2"/>
  <c r="O1058" i="2"/>
  <c r="Q775" i="2"/>
  <c r="O645" i="2"/>
  <c r="J834" i="2"/>
  <c r="K1041" i="2"/>
  <c r="K851" i="2"/>
  <c r="Q734" i="2"/>
  <c r="U1150" i="2"/>
  <c r="J1592" i="2"/>
  <c r="N1215" i="2"/>
  <c r="T1493" i="2"/>
  <c r="P861" i="2"/>
  <c r="S879" i="2"/>
  <c r="Q1204" i="2"/>
  <c r="Q1229" i="2"/>
  <c r="K957" i="2"/>
  <c r="S941" i="2"/>
  <c r="R889" i="2"/>
  <c r="N743" i="2"/>
  <c r="P1712" i="2"/>
  <c r="J1111" i="2"/>
  <c r="O1387" i="2"/>
  <c r="L1421" i="2"/>
  <c r="R1176" i="2"/>
  <c r="Q2128" i="2"/>
  <c r="S1275" i="2"/>
  <c r="S862" i="2"/>
  <c r="P1064" i="2"/>
  <c r="T1087" i="2"/>
  <c r="M977" i="2"/>
  <c r="K856" i="2"/>
  <c r="R1979" i="2"/>
  <c r="R1570" i="2"/>
  <c r="P1616" i="2"/>
  <c r="O1454" i="2"/>
  <c r="P1419" i="2"/>
  <c r="J1778" i="2"/>
  <c r="R1171" i="2"/>
  <c r="L2189" i="2"/>
  <c r="J2178" i="2"/>
  <c r="Q1862" i="2"/>
  <c r="O1900" i="2"/>
  <c r="Q1214" i="2"/>
  <c r="M1892" i="2"/>
  <c r="T1683" i="2"/>
  <c r="N969" i="2"/>
  <c r="U1599" i="2"/>
  <c r="P2245" i="2"/>
  <c r="Q1564" i="2"/>
  <c r="S1642" i="2"/>
  <c r="S1511" i="2"/>
  <c r="O1344" i="2"/>
  <c r="L1100" i="2"/>
  <c r="J1412" i="2"/>
  <c r="U1611" i="2"/>
  <c r="M1352" i="2"/>
  <c r="S1794" i="2"/>
  <c r="P1810" i="2"/>
  <c r="J1310" i="2"/>
  <c r="T1294" i="2"/>
  <c r="U1655" i="2"/>
  <c r="L1494" i="2"/>
  <c r="N1257" i="2"/>
  <c r="S1825" i="2"/>
  <c r="T1358" i="2"/>
  <c r="T1259" i="2"/>
  <c r="K1289" i="2"/>
  <c r="N1288" i="2"/>
  <c r="R1678" i="2"/>
  <c r="K1319" i="2"/>
  <c r="Q1383" i="2"/>
  <c r="N1385" i="2"/>
  <c r="U1259" i="2"/>
  <c r="N1947" i="2"/>
  <c r="S1261" i="2"/>
  <c r="N1213" i="2"/>
  <c r="O1955" i="2"/>
  <c r="T1593" i="2"/>
  <c r="Q1175" i="2"/>
  <c r="U1244" i="2"/>
  <c r="N1975" i="2"/>
  <c r="M1776" i="2"/>
  <c r="Q1404" i="2"/>
  <c r="Q1455" i="2"/>
  <c r="O1783" i="2"/>
  <c r="T1335" i="2"/>
  <c r="N1349" i="2"/>
  <c r="T1870" i="2"/>
  <c r="T1628" i="2"/>
  <c r="U1207" i="2"/>
  <c r="L1361" i="2"/>
  <c r="U1242" i="2"/>
  <c r="P701" i="2"/>
  <c r="L1189" i="2"/>
  <c r="S1414" i="2"/>
  <c r="N1760" i="2"/>
  <c r="O1656" i="2"/>
  <c r="Q1957" i="2"/>
  <c r="P1865" i="2"/>
  <c r="M1522" i="2"/>
  <c r="L1325" i="2"/>
  <c r="J1408" i="2"/>
  <c r="K1577" i="2"/>
  <c r="M1286" i="2"/>
  <c r="K1410" i="2"/>
  <c r="J1295" i="2"/>
  <c r="J895" i="2"/>
  <c r="L1376" i="2"/>
  <c r="O1104" i="2"/>
  <c r="N1021" i="2"/>
  <c r="J1133" i="2"/>
  <c r="L1331" i="2"/>
  <c r="J1372" i="2"/>
  <c r="T1037" i="2"/>
  <c r="J1140" i="2"/>
  <c r="U1232" i="2"/>
  <c r="L1068" i="2"/>
  <c r="L1409" i="2"/>
  <c r="U1854" i="2"/>
  <c r="T1459" i="2"/>
  <c r="J909" i="2"/>
  <c r="U1554" i="2"/>
  <c r="N1465" i="2"/>
  <c r="R1987" i="2"/>
  <c r="N1208" i="2"/>
  <c r="U1029" i="2"/>
  <c r="S1388" i="2"/>
  <c r="J1324" i="2"/>
  <c r="U1132" i="2"/>
  <c r="K1138" i="2"/>
  <c r="U822" i="2"/>
  <c r="Q1045" i="2"/>
  <c r="K1576" i="2"/>
  <c r="Q1746" i="2"/>
  <c r="K1710" i="2"/>
  <c r="S1127" i="2"/>
  <c r="J1380" i="2"/>
  <c r="Q1488" i="2"/>
  <c r="M1359" i="2"/>
  <c r="Q887" i="2"/>
  <c r="M1237" i="2"/>
  <c r="N1150" i="2"/>
  <c r="U1119" i="2"/>
  <c r="O1447" i="2"/>
  <c r="N1020" i="2"/>
  <c r="N1182" i="2"/>
  <c r="M1167" i="2"/>
  <c r="O927" i="2"/>
  <c r="P1855" i="2"/>
  <c r="Q1387" i="2"/>
  <c r="K1160" i="2"/>
  <c r="K849" i="2"/>
  <c r="T1221" i="2"/>
  <c r="U1234" i="2"/>
  <c r="N727" i="2"/>
  <c r="U1184" i="2"/>
  <c r="T1523" i="2"/>
  <c r="U1247" i="2"/>
  <c r="T976" i="2"/>
  <c r="R1027" i="2"/>
  <c r="N864" i="2"/>
  <c r="N1329" i="2"/>
  <c r="K1670" i="2"/>
  <c r="P1163" i="2"/>
  <c r="U1068" i="2"/>
  <c r="O1766" i="2"/>
  <c r="J1002" i="2"/>
  <c r="R1730" i="2"/>
  <c r="P1248" i="2"/>
  <c r="N1245" i="2"/>
  <c r="N1216" i="2"/>
  <c r="J1381" i="2"/>
  <c r="S1356" i="2"/>
  <c r="O1567" i="2"/>
  <c r="O1326" i="2"/>
  <c r="P1086" i="2"/>
  <c r="K1051" i="2"/>
  <c r="O1670" i="2"/>
  <c r="N1332" i="2"/>
  <c r="P1202" i="2"/>
  <c r="S2111" i="2"/>
  <c r="M1382" i="2"/>
  <c r="O1160" i="2"/>
  <c r="J1246" i="2"/>
  <c r="N1472" i="2"/>
  <c r="O1318" i="2"/>
  <c r="N1455" i="2"/>
  <c r="R1876" i="2"/>
  <c r="R1392" i="2"/>
  <c r="Q1287" i="2"/>
  <c r="S1352" i="2"/>
  <c r="K1685" i="2"/>
  <c r="R1297" i="2"/>
  <c r="M1483" i="2"/>
  <c r="S1437" i="2"/>
  <c r="L1415" i="2"/>
  <c r="O1527" i="2"/>
  <c r="T1838" i="2"/>
  <c r="L1284" i="2"/>
  <c r="L1669" i="2"/>
  <c r="U1209" i="2"/>
  <c r="N1176" i="2"/>
  <c r="U1606" i="2"/>
  <c r="T1947" i="2"/>
  <c r="L1650" i="2"/>
  <c r="M1245" i="2"/>
  <c r="T1878" i="2"/>
  <c r="U1318" i="2"/>
  <c r="N1891" i="2"/>
  <c r="U2160" i="2"/>
  <c r="L1332" i="2"/>
  <c r="P1569" i="2"/>
  <c r="J1652" i="2"/>
  <c r="M1773" i="2"/>
  <c r="O1257" i="2"/>
  <c r="J1582" i="2"/>
  <c r="T1439" i="2"/>
  <c r="M2011" i="2"/>
  <c r="O1503" i="2"/>
  <c r="U1608" i="2"/>
  <c r="R1415" i="2"/>
  <c r="O1462" i="2"/>
  <c r="T1270" i="2"/>
  <c r="T1811" i="2"/>
  <c r="K1115" i="2"/>
  <c r="J1824" i="2"/>
  <c r="N1510" i="2"/>
  <c r="K1308" i="2"/>
  <c r="K1693" i="2"/>
  <c r="J1277" i="2"/>
  <c r="L1515" i="2"/>
  <c r="L1558" i="2"/>
  <c r="Q1149" i="2"/>
  <c r="S1534" i="2"/>
  <c r="K1516" i="2"/>
  <c r="L1154" i="2"/>
  <c r="T1054" i="2"/>
  <c r="N1607" i="2"/>
  <c r="U1710" i="2"/>
  <c r="M1624" i="2"/>
  <c r="L1368" i="2"/>
  <c r="K1426" i="2"/>
  <c r="K1968" i="2"/>
  <c r="R1717" i="2"/>
  <c r="T1099" i="2"/>
  <c r="J1058" i="2"/>
  <c r="U1700" i="2"/>
  <c r="L1533" i="2"/>
  <c r="R1270" i="2"/>
  <c r="L1490" i="2"/>
  <c r="O1396" i="2"/>
  <c r="Q1400" i="2"/>
  <c r="T1286" i="2"/>
  <c r="O1473" i="2"/>
  <c r="P1459" i="2"/>
  <c r="M1044" i="2"/>
  <c r="T1445" i="2"/>
  <c r="L1438" i="2"/>
  <c r="N1849" i="2"/>
  <c r="L1617" i="2"/>
  <c r="L1816" i="2"/>
  <c r="K1239" i="2"/>
  <c r="S1593" i="2"/>
  <c r="Q1398" i="2"/>
  <c r="M1421" i="2"/>
  <c r="S1654" i="2"/>
  <c r="U1567" i="2"/>
  <c r="L1564" i="2"/>
  <c r="T1494" i="2"/>
  <c r="R1333" i="2"/>
  <c r="P1360" i="2"/>
  <c r="J1249" i="2"/>
  <c r="Q1171" i="2"/>
  <c r="P1035" i="2"/>
  <c r="M795" i="2"/>
  <c r="U1049" i="2"/>
  <c r="K991" i="2"/>
  <c r="J1331" i="2"/>
  <c r="K1053" i="2"/>
  <c r="O1207" i="2"/>
  <c r="M1266" i="2"/>
  <c r="U1097" i="2"/>
  <c r="M1372" i="2"/>
  <c r="M1206" i="2"/>
  <c r="U1105" i="2"/>
  <c r="J755" i="2"/>
  <c r="L1139" i="2"/>
  <c r="J1741" i="2"/>
  <c r="K1532" i="2"/>
  <c r="U1924" i="2"/>
  <c r="L1417" i="2"/>
  <c r="N966" i="2"/>
  <c r="Q1323" i="2"/>
  <c r="Q1215" i="2"/>
  <c r="P1012" i="2"/>
  <c r="R1395" i="2"/>
  <c r="S1115" i="2"/>
  <c r="T1415" i="2"/>
  <c r="N1441" i="2"/>
  <c r="Q1462" i="2"/>
  <c r="U1829" i="2"/>
  <c r="R1056" i="2"/>
  <c r="K1427" i="2"/>
  <c r="M1640" i="2"/>
  <c r="R1863" i="2"/>
  <c r="J1159" i="2"/>
  <c r="S1197" i="2"/>
  <c r="L1238" i="2"/>
  <c r="O1430" i="2"/>
  <c r="R1106" i="2"/>
  <c r="N1001" i="2"/>
  <c r="R988" i="2"/>
  <c r="P856" i="2"/>
  <c r="R1220" i="2"/>
  <c r="S1367" i="2"/>
  <c r="T1147" i="2"/>
  <c r="U1350" i="2"/>
  <c r="O1099" i="2"/>
  <c r="U1008" i="2"/>
  <c r="L1861" i="2"/>
  <c r="N1541" i="2"/>
  <c r="Q1076" i="2"/>
  <c r="R1251" i="2"/>
  <c r="R978" i="2"/>
  <c r="Q1432" i="2"/>
  <c r="J1678" i="2"/>
  <c r="N1221" i="2"/>
  <c r="M1151" i="2"/>
  <c r="T1145" i="2"/>
  <c r="T1621" i="2"/>
  <c r="U1264" i="2"/>
  <c r="P1424" i="2"/>
  <c r="J1879" i="2"/>
  <c r="U1703" i="2"/>
  <c r="N1211" i="2"/>
  <c r="R1215" i="2"/>
  <c r="S1141" i="2"/>
  <c r="K1224" i="2"/>
  <c r="K806" i="2"/>
  <c r="N1394" i="2"/>
  <c r="M1757" i="2"/>
  <c r="R1519" i="2"/>
  <c r="M1241" i="2"/>
  <c r="N1226" i="2"/>
  <c r="S1300" i="2"/>
  <c r="K1639" i="2"/>
  <c r="S1525" i="2"/>
  <c r="Q1580" i="2"/>
  <c r="T1214" i="2"/>
  <c r="R1050" i="2"/>
  <c r="P1288" i="2"/>
  <c r="R1275" i="2"/>
  <c r="P1625" i="2"/>
  <c r="R1217" i="2"/>
  <c r="T1308" i="2"/>
  <c r="J1203" i="2"/>
  <c r="L1328" i="2"/>
  <c r="P1191" i="2"/>
  <c r="Q1061" i="2"/>
  <c r="S1357" i="2"/>
  <c r="U1171" i="2"/>
  <c r="L1892" i="2"/>
  <c r="Q1438" i="2"/>
  <c r="Q1168" i="2"/>
  <c r="L1382" i="2"/>
  <c r="R1534" i="2"/>
  <c r="M949" i="2"/>
  <c r="K1258" i="2"/>
  <c r="Q1193" i="2"/>
  <c r="Q1513" i="2"/>
  <c r="U1469" i="2"/>
  <c r="M1238" i="2"/>
  <c r="O908" i="2"/>
  <c r="L1080" i="2"/>
  <c r="M824" i="2"/>
  <c r="Q651" i="2"/>
  <c r="P1023" i="2"/>
  <c r="Q616" i="2"/>
  <c r="P797" i="2"/>
  <c r="J793" i="2"/>
  <c r="L421" i="2"/>
  <c r="K1644" i="2"/>
  <c r="M1394" i="2"/>
  <c r="M1558" i="2"/>
  <c r="U1456" i="2"/>
  <c r="P998" i="2"/>
  <c r="N1078" i="2"/>
  <c r="U842" i="2"/>
  <c r="R628" i="2"/>
  <c r="T1023" i="2"/>
  <c r="S1401" i="2"/>
  <c r="Q1207" i="2"/>
  <c r="S672" i="2"/>
  <c r="U1637" i="2"/>
  <c r="P995" i="2"/>
  <c r="U1138" i="2"/>
  <c r="J1185" i="2"/>
  <c r="O787" i="2"/>
  <c r="L908" i="2"/>
  <c r="Q1071" i="2"/>
  <c r="U778" i="2"/>
  <c r="U1379" i="2"/>
  <c r="J1674" i="2"/>
  <c r="L878" i="2"/>
  <c r="O1316" i="2"/>
  <c r="Q1130" i="2"/>
  <c r="M827" i="2"/>
  <c r="P1112" i="2"/>
  <c r="J814" i="2"/>
  <c r="S505" i="2"/>
  <c r="J861" i="2"/>
  <c r="U998" i="2"/>
  <c r="L970" i="2"/>
  <c r="R874" i="2"/>
  <c r="T1111" i="2"/>
  <c r="N1434" i="2"/>
  <c r="U1421" i="2"/>
  <c r="P1362" i="2"/>
  <c r="N1032" i="2"/>
  <c r="R1016" i="2"/>
  <c r="S1329" i="2"/>
  <c r="R854" i="2"/>
  <c r="K987" i="2"/>
  <c r="P733" i="2"/>
  <c r="N918" i="2"/>
  <c r="P548" i="2"/>
  <c r="L716" i="2"/>
  <c r="K1197" i="2"/>
  <c r="K2054" i="2"/>
  <c r="P1136" i="2"/>
  <c r="R1018" i="2"/>
  <c r="N1030" i="2"/>
  <c r="O1022" i="2"/>
  <c r="O1660" i="2"/>
  <c r="M1187" i="2"/>
  <c r="S688" i="2"/>
  <c r="L524" i="2"/>
  <c r="U1213" i="2"/>
  <c r="O1075" i="2"/>
  <c r="U2197" i="2"/>
  <c r="R1367" i="2"/>
  <c r="K1166" i="2"/>
  <c r="K1083" i="2"/>
  <c r="Q1106" i="2"/>
  <c r="M1846" i="2"/>
  <c r="K1099" i="2"/>
  <c r="Q1110" i="2"/>
  <c r="P1114" i="2"/>
  <c r="P813" i="2"/>
  <c r="L931" i="2"/>
  <c r="J1064" i="2"/>
  <c r="O1542" i="2"/>
  <c r="M1053" i="2"/>
  <c r="R1149" i="2"/>
  <c r="T1478" i="2"/>
  <c r="K1301" i="2"/>
  <c r="P1608" i="2"/>
  <c r="U1994" i="2"/>
  <c r="T1682" i="2"/>
  <c r="S1466" i="2"/>
  <c r="Q1288" i="2"/>
  <c r="L1391" i="2"/>
  <c r="S1905" i="2"/>
  <c r="J1725" i="2"/>
  <c r="K1151" i="2"/>
  <c r="R1366" i="2"/>
  <c r="S1827" i="2"/>
  <c r="Q1633" i="2"/>
  <c r="O1038" i="2"/>
  <c r="J1853" i="2"/>
  <c r="S1921" i="2"/>
  <c r="J1282" i="2"/>
  <c r="J1347" i="2"/>
  <c r="L1712" i="2"/>
  <c r="R1574" i="2"/>
  <c r="N1766" i="2"/>
  <c r="U1367" i="2"/>
  <c r="Q1249" i="2"/>
  <c r="M1446" i="2"/>
  <c r="K1708" i="2"/>
  <c r="L1622" i="2"/>
  <c r="S1321" i="2"/>
  <c r="S1689" i="2"/>
  <c r="R1470" i="2"/>
  <c r="L1472" i="2"/>
  <c r="O1362" i="2"/>
  <c r="T1234" i="2"/>
  <c r="J1733" i="2"/>
  <c r="R1735" i="2"/>
  <c r="T1058" i="2"/>
  <c r="T1034" i="2"/>
  <c r="R1015" i="2"/>
  <c r="U1623" i="2"/>
  <c r="M1735" i="2"/>
  <c r="K1633" i="2"/>
  <c r="R1916" i="2"/>
  <c r="Q1749" i="2"/>
  <c r="U1303" i="2"/>
  <c r="T995" i="2"/>
  <c r="U1202" i="2"/>
  <c r="P1286" i="2"/>
  <c r="S1633" i="2"/>
  <c r="J1566" i="2"/>
  <c r="S1302" i="2"/>
  <c r="M1254" i="2"/>
  <c r="Q1772" i="2"/>
  <c r="S1608" i="2"/>
  <c r="U1268" i="2"/>
  <c r="U1571" i="2"/>
  <c r="L1236" i="2"/>
  <c r="L1248" i="2"/>
  <c r="U1344" i="2"/>
  <c r="L1682" i="2"/>
  <c r="P1676" i="2"/>
  <c r="S1359" i="2"/>
  <c r="U1756" i="2"/>
  <c r="J1275" i="2"/>
  <c r="N1295" i="2"/>
  <c r="K1409" i="2"/>
  <c r="M1650" i="2"/>
  <c r="P1633" i="2"/>
  <c r="P1857" i="2"/>
  <c r="P1657" i="2"/>
  <c r="U1586" i="2"/>
  <c r="Q1786" i="2"/>
  <c r="Q1312" i="2"/>
  <c r="K1304" i="2"/>
  <c r="K932" i="2"/>
  <c r="K918" i="2"/>
  <c r="T816" i="2"/>
  <c r="J745" i="2"/>
  <c r="T1554" i="2"/>
  <c r="T1386" i="2"/>
  <c r="K1200" i="2"/>
  <c r="U1228" i="2"/>
  <c r="M962" i="2"/>
  <c r="T1174" i="2"/>
  <c r="J1320" i="2"/>
  <c r="T1154" i="2"/>
  <c r="K1189" i="2"/>
  <c r="K1164" i="2"/>
  <c r="Q1872" i="2"/>
  <c r="O964" i="2"/>
  <c r="N1355" i="2"/>
  <c r="N1337" i="2"/>
  <c r="K852" i="2"/>
  <c r="Q1234" i="2"/>
  <c r="S1316" i="2"/>
  <c r="U787" i="2"/>
  <c r="S1178" i="2"/>
  <c r="R995" i="2"/>
  <c r="M1328" i="2"/>
  <c r="U1351" i="2"/>
  <c r="K1094" i="2"/>
  <c r="P1198" i="2"/>
  <c r="U1120" i="2"/>
  <c r="M1183" i="2"/>
  <c r="N1522" i="2"/>
  <c r="P1036" i="2"/>
  <c r="P1047" i="2"/>
  <c r="L1395" i="2"/>
  <c r="R1262" i="2"/>
  <c r="L1099" i="2"/>
  <c r="P950" i="2"/>
  <c r="S1156" i="2"/>
  <c r="M934" i="2"/>
  <c r="J1665" i="2"/>
  <c r="O1700" i="2"/>
  <c r="L1629" i="2"/>
  <c r="U819" i="2"/>
  <c r="R1376" i="2"/>
  <c r="U1796" i="2"/>
  <c r="R1508" i="2"/>
  <c r="M1321" i="2"/>
  <c r="N1571" i="2"/>
  <c r="S956" i="2"/>
  <c r="M1089" i="2"/>
  <c r="N1243" i="2"/>
  <c r="P907" i="2"/>
  <c r="L1314" i="2"/>
  <c r="J1617" i="2"/>
  <c r="T1669" i="2"/>
  <c r="Q1660" i="2"/>
  <c r="T1528" i="2"/>
  <c r="L1181" i="2"/>
  <c r="P1262" i="2"/>
  <c r="U1668" i="2"/>
  <c r="M1411" i="2"/>
  <c r="N1101" i="2"/>
  <c r="U1186" i="2"/>
  <c r="J1012" i="2"/>
  <c r="R1112" i="2"/>
  <c r="N701" i="2"/>
  <c r="Q1706" i="2"/>
  <c r="J1473" i="2"/>
  <c r="R1063" i="2"/>
  <c r="J1513" i="2"/>
  <c r="S1585" i="2"/>
  <c r="T1668" i="2"/>
  <c r="S1404" i="2"/>
  <c r="P1338" i="2"/>
  <c r="S1463" i="2"/>
  <c r="S1262" i="2"/>
  <c r="J1131" i="2"/>
  <c r="O1522" i="2"/>
  <c r="K1016" i="2"/>
  <c r="J1708" i="2"/>
  <c r="L1369" i="2"/>
  <c r="Q1426" i="2"/>
  <c r="T1986" i="2"/>
  <c r="S1287" i="2"/>
  <c r="J1538" i="2"/>
  <c r="L1692" i="2"/>
  <c r="K1182" i="2"/>
  <c r="Q1022" i="2"/>
  <c r="U1325" i="2"/>
  <c r="K1404" i="2"/>
  <c r="S1102" i="2"/>
  <c r="L1534" i="2"/>
  <c r="T1977" i="2"/>
  <c r="N1680" i="2"/>
  <c r="S1417" i="2"/>
  <c r="O1021" i="2"/>
  <c r="M1596" i="2"/>
  <c r="Q973" i="2"/>
  <c r="N1293" i="2"/>
  <c r="T935" i="2"/>
  <c r="P979" i="2"/>
  <c r="O1249" i="2"/>
  <c r="O1156" i="2"/>
  <c r="J959" i="2"/>
  <c r="S1173" i="2"/>
  <c r="S1242" i="2"/>
  <c r="U918" i="2"/>
  <c r="K726" i="2"/>
  <c r="L1452" i="2"/>
  <c r="S1093" i="2"/>
  <c r="N1037" i="2"/>
  <c r="P1618" i="2"/>
  <c r="S1126" i="2"/>
  <c r="R1051" i="2"/>
  <c r="O1703" i="2"/>
  <c r="R720" i="2"/>
  <c r="M851" i="2"/>
  <c r="T786" i="2"/>
  <c r="Q934" i="2"/>
  <c r="Q598" i="2"/>
  <c r="Q1299" i="2"/>
  <c r="P1279" i="2"/>
  <c r="Q1553" i="2"/>
  <c r="J1290" i="2"/>
  <c r="M910" i="2"/>
  <c r="U996" i="2"/>
  <c r="K769" i="2"/>
  <c r="N496" i="2"/>
  <c r="Q1767" i="2"/>
  <c r="M1460" i="2"/>
  <c r="Q1127" i="2"/>
  <c r="T1126" i="2"/>
  <c r="U816" i="2"/>
  <c r="U1197" i="2"/>
  <c r="K1316" i="2"/>
  <c r="J595" i="2"/>
  <c r="K1204" i="2"/>
  <c r="J773" i="2"/>
  <c r="L940" i="2"/>
  <c r="L1378" i="2"/>
  <c r="N537" i="2"/>
  <c r="Q1259" i="2"/>
  <c r="S1351" i="2"/>
  <c r="U1251" i="2"/>
  <c r="M1222" i="2"/>
  <c r="U887" i="2"/>
  <c r="P1595" i="2"/>
  <c r="T942" i="2"/>
  <c r="R528" i="2"/>
  <c r="U866" i="2"/>
  <c r="P925" i="2"/>
  <c r="U894" i="2"/>
  <c r="S572" i="2"/>
  <c r="J2052" i="2"/>
  <c r="K1047" i="2"/>
  <c r="O1180" i="2"/>
  <c r="T1325" i="2"/>
  <c r="O1203" i="2"/>
  <c r="S1218" i="2"/>
  <c r="R1004" i="2"/>
  <c r="Q936" i="2"/>
  <c r="T892" i="2"/>
  <c r="N1012" i="2"/>
  <c r="P1014" i="2"/>
  <c r="T948" i="2"/>
  <c r="L974" i="2"/>
  <c r="J1451" i="2"/>
  <c r="M1146" i="2"/>
  <c r="K1136" i="2"/>
  <c r="U1508" i="2"/>
  <c r="S922" i="2"/>
  <c r="N1058" i="2"/>
  <c r="Q1186" i="2"/>
  <c r="L1095" i="2"/>
  <c r="T1979" i="2"/>
  <c r="T774" i="2"/>
  <c r="U1190" i="2"/>
  <c r="J1022" i="2"/>
  <c r="U1290" i="2"/>
  <c r="L1497" i="2"/>
  <c r="P1560" i="2"/>
  <c r="S1312" i="2"/>
  <c r="R994" i="2"/>
  <c r="N1490" i="2"/>
  <c r="N1262" i="2"/>
  <c r="L1429" i="2"/>
  <c r="K1907" i="2"/>
  <c r="S2011" i="2"/>
  <c r="M1225" i="2"/>
  <c r="O1847" i="2"/>
  <c r="T1312" i="2"/>
  <c r="K1342" i="2"/>
  <c r="R1241" i="2"/>
  <c r="L1632" i="2"/>
  <c r="N1987" i="2"/>
  <c r="N1588" i="2"/>
  <c r="K1322" i="2"/>
  <c r="J1568" i="2"/>
  <c r="T1361" i="2"/>
  <c r="Q1227" i="2"/>
  <c r="N1162" i="2"/>
  <c r="L1846" i="2"/>
  <c r="M1188" i="2"/>
  <c r="Q1593" i="2"/>
  <c r="O1042" i="2"/>
  <c r="J1436" i="2"/>
  <c r="U1374" i="2"/>
  <c r="K1683" i="2"/>
  <c r="J1078" i="2"/>
  <c r="R1030" i="2"/>
  <c r="O1763" i="2"/>
  <c r="N1928" i="2"/>
  <c r="T1138" i="2"/>
  <c r="U1467" i="2"/>
  <c r="Q1252" i="2"/>
  <c r="J1492" i="2"/>
  <c r="R1567" i="2"/>
  <c r="U1038" i="2"/>
  <c r="N1913" i="2"/>
  <c r="U1145" i="2"/>
  <c r="P1453" i="2"/>
  <c r="P1843" i="2"/>
  <c r="J1416" i="2"/>
  <c r="J1680" i="2"/>
  <c r="L1747" i="2"/>
  <c r="N2119" i="2"/>
  <c r="N1019" i="2"/>
  <c r="T1509" i="2"/>
  <c r="T1306" i="2"/>
  <c r="T1758" i="2"/>
  <c r="T1209" i="2"/>
  <c r="P2123" i="2"/>
  <c r="U1698" i="2"/>
  <c r="P1363" i="2"/>
  <c r="S2031" i="2"/>
  <c r="S1533" i="2"/>
  <c r="S1055" i="2"/>
  <c r="S1152" i="2"/>
  <c r="J1387" i="2"/>
  <c r="U1173" i="2"/>
  <c r="P1868" i="2"/>
  <c r="K1449" i="2"/>
  <c r="S2121" i="2"/>
  <c r="U1565" i="2"/>
  <c r="L1806" i="2"/>
  <c r="R1600" i="2"/>
  <c r="J1968" i="2"/>
  <c r="T1851" i="2"/>
  <c r="T1605" i="2"/>
  <c r="J1825" i="2"/>
  <c r="K1074" i="2"/>
  <c r="M1353" i="2"/>
  <c r="Q1399" i="2"/>
  <c r="O984" i="2"/>
  <c r="R1007" i="2"/>
  <c r="Q776" i="2"/>
  <c r="P939" i="2"/>
  <c r="R939" i="2"/>
  <c r="N1970" i="2"/>
  <c r="O1251" i="2"/>
  <c r="O1302" i="2"/>
  <c r="L958" i="2"/>
  <c r="O1276" i="2"/>
  <c r="L861" i="2"/>
  <c r="N1054" i="2"/>
  <c r="N1313" i="2"/>
  <c r="M1290" i="2"/>
  <c r="L1576" i="2"/>
  <c r="N841" i="2"/>
  <c r="Q1329" i="2"/>
  <c r="N1002" i="2"/>
  <c r="O1419" i="2"/>
  <c r="O1123" i="2"/>
  <c r="U728" i="2"/>
  <c r="U1482" i="2"/>
  <c r="T1216" i="2"/>
  <c r="O1108" i="2"/>
  <c r="P1037" i="2"/>
  <c r="O1308" i="2"/>
  <c r="S1804" i="2"/>
  <c r="Q1219" i="2"/>
  <c r="T1179" i="2"/>
  <c r="U950" i="2"/>
  <c r="K1214" i="2"/>
  <c r="R1683" i="2"/>
  <c r="T1502" i="2"/>
  <c r="L1684" i="2"/>
  <c r="Q1077" i="2"/>
  <c r="U1175" i="2"/>
  <c r="K960" i="2"/>
  <c r="O1275" i="2"/>
  <c r="M1050" i="2"/>
  <c r="Q1417" i="2"/>
  <c r="K1073" i="2"/>
  <c r="M1029" i="2"/>
  <c r="P1812" i="2"/>
  <c r="N1535" i="2"/>
  <c r="M1575" i="2"/>
  <c r="R2111" i="2"/>
  <c r="L1580" i="2"/>
  <c r="U1248" i="2"/>
  <c r="O1015" i="2"/>
  <c r="T1262" i="2"/>
  <c r="K1384" i="2"/>
  <c r="T822" i="2"/>
  <c r="U1053" i="2"/>
  <c r="P753" i="2"/>
  <c r="Q2153" i="2"/>
  <c r="Q1332" i="2"/>
  <c r="T1151" i="2"/>
  <c r="K1270" i="2"/>
  <c r="T1482" i="2"/>
  <c r="J1046" i="2"/>
  <c r="O1206" i="2"/>
  <c r="R1562" i="2"/>
  <c r="R1537" i="2"/>
  <c r="T1091" i="2"/>
  <c r="O1011" i="2"/>
  <c r="S1017" i="2"/>
  <c r="N1209" i="2"/>
  <c r="K1011" i="2"/>
  <c r="M1737" i="2"/>
  <c r="L1461" i="2"/>
  <c r="P1061" i="2"/>
  <c r="R1020" i="2"/>
  <c r="P1501" i="2"/>
  <c r="N1250" i="2"/>
  <c r="R1552" i="2"/>
  <c r="P1729" i="2"/>
  <c r="K1418" i="2"/>
  <c r="Q1349" i="2"/>
  <c r="K1309" i="2"/>
  <c r="Q1189" i="2"/>
  <c r="S987" i="2"/>
  <c r="T1146" i="2"/>
  <c r="Q1703" i="2"/>
  <c r="J1318" i="2"/>
  <c r="Q1947" i="2"/>
  <c r="L1123" i="2"/>
  <c r="O1165" i="2"/>
  <c r="L1680" i="2"/>
  <c r="M1324" i="2"/>
  <c r="T1684" i="2"/>
  <c r="L1664" i="2"/>
  <c r="K1202" i="2"/>
  <c r="N1596" i="2"/>
  <c r="K1640" i="2"/>
  <c r="J1567" i="2"/>
  <c r="P1510" i="2"/>
  <c r="K1484" i="2"/>
  <c r="U1487" i="2"/>
  <c r="O1340" i="2"/>
  <c r="T1243" i="2"/>
  <c r="J1138" i="2"/>
  <c r="K1792" i="2"/>
  <c r="L1016" i="2"/>
  <c r="Q1051" i="2"/>
  <c r="R999" i="2"/>
  <c r="T1014" i="2"/>
  <c r="L741" i="2"/>
  <c r="U845" i="2"/>
  <c r="M926" i="2"/>
  <c r="L828" i="2"/>
  <c r="N1304" i="2"/>
  <c r="J1321" i="2"/>
  <c r="J1192" i="2"/>
  <c r="M1470" i="2"/>
  <c r="O1347" i="2"/>
  <c r="U1140" i="2"/>
  <c r="L996" i="2"/>
  <c r="T1167" i="2"/>
  <c r="N806" i="2"/>
  <c r="J851" i="2"/>
  <c r="U1118" i="2"/>
  <c r="Q504" i="2"/>
  <c r="U1162" i="2"/>
  <c r="M1291" i="2"/>
  <c r="S1358" i="2"/>
  <c r="M1226" i="2"/>
  <c r="K776" i="2"/>
  <c r="S1258" i="2"/>
  <c r="O750" i="2"/>
  <c r="U583" i="2"/>
  <c r="L1998" i="2"/>
  <c r="J957" i="2"/>
  <c r="Q1270" i="2"/>
  <c r="K1412" i="2"/>
  <c r="K1113" i="2"/>
  <c r="N874" i="2"/>
  <c r="S1254" i="2"/>
  <c r="N733" i="2"/>
  <c r="T868" i="2"/>
  <c r="Q906" i="2"/>
  <c r="K911" i="2"/>
  <c r="U802" i="2"/>
  <c r="K903" i="2"/>
  <c r="M1140" i="2"/>
  <c r="L1193" i="2"/>
  <c r="U1137" i="2"/>
  <c r="Q1093" i="2"/>
  <c r="J952" i="2"/>
  <c r="O1125" i="2"/>
  <c r="Q1118" i="2"/>
  <c r="L616" i="2"/>
  <c r="O994" i="2"/>
  <c r="U1070" i="2"/>
  <c r="S800" i="2"/>
  <c r="Q498" i="2"/>
  <c r="K1179" i="2"/>
  <c r="T1191" i="2"/>
  <c r="Q1212" i="2"/>
  <c r="J1247" i="2"/>
  <c r="P1058" i="2"/>
  <c r="L1096" i="2"/>
  <c r="R916" i="2"/>
  <c r="J1120" i="2"/>
  <c r="N846" i="2"/>
  <c r="K1199" i="2"/>
  <c r="R902" i="2"/>
  <c r="L952" i="2"/>
  <c r="O1927" i="2"/>
  <c r="P1763" i="2"/>
  <c r="N1728" i="2"/>
  <c r="S1611" i="2"/>
  <c r="M1913" i="2"/>
  <c r="M1834" i="2"/>
  <c r="P1983" i="2"/>
  <c r="T1498" i="2"/>
  <c r="Q1740" i="2"/>
  <c r="P1791" i="2"/>
  <c r="U1590" i="2"/>
  <c r="T1320" i="2"/>
  <c r="R1884" i="2"/>
  <c r="T1496" i="2"/>
  <c r="Q1547" i="2"/>
  <c r="P810" i="2"/>
  <c r="P1828" i="2"/>
  <c r="U1304" i="2"/>
  <c r="R1760" i="2"/>
  <c r="J1128" i="2"/>
  <c r="U1388" i="2"/>
  <c r="Q1365" i="2"/>
  <c r="M1611" i="2"/>
  <c r="R1703" i="2"/>
  <c r="L749" i="2"/>
  <c r="M1804" i="2"/>
  <c r="S1402" i="2"/>
  <c r="J1606" i="2"/>
  <c r="S1240" i="2"/>
  <c r="M1282" i="2"/>
  <c r="S2006" i="2"/>
  <c r="T1318" i="2"/>
  <c r="N1753" i="2"/>
  <c r="N1148" i="2"/>
  <c r="Q844" i="2"/>
  <c r="Q1990" i="2"/>
  <c r="S1514" i="2"/>
  <c r="Q1157" i="2"/>
  <c r="L1481" i="2"/>
  <c r="R1587" i="2"/>
  <c r="M1487" i="2"/>
  <c r="O1903" i="2"/>
  <c r="J1362" i="2"/>
  <c r="K1324" i="2"/>
  <c r="S1638" i="2"/>
  <c r="S1022" i="2"/>
  <c r="O1548" i="2"/>
  <c r="L1469" i="2"/>
  <c r="R1449" i="2"/>
  <c r="U1483" i="2"/>
  <c r="T1579" i="2"/>
  <c r="R1338" i="2"/>
  <c r="K1295" i="2"/>
  <c r="O1086" i="2"/>
  <c r="K1049" i="2"/>
  <c r="J1605" i="2"/>
  <c r="S1163" i="2"/>
  <c r="N1195" i="2"/>
  <c r="P1488" i="2"/>
  <c r="J1833" i="2"/>
  <c r="M1154" i="2"/>
  <c r="N1676" i="2"/>
  <c r="J1626" i="2"/>
  <c r="K1584" i="2"/>
  <c r="P1334" i="2"/>
  <c r="K1077" i="2"/>
  <c r="R1193" i="2"/>
  <c r="L1277" i="2"/>
  <c r="M1649" i="2"/>
  <c r="R1208" i="2"/>
  <c r="L1627" i="2"/>
  <c r="O1001" i="2"/>
  <c r="N1039" i="2"/>
  <c r="J1643" i="2"/>
  <c r="L1279" i="2"/>
  <c r="M1389" i="2"/>
  <c r="M1277" i="2"/>
  <c r="M1368" i="2"/>
  <c r="N1415" i="2"/>
  <c r="U1626" i="2"/>
  <c r="L1119" i="2"/>
  <c r="S1255" i="2"/>
  <c r="J1484" i="2"/>
  <c r="O1243" i="2"/>
  <c r="P1516" i="2"/>
  <c r="Q956" i="2"/>
  <c r="Q1334" i="2"/>
  <c r="K1351" i="2"/>
  <c r="Q1687" i="2"/>
  <c r="S1166" i="2"/>
  <c r="J1121" i="2"/>
  <c r="L1195" i="2"/>
  <c r="T1239" i="2"/>
  <c r="M1350" i="2"/>
  <c r="N1845" i="2"/>
  <c r="K1443" i="2"/>
  <c r="M915" i="2"/>
  <c r="Q1605" i="2"/>
  <c r="K926" i="2"/>
  <c r="T1536" i="2"/>
  <c r="J1307" i="2"/>
  <c r="U1225" i="2"/>
  <c r="T1692" i="2"/>
  <c r="R1032" i="2"/>
  <c r="T1066" i="2"/>
  <c r="L1201" i="2"/>
  <c r="T1293" i="2"/>
  <c r="N1047" i="2"/>
  <c r="U1027" i="2"/>
  <c r="Q1031" i="2"/>
  <c r="U1530" i="2"/>
  <c r="M1971" i="2"/>
  <c r="Q1757" i="2"/>
  <c r="U1687" i="2"/>
  <c r="J1565" i="2"/>
  <c r="S1159" i="2"/>
  <c r="N1066" i="2"/>
  <c r="J1526" i="2"/>
  <c r="L1420" i="2"/>
  <c r="L764" i="2"/>
  <c r="M752" i="2"/>
  <c r="Q1181" i="2"/>
  <c r="Q1674" i="2"/>
  <c r="M1326" i="2"/>
  <c r="N1388" i="2"/>
  <c r="S1434" i="2"/>
  <c r="L1706" i="2"/>
  <c r="N1586" i="2"/>
  <c r="K1012" i="2"/>
  <c r="R1845" i="2"/>
  <c r="K1477" i="2"/>
  <c r="Q1441" i="2"/>
  <c r="N1462" i="2"/>
  <c r="N938" i="2"/>
  <c r="M1938" i="2"/>
  <c r="R1072" i="2"/>
  <c r="P1219" i="2"/>
  <c r="O1213" i="2"/>
  <c r="P1470" i="2"/>
  <c r="O1556" i="2"/>
  <c r="K1527" i="2"/>
  <c r="K1108" i="2"/>
  <c r="N1631" i="2"/>
  <c r="R1186" i="2"/>
  <c r="K1414" i="2"/>
  <c r="M1192" i="2"/>
  <c r="R1190" i="2"/>
  <c r="M1172" i="2"/>
  <c r="R876" i="2"/>
  <c r="P1256" i="2"/>
  <c r="K1299" i="2"/>
  <c r="R1207" i="2"/>
  <c r="O1550" i="2"/>
  <c r="P1562" i="2"/>
  <c r="M1539" i="2"/>
  <c r="O1759" i="2"/>
  <c r="M1760" i="2"/>
  <c r="P1631" i="2"/>
  <c r="P1869" i="2"/>
  <c r="N1410" i="2"/>
  <c r="R2170" i="2"/>
  <c r="T1988" i="2"/>
  <c r="P1874" i="2"/>
  <c r="Q1049" i="2"/>
  <c r="L1565" i="2"/>
  <c r="N1335" i="2"/>
  <c r="S1035" i="2"/>
  <c r="M1559" i="2"/>
  <c r="Q1390" i="2"/>
  <c r="M1126" i="2"/>
  <c r="S1728" i="2"/>
  <c r="N1398" i="2"/>
  <c r="J783" i="2"/>
  <c r="O1740" i="2"/>
  <c r="K1702" i="2"/>
  <c r="J1178" i="2"/>
  <c r="N1623" i="2"/>
  <c r="Q1659" i="2"/>
  <c r="T1564" i="2"/>
  <c r="S1877" i="2"/>
  <c r="T899" i="2"/>
  <c r="S1571" i="2"/>
  <c r="Q1493" i="2"/>
  <c r="L1832" i="2"/>
  <c r="U1498" i="2"/>
  <c r="P1128" i="2"/>
  <c r="K1475" i="2"/>
  <c r="Q1645" i="2"/>
  <c r="T1266" i="2"/>
  <c r="J1377" i="2"/>
  <c r="Q1511" i="2"/>
  <c r="Q1274" i="2"/>
  <c r="L1222" i="2"/>
  <c r="U1246" i="2"/>
  <c r="T1153" i="2"/>
  <c r="O1696" i="2"/>
  <c r="L1798" i="2"/>
  <c r="R1402" i="2"/>
  <c r="R1364" i="2"/>
  <c r="J1551" i="2"/>
  <c r="Q1139" i="2"/>
  <c r="U1277" i="2"/>
  <c r="L1724" i="2"/>
  <c r="S1501" i="2"/>
  <c r="S1162" i="2"/>
  <c r="O1217" i="2"/>
  <c r="J1573" i="2"/>
  <c r="O1274" i="2"/>
  <c r="M1966" i="2"/>
  <c r="U1846" i="2"/>
  <c r="K1468" i="2"/>
  <c r="S1433" i="2"/>
  <c r="M1848" i="2"/>
  <c r="K1793" i="2"/>
  <c r="O1976" i="2"/>
  <c r="K1400" i="2"/>
  <c r="K1641" i="2"/>
  <c r="P1372" i="2"/>
  <c r="R1583" i="2"/>
  <c r="U1220" i="2"/>
  <c r="U2000" i="2"/>
  <c r="N1236" i="2"/>
  <c r="J1164" i="2"/>
  <c r="J1031" i="2"/>
  <c r="T1185" i="2"/>
  <c r="J1509" i="2"/>
  <c r="Q1374" i="2"/>
  <c r="T1000" i="2"/>
  <c r="J1229" i="2"/>
  <c r="Q1159" i="2"/>
  <c r="O1159" i="2"/>
  <c r="O1270" i="2"/>
  <c r="O1120" i="2"/>
  <c r="L950" i="2"/>
  <c r="K924" i="2"/>
  <c r="T926" i="2"/>
  <c r="K1191" i="2"/>
  <c r="R1292" i="2"/>
  <c r="P1838" i="2"/>
  <c r="L1623" i="2"/>
  <c r="Q1169" i="2"/>
  <c r="J1424" i="2"/>
  <c r="M1344" i="2"/>
  <c r="P1030" i="2"/>
  <c r="S1217" i="2"/>
  <c r="M1403" i="2"/>
  <c r="S1715" i="2"/>
  <c r="O1154" i="2"/>
  <c r="M1207" i="2"/>
  <c r="R1189" i="2"/>
  <c r="N1231" i="2"/>
  <c r="L1672" i="2"/>
  <c r="O1860" i="2"/>
  <c r="L1203" i="2"/>
  <c r="P1261" i="2"/>
  <c r="N1578" i="2"/>
  <c r="N741" i="2"/>
  <c r="J1190" i="2"/>
  <c r="T1390" i="2"/>
  <c r="U1073" i="2"/>
  <c r="R919" i="2"/>
  <c r="S1317" i="2"/>
  <c r="S1383" i="2"/>
  <c r="S1411" i="2"/>
  <c r="O1185" i="2"/>
  <c r="M1009" i="2"/>
  <c r="M1780" i="2"/>
  <c r="K1091" i="2"/>
  <c r="M1040" i="2"/>
  <c r="S1314" i="2"/>
  <c r="Q1308" i="2"/>
  <c r="O900" i="2"/>
  <c r="U1287" i="2"/>
  <c r="K1478" i="2"/>
  <c r="R1885" i="2"/>
  <c r="T1558" i="2"/>
  <c r="J1155" i="2"/>
  <c r="O1278" i="2"/>
  <c r="R1084" i="2"/>
  <c r="T1168" i="2"/>
  <c r="T739" i="2"/>
  <c r="N1526" i="2"/>
  <c r="R1307" i="2"/>
  <c r="L1397" i="2"/>
  <c r="M1284" i="2"/>
  <c r="J1227" i="2"/>
  <c r="J1206" i="2"/>
  <c r="S1369" i="2"/>
  <c r="T2047" i="2"/>
  <c r="L1473" i="2"/>
  <c r="K1230" i="2"/>
  <c r="N1310" i="2"/>
  <c r="K1294" i="2"/>
  <c r="P904" i="2"/>
  <c r="L1596" i="2"/>
  <c r="K1950" i="2"/>
  <c r="Q971" i="2"/>
  <c r="L1439" i="2"/>
  <c r="K1221" i="2"/>
  <c r="T1908" i="2"/>
  <c r="U976" i="2"/>
  <c r="R1701" i="2"/>
  <c r="M1309" i="2"/>
  <c r="Q1549" i="2"/>
  <c r="O2016" i="2"/>
  <c r="P1584" i="2"/>
  <c r="M1962" i="2"/>
  <c r="Q1634" i="2"/>
  <c r="Q1728" i="2"/>
  <c r="T1676" i="2"/>
  <c r="Q1922" i="2"/>
  <c r="O1241" i="2"/>
  <c r="R2188" i="2"/>
  <c r="N1381" i="2"/>
  <c r="N1622" i="2"/>
  <c r="T1466" i="2"/>
  <c r="P1988" i="2"/>
  <c r="L849" i="2"/>
  <c r="T1403" i="2"/>
  <c r="J1015" i="2"/>
  <c r="M1833" i="2"/>
  <c r="J1339" i="2"/>
  <c r="U1439" i="2"/>
  <c r="K1583" i="2"/>
  <c r="U1627" i="2"/>
  <c r="J1505" i="2"/>
  <c r="M1767" i="2"/>
  <c r="R1260" i="2"/>
  <c r="S1113" i="2"/>
  <c r="K1628" i="2"/>
  <c r="P1466" i="2"/>
  <c r="P1154" i="2"/>
  <c r="M1523" i="2"/>
  <c r="S2019" i="2"/>
  <c r="K2007" i="2"/>
  <c r="U1398" i="2"/>
  <c r="U1525" i="2"/>
  <c r="T1251" i="2"/>
  <c r="M1135" i="2"/>
  <c r="S1458" i="2"/>
  <c r="O1746" i="2"/>
  <c r="P1477" i="2"/>
  <c r="O1292" i="2"/>
  <c r="R1197" i="2"/>
  <c r="M1616" i="2"/>
  <c r="O1248" i="2"/>
  <c r="N1309" i="2"/>
  <c r="S1843" i="2"/>
  <c r="R1806" i="2"/>
  <c r="K1311" i="2"/>
  <c r="P1724" i="2"/>
  <c r="R1728" i="2"/>
  <c r="Q1487" i="2"/>
  <c r="J2163" i="2"/>
  <c r="O1314" i="2"/>
  <c r="J1182" i="2"/>
  <c r="U1613" i="2"/>
  <c r="K1493" i="2"/>
  <c r="P1629" i="2"/>
  <c r="N1134" i="2"/>
  <c r="K2043" i="2"/>
  <c r="L1354" i="2"/>
  <c r="L1788" i="2"/>
  <c r="S1524" i="2"/>
  <c r="K1596" i="2"/>
  <c r="M1555" i="2"/>
  <c r="J1624" i="2"/>
  <c r="Q1431" i="2"/>
  <c r="Q1606" i="2"/>
  <c r="R1150" i="2"/>
  <c r="J1353" i="2"/>
  <c r="L1729" i="2"/>
  <c r="K1326" i="2"/>
  <c r="T1165" i="2"/>
  <c r="R1747" i="2"/>
  <c r="K732" i="2"/>
  <c r="L1145" i="2"/>
  <c r="P1554" i="2"/>
  <c r="S1395" i="2"/>
  <c r="T1211" i="2"/>
  <c r="T1203" i="2"/>
  <c r="P1228" i="2"/>
  <c r="M1319" i="2"/>
  <c r="Q1375" i="2"/>
  <c r="S982" i="2"/>
  <c r="L1077" i="2"/>
  <c r="T974" i="2"/>
  <c r="R708" i="2"/>
  <c r="Q1497" i="2"/>
  <c r="P1408" i="2"/>
  <c r="T1215" i="2"/>
  <c r="R1466" i="2"/>
  <c r="P1033" i="2"/>
  <c r="N1240" i="2"/>
  <c r="M1047" i="2"/>
  <c r="U1124" i="2"/>
  <c r="Q1117" i="2"/>
  <c r="P910" i="2"/>
  <c r="N1404" i="2"/>
  <c r="R1405" i="2"/>
  <c r="N1090" i="2"/>
  <c r="K1261" i="2"/>
  <c r="M1169" i="2"/>
  <c r="J1656" i="2"/>
  <c r="S1073" i="2"/>
  <c r="L1608" i="2"/>
  <c r="T2011" i="2"/>
  <c r="O1958" i="2"/>
  <c r="P1924" i="2"/>
  <c r="K1691" i="2"/>
  <c r="P1568" i="2"/>
  <c r="P1741" i="2"/>
  <c r="T2279" i="2"/>
  <c r="J2130" i="2"/>
  <c r="L1938" i="2"/>
  <c r="U1563" i="2"/>
  <c r="S1565" i="2"/>
  <c r="M1462" i="2"/>
  <c r="K872" i="2"/>
  <c r="N1107" i="2"/>
  <c r="Q1280" i="2"/>
  <c r="R1550" i="2"/>
  <c r="P1323" i="2"/>
  <c r="Q1406" i="2"/>
  <c r="R1226" i="2"/>
  <c r="M1001" i="2"/>
  <c r="L1034" i="2"/>
  <c r="K1604" i="2"/>
  <c r="L1727" i="2"/>
  <c r="K986" i="2"/>
  <c r="N1740" i="2"/>
  <c r="S1320" i="2"/>
  <c r="S1077" i="2"/>
  <c r="N1552" i="2"/>
  <c r="T1635" i="2"/>
  <c r="S1782" i="2"/>
  <c r="K1831" i="2"/>
  <c r="O1397" i="2"/>
  <c r="O704" i="2"/>
  <c r="K2160" i="2"/>
  <c r="K1802" i="2"/>
  <c r="M1733" i="2"/>
  <c r="K2039" i="2"/>
  <c r="K1665" i="2"/>
  <c r="S1122" i="2"/>
  <c r="U1592" i="2"/>
  <c r="L1112" i="2"/>
  <c r="S1222" i="2"/>
  <c r="O1587" i="2"/>
  <c r="K1320" i="2"/>
  <c r="T1520" i="2"/>
  <c r="M1774" i="2"/>
  <c r="P2037" i="2"/>
  <c r="J2063" i="2"/>
  <c r="M1654" i="2"/>
  <c r="U1784" i="2"/>
  <c r="P1487" i="2"/>
  <c r="S853" i="2"/>
  <c r="J1313" i="2"/>
  <c r="T1457" i="2"/>
  <c r="T1751" i="2"/>
  <c r="T1675" i="2"/>
  <c r="M1200" i="2"/>
  <c r="R1619" i="2"/>
  <c r="Q1257" i="2"/>
  <c r="O1121" i="2"/>
  <c r="T1998" i="2"/>
  <c r="N1674" i="2"/>
  <c r="L1271" i="2"/>
  <c r="M1626" i="2"/>
  <c r="T1244" i="2"/>
  <c r="P1111" i="2"/>
  <c r="R1192" i="2"/>
  <c r="Q1024" i="2"/>
  <c r="T1648" i="2"/>
  <c r="M1196" i="2"/>
  <c r="N1959" i="2"/>
  <c r="P1011" i="2"/>
  <c r="L1656" i="2"/>
  <c r="U1473" i="2"/>
  <c r="M1017" i="2"/>
  <c r="M1042" i="2"/>
  <c r="P1623" i="2"/>
  <c r="U1218" i="2"/>
  <c r="O1126" i="2"/>
  <c r="R984" i="2"/>
  <c r="Q1291" i="2"/>
  <c r="L1249" i="2"/>
  <c r="L1535" i="2"/>
  <c r="O1312" i="2"/>
  <c r="S1231" i="2"/>
  <c r="O1407" i="2"/>
  <c r="U1573" i="2"/>
  <c r="T1208" i="2"/>
  <c r="J1049" i="2"/>
  <c r="P1486" i="2"/>
  <c r="N1046" i="2"/>
  <c r="T865" i="2"/>
  <c r="U877" i="2"/>
  <c r="P1814" i="2"/>
  <c r="U919" i="2"/>
  <c r="P1168" i="2"/>
  <c r="Q1415" i="2"/>
  <c r="Q1384" i="2"/>
  <c r="U1250" i="2"/>
  <c r="O1420" i="2"/>
  <c r="S1429" i="2"/>
  <c r="T1400" i="2"/>
  <c r="N1454" i="2"/>
  <c r="J1088" i="2"/>
  <c r="Q1523" i="2"/>
  <c r="M1842" i="2"/>
  <c r="Q750" i="2"/>
  <c r="U1850" i="2"/>
  <c r="R1345" i="2"/>
  <c r="K1512" i="2"/>
  <c r="U1039" i="2"/>
  <c r="U1524" i="2"/>
  <c r="T1660" i="2"/>
  <c r="Q1335" i="2"/>
  <c r="S1013" i="2"/>
  <c r="P1133" i="2"/>
  <c r="T1438" i="2"/>
  <c r="N1353" i="2"/>
  <c r="R1191" i="2"/>
  <c r="J953" i="2"/>
  <c r="P958" i="2"/>
  <c r="N1724" i="2"/>
  <c r="U1551" i="2"/>
  <c r="O1064" i="2"/>
  <c r="Q1490" i="2"/>
  <c r="R977" i="2"/>
  <c r="R1666" i="2"/>
  <c r="O1229" i="2"/>
  <c r="L2148" i="2"/>
  <c r="S1634" i="2"/>
  <c r="O1373" i="2"/>
  <c r="L1381" i="2"/>
  <c r="Q1004" i="2"/>
  <c r="R1757" i="2"/>
  <c r="J1309" i="2"/>
  <c r="J1289" i="2"/>
  <c r="L1975" i="2"/>
  <c r="R1603" i="2"/>
  <c r="S1903" i="2"/>
  <c r="U1336" i="2"/>
  <c r="M1342" i="2"/>
  <c r="K1467" i="2"/>
  <c r="T1819" i="2"/>
  <c r="L1592" i="2"/>
  <c r="T1419" i="2"/>
  <c r="U1692" i="2"/>
  <c r="K1156" i="2"/>
  <c r="P2224" i="2"/>
  <c r="O1222" i="2"/>
  <c r="K1067" i="2"/>
  <c r="N1435" i="2"/>
  <c r="Q1136" i="2"/>
  <c r="L1191" i="2"/>
  <c r="M1106" i="2"/>
  <c r="O1773" i="2"/>
  <c r="Q1715" i="2"/>
  <c r="M1526" i="2"/>
  <c r="Q1297" i="2"/>
  <c r="U1189" i="2"/>
  <c r="U1233" i="2"/>
  <c r="J1517" i="2"/>
  <c r="T1524" i="2"/>
  <c r="M1390" i="2"/>
  <c r="K1750" i="2"/>
  <c r="L1054" i="2"/>
  <c r="T1491" i="2"/>
  <c r="O1256" i="2"/>
  <c r="N1485" i="2"/>
  <c r="U1063" i="2"/>
  <c r="K1386" i="2"/>
  <c r="K892" i="2"/>
  <c r="P662" i="2"/>
  <c r="K1173" i="2"/>
  <c r="O799" i="2"/>
  <c r="O773" i="2"/>
  <c r="T707" i="2"/>
  <c r="S1614" i="2"/>
  <c r="S1779" i="2"/>
  <c r="U1078" i="2"/>
  <c r="M1427" i="2"/>
  <c r="U1052" i="2"/>
  <c r="O893" i="2"/>
  <c r="M967" i="2"/>
  <c r="N886" i="2"/>
  <c r="U571" i="2"/>
  <c r="L973" i="2"/>
  <c r="S1204" i="2"/>
  <c r="K1107" i="2"/>
  <c r="J590" i="2"/>
  <c r="N1720" i="2"/>
  <c r="O1521" i="2"/>
  <c r="S1454" i="2"/>
  <c r="K786" i="2"/>
  <c r="M950" i="2"/>
  <c r="N1469" i="2"/>
  <c r="R1244" i="2"/>
  <c r="J730" i="2"/>
  <c r="N1289" i="2"/>
  <c r="T1452" i="2"/>
  <c r="U1517" i="2"/>
  <c r="M958" i="2"/>
  <c r="S981" i="2"/>
  <c r="N795" i="2"/>
  <c r="N770" i="2"/>
  <c r="U855" i="2"/>
  <c r="S591" i="2"/>
  <c r="O917" i="2"/>
  <c r="S1064" i="2"/>
  <c r="N959" i="2"/>
  <c r="N1702" i="2"/>
  <c r="T1057" i="2"/>
  <c r="K1064" i="2"/>
  <c r="O1174" i="2"/>
  <c r="N1015" i="2"/>
  <c r="T1374" i="2"/>
  <c r="S745" i="2"/>
  <c r="N934" i="2"/>
  <c r="L774" i="2"/>
  <c r="L1037" i="2"/>
  <c r="K969" i="2"/>
  <c r="O988" i="2"/>
  <c r="O559" i="2"/>
  <c r="S1340" i="2"/>
  <c r="P1083" i="2"/>
  <c r="Q1243" i="2"/>
  <c r="Q998" i="2"/>
  <c r="R990" i="2"/>
  <c r="T853" i="2"/>
  <c r="N910" i="2"/>
  <c r="P926" i="2"/>
  <c r="T1381" i="2"/>
  <c r="Q994" i="2"/>
  <c r="L610" i="2"/>
  <c r="N888" i="2"/>
  <c r="R254" i="2"/>
  <c r="O1598" i="2"/>
  <c r="P1603" i="2"/>
  <c r="T919" i="2"/>
  <c r="O1367" i="2"/>
  <c r="J1343" i="2"/>
  <c r="U1181" i="2"/>
  <c r="U1340" i="2"/>
  <c r="S1236" i="2"/>
  <c r="U879" i="2"/>
  <c r="M1039" i="2"/>
  <c r="M1127" i="2"/>
  <c r="P1141" i="2"/>
  <c r="S1373" i="2"/>
  <c r="J906" i="2"/>
  <c r="N1261" i="2"/>
  <c r="Q1294" i="2"/>
  <c r="T1305" i="2"/>
  <c r="T1449" i="2"/>
  <c r="T1996" i="2"/>
  <c r="O1855" i="2"/>
  <c r="K1569" i="2"/>
  <c r="S1639" i="2"/>
  <c r="P1788" i="2"/>
  <c r="K1518" i="2"/>
  <c r="K1666" i="2"/>
  <c r="P2107" i="2"/>
  <c r="P1558" i="2"/>
  <c r="T1803" i="2"/>
  <c r="U2056" i="2"/>
  <c r="T1401" i="2"/>
  <c r="P2009" i="2"/>
  <c r="N1145" i="2"/>
  <c r="J1292" i="2"/>
  <c r="N1459" i="2"/>
  <c r="P1529" i="2"/>
  <c r="S1095" i="2"/>
  <c r="S1493" i="2"/>
  <c r="J1719" i="2"/>
  <c r="S1176" i="2"/>
  <c r="R1154" i="2"/>
  <c r="U1575" i="2"/>
  <c r="R1655" i="2"/>
  <c r="U1200" i="2"/>
  <c r="T1421" i="2"/>
  <c r="P1418" i="2"/>
  <c r="P1491" i="2"/>
  <c r="K1209" i="2"/>
  <c r="J1196" i="2"/>
  <c r="U1224" i="2"/>
  <c r="T1632" i="2"/>
  <c r="M1376" i="2"/>
  <c r="N1990" i="2"/>
  <c r="K1148" i="2"/>
  <c r="P1793" i="2"/>
  <c r="K1957" i="2"/>
  <c r="U1555" i="2"/>
  <c r="M1330" i="2"/>
  <c r="R1543" i="2"/>
  <c r="Q1370" i="2"/>
  <c r="N1368" i="2"/>
  <c r="P1413" i="2"/>
  <c r="P1171" i="2"/>
  <c r="U1607" i="2"/>
  <c r="N1657" i="2"/>
  <c r="U1121" i="2"/>
  <c r="S1692" i="2"/>
  <c r="R1393" i="2"/>
  <c r="J1648" i="2"/>
  <c r="R1516" i="2"/>
  <c r="M1732" i="2"/>
  <c r="L1604" i="2"/>
  <c r="O1113" i="2"/>
  <c r="J1433" i="2"/>
  <c r="O1214" i="2"/>
  <c r="L1868" i="2"/>
  <c r="O1606" i="2"/>
  <c r="N1168" i="2"/>
  <c r="O1754" i="2"/>
  <c r="N1863" i="2"/>
  <c r="Q1143" i="2"/>
  <c r="K1847" i="2"/>
  <c r="J1837" i="2"/>
  <c r="O1390" i="2"/>
  <c r="P1354" i="2"/>
  <c r="T1272" i="2"/>
  <c r="R1259" i="2"/>
  <c r="O924" i="2"/>
  <c r="T1090" i="2"/>
  <c r="J1244" i="2"/>
  <c r="M873" i="2"/>
  <c r="Q1039" i="2"/>
  <c r="L1008" i="2"/>
  <c r="S1771" i="2"/>
  <c r="M1747" i="2"/>
  <c r="Q1228" i="2"/>
  <c r="R867" i="2"/>
  <c r="S1426" i="2"/>
  <c r="R1183" i="2"/>
  <c r="T1260" i="2"/>
  <c r="O1208" i="2"/>
  <c r="T1279" i="2"/>
  <c r="Q1033" i="2"/>
  <c r="L1954" i="2"/>
  <c r="N1341" i="2"/>
  <c r="K1149" i="2"/>
  <c r="T1440" i="2"/>
  <c r="O1460" i="2"/>
  <c r="P1269" i="2"/>
  <c r="T1448" i="2"/>
  <c r="S702" i="2"/>
  <c r="O1543" i="2"/>
  <c r="Q1316" i="2"/>
  <c r="Q673" i="2"/>
  <c r="K1724" i="2"/>
  <c r="K1157" i="2"/>
  <c r="M1229" i="2"/>
  <c r="J1348" i="2"/>
  <c r="J795" i="2"/>
  <c r="L1456" i="2"/>
  <c r="R1623" i="2"/>
  <c r="R1481" i="2"/>
  <c r="S1400" i="2"/>
  <c r="M1657" i="2"/>
  <c r="J1497" i="2"/>
  <c r="P1787" i="2"/>
  <c r="U1683" i="2"/>
  <c r="P1842" i="2"/>
  <c r="L1654" i="2"/>
  <c r="N1505" i="2"/>
  <c r="N1560" i="2"/>
  <c r="J1195" i="2"/>
  <c r="U1863" i="2"/>
  <c r="K1263" i="2"/>
  <c r="N1818" i="2"/>
  <c r="K1298" i="2"/>
  <c r="T2183" i="2"/>
  <c r="S1470" i="2"/>
  <c r="S1630" i="2"/>
  <c r="S1546" i="2"/>
  <c r="T1631" i="2"/>
  <c r="O1303" i="2"/>
  <c r="O1237" i="2"/>
  <c r="L1637" i="2"/>
  <c r="J1455" i="2"/>
  <c r="S1558" i="2"/>
  <c r="S1529" i="2"/>
  <c r="M1076" i="2"/>
  <c r="U1300" i="2"/>
  <c r="M1662" i="2"/>
  <c r="T1475" i="2"/>
  <c r="S1384" i="2"/>
  <c r="K1251" i="2"/>
  <c r="S1449" i="2"/>
  <c r="U1620" i="2"/>
  <c r="T1297" i="2"/>
  <c r="R1898" i="2"/>
  <c r="R1162" i="2"/>
  <c r="P1537" i="2"/>
  <c r="J1503" i="2"/>
  <c r="M1249" i="2"/>
  <c r="R1601" i="2"/>
  <c r="P1380" i="2"/>
  <c r="T833" i="2"/>
  <c r="T1346" i="2"/>
  <c r="S1518" i="2"/>
  <c r="O1706" i="2"/>
  <c r="R1662" i="2"/>
  <c r="L1745" i="2"/>
  <c r="T1395" i="2"/>
  <c r="Q1507" i="2"/>
  <c r="P1412" i="2"/>
  <c r="L1142" i="2"/>
  <c r="R1140" i="2"/>
  <c r="R1394" i="2"/>
  <c r="J1892" i="2"/>
  <c r="N1609" i="2"/>
  <c r="N1716" i="2"/>
  <c r="S1409" i="2"/>
  <c r="Q1846" i="2"/>
  <c r="U1593" i="2"/>
  <c r="P1307" i="2"/>
  <c r="R1437" i="2"/>
  <c r="Q1889" i="2"/>
  <c r="R1804" i="2"/>
  <c r="R1160" i="2"/>
  <c r="Q1448" i="2"/>
  <c r="K1608" i="2"/>
  <c r="U828" i="2"/>
  <c r="R1329" i="2"/>
  <c r="T1180" i="2"/>
  <c r="R1285" i="2"/>
  <c r="P741" i="2"/>
  <c r="N1140" i="2"/>
  <c r="J1355" i="2"/>
  <c r="L1414" i="2"/>
  <c r="N964" i="2"/>
  <c r="T1399" i="2"/>
  <c r="P1153" i="2"/>
  <c r="Q1611" i="2"/>
  <c r="O1677" i="2"/>
  <c r="Q864" i="2"/>
  <c r="M956" i="2"/>
  <c r="R1053" i="2"/>
  <c r="K1546" i="2"/>
  <c r="M1415" i="2"/>
  <c r="M1166" i="2"/>
  <c r="R1153" i="2"/>
  <c r="N1544" i="2"/>
  <c r="Q1437" i="2"/>
  <c r="U1231" i="2"/>
  <c r="M942" i="2"/>
  <c r="O1162" i="2"/>
  <c r="U1479" i="2"/>
  <c r="T1763" i="2"/>
  <c r="N1382" i="2"/>
  <c r="J1817" i="2"/>
  <c r="P1331" i="2"/>
  <c r="R1479" i="2"/>
  <c r="J1344" i="2"/>
  <c r="P1314" i="2"/>
  <c r="M1156" i="2"/>
  <c r="T1122" i="2"/>
  <c r="L1258" i="2"/>
  <c r="K1237" i="2"/>
  <c r="M964" i="2"/>
  <c r="M1155" i="2"/>
  <c r="T1117" i="2"/>
  <c r="P880" i="2"/>
  <c r="O770" i="2"/>
  <c r="T1039" i="2"/>
  <c r="L1156" i="2"/>
  <c r="U1393" i="2"/>
  <c r="M1148" i="2"/>
  <c r="M1672" i="2"/>
  <c r="M1171" i="2"/>
  <c r="U1791" i="2"/>
  <c r="S1029" i="2"/>
  <c r="T1779" i="2"/>
  <c r="T977" i="2"/>
  <c r="L907" i="2"/>
  <c r="R870" i="2"/>
  <c r="O761" i="2"/>
  <c r="J1571" i="2"/>
  <c r="L1849" i="2"/>
  <c r="N1608" i="2"/>
  <c r="J1233" i="2"/>
  <c r="T1256" i="2"/>
  <c r="R1480" i="2"/>
  <c r="R1408" i="2"/>
  <c r="U1581" i="2"/>
  <c r="T2010" i="2"/>
  <c r="L1440" i="2"/>
  <c r="Q1443" i="2"/>
  <c r="S1392" i="2"/>
  <c r="N1112" i="2"/>
  <c r="R1441" i="2"/>
  <c r="N1407" i="2"/>
  <c r="R1397" i="2"/>
  <c r="J1135" i="2"/>
  <c r="R1203" i="2"/>
  <c r="L1465" i="2"/>
  <c r="O1062" i="2"/>
  <c r="M1511" i="2"/>
  <c r="R1175" i="2"/>
  <c r="K1472" i="2"/>
  <c r="J1296" i="2"/>
  <c r="R1432" i="2"/>
  <c r="P1045" i="2"/>
  <c r="S1948" i="2"/>
  <c r="Q1466" i="2"/>
  <c r="T1157" i="2"/>
  <c r="N1094" i="2"/>
  <c r="R2292" i="2"/>
  <c r="P1428" i="2"/>
  <c r="K1678" i="2"/>
  <c r="P1434" i="2"/>
  <c r="R2100" i="2"/>
  <c r="Q1539" i="2"/>
  <c r="O1471" i="2"/>
  <c r="J2173" i="2"/>
  <c r="N1634" i="2"/>
  <c r="S1335" i="2"/>
  <c r="U1198" i="2"/>
  <c r="U1686" i="2"/>
  <c r="P1378" i="2"/>
  <c r="R1172" i="2"/>
  <c r="Q1343" i="2"/>
  <c r="J1600" i="2"/>
  <c r="K1253" i="2"/>
  <c r="O2077" i="2"/>
  <c r="K1808" i="2"/>
  <c r="P1617" i="2"/>
  <c r="T1392" i="2"/>
  <c r="M1538" i="2"/>
  <c r="S1480" i="2"/>
  <c r="J1219" i="2"/>
  <c r="S1104" i="2"/>
  <c r="P1898" i="2"/>
  <c r="N1602" i="2"/>
  <c r="T1384" i="2"/>
  <c r="K1361" i="2"/>
  <c r="L1848" i="2"/>
  <c r="T1609" i="2"/>
  <c r="L1223" i="2"/>
  <c r="L1731" i="2"/>
  <c r="O1056" i="2"/>
  <c r="S2103" i="2"/>
  <c r="L1262" i="2"/>
  <c r="O1234" i="2"/>
  <c r="U1272" i="2"/>
  <c r="T1561" i="2"/>
  <c r="Q1196" i="2"/>
  <c r="T1391" i="2"/>
  <c r="Q1402" i="2"/>
  <c r="J1085" i="2"/>
  <c r="M1392" i="2"/>
  <c r="U1390" i="2"/>
  <c r="K1348" i="2"/>
  <c r="S1828" i="2"/>
  <c r="N1439" i="2"/>
  <c r="O1817" i="2"/>
  <c r="N1705" i="2"/>
  <c r="N1099" i="2"/>
  <c r="J1637" i="2"/>
  <c r="N1325" i="2"/>
  <c r="P1205" i="2"/>
  <c r="K1479" i="2"/>
  <c r="N1827" i="2"/>
  <c r="M1495" i="2"/>
  <c r="P2011" i="2"/>
  <c r="S1856" i="2"/>
  <c r="J1491" i="2"/>
  <c r="O1050" i="2"/>
  <c r="Q1759" i="2"/>
  <c r="L1274" i="2"/>
  <c r="Q1355" i="2"/>
  <c r="U1449" i="2"/>
  <c r="S997" i="2"/>
  <c r="S1167" i="2"/>
  <c r="R1077" i="2"/>
  <c r="O1199" i="2"/>
  <c r="O1134" i="2"/>
  <c r="K1451" i="2"/>
  <c r="O1069" i="2"/>
  <c r="K712" i="2"/>
  <c r="P1784" i="2"/>
  <c r="R1577" i="2"/>
  <c r="K1687" i="2"/>
  <c r="Q1230" i="2"/>
  <c r="J1504" i="2"/>
  <c r="O1539" i="2"/>
  <c r="K1535" i="2"/>
  <c r="Q1916" i="2"/>
  <c r="O1401" i="2"/>
  <c r="J1830" i="2"/>
  <c r="U1735" i="2"/>
  <c r="J1422" i="2"/>
  <c r="S1334" i="2"/>
  <c r="O1876" i="2"/>
  <c r="R1157" i="2"/>
  <c r="K1038" i="2"/>
  <c r="M1329" i="2"/>
  <c r="Q1635" i="2"/>
  <c r="T1282" i="2"/>
  <c r="N1846" i="2"/>
  <c r="O1790" i="2"/>
  <c r="R1517" i="2"/>
  <c r="M1402" i="2"/>
  <c r="J1546" i="2"/>
  <c r="T1895" i="2"/>
  <c r="M1077" i="2"/>
  <c r="P1070" i="2"/>
  <c r="S1581" i="2"/>
  <c r="R1525" i="2"/>
  <c r="T1200" i="2"/>
  <c r="M1374" i="2"/>
  <c r="N1444" i="2"/>
  <c r="S1536" i="2"/>
  <c r="N1198" i="2"/>
  <c r="J1453" i="2"/>
  <c r="S1034" i="2"/>
  <c r="R1507" i="2"/>
  <c r="N1771" i="2"/>
  <c r="S1322" i="2"/>
  <c r="O1324" i="2"/>
  <c r="P1504" i="2"/>
  <c r="S1473" i="2"/>
  <c r="R1709" i="2"/>
  <c r="L949" i="2"/>
  <c r="S1694" i="2"/>
  <c r="S2039" i="2"/>
  <c r="M1417" i="2"/>
  <c r="K1281" i="2"/>
  <c r="K1686" i="2"/>
  <c r="R2113" i="2"/>
  <c r="N1279" i="2"/>
  <c r="M1819" i="2"/>
  <c r="O1394" i="2"/>
  <c r="N1482" i="2"/>
  <c r="S1512" i="2"/>
  <c r="P1389" i="2"/>
  <c r="S1544" i="2"/>
  <c r="O1674" i="2"/>
  <c r="T1304" i="2"/>
  <c r="T2110" i="2"/>
  <c r="K1766" i="2"/>
  <c r="M1191" i="2"/>
  <c r="N2029" i="2"/>
  <c r="R1360" i="2"/>
  <c r="U1582" i="2"/>
  <c r="S1594" i="2"/>
  <c r="R1761" i="2"/>
  <c r="U1589" i="2"/>
  <c r="M1377" i="2"/>
  <c r="N1122" i="2"/>
  <c r="J1529" i="2"/>
  <c r="L1004" i="2"/>
  <c r="U1317" i="2"/>
  <c r="U952" i="2"/>
  <c r="O1651" i="2"/>
  <c r="U1873" i="2"/>
  <c r="S1289" i="2"/>
  <c r="J1411" i="2"/>
  <c r="S1072" i="2"/>
  <c r="J889" i="2"/>
  <c r="Q1116" i="2"/>
  <c r="J1305" i="2"/>
  <c r="Q774" i="2"/>
  <c r="L1451" i="2"/>
  <c r="O1337" i="2"/>
  <c r="P1764" i="2"/>
  <c r="L1352" i="2"/>
  <c r="P1144" i="2"/>
  <c r="K1731" i="2"/>
  <c r="R1509" i="2"/>
  <c r="J1947" i="2"/>
  <c r="Q1156" i="2"/>
  <c r="L938" i="2"/>
  <c r="T1525" i="2"/>
  <c r="S1224" i="2"/>
  <c r="K1712" i="2"/>
  <c r="K1432" i="2"/>
  <c r="K1305" i="2"/>
  <c r="T1127" i="2"/>
  <c r="O1608" i="2"/>
  <c r="T1649" i="2"/>
  <c r="U1312" i="2"/>
  <c r="O1529" i="2"/>
  <c r="K1300" i="2"/>
  <c r="T1465" i="2"/>
  <c r="M1572" i="2"/>
  <c r="U1433" i="2"/>
  <c r="L1072" i="2"/>
  <c r="T1369" i="2"/>
  <c r="U1566" i="2"/>
  <c r="P1853" i="2"/>
  <c r="K1029" i="2"/>
  <c r="P1026" i="2"/>
  <c r="N1498" i="2"/>
  <c r="N1782" i="2"/>
  <c r="R1809" i="2"/>
  <c r="L1973" i="2"/>
  <c r="Q1206" i="2"/>
  <c r="K1586" i="2"/>
  <c r="S1688" i="2"/>
  <c r="Q1573" i="2"/>
  <c r="P1396" i="2"/>
  <c r="O1035" i="2"/>
  <c r="S1283" i="2"/>
  <c r="O1177" i="2"/>
  <c r="R1093" i="2"/>
  <c r="T1120" i="2"/>
  <c r="O1238" i="2"/>
  <c r="Q1023" i="2"/>
  <c r="T813" i="2"/>
  <c r="N1369" i="2"/>
  <c r="M1544" i="2"/>
  <c r="L1550" i="2"/>
  <c r="O881" i="2"/>
  <c r="L1307" i="2"/>
  <c r="P1296" i="2"/>
  <c r="T1371" i="2"/>
  <c r="J1191" i="2"/>
  <c r="S1249" i="2"/>
  <c r="Q1843" i="2"/>
  <c r="Q958" i="2"/>
  <c r="J997" i="2"/>
  <c r="M1547" i="2"/>
  <c r="U914" i="2"/>
  <c r="K1495" i="2"/>
  <c r="U1538" i="2"/>
  <c r="M1163" i="2"/>
  <c r="K1260" i="2"/>
  <c r="R1111" i="2"/>
  <c r="M1488" i="2"/>
  <c r="O1530" i="2"/>
  <c r="P1232" i="2"/>
  <c r="S1296" i="2"/>
  <c r="J912" i="2"/>
  <c r="U1918" i="2"/>
  <c r="T1257" i="2"/>
  <c r="T1144" i="2"/>
  <c r="P1682" i="2"/>
  <c r="Q1409" i="2"/>
  <c r="M1223" i="2"/>
  <c r="R1163" i="2"/>
  <c r="T1370" i="2"/>
  <c r="J1255" i="2"/>
  <c r="N1354" i="2"/>
  <c r="R1951" i="2"/>
  <c r="U1491" i="2"/>
  <c r="U1059" i="2"/>
  <c r="L1224" i="2"/>
  <c r="K829" i="2"/>
  <c r="P990" i="2"/>
  <c r="Q977" i="2"/>
  <c r="K1207" i="2"/>
  <c r="Q1026" i="2"/>
  <c r="T1073" i="2"/>
  <c r="N786" i="2"/>
  <c r="L469" i="2"/>
  <c r="M1379" i="2"/>
  <c r="T973" i="2"/>
  <c r="U1192" i="2"/>
  <c r="J852" i="2"/>
  <c r="M924" i="2"/>
  <c r="L999" i="2"/>
  <c r="O977" i="2"/>
  <c r="N544" i="2"/>
  <c r="K2266" i="2"/>
  <c r="K1651" i="2"/>
  <c r="K1092" i="2"/>
  <c r="R1272" i="2"/>
  <c r="L1530" i="2"/>
  <c r="N627" i="2"/>
  <c r="K1511" i="2"/>
  <c r="T1334" i="2"/>
  <c r="P1575" i="2"/>
  <c r="K1090" i="2"/>
  <c r="J715" i="2"/>
  <c r="J1184" i="2"/>
  <c r="Q827" i="2"/>
  <c r="N1131" i="2"/>
  <c r="J390" i="2"/>
  <c r="M1088" i="2"/>
  <c r="T1143" i="2"/>
  <c r="U1559" i="2"/>
  <c r="J842" i="2"/>
  <c r="J1240" i="2"/>
  <c r="U471" i="2"/>
  <c r="T848" i="2"/>
  <c r="Q1030" i="2"/>
  <c r="P288" i="2"/>
  <c r="S1559" i="2"/>
  <c r="J972" i="2"/>
  <c r="J1189" i="2"/>
  <c r="N993" i="2"/>
  <c r="O1169" i="2"/>
  <c r="T748" i="2"/>
  <c r="K797" i="2"/>
  <c r="Q895" i="2"/>
  <c r="J1023" i="2"/>
  <c r="P1250" i="2"/>
  <c r="N1685" i="2"/>
  <c r="P1695" i="2"/>
  <c r="J1561" i="2"/>
  <c r="J1137" i="2"/>
  <c r="U1062" i="2"/>
  <c r="M1097" i="2"/>
  <c r="M971" i="2"/>
  <c r="M1019" i="2"/>
  <c r="L1257" i="2"/>
  <c r="O1006" i="2"/>
  <c r="L1039" i="2"/>
  <c r="U839" i="2"/>
  <c r="O1345" i="2"/>
  <c r="K962" i="2"/>
  <c r="T1382" i="2"/>
  <c r="M1065" i="2"/>
  <c r="M1697" i="2"/>
  <c r="M1805" i="2"/>
  <c r="K1811" i="2"/>
  <c r="U1013" i="2"/>
  <c r="J1087" i="2"/>
  <c r="P784" i="2"/>
  <c r="R1609" i="2"/>
  <c r="K1188" i="2"/>
  <c r="M1041" i="2"/>
  <c r="R1571" i="2"/>
  <c r="M809" i="2"/>
  <c r="P980" i="2"/>
  <c r="U547" i="2"/>
  <c r="K1168" i="2"/>
  <c r="P1223" i="2"/>
  <c r="S1371" i="2"/>
  <c r="N1277" i="2"/>
  <c r="J929" i="2"/>
  <c r="N867" i="2"/>
  <c r="U979" i="2"/>
  <c r="Q1348" i="2"/>
  <c r="O1762" i="2"/>
  <c r="J1340" i="2"/>
  <c r="U1168" i="2"/>
  <c r="T912" i="2"/>
  <c r="O1732" i="2"/>
  <c r="M1276" i="2"/>
  <c r="K1590" i="2"/>
  <c r="R1170" i="2"/>
  <c r="Q918" i="2"/>
  <c r="U1253" i="2"/>
  <c r="R1484" i="2"/>
  <c r="L1031" i="2"/>
  <c r="O1068" i="2"/>
  <c r="R907" i="2"/>
  <c r="U731" i="2"/>
  <c r="S722" i="2"/>
  <c r="Q663" i="2"/>
  <c r="J418" i="2"/>
  <c r="M1008" i="2"/>
  <c r="R932" i="2"/>
  <c r="K836" i="2"/>
  <c r="N879" i="2"/>
  <c r="K1589" i="2"/>
  <c r="N1403" i="2"/>
  <c r="J1013" i="2"/>
  <c r="R491" i="2"/>
  <c r="K929" i="2"/>
  <c r="P798" i="2"/>
  <c r="N845" i="2"/>
  <c r="R551" i="2"/>
  <c r="N564" i="2"/>
  <c r="S485" i="2"/>
  <c r="M647" i="2"/>
  <c r="Q449" i="2"/>
  <c r="T240" i="2"/>
  <c r="N1500" i="2"/>
  <c r="S1052" i="2"/>
  <c r="P782" i="2"/>
  <c r="U654" i="2"/>
  <c r="M676" i="2"/>
  <c r="R721" i="2"/>
  <c r="K660" i="2"/>
  <c r="M719" i="2"/>
  <c r="S1105" i="2"/>
  <c r="P1009" i="2"/>
  <c r="S275" i="2"/>
  <c r="T693" i="2"/>
  <c r="P379" i="2"/>
  <c r="O1769" i="2"/>
  <c r="S943" i="2"/>
  <c r="Q1028" i="2"/>
  <c r="P890" i="2"/>
  <c r="R1342" i="2"/>
  <c r="S791" i="2"/>
  <c r="J635" i="2"/>
  <c r="J2164" i="2"/>
  <c r="N1515" i="2"/>
  <c r="Q1475" i="2"/>
  <c r="O1616" i="2"/>
  <c r="U1023" i="2"/>
  <c r="S1631" i="2"/>
  <c r="J1151" i="2"/>
  <c r="R1442" i="2"/>
  <c r="M1888" i="2"/>
  <c r="J1707" i="2"/>
  <c r="K1213" i="2"/>
  <c r="T1342" i="2"/>
  <c r="U1348" i="2"/>
  <c r="N1915" i="2"/>
  <c r="N1678" i="2"/>
  <c r="P1762" i="2"/>
  <c r="K1444" i="2"/>
  <c r="J1126" i="2"/>
  <c r="N1220" i="2"/>
  <c r="J1397" i="2"/>
  <c r="L1306" i="2"/>
  <c r="T913" i="2"/>
  <c r="Q1562" i="2"/>
  <c r="O1186" i="2"/>
  <c r="Q807" i="2"/>
  <c r="M1110" i="2"/>
  <c r="T1597" i="2"/>
  <c r="N827" i="2"/>
  <c r="K889" i="2"/>
  <c r="R1263" i="2"/>
  <c r="J1350" i="2"/>
  <c r="P1825" i="2"/>
  <c r="Q1451" i="2"/>
  <c r="U1048" i="2"/>
  <c r="N1583" i="2"/>
  <c r="K993" i="2"/>
  <c r="U1724" i="2"/>
  <c r="J1687" i="2"/>
  <c r="J1335" i="2"/>
  <c r="J1119" i="2"/>
  <c r="T1261" i="2"/>
  <c r="N1278" i="2"/>
  <c r="Q963" i="2"/>
  <c r="T1280" i="2"/>
  <c r="U1568" i="2"/>
  <c r="N1119" i="2"/>
  <c r="T1182" i="2"/>
  <c r="K1370" i="2"/>
  <c r="J1208" i="2"/>
  <c r="O1708" i="2"/>
  <c r="L1104" i="2"/>
  <c r="J1082" i="2"/>
  <c r="S1375" i="2"/>
  <c r="K1725" i="2"/>
  <c r="L1239" i="2"/>
  <c r="Q867" i="2"/>
  <c r="Q1678" i="2"/>
  <c r="Q1848" i="2"/>
  <c r="U1711" i="2"/>
  <c r="J998" i="2"/>
  <c r="J2055" i="2"/>
  <c r="S1068" i="2"/>
  <c r="R1724" i="2"/>
  <c r="O1474" i="2"/>
  <c r="P1106" i="2"/>
  <c r="U1321" i="2"/>
  <c r="U1503" i="2"/>
  <c r="P1031" i="2"/>
  <c r="M1378" i="2"/>
  <c r="M927" i="2"/>
  <c r="T1394" i="2"/>
  <c r="T1089" i="2"/>
  <c r="K984" i="2"/>
  <c r="Q1174" i="2"/>
  <c r="O843" i="2"/>
  <c r="J2020" i="2"/>
  <c r="U1131" i="2"/>
  <c r="U1219" i="2"/>
  <c r="N971" i="2"/>
  <c r="N1183" i="2"/>
  <c r="R970" i="2"/>
  <c r="O587" i="2"/>
  <c r="J1201" i="2"/>
  <c r="S1625" i="2"/>
  <c r="T1065" i="2"/>
  <c r="N1470" i="2"/>
  <c r="T1495" i="2"/>
  <c r="K1037" i="2"/>
  <c r="S1237" i="2"/>
  <c r="M1477" i="2"/>
  <c r="J1398" i="2"/>
  <c r="N1184" i="2"/>
  <c r="U973" i="2"/>
  <c r="U1002" i="2"/>
  <c r="P562" i="2"/>
  <c r="R1066" i="2"/>
  <c r="J552" i="2"/>
  <c r="M1043" i="2"/>
  <c r="J1731" i="2"/>
  <c r="J1040" i="2"/>
  <c r="N1070" i="2"/>
  <c r="U1084" i="2"/>
  <c r="K1050" i="2"/>
  <c r="Q1494" i="2"/>
  <c r="M1094" i="2"/>
  <c r="U1026" i="2"/>
  <c r="M784" i="2"/>
  <c r="O1446" i="2"/>
  <c r="P1175" i="2"/>
  <c r="N1287" i="2"/>
  <c r="N833" i="2"/>
  <c r="T902" i="2"/>
  <c r="P963" i="2"/>
  <c r="U983" i="2"/>
  <c r="T1417" i="2"/>
  <c r="S525" i="2"/>
  <c r="U1214" i="2"/>
  <c r="P1329" i="2"/>
  <c r="Q1090" i="2"/>
  <c r="K1849" i="2"/>
  <c r="K1025" i="2"/>
  <c r="U1826" i="2"/>
  <c r="M1121" i="2"/>
  <c r="J1052" i="2"/>
  <c r="S1216" i="2"/>
  <c r="R1173" i="2"/>
  <c r="S1187" i="2"/>
  <c r="S1147" i="2"/>
  <c r="O1434" i="2"/>
  <c r="T1505" i="2"/>
  <c r="R1576" i="2"/>
  <c r="N1081" i="2"/>
  <c r="J1460" i="2"/>
  <c r="Q1608" i="2"/>
  <c r="M1193" i="2"/>
  <c r="R1530" i="2"/>
  <c r="L1159" i="2"/>
  <c r="M823" i="2"/>
  <c r="T725" i="2"/>
  <c r="R1291" i="2"/>
  <c r="O1102" i="2"/>
  <c r="M739" i="2"/>
  <c r="U862" i="2"/>
  <c r="L829" i="2"/>
  <c r="U927" i="2"/>
  <c r="R959" i="2"/>
  <c r="M1498" i="2"/>
  <c r="K1551" i="2"/>
  <c r="N1344" i="2"/>
  <c r="P1399" i="2"/>
  <c r="U963" i="2"/>
  <c r="S1341" i="2"/>
  <c r="M941" i="2"/>
  <c r="O1612" i="2"/>
  <c r="N1443" i="2"/>
  <c r="L1687" i="2"/>
  <c r="U1003" i="2"/>
  <c r="N1076" i="2"/>
  <c r="O1936" i="2"/>
  <c r="O1100" i="2"/>
  <c r="S1191" i="2"/>
  <c r="Q1310" i="2"/>
  <c r="J1056" i="2"/>
  <c r="S1244" i="2"/>
  <c r="M1055" i="2"/>
  <c r="R1134" i="2"/>
  <c r="U1502" i="2"/>
  <c r="R868" i="2"/>
  <c r="R1445" i="2"/>
  <c r="J1071" i="2"/>
  <c r="T737" i="2"/>
  <c r="P742" i="2"/>
  <c r="U930" i="2"/>
  <c r="R774" i="2"/>
  <c r="L553" i="2"/>
  <c r="U863" i="2"/>
  <c r="M1174" i="2"/>
  <c r="P771" i="2"/>
  <c r="N1017" i="2"/>
  <c r="Q770" i="2"/>
  <c r="U797" i="2"/>
  <c r="J975" i="2"/>
  <c r="O762" i="2"/>
  <c r="R486" i="2"/>
  <c r="J621" i="2"/>
  <c r="S846" i="2"/>
  <c r="T575" i="2"/>
  <c r="N740" i="2"/>
  <c r="J491" i="2"/>
  <c r="L1177" i="2"/>
  <c r="S919" i="2"/>
  <c r="T915" i="2"/>
  <c r="M556" i="2"/>
  <c r="L1059" i="2"/>
  <c r="J367" i="2"/>
  <c r="K566" i="2"/>
  <c r="J584" i="2"/>
  <c r="O1118" i="2"/>
  <c r="P875" i="2"/>
  <c r="N389" i="2"/>
  <c r="K413" i="2"/>
  <c r="L810" i="2"/>
  <c r="K1296" i="2"/>
  <c r="U1144" i="2"/>
  <c r="R542" i="2"/>
  <c r="L997" i="2"/>
  <c r="S932" i="2"/>
  <c r="O530" i="2"/>
  <c r="S915" i="2"/>
  <c r="M1837" i="2"/>
  <c r="R1459" i="2"/>
  <c r="P1194" i="2"/>
  <c r="N1786" i="2"/>
  <c r="U1349" i="2"/>
  <c r="T1184" i="2"/>
  <c r="O1467" i="2"/>
  <c r="U1302" i="2"/>
  <c r="S1284" i="2"/>
  <c r="R2010" i="2"/>
  <c r="T1242" i="2"/>
  <c r="R1332" i="2"/>
  <c r="J1352" i="2"/>
  <c r="O1381" i="2"/>
  <c r="O1240" i="2"/>
  <c r="P1559" i="2"/>
  <c r="S1259" i="2"/>
  <c r="R1185" i="2"/>
  <c r="S1605" i="2"/>
  <c r="S1281" i="2"/>
  <c r="P2036" i="2"/>
  <c r="M1069" i="2"/>
  <c r="U1361" i="2"/>
  <c r="S1399" i="2"/>
  <c r="J1251" i="2"/>
  <c r="U1128" i="2"/>
  <c r="N1418" i="2"/>
  <c r="Q1336" i="2"/>
  <c r="J1004" i="2"/>
  <c r="R1617" i="2"/>
  <c r="T1348" i="2"/>
  <c r="Q1691" i="2"/>
  <c r="M1494" i="2"/>
  <c r="U1445" i="2"/>
  <c r="R1453" i="2"/>
  <c r="T713" i="2"/>
  <c r="Q1233" i="2"/>
  <c r="S1149" i="2"/>
  <c r="L1288" i="2"/>
  <c r="T1204" i="2"/>
  <c r="M999" i="2"/>
  <c r="M878" i="2"/>
  <c r="K1548" i="2"/>
  <c r="O1426" i="2"/>
  <c r="K1356" i="2"/>
  <c r="O1093" i="2"/>
  <c r="J1774" i="2"/>
  <c r="O1464" i="2"/>
  <c r="T1670" i="2"/>
  <c r="T1992" i="2"/>
  <c r="T1625" i="2"/>
  <c r="R1542" i="2"/>
  <c r="S1476" i="2"/>
  <c r="N1331" i="2"/>
  <c r="L1507" i="2"/>
  <c r="M1318" i="2"/>
  <c r="U1475" i="2"/>
  <c r="Q1235" i="2"/>
  <c r="K1505" i="2"/>
  <c r="M1984" i="2"/>
  <c r="M1556" i="2"/>
  <c r="N1238" i="2"/>
  <c r="Q1537" i="2"/>
  <c r="K1784" i="2"/>
  <c r="R1178" i="2"/>
  <c r="J1024" i="2"/>
  <c r="Q1070" i="2"/>
  <c r="T1195" i="2"/>
  <c r="M1347" i="2"/>
  <c r="K1062" i="2"/>
  <c r="O1487" i="2"/>
  <c r="R536" i="2"/>
  <c r="M1083" i="2"/>
  <c r="T945" i="2"/>
  <c r="K647" i="2"/>
  <c r="R1461" i="2"/>
  <c r="L969" i="2"/>
  <c r="U916" i="2"/>
  <c r="N995" i="2"/>
  <c r="J784" i="2"/>
  <c r="R918" i="2"/>
  <c r="J658" i="2"/>
  <c r="L827" i="2"/>
  <c r="Q1567" i="2"/>
  <c r="S1196" i="2"/>
  <c r="R1347" i="2"/>
  <c r="P1056" i="2"/>
  <c r="M747" i="2"/>
  <c r="O873" i="2"/>
  <c r="O1236" i="2"/>
  <c r="J1306" i="2"/>
  <c r="O1167" i="2"/>
  <c r="L858" i="2"/>
  <c r="J1105" i="2"/>
  <c r="J650" i="2"/>
  <c r="Q516" i="2"/>
  <c r="U1147" i="2"/>
  <c r="Q605" i="2"/>
  <c r="K1446" i="2"/>
  <c r="O1225" i="2"/>
  <c r="N1558" i="2"/>
  <c r="O1201" i="2"/>
  <c r="O801" i="2"/>
  <c r="M807" i="2"/>
  <c r="K1134" i="2"/>
  <c r="P932" i="2"/>
  <c r="M860" i="2"/>
  <c r="R1429" i="2"/>
  <c r="R958" i="2"/>
  <c r="U1308" i="2"/>
  <c r="N1185" i="2"/>
  <c r="N758" i="2"/>
  <c r="P772" i="2"/>
  <c r="U1071" i="2"/>
  <c r="M921" i="2"/>
  <c r="N1003" i="2"/>
  <c r="K1428" i="2"/>
  <c r="J1364" i="2"/>
  <c r="O1377" i="2"/>
  <c r="L1674" i="2"/>
  <c r="R1472" i="2"/>
  <c r="K1458" i="2"/>
  <c r="L892" i="2"/>
  <c r="M875" i="2"/>
  <c r="M1178" i="2"/>
  <c r="U1356" i="2"/>
  <c r="P1201" i="2"/>
  <c r="K1140" i="2"/>
  <c r="T1599" i="2"/>
  <c r="O1259" i="2"/>
  <c r="S1085" i="2"/>
  <c r="T1265" i="2"/>
  <c r="K857" i="2"/>
  <c r="O1519" i="2"/>
  <c r="T1235" i="2"/>
  <c r="S1160" i="2"/>
  <c r="P1259" i="2"/>
  <c r="R1128" i="2"/>
  <c r="T1313" i="2"/>
  <c r="L852" i="2"/>
  <c r="J924" i="2"/>
  <c r="N871" i="2"/>
  <c r="O1024" i="2"/>
  <c r="S1039" i="2"/>
  <c r="Q871" i="2"/>
  <c r="U525" i="2"/>
  <c r="O1196" i="2"/>
  <c r="P1365" i="2"/>
  <c r="S1078" i="2"/>
  <c r="P1218" i="2"/>
  <c r="M1152" i="2"/>
  <c r="N1136" i="2"/>
  <c r="R1131" i="2"/>
  <c r="R1547" i="2"/>
  <c r="N1370" i="2"/>
  <c r="N1142" i="2"/>
  <c r="U1143" i="2"/>
  <c r="Q953" i="2"/>
  <c r="M1772" i="2"/>
  <c r="U1345" i="2"/>
  <c r="S977" i="2"/>
  <c r="O1117" i="2"/>
  <c r="R890" i="2"/>
  <c r="T1149" i="2"/>
  <c r="S1268" i="2"/>
  <c r="Q1341" i="2"/>
  <c r="K915" i="2"/>
  <c r="T998" i="2"/>
  <c r="J815" i="2"/>
  <c r="M1122" i="2"/>
  <c r="M635" i="2"/>
  <c r="K625" i="2"/>
  <c r="P789" i="2"/>
  <c r="M1021" i="2"/>
  <c r="S687" i="2"/>
  <c r="J407" i="2"/>
  <c r="J1065" i="2"/>
  <c r="R974" i="2"/>
  <c r="T608" i="2"/>
  <c r="T937" i="2"/>
  <c r="N1035" i="2"/>
  <c r="R786" i="2"/>
  <c r="M510" i="2"/>
  <c r="O852" i="2"/>
  <c r="O542" i="2"/>
  <c r="S669" i="2"/>
  <c r="U880" i="2"/>
  <c r="M475" i="2"/>
  <c r="N360" i="2"/>
  <c r="L975" i="2"/>
  <c r="S913" i="2"/>
  <c r="J572" i="2"/>
  <c r="K1079" i="2"/>
  <c r="P851" i="2"/>
  <c r="P793" i="2"/>
  <c r="U569" i="2"/>
  <c r="O1034" i="2"/>
  <c r="T548" i="2"/>
  <c r="K701" i="2"/>
  <c r="J549" i="2"/>
  <c r="J453" i="2"/>
  <c r="R740" i="2"/>
  <c r="O1181" i="2"/>
  <c r="T888" i="2"/>
  <c r="K630" i="2"/>
  <c r="J1032" i="2"/>
  <c r="S619" i="2"/>
  <c r="K750" i="2"/>
  <c r="O706" i="2"/>
  <c r="Q1594" i="2"/>
  <c r="S1965" i="2"/>
  <c r="T2310" i="2"/>
  <c r="U1324" i="2"/>
  <c r="L1173" i="2"/>
  <c r="R1467" i="2"/>
  <c r="M1288" i="2"/>
  <c r="K772" i="2"/>
  <c r="S1230" i="2"/>
  <c r="T1720" i="2"/>
  <c r="R1362" i="2"/>
  <c r="P1765" i="2"/>
  <c r="J1293" i="2"/>
  <c r="U1484" i="2"/>
  <c r="R1614" i="2"/>
  <c r="O1825" i="2"/>
  <c r="T1377" i="2"/>
  <c r="N1266" i="2"/>
  <c r="S1310" i="2"/>
  <c r="K1631" i="2"/>
  <c r="M1025" i="2"/>
  <c r="N1116" i="2"/>
  <c r="R1325" i="2"/>
  <c r="R1295" i="2"/>
  <c r="O1041" i="2"/>
  <c r="U957" i="2"/>
  <c r="S950" i="2"/>
  <c r="P1242" i="2"/>
  <c r="L916" i="2"/>
  <c r="O1255" i="2"/>
  <c r="U1257" i="2"/>
  <c r="P1170" i="2"/>
  <c r="K1649" i="2"/>
  <c r="P1138" i="2"/>
  <c r="O1061" i="2"/>
  <c r="K1023" i="2"/>
  <c r="O1332" i="2"/>
  <c r="Q1354" i="2"/>
  <c r="P1438" i="2"/>
  <c r="P2093" i="2"/>
  <c r="P1053" i="2"/>
  <c r="O887" i="2"/>
  <c r="R1783" i="2"/>
  <c r="L1304" i="2"/>
  <c r="M1502" i="2"/>
  <c r="O1089" i="2"/>
  <c r="L1157" i="2"/>
  <c r="T1864" i="2"/>
  <c r="L1445" i="2"/>
  <c r="K1375" i="2"/>
  <c r="S1175" i="2"/>
  <c r="Q1382" i="2"/>
  <c r="L1619" i="2"/>
  <c r="L1063" i="2"/>
  <c r="U1040" i="2"/>
  <c r="S1595" i="2"/>
  <c r="K1402" i="2"/>
  <c r="U1081" i="2"/>
  <c r="T1543" i="2"/>
  <c r="P1441" i="2"/>
  <c r="T1741" i="2"/>
  <c r="T983" i="2"/>
  <c r="R1214" i="2"/>
  <c r="O1591" i="2"/>
  <c r="O1212" i="2"/>
  <c r="K1674" i="2"/>
  <c r="K1383" i="2"/>
  <c r="J826" i="2"/>
  <c r="S979" i="2"/>
  <c r="K1249" i="2"/>
  <c r="R1089" i="2"/>
  <c r="S605" i="2"/>
  <c r="O1182" i="2"/>
  <c r="S1229" i="2"/>
  <c r="P2062" i="2"/>
  <c r="U1377" i="2"/>
  <c r="U1177" i="2"/>
  <c r="N824" i="2"/>
  <c r="O898" i="2"/>
  <c r="L1132" i="2"/>
  <c r="P843" i="2"/>
  <c r="K1437" i="2"/>
  <c r="M1180" i="2"/>
  <c r="O2093" i="2"/>
  <c r="J1213" i="2"/>
  <c r="U1628" i="2"/>
  <c r="P1088" i="2"/>
  <c r="N1300" i="2"/>
  <c r="Q1251" i="2"/>
  <c r="R1357" i="2"/>
  <c r="M1092" i="2"/>
  <c r="K746" i="2"/>
  <c r="Q1496" i="2"/>
  <c r="K1004" i="2"/>
  <c r="L1153" i="2"/>
  <c r="Q1044" i="2"/>
  <c r="Q952" i="2"/>
  <c r="O741" i="2"/>
  <c r="K1556" i="2"/>
  <c r="T1013" i="2"/>
  <c r="K1186" i="2"/>
  <c r="R1078" i="2"/>
  <c r="Q2029" i="2"/>
  <c r="T1026" i="2"/>
  <c r="K982" i="2"/>
  <c r="O1365" i="2"/>
  <c r="Q579" i="2"/>
  <c r="N1359" i="2"/>
  <c r="Q1221" i="2"/>
  <c r="U716" i="2"/>
  <c r="O698" i="2"/>
  <c r="U895" i="2"/>
  <c r="Q656" i="2"/>
  <c r="N1055" i="2"/>
  <c r="P882" i="2"/>
  <c r="N694" i="2"/>
  <c r="U1294" i="2"/>
  <c r="L1087" i="2"/>
  <c r="S1516" i="2"/>
  <c r="J1540" i="2"/>
  <c r="T1128" i="2"/>
  <c r="L1090" i="2"/>
  <c r="N848" i="2"/>
  <c r="S1354" i="2"/>
  <c r="K752" i="2"/>
  <c r="M1419" i="2"/>
  <c r="R1414" i="2"/>
  <c r="N1144" i="2"/>
  <c r="O1640" i="2"/>
  <c r="Q1700" i="2"/>
  <c r="O2036" i="2"/>
  <c r="L1514" i="2"/>
  <c r="T1273" i="2"/>
  <c r="L1338" i="2"/>
  <c r="N1315" i="2"/>
  <c r="N1655" i="2"/>
  <c r="L1234" i="2"/>
  <c r="M1165" i="2"/>
  <c r="L1131" i="2"/>
  <c r="M1907" i="2"/>
  <c r="O1592" i="2"/>
  <c r="L1317" i="2"/>
  <c r="P1674" i="2"/>
  <c r="O1325" i="2"/>
  <c r="R1455" i="2"/>
  <c r="M1529" i="2"/>
  <c r="P1264" i="2"/>
  <c r="S1816" i="2"/>
  <c r="J1103" i="2"/>
  <c r="U997" i="2"/>
  <c r="R1462" i="2"/>
  <c r="U1276" i="2"/>
  <c r="M961" i="2"/>
  <c r="L1300" i="2"/>
  <c r="N1151" i="2"/>
  <c r="J1266" i="2"/>
  <c r="J1367" i="2"/>
  <c r="M1410" i="2"/>
  <c r="S1075" i="2"/>
  <c r="Q1489" i="2"/>
  <c r="O1582" i="2"/>
  <c r="R847" i="2"/>
  <c r="K1321" i="2"/>
  <c r="T796" i="2"/>
  <c r="P1892" i="2"/>
  <c r="N1051" i="2"/>
  <c r="U1185" i="2"/>
  <c r="P1182" i="2"/>
  <c r="J1603" i="2"/>
  <c r="R822" i="2"/>
  <c r="M1600" i="2"/>
  <c r="J1393" i="2"/>
  <c r="N1212" i="2"/>
  <c r="K846" i="2"/>
  <c r="L1425" i="2"/>
  <c r="K1859" i="2"/>
  <c r="J1404" i="2"/>
  <c r="T1484" i="2"/>
  <c r="J1621" i="2"/>
  <c r="Q1321" i="2"/>
  <c r="T1560" i="2"/>
  <c r="O1317" i="2"/>
  <c r="K1592" i="2"/>
  <c r="J1427" i="2"/>
  <c r="T1458" i="2"/>
  <c r="J1365" i="2"/>
  <c r="N1372" i="2"/>
  <c r="N1998" i="2"/>
  <c r="Q1163" i="2"/>
  <c r="N924" i="2"/>
  <c r="S1579" i="2"/>
  <c r="J1836" i="2"/>
  <c r="R1478" i="2"/>
  <c r="N1255" i="2"/>
  <c r="R993" i="2"/>
  <c r="U1141" i="2"/>
  <c r="J1462" i="2"/>
  <c r="Q1176" i="2"/>
  <c r="P1004" i="2"/>
  <c r="M1105" i="2"/>
  <c r="M825" i="2"/>
  <c r="R1195" i="2"/>
  <c r="M1550" i="2"/>
  <c r="U1411" i="2"/>
  <c r="T1032" i="2"/>
  <c r="K944" i="2"/>
  <c r="O821" i="2"/>
  <c r="L661" i="2"/>
  <c r="L504" i="2"/>
  <c r="M804" i="2"/>
  <c r="O880" i="2"/>
  <c r="L1792" i="2"/>
  <c r="T1388" i="2"/>
  <c r="K1236" i="2"/>
  <c r="T1544" i="2"/>
  <c r="M1210" i="2"/>
  <c r="N894" i="2"/>
  <c r="K1264" i="2"/>
  <c r="P1358" i="2"/>
  <c r="M1459" i="2"/>
  <c r="O744" i="2"/>
  <c r="Q1166" i="2"/>
  <c r="P997" i="2"/>
  <c r="M907" i="2"/>
  <c r="O848" i="2"/>
  <c r="T320" i="2"/>
  <c r="N975" i="2"/>
  <c r="O1557" i="2"/>
  <c r="K972" i="2"/>
  <c r="L867" i="2"/>
  <c r="Q1062" i="2"/>
  <c r="T852" i="2"/>
  <c r="O487" i="2"/>
  <c r="Q1113" i="2"/>
  <c r="N793" i="2"/>
  <c r="K1246" i="2"/>
  <c r="Q1185" i="2"/>
  <c r="M960" i="2"/>
  <c r="T1548" i="2"/>
  <c r="Q1114" i="2"/>
  <c r="L843" i="2"/>
  <c r="O922" i="2"/>
  <c r="N943" i="2"/>
  <c r="R745" i="2"/>
  <c r="U1426" i="2"/>
  <c r="Q1069" i="2"/>
  <c r="M1060" i="2"/>
  <c r="L1162" i="2"/>
  <c r="S1194" i="2"/>
  <c r="L1714" i="2"/>
  <c r="U1584" i="2"/>
  <c r="U1333" i="2"/>
  <c r="O1939" i="2"/>
  <c r="O1215" i="2"/>
  <c r="N1390" i="2"/>
  <c r="R987" i="2"/>
  <c r="U1289" i="2"/>
  <c r="Q1320" i="2"/>
  <c r="M1524" i="2"/>
  <c r="J1715" i="2"/>
  <c r="P1758" i="2"/>
  <c r="P2063" i="2"/>
  <c r="N1342" i="2"/>
  <c r="L1436" i="2"/>
  <c r="U1802" i="2"/>
  <c r="S1285" i="2"/>
  <c r="N1326" i="2"/>
  <c r="S1851" i="2"/>
  <c r="N1322" i="2"/>
  <c r="Q1314" i="2"/>
  <c r="S1380" i="2"/>
  <c r="L1226" i="2"/>
  <c r="M1595" i="2"/>
  <c r="T1152" i="2"/>
  <c r="R739" i="2"/>
  <c r="P1109" i="2"/>
  <c r="L1309" i="2"/>
  <c r="U1012" i="2"/>
  <c r="Q904" i="2"/>
  <c r="L1180" i="2"/>
  <c r="M1447" i="2"/>
  <c r="J1148" i="2"/>
  <c r="P1628" i="2"/>
  <c r="K1085" i="2"/>
  <c r="L1586" i="2"/>
  <c r="J941" i="2"/>
  <c r="O1575" i="2"/>
  <c r="U2024" i="2"/>
  <c r="M1723" i="2"/>
  <c r="S1803" i="2"/>
  <c r="O1513" i="2"/>
  <c r="N1196" i="2"/>
  <c r="K1841" i="2"/>
  <c r="U1075" i="2"/>
  <c r="J1057" i="2"/>
  <c r="T1081" i="2"/>
  <c r="K1563" i="2"/>
  <c r="Q1509" i="2"/>
  <c r="M1341" i="2"/>
  <c r="U1335" i="2"/>
  <c r="U1227" i="2"/>
  <c r="U1320" i="2"/>
  <c r="T1166" i="2"/>
  <c r="J1470" i="2"/>
  <c r="R1404" i="2"/>
  <c r="L1088" i="2"/>
  <c r="J1223" i="2"/>
  <c r="K1662" i="2"/>
  <c r="R1520" i="2"/>
  <c r="N1974" i="2"/>
  <c r="M1298" i="2"/>
  <c r="J1653" i="2"/>
  <c r="Q1471" i="2"/>
  <c r="S1620" i="2"/>
  <c r="T1600" i="2"/>
  <c r="K1729" i="2"/>
  <c r="J892" i="2"/>
  <c r="T1139" i="2"/>
  <c r="T1169" i="2"/>
  <c r="P850" i="2"/>
  <c r="K1923" i="2"/>
  <c r="K1165" i="2"/>
  <c r="M1247" i="2"/>
  <c r="S1298" i="2"/>
  <c r="T1201" i="2"/>
  <c r="M1300" i="2"/>
  <c r="U1236" i="2"/>
  <c r="L1410" i="2"/>
  <c r="K1431" i="2"/>
  <c r="N1495" i="2"/>
  <c r="N1902" i="2"/>
  <c r="L2024" i="2"/>
  <c r="P1524" i="2"/>
  <c r="Q1504" i="2"/>
  <c r="N1632" i="2"/>
  <c r="M2115" i="2"/>
  <c r="O1386" i="2"/>
  <c r="P2294" i="2"/>
  <c r="P1854" i="2"/>
  <c r="T1396" i="2"/>
  <c r="O1187" i="2"/>
  <c r="P1160" i="2"/>
  <c r="L1293" i="2"/>
  <c r="O1063" i="2"/>
  <c r="J1067" i="2"/>
  <c r="Q925" i="2"/>
  <c r="K1135" i="2"/>
  <c r="O1046" i="2"/>
  <c r="T1052" i="2"/>
  <c r="M1814" i="2"/>
  <c r="K1031" i="2"/>
  <c r="L1559" i="2"/>
  <c r="P1291" i="2"/>
  <c r="U1045" i="2"/>
  <c r="N1092" i="2"/>
  <c r="N1088" i="2"/>
  <c r="S1326" i="2"/>
  <c r="J1323" i="2"/>
  <c r="M1095" i="2"/>
  <c r="N898" i="2"/>
  <c r="U1239" i="2"/>
  <c r="Q1255" i="2"/>
  <c r="O1492" i="2"/>
  <c r="Q1519" i="2"/>
  <c r="T1573" i="2"/>
  <c r="O1166" i="2"/>
  <c r="S1381" i="2"/>
  <c r="S1185" i="2"/>
  <c r="Q1267" i="2"/>
  <c r="N1426" i="2"/>
  <c r="K1139" i="2"/>
  <c r="K1549" i="2"/>
  <c r="N1330" i="2"/>
  <c r="O1279" i="2"/>
  <c r="P1169" i="2"/>
  <c r="N1270" i="2"/>
  <c r="U1313" i="2"/>
  <c r="M1581" i="2"/>
  <c r="J1419" i="2"/>
  <c r="N1943" i="2"/>
  <c r="J1795" i="2"/>
  <c r="U1553" i="2"/>
  <c r="M1104" i="2"/>
  <c r="M1548" i="2"/>
  <c r="M1195" i="2"/>
  <c r="N1033" i="2"/>
  <c r="O1297" i="2"/>
  <c r="O1085" i="2"/>
  <c r="Q1405" i="2"/>
  <c r="T1008" i="2"/>
  <c r="S873" i="2"/>
  <c r="S691" i="2"/>
  <c r="M621" i="2"/>
  <c r="K884" i="2"/>
  <c r="T1922" i="2"/>
  <c r="R1142" i="2"/>
  <c r="J1115" i="2"/>
  <c r="P903" i="2"/>
  <c r="J1250" i="2"/>
  <c r="L530" i="2"/>
  <c r="S805" i="2"/>
  <c r="J1044" i="2"/>
  <c r="O1235" i="2"/>
  <c r="L1531" i="2"/>
  <c r="T1434" i="2"/>
  <c r="T1347" i="2"/>
  <c r="K952" i="2"/>
  <c r="T1274" i="2"/>
  <c r="K441" i="2"/>
  <c r="N1031" i="2"/>
  <c r="P1352" i="2"/>
  <c r="K1146" i="2"/>
  <c r="O1131" i="2"/>
  <c r="T1049" i="2"/>
  <c r="T847" i="2"/>
  <c r="O869" i="2"/>
  <c r="J984" i="2"/>
  <c r="N1925" i="2"/>
  <c r="M1133" i="2"/>
  <c r="K966" i="2"/>
  <c r="Q1013" i="2"/>
  <c r="J1143" i="2"/>
  <c r="K777" i="2"/>
  <c r="U688" i="2"/>
  <c r="T1360" i="2"/>
  <c r="U929" i="2"/>
  <c r="U2012" i="2"/>
  <c r="O1830" i="2"/>
  <c r="O1469" i="2"/>
  <c r="R1334" i="2"/>
  <c r="P1742" i="2"/>
  <c r="U1997" i="2"/>
  <c r="T1299" i="2"/>
  <c r="J1280" i="2"/>
  <c r="N1164" i="2"/>
  <c r="Q1389" i="2"/>
  <c r="P1585" i="2"/>
  <c r="S1577" i="2"/>
  <c r="M1363" i="2"/>
  <c r="T1710" i="2"/>
  <c r="L1752" i="2"/>
  <c r="T1507" i="2"/>
  <c r="U1371" i="2"/>
  <c r="O1627" i="2"/>
  <c r="S1566" i="2"/>
  <c r="O1410" i="2"/>
  <c r="P1333" i="2"/>
  <c r="L915" i="2"/>
  <c r="T1085" i="2"/>
  <c r="L1408" i="2"/>
  <c r="N1040" i="2"/>
  <c r="Q1603" i="2"/>
  <c r="J1391" i="2"/>
  <c r="Q1088" i="2"/>
  <c r="R922" i="2"/>
  <c r="K1620" i="2"/>
  <c r="N1800" i="2"/>
  <c r="T1547" i="2"/>
  <c r="J1486" i="2"/>
  <c r="L1212" i="2"/>
  <c r="N1651" i="2"/>
  <c r="K1030" i="2"/>
  <c r="S1670" i="2"/>
  <c r="Q1276" i="2"/>
  <c r="Q1328" i="2"/>
  <c r="S1640" i="2"/>
  <c r="Q1695" i="2"/>
  <c r="L983" i="2"/>
  <c r="K1420" i="2"/>
  <c r="U1432" i="2"/>
  <c r="T1278" i="2"/>
  <c r="P1371" i="2"/>
  <c r="N1229" i="2"/>
  <c r="L1644" i="2"/>
  <c r="P981" i="2"/>
  <c r="L1491" i="2"/>
  <c r="J1270" i="2"/>
  <c r="O1771" i="2"/>
  <c r="P1772" i="2"/>
  <c r="N1206" i="2"/>
  <c r="T1955" i="2"/>
  <c r="R1880" i="2"/>
  <c r="K1287" i="2"/>
  <c r="O1741" i="2"/>
  <c r="U1316" i="2"/>
  <c r="U1610" i="2"/>
  <c r="J1216" i="2"/>
  <c r="O1083" i="2"/>
  <c r="N1292" i="2"/>
  <c r="U1489" i="2"/>
  <c r="P1783" i="2"/>
  <c r="R1505" i="2"/>
  <c r="T1021" i="2"/>
  <c r="P1422" i="2"/>
  <c r="Q1216" i="2"/>
  <c r="U969" i="2"/>
  <c r="R828" i="2"/>
  <c r="M828" i="2"/>
  <c r="N690" i="2"/>
  <c r="R1446" i="2"/>
  <c r="U1279" i="2"/>
  <c r="M1525" i="2"/>
  <c r="O1007" i="2"/>
  <c r="R1473" i="2"/>
  <c r="S1065" i="2"/>
  <c r="S617" i="2"/>
  <c r="N687" i="2"/>
  <c r="S519" i="2"/>
  <c r="Q817" i="2"/>
  <c r="Q1926" i="2"/>
  <c r="J1156" i="2"/>
  <c r="Q1439" i="2"/>
  <c r="U1056" i="2"/>
  <c r="K1183" i="2"/>
  <c r="T594" i="2"/>
  <c r="K1450" i="2"/>
  <c r="U1066" i="2"/>
  <c r="L1301" i="2"/>
  <c r="M1218" i="2"/>
  <c r="R753" i="2"/>
  <c r="U1180" i="2"/>
  <c r="P1010" i="2"/>
  <c r="N1187" i="2"/>
  <c r="R1528" i="2"/>
  <c r="L1133" i="2"/>
  <c r="S1488" i="2"/>
  <c r="K844" i="2"/>
  <c r="L918" i="2"/>
  <c r="L561" i="2"/>
  <c r="J1038" i="2"/>
  <c r="L960" i="2"/>
  <c r="K990" i="2"/>
  <c r="M1366" i="2"/>
  <c r="J1452" i="2"/>
  <c r="S1239" i="2"/>
  <c r="O1112" i="2"/>
  <c r="R981" i="2"/>
  <c r="U870" i="2"/>
  <c r="S985" i="2"/>
  <c r="N866" i="2"/>
  <c r="M990" i="2"/>
  <c r="O1568" i="2"/>
  <c r="S1121" i="2"/>
  <c r="O838" i="2"/>
  <c r="N1202" i="2"/>
  <c r="R1289" i="2"/>
  <c r="K1131" i="2"/>
  <c r="O1293" i="2"/>
  <c r="P707" i="2"/>
  <c r="N1052" i="2"/>
  <c r="P2015" i="2"/>
  <c r="U1485" i="2"/>
  <c r="J1194" i="2"/>
  <c r="L1335" i="2"/>
  <c r="L1677" i="2"/>
  <c r="R1686" i="2"/>
  <c r="T1552" i="2"/>
  <c r="Q1115" i="2"/>
  <c r="N1361" i="2"/>
  <c r="M2060" i="2"/>
  <c r="P1478" i="2"/>
  <c r="K1210" i="2"/>
  <c r="O1505" i="2"/>
  <c r="J1772" i="2"/>
  <c r="Q1385" i="2"/>
  <c r="Q1067" i="2"/>
  <c r="U1676" i="2"/>
  <c r="K1773" i="2"/>
  <c r="N1357" i="2"/>
  <c r="Q1268" i="2"/>
  <c r="U1761" i="2"/>
  <c r="U1695" i="2"/>
  <c r="T1650" i="2"/>
  <c r="P1016" i="2"/>
  <c r="S1248" i="2"/>
  <c r="P1391" i="2"/>
  <c r="S1144" i="2"/>
  <c r="O839" i="2"/>
  <c r="L1517" i="2"/>
  <c r="R1265" i="2"/>
  <c r="J1375" i="2"/>
  <c r="M890" i="2"/>
  <c r="K1306" i="2"/>
  <c r="M778" i="2"/>
  <c r="M1705" i="2"/>
  <c r="N1048" i="2"/>
  <c r="L761" i="2"/>
  <c r="S1257" i="2"/>
  <c r="S1032" i="2"/>
  <c r="K1233" i="2"/>
  <c r="J1574" i="2"/>
  <c r="L1136" i="2"/>
  <c r="N1082" i="2"/>
  <c r="S967" i="2"/>
  <c r="M1007" i="2"/>
  <c r="U1392" i="2"/>
  <c r="T1050" i="2"/>
  <c r="K1789" i="2"/>
  <c r="S1199" i="2"/>
  <c r="U1882" i="2"/>
  <c r="U1028" i="2"/>
  <c r="T952" i="2"/>
  <c r="L1232" i="2"/>
  <c r="O1300" i="2"/>
  <c r="N1225" i="2"/>
  <c r="R1439" i="2"/>
  <c r="L1386" i="2"/>
  <c r="N1254" i="2"/>
  <c r="R1594" i="2"/>
  <c r="S1099" i="2"/>
  <c r="T1059" i="2"/>
  <c r="S793" i="2"/>
  <c r="J1586" i="2"/>
  <c r="J1110" i="2"/>
  <c r="Q1141" i="2"/>
  <c r="M1354" i="2"/>
  <c r="N1305" i="2"/>
  <c r="K1303" i="2"/>
  <c r="P2027" i="2"/>
  <c r="U1631" i="2"/>
  <c r="U1521" i="2"/>
  <c r="N798" i="2"/>
  <c r="O813" i="2"/>
  <c r="J564" i="2"/>
  <c r="S889" i="2"/>
  <c r="T1051" i="2"/>
  <c r="Q1050" i="2"/>
  <c r="K1961" i="2"/>
  <c r="T1444" i="2"/>
  <c r="N1154" i="2"/>
  <c r="U1083" i="2"/>
  <c r="P1195" i="2"/>
  <c r="N942" i="2"/>
  <c r="U643" i="2"/>
  <c r="O998" i="2"/>
  <c r="J1245" i="2"/>
  <c r="O1105" i="2"/>
  <c r="S1198" i="2"/>
  <c r="T1416" i="2"/>
  <c r="N1186" i="2"/>
  <c r="L804" i="2"/>
  <c r="J1230" i="2"/>
  <c r="U1278" i="2"/>
  <c r="S1157" i="2"/>
  <c r="Q1068" i="2"/>
  <c r="T1578" i="2"/>
  <c r="Q847" i="2"/>
  <c r="P726" i="2"/>
  <c r="J1226" i="2"/>
  <c r="Q976" i="2"/>
  <c r="S1763" i="2"/>
  <c r="Q1261" i="2"/>
  <c r="U1157" i="2"/>
  <c r="S1471" i="2"/>
  <c r="N1114" i="2"/>
  <c r="L905" i="2"/>
  <c r="N587" i="2"/>
  <c r="R806" i="2"/>
  <c r="L650" i="2"/>
  <c r="T1354" i="2"/>
  <c r="Q1572" i="2"/>
  <c r="J1379" i="2"/>
  <c r="L1323" i="2"/>
  <c r="L1504" i="2"/>
  <c r="L1501" i="2"/>
  <c r="T1575" i="2"/>
  <c r="K1822" i="2"/>
  <c r="S1295" i="2"/>
  <c r="Q1591" i="2"/>
  <c r="K1454" i="2"/>
  <c r="P1926" i="2"/>
  <c r="L1493" i="2"/>
  <c r="O1682" i="2"/>
  <c r="L1345" i="2"/>
  <c r="P1220" i="2"/>
  <c r="T1570" i="2"/>
  <c r="M1248" i="2"/>
  <c r="S1570" i="2"/>
  <c r="U962" i="2"/>
  <c r="L1269" i="2"/>
  <c r="M1022" i="2"/>
  <c r="J1463" i="2"/>
  <c r="L1455" i="2"/>
  <c r="L881" i="2"/>
  <c r="R1792" i="2"/>
  <c r="P801" i="2"/>
  <c r="M1070" i="2"/>
  <c r="R934" i="2"/>
  <c r="O1209" i="2"/>
  <c r="Q1305" i="2"/>
  <c r="N1214" i="2"/>
  <c r="T733" i="2"/>
  <c r="L1460" i="2"/>
  <c r="T1210" i="2"/>
  <c r="O1026" i="2"/>
  <c r="Q1430" i="2"/>
  <c r="R1110" i="2"/>
  <c r="Q1256" i="2"/>
  <c r="O878" i="2"/>
  <c r="R908" i="2"/>
  <c r="T1006" i="2"/>
  <c r="S1572" i="2"/>
  <c r="L1610" i="2"/>
  <c r="M1339" i="2"/>
  <c r="R1318" i="2"/>
  <c r="O1524" i="2"/>
  <c r="R1551" i="2"/>
  <c r="S1446" i="2"/>
  <c r="U1549" i="2"/>
  <c r="R733" i="2"/>
  <c r="K1177" i="2"/>
  <c r="K1664" i="2"/>
  <c r="Q1401" i="2"/>
  <c r="R1861" i="2"/>
  <c r="M1768" i="2"/>
  <c r="R1943" i="2"/>
  <c r="S1214" i="2"/>
  <c r="Q1008" i="2"/>
  <c r="R1477" i="2"/>
  <c r="M1314" i="2"/>
  <c r="L1411" i="2"/>
  <c r="N1774" i="2"/>
  <c r="R1293" i="2"/>
  <c r="Q1027" i="2"/>
  <c r="M1404" i="2"/>
  <c r="S1680" i="2"/>
  <c r="P1266" i="2"/>
  <c r="K738" i="2"/>
  <c r="J1066" i="2"/>
  <c r="N1010" i="2"/>
  <c r="M843" i="2"/>
  <c r="U1067" i="2"/>
  <c r="L717" i="2"/>
  <c r="O1263" i="2"/>
  <c r="S1033" i="2"/>
  <c r="R1469" i="2"/>
  <c r="R936" i="2"/>
  <c r="S1158" i="2"/>
  <c r="T932" i="2"/>
  <c r="M732" i="2"/>
  <c r="S1140" i="2"/>
  <c r="L948" i="2"/>
  <c r="U1135" i="2"/>
  <c r="M1063" i="2"/>
  <c r="M1234" i="2"/>
  <c r="T1450" i="2"/>
  <c r="O925" i="2"/>
  <c r="P1108" i="2"/>
  <c r="J1183" i="2"/>
  <c r="O1534" i="2"/>
  <c r="O876" i="2"/>
  <c r="K1128" i="2"/>
  <c r="O850" i="2"/>
  <c r="J438" i="2"/>
  <c r="N1050" i="2"/>
  <c r="L1067" i="2"/>
  <c r="S1650" i="2"/>
  <c r="J1675" i="2"/>
  <c r="L1327" i="2"/>
  <c r="T1083" i="2"/>
  <c r="N960" i="2"/>
  <c r="U1221" i="2"/>
  <c r="N726" i="2"/>
  <c r="T488" i="2"/>
  <c r="K804" i="2"/>
  <c r="U1021" i="2"/>
  <c r="P1425" i="2"/>
  <c r="J1374" i="2"/>
  <c r="T1005" i="2"/>
  <c r="Q1247" i="2"/>
  <c r="Q1083" i="2"/>
  <c r="S876" i="2"/>
  <c r="M724" i="2"/>
  <c r="U538" i="2"/>
  <c r="P1161" i="2"/>
  <c r="O1143" i="2"/>
  <c r="Q1129" i="2"/>
  <c r="J1075" i="2"/>
  <c r="Q787" i="2"/>
  <c r="Q990" i="2"/>
  <c r="K1461" i="2"/>
  <c r="O1193" i="2"/>
  <c r="M1153" i="2"/>
  <c r="U1471" i="2"/>
  <c r="P1401" i="2"/>
  <c r="R1188" i="2"/>
  <c r="J816" i="2"/>
  <c r="T1437" i="2"/>
  <c r="T1687" i="2"/>
  <c r="U1230" i="2"/>
  <c r="T1435" i="2"/>
  <c r="R1049" i="2"/>
  <c r="Q1358" i="2"/>
  <c r="S1977" i="2"/>
  <c r="S959" i="2"/>
  <c r="M992" i="2"/>
  <c r="N1006" i="2"/>
  <c r="N1456" i="2"/>
  <c r="P993" i="2"/>
  <c r="P819" i="2"/>
  <c r="M703" i="2"/>
  <c r="Q576" i="2"/>
  <c r="T582" i="2"/>
  <c r="P788" i="2"/>
  <c r="S1551" i="2"/>
  <c r="O1679" i="2"/>
  <c r="R1290" i="2"/>
  <c r="S1096" i="2"/>
  <c r="O789" i="2"/>
  <c r="K1218" i="2"/>
  <c r="L1102" i="2"/>
  <c r="O907" i="2"/>
  <c r="M1570" i="2"/>
  <c r="Q1367" i="2"/>
  <c r="K1106" i="2"/>
  <c r="L1049" i="2"/>
  <c r="P896" i="2"/>
  <c r="T1007" i="2"/>
  <c r="J1217" i="2"/>
  <c r="U1529" i="2"/>
  <c r="U1552" i="2"/>
  <c r="N1320" i="2"/>
  <c r="R1273" i="2"/>
  <c r="T1199" i="2"/>
  <c r="T803" i="2"/>
  <c r="R1096" i="2"/>
  <c r="M898" i="2"/>
  <c r="L850" i="2"/>
  <c r="N790" i="2"/>
  <c r="R943" i="2"/>
  <c r="P520" i="2"/>
  <c r="S668" i="2"/>
  <c r="P1148" i="2"/>
  <c r="J665" i="2"/>
  <c r="L1560" i="2"/>
  <c r="O1267" i="2"/>
  <c r="P1253" i="2"/>
  <c r="Q825" i="2"/>
  <c r="M1209" i="2"/>
  <c r="S992" i="2"/>
  <c r="L697" i="2"/>
  <c r="P685" i="2"/>
  <c r="O754" i="2"/>
  <c r="K734" i="2"/>
  <c r="L854" i="2"/>
  <c r="K747" i="2"/>
  <c r="L1934" i="2"/>
  <c r="M1731" i="2"/>
  <c r="O1494" i="2"/>
  <c r="M1364" i="2"/>
  <c r="Q1626" i="2"/>
  <c r="N1405" i="2"/>
  <c r="L1312" i="2"/>
  <c r="U1381" i="2"/>
  <c r="O1188" i="2"/>
  <c r="J1798" i="2"/>
  <c r="N1734" i="2"/>
  <c r="J1949" i="2"/>
  <c r="P1177" i="2"/>
  <c r="T1236" i="2"/>
  <c r="L1347" i="2"/>
  <c r="J1011" i="2"/>
  <c r="S1875" i="2"/>
  <c r="O1537" i="2"/>
  <c r="K1390" i="2"/>
  <c r="Q1265" i="2"/>
  <c r="U1025" i="2"/>
  <c r="S1116" i="2"/>
  <c r="K1277" i="2"/>
  <c r="M1160" i="2"/>
  <c r="R905" i="2"/>
  <c r="J1863" i="2"/>
  <c r="L1578" i="2"/>
  <c r="R1229" i="2"/>
  <c r="M1002" i="2"/>
  <c r="Q1236" i="2"/>
  <c r="T980" i="2"/>
  <c r="L1255" i="2"/>
  <c r="U1501" i="2"/>
  <c r="P1162" i="2"/>
  <c r="S1010" i="2"/>
  <c r="K1656" i="2"/>
  <c r="R1493" i="2"/>
  <c r="R1001" i="2"/>
  <c r="N1866" i="2"/>
  <c r="O1536" i="2"/>
  <c r="M842" i="2"/>
  <c r="U722" i="2"/>
  <c r="J1641" i="2"/>
  <c r="U1282" i="2"/>
  <c r="S1389" i="2"/>
  <c r="K1039" i="2"/>
  <c r="L1298" i="2"/>
  <c r="N1366" i="2"/>
  <c r="U1486" i="2"/>
  <c r="L1487" i="2"/>
  <c r="R1413" i="2"/>
  <c r="U1730" i="2"/>
  <c r="J1260" i="2"/>
  <c r="S999" i="2"/>
  <c r="U1707" i="2"/>
  <c r="J1724" i="2"/>
  <c r="J1528" i="2"/>
  <c r="U1263" i="2"/>
  <c r="S1472" i="2"/>
  <c r="T1795" i="2"/>
  <c r="Q1125" i="2"/>
  <c r="P1458" i="2"/>
  <c r="S1419" i="2"/>
  <c r="L1121" i="2"/>
  <c r="S964" i="2"/>
  <c r="T1468" i="2"/>
  <c r="L1389" i="2"/>
  <c r="O1054" i="2"/>
  <c r="M773" i="2"/>
  <c r="R1123" i="2"/>
  <c r="O974" i="2"/>
  <c r="T724" i="2"/>
  <c r="R622" i="2"/>
  <c r="U630" i="2"/>
  <c r="P1341" i="2"/>
  <c r="P1534" i="2"/>
  <c r="P1151" i="2"/>
  <c r="N873" i="2"/>
  <c r="S813" i="2"/>
  <c r="O473" i="2"/>
  <c r="M862" i="2"/>
  <c r="N796" i="2"/>
  <c r="U468" i="2"/>
  <c r="N1072" i="2"/>
  <c r="L1702" i="2"/>
  <c r="U1256" i="2"/>
  <c r="J947" i="2"/>
  <c r="R1108" i="2"/>
  <c r="L1029" i="2"/>
  <c r="O1200" i="2"/>
  <c r="P1225" i="2"/>
  <c r="Q1144" i="2"/>
  <c r="K1125" i="2"/>
  <c r="O976" i="2"/>
  <c r="M679" i="2"/>
  <c r="M521" i="2"/>
  <c r="T746" i="2"/>
  <c r="Q1056" i="2"/>
  <c r="S1228" i="2"/>
  <c r="J1205" i="2"/>
  <c r="U1080" i="2"/>
  <c r="N1263" i="2"/>
  <c r="T1906" i="2"/>
  <c r="N1458" i="2"/>
  <c r="Q1671" i="2"/>
  <c r="T1129" i="2"/>
  <c r="M1993" i="2"/>
  <c r="P1121" i="2"/>
  <c r="S1135" i="2"/>
  <c r="T1601" i="2"/>
  <c r="O1611" i="2"/>
  <c r="O1423" i="2"/>
  <c r="J1461" i="2"/>
  <c r="L1633" i="2"/>
  <c r="U1534" i="2"/>
  <c r="J1660" i="2"/>
  <c r="N1642" i="2"/>
  <c r="T1212" i="2"/>
  <c r="U1836" i="2"/>
  <c r="Q1754" i="2"/>
  <c r="Q1464" i="2"/>
  <c r="M1320" i="2"/>
  <c r="L1066" i="2"/>
  <c r="Q793" i="2"/>
  <c r="R1544" i="2"/>
  <c r="P996" i="2"/>
  <c r="P1199" i="2"/>
  <c r="T1289" i="2"/>
  <c r="M1367" i="2"/>
  <c r="O1224" i="2"/>
  <c r="T719" i="2"/>
  <c r="P1304" i="2"/>
  <c r="R1022" i="2"/>
  <c r="S1379" i="2"/>
  <c r="R1139" i="2"/>
  <c r="T936" i="2"/>
  <c r="K1575" i="2"/>
  <c r="Q730" i="2"/>
  <c r="M1659" i="2"/>
  <c r="K1181" i="2"/>
  <c r="T1076" i="2"/>
  <c r="L1233" i="2"/>
  <c r="J1062" i="2"/>
  <c r="L1001" i="2"/>
  <c r="K1397" i="2"/>
  <c r="L1359" i="2"/>
  <c r="L1524" i="2"/>
  <c r="M1816" i="2"/>
  <c r="M1099" i="2"/>
  <c r="O1639" i="2"/>
  <c r="K1044" i="2"/>
  <c r="K1585" i="2"/>
  <c r="R1339" i="2"/>
  <c r="S1308" i="2"/>
  <c r="T1337" i="2"/>
  <c r="T1483" i="2"/>
  <c r="L1129" i="2"/>
  <c r="M1549" i="2"/>
  <c r="O1149" i="2"/>
  <c r="J1434" i="2"/>
  <c r="J1527" i="2"/>
  <c r="S1441" i="2"/>
  <c r="N1387" i="2"/>
  <c r="M1037" i="2"/>
  <c r="P1301" i="2"/>
  <c r="Q1517" i="2"/>
  <c r="U1736" i="2"/>
  <c r="P1743" i="2"/>
  <c r="R1615" i="2"/>
  <c r="Q1170" i="2"/>
  <c r="P1340" i="2"/>
  <c r="U762" i="2"/>
  <c r="T924" i="2"/>
  <c r="P436" i="2"/>
  <c r="R848" i="2"/>
  <c r="U536" i="2"/>
  <c r="N1351" i="2"/>
  <c r="P1530" i="2"/>
  <c r="L1836" i="2"/>
  <c r="R1640" i="2"/>
  <c r="K1217" i="2"/>
  <c r="R1281" i="2"/>
  <c r="J1086" i="2"/>
  <c r="R1486" i="2"/>
  <c r="L1404" i="2"/>
  <c r="M1184" i="2"/>
  <c r="R1419" i="2"/>
  <c r="T1757" i="2"/>
  <c r="K1359" i="2"/>
  <c r="Q1285" i="2"/>
  <c r="T1638" i="2"/>
  <c r="R1166" i="2"/>
  <c r="S1338" i="2"/>
  <c r="M1695" i="2"/>
  <c r="M1383" i="2"/>
  <c r="T1451" i="2"/>
  <c r="P955" i="2"/>
  <c r="P844" i="2"/>
  <c r="U981" i="2"/>
  <c r="R1205" i="2"/>
  <c r="M1137" i="2"/>
  <c r="P1350" i="2"/>
  <c r="K1720" i="2"/>
  <c r="K1184" i="2"/>
  <c r="S1134" i="2"/>
  <c r="L795" i="2"/>
  <c r="Q1137" i="2"/>
  <c r="S1188" i="2"/>
  <c r="U1640" i="2"/>
  <c r="M1250" i="2"/>
  <c r="U1129" i="2"/>
  <c r="O1013" i="2"/>
  <c r="Q1134" i="2"/>
  <c r="S1353" i="2"/>
  <c r="U1457" i="2"/>
  <c r="O2043" i="2"/>
  <c r="R1309" i="2"/>
  <c r="R1317" i="2"/>
  <c r="J878" i="2"/>
  <c r="J1193" i="2"/>
  <c r="O1197" i="2"/>
  <c r="L1495" i="2"/>
  <c r="O1907" i="2"/>
  <c r="S1898" i="2"/>
  <c r="T1501" i="2"/>
  <c r="T1124" i="2"/>
  <c r="O1654" i="2"/>
  <c r="O1343" i="2"/>
  <c r="Q1245" i="2"/>
  <c r="P1641" i="2"/>
  <c r="Q1534" i="2"/>
  <c r="R1224" i="2"/>
  <c r="J1501" i="2"/>
  <c r="R1119" i="2"/>
  <c r="O1148" i="2"/>
  <c r="O901" i="2"/>
  <c r="R1321" i="2"/>
  <c r="U1165" i="2"/>
  <c r="Q1150" i="2"/>
  <c r="J1341" i="2"/>
  <c r="U1386" i="2"/>
  <c r="K1600" i="2"/>
  <c r="R1718" i="2"/>
  <c r="K1365" i="2"/>
  <c r="K1137" i="2"/>
  <c r="N987" i="2"/>
  <c r="U859" i="2"/>
  <c r="S768" i="2"/>
  <c r="N875" i="2"/>
  <c r="J652" i="2"/>
  <c r="Q1165" i="2"/>
  <c r="M1370" i="2"/>
  <c r="L792" i="2"/>
  <c r="T1627" i="2"/>
  <c r="U988" i="2"/>
  <c r="R713" i="2"/>
  <c r="U1011" i="2"/>
  <c r="O985" i="2"/>
  <c r="R1043" i="2"/>
  <c r="O885" i="2"/>
  <c r="Q1197" i="2"/>
  <c r="S1293" i="2"/>
  <c r="T2034" i="2"/>
  <c r="U1699" i="2"/>
  <c r="P1465" i="2"/>
  <c r="Q1279" i="2"/>
  <c r="U1201" i="2"/>
  <c r="Q1893" i="2"/>
  <c r="J1759" i="2"/>
  <c r="N1620" i="2"/>
  <c r="J1576" i="2"/>
  <c r="M1144" i="2"/>
  <c r="L1401" i="2"/>
  <c r="J1499" i="2"/>
  <c r="M1145" i="2"/>
  <c r="L1639" i="2"/>
  <c r="M1505" i="2"/>
  <c r="K1358" i="2"/>
  <c r="O1930" i="2"/>
  <c r="K2104" i="2"/>
  <c r="O1535" i="2"/>
  <c r="P901" i="2"/>
  <c r="R1013" i="2"/>
  <c r="P1523" i="2"/>
  <c r="K1072" i="2"/>
  <c r="U1100" i="2"/>
  <c r="L772" i="2"/>
  <c r="Q1983" i="2"/>
  <c r="L1319" i="2"/>
  <c r="L1217" i="2"/>
  <c r="T941" i="2"/>
  <c r="S1513" i="2"/>
  <c r="P1543" i="2"/>
  <c r="S1047" i="2"/>
  <c r="N1422" i="2"/>
  <c r="K1861" i="2"/>
  <c r="K876" i="2"/>
  <c r="O764" i="2"/>
  <c r="K1550" i="2"/>
  <c r="O1155" i="2"/>
  <c r="U702" i="2"/>
  <c r="Q1223" i="2"/>
  <c r="S882" i="2"/>
  <c r="J1402" i="2"/>
  <c r="R1386" i="2"/>
  <c r="P1361" i="2"/>
  <c r="L1260" i="2"/>
  <c r="N1545" i="2"/>
  <c r="Q1203" i="2"/>
  <c r="T1292" i="2"/>
  <c r="U1968" i="2"/>
  <c r="N1431" i="2"/>
  <c r="N1098" i="2"/>
  <c r="Q999" i="2"/>
  <c r="R1389" i="2"/>
  <c r="P987" i="2"/>
  <c r="U1331" i="2"/>
  <c r="P1395" i="2"/>
  <c r="K1363" i="2"/>
  <c r="R1279" i="2"/>
  <c r="R1326" i="2"/>
  <c r="Q1682" i="2"/>
  <c r="L1575" i="2"/>
  <c r="N1927" i="2"/>
  <c r="R1340" i="2"/>
  <c r="N1251" i="2"/>
  <c r="T959" i="2"/>
  <c r="J1212" i="2"/>
  <c r="S1201" i="2"/>
  <c r="J863" i="2"/>
  <c r="O1613" i="2"/>
  <c r="N870" i="2"/>
  <c r="L841" i="2"/>
  <c r="K1086" i="2"/>
  <c r="T992" i="2"/>
  <c r="Q742" i="2"/>
  <c r="Q1145" i="2"/>
  <c r="K1117" i="2"/>
  <c r="U1412" i="2"/>
  <c r="R1253" i="2"/>
  <c r="N1181" i="2"/>
  <c r="M1150" i="2"/>
  <c r="Q1058" i="2"/>
  <c r="K1036" i="2"/>
  <c r="J1025" i="2"/>
  <c r="O952" i="2"/>
  <c r="T1373" i="2"/>
  <c r="K866" i="2"/>
  <c r="M775" i="2"/>
  <c r="N921" i="2"/>
  <c r="T1159" i="2"/>
  <c r="N1259" i="2"/>
  <c r="U1299" i="2"/>
  <c r="R1100" i="2"/>
  <c r="Q779" i="2"/>
  <c r="P812" i="2"/>
  <c r="L621" i="2"/>
  <c r="K878" i="2"/>
  <c r="U530" i="2"/>
  <c r="J1090" i="2"/>
  <c r="K1343" i="2"/>
  <c r="K706" i="2"/>
  <c r="O793" i="2"/>
  <c r="J1076" i="2"/>
  <c r="M931" i="2"/>
  <c r="S482" i="2"/>
  <c r="P935" i="2"/>
  <c r="S807" i="2"/>
  <c r="R1223" i="2"/>
  <c r="J1271" i="2"/>
  <c r="K1816" i="2"/>
  <c r="S1260" i="2"/>
  <c r="T990" i="2"/>
  <c r="Q439" i="2"/>
  <c r="P1003" i="2"/>
  <c r="M917" i="2"/>
  <c r="K669" i="2"/>
  <c r="U1101" i="2"/>
  <c r="R997" i="2"/>
  <c r="S1148" i="2"/>
  <c r="M812" i="2"/>
  <c r="R1498" i="2"/>
  <c r="Q810" i="2"/>
  <c r="Q1244" i="2"/>
  <c r="O1652" i="2"/>
  <c r="S1844" i="2"/>
  <c r="S1180" i="2"/>
  <c r="M1491" i="2"/>
  <c r="S1081" i="2"/>
  <c r="Q1202" i="2"/>
  <c r="M1246" i="2"/>
  <c r="T1497" i="2"/>
  <c r="U2100" i="2"/>
  <c r="N1306" i="2"/>
  <c r="M1315" i="2"/>
  <c r="J1297" i="2"/>
  <c r="J1356" i="2"/>
  <c r="N1735" i="2"/>
  <c r="Q1676" i="2"/>
  <c r="O1070" i="2"/>
  <c r="Q1665" i="2"/>
  <c r="T1056" i="2"/>
  <c r="K1833" i="2"/>
  <c r="M1235" i="2"/>
  <c r="L1042" i="2"/>
  <c r="Q1300" i="2"/>
  <c r="P1442" i="2"/>
  <c r="O1465" i="2"/>
  <c r="S902" i="2"/>
  <c r="L1574" i="2"/>
  <c r="L1447" i="2"/>
  <c r="M1230" i="2"/>
  <c r="T1455" i="2"/>
  <c r="T1158" i="2"/>
  <c r="R1933" i="2"/>
  <c r="K1059" i="2"/>
  <c r="T1427" i="2"/>
  <c r="L1117" i="2"/>
  <c r="M923" i="2"/>
  <c r="U961" i="2"/>
  <c r="M1516" i="2"/>
  <c r="U1458" i="2"/>
  <c r="M1362" i="2"/>
  <c r="M1227" i="2"/>
  <c r="P1446" i="2"/>
  <c r="O890" i="2"/>
  <c r="R1872" i="2"/>
  <c r="K1526" i="2"/>
  <c r="T1160" i="2"/>
  <c r="N1683" i="2"/>
  <c r="R1039" i="2"/>
  <c r="L1069" i="2"/>
  <c r="T1623" i="2"/>
  <c r="J1620" i="2"/>
  <c r="U982" i="2"/>
  <c r="S1056" i="2"/>
  <c r="Q1717" i="2"/>
  <c r="M1532" i="2"/>
  <c r="K1141" i="2"/>
  <c r="S1245" i="2"/>
  <c r="L962" i="2"/>
  <c r="T1338" i="2"/>
  <c r="M1243" i="2"/>
  <c r="T1431" i="2"/>
  <c r="U1737" i="2"/>
  <c r="Q1239" i="2"/>
  <c r="S1669" i="2"/>
  <c r="L1606" i="2"/>
  <c r="R1257" i="2"/>
  <c r="K1229" i="2"/>
  <c r="K964" i="2"/>
  <c r="L1555" i="2"/>
  <c r="Q1242" i="2"/>
  <c r="Q1094" i="2"/>
  <c r="K1013" i="2"/>
  <c r="J927" i="2"/>
  <c r="S829" i="2"/>
  <c r="J630" i="2"/>
  <c r="P1602" i="2"/>
  <c r="S1457" i="2"/>
  <c r="K1403" i="2"/>
  <c r="R1711" i="2"/>
  <c r="J946" i="2"/>
  <c r="M993" i="2"/>
  <c r="M1003" i="2"/>
  <c r="T1044" i="2"/>
  <c r="P984" i="2"/>
  <c r="U1408" i="2"/>
  <c r="P1046" i="2"/>
  <c r="K2110" i="2"/>
  <c r="T1376" i="2"/>
  <c r="U876" i="2"/>
  <c r="S1492" i="2"/>
  <c r="Q1096" i="2"/>
  <c r="Q724" i="2"/>
  <c r="P989" i="2"/>
  <c r="T859" i="2"/>
  <c r="N1507" i="2"/>
  <c r="Q1533" i="2"/>
  <c r="U1326" i="2"/>
  <c r="M1295" i="2"/>
  <c r="Q1043" i="2"/>
  <c r="K1753" i="2"/>
  <c r="R1236" i="2"/>
  <c r="P1215" i="2"/>
  <c r="S996" i="2"/>
  <c r="N983" i="2"/>
  <c r="S677" i="2"/>
  <c r="P1074" i="2"/>
  <c r="J942" i="2"/>
  <c r="S582" i="2"/>
  <c r="L995" i="2"/>
  <c r="R896" i="2"/>
  <c r="T960" i="2"/>
  <c r="S1247" i="2"/>
  <c r="O1586" i="2"/>
  <c r="U923" i="2"/>
  <c r="L1322" i="2"/>
  <c r="U1104" i="2"/>
  <c r="L944" i="2"/>
  <c r="J865" i="2"/>
  <c r="J887" i="2"/>
  <c r="U1079" i="2"/>
  <c r="L988" i="2"/>
  <c r="N904" i="2"/>
  <c r="R1048" i="2"/>
  <c r="M1082" i="2"/>
  <c r="J1378" i="2"/>
  <c r="O1382" i="2"/>
  <c r="O1842" i="2"/>
  <c r="K1547" i="2"/>
  <c r="U1452" i="2"/>
  <c r="S1133" i="2"/>
  <c r="K955" i="2"/>
  <c r="M1231" i="2"/>
  <c r="N1511" i="2"/>
  <c r="L1468" i="2"/>
  <c r="J1009" i="2"/>
  <c r="M1811" i="2"/>
  <c r="O1678" i="2"/>
  <c r="N949" i="2"/>
  <c r="L1122" i="2"/>
  <c r="M1120" i="2"/>
  <c r="O1098" i="2"/>
  <c r="Q947" i="2"/>
  <c r="R1158" i="2"/>
  <c r="K983" i="2"/>
  <c r="Q894" i="2"/>
  <c r="O597" i="2"/>
  <c r="J1751" i="2"/>
  <c r="S1184" i="2"/>
  <c r="R1267" i="2"/>
  <c r="P1059" i="2"/>
  <c r="S1621" i="2"/>
  <c r="O1091" i="2"/>
  <c r="M1563" i="2"/>
  <c r="O1424" i="2"/>
  <c r="M1259" i="2"/>
  <c r="P1085" i="2"/>
  <c r="K1643" i="2"/>
  <c r="S1462" i="2"/>
  <c r="J1361" i="2"/>
  <c r="S939" i="2"/>
  <c r="U925" i="2"/>
  <c r="L1214" i="2"/>
  <c r="R1167" i="2"/>
  <c r="S1000" i="2"/>
  <c r="N765" i="2"/>
  <c r="K1055" i="2"/>
  <c r="T551" i="2"/>
  <c r="M673" i="2"/>
  <c r="R556" i="2"/>
  <c r="T410" i="2"/>
  <c r="M1255" i="2"/>
  <c r="N958" i="2"/>
  <c r="N696" i="2"/>
  <c r="N1273" i="2"/>
  <c r="U1037" i="2"/>
  <c r="J567" i="2"/>
  <c r="K909" i="2"/>
  <c r="J598" i="2"/>
  <c r="O635" i="2"/>
  <c r="T981" i="2"/>
  <c r="K506" i="2"/>
  <c r="L1384" i="2"/>
  <c r="U1291" i="2"/>
  <c r="U826" i="2"/>
  <c r="N490" i="2"/>
  <c r="N703" i="2"/>
  <c r="O899" i="2"/>
  <c r="L658" i="2"/>
  <c r="R525" i="2"/>
  <c r="R344" i="2"/>
  <c r="O411" i="2"/>
  <c r="S441" i="2"/>
  <c r="Q1190" i="2"/>
  <c r="P1427" i="2"/>
  <c r="Q1112" i="2"/>
  <c r="N906" i="2"/>
  <c r="M792" i="2"/>
  <c r="N908" i="2"/>
  <c r="P870" i="2"/>
  <c r="L817" i="2"/>
  <c r="O643" i="2"/>
  <c r="N817" i="2"/>
  <c r="R771" i="2"/>
  <c r="T407" i="2"/>
  <c r="M1173" i="2"/>
  <c r="U1301" i="2"/>
  <c r="J561" i="2"/>
  <c r="L933" i="2"/>
  <c r="R938" i="2"/>
  <c r="T968" i="2"/>
  <c r="S934" i="2"/>
  <c r="K834" i="2"/>
  <c r="Q766" i="2"/>
  <c r="S1101" i="2"/>
  <c r="R1248" i="2"/>
  <c r="O942" i="2"/>
  <c r="U554" i="2"/>
  <c r="S1600" i="2"/>
  <c r="O615" i="2"/>
  <c r="K560" i="2"/>
  <c r="O553" i="2"/>
  <c r="K864" i="2"/>
  <c r="N624" i="2"/>
  <c r="N538" i="2"/>
  <c r="T553" i="2"/>
  <c r="O2157" i="2"/>
  <c r="Q1135" i="2"/>
  <c r="M1098" i="2"/>
  <c r="O1059" i="2"/>
  <c r="K495" i="2"/>
  <c r="Q1160" i="2"/>
  <c r="L865" i="2"/>
  <c r="M550" i="2"/>
  <c r="R797" i="2"/>
  <c r="M617" i="2"/>
  <c r="Q593" i="2"/>
  <c r="O1027" i="2"/>
  <c r="N1252" i="2"/>
  <c r="P1110" i="2"/>
  <c r="K558" i="2"/>
  <c r="U1273" i="2"/>
  <c r="J766" i="2"/>
  <c r="S1405" i="2"/>
  <c r="P842" i="2"/>
  <c r="J938" i="2"/>
  <c r="R1182" i="2"/>
  <c r="R832" i="2"/>
  <c r="U959" i="2"/>
  <c r="Q951" i="2"/>
  <c r="S530" i="2"/>
  <c r="J1286" i="2"/>
  <c r="P983" i="2"/>
  <c r="R459" i="2"/>
  <c r="U748" i="2"/>
  <c r="P1462" i="2"/>
  <c r="L941" i="2"/>
  <c r="K880" i="2"/>
  <c r="J1113" i="2"/>
  <c r="Q896" i="2"/>
  <c r="P1211" i="2"/>
  <c r="S867" i="2"/>
  <c r="R865" i="2"/>
  <c r="L942" i="2"/>
  <c r="R875" i="2"/>
  <c r="T1504" i="2"/>
  <c r="O1440" i="2"/>
  <c r="J779" i="2"/>
  <c r="N813" i="2"/>
  <c r="L902" i="2"/>
  <c r="U1034" i="2"/>
  <c r="J989" i="2"/>
  <c r="N1079" i="2"/>
  <c r="M754" i="2"/>
  <c r="N1105" i="2"/>
  <c r="T832" i="2"/>
  <c r="J532" i="2"/>
  <c r="O844" i="2"/>
  <c r="M1085" i="2"/>
  <c r="T869" i="2"/>
  <c r="K645" i="2"/>
  <c r="T760" i="2"/>
  <c r="M339" i="2"/>
  <c r="M974" i="2"/>
  <c r="K471" i="2"/>
  <c r="M330" i="2"/>
  <c r="P516" i="2"/>
  <c r="Q28" i="2"/>
  <c r="U433" i="2"/>
  <c r="O292" i="2"/>
  <c r="R937" i="2"/>
  <c r="K774" i="2"/>
  <c r="O492" i="2"/>
  <c r="L652" i="2"/>
  <c r="U1076" i="2"/>
  <c r="J408" i="2"/>
  <c r="Q851" i="2"/>
  <c r="M758" i="2"/>
  <c r="Q470" i="2"/>
  <c r="P917" i="2"/>
  <c r="P309" i="2"/>
  <c r="N522" i="2"/>
  <c r="S182" i="2"/>
  <c r="S481" i="2"/>
  <c r="S1016" i="2"/>
  <c r="S425" i="2"/>
  <c r="K528" i="2"/>
  <c r="Q986" i="2"/>
  <c r="K814" i="2"/>
  <c r="J496" i="2"/>
  <c r="Q303" i="2"/>
  <c r="J560" i="2"/>
  <c r="O495" i="2"/>
  <c r="N50" i="2"/>
  <c r="J993" i="2"/>
  <c r="L824" i="2"/>
  <c r="M691" i="2"/>
  <c r="K545" i="2"/>
  <c r="Q524" i="2"/>
  <c r="K213" i="2"/>
  <c r="N528" i="2"/>
  <c r="J1522" i="2"/>
  <c r="N1668" i="2"/>
  <c r="P1505" i="2"/>
  <c r="K1190" i="2"/>
  <c r="Q1309" i="2"/>
  <c r="R1356" i="2"/>
  <c r="J898" i="2"/>
  <c r="N1333" i="2"/>
  <c r="Q1281" i="2"/>
  <c r="L1599" i="2"/>
  <c r="J709" i="2"/>
  <c r="P1040" i="2"/>
  <c r="L1210" i="2"/>
  <c r="M1258" i="2"/>
  <c r="O993" i="2"/>
  <c r="S1526" i="2"/>
  <c r="R1114" i="2"/>
  <c r="L1084" i="2"/>
  <c r="T1068" i="2"/>
  <c r="Q1047" i="2"/>
  <c r="K781" i="2"/>
  <c r="K1095" i="2"/>
  <c r="T1098" i="2"/>
  <c r="J841" i="2"/>
  <c r="L1646" i="2"/>
  <c r="J1333" i="2"/>
  <c r="T1113" i="2"/>
  <c r="T805" i="2"/>
  <c r="S1767" i="2"/>
  <c r="K1398" i="2"/>
  <c r="K1144" i="2"/>
  <c r="N851" i="2"/>
  <c r="J505" i="2"/>
  <c r="P1019" i="2"/>
  <c r="U1024" i="2"/>
  <c r="S948" i="2"/>
  <c r="T1012" i="2"/>
  <c r="M760" i="2"/>
  <c r="L1140" i="2"/>
  <c r="P1589" i="2"/>
  <c r="R1400" i="2"/>
  <c r="P1142" i="2"/>
  <c r="R1085" i="2"/>
  <c r="U846" i="2"/>
  <c r="M1181" i="2"/>
  <c r="K1121" i="2"/>
  <c r="M1220" i="2"/>
  <c r="T987" i="2"/>
  <c r="L1187" i="2"/>
  <c r="M1279" i="2"/>
  <c r="L1190" i="2"/>
  <c r="N1397" i="2"/>
  <c r="U1041" i="2"/>
  <c r="N1468" i="2"/>
  <c r="N1169" i="2"/>
  <c r="U888" i="2"/>
  <c r="T875" i="2"/>
  <c r="M1894" i="2"/>
  <c r="M1032" i="2"/>
  <c r="T638" i="2"/>
  <c r="K1509" i="2"/>
  <c r="M1622" i="2"/>
  <c r="N1157" i="2"/>
  <c r="S865" i="2"/>
  <c r="K1347" i="2"/>
  <c r="M895" i="2"/>
  <c r="T1462" i="2"/>
  <c r="N1219" i="2"/>
  <c r="Q1361" i="2"/>
  <c r="R793" i="2"/>
  <c r="N1360" i="2"/>
  <c r="O1488" i="2"/>
  <c r="P1185" i="2"/>
  <c r="R1116" i="2"/>
  <c r="K1040" i="2"/>
  <c r="J1619" i="2"/>
  <c r="S802" i="2"/>
  <c r="L638" i="2"/>
  <c r="Q852" i="2"/>
  <c r="L830" i="2"/>
  <c r="T477" i="2"/>
  <c r="P568" i="2"/>
  <c r="N613" i="2"/>
  <c r="U499" i="2"/>
  <c r="O1493" i="2"/>
  <c r="M880" i="2"/>
  <c r="L1356" i="2"/>
  <c r="T814" i="2"/>
  <c r="T1193" i="2"/>
  <c r="T860" i="2"/>
  <c r="R1107" i="2"/>
  <c r="K487" i="2"/>
  <c r="N716" i="2"/>
  <c r="P783" i="2"/>
  <c r="S487" i="2"/>
  <c r="P1430" i="2"/>
  <c r="P971" i="2"/>
  <c r="M900" i="2"/>
  <c r="S993" i="2"/>
  <c r="P828" i="2"/>
  <c r="Q812" i="2"/>
  <c r="M670" i="2"/>
  <c r="U900" i="2"/>
  <c r="N410" i="2"/>
  <c r="Q634" i="2"/>
  <c r="R693" i="2"/>
  <c r="T1176" i="2"/>
  <c r="P864" i="2"/>
  <c r="T1142" i="2"/>
  <c r="S850" i="2"/>
  <c r="M1030" i="2"/>
  <c r="R700" i="2"/>
  <c r="T1103" i="2"/>
  <c r="S712" i="2"/>
  <c r="S931" i="2"/>
  <c r="T352" i="2"/>
  <c r="J642" i="2"/>
  <c r="L1991" i="2"/>
  <c r="T1477" i="2"/>
  <c r="M1004" i="2"/>
  <c r="U838" i="2"/>
  <c r="R1204" i="2"/>
  <c r="S1084" i="2"/>
  <c r="S471" i="2"/>
  <c r="L598" i="2"/>
  <c r="S739" i="2"/>
  <c r="Q643" i="2"/>
  <c r="U1470" i="2"/>
  <c r="S1319" i="2"/>
  <c r="O1057" i="2"/>
  <c r="Q957" i="2"/>
  <c r="Q839" i="2"/>
  <c r="N683" i="2"/>
  <c r="K466" i="2"/>
  <c r="L450" i="2"/>
  <c r="S1089" i="2"/>
  <c r="M650" i="2"/>
  <c r="N289" i="2"/>
  <c r="O285" i="2"/>
  <c r="S1481" i="2"/>
  <c r="P1276" i="2"/>
  <c r="T1028" i="2"/>
  <c r="L919" i="2"/>
  <c r="O1020" i="2"/>
  <c r="M1061" i="2"/>
  <c r="U719" i="2"/>
  <c r="M476" i="2"/>
  <c r="N737" i="2"/>
  <c r="K1226" i="2"/>
  <c r="K585" i="2"/>
  <c r="U1148" i="2"/>
  <c r="M1036" i="2"/>
  <c r="M973" i="2"/>
  <c r="J1042" i="2"/>
  <c r="U977" i="2"/>
  <c r="L790" i="2"/>
  <c r="R833" i="2"/>
  <c r="R1102" i="2"/>
  <c r="P1316" i="2"/>
  <c r="S868" i="2"/>
  <c r="Q975" i="2"/>
  <c r="K963" i="2"/>
  <c r="U921" i="2"/>
  <c r="U507" i="2"/>
  <c r="Q1161" i="2"/>
  <c r="P1479" i="2"/>
  <c r="T729" i="2"/>
  <c r="J954" i="2"/>
  <c r="L1138" i="2"/>
  <c r="U1419" i="2"/>
  <c r="R1488" i="2"/>
  <c r="P1431" i="2"/>
  <c r="L1074" i="2"/>
  <c r="U1146" i="2"/>
  <c r="P1254" i="2"/>
  <c r="R1336" i="2"/>
  <c r="T954" i="2"/>
  <c r="L981" i="2"/>
  <c r="R1687" i="2"/>
  <c r="U1383" i="2"/>
  <c r="T946" i="2"/>
  <c r="J1315" i="2"/>
  <c r="S1208" i="2"/>
  <c r="Q1386" i="2"/>
  <c r="P1271" i="2"/>
  <c r="O1482" i="2"/>
  <c r="Q1465" i="2"/>
  <c r="Q1352" i="2"/>
  <c r="O886" i="2"/>
  <c r="O1509" i="2"/>
  <c r="N721" i="2"/>
  <c r="L971" i="2"/>
  <c r="L1246" i="2"/>
  <c r="K815" i="2"/>
  <c r="Q1339" i="2"/>
  <c r="O1561" i="2"/>
  <c r="P1072" i="2"/>
  <c r="J973" i="2"/>
  <c r="Q1089" i="2"/>
  <c r="M1739" i="2"/>
  <c r="N944" i="2"/>
  <c r="U1117" i="2"/>
  <c r="Q703" i="2"/>
  <c r="U1098" i="2"/>
  <c r="N881" i="2"/>
  <c r="S1154" i="2"/>
  <c r="L1111" i="2"/>
  <c r="K607" i="2"/>
  <c r="U1156" i="2"/>
  <c r="J1278" i="2"/>
  <c r="M1493" i="2"/>
  <c r="P1437" i="2"/>
  <c r="Q736" i="2"/>
  <c r="M772" i="2"/>
  <c r="S970" i="2"/>
  <c r="R1750" i="2"/>
  <c r="R1568" i="2"/>
  <c r="N1672" i="2"/>
  <c r="M1190" i="2"/>
  <c r="U799" i="2"/>
  <c r="L1928" i="2"/>
  <c r="M1026" i="2"/>
  <c r="J1385" i="2"/>
  <c r="Q899" i="2"/>
  <c r="J963" i="2"/>
  <c r="K1220" i="2"/>
  <c r="R871" i="2"/>
  <c r="J1070" i="2"/>
  <c r="Q1053" i="2"/>
  <c r="O872" i="2"/>
  <c r="O1313" i="2"/>
  <c r="K1235" i="2"/>
  <c r="N1297" i="2"/>
  <c r="N952" i="2"/>
  <c r="L1028" i="2"/>
  <c r="P853" i="2"/>
  <c r="P1860" i="2"/>
  <c r="K1949" i="2"/>
  <c r="K1024" i="2"/>
  <c r="Q799" i="2"/>
  <c r="T1116" i="2"/>
  <c r="R1209" i="2"/>
  <c r="P1566" i="2"/>
  <c r="T920" i="2"/>
  <c r="U836" i="2"/>
  <c r="R1660" i="2"/>
  <c r="S1647" i="2"/>
  <c r="N693" i="2"/>
  <c r="J1116" i="2"/>
  <c r="U935" i="2"/>
  <c r="M857" i="2"/>
  <c r="R589" i="2"/>
  <c r="M536" i="2"/>
  <c r="T256" i="2"/>
  <c r="P1102" i="2"/>
  <c r="U808" i="2"/>
  <c r="K827" i="2"/>
  <c r="Q923" i="2"/>
  <c r="R945" i="2"/>
  <c r="R661" i="2"/>
  <c r="U794" i="2"/>
  <c r="O755" i="2"/>
  <c r="R705" i="2"/>
  <c r="S684" i="2"/>
  <c r="T1594" i="2"/>
  <c r="U1212" i="2"/>
  <c r="U946" i="2"/>
  <c r="S622" i="2"/>
  <c r="S1342" i="2"/>
  <c r="Q869" i="2"/>
  <c r="T740" i="2"/>
  <c r="P585" i="2"/>
  <c r="N802" i="2"/>
  <c r="T182" i="2"/>
  <c r="Q433" i="2"/>
  <c r="U792" i="2"/>
  <c r="P1339" i="2"/>
  <c r="T854" i="2"/>
  <c r="U1092" i="2"/>
  <c r="N896" i="2"/>
  <c r="J822" i="2"/>
  <c r="M626" i="2"/>
  <c r="Q659" i="2"/>
  <c r="U851" i="2"/>
  <c r="L893" i="2"/>
  <c r="P719" i="2"/>
  <c r="L649" i="2"/>
  <c r="M1338" i="2"/>
  <c r="L1196" i="2"/>
  <c r="P822" i="2"/>
  <c r="R913" i="2"/>
  <c r="K595" i="2"/>
  <c r="P836" i="2"/>
  <c r="U495" i="2"/>
  <c r="J641" i="2"/>
  <c r="L1151" i="2"/>
  <c r="O683" i="2"/>
  <c r="Q1425" i="2"/>
  <c r="S773" i="2"/>
  <c r="P1107" i="2"/>
  <c r="M1011" i="2"/>
  <c r="M1074" i="2"/>
  <c r="P969" i="2"/>
  <c r="U417" i="2"/>
  <c r="T716" i="2"/>
  <c r="S935" i="2"/>
  <c r="R571" i="2"/>
  <c r="S402" i="2"/>
  <c r="N586" i="2"/>
  <c r="J1583" i="2"/>
  <c r="S1025" i="2"/>
  <c r="M864" i="2"/>
  <c r="S938" i="2"/>
  <c r="T851" i="2"/>
  <c r="N826" i="2"/>
  <c r="P365" i="2"/>
  <c r="Q849" i="2"/>
  <c r="T491" i="2"/>
  <c r="L1015" i="2"/>
  <c r="P621" i="2"/>
  <c r="R933" i="2"/>
  <c r="L1110" i="2"/>
  <c r="K1491" i="2"/>
  <c r="L927" i="2"/>
  <c r="P727" i="2"/>
  <c r="S1020" i="2"/>
  <c r="Q1927" i="2"/>
  <c r="M983" i="2"/>
  <c r="R850" i="2"/>
  <c r="R800" i="2"/>
  <c r="K999" i="2"/>
  <c r="N644" i="2"/>
  <c r="P588" i="2"/>
  <c r="L1292" i="2"/>
  <c r="Q1379" i="2"/>
  <c r="M1049" i="2"/>
  <c r="R718" i="2"/>
  <c r="O1472" i="2"/>
  <c r="R1168" i="2"/>
  <c r="O981" i="2"/>
  <c r="M1299" i="2"/>
  <c r="R1246" i="2"/>
  <c r="R1113" i="2"/>
  <c r="N1241" i="2"/>
  <c r="R761" i="2"/>
  <c r="L880" i="2"/>
  <c r="J475" i="2"/>
  <c r="N891" i="2"/>
  <c r="T1205" i="2"/>
  <c r="R1155" i="2"/>
  <c r="N720" i="2"/>
  <c r="T1424" i="2"/>
  <c r="M951" i="2"/>
  <c r="K791" i="2"/>
  <c r="T1380" i="2"/>
  <c r="J1179" i="2"/>
  <c r="T1084" i="2"/>
  <c r="U665" i="2"/>
  <c r="P556" i="2"/>
  <c r="M531" i="2"/>
  <c r="N917" i="2"/>
  <c r="U849" i="2"/>
  <c r="J619" i="2"/>
  <c r="Q883" i="2"/>
  <c r="U553" i="2"/>
  <c r="Q532" i="2"/>
  <c r="M664" i="2"/>
  <c r="T662" i="2"/>
  <c r="L412" i="2"/>
  <c r="R332" i="2"/>
  <c r="R94" i="2"/>
  <c r="N448" i="2"/>
  <c r="R136" i="2"/>
  <c r="O913" i="2"/>
  <c r="K721" i="2"/>
  <c r="R926" i="2"/>
  <c r="L840" i="2"/>
  <c r="N700" i="2"/>
  <c r="O616" i="2"/>
  <c r="K793" i="2"/>
  <c r="K640" i="2"/>
  <c r="O399" i="2"/>
  <c r="J175" i="2"/>
  <c r="T536" i="2"/>
  <c r="U88" i="2"/>
  <c r="N840" i="2"/>
  <c r="P1804" i="2"/>
  <c r="M855" i="2"/>
  <c r="N535" i="2"/>
  <c r="S579" i="2"/>
  <c r="M576" i="2"/>
  <c r="K597" i="2"/>
  <c r="T824" i="2"/>
  <c r="Q723" i="2"/>
  <c r="J836" i="2"/>
  <c r="J32" i="2"/>
  <c r="J580" i="2"/>
  <c r="O795" i="2"/>
  <c r="R1035" i="2"/>
  <c r="P453" i="2"/>
  <c r="R748" i="2"/>
  <c r="T556" i="2"/>
  <c r="Q690" i="2"/>
  <c r="L564" i="2"/>
  <c r="T1267" i="2"/>
  <c r="O1414" i="2"/>
  <c r="N1413" i="2"/>
  <c r="R1447" i="2"/>
  <c r="M1623" i="2"/>
  <c r="R1067" i="2"/>
  <c r="L1822" i="2"/>
  <c r="K1096" i="2"/>
  <c r="O1335" i="2"/>
  <c r="Q1459" i="2"/>
  <c r="N998" i="2"/>
  <c r="O1283" i="2"/>
  <c r="O1163" i="2"/>
  <c r="R1545" i="2"/>
  <c r="P1200" i="2"/>
  <c r="N1127" i="2"/>
  <c r="U1296" i="2"/>
  <c r="L1155" i="2"/>
  <c r="N1171" i="2"/>
  <c r="K1124" i="2"/>
  <c r="S845" i="2"/>
  <c r="T588" i="2"/>
  <c r="P1549" i="2"/>
  <c r="N933" i="2"/>
  <c r="P1124" i="2"/>
  <c r="R1034" i="2"/>
  <c r="R1310" i="2"/>
  <c r="N590" i="2"/>
  <c r="P1237" i="2"/>
  <c r="P1044" i="2"/>
  <c r="P945" i="2"/>
  <c r="J558" i="2"/>
  <c r="R1940" i="2"/>
  <c r="S1315" i="2"/>
  <c r="N830" i="2"/>
  <c r="N527" i="2"/>
  <c r="M774" i="2"/>
  <c r="J879" i="2"/>
  <c r="L1225" i="2"/>
  <c r="S1390" i="2"/>
  <c r="J1053" i="2"/>
  <c r="R1836" i="2"/>
  <c r="S871" i="2"/>
  <c r="P1420" i="2"/>
  <c r="K1028" i="2"/>
  <c r="U1435" i="2"/>
  <c r="L1290" i="2"/>
  <c r="M1067" i="2"/>
  <c r="L1149" i="2"/>
  <c r="U931" i="2"/>
  <c r="Q1154" i="2"/>
  <c r="O1506" i="2"/>
  <c r="T1383" i="2"/>
  <c r="N999" i="2"/>
  <c r="R1221" i="2"/>
  <c r="S1069" i="2"/>
  <c r="O490" i="2"/>
  <c r="O527" i="2"/>
  <c r="O1429" i="2"/>
  <c r="U473" i="2"/>
  <c r="Q1631" i="2"/>
  <c r="Q1712" i="2"/>
  <c r="R1099" i="2"/>
  <c r="N1835" i="2"/>
  <c r="N1399" i="2"/>
  <c r="R1151" i="2"/>
  <c r="M1492" i="2"/>
  <c r="N1427" i="2"/>
  <c r="O1444" i="2"/>
  <c r="N1084" i="2"/>
  <c r="T1411" i="2"/>
  <c r="Q1525" i="2"/>
  <c r="J1166" i="2"/>
  <c r="R1017" i="2"/>
  <c r="J1199" i="2"/>
  <c r="L1482" i="2"/>
  <c r="S1391" i="2"/>
  <c r="U560" i="2"/>
  <c r="M1198" i="2"/>
  <c r="N968" i="2"/>
  <c r="O732" i="2"/>
  <c r="P515" i="2"/>
  <c r="M471" i="2"/>
  <c r="O862" i="2"/>
  <c r="L963" i="2"/>
  <c r="T1100" i="2"/>
  <c r="Q955" i="2"/>
  <c r="K695" i="2"/>
  <c r="P854" i="2"/>
  <c r="T1486" i="2"/>
  <c r="S631" i="2"/>
  <c r="P823" i="2"/>
  <c r="S372" i="2"/>
  <c r="R653" i="2"/>
  <c r="Q1482" i="2"/>
  <c r="S1132" i="2"/>
  <c r="L1089" i="2"/>
  <c r="K524" i="2"/>
  <c r="P978" i="2"/>
  <c r="K615" i="2"/>
  <c r="O642" i="2"/>
  <c r="T512" i="2"/>
  <c r="Q705" i="2"/>
  <c r="O493" i="2"/>
  <c r="Q835" i="2"/>
  <c r="P385" i="2"/>
  <c r="L1270" i="2"/>
  <c r="T1227" i="2"/>
  <c r="U2059" i="2"/>
  <c r="N834" i="2"/>
  <c r="O607" i="2"/>
  <c r="M532" i="2"/>
  <c r="O539" i="2"/>
  <c r="T944" i="2"/>
  <c r="L754" i="2"/>
  <c r="J357" i="2"/>
  <c r="J370" i="2"/>
  <c r="S1447" i="2"/>
  <c r="S1253" i="2"/>
  <c r="N1461" i="2"/>
  <c r="U1035" i="2"/>
  <c r="K1009" i="2"/>
  <c r="K859" i="2"/>
  <c r="J597" i="2"/>
  <c r="N559" i="2"/>
  <c r="R496" i="2"/>
  <c r="N1258" i="2"/>
  <c r="P1668" i="2"/>
  <c r="L1197" i="2"/>
  <c r="N493" i="2"/>
  <c r="S1087" i="2"/>
  <c r="S901" i="2"/>
  <c r="U783" i="2"/>
  <c r="L936" i="2"/>
  <c r="M770" i="2"/>
  <c r="P715" i="2"/>
  <c r="P500" i="2"/>
  <c r="U440" i="2"/>
  <c r="M397" i="2"/>
  <c r="M2090" i="2"/>
  <c r="M1045" i="2"/>
  <c r="O1037" i="2"/>
  <c r="M624" i="2"/>
  <c r="N788" i="2"/>
  <c r="O798" i="2"/>
  <c r="O1135" i="2"/>
  <c r="R730" i="2"/>
  <c r="Q811" i="2"/>
  <c r="K538" i="2"/>
  <c r="U343" i="2"/>
  <c r="J1407" i="2"/>
  <c r="M1033" i="2"/>
  <c r="S1006" i="2"/>
  <c r="K839" i="2"/>
  <c r="J1091" i="2"/>
  <c r="L678" i="2"/>
  <c r="J1261" i="2"/>
  <c r="M1054" i="2"/>
  <c r="U1240" i="2"/>
  <c r="Q1014" i="2"/>
  <c r="U1096" i="2"/>
  <c r="K858" i="2"/>
  <c r="T535" i="2"/>
  <c r="L1092" i="2"/>
  <c r="J903" i="2"/>
  <c r="M822" i="2"/>
  <c r="P933" i="2"/>
  <c r="Q1542" i="2"/>
  <c r="L964" i="2"/>
  <c r="O788" i="2"/>
  <c r="T808" i="2"/>
  <c r="S682" i="2"/>
  <c r="L1213" i="2"/>
  <c r="J966" i="2"/>
  <c r="S842" i="2"/>
  <c r="T797" i="2"/>
  <c r="U883" i="2"/>
  <c r="P606" i="2"/>
  <c r="O1139" i="2"/>
  <c r="T779" i="2"/>
  <c r="U768" i="2"/>
  <c r="R746" i="2"/>
  <c r="K710" i="2"/>
  <c r="R572" i="2"/>
  <c r="T962" i="2"/>
  <c r="R1202" i="2"/>
  <c r="P1081" i="2"/>
  <c r="R502" i="2"/>
  <c r="O915" i="2"/>
  <c r="S564" i="2"/>
  <c r="R1689" i="2"/>
  <c r="K798" i="2"/>
  <c r="L721" i="2"/>
  <c r="N533" i="2"/>
  <c r="U459" i="2"/>
  <c r="O593" i="2"/>
  <c r="Q718" i="2"/>
  <c r="L608" i="2"/>
  <c r="P874" i="2"/>
  <c r="R384" i="2"/>
  <c r="O812" i="2"/>
  <c r="O409" i="2"/>
  <c r="P897" i="2"/>
  <c r="L1261" i="2"/>
  <c r="R1179" i="2"/>
  <c r="L507" i="2"/>
  <c r="P622" i="2"/>
  <c r="R505" i="2"/>
  <c r="K763" i="2"/>
  <c r="R620" i="2"/>
  <c r="M580" i="2"/>
  <c r="O110" i="2"/>
  <c r="S393" i="2"/>
  <c r="O195" i="2"/>
  <c r="T507" i="2"/>
  <c r="M394" i="2"/>
  <c r="L1866" i="2"/>
  <c r="T668" i="2"/>
  <c r="J956" i="2"/>
  <c r="N717" i="2"/>
  <c r="Q908" i="2"/>
  <c r="S375" i="2"/>
  <c r="M729" i="2"/>
  <c r="P353" i="2"/>
  <c r="J888" i="2"/>
  <c r="M187" i="2"/>
  <c r="R375" i="2"/>
  <c r="M995" i="2"/>
  <c r="L992" i="2"/>
  <c r="P919" i="2"/>
  <c r="O854" i="2"/>
  <c r="Q358" i="2"/>
  <c r="R585" i="2"/>
  <c r="M780" i="2"/>
  <c r="P1813" i="2"/>
  <c r="S1908" i="2"/>
  <c r="J1757" i="2"/>
  <c r="T1467" i="2"/>
  <c r="S1435" i="2"/>
  <c r="N1900" i="2"/>
  <c r="Q870" i="2"/>
  <c r="T886" i="2"/>
  <c r="U1363" i="2"/>
  <c r="R1954" i="2"/>
  <c r="L1268" i="2"/>
  <c r="U1516" i="2"/>
  <c r="O2006" i="2"/>
  <c r="N1551" i="2"/>
  <c r="U1109" i="2"/>
  <c r="N1247" i="2"/>
  <c r="L1228" i="2"/>
  <c r="L979" i="2"/>
  <c r="R879" i="2"/>
  <c r="K1440" i="2"/>
  <c r="N787" i="2"/>
  <c r="N748" i="2"/>
  <c r="M1175" i="2"/>
  <c r="J1738" i="2"/>
  <c r="T1798" i="2"/>
  <c r="T1456" i="2"/>
  <c r="S1125" i="2"/>
  <c r="S1051" i="2"/>
  <c r="M1444" i="2"/>
  <c r="M1707" i="2"/>
  <c r="U694" i="2"/>
  <c r="S953" i="2"/>
  <c r="O2060" i="2"/>
  <c r="M1199" i="2"/>
  <c r="P982" i="2"/>
  <c r="Q662" i="2"/>
  <c r="N1233" i="2"/>
  <c r="N322" i="2"/>
  <c r="O1097" i="2"/>
  <c r="T1461" i="2"/>
  <c r="J1253" i="2"/>
  <c r="P1456" i="2"/>
  <c r="N1346" i="2"/>
  <c r="M1016" i="2"/>
  <c r="T2019" i="2"/>
  <c r="Q1205" i="2"/>
  <c r="K1018" i="2"/>
  <c r="N1732" i="2"/>
  <c r="R1631" i="2"/>
  <c r="M1194" i="2"/>
  <c r="J1405" i="2"/>
  <c r="K1158" i="2"/>
  <c r="Q1232" i="2"/>
  <c r="K1485" i="2"/>
  <c r="O1040" i="2"/>
  <c r="O1184" i="2"/>
  <c r="U1436" i="2"/>
  <c r="O1003" i="2"/>
  <c r="S952" i="2"/>
  <c r="K787" i="2"/>
  <c r="K1345" i="2"/>
  <c r="K1346" i="2"/>
  <c r="M1038" i="2"/>
  <c r="L955" i="2"/>
  <c r="Q1123" i="2"/>
  <c r="O753" i="2"/>
  <c r="N1180" i="2"/>
  <c r="T1471" i="2"/>
  <c r="P1305" i="2"/>
  <c r="P761" i="2"/>
  <c r="S1227" i="2"/>
  <c r="U1492" i="2"/>
  <c r="Q1018" i="2"/>
  <c r="O810" i="2"/>
  <c r="K1075" i="2"/>
  <c r="Q1128" i="2"/>
  <c r="O724" i="2"/>
  <c r="R636" i="2"/>
  <c r="R955" i="2"/>
  <c r="R986" i="2"/>
  <c r="M632" i="2"/>
  <c r="R671" i="2"/>
  <c r="M810" i="2"/>
  <c r="O478" i="2"/>
  <c r="O1030" i="2"/>
  <c r="T765" i="2"/>
  <c r="N604" i="2"/>
  <c r="O971" i="2"/>
  <c r="U1125" i="2"/>
  <c r="M866" i="2"/>
  <c r="O966" i="2"/>
  <c r="L1071" i="2"/>
  <c r="O709" i="2"/>
  <c r="L897" i="2"/>
  <c r="M1251" i="2"/>
  <c r="S899" i="2"/>
  <c r="S742" i="2"/>
  <c r="S966" i="2"/>
  <c r="Q653" i="2"/>
  <c r="O806" i="2"/>
  <c r="O557" i="2"/>
  <c r="L946" i="2"/>
  <c r="N1013" i="2"/>
  <c r="L913" i="2"/>
  <c r="Q751" i="2"/>
  <c r="O331" i="2"/>
  <c r="P1048" i="2"/>
  <c r="J1043" i="2"/>
  <c r="K838" i="2"/>
  <c r="Q762" i="2"/>
  <c r="J791" i="2"/>
  <c r="T510" i="2"/>
  <c r="U841" i="2"/>
  <c r="P496" i="2"/>
  <c r="R651" i="2"/>
  <c r="O481" i="2"/>
  <c r="T849" i="2"/>
  <c r="K2047" i="2"/>
  <c r="N1244" i="2"/>
  <c r="O979" i="2"/>
  <c r="L1044" i="2"/>
  <c r="R965" i="2"/>
  <c r="L900" i="2"/>
  <c r="O471" i="2"/>
  <c r="M491" i="2"/>
  <c r="J581" i="2"/>
  <c r="S1580" i="2"/>
  <c r="P1260" i="2"/>
  <c r="J951" i="2"/>
  <c r="J550" i="2"/>
  <c r="J945" i="2"/>
  <c r="R1828" i="2"/>
  <c r="Q1856" i="2"/>
  <c r="R1373" i="2"/>
  <c r="Q1816" i="2"/>
  <c r="T1814" i="2"/>
  <c r="U1448" i="2"/>
  <c r="R1832" i="2"/>
  <c r="J1441" i="2"/>
  <c r="J1382" i="2"/>
  <c r="J1490" i="2"/>
  <c r="O1127" i="2"/>
  <c r="M979" i="2"/>
  <c r="Q1765" i="2"/>
  <c r="Q1025" i="2"/>
  <c r="O1269" i="2"/>
  <c r="J1204" i="2"/>
  <c r="S2216" i="2"/>
  <c r="P1125" i="2"/>
  <c r="R860" i="2"/>
  <c r="P1701" i="2"/>
  <c r="Q1081" i="2"/>
  <c r="L822" i="2"/>
  <c r="U1167" i="2"/>
  <c r="M852" i="2"/>
  <c r="S1459" i="2"/>
  <c r="P1356" i="2"/>
  <c r="J464" i="2"/>
  <c r="R522" i="2"/>
  <c r="Q1213" i="2"/>
  <c r="Q764" i="2"/>
  <c r="L1076" i="2"/>
  <c r="M903" i="2"/>
  <c r="J1835" i="2"/>
  <c r="P1075" i="2"/>
  <c r="J1234" i="2"/>
  <c r="S930" i="2"/>
  <c r="S785" i="2"/>
  <c r="T628" i="2"/>
  <c r="K1435" i="2"/>
  <c r="M1490" i="2"/>
  <c r="O1376" i="2"/>
  <c r="U1077" i="2"/>
  <c r="L968" i="2"/>
  <c r="P1051" i="2"/>
  <c r="K1192" i="2"/>
  <c r="U1376" i="2"/>
  <c r="N1501" i="2"/>
  <c r="R1219" i="2"/>
  <c r="N1579" i="2"/>
  <c r="N1158" i="2"/>
  <c r="K1228" i="2"/>
  <c r="N1448" i="2"/>
  <c r="J1099" i="2"/>
  <c r="O1109" i="2"/>
  <c r="L1443" i="2"/>
  <c r="J818" i="2"/>
  <c r="L775" i="2"/>
  <c r="M1100" i="2"/>
  <c r="M1317" i="2"/>
  <c r="N698" i="2"/>
  <c r="S1279" i="2"/>
  <c r="S1018" i="2"/>
  <c r="O1140" i="2"/>
  <c r="K1063" i="2"/>
  <c r="S969" i="2"/>
  <c r="J833" i="2"/>
  <c r="N1113" i="2"/>
  <c r="M1272" i="2"/>
  <c r="K1212" i="2"/>
  <c r="L921" i="2"/>
  <c r="M1676" i="2"/>
  <c r="N1275" i="2"/>
  <c r="L1781" i="2"/>
  <c r="O939" i="2"/>
  <c r="N1121" i="2"/>
  <c r="K1042" i="2"/>
  <c r="O738" i="2"/>
  <c r="N771" i="2"/>
  <c r="K940" i="2"/>
  <c r="M473" i="2"/>
  <c r="S817" i="2"/>
  <c r="P580" i="2"/>
  <c r="M989" i="2"/>
  <c r="S217" i="2"/>
  <c r="R1177" i="2"/>
  <c r="L1218" i="2"/>
  <c r="J661" i="2"/>
  <c r="J1094" i="2"/>
  <c r="Q1108" i="2"/>
  <c r="Q782" i="2"/>
  <c r="T555" i="2"/>
  <c r="M481" i="2"/>
  <c r="P378" i="2"/>
  <c r="M896" i="2"/>
  <c r="O1202" i="2"/>
  <c r="T881" i="2"/>
  <c r="J923" i="2"/>
  <c r="K1046" i="2"/>
  <c r="P803" i="2"/>
  <c r="U595" i="2"/>
  <c r="T598" i="2"/>
  <c r="Q721" i="2"/>
  <c r="K817" i="2"/>
  <c r="J777" i="2"/>
  <c r="T526" i="2"/>
  <c r="N458" i="2"/>
  <c r="Q1179" i="2"/>
  <c r="K1010" i="2"/>
  <c r="T783" i="2"/>
  <c r="J458" i="2"/>
  <c r="K683" i="2"/>
  <c r="P762" i="2"/>
  <c r="O990" i="2"/>
  <c r="M888" i="2"/>
  <c r="R566" i="2"/>
  <c r="P551" i="2"/>
  <c r="M468" i="2"/>
  <c r="S1483" i="2"/>
  <c r="L978" i="2"/>
  <c r="U1307" i="2"/>
  <c r="O690" i="2"/>
  <c r="M865" i="2"/>
  <c r="N1125" i="2"/>
  <c r="T1190" i="2"/>
  <c r="S1539" i="2"/>
  <c r="N1769" i="2"/>
  <c r="M1531" i="2"/>
  <c r="O1194" i="2"/>
  <c r="M1458" i="2"/>
  <c r="M881" i="2"/>
  <c r="T1531" i="2"/>
  <c r="O1657" i="2"/>
  <c r="Q850" i="2"/>
  <c r="Q1416" i="2"/>
  <c r="O1357" i="2"/>
  <c r="L1141" i="2"/>
  <c r="R1485" i="2"/>
  <c r="Q1620" i="2"/>
  <c r="R1031" i="2"/>
  <c r="L1085" i="2"/>
  <c r="P1920" i="2"/>
  <c r="S816" i="2"/>
  <c r="M920" i="2"/>
  <c r="J1136" i="2"/>
  <c r="R1346" i="2"/>
  <c r="S991" i="2"/>
  <c r="N981" i="2"/>
  <c r="M1375" i="2"/>
  <c r="R1454" i="2"/>
  <c r="P1132" i="2"/>
  <c r="Q551" i="2"/>
  <c r="N676" i="2"/>
  <c r="N1635" i="2"/>
  <c r="O1051" i="2"/>
  <c r="U751" i="2"/>
  <c r="J644" i="2"/>
  <c r="K1487" i="2"/>
  <c r="K1071" i="2"/>
  <c r="N956" i="2"/>
  <c r="Q1120" i="2"/>
  <c r="U835" i="2"/>
  <c r="T514" i="2"/>
  <c r="P1146" i="2"/>
  <c r="M1014" i="2"/>
  <c r="M1289" i="2"/>
  <c r="N1199" i="2"/>
  <c r="R837" i="2"/>
  <c r="J1780" i="2"/>
  <c r="T1321" i="2"/>
  <c r="Q1109" i="2"/>
  <c r="P1337" i="2"/>
  <c r="Q1440" i="2"/>
  <c r="J1154" i="2"/>
  <c r="U785" i="2"/>
  <c r="M938" i="2"/>
  <c r="O1079" i="2"/>
  <c r="P1233" i="2"/>
  <c r="U874" i="2"/>
  <c r="K1034" i="2"/>
  <c r="L879" i="2"/>
  <c r="K973" i="2"/>
  <c r="J767" i="2"/>
  <c r="K1238" i="2"/>
  <c r="T691" i="2"/>
  <c r="R1513" i="2"/>
  <c r="J1063" i="2"/>
  <c r="M1313" i="2"/>
  <c r="L1011" i="2"/>
  <c r="J1585" i="2"/>
  <c r="T1156" i="2"/>
  <c r="P1691" i="2"/>
  <c r="K1001" i="2"/>
  <c r="S1986" i="2"/>
  <c r="O1116" i="2"/>
  <c r="O1228" i="2"/>
  <c r="U1095" i="2"/>
  <c r="K1098" i="2"/>
  <c r="T846" i="2"/>
  <c r="K881" i="2"/>
  <c r="P1229" i="2"/>
  <c r="J1006" i="2"/>
  <c r="N804" i="2"/>
  <c r="S731" i="2"/>
  <c r="O497" i="2"/>
  <c r="L947" i="2"/>
  <c r="N620" i="2"/>
  <c r="L1073" i="2"/>
  <c r="O458" i="2"/>
  <c r="K1172" i="2"/>
  <c r="K1169" i="2"/>
  <c r="Q528" i="2"/>
  <c r="N1149" i="2"/>
  <c r="Q785" i="2"/>
  <c r="O692" i="2"/>
  <c r="R481" i="2"/>
  <c r="M570" i="2"/>
  <c r="M448" i="2"/>
  <c r="J751" i="2"/>
  <c r="O1103" i="2"/>
  <c r="M884" i="2"/>
  <c r="N1363" i="2"/>
  <c r="P1101" i="2"/>
  <c r="K959" i="2"/>
  <c r="L663" i="2"/>
  <c r="P774" i="2"/>
  <c r="U380" i="2"/>
  <c r="U431" i="2"/>
  <c r="N648" i="2"/>
  <c r="N447" i="2"/>
  <c r="J351" i="2"/>
  <c r="S984" i="2"/>
  <c r="J855" i="2"/>
  <c r="N863" i="2"/>
  <c r="R853" i="2"/>
  <c r="L333" i="2"/>
  <c r="J692" i="2"/>
  <c r="J782" i="2"/>
  <c r="U675" i="2"/>
  <c r="J608" i="2"/>
  <c r="J1214" i="2"/>
  <c r="O1010" i="2"/>
  <c r="M1431" i="2"/>
  <c r="U848" i="2"/>
  <c r="K818" i="2"/>
  <c r="L1316" i="2"/>
  <c r="M1270" i="2"/>
  <c r="O999" i="2"/>
  <c r="T784" i="2"/>
  <c r="J697" i="2"/>
  <c r="U932" i="2"/>
  <c r="R1434" i="2"/>
  <c r="J1224" i="2"/>
  <c r="N1343" i="2"/>
  <c r="N965" i="2"/>
  <c r="O1320" i="2"/>
  <c r="R820" i="2"/>
  <c r="J497" i="2"/>
  <c r="M516" i="2"/>
  <c r="Q832" i="2"/>
  <c r="L1113" i="2"/>
  <c r="Q683" i="2"/>
  <c r="L765" i="2"/>
  <c r="J657" i="2"/>
  <c r="P1500" i="2"/>
  <c r="O1033" i="2"/>
  <c r="P821" i="2"/>
  <c r="L922" i="2"/>
  <c r="K971" i="2"/>
  <c r="T750" i="2"/>
  <c r="L708" i="2"/>
  <c r="Q1266" i="2"/>
  <c r="K586" i="2"/>
  <c r="Q646" i="2"/>
  <c r="N685" i="2"/>
  <c r="T1245" i="2"/>
  <c r="T1233" i="2"/>
  <c r="P781" i="2"/>
  <c r="M726" i="2"/>
  <c r="L1520" i="2"/>
  <c r="O906" i="2"/>
  <c r="S1150" i="2"/>
  <c r="L1027" i="2"/>
  <c r="M845" i="2"/>
  <c r="R1059" i="2"/>
  <c r="O730" i="2"/>
  <c r="T1698" i="2"/>
  <c r="P1381" i="2"/>
  <c r="T1324" i="2"/>
  <c r="R1284" i="2"/>
  <c r="J1366" i="2"/>
  <c r="N1356" i="2"/>
  <c r="S1545" i="2"/>
  <c r="T1508" i="2"/>
  <c r="Q1097" i="2"/>
  <c r="M1512" i="2"/>
  <c r="S830" i="2"/>
  <c r="S1528" i="2"/>
  <c r="O1391" i="2"/>
  <c r="O1478" i="2"/>
  <c r="S1348" i="2"/>
  <c r="Q1020" i="2"/>
  <c r="K1909" i="2"/>
  <c r="L1024" i="2"/>
  <c r="L837" i="2"/>
  <c r="O958" i="2"/>
  <c r="T858" i="2"/>
  <c r="U868" i="2"/>
  <c r="Q1346" i="2"/>
  <c r="P1134" i="2"/>
  <c r="M1263" i="2"/>
  <c r="O1368" i="2"/>
  <c r="P816" i="2"/>
  <c r="Q1048" i="2"/>
  <c r="U1188" i="2"/>
  <c r="M912" i="2"/>
  <c r="R659" i="2"/>
  <c r="L801" i="2"/>
  <c r="N1156" i="2"/>
  <c r="N1282" i="2"/>
  <c r="K761" i="2"/>
  <c r="T1110" i="2"/>
  <c r="N914" i="2"/>
  <c r="L873" i="2"/>
  <c r="S1062" i="2"/>
  <c r="O1282" i="2"/>
  <c r="S1502" i="2"/>
  <c r="N1384" i="2"/>
  <c r="R839" i="2"/>
  <c r="M1553" i="2"/>
  <c r="U1215" i="2"/>
  <c r="R1045" i="2"/>
  <c r="L1380" i="2"/>
  <c r="Q1101" i="2"/>
  <c r="S1854" i="2"/>
  <c r="S940" i="2"/>
  <c r="R1216" i="2"/>
  <c r="L1355" i="2"/>
  <c r="R1282" i="2"/>
  <c r="L1126" i="2"/>
  <c r="J1570" i="2"/>
  <c r="U605" i="2"/>
  <c r="O556" i="2"/>
  <c r="T963" i="2"/>
  <c r="U899" i="2"/>
  <c r="S529" i="2"/>
  <c r="N1301" i="2"/>
  <c r="T1043" i="2"/>
  <c r="S1556" i="2"/>
  <c r="Q874" i="2"/>
  <c r="L966" i="2"/>
  <c r="R642" i="2"/>
  <c r="T1296" i="2"/>
  <c r="K1159" i="2"/>
  <c r="J1003" i="2"/>
  <c r="O946" i="2"/>
  <c r="O1500" i="2"/>
  <c r="L1171" i="2"/>
  <c r="P1390" i="2"/>
  <c r="R1344" i="2"/>
  <c r="M858" i="2"/>
  <c r="K1465" i="2"/>
  <c r="J1081" i="2"/>
  <c r="K978" i="2"/>
  <c r="P1137" i="2"/>
  <c r="S435" i="2"/>
  <c r="P666" i="2"/>
  <c r="Q451" i="2"/>
  <c r="L704" i="2"/>
  <c r="T457" i="2"/>
  <c r="J1281" i="2"/>
  <c r="R1233" i="2"/>
  <c r="P953" i="2"/>
  <c r="Q1021" i="2"/>
  <c r="P1089" i="2"/>
  <c r="T661" i="2"/>
  <c r="L719" i="2"/>
  <c r="K891" i="2"/>
  <c r="U810" i="2"/>
  <c r="O504" i="2"/>
  <c r="R1299" i="2"/>
  <c r="P773" i="2"/>
  <c r="T964" i="2"/>
  <c r="Q533" i="2"/>
  <c r="O954" i="2"/>
  <c r="R1503" i="2"/>
  <c r="R618" i="2"/>
  <c r="M1138" i="2"/>
  <c r="U635" i="2"/>
  <c r="K662" i="2"/>
  <c r="N680" i="2"/>
  <c r="J1389" i="2"/>
  <c r="M1081" i="2"/>
  <c r="T1033" i="2"/>
  <c r="M490" i="2"/>
  <c r="J1438" i="2"/>
  <c r="P530" i="2"/>
  <c r="O602" i="2"/>
  <c r="R576" i="2"/>
  <c r="O1138" i="2"/>
  <c r="M559" i="2"/>
  <c r="N632" i="2"/>
  <c r="U581" i="2"/>
  <c r="R953" i="2"/>
  <c r="J775" i="2"/>
  <c r="M1103" i="2"/>
  <c r="R1127" i="2"/>
  <c r="S851" i="2"/>
  <c r="K902" i="2"/>
  <c r="T870" i="2"/>
  <c r="P1235" i="2"/>
  <c r="M652" i="2"/>
  <c r="S1171" i="2"/>
  <c r="N1095" i="2"/>
  <c r="S1092" i="2"/>
  <c r="K658" i="2"/>
  <c r="T826" i="2"/>
  <c r="Q1397" i="2"/>
  <c r="P1239" i="2"/>
  <c r="R1531" i="2"/>
  <c r="S1637" i="2"/>
  <c r="J1358" i="2"/>
  <c r="O1850" i="2"/>
  <c r="Q1182" i="2"/>
  <c r="O1304" i="2"/>
  <c r="O918" i="2"/>
  <c r="M1304" i="2"/>
  <c r="P1244" i="2"/>
  <c r="T1503" i="2"/>
  <c r="K1422" i="2"/>
  <c r="O1388" i="2"/>
  <c r="R1811" i="2"/>
  <c r="S1172" i="2"/>
  <c r="R1201" i="2"/>
  <c r="L755" i="2"/>
  <c r="O931" i="2"/>
  <c r="T1397" i="2"/>
  <c r="N1129" i="2"/>
  <c r="N889" i="2"/>
  <c r="L1205" i="2"/>
  <c r="L1175" i="2"/>
  <c r="R1169" i="2"/>
  <c r="K1198" i="2"/>
  <c r="M1048" i="2"/>
  <c r="N974" i="2"/>
  <c r="T1119" i="2"/>
  <c r="M821" i="2"/>
  <c r="L1105" i="2"/>
  <c r="M969" i="2"/>
  <c r="J1360" i="2"/>
  <c r="P1310" i="2"/>
  <c r="J1112" i="2"/>
  <c r="T625" i="2"/>
  <c r="R750" i="2"/>
  <c r="R756" i="2"/>
  <c r="U1155" i="2"/>
  <c r="T874" i="2"/>
  <c r="R1348" i="2"/>
  <c r="K1082" i="2"/>
  <c r="J769" i="2"/>
  <c r="M1507" i="2"/>
  <c r="O978" i="2"/>
  <c r="J846" i="2"/>
  <c r="R975" i="2"/>
  <c r="O1641" i="2"/>
  <c r="O1258" i="2"/>
  <c r="K868" i="2"/>
  <c r="K1995" i="2"/>
  <c r="K1194" i="2"/>
  <c r="P1068" i="2"/>
  <c r="Q1333" i="2"/>
  <c r="O1031" i="2"/>
  <c r="P676" i="2"/>
  <c r="R691" i="2"/>
  <c r="Q854" i="2"/>
  <c r="L887" i="2"/>
  <c r="M1111" i="2"/>
  <c r="M1294" i="2"/>
  <c r="S1394" i="2"/>
  <c r="Q1146" i="2"/>
  <c r="O1047" i="2"/>
  <c r="U788" i="2"/>
  <c r="J839" i="2"/>
  <c r="L1299" i="2"/>
  <c r="K1464" i="2"/>
  <c r="S1219" i="2"/>
  <c r="O1023" i="2"/>
  <c r="L1160" i="2"/>
  <c r="N1201" i="2"/>
  <c r="P941" i="2"/>
  <c r="U1031" i="2"/>
  <c r="S945" i="2"/>
  <c r="O1017" i="2"/>
  <c r="U865" i="2"/>
  <c r="M501" i="2"/>
  <c r="K723" i="2"/>
  <c r="P1231" i="2"/>
  <c r="S1110" i="2"/>
  <c r="P674" i="2"/>
  <c r="K755" i="2"/>
  <c r="P737" i="2"/>
  <c r="P921" i="2"/>
  <c r="L1522" i="2"/>
  <c r="T602" i="2"/>
  <c r="U915" i="2"/>
  <c r="K465" i="2"/>
  <c r="S1139" i="2"/>
  <c r="R631" i="2"/>
  <c r="L747" i="2"/>
  <c r="T420" i="2"/>
  <c r="M603" i="2"/>
  <c r="M1232" i="2"/>
  <c r="R1239" i="2"/>
  <c r="P576" i="2"/>
  <c r="J764" i="2"/>
  <c r="K939" i="2"/>
  <c r="N972" i="2"/>
  <c r="P928" i="2"/>
  <c r="Q493" i="2"/>
  <c r="M677" i="2"/>
  <c r="R817" i="2"/>
  <c r="L692" i="2"/>
  <c r="Q1727" i="2"/>
  <c r="T885" i="2"/>
  <c r="T705" i="2"/>
  <c r="O715" i="2"/>
  <c r="K958" i="2"/>
  <c r="R648" i="2"/>
  <c r="K525" i="2"/>
  <c r="R625" i="2"/>
  <c r="U766" i="2"/>
  <c r="T769" i="2"/>
  <c r="L706" i="2"/>
  <c r="K649" i="2"/>
  <c r="J1328" i="2"/>
  <c r="J1987" i="2"/>
  <c r="S1098" i="2"/>
  <c r="P1336" i="2"/>
  <c r="N1143" i="2"/>
  <c r="S1049" i="2"/>
  <c r="N702" i="2"/>
  <c r="Q2199" i="2"/>
  <c r="K1870" i="2"/>
  <c r="Q1688" i="2"/>
  <c r="O2126" i="2"/>
  <c r="N1686" i="2"/>
  <c r="K1232" i="2"/>
  <c r="N1203" i="2"/>
  <c r="P1410" i="2"/>
  <c r="Q1040" i="2"/>
  <c r="S1332" i="2"/>
  <c r="N1962" i="2"/>
  <c r="Q1901" i="2"/>
  <c r="L1297" i="2"/>
  <c r="K1225" i="2"/>
  <c r="L1046" i="2"/>
  <c r="T1264" i="2"/>
  <c r="T1096" i="2"/>
  <c r="P1032" i="2"/>
  <c r="K519" i="2"/>
  <c r="U1368" i="2"/>
  <c r="N767" i="2"/>
  <c r="N462" i="2"/>
  <c r="M1012" i="2"/>
  <c r="S796" i="2"/>
  <c r="Q1353" i="2"/>
  <c r="S1251" i="2"/>
  <c r="Q1003" i="2"/>
  <c r="J995" i="2"/>
  <c r="R1388" i="2"/>
  <c r="T1232" i="2"/>
  <c r="T940" i="2"/>
  <c r="K928" i="2"/>
  <c r="R1315" i="2"/>
  <c r="Q1098" i="2"/>
  <c r="Q1080" i="2"/>
  <c r="T494" i="2"/>
  <c r="K1469" i="2"/>
  <c r="J680" i="2"/>
  <c r="K1663" i="2"/>
  <c r="R949" i="2"/>
  <c r="L1430" i="2"/>
  <c r="J1273" i="2"/>
  <c r="L789" i="2"/>
  <c r="O1520" i="2"/>
  <c r="P1092" i="2"/>
  <c r="P1181" i="2"/>
  <c r="K1821" i="2"/>
  <c r="Q1142" i="2"/>
  <c r="O1517" i="2"/>
  <c r="O1226" i="2"/>
  <c r="O1133" i="2"/>
  <c r="N927" i="2"/>
  <c r="U902" i="2"/>
  <c r="Q979" i="2"/>
  <c r="K956" i="2"/>
  <c r="O562" i="2"/>
  <c r="L798" i="2"/>
  <c r="U989" i="2"/>
  <c r="P923" i="2"/>
  <c r="T397" i="2"/>
  <c r="Q1701" i="2"/>
  <c r="N1514" i="2"/>
  <c r="K1167" i="2"/>
  <c r="Q991" i="2"/>
  <c r="R1080" i="2"/>
  <c r="J1209" i="2"/>
  <c r="M815" i="2"/>
  <c r="O1554" i="2"/>
  <c r="K792" i="2"/>
  <c r="L835" i="2"/>
  <c r="P1949" i="2"/>
  <c r="Q1104" i="2"/>
  <c r="O1322" i="2"/>
  <c r="P796" i="2"/>
  <c r="Q1681" i="2"/>
  <c r="T1771" i="2"/>
  <c r="U1051" i="2"/>
  <c r="P525" i="2"/>
  <c r="J754" i="2"/>
  <c r="M470" i="2"/>
  <c r="Q590" i="2"/>
  <c r="R656" i="2"/>
  <c r="O909" i="2"/>
  <c r="N967" i="2"/>
  <c r="U1391" i="2"/>
  <c r="S1003" i="2"/>
  <c r="T1030" i="2"/>
  <c r="L624" i="2"/>
  <c r="N399" i="2"/>
  <c r="L825" i="2"/>
  <c r="J588" i="2"/>
  <c r="Q915" i="2"/>
  <c r="J422" i="2"/>
  <c r="L444" i="2"/>
  <c r="R1476" i="2"/>
  <c r="U984" i="2"/>
  <c r="Q1105" i="2"/>
  <c r="M661" i="2"/>
  <c r="R1424" i="2"/>
  <c r="N519" i="2"/>
  <c r="L587" i="2"/>
  <c r="O502" i="2"/>
  <c r="P600" i="2"/>
  <c r="R684" i="2"/>
  <c r="P340" i="2"/>
  <c r="Q1282" i="2"/>
  <c r="N847" i="2"/>
  <c r="M1109" i="2"/>
  <c r="Q622" i="2"/>
  <c r="N843" i="2"/>
  <c r="N629" i="2"/>
  <c r="J734" i="2"/>
  <c r="P480" i="2"/>
  <c r="J481" i="2"/>
  <c r="J530" i="2"/>
  <c r="R369" i="2"/>
  <c r="R306" i="2"/>
  <c r="Q1427" i="2"/>
  <c r="L1179" i="2"/>
  <c r="O1273" i="2"/>
  <c r="O456" i="2"/>
  <c r="L424" i="2"/>
  <c r="J1097" i="2"/>
  <c r="P1499" i="2"/>
  <c r="Q502" i="2"/>
  <c r="Q794" i="2"/>
  <c r="S1761" i="2"/>
  <c r="L1109" i="2"/>
  <c r="U1072" i="2"/>
  <c r="S1026" i="2"/>
  <c r="N1068" i="2"/>
  <c r="S806" i="2"/>
  <c r="U775" i="2"/>
  <c r="Q1618" i="2"/>
  <c r="O618" i="2"/>
  <c r="U678" i="2"/>
  <c r="Q838" i="2"/>
  <c r="N1042" i="2"/>
  <c r="S738" i="2"/>
  <c r="S1408" i="2"/>
  <c r="U809" i="2"/>
  <c r="Q880" i="2"/>
  <c r="Q836" i="2"/>
  <c r="L939" i="2"/>
  <c r="M1010" i="2"/>
  <c r="T465" i="2"/>
  <c r="M694" i="2"/>
  <c r="Q858" i="2"/>
  <c r="S574" i="2"/>
  <c r="N689" i="2"/>
  <c r="L1396" i="2"/>
  <c r="S975" i="2"/>
  <c r="O784" i="2"/>
  <c r="L521" i="2"/>
  <c r="Q542" i="2"/>
  <c r="N799" i="2"/>
  <c r="R2087" i="2"/>
  <c r="R1225" i="2"/>
  <c r="U786" i="2"/>
  <c r="R821" i="2"/>
  <c r="J1330" i="2"/>
  <c r="S670" i="2"/>
  <c r="T801" i="2"/>
  <c r="L1388" i="2"/>
  <c r="U837" i="2"/>
  <c r="L935" i="2"/>
  <c r="J705" i="2"/>
  <c r="M1435" i="2"/>
  <c r="Q805" i="2"/>
  <c r="Q710" i="2"/>
  <c r="N670" i="2"/>
  <c r="K1247" i="2"/>
  <c r="S1376" i="2"/>
  <c r="R1305" i="2"/>
  <c r="J1107" i="2"/>
  <c r="P1448" i="2"/>
  <c r="P650" i="2"/>
  <c r="M1213" i="2"/>
  <c r="M1424" i="2"/>
  <c r="M1117" i="2"/>
  <c r="L1017" i="2"/>
  <c r="P1071" i="2"/>
  <c r="R616" i="2"/>
  <c r="P1376" i="2"/>
  <c r="J1210" i="2"/>
  <c r="S1412" i="2"/>
  <c r="P670" i="2"/>
  <c r="J813" i="2"/>
  <c r="L1273" i="2"/>
  <c r="O1336" i="2"/>
  <c r="S854" i="2"/>
  <c r="L628" i="2"/>
  <c r="R581" i="2"/>
  <c r="O547" i="2"/>
  <c r="T408" i="2"/>
  <c r="J336" i="2"/>
  <c r="S451" i="2"/>
  <c r="K370" i="2"/>
  <c r="K551" i="2"/>
  <c r="L407" i="2"/>
  <c r="M301" i="2"/>
  <c r="R574" i="2"/>
  <c r="N1383" i="2"/>
  <c r="O667" i="2"/>
  <c r="L788" i="2"/>
  <c r="U985" i="2"/>
  <c r="U591" i="2"/>
  <c r="Q667" i="2"/>
  <c r="Q808" i="2"/>
  <c r="Q575" i="2"/>
  <c r="J419" i="2"/>
  <c r="P413" i="2"/>
  <c r="L653" i="2"/>
  <c r="M623" i="2"/>
  <c r="Q412" i="2"/>
  <c r="S157" i="2"/>
  <c r="O1049" i="2"/>
  <c r="R845" i="2"/>
  <c r="S394" i="2"/>
  <c r="P884" i="2"/>
  <c r="O802" i="2"/>
  <c r="R321" i="2"/>
  <c r="S832" i="2"/>
  <c r="M573" i="2"/>
  <c r="L492" i="2"/>
  <c r="T435" i="2"/>
  <c r="U1158" i="2"/>
  <c r="L698" i="2"/>
  <c r="L528" i="2"/>
  <c r="Q1512" i="2"/>
  <c r="L712" i="2"/>
  <c r="P627" i="2"/>
  <c r="L665" i="2"/>
  <c r="S474" i="2"/>
  <c r="M1918" i="2"/>
  <c r="N1763" i="2"/>
  <c r="T1672" i="2"/>
  <c r="S1787" i="2"/>
  <c r="Q2030" i="2"/>
  <c r="R989" i="2"/>
  <c r="M1674" i="2"/>
  <c r="K1421" i="2"/>
  <c r="S1374" i="2"/>
  <c r="L1552" i="2"/>
  <c r="L1744" i="2"/>
  <c r="Q1445" i="2"/>
  <c r="R1358" i="2"/>
  <c r="M1348" i="2"/>
  <c r="J1303" i="2"/>
  <c r="P1093" i="2"/>
  <c r="S1361" i="2"/>
  <c r="N926" i="2"/>
  <c r="N1246" i="2"/>
  <c r="P1079" i="2"/>
  <c r="U940" i="2"/>
  <c r="M693" i="2"/>
  <c r="R1255" i="2"/>
  <c r="L1114" i="2"/>
  <c r="R1886" i="2"/>
  <c r="S921" i="2"/>
  <c r="M891" i="2"/>
  <c r="O1268" i="2"/>
  <c r="O1350" i="2"/>
  <c r="P1078" i="2"/>
  <c r="M883" i="2"/>
  <c r="J1238" i="2"/>
  <c r="L989" i="2"/>
  <c r="U1016" i="2"/>
  <c r="R954" i="2"/>
  <c r="U871" i="2"/>
  <c r="O1330" i="2"/>
  <c r="K1914" i="2"/>
  <c r="K2006" i="2"/>
  <c r="O1323" i="2"/>
  <c r="P1662" i="2"/>
  <c r="S1066" i="2"/>
  <c r="P859" i="2"/>
  <c r="J1539" i="2"/>
  <c r="R773" i="2"/>
  <c r="L957" i="2"/>
  <c r="K1069" i="2"/>
  <c r="O1309" i="2"/>
  <c r="N941" i="2"/>
  <c r="Q1078" i="2"/>
  <c r="K1171" i="2"/>
  <c r="N1086" i="2"/>
  <c r="O1223" i="2"/>
  <c r="S771" i="2"/>
  <c r="P1460" i="2"/>
  <c r="M925" i="2"/>
  <c r="O819" i="2"/>
  <c r="U713" i="2"/>
  <c r="N929" i="2"/>
  <c r="Q1797" i="2"/>
  <c r="L1444" i="2"/>
  <c r="L1291" i="2"/>
  <c r="O864" i="2"/>
  <c r="O1052" i="2"/>
  <c r="U1179" i="2"/>
  <c r="N876" i="2"/>
  <c r="L2001" i="2"/>
  <c r="P1118" i="2"/>
  <c r="O1286" i="2"/>
  <c r="K1754" i="2"/>
  <c r="N1294" i="2"/>
  <c r="J763" i="2"/>
  <c r="U1091" i="2"/>
  <c r="S1080" i="2"/>
  <c r="J1130" i="2"/>
  <c r="L1240" i="2"/>
  <c r="Q816" i="2"/>
  <c r="R1003" i="2"/>
  <c r="O956" i="2"/>
  <c r="N478" i="2"/>
  <c r="J1241" i="2"/>
  <c r="O582" i="2"/>
  <c r="R482" i="2"/>
  <c r="T346" i="2"/>
  <c r="O1088" i="2"/>
  <c r="Q873" i="2"/>
  <c r="O868" i="2"/>
  <c r="U685" i="2"/>
  <c r="S730" i="2"/>
  <c r="M591" i="2"/>
  <c r="S758" i="2"/>
  <c r="M711" i="2"/>
  <c r="K637" i="2"/>
  <c r="K805" i="2"/>
  <c r="L1350" i="2"/>
  <c r="P1353" i="2"/>
  <c r="L627" i="2"/>
  <c r="R1210" i="2"/>
  <c r="M830" i="2"/>
  <c r="L785" i="2"/>
  <c r="R511" i="2"/>
  <c r="L926" i="2"/>
  <c r="N640" i="2"/>
  <c r="M316" i="2"/>
  <c r="R673" i="2"/>
  <c r="J1346" i="2"/>
  <c r="J917" i="2"/>
  <c r="K1275" i="2"/>
  <c r="O522" i="2"/>
  <c r="T993" i="2"/>
  <c r="O551" i="2"/>
  <c r="L393" i="2"/>
  <c r="L833" i="2"/>
  <c r="N794" i="2"/>
  <c r="K656" i="2"/>
  <c r="N699" i="2"/>
  <c r="L582" i="2"/>
  <c r="M1520" i="2"/>
  <c r="K1388" i="2"/>
  <c r="J971" i="2"/>
  <c r="M579" i="2"/>
  <c r="M718" i="2"/>
  <c r="K575" i="2"/>
  <c r="J796" i="2"/>
  <c r="Q846" i="2"/>
  <c r="P735" i="2"/>
  <c r="M1228" i="2"/>
  <c r="O1635" i="2"/>
  <c r="K1019" i="2"/>
  <c r="L1086" i="2"/>
  <c r="Q1038" i="2"/>
  <c r="U942" i="2"/>
  <c r="R669" i="2"/>
  <c r="J1021" i="2"/>
  <c r="T741" i="2"/>
  <c r="S604" i="2"/>
  <c r="L655" i="2"/>
  <c r="P665" i="2"/>
  <c r="R706" i="2"/>
  <c r="K766" i="2"/>
  <c r="U1152" i="2"/>
  <c r="R442" i="2"/>
  <c r="M782" i="2"/>
  <c r="K1005" i="2"/>
  <c r="R582" i="2"/>
  <c r="K687" i="2"/>
  <c r="K620" i="2"/>
  <c r="Q691" i="2"/>
  <c r="Q503" i="2"/>
  <c r="N666" i="2"/>
  <c r="M1129" i="2"/>
  <c r="K1567" i="2"/>
  <c r="P831" i="2"/>
  <c r="M928" i="2"/>
  <c r="J1519" i="2"/>
  <c r="R703" i="2"/>
  <c r="O1475" i="2"/>
  <c r="K1378" i="2"/>
  <c r="Q1394" i="2"/>
  <c r="Q611" i="2"/>
  <c r="O896" i="2"/>
  <c r="L256" i="2"/>
  <c r="K700" i="2"/>
  <c r="S1479" i="2"/>
  <c r="L909" i="2"/>
  <c r="Q856" i="2"/>
  <c r="S491" i="2"/>
  <c r="P1528" i="2"/>
  <c r="O858" i="2"/>
  <c r="K778" i="2"/>
  <c r="U457" i="2"/>
  <c r="L1428" i="2"/>
  <c r="N1234" i="2"/>
  <c r="J723" i="2"/>
  <c r="Q803" i="2"/>
  <c r="O982" i="2"/>
  <c r="J932" i="2"/>
  <c r="U1306" i="2"/>
  <c r="M1201" i="2"/>
  <c r="Q1121" i="2"/>
  <c r="P750" i="2"/>
  <c r="U938" i="2"/>
  <c r="J832" i="2"/>
  <c r="O1009" i="2"/>
  <c r="R985" i="2"/>
  <c r="M798" i="2"/>
  <c r="J847" i="2"/>
  <c r="P889" i="2"/>
  <c r="J1153" i="2"/>
  <c r="N1340" i="2"/>
  <c r="J1150" i="2"/>
  <c r="N612" i="2"/>
  <c r="Q1100" i="2"/>
  <c r="L752" i="2"/>
  <c r="K1208" i="2"/>
  <c r="K724" i="2"/>
  <c r="S484" i="2"/>
  <c r="K319" i="2"/>
  <c r="M578" i="2"/>
  <c r="R308" i="2"/>
  <c r="K301" i="2"/>
  <c r="U652" i="2"/>
  <c r="P1193" i="2"/>
  <c r="K1155" i="2"/>
  <c r="L569" i="2"/>
  <c r="S659" i="2"/>
  <c r="M616" i="2"/>
  <c r="P700" i="2"/>
  <c r="J891" i="2"/>
  <c r="O272" i="2"/>
  <c r="T883" i="2"/>
  <c r="N64" i="2"/>
  <c r="Q211" i="2"/>
  <c r="O16" i="2"/>
  <c r="L602" i="2"/>
  <c r="P946" i="2"/>
  <c r="M847" i="2"/>
  <c r="N684" i="2"/>
  <c r="Q823" i="2"/>
  <c r="O1096" i="2"/>
  <c r="M666" i="2"/>
  <c r="O835" i="2"/>
  <c r="J579" i="2"/>
  <c r="P555" i="2"/>
  <c r="N571" i="2"/>
  <c r="L141" i="2"/>
  <c r="P1015" i="2"/>
  <c r="R1009" i="2"/>
  <c r="R737" i="2"/>
  <c r="O926" i="2"/>
  <c r="P2004" i="2"/>
  <c r="R1409" i="2"/>
  <c r="N1316" i="2"/>
  <c r="R1799" i="2"/>
  <c r="N1512" i="2"/>
  <c r="P1548" i="2"/>
  <c r="P1115" i="2"/>
  <c r="J1106" i="2"/>
  <c r="Q1066" i="2"/>
  <c r="J1828" i="2"/>
  <c r="O1710" i="2"/>
  <c r="J1215" i="2"/>
  <c r="L1230" i="2"/>
  <c r="T1836" i="2"/>
  <c r="J1207" i="2"/>
  <c r="N1525" i="2"/>
  <c r="N1652" i="2"/>
  <c r="L851" i="2"/>
  <c r="U528" i="2"/>
  <c r="Q1356" i="2"/>
  <c r="O1115" i="2"/>
  <c r="J605" i="2"/>
  <c r="M1407" i="2"/>
  <c r="N1285" i="2"/>
  <c r="M1484" i="2"/>
  <c r="M1756" i="2"/>
  <c r="T844" i="2"/>
  <c r="O470" i="2"/>
  <c r="N844" i="2"/>
  <c r="Q1074" i="2"/>
  <c r="U807" i="2"/>
  <c r="K927" i="2"/>
  <c r="J1298" i="2"/>
  <c r="P1426" i="2"/>
  <c r="T1001" i="2"/>
  <c r="M728" i="2"/>
  <c r="Q1064" i="2"/>
  <c r="M1542" i="2"/>
  <c r="T965" i="2"/>
  <c r="S836" i="2"/>
  <c r="P1745" i="2"/>
  <c r="S1267" i="2"/>
  <c r="S1005" i="2"/>
  <c r="R1399" i="2"/>
  <c r="P1104" i="2"/>
  <c r="L1051" i="2"/>
  <c r="M1517" i="2"/>
  <c r="R1165" i="2"/>
  <c r="T1550" i="2"/>
  <c r="L1937" i="2"/>
  <c r="S1889" i="2"/>
  <c r="N1014" i="2"/>
  <c r="P1001" i="2"/>
  <c r="R1235" i="2"/>
  <c r="U1018" i="2"/>
  <c r="L982" i="2"/>
  <c r="Q837" i="2"/>
  <c r="R790" i="2"/>
  <c r="O1190" i="2"/>
  <c r="Q1882" i="2"/>
  <c r="R1670" i="2"/>
  <c r="R1156" i="2"/>
  <c r="U1375" i="2"/>
  <c r="U756" i="2"/>
  <c r="L889" i="2"/>
  <c r="T1443" i="2"/>
  <c r="O1150" i="2"/>
  <c r="P881" i="2"/>
  <c r="L1065" i="2"/>
  <c r="O1625" i="2"/>
  <c r="M1515" i="2"/>
  <c r="N1227" i="2"/>
  <c r="O1579" i="2"/>
  <c r="J886" i="2"/>
  <c r="N962" i="2"/>
  <c r="O1072" i="2"/>
  <c r="U1106" i="2"/>
  <c r="L911" i="2"/>
  <c r="T994" i="2"/>
  <c r="Q943" i="2"/>
  <c r="R676" i="2"/>
  <c r="M511" i="2"/>
  <c r="R831" i="2"/>
  <c r="U482" i="2"/>
  <c r="J1072" i="2"/>
  <c r="P1343" i="2"/>
  <c r="L937" i="2"/>
  <c r="R901" i="2"/>
  <c r="O855" i="2"/>
  <c r="R632" i="2"/>
  <c r="T414" i="2"/>
  <c r="M985" i="2"/>
  <c r="L796" i="2"/>
  <c r="S752" i="2"/>
  <c r="O1399" i="2"/>
  <c r="P1062" i="2"/>
  <c r="S494" i="2"/>
  <c r="M1278" i="2"/>
  <c r="O811" i="2"/>
  <c r="T627" i="2"/>
  <c r="P964" i="2"/>
  <c r="U758" i="2"/>
  <c r="R866" i="2"/>
  <c r="M859" i="2"/>
  <c r="L343" i="2"/>
  <c r="P1197" i="2"/>
  <c r="T928" i="2"/>
  <c r="O778" i="2"/>
  <c r="S971" i="2"/>
  <c r="U891" i="2"/>
  <c r="J1220" i="2"/>
  <c r="J536" i="2"/>
  <c r="K686" i="2"/>
  <c r="P751" i="2"/>
  <c r="P526" i="2"/>
  <c r="R802" i="2"/>
  <c r="N309" i="2"/>
  <c r="O1349" i="2"/>
  <c r="U909" i="2"/>
  <c r="P966" i="2"/>
  <c r="T1027" i="2"/>
  <c r="P1087" i="2"/>
  <c r="R963" i="2"/>
  <c r="P573" i="2"/>
  <c r="T772" i="2"/>
  <c r="L487" i="2"/>
  <c r="N1334" i="2"/>
  <c r="T828" i="2"/>
  <c r="S770" i="2"/>
  <c r="S522" i="2"/>
  <c r="O687" i="2"/>
  <c r="U1123" i="2"/>
  <c r="T527" i="2"/>
  <c r="R679" i="2"/>
  <c r="P1373" i="2"/>
  <c r="S811" i="2"/>
  <c r="K632" i="2"/>
  <c r="P743" i="2"/>
  <c r="S675" i="2"/>
  <c r="M1612" i="2"/>
  <c r="K1088" i="2"/>
  <c r="S1164" i="2"/>
  <c r="T861" i="2"/>
  <c r="Q708" i="2"/>
  <c r="K570" i="2"/>
  <c r="O585" i="2"/>
  <c r="L884" i="2"/>
  <c r="Q686" i="2"/>
  <c r="J899" i="2"/>
  <c r="K453" i="2"/>
  <c r="M1013" i="2"/>
  <c r="P961" i="2"/>
  <c r="O866" i="2"/>
  <c r="O713" i="2"/>
  <c r="N954" i="2"/>
  <c r="J290" i="2"/>
  <c r="T1291" i="2"/>
  <c r="T1161" i="2"/>
  <c r="P493" i="2"/>
  <c r="N907" i="2"/>
  <c r="S783" i="2"/>
  <c r="S961" i="2"/>
  <c r="S1061" i="2"/>
  <c r="R1351" i="2"/>
  <c r="P839" i="2"/>
  <c r="M805" i="2"/>
  <c r="O1244" i="2"/>
  <c r="S1718" i="2"/>
  <c r="K1027" i="2"/>
  <c r="P1150" i="2"/>
  <c r="U1005" i="2"/>
  <c r="R1276" i="2"/>
  <c r="J1008" i="2"/>
  <c r="S848" i="2"/>
  <c r="K906" i="2"/>
  <c r="Q1444" i="2"/>
  <c r="U978" i="2"/>
  <c r="T1170" i="2"/>
  <c r="T957" i="2"/>
  <c r="U814" i="2"/>
  <c r="N755" i="2"/>
  <c r="U1561" i="2"/>
  <c r="O928" i="2"/>
  <c r="U1019" i="2"/>
  <c r="M1090" i="2"/>
  <c r="O779" i="2"/>
  <c r="Q893" i="2"/>
  <c r="T1042" i="2"/>
  <c r="P934" i="2"/>
  <c r="M1346" i="2"/>
  <c r="Q902" i="2"/>
  <c r="P948" i="2"/>
  <c r="M968" i="2"/>
  <c r="U747" i="2"/>
  <c r="N574" i="2"/>
  <c r="M638" i="2"/>
  <c r="P424" i="2"/>
  <c r="T443" i="2"/>
  <c r="S927" i="2"/>
  <c r="R42" i="2"/>
  <c r="T595" i="2"/>
  <c r="O346" i="2"/>
  <c r="S1496" i="2"/>
  <c r="J655" i="2"/>
  <c r="K767" i="2"/>
  <c r="J776" i="2"/>
  <c r="S512" i="2"/>
  <c r="Q409" i="2"/>
  <c r="S947" i="2"/>
  <c r="T385" i="2"/>
  <c r="S554" i="2"/>
  <c r="T222" i="2"/>
  <c r="U441" i="2"/>
  <c r="J138" i="2"/>
  <c r="T751" i="2"/>
  <c r="L68" i="2"/>
  <c r="O1531" i="2"/>
  <c r="U949" i="2"/>
  <c r="R465" i="2"/>
  <c r="O579" i="2"/>
  <c r="S814" i="2"/>
  <c r="Q712" i="2"/>
  <c r="N543" i="2"/>
  <c r="R478" i="2"/>
  <c r="K78" i="2"/>
  <c r="R322" i="2"/>
  <c r="J1163" i="2"/>
  <c r="R897" i="2"/>
  <c r="P968" i="2"/>
  <c r="M769" i="2"/>
  <c r="N882" i="2"/>
  <c r="P663" i="2"/>
  <c r="P443" i="2"/>
  <c r="S788" i="2"/>
  <c r="R2047" i="2"/>
  <c r="N1312" i="2"/>
  <c r="U1477" i="2"/>
  <c r="M1451" i="2"/>
  <c r="S1713" i="2"/>
  <c r="Q1780" i="2"/>
  <c r="L1437" i="2"/>
  <c r="N1759" i="2"/>
  <c r="P927" i="2"/>
  <c r="L1407" i="2"/>
  <c r="J1696" i="2"/>
  <c r="R1909" i="2"/>
  <c r="M986" i="2"/>
  <c r="R1657" i="2"/>
  <c r="J2018" i="2"/>
  <c r="K1142" i="2"/>
  <c r="T1446" i="2"/>
  <c r="U1193" i="2"/>
  <c r="M1871" i="2"/>
  <c r="M1118" i="2"/>
  <c r="U657" i="2"/>
  <c r="P388" i="2"/>
  <c r="T1223" i="2"/>
  <c r="N887" i="2"/>
  <c r="K1266" i="2"/>
  <c r="P1063" i="2"/>
  <c r="R1081" i="2"/>
  <c r="Q591" i="2"/>
  <c r="S776" i="2"/>
  <c r="Q1065" i="2"/>
  <c r="T1011" i="2"/>
  <c r="J743" i="2"/>
  <c r="O1413" i="2"/>
  <c r="Q993" i="2"/>
  <c r="O1074" i="2"/>
  <c r="Q525" i="2"/>
  <c r="N484" i="2"/>
  <c r="T1247" i="2"/>
  <c r="Q1095" i="2"/>
  <c r="K945" i="2"/>
  <c r="T1253" i="2"/>
  <c r="P849" i="2"/>
  <c r="U1126" i="2"/>
  <c r="T967" i="2"/>
  <c r="U1550" i="2"/>
  <c r="Q942" i="2"/>
  <c r="K1293" i="2"/>
  <c r="L735" i="2"/>
  <c r="N1193" i="2"/>
  <c r="N1772" i="2"/>
  <c r="K1231" i="2"/>
  <c r="T1162" i="2"/>
  <c r="S1177" i="2"/>
  <c r="N1102" i="2"/>
  <c r="R836" i="2"/>
  <c r="Q806" i="2"/>
  <c r="Q633" i="2"/>
  <c r="M762" i="2"/>
  <c r="M1018" i="2"/>
  <c r="Q1508" i="2"/>
  <c r="J1332" i="2"/>
  <c r="T1909" i="2"/>
  <c r="T1255" i="2"/>
  <c r="N936" i="2"/>
  <c r="S1220" i="2"/>
  <c r="L1525" i="2"/>
  <c r="P1414" i="2"/>
  <c r="P1013" i="2"/>
  <c r="N1239" i="2"/>
  <c r="M1743" i="2"/>
  <c r="M1351" i="2"/>
  <c r="N1036" i="2"/>
  <c r="J1083" i="2"/>
  <c r="L770" i="2"/>
  <c r="P2143" i="2"/>
  <c r="J749" i="2"/>
  <c r="Q1084" i="2"/>
  <c r="T468" i="2"/>
  <c r="J1454" i="2"/>
  <c r="J607" i="2"/>
  <c r="T597" i="2"/>
  <c r="Q833" i="2"/>
  <c r="S707" i="2"/>
  <c r="M1208" i="2"/>
  <c r="M1384" i="2"/>
  <c r="R1074" i="2"/>
  <c r="M590" i="2"/>
  <c r="N973" i="2"/>
  <c r="S629" i="2"/>
  <c r="Q464" i="2"/>
  <c r="O1071" i="2"/>
  <c r="T428" i="2"/>
  <c r="J667" i="2"/>
  <c r="T372" i="2"/>
  <c r="S1091" i="2"/>
  <c r="L1320" i="2"/>
  <c r="U777" i="2"/>
  <c r="T1053" i="2"/>
  <c r="N935" i="2"/>
  <c r="T1097" i="2"/>
  <c r="J869" i="2"/>
  <c r="O711" i="2"/>
  <c r="S907" i="2"/>
  <c r="Q980" i="2"/>
  <c r="Q626" i="2"/>
  <c r="K1152" i="2"/>
  <c r="N807" i="2"/>
  <c r="N877" i="2"/>
  <c r="Q843" i="2"/>
  <c r="K937" i="2"/>
  <c r="L687" i="2"/>
  <c r="K893" i="2"/>
  <c r="J455" i="2"/>
  <c r="U834" i="2"/>
  <c r="J378" i="2"/>
  <c r="R521" i="2"/>
  <c r="R529" i="2"/>
  <c r="U1309" i="2"/>
  <c r="T788" i="2"/>
  <c r="M596" i="2"/>
  <c r="K976" i="2"/>
  <c r="U585" i="2"/>
  <c r="K650" i="2"/>
  <c r="O665" i="2"/>
  <c r="J1766" i="2"/>
  <c r="L1424" i="2"/>
  <c r="L1789" i="2"/>
  <c r="M1449" i="2"/>
  <c r="N915" i="2"/>
  <c r="N982" i="2"/>
  <c r="M1162" i="2"/>
  <c r="U1327" i="2"/>
  <c r="L1433" i="2"/>
  <c r="S1256" i="2"/>
  <c r="M966" i="2"/>
  <c r="T1492" i="2"/>
  <c r="N1318" i="2"/>
  <c r="O1729" i="2"/>
  <c r="P1402" i="2"/>
  <c r="R1875" i="2"/>
  <c r="M1079" i="2"/>
  <c r="J538" i="2"/>
  <c r="K1223" i="2"/>
  <c r="S1294" i="2"/>
  <c r="T1004" i="2"/>
  <c r="S1225" i="2"/>
  <c r="O1299" i="2"/>
  <c r="L1120" i="2"/>
  <c r="Q1075" i="2"/>
  <c r="P1388" i="2"/>
  <c r="K916" i="2"/>
  <c r="Q606" i="2"/>
  <c r="M1565" i="2"/>
  <c r="K980" i="2"/>
  <c r="N456" i="2"/>
  <c r="L356" i="2"/>
  <c r="P1416" i="2"/>
  <c r="R1062" i="2"/>
  <c r="K1048" i="2"/>
  <c r="K613" i="2"/>
  <c r="N778" i="2"/>
  <c r="T1118" i="2"/>
  <c r="J1308" i="2"/>
  <c r="P949" i="2"/>
  <c r="U1036" i="2"/>
  <c r="J1465" i="2"/>
  <c r="S1266" i="2"/>
  <c r="O1019" i="2"/>
  <c r="L1872" i="2"/>
  <c r="S980" i="2"/>
  <c r="S1377" i="2"/>
  <c r="L1422" i="2"/>
  <c r="N1049" i="2"/>
  <c r="N1708" i="2"/>
  <c r="Q1546" i="2"/>
  <c r="K1065" i="2"/>
  <c r="U1460" i="2"/>
  <c r="K979" i="2"/>
  <c r="L781" i="2"/>
  <c r="L527" i="2"/>
  <c r="U454" i="2"/>
  <c r="S892" i="2"/>
  <c r="R2157" i="2"/>
  <c r="L1310" i="2"/>
  <c r="O1132" i="2"/>
  <c r="P1303" i="2"/>
  <c r="O1504" i="2"/>
  <c r="J1039" i="2"/>
  <c r="J806" i="2"/>
  <c r="J1400" i="2"/>
  <c r="T1287" i="2"/>
  <c r="S1059" i="2"/>
  <c r="S1460" i="2"/>
  <c r="Q1407" i="2"/>
  <c r="Q1191" i="2"/>
  <c r="J1198" i="2"/>
  <c r="O1338" i="2"/>
  <c r="S843" i="2"/>
  <c r="S1916" i="2"/>
  <c r="K914" i="2"/>
  <c r="M710" i="2"/>
  <c r="M656" i="2"/>
  <c r="L1406" i="2"/>
  <c r="O1114" i="2"/>
  <c r="K998" i="2"/>
  <c r="K1070" i="2"/>
  <c r="N319" i="2"/>
  <c r="P499" i="2"/>
  <c r="J977" i="2"/>
  <c r="L1207" i="2"/>
  <c r="S872" i="2"/>
  <c r="K936" i="2"/>
  <c r="M746" i="2"/>
  <c r="U730" i="2"/>
  <c r="O477" i="2"/>
  <c r="J752" i="2"/>
  <c r="T357" i="2"/>
  <c r="J800" i="2"/>
  <c r="S1136" i="2"/>
  <c r="L912" i="2"/>
  <c r="M914" i="2"/>
  <c r="T1016" i="2"/>
  <c r="M1128" i="2"/>
  <c r="M698" i="2"/>
  <c r="Q926" i="2"/>
  <c r="P763" i="2"/>
  <c r="U586" i="2"/>
  <c r="M987" i="2"/>
  <c r="J1054" i="2"/>
  <c r="O1301" i="2"/>
  <c r="P1069" i="2"/>
  <c r="L538" i="2"/>
  <c r="O627" i="2"/>
  <c r="N1062" i="2"/>
  <c r="N479" i="2"/>
  <c r="R545" i="2"/>
  <c r="J913" i="2"/>
  <c r="J1041" i="2"/>
  <c r="P150" i="2"/>
  <c r="T449" i="2"/>
  <c r="M826" i="2"/>
  <c r="O861" i="2"/>
  <c r="Q1006" i="2"/>
  <c r="P1022" i="2"/>
  <c r="L1005" i="2"/>
  <c r="L710" i="2"/>
  <c r="U743" i="2"/>
  <c r="M1469" i="2"/>
  <c r="Q1449" i="2"/>
  <c r="M1690" i="2"/>
  <c r="T1647" i="2"/>
  <c r="S1276" i="2"/>
  <c r="N1089" i="2"/>
  <c r="R1490" i="2"/>
  <c r="Q1586" i="2"/>
  <c r="T916" i="2"/>
  <c r="O1005" i="2"/>
  <c r="O781" i="2"/>
  <c r="L1150" i="2"/>
  <c r="J812" i="2"/>
  <c r="M1428" i="2"/>
  <c r="Q1198" i="2"/>
  <c r="Q1782" i="2"/>
  <c r="R1269" i="2"/>
  <c r="M867" i="2"/>
  <c r="R1502" i="2"/>
  <c r="J1109" i="2"/>
  <c r="N988" i="2"/>
  <c r="O1476" i="2"/>
  <c r="R869" i="2"/>
  <c r="N682" i="2"/>
  <c r="T1301" i="2"/>
  <c r="J964" i="2"/>
  <c r="J1100" i="2"/>
  <c r="Q997" i="2"/>
  <c r="R1560" i="2"/>
  <c r="K1116" i="2"/>
  <c r="K1387" i="2"/>
  <c r="Q866" i="2"/>
  <c r="K1433" i="2"/>
  <c r="L1278" i="2"/>
  <c r="N984" i="2"/>
  <c r="N825" i="2"/>
  <c r="P940" i="2"/>
  <c r="M1219" i="2"/>
  <c r="S1151" i="2"/>
  <c r="T845" i="2"/>
  <c r="J1020" i="2"/>
  <c r="K981" i="2"/>
  <c r="T773" i="2"/>
  <c r="P1482" i="2"/>
  <c r="R996" i="2"/>
  <c r="R1611" i="2"/>
  <c r="T1078" i="2"/>
  <c r="S1506" i="2"/>
  <c r="T1175" i="2"/>
  <c r="T1709" i="2"/>
  <c r="N1177" i="2"/>
  <c r="J1514" i="2"/>
  <c r="P1385" i="2"/>
  <c r="S2133" i="2"/>
  <c r="P1257" i="2"/>
  <c r="J2079" i="2"/>
  <c r="R1109" i="2"/>
  <c r="N507" i="2"/>
  <c r="K871" i="2"/>
  <c r="J1487" i="2"/>
  <c r="N1386" i="2"/>
  <c r="L1167" i="2"/>
  <c r="N1307" i="2"/>
  <c r="J1102" i="2"/>
  <c r="M913" i="2"/>
  <c r="Q1939" i="2"/>
  <c r="U1249" i="2"/>
  <c r="R1645" i="2"/>
  <c r="K992" i="2"/>
  <c r="S1189" i="2"/>
  <c r="S1325" i="2"/>
  <c r="L1019" i="2"/>
  <c r="L1532" i="2"/>
  <c r="P1268" i="2"/>
  <c r="Q1164" i="2"/>
  <c r="R2053" i="2"/>
  <c r="Q1231" i="2"/>
  <c r="O859" i="2"/>
  <c r="O891" i="2"/>
  <c r="T533" i="2"/>
  <c r="P900" i="2"/>
  <c r="T534" i="2"/>
  <c r="Q406" i="2"/>
  <c r="M1734" i="2"/>
  <c r="O991" i="2"/>
  <c r="R1042" i="2"/>
  <c r="M839" i="2"/>
  <c r="M1035" i="2"/>
  <c r="P863" i="2"/>
  <c r="J592" i="2"/>
  <c r="P873" i="2"/>
  <c r="L674" i="2"/>
  <c r="Q438" i="2"/>
  <c r="M504" i="2"/>
  <c r="O1405" i="2"/>
  <c r="R1010" i="2"/>
  <c r="M1866" i="2"/>
  <c r="T872" i="2"/>
  <c r="M641" i="2"/>
  <c r="N773" i="2"/>
  <c r="N852" i="2"/>
  <c r="P891" i="2"/>
  <c r="K800" i="2"/>
  <c r="L603" i="2"/>
  <c r="O440" i="2"/>
  <c r="Q1581" i="2"/>
  <c r="O1498" i="2"/>
  <c r="L1103" i="2"/>
  <c r="K1052" i="2"/>
  <c r="M1158" i="2"/>
  <c r="P595" i="2"/>
  <c r="T837" i="2"/>
  <c r="U534" i="2"/>
  <c r="P706" i="2"/>
  <c r="P718" i="2"/>
  <c r="N541" i="2"/>
  <c r="K405" i="2"/>
  <c r="K1056" i="2"/>
  <c r="K1580" i="2"/>
  <c r="P1149" i="2"/>
  <c r="K490" i="2"/>
  <c r="K901" i="2"/>
  <c r="N842" i="2"/>
  <c r="O498" i="2"/>
  <c r="R1381" i="2"/>
  <c r="Q1283" i="2"/>
  <c r="M1438" i="2"/>
  <c r="Q1569" i="2"/>
  <c r="P988" i="2"/>
  <c r="N1474" i="2"/>
  <c r="L1161" i="2"/>
  <c r="P1580" i="2"/>
  <c r="L1130" i="2"/>
  <c r="N1139" i="2"/>
  <c r="Q1396" i="2"/>
  <c r="R1266" i="2"/>
  <c r="J1169" i="2"/>
  <c r="L1241" i="2"/>
  <c r="J1383" i="2"/>
  <c r="Q1643" i="2"/>
  <c r="U1094" i="2"/>
  <c r="L590" i="2"/>
  <c r="P1029" i="2"/>
  <c r="K832" i="2"/>
  <c r="P1002" i="2"/>
  <c r="R1382" i="2"/>
  <c r="J955" i="2"/>
  <c r="U1103" i="2"/>
  <c r="K1026" i="2"/>
  <c r="S1181" i="2"/>
  <c r="S766" i="2"/>
  <c r="M1434" i="2"/>
  <c r="L1852" i="2"/>
  <c r="J1000" i="2"/>
  <c r="T1104" i="2"/>
  <c r="L684" i="2"/>
  <c r="T1194" i="2"/>
  <c r="L985" i="2"/>
  <c r="T985" i="2"/>
  <c r="J555" i="2"/>
  <c r="K675" i="2"/>
  <c r="M1327" i="2"/>
  <c r="O1107" i="2"/>
  <c r="S1350" i="2"/>
  <c r="M1204" i="2"/>
  <c r="K845" i="2"/>
  <c r="O930" i="2"/>
  <c r="O1668" i="2"/>
  <c r="T1069" i="2"/>
  <c r="P1187" i="2"/>
  <c r="Q1253" i="2"/>
  <c r="N1412" i="2"/>
  <c r="S990" i="2"/>
  <c r="S1495" i="2"/>
  <c r="Q1345" i="2"/>
  <c r="P1084" i="2"/>
  <c r="P1066" i="2"/>
  <c r="J1222" i="2"/>
  <c r="T1285" i="2"/>
  <c r="R1129" i="2"/>
  <c r="S822" i="2"/>
  <c r="Q642" i="2"/>
  <c r="Q699" i="2"/>
  <c r="S1510" i="2"/>
  <c r="O1917" i="2"/>
  <c r="U1523" i="2"/>
  <c r="Q1046" i="2"/>
  <c r="K1176" i="2"/>
  <c r="L1557" i="2"/>
  <c r="S1467" i="2"/>
  <c r="L1172" i="2"/>
  <c r="Q1273" i="2"/>
  <c r="N1375" i="2"/>
  <c r="L1221" i="2"/>
  <c r="S1499" i="2"/>
  <c r="K1244" i="2"/>
  <c r="O1175" i="2"/>
  <c r="O824" i="2"/>
  <c r="O1101" i="2"/>
  <c r="S819" i="2"/>
  <c r="J987" i="2"/>
  <c r="M963" i="2"/>
  <c r="S781" i="2"/>
  <c r="T986" i="2"/>
  <c r="Q968" i="2"/>
  <c r="T827" i="2"/>
  <c r="T301" i="2"/>
  <c r="M1748" i="2"/>
  <c r="R915" i="2"/>
  <c r="Q1086" i="2"/>
  <c r="O622" i="2"/>
  <c r="U1055" i="2"/>
  <c r="R835" i="2"/>
  <c r="U634" i="2"/>
  <c r="Q912" i="2"/>
  <c r="N828" i="2"/>
  <c r="Q332" i="2"/>
  <c r="M727" i="2"/>
  <c r="S1397" i="2"/>
  <c r="J1147" i="2"/>
  <c r="Q916" i="2"/>
  <c r="P829" i="2"/>
  <c r="R928" i="2"/>
  <c r="N738" i="2"/>
  <c r="U1087" i="2"/>
  <c r="R803" i="2"/>
  <c r="J596" i="2"/>
  <c r="U524" i="2"/>
  <c r="J328" i="2"/>
  <c r="J803" i="2"/>
  <c r="K869" i="2"/>
  <c r="N858" i="2"/>
  <c r="M905" i="2"/>
  <c r="J974" i="2"/>
  <c r="T1093" i="2"/>
  <c r="P723" i="2"/>
  <c r="M984" i="2"/>
  <c r="Q603" i="2"/>
  <c r="M714" i="2"/>
  <c r="L397" i="2"/>
  <c r="L294" i="2"/>
  <c r="L1115" i="2"/>
  <c r="N818" i="2"/>
  <c r="N504" i="2"/>
  <c r="S756" i="2"/>
  <c r="S760" i="2"/>
  <c r="M787" i="2"/>
  <c r="L455" i="2"/>
  <c r="L766" i="2"/>
  <c r="M447" i="2"/>
  <c r="U882" i="2"/>
  <c r="R1956" i="2"/>
  <c r="J738" i="2"/>
  <c r="O1179" i="2"/>
  <c r="U990" i="2"/>
  <c r="J838" i="2"/>
  <c r="S1131" i="2"/>
  <c r="K967" i="2"/>
  <c r="S920" i="2"/>
  <c r="R1791" i="2"/>
  <c r="K1123" i="2"/>
  <c r="R1234" i="2"/>
  <c r="U878" i="2"/>
  <c r="P930" i="2"/>
  <c r="Q573" i="2"/>
  <c r="O1385" i="2"/>
  <c r="J1146" i="2"/>
  <c r="L780" i="2"/>
  <c r="R1147" i="2"/>
  <c r="N856" i="2"/>
  <c r="P1156" i="2"/>
  <c r="S427" i="2"/>
  <c r="P1705" i="2"/>
  <c r="R952" i="2"/>
  <c r="Q831" i="2"/>
  <c r="M764" i="2"/>
  <c r="Q748" i="2"/>
  <c r="N1317" i="2"/>
  <c r="S924" i="2"/>
  <c r="K997" i="2"/>
  <c r="K994" i="2"/>
  <c r="S698" i="2"/>
  <c r="S614" i="2"/>
  <c r="U629" i="2"/>
  <c r="M1131" i="2"/>
  <c r="T1283" i="2"/>
  <c r="J825" i="2"/>
  <c r="Q885" i="2"/>
  <c r="N872" i="2"/>
  <c r="Q857" i="2"/>
  <c r="P745" i="2"/>
  <c r="N1256" i="2"/>
  <c r="U594" i="2"/>
  <c r="T1409" i="2"/>
  <c r="R1406" i="2"/>
  <c r="P1018" i="2"/>
  <c r="P748" i="2"/>
  <c r="S891" i="2"/>
  <c r="K681" i="2"/>
  <c r="Q1359" i="2"/>
  <c r="K1120" i="2"/>
  <c r="R764" i="2"/>
  <c r="M919" i="2"/>
  <c r="R1014" i="2"/>
  <c r="L1911" i="2"/>
  <c r="R1058" i="2"/>
  <c r="O752" i="2"/>
  <c r="P811" i="2"/>
  <c r="S570" i="2"/>
  <c r="Q1476" i="2"/>
  <c r="P820" i="2"/>
  <c r="U947" i="2"/>
  <c r="U1044" i="2"/>
  <c r="P1405" i="2"/>
  <c r="T925" i="2"/>
  <c r="K690" i="2"/>
  <c r="S878" i="2"/>
  <c r="L1446" i="2"/>
  <c r="J603" i="2"/>
  <c r="O1158" i="2"/>
  <c r="N662" i="2"/>
  <c r="P655" i="2"/>
  <c r="L629" i="2"/>
  <c r="P420" i="2"/>
  <c r="R227" i="2"/>
  <c r="S743" i="2"/>
  <c r="U1334" i="2"/>
  <c r="T806" i="2"/>
  <c r="T547" i="2"/>
  <c r="U717" i="2"/>
  <c r="T686" i="2"/>
  <c r="R454" i="2"/>
  <c r="T656" i="2"/>
  <c r="T8" i="2"/>
  <c r="T405" i="2"/>
  <c r="R161" i="2"/>
  <c r="Q739" i="2"/>
  <c r="J890" i="2"/>
  <c r="N609" i="2"/>
  <c r="O661" i="2"/>
  <c r="Q526" i="2"/>
  <c r="R710" i="2"/>
  <c r="P348" i="2"/>
  <c r="O573" i="2"/>
  <c r="O803" i="2"/>
  <c r="N536" i="2"/>
  <c r="M455" i="2"/>
  <c r="M450" i="2"/>
  <c r="U422" i="2"/>
  <c r="L1030" i="2"/>
  <c r="L1146" i="2"/>
  <c r="U798" i="2"/>
  <c r="K1081" i="2"/>
  <c r="T456" i="2"/>
  <c r="Q283" i="2"/>
  <c r="P1038" i="2"/>
  <c r="P1055" i="2"/>
  <c r="P603" i="2"/>
  <c r="O1189" i="2"/>
  <c r="Q596" i="2"/>
  <c r="Q471" i="2"/>
  <c r="Q501" i="2"/>
  <c r="M599" i="2"/>
  <c r="K434" i="2"/>
  <c r="P209" i="2"/>
  <c r="Q424" i="2"/>
  <c r="O125" i="2"/>
  <c r="P675" i="2"/>
  <c r="K1368" i="2"/>
  <c r="N916" i="2"/>
  <c r="O834" i="2"/>
  <c r="O670" i="2"/>
  <c r="S914" i="2"/>
  <c r="O740" i="2"/>
  <c r="O510" i="2"/>
  <c r="O428" i="2"/>
  <c r="L953" i="2"/>
  <c r="O783" i="2"/>
  <c r="R672" i="2"/>
  <c r="O513" i="2"/>
  <c r="M757" i="2"/>
  <c r="P429" i="2"/>
  <c r="Q621" i="2"/>
  <c r="N486" i="2"/>
  <c r="U679" i="2"/>
  <c r="Q251" i="2"/>
  <c r="M434" i="2"/>
  <c r="K946" i="2"/>
  <c r="R914" i="2"/>
  <c r="R1076" i="2"/>
  <c r="M1078" i="2"/>
  <c r="U745" i="2"/>
  <c r="K816" i="2"/>
  <c r="L1061" i="2"/>
  <c r="U960" i="2"/>
  <c r="K568" i="2"/>
  <c r="K697" i="2"/>
  <c r="P533" i="2"/>
  <c r="L419" i="2"/>
  <c r="S690" i="2"/>
  <c r="M422" i="2"/>
  <c r="S790" i="2"/>
  <c r="Q996" i="2"/>
  <c r="M1125" i="2"/>
  <c r="Q1469" i="2"/>
  <c r="M2104" i="2"/>
  <c r="P1605" i="2"/>
  <c r="R1412" i="2"/>
  <c r="P936" i="2"/>
  <c r="O1008" i="2"/>
  <c r="O933" i="2"/>
  <c r="L776" i="2"/>
  <c r="M1257" i="2"/>
  <c r="R1091" i="2"/>
  <c r="O1596" i="2"/>
  <c r="N1025" i="2"/>
  <c r="S810" i="2"/>
  <c r="K530" i="2"/>
  <c r="P767" i="2"/>
  <c r="O1128" i="2"/>
  <c r="S536" i="2"/>
  <c r="L1192" i="2"/>
  <c r="R546" i="2"/>
  <c r="P954" i="2"/>
  <c r="Q513" i="2"/>
  <c r="J1248" i="2"/>
  <c r="Q563" i="2"/>
  <c r="J696" i="2"/>
  <c r="Q556" i="2"/>
  <c r="M686" i="2"/>
  <c r="O1094" i="2"/>
  <c r="P476" i="2"/>
  <c r="L1093" i="2"/>
  <c r="Q602" i="2"/>
  <c r="U926" i="2"/>
  <c r="U535" i="2"/>
  <c r="S520" i="2"/>
  <c r="N1506" i="2"/>
  <c r="K1014" i="2"/>
  <c r="Q1920" i="2"/>
  <c r="K825" i="2"/>
  <c r="U383" i="2"/>
  <c r="M604" i="2"/>
  <c r="P445" i="2"/>
  <c r="J1060" i="2"/>
  <c r="K771" i="2"/>
  <c r="R809" i="2"/>
  <c r="T1697" i="2"/>
  <c r="J926" i="2"/>
  <c r="Q625" i="2"/>
  <c r="P994" i="2"/>
  <c r="M553" i="2"/>
  <c r="Q1531" i="2"/>
  <c r="P804" i="2"/>
  <c r="N1172" i="2"/>
  <c r="Q1246" i="2"/>
  <c r="T694" i="2"/>
  <c r="U1364" i="2"/>
  <c r="L709" i="2"/>
  <c r="P462" i="2"/>
  <c r="N923" i="2"/>
  <c r="U725" i="2"/>
  <c r="U1172" i="2"/>
  <c r="U773" i="2"/>
  <c r="U548" i="2"/>
  <c r="Q966" i="2"/>
  <c r="L1047" i="2"/>
  <c r="U1373" i="2"/>
  <c r="U1065" i="2"/>
  <c r="R818" i="2"/>
  <c r="K1350" i="2"/>
  <c r="S911" i="2"/>
  <c r="N946" i="2"/>
  <c r="J523" i="2"/>
  <c r="O342" i="2"/>
  <c r="S357" i="2"/>
  <c r="L597" i="2"/>
  <c r="P62" i="2"/>
  <c r="M390" i="2"/>
  <c r="Q1373" i="2"/>
  <c r="T863" i="2"/>
  <c r="J925" i="2"/>
  <c r="U833" i="2"/>
  <c r="T762" i="2"/>
  <c r="L701" i="2"/>
  <c r="O621" i="2"/>
  <c r="M768" i="2"/>
  <c r="Q330" i="2"/>
  <c r="M112" i="2"/>
  <c r="K739" i="2"/>
  <c r="K731" i="2"/>
  <c r="L544" i="2"/>
  <c r="S593" i="2"/>
  <c r="O739" i="2"/>
  <c r="M374" i="2"/>
  <c r="U592" i="2"/>
  <c r="J873" i="2"/>
  <c r="K644" i="2"/>
  <c r="O1359" i="2"/>
  <c r="P527" i="2"/>
  <c r="T795" i="2"/>
  <c r="R360" i="2"/>
  <c r="T731" i="2"/>
  <c r="T1137" i="2"/>
  <c r="M416" i="2"/>
  <c r="O647" i="2"/>
  <c r="K411" i="2"/>
  <c r="N585" i="2"/>
  <c r="R1420" i="2"/>
  <c r="U924" i="2"/>
  <c r="R667" i="2"/>
  <c r="Q949" i="2"/>
  <c r="P522" i="2"/>
  <c r="M581" i="2"/>
  <c r="S395" i="2"/>
  <c r="R804" i="2"/>
  <c r="R475" i="2"/>
  <c r="S207" i="2"/>
  <c r="O130" i="2"/>
  <c r="L122" i="2"/>
  <c r="U420" i="2"/>
  <c r="J1556" i="2"/>
  <c r="P536" i="2"/>
  <c r="Q917" i="2"/>
  <c r="L633" i="2"/>
  <c r="T678" i="2"/>
  <c r="O366" i="2"/>
  <c r="P575" i="2"/>
  <c r="M525" i="2"/>
  <c r="K685" i="2"/>
  <c r="N854" i="2"/>
  <c r="J1507" i="2"/>
  <c r="K573" i="2"/>
  <c r="Q840" i="2"/>
  <c r="L1023" i="2"/>
  <c r="N202" i="2"/>
  <c r="M365" i="2"/>
  <c r="L657" i="2"/>
  <c r="R470" i="2"/>
  <c r="R139" i="2"/>
  <c r="S1123" i="2"/>
  <c r="L715" i="2"/>
  <c r="R878" i="2"/>
  <c r="Q786" i="2"/>
  <c r="U856" i="2"/>
  <c r="L668" i="2"/>
  <c r="J703" i="2"/>
  <c r="J544" i="2"/>
  <c r="L777" i="2"/>
  <c r="U403" i="2"/>
  <c r="T474" i="2"/>
  <c r="Q477" i="2"/>
  <c r="T586" i="2"/>
  <c r="S1114" i="2"/>
  <c r="S890" i="2"/>
  <c r="M841" i="2"/>
  <c r="T685" i="2"/>
  <c r="U651" i="2"/>
  <c r="M887" i="2"/>
  <c r="N474" i="2"/>
  <c r="T646" i="2"/>
  <c r="J683" i="2"/>
  <c r="U65" i="2"/>
  <c r="T291" i="2"/>
  <c r="K155" i="2"/>
  <c r="O1572" i="2"/>
  <c r="S1280" i="2"/>
  <c r="L1498" i="2"/>
  <c r="Q1822" i="2"/>
  <c r="T502" i="2"/>
  <c r="J901" i="2"/>
  <c r="T753" i="2"/>
  <c r="L1170" i="2"/>
  <c r="T1728" i="2"/>
  <c r="L898" i="2"/>
  <c r="T1680" i="2"/>
  <c r="U706" i="2"/>
  <c r="J1342" i="2"/>
  <c r="M1717" i="2"/>
  <c r="U1099" i="2"/>
  <c r="Q972" i="2"/>
  <c r="P679" i="2"/>
  <c r="P830" i="2"/>
  <c r="S586" i="2"/>
  <c r="Q1133" i="2"/>
  <c r="O772" i="2"/>
  <c r="T1102" i="2"/>
  <c r="K897" i="2"/>
  <c r="K507" i="2"/>
  <c r="S937" i="2"/>
  <c r="U908" i="2"/>
  <c r="R1237" i="2"/>
  <c r="M496" i="2"/>
  <c r="U485" i="2"/>
  <c r="P1155" i="2"/>
  <c r="O536" i="2"/>
  <c r="M577" i="2"/>
  <c r="M356" i="2"/>
  <c r="U1648" i="2"/>
  <c r="N1319" i="2"/>
  <c r="P769" i="2"/>
  <c r="R816" i="2"/>
  <c r="S974" i="2"/>
  <c r="U610" i="2"/>
  <c r="O546" i="2"/>
  <c r="S1043" i="2"/>
  <c r="T525" i="2"/>
  <c r="O975" i="2"/>
  <c r="K1445" i="2"/>
  <c r="N1130" i="2"/>
  <c r="M991" i="2"/>
  <c r="L756" i="2"/>
  <c r="Q878" i="2"/>
  <c r="P1158" i="2"/>
  <c r="T1070" i="2"/>
  <c r="M1448" i="2"/>
  <c r="J1589" i="2"/>
  <c r="U968" i="2"/>
  <c r="M1310" i="2"/>
  <c r="J904" i="2"/>
  <c r="K1530" i="2"/>
  <c r="S642" i="2"/>
  <c r="L1108" i="2"/>
  <c r="S840" i="2"/>
  <c r="M885" i="2"/>
  <c r="T997" i="2"/>
  <c r="J1511" i="2"/>
  <c r="O1095" i="2"/>
  <c r="T1015" i="2"/>
  <c r="L910" i="2"/>
  <c r="O1284" i="2"/>
  <c r="O673" i="2"/>
  <c r="J478" i="2"/>
  <c r="L670" i="2"/>
  <c r="J870" i="2"/>
  <c r="U498" i="2"/>
  <c r="K780" i="2"/>
  <c r="L337" i="2"/>
  <c r="R460" i="2"/>
  <c r="U291" i="2"/>
  <c r="O758" i="2"/>
  <c r="L699" i="2"/>
  <c r="L447" i="2"/>
  <c r="K488" i="2"/>
  <c r="L302" i="2"/>
  <c r="K429" i="2"/>
  <c r="N592" i="2"/>
  <c r="P504" i="2"/>
  <c r="L21" i="2"/>
  <c r="U70" i="2"/>
  <c r="M1457" i="2"/>
  <c r="U490" i="2"/>
  <c r="S736" i="2"/>
  <c r="L374" i="2"/>
  <c r="K696" i="2"/>
  <c r="Q609" i="2"/>
  <c r="Q1210" i="2"/>
  <c r="T856" i="2"/>
  <c r="R626" i="2"/>
  <c r="S509" i="2"/>
  <c r="Q617" i="2"/>
  <c r="L536" i="2"/>
  <c r="U509" i="2"/>
  <c r="M930" i="2"/>
  <c r="U907" i="2"/>
  <c r="L1062" i="2"/>
  <c r="K760" i="2"/>
  <c r="S324" i="2"/>
  <c r="P459" i="2"/>
  <c r="N1298" i="2"/>
  <c r="J1001" i="2"/>
  <c r="Q1002" i="2"/>
  <c r="S671" i="2"/>
  <c r="R749" i="2"/>
  <c r="O895" i="2"/>
  <c r="J277" i="2"/>
  <c r="U527" i="2"/>
  <c r="U559" i="2"/>
  <c r="L623" i="2"/>
  <c r="O308" i="2"/>
  <c r="R844" i="2"/>
  <c r="R613" i="2"/>
  <c r="P1145" i="2"/>
  <c r="U869" i="2"/>
  <c r="J604" i="2"/>
  <c r="R689" i="2"/>
  <c r="U994" i="2"/>
  <c r="M309" i="2"/>
  <c r="O860" i="2"/>
  <c r="O1296" i="2"/>
  <c r="T1198" i="2"/>
  <c r="L991" i="2"/>
  <c r="P559" i="2"/>
  <c r="L694" i="2"/>
  <c r="R895" i="2"/>
  <c r="O623" i="2"/>
  <c r="L308" i="2"/>
  <c r="S420" i="2"/>
  <c r="S329" i="2"/>
  <c r="S718" i="2"/>
  <c r="U319" i="2"/>
  <c r="S856" i="2"/>
  <c r="S918" i="2"/>
  <c r="S551" i="2"/>
  <c r="M717" i="2"/>
  <c r="L488" i="2"/>
  <c r="N859" i="2"/>
  <c r="T893" i="2"/>
  <c r="R940" i="2"/>
  <c r="N1110" i="2"/>
  <c r="P1204" i="2"/>
  <c r="L976" i="2"/>
  <c r="N1314" i="2"/>
  <c r="P1831" i="2"/>
  <c r="N556" i="2"/>
  <c r="S1221" i="2"/>
  <c r="S1264" i="2"/>
  <c r="Q922" i="2"/>
  <c r="R1514" i="2"/>
  <c r="O970" i="2"/>
  <c r="N1463" i="2"/>
  <c r="U660" i="2"/>
  <c r="L1513" i="2"/>
  <c r="T1882" i="2"/>
  <c r="M1569" i="2"/>
  <c r="K1066" i="2"/>
  <c r="T956" i="2"/>
  <c r="R779" i="2"/>
  <c r="J830" i="2"/>
  <c r="R888" i="2"/>
  <c r="P523" i="2"/>
  <c r="K1571" i="2"/>
  <c r="L740" i="2"/>
  <c r="K379" i="2"/>
  <c r="S588" i="2"/>
  <c r="P929" i="2"/>
  <c r="L1374" i="2"/>
  <c r="L872" i="2"/>
  <c r="U674" i="2"/>
  <c r="P1097" i="2"/>
  <c r="P465" i="2"/>
  <c r="K977" i="2"/>
  <c r="O311" i="2"/>
  <c r="T1197" i="2"/>
  <c r="K812" i="2"/>
  <c r="Q522" i="2"/>
  <c r="O945" i="2"/>
  <c r="Q929" i="2"/>
  <c r="N997" i="2"/>
  <c r="T539" i="2"/>
  <c r="T1107" i="2"/>
  <c r="P835" i="2"/>
  <c r="J853" i="2"/>
  <c r="R1046" i="2"/>
  <c r="M801" i="2"/>
  <c r="O963" i="2"/>
  <c r="P947" i="2"/>
  <c r="O500" i="2"/>
  <c r="R1122" i="2"/>
  <c r="U505" i="2"/>
  <c r="P1311" i="2"/>
  <c r="S833" i="2"/>
  <c r="J774" i="2"/>
  <c r="O1549" i="2"/>
  <c r="J1034" i="2"/>
  <c r="N750" i="2"/>
  <c r="Q1391" i="2"/>
  <c r="R1813" i="2"/>
  <c r="R1101" i="2"/>
  <c r="O1025" i="2"/>
  <c r="S905" i="2"/>
  <c r="R605" i="2"/>
  <c r="U1166" i="2"/>
  <c r="Q822" i="2"/>
  <c r="R1012" i="2"/>
  <c r="T1094" i="2"/>
  <c r="M870" i="2"/>
  <c r="N832" i="2"/>
  <c r="U1043" i="2"/>
  <c r="S443" i="2"/>
  <c r="L394" i="2"/>
  <c r="Q454" i="2"/>
  <c r="R492" i="2"/>
  <c r="L435" i="2"/>
  <c r="L506" i="2"/>
  <c r="O1066" i="2"/>
  <c r="T422" i="2"/>
  <c r="M834" i="2"/>
  <c r="R423" i="2"/>
  <c r="S596" i="2"/>
  <c r="J674" i="2"/>
  <c r="M343" i="2"/>
  <c r="M465" i="2"/>
  <c r="T537" i="2"/>
  <c r="U757" i="2"/>
  <c r="T943" i="2"/>
  <c r="T566" i="2"/>
  <c r="U800" i="2"/>
  <c r="S257" i="2"/>
  <c r="Q509" i="2"/>
  <c r="T518" i="2"/>
  <c r="T419" i="2"/>
  <c r="M601" i="2"/>
  <c r="U752" i="2"/>
  <c r="J577" i="2"/>
  <c r="M409" i="2"/>
  <c r="R678" i="2"/>
  <c r="S462" i="2"/>
  <c r="K541" i="2"/>
  <c r="K565" i="2"/>
  <c r="S665" i="2"/>
  <c r="U475" i="2"/>
  <c r="N561" i="2"/>
  <c r="N819" i="2"/>
  <c r="K1104" i="2"/>
  <c r="M750" i="2"/>
  <c r="Q645" i="2"/>
  <c r="R646" i="2"/>
  <c r="R1306" i="2"/>
  <c r="U533" i="2"/>
  <c r="M593" i="2"/>
  <c r="L557" i="2"/>
  <c r="P658" i="2"/>
  <c r="J761" i="2"/>
  <c r="N777" i="2"/>
  <c r="R346" i="2"/>
  <c r="S1490" i="2"/>
  <c r="O1230" i="2"/>
  <c r="S1726" i="2"/>
  <c r="U2045" i="2"/>
  <c r="L1184" i="2"/>
  <c r="K1727" i="2"/>
  <c r="N1428" i="2"/>
  <c r="S917" i="2"/>
  <c r="M1256" i="2"/>
  <c r="N1217" i="2"/>
  <c r="L769" i="2"/>
  <c r="J967" i="2"/>
  <c r="P2111" i="2"/>
  <c r="L1081" i="2"/>
  <c r="P1186" i="2"/>
  <c r="U736" i="2"/>
  <c r="T812" i="2"/>
  <c r="N775" i="2"/>
  <c r="L493" i="2"/>
  <c r="U943" i="2"/>
  <c r="K513" i="2"/>
  <c r="T1188" i="2"/>
  <c r="K684" i="2"/>
  <c r="K584" i="2"/>
  <c r="R930" i="2"/>
  <c r="N610" i="2"/>
  <c r="T1225" i="2"/>
  <c r="U782" i="2"/>
  <c r="O1412" i="2"/>
  <c r="K518" i="2"/>
  <c r="N820" i="2"/>
  <c r="K890" i="2"/>
  <c r="M435" i="2"/>
  <c r="O1170" i="2"/>
  <c r="M1102" i="2"/>
  <c r="U824" i="2"/>
  <c r="M959" i="2"/>
  <c r="S630" i="2"/>
  <c r="R1135" i="2"/>
  <c r="T793" i="2"/>
  <c r="K1243" i="2"/>
  <c r="O820" i="2"/>
  <c r="T921" i="2"/>
  <c r="K1494" i="2"/>
  <c r="O888" i="2"/>
  <c r="J1007" i="2"/>
  <c r="U972" i="2"/>
  <c r="T906" i="2"/>
  <c r="U1474" i="2"/>
  <c r="S528" i="2"/>
  <c r="T1827" i="2"/>
  <c r="S1445" i="2"/>
  <c r="S875" i="2"/>
  <c r="Q1503" i="2"/>
  <c r="N1135" i="2"/>
  <c r="S923" i="2"/>
  <c r="J1242" i="2"/>
  <c r="T1333" i="2"/>
  <c r="T1077" i="2"/>
  <c r="P708" i="2"/>
  <c r="T763" i="2"/>
  <c r="S470" i="2"/>
  <c r="J1231" i="2"/>
  <c r="T1441" i="2"/>
  <c r="M946" i="2"/>
  <c r="S1044" i="2"/>
  <c r="L1064" i="2"/>
  <c r="T732" i="2"/>
  <c r="L934" i="2"/>
  <c r="R578" i="2"/>
  <c r="T728" i="2"/>
  <c r="K930" i="2"/>
  <c r="U573" i="2"/>
  <c r="Q461" i="2"/>
  <c r="O594" i="2"/>
  <c r="S1021" i="2"/>
  <c r="Q479" i="2"/>
  <c r="O612" i="2"/>
  <c r="K338" i="2"/>
  <c r="J556" i="2"/>
  <c r="M889" i="2"/>
  <c r="P404" i="2"/>
  <c r="R497" i="2"/>
  <c r="N774" i="2"/>
  <c r="O529" i="2"/>
  <c r="Q476" i="2"/>
  <c r="P736" i="2"/>
  <c r="T654" i="2"/>
  <c r="S349" i="2"/>
  <c r="Q959" i="2"/>
  <c r="J744" i="2"/>
  <c r="T322" i="2"/>
  <c r="R759" i="2"/>
  <c r="U360" i="2"/>
  <c r="K865" i="2"/>
  <c r="N1396" i="2"/>
  <c r="K1452" i="2"/>
  <c r="P1700" i="2"/>
  <c r="J1285" i="2"/>
  <c r="Q671" i="2"/>
  <c r="P693" i="2"/>
  <c r="L518" i="2"/>
  <c r="P456" i="2"/>
  <c r="P1369" i="2"/>
  <c r="S1452" i="2"/>
  <c r="O1044" i="2"/>
  <c r="O1346" i="2"/>
  <c r="N1421" i="2"/>
  <c r="O1748" i="2"/>
  <c r="M1385" i="2"/>
  <c r="Q1200" i="2"/>
  <c r="N529" i="2"/>
  <c r="U896" i="2"/>
  <c r="P710" i="2"/>
  <c r="J978" i="2"/>
  <c r="T1048" i="2"/>
  <c r="P1293" i="2"/>
  <c r="J1721" i="2"/>
  <c r="S898" i="2"/>
  <c r="Q960" i="2"/>
  <c r="U1459" i="2"/>
  <c r="J1288" i="2"/>
  <c r="S1128" i="2"/>
  <c r="N931" i="2"/>
  <c r="Q771" i="2"/>
  <c r="M803" i="2"/>
  <c r="Q1019" i="2"/>
  <c r="Q445" i="2"/>
  <c r="R1187" i="2"/>
  <c r="K950" i="2"/>
  <c r="S565" i="2"/>
  <c r="O1380" i="2"/>
  <c r="P505" i="2"/>
  <c r="U831" i="2"/>
  <c r="Q1187" i="2"/>
  <c r="M863" i="2"/>
  <c r="O625" i="2"/>
  <c r="R982" i="2"/>
  <c r="M672" i="2"/>
  <c r="L681" i="2"/>
  <c r="P847" i="2"/>
  <c r="Q1344" i="2"/>
  <c r="T988" i="2"/>
  <c r="Q506" i="2"/>
  <c r="U889" i="2"/>
  <c r="Q668" i="2"/>
  <c r="P755" i="2"/>
  <c r="K1102" i="2"/>
  <c r="O828" i="2"/>
  <c r="R900" i="2"/>
  <c r="T756" i="2"/>
  <c r="J778" i="2"/>
  <c r="S1015" i="2"/>
  <c r="Q733" i="2"/>
  <c r="T910" i="2"/>
  <c r="R808" i="2"/>
  <c r="N1059" i="2"/>
  <c r="R1247" i="2"/>
  <c r="L1474" i="2"/>
  <c r="U1074" i="2"/>
  <c r="M1275" i="2"/>
  <c r="O830" i="2"/>
  <c r="S1111" i="2"/>
  <c r="T1183" i="2"/>
  <c r="R1794" i="2"/>
  <c r="L870" i="2"/>
  <c r="U1164" i="2"/>
  <c r="U608" i="2"/>
  <c r="K919" i="2"/>
  <c r="N986" i="2"/>
  <c r="S1038" i="2"/>
  <c r="K898" i="2"/>
  <c r="M975" i="2"/>
  <c r="M1096" i="2"/>
  <c r="S466" i="2"/>
  <c r="Q1001" i="2"/>
  <c r="Q414" i="2"/>
  <c r="U1006" i="2"/>
  <c r="L763" i="2"/>
  <c r="N628" i="2"/>
  <c r="K15" i="2"/>
  <c r="N1128" i="2"/>
  <c r="U904" i="2"/>
  <c r="N594" i="2"/>
  <c r="M611" i="2"/>
  <c r="R554" i="2"/>
  <c r="O572" i="2"/>
  <c r="Q584" i="2"/>
  <c r="J602" i="2"/>
  <c r="T60" i="2"/>
  <c r="N654" i="2"/>
  <c r="M1215" i="2"/>
  <c r="L728" i="2"/>
  <c r="L726" i="2"/>
  <c r="R1359" i="2"/>
  <c r="R722" i="2"/>
  <c r="L707" i="2"/>
  <c r="N274" i="2"/>
  <c r="R537" i="2"/>
  <c r="O916" i="2"/>
  <c r="R794" i="2"/>
  <c r="R729" i="2"/>
  <c r="P468" i="2"/>
  <c r="O237" i="2"/>
  <c r="U1504" i="2"/>
  <c r="O567" i="2"/>
  <c r="L571" i="2"/>
  <c r="P1167" i="2"/>
  <c r="O433" i="2"/>
  <c r="Q408" i="2"/>
  <c r="N518" i="2"/>
  <c r="Q1585" i="2"/>
  <c r="Q1330" i="2"/>
  <c r="J1550" i="2"/>
  <c r="R899" i="2"/>
  <c r="T532" i="2"/>
  <c r="S663" i="2"/>
  <c r="M371" i="2"/>
  <c r="L593" i="2"/>
  <c r="U348" i="2"/>
  <c r="K375" i="2"/>
  <c r="K459" i="2"/>
  <c r="N229" i="2"/>
  <c r="P596" i="2"/>
  <c r="R1312" i="2"/>
  <c r="M1260" i="2"/>
  <c r="P602" i="2"/>
  <c r="T612" i="2"/>
  <c r="J1129" i="2"/>
  <c r="Q453" i="2"/>
  <c r="Q465" i="2"/>
  <c r="K491" i="2"/>
  <c r="J1035" i="2"/>
  <c r="O831" i="2"/>
  <c r="T554" i="2"/>
  <c r="Q1783" i="2"/>
  <c r="U1187" i="2"/>
  <c r="K1531" i="2"/>
  <c r="U1293" i="2"/>
  <c r="S1438" i="2"/>
  <c r="P1067" i="2"/>
  <c r="K1043" i="2"/>
  <c r="O836" i="2"/>
  <c r="R1033" i="2"/>
  <c r="O1614" i="2"/>
  <c r="P1278" i="2"/>
  <c r="K590" i="2"/>
  <c r="L1012" i="2"/>
  <c r="S1124" i="2"/>
  <c r="R1597" i="2"/>
  <c r="U738" i="2"/>
  <c r="N650" i="2"/>
  <c r="U565" i="2"/>
  <c r="T632" i="2"/>
  <c r="P570" i="2"/>
  <c r="U693" i="2"/>
  <c r="O1253" i="2"/>
  <c r="R471" i="2"/>
  <c r="M741" i="2"/>
  <c r="R1250" i="2"/>
  <c r="U760" i="2"/>
  <c r="N951" i="2"/>
  <c r="S925" i="2"/>
  <c r="L951" i="2"/>
  <c r="M634" i="2"/>
  <c r="N667" i="2"/>
  <c r="Q391" i="2"/>
  <c r="O955" i="2"/>
  <c r="N1011" i="2"/>
  <c r="O718" i="2"/>
  <c r="L1020" i="2"/>
  <c r="L787" i="2"/>
  <c r="K618" i="2"/>
  <c r="U575" i="2"/>
  <c r="J480" i="2"/>
  <c r="N1007" i="2"/>
  <c r="U864" i="2"/>
  <c r="P792" i="2"/>
  <c r="O947" i="2"/>
  <c r="L929" i="2"/>
  <c r="K894" i="2"/>
  <c r="Q1172" i="2"/>
  <c r="S704" i="2"/>
  <c r="U1107" i="2"/>
  <c r="L1166" i="2"/>
  <c r="O1805" i="2"/>
  <c r="P1546" i="2"/>
  <c r="R1023" i="2"/>
  <c r="P1432" i="2"/>
  <c r="S1030" i="2"/>
  <c r="T867" i="2"/>
  <c r="L1013" i="2"/>
  <c r="S1469" i="2"/>
  <c r="J968" i="2"/>
  <c r="R1098" i="2"/>
  <c r="O1012" i="2"/>
  <c r="S1942" i="2"/>
  <c r="P747" i="2"/>
  <c r="J672" i="2"/>
  <c r="M850" i="2"/>
  <c r="N516" i="2"/>
  <c r="R701" i="2"/>
  <c r="P1090" i="2"/>
  <c r="S645" i="2"/>
  <c r="M440" i="2"/>
  <c r="J736" i="2"/>
  <c r="M755" i="2"/>
  <c r="K736" i="2"/>
  <c r="N170" i="2"/>
  <c r="R527" i="2"/>
  <c r="M918" i="2"/>
  <c r="R863" i="2"/>
  <c r="S844" i="2"/>
  <c r="N506" i="2"/>
  <c r="P449" i="2"/>
  <c r="K313" i="2"/>
  <c r="M424" i="2"/>
  <c r="O771" i="2"/>
  <c r="J446" i="2"/>
  <c r="N1303" i="2"/>
  <c r="S885" i="2"/>
  <c r="L1043" i="2"/>
  <c r="L1057" i="2"/>
  <c r="L583" i="2"/>
  <c r="T337" i="2"/>
  <c r="R283" i="2"/>
  <c r="J671" i="2"/>
  <c r="L959" i="2"/>
  <c r="Q881" i="2"/>
  <c r="U813" i="2"/>
  <c r="N340" i="2"/>
  <c r="K689" i="2"/>
  <c r="M1224" i="2"/>
  <c r="O1065" i="2"/>
  <c r="Q801" i="2"/>
  <c r="N880" i="2"/>
  <c r="S597" i="2"/>
  <c r="J471" i="2"/>
  <c r="P510" i="2"/>
  <c r="R1231" i="2"/>
  <c r="J1410" i="2"/>
  <c r="R966" i="2"/>
  <c r="N547" i="2"/>
  <c r="M566" i="2"/>
  <c r="S657" i="2"/>
  <c r="Q420" i="2"/>
  <c r="S703" i="2"/>
  <c r="J260" i="2"/>
  <c r="L41" i="2"/>
  <c r="R440" i="2"/>
  <c r="O1402" i="2"/>
  <c r="O903" i="2"/>
  <c r="L1488" i="2"/>
  <c r="M785" i="2"/>
  <c r="R526" i="2"/>
  <c r="P848" i="2"/>
  <c r="K705" i="2"/>
  <c r="R610" i="2"/>
  <c r="P618" i="2"/>
  <c r="Q1446" i="2"/>
  <c r="T1772" i="2"/>
  <c r="N1080" i="2"/>
  <c r="M507" i="2"/>
  <c r="N1205" i="2"/>
  <c r="J698" i="2"/>
  <c r="K1143" i="2"/>
  <c r="R1268" i="2"/>
  <c r="R787" i="2"/>
  <c r="T1092" i="2"/>
  <c r="L1614" i="2"/>
  <c r="L847" i="2"/>
  <c r="O1723" i="2"/>
  <c r="Q1418" i="2"/>
  <c r="K1286" i="2"/>
  <c r="S599" i="2"/>
  <c r="R666" i="2"/>
  <c r="Q713" i="2"/>
  <c r="N1133" i="2"/>
  <c r="J950" i="2"/>
  <c r="R674" i="2"/>
  <c r="M1116" i="2"/>
  <c r="Q348" i="2"/>
  <c r="T1189" i="2"/>
  <c r="S685" i="2"/>
  <c r="L806" i="2"/>
  <c r="Q877" i="2"/>
  <c r="J915" i="2"/>
  <c r="M1005" i="2"/>
  <c r="T1009" i="2"/>
  <c r="J722" i="2"/>
  <c r="K1314" i="2"/>
  <c r="U607" i="2"/>
  <c r="Q1419" i="2"/>
  <c r="K1162" i="2"/>
  <c r="N937" i="2"/>
  <c r="Q701" i="2"/>
  <c r="O951" i="2"/>
  <c r="U570" i="2"/>
  <c r="J1435" i="2"/>
  <c r="T802" i="2"/>
  <c r="Q1264" i="2"/>
  <c r="K1061" i="2"/>
  <c r="K1376" i="2"/>
  <c r="S539" i="2"/>
  <c r="U897" i="2"/>
  <c r="Q749" i="2"/>
  <c r="P1581" i="2"/>
  <c r="N897" i="2"/>
  <c r="O809" i="2"/>
  <c r="O1697" i="2"/>
  <c r="J823" i="2"/>
  <c r="J876" i="2"/>
  <c r="T1353" i="2"/>
  <c r="Q784" i="2"/>
  <c r="N1141" i="2"/>
  <c r="R971" i="2"/>
  <c r="O1221" i="2"/>
  <c r="N1124" i="2"/>
  <c r="S929" i="2"/>
  <c r="U995" i="2"/>
  <c r="O1603" i="2"/>
  <c r="P871" i="2"/>
  <c r="P1210" i="2"/>
  <c r="M776" i="2"/>
  <c r="R798" i="2"/>
  <c r="Q945" i="2"/>
  <c r="T505" i="2"/>
  <c r="Q804" i="2"/>
  <c r="P885" i="2"/>
  <c r="M306" i="2"/>
  <c r="Q707" i="2"/>
  <c r="J118" i="2"/>
  <c r="P506" i="2"/>
  <c r="R540" i="2"/>
  <c r="T1248" i="2"/>
  <c r="T692" i="2"/>
  <c r="M982" i="2"/>
  <c r="Q483" i="2"/>
  <c r="S502" i="2"/>
  <c r="U320" i="2"/>
  <c r="T591" i="2"/>
  <c r="S407" i="2"/>
  <c r="K502" i="2"/>
  <c r="K1133" i="2"/>
  <c r="L871" i="2"/>
  <c r="L1083" i="2"/>
  <c r="O626" i="2"/>
  <c r="P491" i="2"/>
  <c r="M1052" i="2"/>
  <c r="O475" i="2"/>
  <c r="U1597" i="2"/>
  <c r="N1167" i="2"/>
  <c r="N1126" i="2"/>
  <c r="R747" i="2"/>
  <c r="O658" i="2"/>
  <c r="L456" i="2"/>
  <c r="Q1538" i="2"/>
  <c r="L664" i="2"/>
  <c r="N494" i="2"/>
  <c r="P1041" i="2"/>
  <c r="N647" i="2"/>
  <c r="J534" i="2"/>
  <c r="P569" i="2"/>
  <c r="K1110" i="2"/>
  <c r="Q1500" i="2"/>
  <c r="K751" i="2"/>
  <c r="S1011" i="2"/>
  <c r="S417" i="2"/>
  <c r="L480" i="2"/>
  <c r="U165" i="2"/>
  <c r="U415" i="2"/>
  <c r="K170" i="2"/>
  <c r="U593" i="2"/>
  <c r="J258" i="2"/>
  <c r="R301" i="2"/>
  <c r="R580" i="2"/>
  <c r="T1164" i="2"/>
  <c r="S1083" i="2"/>
  <c r="R855" i="2"/>
  <c r="K498" i="2"/>
  <c r="Q1515" i="2"/>
  <c r="R1011" i="2"/>
  <c r="U384" i="2"/>
  <c r="U653" i="2"/>
  <c r="N1519" i="2"/>
  <c r="U1153" i="2"/>
  <c r="N1575" i="2"/>
  <c r="Q1371" i="2"/>
  <c r="N1210" i="2"/>
  <c r="N1192" i="2"/>
  <c r="L1353" i="2"/>
  <c r="T889" i="2"/>
  <c r="T1489" i="2"/>
  <c r="S1238" i="2"/>
  <c r="T1363" i="2"/>
  <c r="U1122" i="2"/>
  <c r="L1272" i="2"/>
  <c r="M937" i="2"/>
  <c r="L1183" i="2"/>
  <c r="L1055" i="2"/>
  <c r="N1022" i="2"/>
  <c r="N1155" i="2"/>
  <c r="U881" i="2"/>
  <c r="S1002" i="2"/>
  <c r="P314" i="2"/>
  <c r="R948" i="2"/>
  <c r="M600" i="2"/>
  <c r="N593" i="2"/>
  <c r="N829" i="2"/>
  <c r="U1112" i="2"/>
  <c r="M649" i="2"/>
  <c r="M759" i="2"/>
  <c r="K1008" i="2"/>
  <c r="Q961" i="2"/>
  <c r="M541" i="2"/>
  <c r="K782" i="2"/>
  <c r="S644" i="2"/>
  <c r="K504" i="2"/>
  <c r="T438" i="2"/>
  <c r="S1112" i="2"/>
  <c r="L1116" i="2"/>
  <c r="K655" i="2"/>
  <c r="Q821" i="2"/>
  <c r="K501" i="2"/>
  <c r="K985" i="2"/>
  <c r="K1501" i="2"/>
  <c r="R1025" i="2"/>
  <c r="S1161" i="2"/>
  <c r="R815" i="2"/>
  <c r="O1778" i="2"/>
  <c r="Q562" i="2"/>
  <c r="P957" i="2"/>
  <c r="S847" i="2"/>
  <c r="O2109" i="2"/>
  <c r="T876" i="2"/>
  <c r="K458" i="2"/>
  <c r="R1606" i="2"/>
  <c r="Q882" i="2"/>
  <c r="K917" i="2"/>
  <c r="N1756" i="2"/>
  <c r="T1135" i="2"/>
  <c r="K799" i="2"/>
  <c r="K1045" i="2"/>
  <c r="K1593" i="2"/>
  <c r="R1425" i="2"/>
  <c r="S786" i="2"/>
  <c r="J944" i="2"/>
  <c r="P1368" i="2"/>
  <c r="Q876" i="2"/>
  <c r="O919" i="2"/>
  <c r="J843" i="2"/>
  <c r="U1450" i="2"/>
  <c r="S835" i="2"/>
  <c r="J928" i="2"/>
  <c r="Q1034" i="2"/>
  <c r="Q417" i="2"/>
  <c r="Q421" i="2"/>
  <c r="K439" i="2"/>
  <c r="Q585" i="2"/>
  <c r="U619" i="2"/>
  <c r="K571" i="2"/>
  <c r="U791" i="2"/>
  <c r="N429" i="2"/>
  <c r="L643" i="2"/>
  <c r="P712" i="2"/>
  <c r="J625" i="2"/>
  <c r="Q891" i="2"/>
  <c r="N471" i="2"/>
  <c r="O227" i="2"/>
  <c r="N1061" i="2"/>
  <c r="M712" i="2"/>
  <c r="K665" i="2"/>
  <c r="K862" i="2"/>
  <c r="J442" i="2"/>
  <c r="L767" i="2"/>
  <c r="P394" i="2"/>
  <c r="N370" i="2"/>
  <c r="S1503" i="2"/>
  <c r="N584" i="2"/>
  <c r="R1416" i="2"/>
  <c r="U715" i="2"/>
  <c r="U315" i="2"/>
  <c r="K617" i="2"/>
  <c r="Q970" i="2"/>
  <c r="U964" i="2"/>
  <c r="L700" i="2"/>
  <c r="P1184" i="2"/>
  <c r="L570" i="2"/>
  <c r="L1079" i="2"/>
  <c r="S428" i="2"/>
  <c r="J495" i="2"/>
  <c r="P1164" i="2"/>
  <c r="N382" i="2"/>
  <c r="T562" i="2"/>
  <c r="M377" i="2"/>
  <c r="M518" i="2"/>
  <c r="S699" i="2"/>
  <c r="S545" i="2"/>
  <c r="R177" i="2"/>
  <c r="P329" i="2"/>
  <c r="S262" i="2"/>
  <c r="O564" i="2"/>
  <c r="J27" i="2"/>
  <c r="R910" i="2"/>
  <c r="Q1000" i="2"/>
  <c r="P642" i="2"/>
  <c r="O892" i="2"/>
  <c r="T677" i="2"/>
  <c r="U516" i="2"/>
  <c r="Q361" i="2"/>
  <c r="U774" i="2"/>
  <c r="K1411" i="2"/>
  <c r="T1067" i="2"/>
  <c r="T492" i="2"/>
  <c r="S779" i="2"/>
  <c r="M644" i="2"/>
  <c r="S535" i="2"/>
  <c r="U815" i="2"/>
  <c r="T509" i="2"/>
  <c r="L682" i="2"/>
  <c r="U426" i="2"/>
  <c r="S1519" i="2"/>
  <c r="R768" i="2"/>
  <c r="L516" i="2"/>
  <c r="P553" i="2"/>
  <c r="K811" i="2"/>
  <c r="S538" i="2"/>
  <c r="O1271" i="2"/>
  <c r="N776" i="2"/>
  <c r="M748" i="2"/>
  <c r="J628" i="2"/>
  <c r="O929" i="2"/>
  <c r="O532" i="2"/>
  <c r="J700" i="2"/>
  <c r="K1032" i="2"/>
  <c r="M1439" i="2"/>
  <c r="U1017" i="2"/>
  <c r="R354" i="2"/>
  <c r="U451" i="2"/>
  <c r="J706" i="2"/>
  <c r="M643" i="2"/>
  <c r="U597" i="2"/>
  <c r="P898" i="2"/>
  <c r="M916" i="2"/>
  <c r="Q176" i="2"/>
  <c r="L368" i="2"/>
  <c r="T1387" i="2"/>
  <c r="K1522" i="2"/>
  <c r="L1528" i="2"/>
  <c r="R1144" i="2"/>
  <c r="Q1271" i="2"/>
  <c r="Q1183" i="2"/>
  <c r="J1141" i="2"/>
  <c r="R1019" i="2"/>
  <c r="K2015" i="2"/>
  <c r="S1416" i="2"/>
  <c r="U906" i="2"/>
  <c r="T841" i="2"/>
  <c r="Q842" i="2"/>
  <c r="J1186" i="2"/>
  <c r="O846" i="2"/>
  <c r="U696" i="2"/>
  <c r="U341" i="2"/>
  <c r="O897" i="2"/>
  <c r="K469" i="2"/>
  <c r="J1627" i="2"/>
  <c r="R386" i="2"/>
  <c r="U588" i="2"/>
  <c r="L720" i="2"/>
  <c r="O1000" i="2"/>
  <c r="R645" i="2"/>
  <c r="Q678" i="2"/>
  <c r="P756" i="2"/>
  <c r="R935" i="2"/>
  <c r="J985" i="2"/>
  <c r="Q664" i="2"/>
  <c r="S609" i="2"/>
  <c r="Q848" i="2"/>
  <c r="S695" i="2"/>
  <c r="S765" i="2"/>
  <c r="M940" i="2"/>
  <c r="P806" i="2"/>
  <c r="R843" i="2"/>
  <c r="P905" i="2"/>
  <c r="P630" i="2"/>
  <c r="K1017" i="2"/>
  <c r="L838" i="2"/>
  <c r="S1023" i="2"/>
  <c r="S942" i="2"/>
  <c r="U987" i="2"/>
  <c r="O722" i="2"/>
  <c r="P752" i="2"/>
  <c r="Q648" i="2"/>
  <c r="S989" i="2"/>
  <c r="T2094" i="2"/>
  <c r="P1165" i="2"/>
  <c r="R1515" i="2"/>
  <c r="L1357" i="2"/>
  <c r="J867" i="2"/>
  <c r="S1205" i="2"/>
  <c r="N1069" i="2"/>
  <c r="L690" i="2"/>
  <c r="L868" i="2"/>
  <c r="N1447" i="2"/>
  <c r="R1120" i="2"/>
  <c r="L604" i="2"/>
  <c r="S869" i="2"/>
  <c r="P1180" i="2"/>
  <c r="M818" i="2"/>
  <c r="R1073" i="2"/>
  <c r="T894" i="2"/>
  <c r="L1041" i="2"/>
  <c r="J849" i="2"/>
  <c r="M594" i="2"/>
  <c r="M996" i="2"/>
  <c r="U767" i="2"/>
  <c r="N913" i="2"/>
  <c r="M144" i="2"/>
  <c r="M319" i="2"/>
  <c r="U414" i="2"/>
  <c r="M401" i="2"/>
  <c r="Q789" i="2"/>
  <c r="O780" i="2"/>
  <c r="T955" i="2"/>
  <c r="R380" i="2"/>
  <c r="O822" i="2"/>
  <c r="K408" i="2"/>
  <c r="N823" i="2"/>
  <c r="T262" i="2"/>
  <c r="U753" i="2"/>
  <c r="T903" i="2"/>
  <c r="N222" i="2"/>
  <c r="R763" i="2"/>
  <c r="U390" i="2"/>
  <c r="T523" i="2"/>
  <c r="L586" i="2"/>
  <c r="P287" i="2"/>
  <c r="R991" i="2"/>
  <c r="R906" i="2"/>
  <c r="L498" i="2"/>
  <c r="P746" i="2"/>
  <c r="L503" i="2"/>
  <c r="R944" i="2"/>
  <c r="M1568" i="2"/>
  <c r="O1087" i="2"/>
  <c r="S858" i="2"/>
  <c r="Q715" i="2"/>
  <c r="P799" i="2"/>
  <c r="J565" i="2"/>
  <c r="N409" i="2"/>
  <c r="P879" i="2"/>
  <c r="L800" i="2"/>
  <c r="J884" i="2"/>
  <c r="U711" i="2"/>
  <c r="U290" i="2"/>
  <c r="M733" i="2"/>
  <c r="S575" i="2"/>
  <c r="R509" i="2"/>
  <c r="M610" i="2"/>
  <c r="R484" i="2"/>
  <c r="M636" i="2"/>
  <c r="N144" i="2"/>
  <c r="O743" i="2"/>
  <c r="M813" i="2"/>
  <c r="P908" i="2"/>
  <c r="M736" i="2"/>
  <c r="Q586" i="2"/>
  <c r="N779" i="2"/>
  <c r="M794" i="2"/>
  <c r="O393" i="2"/>
  <c r="R735" i="2"/>
  <c r="R1061" i="2"/>
  <c r="Q442" i="2"/>
  <c r="T1155" i="2"/>
  <c r="L486" i="2"/>
  <c r="K567" i="2"/>
  <c r="U609" i="2"/>
  <c r="O325" i="2"/>
  <c r="K965" i="2"/>
  <c r="P335" i="2"/>
  <c r="T345" i="2"/>
  <c r="K1248" i="2"/>
  <c r="J624" i="2"/>
  <c r="K1150" i="2"/>
  <c r="J547" i="2"/>
  <c r="R612" i="2"/>
  <c r="N996" i="2"/>
  <c r="N1486" i="2"/>
  <c r="S1046" i="2"/>
  <c r="P1725" i="2"/>
  <c r="R639" i="2"/>
  <c r="R1095" i="2"/>
  <c r="R1311" i="2"/>
  <c r="L1144" i="2"/>
  <c r="K1245" i="2"/>
  <c r="K1118" i="2"/>
  <c r="Q1124" i="2"/>
  <c r="P1082" i="2"/>
  <c r="K796" i="2"/>
  <c r="J1466" i="2"/>
  <c r="L1178" i="2"/>
  <c r="N1451" i="2"/>
  <c r="R422" i="2"/>
  <c r="N393" i="2"/>
  <c r="T758" i="2"/>
  <c r="R503" i="2"/>
  <c r="J976" i="2"/>
  <c r="Q548" i="2"/>
  <c r="S499" i="2"/>
  <c r="J714" i="2"/>
  <c r="R862" i="2"/>
  <c r="R561" i="2"/>
  <c r="T1071" i="2"/>
  <c r="U1241" i="2"/>
  <c r="T835" i="2"/>
  <c r="N630" i="2"/>
  <c r="J327" i="2"/>
  <c r="K651" i="2"/>
  <c r="O914" i="2"/>
  <c r="J460" i="2"/>
  <c r="N1816" i="2"/>
  <c r="P593" i="2"/>
  <c r="O847" i="2"/>
  <c r="N553" i="2"/>
  <c r="J682" i="2"/>
  <c r="N653" i="2"/>
  <c r="T1701" i="2"/>
  <c r="M922" i="2"/>
  <c r="T1079" i="2"/>
  <c r="T1061" i="2"/>
  <c r="Q1199" i="2"/>
  <c r="O807" i="2"/>
  <c r="U1255" i="2"/>
  <c r="K704" i="2"/>
  <c r="R1232" i="2"/>
  <c r="U1413" i="2"/>
  <c r="K1392" i="2"/>
  <c r="Q1877" i="2"/>
  <c r="N1371" i="2"/>
  <c r="O1502" i="2"/>
  <c r="T1112" i="2"/>
  <c r="M1333" i="2"/>
  <c r="N948" i="2"/>
  <c r="U1380" i="2"/>
  <c r="L1965" i="2"/>
  <c r="T825" i="2"/>
  <c r="P739" i="2"/>
  <c r="P922" i="2"/>
  <c r="M1080" i="2"/>
  <c r="O1355" i="2"/>
  <c r="J996" i="2"/>
  <c r="U1082" i="2"/>
  <c r="J980" i="2"/>
  <c r="J1572" i="2"/>
  <c r="T744" i="2"/>
  <c r="S705" i="2"/>
  <c r="M802" i="2"/>
  <c r="T496" i="2"/>
  <c r="O818" i="2"/>
  <c r="Q868" i="2"/>
  <c r="Q1442" i="2"/>
  <c r="Q814" i="2"/>
  <c r="K809" i="2"/>
  <c r="U1194" i="2"/>
  <c r="O652" i="2"/>
  <c r="T680" i="2"/>
  <c r="M1023" i="2"/>
  <c r="O664" i="2"/>
  <c r="J962" i="2"/>
  <c r="Q1091" i="2"/>
  <c r="S994" i="2"/>
  <c r="O937" i="2"/>
  <c r="K680" i="2"/>
  <c r="R531" i="2"/>
  <c r="J1431" i="2"/>
  <c r="M1066" i="2"/>
  <c r="P825" i="2"/>
  <c r="O482" i="2"/>
  <c r="L1053" i="2"/>
  <c r="N785" i="2"/>
  <c r="S508" i="2"/>
  <c r="S754" i="2"/>
  <c r="P1686" i="2"/>
  <c r="R807" i="2"/>
  <c r="R1242" i="2"/>
  <c r="O808" i="2"/>
  <c r="Q1366" i="2"/>
  <c r="T1314" i="2"/>
  <c r="U1174" i="2"/>
  <c r="K954" i="2"/>
  <c r="S1192" i="2"/>
  <c r="S1615" i="2"/>
  <c r="U936" i="2"/>
  <c r="S1727" i="2"/>
  <c r="S799" i="2"/>
  <c r="U1472" i="2"/>
  <c r="L901" i="2"/>
  <c r="K421" i="2"/>
  <c r="M1182" i="2"/>
  <c r="M848" i="2"/>
  <c r="L1281" i="2"/>
  <c r="L1289" i="2"/>
  <c r="O733" i="2"/>
  <c r="K899" i="2"/>
  <c r="T310" i="2"/>
  <c r="T508" i="2"/>
  <c r="N359" i="2"/>
  <c r="S1071" i="2"/>
  <c r="M1778" i="2"/>
  <c r="L906" i="2"/>
  <c r="L434" i="2"/>
  <c r="K1153" i="2"/>
  <c r="N728" i="2"/>
  <c r="O491" i="2"/>
  <c r="R341" i="2"/>
  <c r="O1078" i="2"/>
  <c r="Q1009" i="2"/>
  <c r="T864" i="2"/>
  <c r="O600" i="2"/>
  <c r="L615" i="2"/>
  <c r="R466" i="2"/>
  <c r="O1157" i="2"/>
  <c r="T1035" i="2"/>
  <c r="N1028" i="2"/>
  <c r="T961" i="2"/>
  <c r="T966" i="2"/>
  <c r="L1349" i="2"/>
  <c r="U1210" i="2"/>
  <c r="P1006" i="2"/>
  <c r="T842" i="2"/>
  <c r="M872" i="2"/>
  <c r="P1683" i="2"/>
  <c r="K1000" i="2"/>
  <c r="T1743" i="2"/>
  <c r="S1522" i="2"/>
  <c r="U1693" i="2"/>
  <c r="N1038" i="2"/>
  <c r="J949" i="2"/>
  <c r="M1252" i="2"/>
  <c r="N1024" i="2"/>
  <c r="P1379" i="2"/>
  <c r="K947" i="2"/>
  <c r="M1688" i="2"/>
  <c r="M744" i="2"/>
  <c r="N1471" i="2"/>
  <c r="P1392" i="2"/>
  <c r="Q695" i="2"/>
  <c r="L1589" i="2"/>
  <c r="U1159" i="2"/>
  <c r="P841" i="2"/>
  <c r="L467" i="2"/>
  <c r="M199" i="2"/>
  <c r="J1124" i="2"/>
  <c r="S797" i="2"/>
  <c r="O1018" i="2"/>
  <c r="S820" i="2"/>
  <c r="P1289" i="2"/>
  <c r="T923" i="2"/>
  <c r="O973" i="2"/>
  <c r="T1237" i="2"/>
  <c r="K1284" i="2"/>
  <c r="M701" i="2"/>
  <c r="O524" i="2"/>
  <c r="O1526" i="2"/>
  <c r="U1136" i="2"/>
  <c r="U488" i="2"/>
  <c r="R1355" i="2"/>
  <c r="M526" i="2"/>
  <c r="J1327" i="2"/>
  <c r="U801" i="2"/>
  <c r="Q1745" i="2"/>
  <c r="S639" i="2"/>
  <c r="N950" i="2"/>
  <c r="M1456" i="2"/>
  <c r="R979" i="2"/>
  <c r="M524" i="2"/>
  <c r="J1005" i="2"/>
  <c r="S1697" i="2"/>
  <c r="J1037" i="2"/>
  <c r="L904" i="2"/>
  <c r="M1336" i="2"/>
  <c r="Q1303" i="2"/>
  <c r="Q1032" i="2"/>
  <c r="P690" i="2"/>
  <c r="L1164" i="2"/>
  <c r="R962" i="2"/>
  <c r="Q969" i="2"/>
  <c r="S648" i="2"/>
  <c r="J829" i="2"/>
  <c r="Q939" i="2"/>
  <c r="O911" i="2"/>
  <c r="R882" i="2"/>
  <c r="U1113" i="2"/>
  <c r="U1142" i="2"/>
  <c r="M1273" i="2"/>
  <c r="J893" i="2"/>
  <c r="M947" i="2"/>
  <c r="Q697" i="2"/>
  <c r="J686" i="2"/>
  <c r="R796" i="2"/>
  <c r="P673" i="2"/>
  <c r="T880" i="2"/>
  <c r="R256" i="2"/>
  <c r="T644" i="2"/>
  <c r="S495" i="2"/>
  <c r="M1340" i="2"/>
  <c r="K714" i="2"/>
  <c r="J482" i="2"/>
  <c r="S895" i="2"/>
  <c r="J347" i="2"/>
  <c r="L1265" i="2"/>
  <c r="J1084" i="2"/>
  <c r="Q927" i="2"/>
  <c r="R1278" i="2"/>
  <c r="K624" i="2"/>
  <c r="J377" i="2"/>
  <c r="U1069" i="2"/>
  <c r="O1327" i="2"/>
  <c r="U638" i="2"/>
  <c r="J331" i="2"/>
  <c r="S995" i="2"/>
  <c r="T542" i="2"/>
  <c r="L641" i="2"/>
  <c r="N855" i="2"/>
  <c r="L832" i="2"/>
  <c r="O1553" i="2"/>
  <c r="Q1041" i="2"/>
  <c r="J638" i="2"/>
  <c r="P1653" i="2"/>
  <c r="M1123" i="2"/>
  <c r="N1191" i="2"/>
  <c r="J1386" i="2"/>
  <c r="S542" i="2"/>
  <c r="L883" i="2"/>
  <c r="Q901" i="2"/>
  <c r="K532" i="2"/>
  <c r="K641" i="2"/>
  <c r="T776" i="2"/>
  <c r="T1290" i="2"/>
  <c r="P390" i="2"/>
  <c r="L733" i="2"/>
  <c r="J562" i="2"/>
  <c r="M548" i="2"/>
  <c r="P541" i="2"/>
  <c r="K1080" i="2"/>
  <c r="U714" i="2"/>
  <c r="U443" i="2"/>
  <c r="P1270" i="2"/>
  <c r="Q746" i="2"/>
  <c r="S652" i="2"/>
  <c r="T817" i="2"/>
  <c r="K912" i="2"/>
  <c r="P616" i="2"/>
  <c r="K910" i="2"/>
  <c r="Q661" i="2"/>
  <c r="R849" i="2"/>
  <c r="N657" i="2"/>
  <c r="U558" i="2"/>
  <c r="U1427" i="2"/>
  <c r="K604" i="2"/>
  <c r="J492" i="2"/>
  <c r="P716" i="2"/>
  <c r="R518" i="2"/>
  <c r="L1600" i="2"/>
  <c r="N712" i="2"/>
  <c r="K1122" i="2"/>
  <c r="M817" i="2"/>
  <c r="P389" i="2"/>
  <c r="Q684" i="2"/>
  <c r="P351" i="2"/>
  <c r="L816" i="2"/>
  <c r="J1544" i="2"/>
  <c r="R567" i="2"/>
  <c r="U518" i="2"/>
  <c r="Q935" i="2"/>
  <c r="N1367" i="2"/>
  <c r="M894" i="2"/>
  <c r="U598" i="2"/>
  <c r="U620" i="2"/>
  <c r="K494" i="2"/>
  <c r="Q466" i="2"/>
  <c r="S317" i="2"/>
  <c r="O1356" i="2"/>
  <c r="N752" i="2"/>
  <c r="L594" i="2"/>
  <c r="L903" i="2"/>
  <c r="P426" i="2"/>
  <c r="L1006" i="2"/>
  <c r="Q389" i="2"/>
  <c r="J415" i="2"/>
  <c r="R621" i="2"/>
  <c r="Q94" i="2"/>
  <c r="M608" i="2"/>
  <c r="M1301" i="2"/>
  <c r="R766" i="2"/>
  <c r="R881" i="2"/>
  <c r="P931" i="2"/>
  <c r="O659" i="2"/>
  <c r="O385" i="2"/>
  <c r="L660" i="2"/>
  <c r="T441" i="2"/>
  <c r="J411" i="2"/>
  <c r="U993" i="2"/>
  <c r="K1222" i="2"/>
  <c r="K788" i="2"/>
  <c r="L945" i="2"/>
  <c r="N762" i="2"/>
  <c r="O317" i="2"/>
  <c r="L549" i="2"/>
  <c r="U321" i="2"/>
  <c r="O403" i="2"/>
  <c r="Q1656" i="2"/>
  <c r="P731" i="2"/>
  <c r="Q681" i="2"/>
  <c r="Q1005" i="2"/>
  <c r="S571" i="2"/>
  <c r="T300" i="2"/>
  <c r="R1060" i="2"/>
  <c r="O629" i="2"/>
  <c r="Q1410" i="2"/>
  <c r="R1086" i="2"/>
  <c r="K578" i="2"/>
  <c r="R654" i="2"/>
  <c r="U1050" i="2"/>
  <c r="Q604" i="2"/>
  <c r="N636" i="2"/>
  <c r="J881" i="2"/>
  <c r="T938" i="2"/>
  <c r="O710" i="2"/>
  <c r="O258" i="2"/>
  <c r="N454" i="2"/>
  <c r="T624" i="2"/>
  <c r="R8" i="2"/>
  <c r="U327" i="2"/>
  <c r="M695" i="2"/>
  <c r="Q266" i="2"/>
  <c r="O865" i="2"/>
  <c r="R338" i="2"/>
  <c r="N1516" i="2"/>
  <c r="N990" i="2"/>
  <c r="R211" i="2"/>
  <c r="S404" i="2"/>
  <c r="N526" i="2"/>
  <c r="U254" i="2"/>
  <c r="N200" i="2"/>
  <c r="L373" i="2"/>
  <c r="T76" i="2"/>
  <c r="T615" i="2"/>
  <c r="U623" i="2"/>
  <c r="M692" i="2"/>
  <c r="Q386" i="2"/>
  <c r="L605" i="2"/>
  <c r="P1312" i="2"/>
  <c r="U358" i="2"/>
  <c r="J487" i="2"/>
  <c r="U692" i="2"/>
  <c r="O59" i="2"/>
  <c r="O320" i="2"/>
  <c r="U199" i="2"/>
  <c r="K42" i="2"/>
  <c r="S717" i="2"/>
  <c r="P88" i="2"/>
  <c r="J1642" i="2"/>
  <c r="P535" i="2"/>
  <c r="T989" i="2"/>
  <c r="J518" i="2"/>
  <c r="J161" i="2"/>
  <c r="L683" i="2"/>
  <c r="O20" i="2"/>
  <c r="O51" i="2"/>
  <c r="M627" i="2"/>
  <c r="L631" i="2"/>
  <c r="T621" i="2"/>
  <c r="L575" i="2"/>
  <c r="N70" i="2"/>
  <c r="S601" i="2"/>
  <c r="M253" i="2"/>
  <c r="N345" i="2"/>
  <c r="R374" i="2"/>
  <c r="S801" i="2"/>
  <c r="Q336" i="2"/>
  <c r="O466" i="2"/>
  <c r="Q1292" i="2"/>
  <c r="L1097" i="2"/>
  <c r="R1036" i="2"/>
  <c r="J969" i="2"/>
  <c r="U1089" i="2"/>
  <c r="P1736" i="2"/>
  <c r="L1091" i="2"/>
  <c r="K837" i="2"/>
  <c r="J1050" i="2"/>
  <c r="P956" i="2"/>
  <c r="S608" i="2"/>
  <c r="L607" i="2"/>
  <c r="T1323" i="2"/>
  <c r="N805" i="2"/>
  <c r="M1071" i="2"/>
  <c r="Q1226" i="2"/>
  <c r="M1059" i="2"/>
  <c r="R1037" i="2"/>
  <c r="R1349" i="2"/>
  <c r="N656" i="2"/>
  <c r="T1115" i="2"/>
  <c r="P1080" i="2"/>
  <c r="P758" i="2"/>
  <c r="S741" i="2"/>
  <c r="M725" i="2"/>
  <c r="L782" i="2"/>
  <c r="L1078" i="2"/>
  <c r="S479" i="2"/>
  <c r="N724" i="2"/>
  <c r="L84" i="2"/>
  <c r="U370" i="2"/>
  <c r="P779" i="2"/>
  <c r="S450" i="2"/>
  <c r="K273" i="2"/>
  <c r="P977" i="2"/>
  <c r="M546" i="2"/>
  <c r="M589" i="2"/>
  <c r="L882" i="2"/>
  <c r="L859" i="2"/>
  <c r="L543" i="2"/>
  <c r="T613" i="2"/>
  <c r="Q1395" i="2"/>
  <c r="M659" i="2"/>
  <c r="Q898" i="2"/>
  <c r="J410" i="2"/>
  <c r="S719" i="2"/>
  <c r="U309" i="2"/>
  <c r="J801" i="2"/>
  <c r="P1285" i="2"/>
  <c r="S747" i="2"/>
  <c r="R668" i="2"/>
  <c r="L714" i="2"/>
  <c r="L317" i="2"/>
  <c r="N1053" i="2"/>
  <c r="J704" i="2"/>
  <c r="P582" i="2"/>
  <c r="J716" i="2"/>
  <c r="O735" i="2"/>
  <c r="N402" i="2"/>
  <c r="U74" i="2"/>
  <c r="K462" i="2"/>
  <c r="J824" i="2"/>
  <c r="J982" i="2"/>
  <c r="T836" i="2"/>
  <c r="T607" i="2"/>
  <c r="R727" i="2"/>
  <c r="K1132" i="2"/>
  <c r="U596" i="2"/>
  <c r="J685" i="2"/>
  <c r="P320" i="2"/>
  <c r="T579" i="2"/>
  <c r="S660" i="2"/>
  <c r="N1016" i="2"/>
  <c r="U739" i="2"/>
  <c r="J1354" i="2"/>
  <c r="U951" i="2"/>
  <c r="U491" i="2"/>
  <c r="P744" i="2"/>
  <c r="S1170" i="2"/>
  <c r="O224" i="2"/>
  <c r="Q755" i="2"/>
  <c r="L736" i="2"/>
  <c r="S11" i="2"/>
  <c r="N1260" i="2"/>
  <c r="S1107" i="2"/>
  <c r="T220" i="2"/>
  <c r="M976" i="2"/>
  <c r="M671" i="2"/>
  <c r="R550" i="2"/>
  <c r="U477" i="2"/>
  <c r="P703" i="2"/>
  <c r="K661" i="2"/>
  <c r="N781" i="2"/>
  <c r="J444" i="2"/>
  <c r="K666" i="2"/>
  <c r="U303" i="2"/>
  <c r="P485" i="2"/>
  <c r="K589" i="2"/>
  <c r="L437" i="2"/>
  <c r="T897" i="2"/>
  <c r="U434" i="2"/>
  <c r="S1913" i="2"/>
  <c r="S968" i="2"/>
  <c r="Q720" i="2"/>
  <c r="U720" i="2"/>
  <c r="K605" i="2"/>
  <c r="N440" i="2"/>
  <c r="N619" i="2"/>
  <c r="R514" i="2"/>
  <c r="N1446" i="2"/>
  <c r="Q875" i="2"/>
  <c r="P628" i="2"/>
  <c r="M837" i="2"/>
  <c r="O590" i="2"/>
  <c r="R1028" i="2"/>
  <c r="P620" i="2"/>
  <c r="S1628" i="2"/>
  <c r="L556" i="2"/>
  <c r="P684" i="2"/>
  <c r="N33" i="2"/>
  <c r="R437" i="2"/>
  <c r="Q437" i="2"/>
  <c r="P777" i="2"/>
  <c r="P179" i="2"/>
  <c r="Q732" i="2"/>
  <c r="L626" i="2"/>
  <c r="Q278" i="2"/>
  <c r="U168" i="2"/>
  <c r="T909" i="2"/>
  <c r="O641" i="2"/>
  <c r="N641" i="2"/>
  <c r="P396" i="2"/>
  <c r="O396" i="2"/>
  <c r="L291" i="2"/>
  <c r="T131" i="2"/>
  <c r="Q469" i="2"/>
  <c r="P561" i="2"/>
  <c r="L532" i="2"/>
  <c r="R588" i="2"/>
  <c r="S295" i="2"/>
  <c r="P434" i="2"/>
  <c r="O413" i="2"/>
  <c r="T580" i="2"/>
  <c r="R647" i="2"/>
  <c r="M337" i="2"/>
  <c r="J413" i="2"/>
  <c r="K261" i="2"/>
  <c r="K263" i="2"/>
  <c r="P54" i="2"/>
  <c r="U138" i="2"/>
  <c r="L282" i="2"/>
  <c r="N358" i="2"/>
  <c r="S957" i="2"/>
  <c r="N742" i="2"/>
  <c r="T433" i="2"/>
  <c r="O501" i="2"/>
  <c r="O464" i="2"/>
  <c r="R515" i="2"/>
  <c r="R357" i="2"/>
  <c r="O97" i="2"/>
  <c r="T782" i="2"/>
  <c r="O430" i="2"/>
  <c r="J622" i="2"/>
  <c r="T394" i="2"/>
  <c r="Q434" i="2"/>
  <c r="N221" i="2"/>
  <c r="L116" i="2"/>
  <c r="U376" i="2"/>
  <c r="Q356" i="2"/>
  <c r="K822" i="2"/>
  <c r="M572" i="2"/>
  <c r="T318" i="2"/>
  <c r="U1751" i="2"/>
  <c r="S893" i="2"/>
  <c r="P1475" i="2"/>
  <c r="M1015" i="2"/>
  <c r="N1008" i="2"/>
  <c r="O662" i="2"/>
  <c r="P545" i="2"/>
  <c r="O1819" i="2"/>
  <c r="K737" i="2"/>
  <c r="J728" i="2"/>
  <c r="L1152" i="2"/>
  <c r="T791" i="2"/>
  <c r="T934" i="2"/>
  <c r="U884" i="2"/>
  <c r="P1027" i="2"/>
  <c r="P1302" i="2"/>
  <c r="S1497" i="2"/>
  <c r="K1395" i="2"/>
  <c r="U1319" i="2"/>
  <c r="K1180" i="2"/>
  <c r="Q790" i="2"/>
  <c r="O1060" i="2"/>
  <c r="T1080" i="2"/>
  <c r="O636" i="2"/>
  <c r="O716" i="2"/>
  <c r="Q264" i="2"/>
  <c r="T895" i="2"/>
  <c r="K703" i="2"/>
  <c r="S784" i="2"/>
  <c r="Q672" i="2"/>
  <c r="S274" i="2"/>
  <c r="R968" i="2"/>
  <c r="T736" i="2"/>
  <c r="P386" i="2"/>
  <c r="J960" i="2"/>
  <c r="Q692" i="2"/>
  <c r="Q735" i="2"/>
  <c r="J789" i="2"/>
  <c r="S740" i="2"/>
  <c r="N1026" i="2"/>
  <c r="Q788" i="2"/>
  <c r="O969" i="2"/>
  <c r="Q777" i="2"/>
  <c r="L742" i="2"/>
  <c r="U393" i="2"/>
  <c r="J402" i="2"/>
  <c r="P532" i="2"/>
  <c r="L482" i="2"/>
  <c r="T1332" i="2"/>
  <c r="R569" i="2"/>
  <c r="J811" i="2"/>
  <c r="P1222" i="2"/>
  <c r="S955" i="2"/>
  <c r="M1073" i="2"/>
  <c r="L580" i="2"/>
  <c r="T723" i="2"/>
  <c r="U349" i="2"/>
  <c r="R501" i="2"/>
  <c r="P440" i="2"/>
  <c r="O102" i="2"/>
  <c r="N668" i="2"/>
  <c r="N769" i="2"/>
  <c r="R468" i="2"/>
  <c r="J721" i="2"/>
  <c r="R573" i="2"/>
  <c r="M1186" i="2"/>
  <c r="Q954" i="2"/>
  <c r="J250" i="2"/>
  <c r="K826" i="2"/>
  <c r="N704" i="2"/>
  <c r="O515" i="2"/>
  <c r="Q940" i="2"/>
  <c r="Q731" i="2"/>
  <c r="R1005" i="2"/>
  <c r="J467" i="2"/>
  <c r="O693" i="2"/>
  <c r="M606" i="2"/>
  <c r="K646" i="2"/>
  <c r="R709" i="2"/>
  <c r="U345" i="2"/>
  <c r="M575" i="2"/>
  <c r="T610" i="2"/>
  <c r="U131" i="2"/>
  <c r="O1289" i="2"/>
  <c r="Q773" i="2"/>
  <c r="U764" i="2"/>
  <c r="O814" i="2"/>
  <c r="Q638" i="2"/>
  <c r="R523" i="2"/>
  <c r="J620" i="2"/>
  <c r="N671" i="2"/>
  <c r="P583" i="2"/>
  <c r="N861" i="2"/>
  <c r="M831" i="2"/>
  <c r="Q983" i="2"/>
  <c r="R1097" i="2"/>
  <c r="K608" i="2"/>
  <c r="J914" i="2"/>
  <c r="N422" i="2"/>
  <c r="O517" i="2"/>
  <c r="N697" i="2"/>
  <c r="J1557" i="2"/>
  <c r="R757" i="2"/>
  <c r="Q636" i="2"/>
  <c r="R694" i="2"/>
  <c r="S504" i="2"/>
  <c r="N822" i="2"/>
  <c r="K749" i="2"/>
  <c r="L502" i="2"/>
  <c r="K1408" i="2"/>
  <c r="U974" i="2"/>
  <c r="P877" i="2"/>
  <c r="U1848" i="2"/>
  <c r="O996" i="2"/>
  <c r="Q778" i="2"/>
  <c r="P868" i="2"/>
  <c r="L876" i="2"/>
  <c r="R565" i="2"/>
  <c r="P589" i="2"/>
  <c r="N1100" i="2"/>
  <c r="S1165" i="2"/>
  <c r="P1130" i="2"/>
  <c r="K968" i="2"/>
  <c r="O533" i="2"/>
  <c r="S1037" i="2"/>
  <c r="S1028" i="2"/>
  <c r="Q1222" i="2"/>
  <c r="N453" i="2"/>
  <c r="O337" i="2"/>
  <c r="R583" i="2"/>
  <c r="M1393" i="2"/>
  <c r="K481" i="2"/>
  <c r="M427" i="2"/>
  <c r="U683" i="2"/>
  <c r="J1445" i="2"/>
  <c r="O1136" i="2"/>
  <c r="L994" i="2"/>
  <c r="S1212" i="2"/>
  <c r="U1042" i="2"/>
  <c r="N835" i="2"/>
  <c r="K1084" i="2"/>
  <c r="J636" i="2"/>
  <c r="O774" i="2"/>
  <c r="K572" i="2"/>
  <c r="M709" i="2"/>
  <c r="K896" i="2"/>
  <c r="L877" i="2"/>
  <c r="U515" i="2"/>
  <c r="R28" i="2"/>
  <c r="O1280" i="2"/>
  <c r="S818" i="2"/>
  <c r="M948" i="2"/>
  <c r="O248" i="2"/>
  <c r="P636" i="2"/>
  <c r="M487" i="2"/>
  <c r="J466" i="2"/>
  <c r="R925" i="2"/>
  <c r="O714" i="2"/>
  <c r="P764" i="2"/>
  <c r="L531" i="2"/>
  <c r="S823" i="2"/>
  <c r="L673" i="2"/>
  <c r="O362" i="2"/>
  <c r="P435" i="2"/>
  <c r="K144" i="2"/>
  <c r="R655" i="2"/>
  <c r="K118" i="2"/>
  <c r="J821" i="2"/>
  <c r="R644" i="2"/>
  <c r="L762" i="2"/>
  <c r="S611" i="2"/>
  <c r="K579" i="2"/>
  <c r="U825" i="2"/>
  <c r="P601" i="2"/>
  <c r="L771" i="2"/>
  <c r="L711" i="2"/>
  <c r="Q329" i="2"/>
  <c r="S607" i="2"/>
  <c r="Q382" i="2"/>
  <c r="M64" i="2"/>
  <c r="Q1262" i="2"/>
  <c r="S632" i="2"/>
  <c r="S1074" i="2"/>
  <c r="O825" i="2"/>
  <c r="T975" i="2"/>
  <c r="J1069" i="2"/>
  <c r="U1114" i="2"/>
  <c r="T578" i="2"/>
  <c r="O633" i="2"/>
  <c r="J600" i="2"/>
  <c r="N488" i="2"/>
  <c r="Q962" i="2"/>
  <c r="Q613" i="2"/>
  <c r="O550" i="2"/>
  <c r="J1018" i="2"/>
  <c r="K435" i="2"/>
  <c r="L592" i="2"/>
  <c r="P1359" i="2"/>
  <c r="R606" i="2"/>
  <c r="R39" i="2"/>
  <c r="O379" i="2"/>
  <c r="P395" i="2"/>
  <c r="S1368" i="2"/>
  <c r="R1196" i="2"/>
  <c r="Q995" i="2"/>
  <c r="R499" i="2"/>
  <c r="Q791" i="2"/>
  <c r="J781" i="2"/>
  <c r="O386" i="2"/>
  <c r="T493" i="2"/>
  <c r="J424" i="2"/>
  <c r="J1291" i="2"/>
  <c r="R980" i="2"/>
  <c r="L1540" i="2"/>
  <c r="S723" i="2"/>
  <c r="J457" i="2"/>
  <c r="U589" i="2"/>
  <c r="T411" i="2"/>
  <c r="P652" i="2"/>
  <c r="T246" i="2"/>
  <c r="K1076" i="2"/>
  <c r="L855" i="2"/>
  <c r="R942" i="2"/>
  <c r="N792" i="2"/>
  <c r="L676" i="2"/>
  <c r="J501" i="2"/>
  <c r="M320" i="2"/>
  <c r="T815" i="2"/>
  <c r="P914" i="2"/>
  <c r="K841" i="2"/>
  <c r="P605" i="2"/>
  <c r="J1068" i="2"/>
  <c r="R1523" i="2"/>
  <c r="R519" i="2"/>
  <c r="P1551" i="2"/>
  <c r="L743" i="2"/>
  <c r="K550" i="2"/>
  <c r="K470" i="2"/>
  <c r="U330" i="2"/>
  <c r="O457" i="2"/>
  <c r="Q298" i="2"/>
  <c r="L26" i="2"/>
  <c r="S352" i="2"/>
  <c r="O196" i="2"/>
  <c r="T396" i="2"/>
  <c r="P450" i="2"/>
  <c r="R559" i="2"/>
  <c r="K850" i="2"/>
  <c r="J701" i="2"/>
  <c r="U703" i="2"/>
  <c r="O358" i="2"/>
  <c r="J771" i="2"/>
  <c r="S467" i="2"/>
  <c r="R296" i="2"/>
  <c r="R163" i="2"/>
  <c r="L1464" i="2"/>
  <c r="J1051" i="2"/>
  <c r="L1346" i="2"/>
  <c r="J983" i="2"/>
  <c r="K801" i="2"/>
  <c r="P860" i="2"/>
  <c r="S576" i="2"/>
  <c r="L1075" i="2"/>
  <c r="L748" i="2"/>
  <c r="U1353" i="2"/>
  <c r="N1417" i="2"/>
  <c r="R830" i="2"/>
  <c r="Q1016" i="2"/>
  <c r="M879" i="2"/>
  <c r="J1093" i="2"/>
  <c r="U759" i="2"/>
  <c r="O921" i="2"/>
  <c r="U648" i="2"/>
  <c r="O1082" i="2"/>
  <c r="J794" i="2"/>
  <c r="T891" i="2"/>
  <c r="L1324" i="2"/>
  <c r="M527" i="2"/>
  <c r="T387" i="2"/>
  <c r="N385" i="2"/>
  <c r="U624" i="2"/>
  <c r="J1218" i="2"/>
  <c r="N850" i="2"/>
  <c r="U647" i="2"/>
  <c r="K350" i="2"/>
  <c r="S1079" i="2"/>
  <c r="N940" i="2"/>
  <c r="K883" i="2"/>
  <c r="U645" i="2"/>
  <c r="J999" i="2"/>
  <c r="N1374" i="2"/>
  <c r="Q512" i="2"/>
  <c r="M1176" i="2"/>
  <c r="Q328" i="2"/>
  <c r="R476" i="2"/>
  <c r="Q388" i="2"/>
  <c r="U574" i="2"/>
  <c r="Q725" i="2"/>
  <c r="O427" i="2"/>
  <c r="T596" i="2"/>
  <c r="Q478" i="2"/>
  <c r="L61" i="2"/>
  <c r="J443" i="2"/>
  <c r="P866" i="2"/>
  <c r="L1211" i="2"/>
  <c r="Q536" i="2"/>
  <c r="L666" i="2"/>
  <c r="Q897" i="2"/>
  <c r="R884" i="2"/>
  <c r="M783" i="2"/>
  <c r="S552" i="2"/>
  <c r="O614" i="2"/>
  <c r="P1594" i="2"/>
  <c r="L635" i="2"/>
  <c r="M280" i="2"/>
  <c r="M1305" i="2"/>
  <c r="S863" i="2"/>
  <c r="K643" i="2"/>
  <c r="O1076" i="2"/>
  <c r="T840" i="2"/>
  <c r="O938" i="2"/>
  <c r="P852" i="2"/>
  <c r="L1098" i="2"/>
  <c r="L1800" i="2"/>
  <c r="T687" i="2"/>
  <c r="N814" i="2"/>
  <c r="J1096" i="2"/>
  <c r="T1108" i="2"/>
  <c r="O746" i="2"/>
  <c r="R448" i="2"/>
  <c r="P473" i="2"/>
  <c r="R1213" i="2"/>
  <c r="L505" i="2"/>
  <c r="J684" i="2"/>
  <c r="U425" i="2"/>
  <c r="Q206" i="2"/>
  <c r="P93" i="2"/>
  <c r="J828" i="2"/>
  <c r="J1237" i="2"/>
  <c r="S962" i="2"/>
  <c r="P610" i="2"/>
  <c r="J897" i="2"/>
  <c r="J545" i="2"/>
  <c r="L523" i="2"/>
  <c r="U817" i="2"/>
  <c r="R234" i="2"/>
  <c r="M681" i="2"/>
  <c r="P876" i="2"/>
  <c r="Q819" i="2"/>
  <c r="N1713" i="2"/>
  <c r="M1068" i="2"/>
  <c r="M460" i="2"/>
  <c r="P438" i="2"/>
  <c r="O1077" i="2"/>
  <c r="Q862" i="2"/>
  <c r="S283" i="2"/>
  <c r="L1280" i="2"/>
  <c r="U867" i="2"/>
  <c r="O832" i="2"/>
  <c r="J719" i="2"/>
  <c r="U903" i="2"/>
  <c r="N714" i="2"/>
  <c r="U1007" i="2"/>
  <c r="U700" i="2"/>
  <c r="N838" i="2"/>
  <c r="J988" i="2"/>
  <c r="Q700" i="2"/>
  <c r="P1241" i="2"/>
  <c r="R838" i="2"/>
  <c r="U543" i="2"/>
  <c r="N1392" i="2"/>
  <c r="R781" i="2"/>
  <c r="S681" i="2"/>
  <c r="U521" i="2"/>
  <c r="L476" i="2"/>
  <c r="O578" i="2"/>
  <c r="U721" i="2"/>
  <c r="K231" i="2"/>
  <c r="T504" i="2"/>
  <c r="N305" i="2"/>
  <c r="Q262" i="2"/>
  <c r="P40" i="2"/>
  <c r="O737" i="2"/>
  <c r="J589" i="2"/>
  <c r="O444" i="2"/>
  <c r="O421" i="2"/>
  <c r="P1122" i="2"/>
  <c r="O601" i="2"/>
  <c r="Q54" i="2"/>
  <c r="O225" i="2"/>
  <c r="R265" i="2"/>
  <c r="P225" i="2"/>
  <c r="O1110" i="2"/>
  <c r="P1050" i="2"/>
  <c r="S908" i="2"/>
  <c r="K1093" i="2"/>
  <c r="S1532" i="2"/>
  <c r="S757" i="2"/>
  <c r="N1071" i="2"/>
  <c r="N707" i="2"/>
  <c r="R445" i="2"/>
  <c r="T1207" i="2"/>
  <c r="L1127" i="2"/>
  <c r="R1069" i="2"/>
  <c r="J1132" i="2"/>
  <c r="Q967" i="2"/>
  <c r="P1127" i="2"/>
  <c r="U494" i="2"/>
  <c r="U1127" i="2"/>
  <c r="S909" i="2"/>
  <c r="M965" i="2"/>
  <c r="P965" i="2"/>
  <c r="Q978" i="2"/>
  <c r="T1031" i="2"/>
  <c r="Q558" i="2"/>
  <c r="U572" i="2"/>
  <c r="M713" i="2"/>
  <c r="S277" i="2"/>
  <c r="R826" i="2"/>
  <c r="P355" i="2"/>
  <c r="Q745" i="2"/>
  <c r="T695" i="2"/>
  <c r="L1275" i="2"/>
  <c r="U893" i="2"/>
  <c r="N573" i="2"/>
  <c r="O329" i="2"/>
  <c r="M631" i="2"/>
  <c r="O632" i="2"/>
  <c r="R911" i="2"/>
  <c r="N1106" i="2"/>
  <c r="O657" i="2"/>
  <c r="K600" i="2"/>
  <c r="P464" i="2"/>
  <c r="K882" i="2"/>
  <c r="K447" i="2"/>
  <c r="L730" i="2"/>
  <c r="N591" i="2"/>
  <c r="T478" i="2"/>
  <c r="R428" i="2"/>
  <c r="P346" i="2"/>
  <c r="N570" i="2"/>
  <c r="U1204" i="2"/>
  <c r="R608" i="2"/>
  <c r="T423" i="2"/>
  <c r="U910" i="2"/>
  <c r="Q865" i="2"/>
  <c r="K996" i="2"/>
  <c r="O619" i="2"/>
  <c r="R483" i="2"/>
  <c r="Q352" i="2"/>
  <c r="Q649" i="2"/>
  <c r="N142" i="2"/>
  <c r="U1195" i="2"/>
  <c r="N576" i="2"/>
  <c r="K461" i="2"/>
  <c r="S897" i="2"/>
  <c r="O535" i="2"/>
  <c r="U1116" i="2"/>
  <c r="T914" i="2"/>
  <c r="Q689" i="2"/>
  <c r="L611" i="2"/>
  <c r="T572" i="2"/>
  <c r="L895" i="2"/>
  <c r="J1677" i="2"/>
  <c r="R1083" i="2"/>
  <c r="Q693" i="2"/>
  <c r="Q371" i="2"/>
  <c r="T675" i="2"/>
  <c r="T543" i="2"/>
  <c r="O723" i="2"/>
  <c r="P427" i="2"/>
  <c r="Q491" i="2"/>
  <c r="P333" i="2"/>
  <c r="L301" i="2"/>
  <c r="O538" i="2"/>
  <c r="R873" i="2"/>
  <c r="N476" i="2"/>
  <c r="R698" i="2"/>
  <c r="S337" i="2"/>
  <c r="R611" i="2"/>
  <c r="S398" i="2"/>
  <c r="O488" i="2"/>
  <c r="N664" i="2"/>
  <c r="Q500" i="2"/>
  <c r="N1189" i="2"/>
  <c r="S664" i="2"/>
  <c r="O786" i="2"/>
  <c r="J585" i="2"/>
  <c r="O486" i="2"/>
  <c r="U832" i="2"/>
  <c r="S533" i="2"/>
  <c r="M421" i="2"/>
  <c r="O725" i="2"/>
  <c r="U948" i="2"/>
  <c r="S1863" i="2"/>
  <c r="R795" i="2"/>
  <c r="Q271" i="2"/>
  <c r="O883" i="2"/>
  <c r="S461" i="2"/>
  <c r="R400" i="2"/>
  <c r="O630" i="2"/>
  <c r="U911" i="2"/>
  <c r="Q845" i="2"/>
  <c r="M829" i="2"/>
  <c r="J1117" i="2"/>
  <c r="Q795" i="2"/>
  <c r="S625" i="2"/>
  <c r="M1113" i="2"/>
  <c r="T780" i="2"/>
  <c r="U971" i="2"/>
  <c r="T673" i="2"/>
  <c r="O245" i="2"/>
  <c r="N338" i="2"/>
  <c r="J691" i="2"/>
  <c r="T335" i="2"/>
  <c r="L472" i="2"/>
  <c r="M3" i="2"/>
  <c r="Q5" i="2"/>
  <c r="M200" i="2"/>
  <c r="Q631" i="2"/>
  <c r="T696" i="2"/>
  <c r="U576" i="2"/>
  <c r="Q674" i="2"/>
  <c r="R276" i="2"/>
  <c r="T495" i="2"/>
  <c r="Q203" i="2"/>
  <c r="P332" i="2"/>
  <c r="Q1714" i="2"/>
  <c r="Q1422" i="2"/>
  <c r="U1182" i="2"/>
  <c r="N1521" i="2"/>
  <c r="U729" i="2"/>
  <c r="S828" i="2"/>
  <c r="L1040" i="2"/>
  <c r="M980" i="2"/>
  <c r="T738" i="2"/>
  <c r="R762" i="2"/>
  <c r="Q802" i="2"/>
  <c r="P1091" i="2"/>
  <c r="L1101" i="2"/>
  <c r="P633" i="2"/>
  <c r="S960" i="2"/>
  <c r="U823" i="2"/>
  <c r="R1138" i="2"/>
  <c r="T929" i="2"/>
  <c r="N735" i="2"/>
  <c r="J1029" i="2"/>
  <c r="P1129" i="2"/>
  <c r="P554" i="2"/>
  <c r="R1256" i="2"/>
  <c r="M297" i="2"/>
  <c r="J459" i="2"/>
  <c r="O216" i="2"/>
  <c r="T742" i="2"/>
  <c r="S297" i="2"/>
  <c r="R577" i="2"/>
  <c r="K583" i="2"/>
  <c r="P869" i="2"/>
  <c r="O577" i="2"/>
  <c r="K500" i="2"/>
  <c r="T747" i="2"/>
  <c r="J190" i="2"/>
  <c r="Q665" i="2"/>
  <c r="Q937" i="2"/>
  <c r="R602" i="2"/>
  <c r="T637" i="2"/>
  <c r="M533" i="2"/>
  <c r="S1323" i="2"/>
  <c r="J551" i="2"/>
  <c r="U618" i="2"/>
  <c r="R1047" i="2"/>
  <c r="K908" i="2"/>
  <c r="N405" i="2"/>
  <c r="R637" i="2"/>
  <c r="T390" i="2"/>
  <c r="R707" i="2"/>
  <c r="R562" i="2"/>
  <c r="U873" i="2"/>
  <c r="M451" i="2"/>
  <c r="K759" i="2"/>
  <c r="S488" i="2"/>
  <c r="O599" i="2"/>
  <c r="L703" i="2"/>
  <c r="N567" i="2"/>
  <c r="S327" i="2"/>
  <c r="U642" i="2"/>
  <c r="K139" i="2"/>
  <c r="T1163" i="2"/>
  <c r="N885" i="2"/>
  <c r="O1002" i="2"/>
  <c r="S534" i="2"/>
  <c r="J516" i="2"/>
  <c r="S628" i="2"/>
  <c r="M637" i="2"/>
  <c r="O867" i="2"/>
  <c r="M793" i="2"/>
  <c r="O767" i="2"/>
  <c r="K587" i="2"/>
  <c r="M1262" i="2"/>
  <c r="P1190" i="2"/>
  <c r="R811" i="2"/>
  <c r="S1001" i="2"/>
  <c r="L675" i="2"/>
  <c r="R859" i="2"/>
  <c r="L826" i="2"/>
  <c r="O669" i="2"/>
  <c r="P397" i="2"/>
  <c r="R240" i="2"/>
  <c r="Q1079" i="2"/>
  <c r="U503" i="2"/>
  <c r="Q910" i="2"/>
  <c r="S951" i="2"/>
  <c r="O960" i="2"/>
  <c r="J844" i="2"/>
  <c r="O640" i="2"/>
  <c r="M955" i="2"/>
  <c r="L460" i="2"/>
  <c r="U615" i="2"/>
  <c r="U371" i="2"/>
  <c r="S789" i="2"/>
  <c r="N808" i="2"/>
  <c r="R725" i="2"/>
  <c r="K795" i="2"/>
  <c r="U568" i="2"/>
  <c r="L496" i="2"/>
  <c r="K496" i="2"/>
  <c r="K359" i="2"/>
  <c r="J468" i="2"/>
  <c r="N1137" i="2"/>
  <c r="Q1122" i="2"/>
  <c r="O989" i="2"/>
  <c r="Q1007" i="2"/>
  <c r="M574" i="2"/>
  <c r="O1053" i="2"/>
  <c r="R389" i="2"/>
  <c r="R841" i="2"/>
  <c r="J1144" i="2"/>
  <c r="J1671" i="2"/>
  <c r="P766" i="2"/>
  <c r="R880" i="2"/>
  <c r="R782" i="2"/>
  <c r="P565" i="2"/>
  <c r="S1226" i="2"/>
  <c r="U771" i="2"/>
  <c r="U1009" i="2"/>
  <c r="M385" i="2"/>
  <c r="M425" i="2"/>
  <c r="L315" i="2"/>
  <c r="U353" i="2"/>
  <c r="N133" i="2"/>
  <c r="Q196" i="2"/>
  <c r="R894" i="2"/>
  <c r="L452" i="2"/>
  <c r="P256" i="2"/>
  <c r="T1317" i="2"/>
  <c r="J512" i="2"/>
  <c r="O351" i="2"/>
  <c r="Q378" i="2"/>
  <c r="Q274" i="2"/>
  <c r="U313" i="2"/>
  <c r="S88" i="2"/>
  <c r="J153" i="2"/>
  <c r="M669" i="2"/>
  <c r="S332" i="2"/>
  <c r="S1273" i="2"/>
  <c r="T1767" i="2"/>
  <c r="L1254" i="2"/>
  <c r="L1048" i="2"/>
  <c r="M1189" i="2"/>
  <c r="P403" i="2"/>
  <c r="S880" i="2"/>
  <c r="O935" i="2"/>
  <c r="P834" i="2"/>
  <c r="J990" i="2"/>
  <c r="R892" i="2"/>
  <c r="T1213" i="2"/>
  <c r="Q905" i="2"/>
  <c r="K699" i="2"/>
  <c r="L924" i="2"/>
  <c r="J935" i="2"/>
  <c r="Q716" i="2"/>
  <c r="N1073" i="2"/>
  <c r="M978" i="2"/>
  <c r="M994" i="2"/>
  <c r="M786" i="2"/>
  <c r="R1287" i="2"/>
  <c r="Q769" i="2"/>
  <c r="J961" i="2"/>
  <c r="L98" i="2"/>
  <c r="S498" i="2"/>
  <c r="S524" i="2"/>
  <c r="Q383" i="2"/>
  <c r="J284" i="2"/>
  <c r="M856" i="2"/>
  <c r="O1242" i="2"/>
  <c r="T1590" i="2"/>
  <c r="O631" i="2"/>
  <c r="R340" i="2"/>
  <c r="N862" i="2"/>
  <c r="Q527" i="2"/>
  <c r="O655" i="2"/>
  <c r="S963" i="2"/>
  <c r="O845" i="2"/>
  <c r="P481" i="2"/>
  <c r="O1277" i="2"/>
  <c r="L647" i="2"/>
  <c r="U913" i="2"/>
  <c r="J563" i="2"/>
  <c r="R695" i="2"/>
  <c r="M87" i="2"/>
  <c r="M811" i="2"/>
  <c r="O694" i="2"/>
  <c r="R941" i="2"/>
  <c r="M619" i="2"/>
  <c r="S383" i="2"/>
  <c r="U361" i="2"/>
  <c r="S726" i="2"/>
  <c r="J729" i="2"/>
  <c r="Q666" i="2"/>
  <c r="M909" i="2"/>
  <c r="S615" i="2"/>
  <c r="S904" i="2"/>
  <c r="R596" i="2"/>
  <c r="Q641" i="2"/>
  <c r="M1591" i="2"/>
  <c r="Q1147" i="2"/>
  <c r="N660" i="2"/>
  <c r="J645" i="2"/>
  <c r="N766" i="2"/>
  <c r="S803" i="2"/>
  <c r="Q460" i="2"/>
  <c r="T605" i="2"/>
  <c r="Q709" i="2"/>
  <c r="M345" i="2"/>
  <c r="N489" i="2"/>
  <c r="O1218" i="2"/>
  <c r="J1395" i="2"/>
  <c r="M534" i="2"/>
  <c r="J627" i="2"/>
  <c r="M618" i="2"/>
  <c r="K510" i="2"/>
  <c r="Q652" i="2"/>
  <c r="O447" i="2"/>
  <c r="R31" i="2"/>
  <c r="K543" i="2"/>
  <c r="M706" i="2"/>
  <c r="J297" i="2"/>
  <c r="K875" i="2"/>
  <c r="M1134" i="2"/>
  <c r="O570" i="2"/>
  <c r="Q599" i="2"/>
  <c r="Q1055" i="2"/>
  <c r="L768" i="2"/>
  <c r="K556" i="2"/>
  <c r="O638" i="2"/>
  <c r="M1343" i="2"/>
  <c r="N939" i="2"/>
  <c r="U520" i="2"/>
  <c r="O552" i="2"/>
  <c r="P1005" i="2"/>
  <c r="L686" i="2"/>
  <c r="L466" i="2"/>
  <c r="Q515" i="2"/>
  <c r="U506" i="2"/>
  <c r="K574" i="2"/>
  <c r="O983" i="2"/>
  <c r="T1010" i="2"/>
  <c r="M464" i="2"/>
  <c r="J498" i="2"/>
  <c r="O968" i="2"/>
  <c r="P563" i="2"/>
  <c r="Q443" i="2"/>
  <c r="J543" i="2"/>
  <c r="S936" i="2"/>
  <c r="J885" i="2"/>
  <c r="K785" i="2"/>
  <c r="Q985" i="2"/>
  <c r="Q938" i="2"/>
  <c r="J668" i="2"/>
  <c r="P1309" i="2"/>
  <c r="M467" i="2"/>
  <c r="L773" i="2"/>
  <c r="U614" i="2"/>
  <c r="M367" i="2"/>
  <c r="L195" i="2"/>
  <c r="K448" i="2"/>
  <c r="O353" i="2"/>
  <c r="K142" i="2"/>
  <c r="S418" i="2"/>
  <c r="T1359" i="2"/>
  <c r="T1303" i="2"/>
  <c r="L809" i="2"/>
  <c r="L1244" i="2"/>
  <c r="T951" i="2"/>
  <c r="U637" i="2"/>
  <c r="U724" i="2"/>
  <c r="K1219" i="2"/>
  <c r="K598" i="2"/>
  <c r="S780" i="2"/>
  <c r="P699" i="2"/>
  <c r="N810" i="2"/>
  <c r="T1121" i="2"/>
  <c r="S624" i="2"/>
  <c r="R920" i="2"/>
  <c r="J1098" i="2"/>
  <c r="L1010" i="2"/>
  <c r="T1063" i="2"/>
  <c r="Q989" i="2"/>
  <c r="S1130" i="2"/>
  <c r="R731" i="2"/>
  <c r="T971" i="2"/>
  <c r="S866" i="2"/>
  <c r="J542" i="2"/>
  <c r="M208" i="2"/>
  <c r="U539" i="2"/>
  <c r="Q657" i="2"/>
  <c r="N363" i="2"/>
  <c r="N317" i="2"/>
  <c r="N376" i="2"/>
  <c r="M607" i="2"/>
  <c r="R909" i="2"/>
  <c r="Q594" i="2"/>
  <c r="U549" i="2"/>
  <c r="L671" i="2"/>
  <c r="S640" i="2"/>
  <c r="P740" i="2"/>
  <c r="N839" i="2"/>
  <c r="S720" i="2"/>
  <c r="T823" i="2"/>
  <c r="R1986" i="2"/>
  <c r="M796" i="2"/>
  <c r="N509" i="2"/>
  <c r="R635" i="2"/>
  <c r="U955" i="2"/>
  <c r="N176" i="2"/>
  <c r="Q261" i="2"/>
  <c r="T489" i="2"/>
  <c r="M945" i="2"/>
  <c r="O734" i="2"/>
  <c r="O343" i="2"/>
  <c r="S1451" i="2"/>
  <c r="K1035" i="2"/>
  <c r="Q726" i="2"/>
  <c r="O675" i="2"/>
  <c r="P646" i="2"/>
  <c r="R563" i="2"/>
  <c r="P1065" i="2"/>
  <c r="L588" i="2"/>
  <c r="T392" i="2"/>
  <c r="N1103" i="2"/>
  <c r="P892" i="2"/>
  <c r="R1094" i="2"/>
  <c r="N977" i="2"/>
  <c r="T1074" i="2"/>
  <c r="S694" i="2"/>
  <c r="S696" i="2"/>
  <c r="M493" i="2"/>
  <c r="L818" i="2"/>
  <c r="M625" i="2"/>
  <c r="U340" i="2"/>
  <c r="S1423" i="2"/>
  <c r="K1007" i="2"/>
  <c r="T735" i="2"/>
  <c r="J827" i="2"/>
  <c r="N621" i="2"/>
  <c r="L509" i="2"/>
  <c r="T709" i="2"/>
  <c r="O680" i="2"/>
  <c r="N42" i="2"/>
  <c r="Q919" i="2"/>
  <c r="T529" i="2"/>
  <c r="N545" i="2"/>
  <c r="N1161" i="2"/>
  <c r="T682" i="2"/>
  <c r="U975" i="2"/>
  <c r="P648" i="2"/>
  <c r="O580" i="2"/>
  <c r="U659" i="2"/>
  <c r="R517" i="2"/>
  <c r="M359" i="2"/>
  <c r="U1288" i="2"/>
  <c r="S778" i="2"/>
  <c r="M790" i="2"/>
  <c r="L799" i="2"/>
  <c r="T614" i="2"/>
  <c r="N342" i="2"/>
  <c r="L562" i="2"/>
  <c r="O749" i="2"/>
  <c r="L377" i="2"/>
  <c r="U397" i="2"/>
  <c r="M1414" i="2"/>
  <c r="S1896" i="2"/>
  <c r="U861" i="2"/>
  <c r="U563" i="2"/>
  <c r="K729" i="2"/>
  <c r="P405" i="2"/>
  <c r="L836" i="2"/>
  <c r="R274" i="2"/>
  <c r="O997" i="2"/>
  <c r="U1133" i="2"/>
  <c r="S792" i="2"/>
  <c r="T1330" i="2"/>
  <c r="J1089" i="2"/>
  <c r="J666" i="2"/>
  <c r="R1026" i="2"/>
  <c r="M567" i="2"/>
  <c r="P640" i="2"/>
  <c r="N314" i="2"/>
  <c r="P73" i="2"/>
  <c r="M59" i="2"/>
  <c r="K708" i="2"/>
  <c r="R160" i="2"/>
  <c r="R244" i="2"/>
  <c r="T65" i="2"/>
  <c r="M65" i="2"/>
  <c r="L433" i="2"/>
  <c r="Q519" i="2"/>
  <c r="U812" i="2"/>
  <c r="S477" i="2"/>
  <c r="J21" i="2"/>
  <c r="P514" i="2"/>
  <c r="R446" i="2"/>
  <c r="R120" i="2"/>
  <c r="K209" i="2"/>
  <c r="U737" i="2"/>
  <c r="O31" i="2"/>
  <c r="M892" i="2"/>
  <c r="P592" i="2"/>
  <c r="J554" i="2"/>
  <c r="O720" i="2"/>
  <c r="O1081" i="2"/>
  <c r="J617" i="2"/>
  <c r="M657" i="2"/>
  <c r="R539" i="2"/>
  <c r="R193" i="2"/>
  <c r="U661" i="2"/>
  <c r="N77" i="2"/>
  <c r="M85" i="2"/>
  <c r="U305" i="2"/>
  <c r="O211" i="2"/>
  <c r="M133" i="2"/>
  <c r="Q740" i="2"/>
  <c r="K427" i="2"/>
  <c r="J425" i="2"/>
  <c r="N372" i="2"/>
  <c r="L303" i="2"/>
  <c r="S307" i="2"/>
  <c r="K160" i="2"/>
  <c r="N53" i="2"/>
  <c r="K633" i="2"/>
  <c r="J569" i="2"/>
  <c r="L176" i="2"/>
  <c r="N127" i="2"/>
  <c r="R473" i="2"/>
  <c r="M388" i="2"/>
  <c r="R154" i="2"/>
  <c r="L47" i="2"/>
  <c r="T570" i="2"/>
  <c r="J690" i="2"/>
  <c r="M488" i="2"/>
  <c r="K1297" i="2"/>
  <c r="O1092" i="2"/>
  <c r="P1123" i="2"/>
  <c r="K995" i="2"/>
  <c r="U958" i="2"/>
  <c r="O708" i="2"/>
  <c r="J902" i="2"/>
  <c r="M561" i="2"/>
  <c r="Q828" i="2"/>
  <c r="T1106" i="2"/>
  <c r="L727" i="2"/>
  <c r="J1157" i="2"/>
  <c r="Q987" i="2"/>
  <c r="R1008" i="2"/>
  <c r="M953" i="2"/>
  <c r="K920" i="2"/>
  <c r="K1119" i="2"/>
  <c r="K941" i="2"/>
  <c r="R1075" i="2"/>
  <c r="J611" i="2"/>
  <c r="S594" i="2"/>
  <c r="J1423" i="2"/>
  <c r="N514" i="2"/>
  <c r="R829" i="2"/>
  <c r="M558" i="2"/>
  <c r="P201" i="2"/>
  <c r="T908" i="2"/>
  <c r="S445" i="2"/>
  <c r="R329" i="2"/>
  <c r="R593" i="2"/>
  <c r="L977" i="2"/>
  <c r="K444" i="2"/>
  <c r="L273" i="2"/>
  <c r="S697" i="2"/>
  <c r="J503" i="2"/>
  <c r="J1145" i="2"/>
  <c r="J385" i="2"/>
  <c r="L862" i="2"/>
  <c r="Q763" i="2"/>
  <c r="Q583" i="2"/>
  <c r="Q1420" i="2"/>
  <c r="R331" i="2"/>
  <c r="U898" i="2"/>
  <c r="R728" i="2"/>
  <c r="M336" i="2"/>
  <c r="S578" i="2"/>
  <c r="L4" i="2"/>
  <c r="Q125" i="2"/>
  <c r="U474" i="2"/>
  <c r="P1039" i="2"/>
  <c r="P838" i="2"/>
  <c r="O365" i="2"/>
  <c r="Q363" i="2"/>
  <c r="S903" i="2"/>
  <c r="L316" i="2"/>
  <c r="U1064" i="2"/>
  <c r="Q965" i="2"/>
  <c r="J441" i="2"/>
  <c r="J623" i="2"/>
  <c r="Q253" i="2"/>
  <c r="M1463" i="2"/>
  <c r="T622" i="2"/>
  <c r="P623" i="2"/>
  <c r="M584" i="2"/>
  <c r="N764" i="2"/>
  <c r="T901" i="2"/>
  <c r="R814" i="2"/>
  <c r="M654" i="2"/>
  <c r="S777" i="2"/>
  <c r="Q767" i="2"/>
  <c r="R755" i="2"/>
  <c r="N1365" i="2"/>
  <c r="K1114" i="2"/>
  <c r="K467" i="2"/>
  <c r="T834" i="2"/>
  <c r="P452" i="2"/>
  <c r="M715" i="2"/>
  <c r="R495" i="2"/>
  <c r="J483" i="2"/>
  <c r="K887" i="2"/>
  <c r="P581" i="2"/>
  <c r="M529" i="2"/>
  <c r="S139" i="2"/>
  <c r="P1077" i="2"/>
  <c r="L1058" i="2"/>
  <c r="S532" i="2"/>
  <c r="U765" i="2"/>
  <c r="R557" i="2"/>
  <c r="P691" i="2"/>
  <c r="L448" i="2"/>
  <c r="K794" i="2"/>
  <c r="T1038" i="2"/>
  <c r="U1020" i="2"/>
  <c r="P188" i="2"/>
  <c r="S794" i="2"/>
  <c r="O637" i="2"/>
  <c r="M485" i="2"/>
  <c r="J762" i="2"/>
  <c r="O588" i="2"/>
  <c r="U511" i="2"/>
  <c r="U108" i="2"/>
  <c r="S1117" i="2"/>
  <c r="J1104" i="2"/>
  <c r="J857" i="2"/>
  <c r="P686" i="2"/>
  <c r="K410" i="2"/>
  <c r="Q521" i="2"/>
  <c r="T721" i="2"/>
  <c r="K563" i="2"/>
  <c r="N596" i="2"/>
  <c r="R696" i="2"/>
  <c r="M1046" i="2"/>
  <c r="L1176" i="2"/>
  <c r="R929" i="2"/>
  <c r="K921" i="2"/>
  <c r="P814" i="2"/>
  <c r="K779" i="2"/>
  <c r="L391" i="2"/>
  <c r="S497" i="2"/>
  <c r="L478" i="2"/>
  <c r="J678" i="2"/>
  <c r="L805" i="2"/>
  <c r="L201" i="2"/>
  <c r="O382" i="2"/>
  <c r="K187" i="2"/>
  <c r="M111" i="2"/>
  <c r="U35" i="2"/>
  <c r="T565" i="2"/>
  <c r="N357" i="2"/>
  <c r="U439" i="2"/>
  <c r="O815" i="2"/>
  <c r="J739" i="2"/>
  <c r="K548" i="2"/>
  <c r="U967" i="2"/>
  <c r="R950" i="2"/>
  <c r="O980" i="2"/>
  <c r="M1606" i="2"/>
  <c r="K821" i="2"/>
  <c r="L869" i="2"/>
  <c r="K668" i="2"/>
  <c r="R1024" i="2"/>
  <c r="J488" i="2"/>
  <c r="T900" i="2"/>
  <c r="Q783" i="2"/>
  <c r="T800" i="2"/>
  <c r="N759" i="2"/>
  <c r="S1008" i="2"/>
  <c r="U928" i="2"/>
  <c r="P1292" i="2"/>
  <c r="O857" i="2"/>
  <c r="U628" i="2"/>
  <c r="S883" i="2"/>
  <c r="Q1289" i="2"/>
  <c r="K535" i="2"/>
  <c r="R1145" i="2"/>
  <c r="J677" i="2"/>
  <c r="M660" i="2"/>
  <c r="S877" i="2"/>
  <c r="R189" i="2"/>
  <c r="O560" i="2"/>
  <c r="R697" i="2"/>
  <c r="K744" i="2"/>
  <c r="T878" i="2"/>
  <c r="J612" i="2"/>
  <c r="T811" i="2"/>
  <c r="J296" i="2"/>
  <c r="U230" i="2"/>
  <c r="O726" i="2"/>
  <c r="R903" i="2"/>
  <c r="L483" i="2"/>
  <c r="N1484" i="2"/>
  <c r="T590" i="2"/>
  <c r="R657" i="2"/>
  <c r="M1028" i="2"/>
  <c r="P560" i="2"/>
  <c r="S714" i="2"/>
  <c r="T461" i="2"/>
  <c r="P687" i="2"/>
  <c r="U920" i="2"/>
  <c r="Q1057" i="2"/>
  <c r="U1896" i="2"/>
  <c r="U1505" i="2"/>
  <c r="K627" i="2"/>
  <c r="O775" i="2"/>
  <c r="T571" i="2"/>
  <c r="Q744" i="2"/>
  <c r="M957" i="2"/>
  <c r="O610" i="2"/>
  <c r="N677" i="2"/>
  <c r="P607" i="2"/>
  <c r="N392" i="2"/>
  <c r="L875" i="2"/>
  <c r="P734" i="2"/>
  <c r="P790" i="2"/>
  <c r="N513" i="2"/>
  <c r="U537" i="2"/>
  <c r="Q317" i="2"/>
  <c r="S998" i="2"/>
  <c r="J524" i="2"/>
  <c r="J840" i="2"/>
  <c r="K670" i="2"/>
  <c r="J724" i="2"/>
  <c r="R600" i="2"/>
  <c r="U391" i="2"/>
  <c r="L1000" i="2"/>
  <c r="O719" i="2"/>
  <c r="L216" i="2"/>
  <c r="L651" i="2"/>
  <c r="R872" i="2"/>
  <c r="K663" i="2"/>
  <c r="P845" i="2"/>
  <c r="N953" i="2"/>
  <c r="L283" i="2"/>
  <c r="Q577" i="2"/>
  <c r="M667" i="2"/>
  <c r="S643" i="2"/>
  <c r="R1029" i="2"/>
  <c r="P696" i="2"/>
  <c r="R1118" i="2"/>
  <c r="U540" i="2"/>
  <c r="J759" i="2"/>
  <c r="J750" i="2"/>
  <c r="J660" i="2"/>
  <c r="U550" i="2"/>
  <c r="J1524" i="2"/>
  <c r="N1207" i="2"/>
  <c r="U601" i="2"/>
  <c r="Q859" i="2"/>
  <c r="M587" i="2"/>
  <c r="T293" i="2"/>
  <c r="R406" i="2"/>
  <c r="M614" i="2"/>
  <c r="N665" i="2"/>
  <c r="K327" i="2"/>
  <c r="N903" i="2"/>
  <c r="U514" i="2"/>
  <c r="S838" i="2"/>
  <c r="O949" i="2"/>
  <c r="K445" i="2"/>
  <c r="S549" i="2"/>
  <c r="J810" i="2"/>
  <c r="N772" i="2"/>
  <c r="L705" i="2"/>
  <c r="Q872" i="2"/>
  <c r="T652" i="2"/>
  <c r="O827" i="2"/>
  <c r="O1178" i="2"/>
  <c r="K740" i="2"/>
  <c r="K1312" i="2"/>
  <c r="S769" i="2"/>
  <c r="J355" i="2"/>
  <c r="K211" i="2"/>
  <c r="K542" i="2"/>
  <c r="Q567" i="2"/>
  <c r="M426" i="2"/>
  <c r="Q250" i="2"/>
  <c r="Q25" i="2"/>
  <c r="M34" i="2"/>
  <c r="K81" i="2"/>
  <c r="R530" i="2"/>
  <c r="O721" i="2"/>
  <c r="K1823" i="2"/>
  <c r="K1542" i="2"/>
  <c r="S1024" i="2"/>
  <c r="N1280" i="2"/>
  <c r="K218" i="2"/>
  <c r="N1091" i="2"/>
  <c r="O592" i="2"/>
  <c r="L930" i="2"/>
  <c r="P524" i="2"/>
  <c r="R1352" i="2"/>
  <c r="K754" i="2"/>
  <c r="N991" i="2"/>
  <c r="U1033" i="2"/>
  <c r="R1137" i="2"/>
  <c r="Q1588" i="2"/>
  <c r="L819" i="2"/>
  <c r="Q462" i="2"/>
  <c r="K1330" i="2"/>
  <c r="K867" i="2"/>
  <c r="T1246" i="2"/>
  <c r="O656" i="2"/>
  <c r="S1138" i="2"/>
  <c r="N659" i="2"/>
  <c r="L362" i="2"/>
  <c r="M696" i="2"/>
  <c r="S1365" i="2"/>
  <c r="N895" i="2"/>
  <c r="N325" i="2"/>
  <c r="K489" i="2"/>
  <c r="U448" i="2"/>
  <c r="Q1158" i="2"/>
  <c r="N575" i="2"/>
  <c r="P417" i="2"/>
  <c r="U1139" i="2"/>
  <c r="N679" i="2"/>
  <c r="T287" i="2"/>
  <c r="U695" i="2"/>
  <c r="T1284" i="2"/>
  <c r="K835" i="2"/>
  <c r="T425" i="2"/>
  <c r="K847" i="2"/>
  <c r="P678" i="2"/>
  <c r="P952" i="2"/>
  <c r="K678" i="2"/>
  <c r="U395" i="2"/>
  <c r="Q570" i="2"/>
  <c r="U556" i="2"/>
  <c r="N1520" i="2"/>
  <c r="J859" i="2"/>
  <c r="U544" i="2"/>
  <c r="T317" i="2"/>
  <c r="N749" i="2"/>
  <c r="N1170" i="2"/>
  <c r="K1068" i="2"/>
  <c r="J587" i="2"/>
  <c r="R819" i="2"/>
  <c r="K368" i="2"/>
  <c r="P469" i="2"/>
  <c r="J643" i="2"/>
  <c r="K339" i="2"/>
  <c r="Q809" i="2"/>
  <c r="K671" i="2"/>
  <c r="K688" i="2"/>
  <c r="M277" i="2"/>
  <c r="R355" i="2"/>
  <c r="U1111" i="2"/>
  <c r="T984" i="2"/>
  <c r="J940" i="2"/>
  <c r="M509" i="2"/>
  <c r="T321" i="2"/>
  <c r="P906" i="2"/>
  <c r="L1399" i="2"/>
  <c r="M1214" i="2"/>
  <c r="Q946" i="2"/>
  <c r="L812" i="2"/>
  <c r="U430" i="2"/>
  <c r="Q411" i="2"/>
  <c r="Q544" i="2"/>
  <c r="N658" i="2"/>
  <c r="N531" i="2"/>
  <c r="U317" i="2"/>
  <c r="P325" i="2"/>
  <c r="T341" i="2"/>
  <c r="J920" i="2"/>
  <c r="T698" i="2"/>
  <c r="M735" i="2"/>
  <c r="N617" i="2"/>
  <c r="Q554" i="2"/>
  <c r="J1080" i="2"/>
  <c r="T626" i="2"/>
  <c r="J476" i="2"/>
  <c r="J1095" i="2"/>
  <c r="S1424" i="2"/>
  <c r="K758" i="2"/>
  <c r="O943" i="2"/>
  <c r="U727" i="2"/>
  <c r="T631" i="2"/>
  <c r="K354" i="2"/>
  <c r="N978" i="2"/>
  <c r="S389" i="2"/>
  <c r="Q932" i="2"/>
  <c r="L1551" i="2"/>
  <c r="Q741" i="2"/>
  <c r="Q722" i="2"/>
  <c r="L551" i="2"/>
  <c r="T442" i="2"/>
  <c r="Q754" i="2"/>
  <c r="S458" i="2"/>
  <c r="Q1850" i="2"/>
  <c r="S1070" i="2"/>
  <c r="S874" i="2"/>
  <c r="M486" i="2"/>
  <c r="T931" i="2"/>
  <c r="T1003" i="2"/>
  <c r="S735" i="2"/>
  <c r="P999" i="2"/>
  <c r="U941" i="2"/>
  <c r="P1100" i="2"/>
  <c r="U531" i="2"/>
  <c r="J325" i="2"/>
  <c r="R5" i="2"/>
  <c r="L213" i="2"/>
  <c r="Q118" i="2"/>
  <c r="J224" i="2"/>
  <c r="K71" i="2"/>
  <c r="M289" i="2"/>
  <c r="T167" i="2"/>
  <c r="T991" i="2"/>
  <c r="O727" i="2"/>
  <c r="P682" i="2"/>
  <c r="L280" i="2"/>
  <c r="P466" i="2"/>
  <c r="R179" i="2"/>
  <c r="N106" i="2"/>
  <c r="Q1012" i="2"/>
  <c r="T1375" i="2"/>
  <c r="U1004" i="2"/>
  <c r="M1264" i="2"/>
  <c r="Q309" i="2"/>
  <c r="T1095" i="2"/>
  <c r="U497" i="2"/>
  <c r="Q863" i="2"/>
  <c r="R286" i="2"/>
  <c r="J872" i="2"/>
  <c r="S637" i="2"/>
  <c r="T1123" i="2"/>
  <c r="N487" i="2"/>
  <c r="K907" i="2"/>
  <c r="J1728" i="2"/>
  <c r="S954" i="2"/>
  <c r="T972" i="2"/>
  <c r="T1196" i="2"/>
  <c r="M854" i="2"/>
  <c r="U1556" i="2"/>
  <c r="T557" i="2"/>
  <c r="O703" i="2"/>
  <c r="Q546" i="2"/>
  <c r="U512" i="2"/>
  <c r="N902" i="2"/>
  <c r="L1691" i="2"/>
  <c r="R1057" i="2"/>
  <c r="N583" i="2"/>
  <c r="Q341" i="2"/>
  <c r="T464" i="2"/>
  <c r="J742" i="2"/>
  <c r="O763" i="2"/>
  <c r="R619" i="2"/>
  <c r="J916" i="2"/>
  <c r="M789" i="2"/>
  <c r="N539" i="2"/>
  <c r="S490" i="2"/>
  <c r="M767" i="2"/>
  <c r="Q752" i="2"/>
  <c r="J308" i="2"/>
  <c r="J994" i="2"/>
  <c r="Q685" i="2"/>
  <c r="R789" i="2"/>
  <c r="O765" i="2"/>
  <c r="P286" i="2"/>
  <c r="S206" i="2"/>
  <c r="U532" i="2"/>
  <c r="T979" i="2"/>
  <c r="U705" i="2"/>
  <c r="N1109" i="2"/>
  <c r="U427" i="2"/>
  <c r="R597" i="2"/>
  <c r="K1353" i="2"/>
  <c r="S1145" i="2"/>
  <c r="T655" i="2"/>
  <c r="U793" i="2"/>
  <c r="L2026" i="2"/>
  <c r="M1296" i="2"/>
  <c r="N623" i="2"/>
  <c r="T546" i="2"/>
  <c r="L842" i="2"/>
  <c r="M513" i="2"/>
  <c r="S737" i="2"/>
  <c r="T581" i="2"/>
  <c r="Q1578" i="2"/>
  <c r="K855" i="2"/>
  <c r="L758" i="2"/>
  <c r="P807" i="2"/>
  <c r="K803" i="2"/>
  <c r="T451" i="2"/>
  <c r="J522" i="2"/>
  <c r="S916" i="2"/>
  <c r="S782" i="2"/>
  <c r="P809" i="2"/>
  <c r="L820" i="2"/>
  <c r="Q592" i="2"/>
  <c r="S493" i="2"/>
  <c r="L276" i="2"/>
  <c r="T664" i="2"/>
  <c r="P130" i="2"/>
  <c r="S48" i="2"/>
  <c r="M357" i="2"/>
  <c r="N500" i="2"/>
  <c r="R921" i="2"/>
  <c r="S860" i="2"/>
  <c r="U772" i="2"/>
  <c r="U742" i="2"/>
  <c r="N754" i="2"/>
  <c r="M583" i="2"/>
  <c r="M563" i="2"/>
  <c r="O391" i="2"/>
  <c r="L1204" i="2"/>
  <c r="T904" i="2"/>
  <c r="N524" i="2"/>
  <c r="U780" i="2"/>
  <c r="L511" i="2"/>
  <c r="L894" i="2"/>
  <c r="M1101" i="2"/>
  <c r="R194" i="2"/>
  <c r="S562" i="2"/>
  <c r="M655" i="2"/>
  <c r="J741" i="2"/>
  <c r="O837" i="2"/>
  <c r="R686" i="2"/>
  <c r="J835" i="2"/>
  <c r="N633" i="2"/>
  <c r="Q440" i="2"/>
  <c r="S447" i="2"/>
  <c r="R1323" i="2"/>
  <c r="T657" i="2"/>
  <c r="S647" i="2"/>
  <c r="N868" i="2"/>
  <c r="O842" i="2"/>
  <c r="S662" i="2"/>
  <c r="P1043" i="2"/>
  <c r="Q1072" i="2"/>
  <c r="R715" i="2"/>
  <c r="S197" i="2"/>
  <c r="S515" i="2"/>
  <c r="J880" i="2"/>
  <c r="S689" i="2"/>
  <c r="J302" i="2"/>
  <c r="M42" i="2"/>
  <c r="S166" i="2"/>
  <c r="N391" i="2"/>
  <c r="T123" i="2"/>
  <c r="N66" i="2"/>
  <c r="S1345" i="2"/>
  <c r="U1297" i="2"/>
  <c r="Q608" i="2"/>
  <c r="R917" i="2"/>
  <c r="P597" i="2"/>
  <c r="O748" i="2"/>
  <c r="R1125" i="2"/>
  <c r="K610" i="2"/>
  <c r="R998" i="2"/>
  <c r="U991" i="2"/>
  <c r="U986" i="2"/>
  <c r="J931" i="2"/>
  <c r="N760" i="2"/>
  <c r="K1252" i="2"/>
  <c r="N1153" i="2"/>
  <c r="P802" i="2"/>
  <c r="U917" i="2"/>
  <c r="U1085" i="2"/>
  <c r="M1143" i="2"/>
  <c r="S1174" i="2"/>
  <c r="U1102" i="2"/>
  <c r="O853" i="2"/>
  <c r="N473" i="2"/>
  <c r="K1367" i="2"/>
  <c r="Q372" i="2"/>
  <c r="P1230" i="2"/>
  <c r="R485" i="2"/>
  <c r="U335" i="2"/>
  <c r="O469" i="2"/>
  <c r="M101" i="2"/>
  <c r="S468" i="2"/>
  <c r="Q1042" i="2"/>
  <c r="L834" i="2"/>
  <c r="T879" i="2"/>
  <c r="R823" i="2"/>
  <c r="O648" i="2"/>
  <c r="P1398" i="2"/>
  <c r="Q635" i="2"/>
  <c r="R488" i="2"/>
  <c r="L814" i="2"/>
  <c r="L802" i="2"/>
  <c r="N780" i="2"/>
  <c r="S651" i="2"/>
  <c r="P345" i="2"/>
  <c r="L972" i="2"/>
  <c r="K616" i="2"/>
  <c r="Q308" i="2"/>
  <c r="S1465" i="2"/>
  <c r="O480" i="2"/>
  <c r="P1147" i="2"/>
  <c r="S746" i="2"/>
  <c r="K399" i="2"/>
  <c r="P1327" i="2"/>
  <c r="K1100" i="2"/>
  <c r="Q907" i="2"/>
  <c r="S1050" i="2"/>
  <c r="J484" i="2"/>
  <c r="K722" i="2"/>
  <c r="Q173" i="2"/>
  <c r="M680" i="2"/>
  <c r="J737" i="2"/>
  <c r="P1099" i="2"/>
  <c r="P944" i="2"/>
  <c r="L954" i="2"/>
  <c r="P776" i="2"/>
  <c r="U613" i="2"/>
  <c r="N1085" i="2"/>
  <c r="S1088" i="2"/>
  <c r="S764" i="2"/>
  <c r="O1014" i="2"/>
  <c r="P310" i="2"/>
  <c r="S573" i="2"/>
  <c r="T911" i="2"/>
  <c r="U541" i="2"/>
  <c r="M400" i="2"/>
  <c r="M93" i="2"/>
  <c r="L1007" i="2"/>
  <c r="R877" i="2"/>
  <c r="T777" i="2"/>
  <c r="U464" i="2"/>
  <c r="U577" i="2"/>
  <c r="P1207" i="2"/>
  <c r="K473" i="2"/>
  <c r="N1097" i="2"/>
  <c r="R664" i="2"/>
  <c r="T745" i="2"/>
  <c r="J372" i="2"/>
  <c r="T1271" i="2"/>
  <c r="M586" i="2"/>
  <c r="J1059" i="2"/>
  <c r="R1468" i="2"/>
  <c r="U944" i="2"/>
  <c r="P862" i="2"/>
  <c r="P156" i="2"/>
  <c r="P668" i="2"/>
  <c r="U633" i="2"/>
  <c r="T711" i="2"/>
  <c r="K974" i="2"/>
  <c r="O950" i="2"/>
  <c r="O519" i="2"/>
  <c r="T561" i="2"/>
  <c r="M456" i="2"/>
  <c r="P1028" i="2"/>
  <c r="J943" i="2"/>
  <c r="M514" i="2"/>
  <c r="T306" i="2"/>
  <c r="R385" i="2"/>
  <c r="M108" i="2"/>
  <c r="U325" i="2"/>
  <c r="P350" i="2"/>
  <c r="J1172" i="2"/>
  <c r="M761" i="2"/>
  <c r="J346" i="2"/>
  <c r="R670" i="2"/>
  <c r="J747" i="2"/>
  <c r="P974" i="2"/>
  <c r="N920" i="2"/>
  <c r="T734" i="2"/>
  <c r="T1148" i="2"/>
  <c r="O68" i="2"/>
  <c r="T194" i="2"/>
  <c r="R370" i="2"/>
  <c r="J504" i="2"/>
  <c r="P895" i="2"/>
  <c r="N7" i="2"/>
  <c r="P916" i="2"/>
  <c r="N678" i="2"/>
  <c r="L156" i="2"/>
  <c r="L662" i="2"/>
  <c r="J663" i="2"/>
  <c r="P542" i="2"/>
  <c r="Q523" i="2"/>
  <c r="K511" i="2"/>
  <c r="M104" i="2"/>
  <c r="U732" i="2"/>
  <c r="K128" i="2"/>
  <c r="S706" i="2"/>
  <c r="P543" i="2"/>
  <c r="U460" i="2"/>
  <c r="K775" i="2"/>
  <c r="O702" i="2"/>
  <c r="J790" i="2"/>
  <c r="M74" i="2"/>
  <c r="P586" i="2"/>
  <c r="L689" i="2"/>
  <c r="T650" i="2"/>
  <c r="Q48" i="2"/>
  <c r="Q56" i="2"/>
  <c r="U992" i="2"/>
  <c r="R1146" i="2"/>
  <c r="K508" i="2"/>
  <c r="R1133" i="2"/>
  <c r="Q281" i="2"/>
  <c r="O525" i="2"/>
  <c r="L200" i="2"/>
  <c r="T202" i="2"/>
  <c r="R350" i="2"/>
  <c r="M1302" i="2"/>
  <c r="U821" i="2"/>
  <c r="R732" i="2"/>
  <c r="K823" i="2"/>
  <c r="N390" i="2"/>
  <c r="S1090" i="2"/>
  <c r="M181" i="2"/>
  <c r="K437" i="2"/>
  <c r="J1010" i="2"/>
  <c r="R1375" i="2"/>
  <c r="J322" i="2"/>
  <c r="T524" i="2"/>
  <c r="J787" i="2"/>
  <c r="R128" i="2"/>
  <c r="K505" i="2"/>
  <c r="M410" i="2"/>
  <c r="P437" i="2"/>
  <c r="K486" i="2"/>
  <c r="N457" i="2"/>
  <c r="K602" i="2"/>
  <c r="U644" i="2"/>
  <c r="N407" i="2"/>
  <c r="O373" i="2"/>
  <c r="N348" i="2"/>
  <c r="U310" i="2"/>
  <c r="P210" i="2"/>
  <c r="S151" i="2"/>
  <c r="L656" i="2"/>
  <c r="T166" i="2"/>
  <c r="Q29" i="2"/>
  <c r="U407" i="2"/>
  <c r="J105" i="2"/>
  <c r="Q221" i="2"/>
  <c r="R1440" i="2"/>
  <c r="K95" i="2"/>
  <c r="O575" i="2"/>
  <c r="T102" i="2"/>
  <c r="Q128" i="2"/>
  <c r="P377" i="2"/>
  <c r="U555" i="2"/>
  <c r="R275" i="2"/>
  <c r="U36" i="2"/>
  <c r="O161" i="2"/>
  <c r="P461" i="2"/>
  <c r="U455" i="2"/>
  <c r="N111" i="2"/>
  <c r="P549" i="2"/>
  <c r="K310" i="2"/>
  <c r="Q293" i="2"/>
  <c r="U240" i="2"/>
  <c r="N408" i="2"/>
  <c r="K60" i="2"/>
  <c r="K863" i="2"/>
  <c r="Q276" i="2"/>
  <c r="T771" i="2"/>
  <c r="J417" i="2"/>
  <c r="P25" i="2"/>
  <c r="N251" i="2"/>
  <c r="J448" i="2"/>
  <c r="K105" i="2"/>
  <c r="U274" i="2"/>
  <c r="P260" i="2"/>
  <c r="K393" i="2"/>
  <c r="K346" i="2"/>
  <c r="T184" i="2"/>
  <c r="T316" i="2"/>
  <c r="Q310" i="2"/>
  <c r="S69" i="2"/>
  <c r="O508" i="2"/>
  <c r="O446" i="2"/>
  <c r="M364" i="2"/>
  <c r="R513" i="2"/>
  <c r="U435" i="2"/>
  <c r="J59" i="2"/>
  <c r="O136" i="2"/>
  <c r="T130" i="2"/>
  <c r="K1105" i="2"/>
  <c r="T470" i="2"/>
  <c r="S650" i="2"/>
  <c r="P785" i="2"/>
  <c r="S201" i="2"/>
  <c r="N19" i="2"/>
  <c r="R138" i="2"/>
  <c r="U639" i="2"/>
  <c r="T917" i="2"/>
  <c r="S138" i="2"/>
  <c r="Q480" i="2"/>
  <c r="M432" i="2"/>
  <c r="L36" i="2"/>
  <c r="N141" i="2"/>
  <c r="J489" i="2"/>
  <c r="J156" i="2"/>
  <c r="N232" i="2"/>
  <c r="L131" i="2"/>
  <c r="L596" i="2"/>
  <c r="J568" i="2"/>
  <c r="J329" i="2"/>
  <c r="S555" i="2"/>
  <c r="M17" i="2"/>
  <c r="L50" i="2"/>
  <c r="Q78" i="2"/>
  <c r="L245" i="2"/>
  <c r="Q357" i="2"/>
  <c r="J911" i="2"/>
  <c r="S354" i="2"/>
  <c r="R416" i="2"/>
  <c r="P667" i="2"/>
  <c r="L400" i="2"/>
  <c r="J353" i="2"/>
  <c r="R25" i="2"/>
  <c r="S518" i="2"/>
  <c r="Q687" i="2"/>
  <c r="O460" i="2"/>
  <c r="O17" i="2"/>
  <c r="Q209" i="2"/>
  <c r="S888" i="2"/>
  <c r="R500" i="2"/>
  <c r="L85" i="2"/>
  <c r="T113" i="2"/>
  <c r="O273" i="2"/>
  <c r="T161" i="2"/>
  <c r="P272" i="2"/>
  <c r="K66" i="2"/>
  <c r="J36" i="2"/>
  <c r="M407" i="2"/>
  <c r="N279" i="2"/>
  <c r="Q4" i="2"/>
  <c r="P571" i="2"/>
  <c r="P236" i="2"/>
  <c r="M172" i="2"/>
  <c r="S864" i="2"/>
  <c r="S136" i="2"/>
  <c r="O131" i="2"/>
  <c r="S371" i="2"/>
  <c r="T51" i="2"/>
  <c r="T427" i="2"/>
  <c r="Q27" i="2"/>
  <c r="S184" i="2"/>
  <c r="K258" i="2"/>
  <c r="T52" i="2"/>
  <c r="K154" i="2"/>
  <c r="K150" i="2"/>
  <c r="O269" i="2"/>
  <c r="L33" i="2"/>
  <c r="P229" i="2"/>
  <c r="R141" i="2"/>
  <c r="M153" i="2"/>
  <c r="U386" i="2"/>
  <c r="M139" i="2"/>
  <c r="U337" i="2"/>
  <c r="N421" i="2"/>
  <c r="N318" i="2"/>
  <c r="M420" i="2"/>
  <c r="Q272" i="2"/>
  <c r="N137" i="2"/>
  <c r="O394" i="2"/>
  <c r="Q342" i="2"/>
  <c r="U456" i="2"/>
  <c r="U329" i="2"/>
  <c r="N20" i="2"/>
  <c r="Q123" i="2"/>
  <c r="K94" i="2"/>
  <c r="R245" i="2"/>
  <c r="L124" i="2"/>
  <c r="P509" i="2"/>
  <c r="K59" i="2"/>
  <c r="O157" i="2"/>
  <c r="Q51" i="2"/>
  <c r="P460" i="2"/>
  <c r="N517" i="2"/>
  <c r="R310" i="2"/>
  <c r="T115" i="2"/>
  <c r="N166" i="2"/>
  <c r="O89" i="2"/>
  <c r="K140" i="2"/>
  <c r="P129" i="2"/>
  <c r="P257" i="2"/>
  <c r="N565" i="2"/>
  <c r="P153" i="2"/>
  <c r="J128" i="2"/>
  <c r="R584" i="2"/>
  <c r="S340" i="2"/>
  <c r="U181" i="2"/>
  <c r="N249" i="2"/>
  <c r="S119" i="2"/>
  <c r="K43" i="2"/>
  <c r="M685" i="2"/>
  <c r="K446" i="2"/>
  <c r="T41" i="2"/>
  <c r="R173" i="2"/>
  <c r="J46" i="2"/>
  <c r="S60" i="2"/>
  <c r="P70" i="2"/>
  <c r="K188" i="2"/>
  <c r="S298" i="2"/>
  <c r="M78" i="2"/>
  <c r="T139" i="2"/>
  <c r="N530" i="2"/>
  <c r="Q285" i="2"/>
  <c r="O691" i="2"/>
  <c r="K336" i="2"/>
  <c r="R33" i="2"/>
  <c r="T70" i="2"/>
  <c r="Q104" i="2"/>
  <c r="M492" i="2"/>
  <c r="T100" i="2"/>
  <c r="L324" i="2"/>
  <c r="L165" i="2"/>
  <c r="O295" i="2"/>
  <c r="O179" i="2"/>
  <c r="T708" i="2"/>
  <c r="T59" i="2"/>
  <c r="T7" i="2"/>
  <c r="U612" i="2"/>
  <c r="P1444" i="2"/>
  <c r="K886" i="2"/>
  <c r="P800" i="2"/>
  <c r="O507" i="2"/>
  <c r="K679" i="2"/>
  <c r="M704" i="2"/>
  <c r="K895" i="2"/>
  <c r="K390" i="2"/>
  <c r="O797" i="2"/>
  <c r="S155" i="2"/>
  <c r="L327" i="2"/>
  <c r="P442" i="2"/>
  <c r="L408" i="2"/>
  <c r="K343" i="2"/>
  <c r="K400" i="2"/>
  <c r="P1017" i="2"/>
  <c r="N470" i="2"/>
  <c r="N475" i="2"/>
  <c r="L453" i="2"/>
  <c r="M720" i="2"/>
  <c r="L1050" i="2"/>
  <c r="L943" i="2"/>
  <c r="K1265" i="2"/>
  <c r="S602" i="2"/>
  <c r="O459" i="2"/>
  <c r="Q988" i="2"/>
  <c r="P1157" i="2"/>
  <c r="U621" i="2"/>
  <c r="U526" i="2"/>
  <c r="K1109" i="2"/>
  <c r="O742" i="2"/>
  <c r="N622" i="2"/>
  <c r="P281" i="2"/>
  <c r="N1096" i="2"/>
  <c r="U368" i="2"/>
  <c r="U1108" i="2"/>
  <c r="O679" i="2"/>
  <c r="M737" i="2"/>
  <c r="Q550" i="2"/>
  <c r="O359" i="2"/>
  <c r="R298" i="2"/>
  <c r="K694" i="2"/>
  <c r="Q676" i="2"/>
  <c r="T326" i="2"/>
  <c r="Q359" i="2"/>
  <c r="K432" i="2"/>
  <c r="O424" i="2"/>
  <c r="Q90" i="2"/>
  <c r="R6" i="2"/>
  <c r="R904" i="2"/>
  <c r="L576" i="2"/>
  <c r="O851" i="2"/>
  <c r="U744" i="2"/>
  <c r="S463" i="2"/>
  <c r="U664" i="2"/>
  <c r="S636" i="2"/>
  <c r="Q520" i="2"/>
  <c r="U304" i="2"/>
  <c r="U389" i="2"/>
  <c r="U302" i="2"/>
  <c r="T403" i="2"/>
  <c r="N614" i="2"/>
  <c r="K674" i="2"/>
  <c r="S209" i="2"/>
  <c r="J594" i="2"/>
  <c r="U281" i="2"/>
  <c r="M791" i="2"/>
  <c r="Q1295" i="2"/>
  <c r="M668" i="2"/>
  <c r="J626" i="2"/>
  <c r="S433" i="2"/>
  <c r="U222" i="2"/>
  <c r="P42" i="2"/>
  <c r="K65" i="2"/>
  <c r="N123" i="2"/>
  <c r="P951" i="2"/>
  <c r="O363" i="2"/>
  <c r="K178" i="2"/>
  <c r="P937" i="2"/>
  <c r="Q430" i="2"/>
  <c r="R412" i="2"/>
  <c r="J88" i="2"/>
  <c r="N602" i="2"/>
  <c r="Q403" i="2"/>
  <c r="R395" i="2"/>
  <c r="N732" i="2"/>
  <c r="T701" i="2"/>
  <c r="T484" i="2"/>
  <c r="K1341" i="2"/>
  <c r="N262" i="2"/>
  <c r="S812" i="2"/>
  <c r="M1142" i="2"/>
  <c r="P317" i="2"/>
  <c r="S855" i="2"/>
  <c r="Q223" i="2"/>
  <c r="T244" i="2"/>
  <c r="J670" i="2"/>
  <c r="S454" i="2"/>
  <c r="K499" i="2"/>
  <c r="J614" i="2"/>
  <c r="K226" i="2"/>
  <c r="P973" i="2"/>
  <c r="Q614" i="2"/>
  <c r="T882" i="2"/>
  <c r="M245" i="2"/>
  <c r="N1093" i="2"/>
  <c r="T295" i="2"/>
  <c r="Q886" i="2"/>
  <c r="K468" i="2"/>
  <c r="P303" i="2"/>
  <c r="L1296" i="2"/>
  <c r="J557" i="2"/>
  <c r="R293" i="2"/>
  <c r="O717" i="2"/>
  <c r="P416" i="2"/>
  <c r="U945" i="2"/>
  <c r="O30" i="2"/>
  <c r="J112" i="2"/>
  <c r="J333" i="2"/>
  <c r="U673" i="2"/>
  <c r="T193" i="2"/>
  <c r="L52" i="2"/>
  <c r="R57" i="2"/>
  <c r="L341" i="2"/>
  <c r="R106" i="2"/>
  <c r="N115" i="2"/>
  <c r="N321" i="2"/>
  <c r="N231" i="2"/>
  <c r="P92" i="2"/>
  <c r="J527" i="2"/>
  <c r="L314" i="2"/>
  <c r="R261" i="2"/>
  <c r="J164" i="2"/>
  <c r="L142" i="2"/>
  <c r="U152" i="2"/>
  <c r="L258" i="2"/>
  <c r="M228" i="2"/>
  <c r="O38" i="2"/>
  <c r="T249" i="2"/>
  <c r="T699" i="2"/>
  <c r="T706" i="2"/>
  <c r="N220" i="2"/>
  <c r="U332" i="2"/>
  <c r="N555" i="2"/>
  <c r="R367" i="2"/>
  <c r="Q18" i="2"/>
  <c r="O374" i="2"/>
  <c r="S17" i="2"/>
  <c r="S711" i="2"/>
  <c r="O543" i="2"/>
  <c r="K175" i="2"/>
  <c r="O79" i="2"/>
  <c r="U69" i="2"/>
  <c r="R558" i="2"/>
  <c r="J465" i="2"/>
  <c r="T141" i="2"/>
  <c r="R34" i="2"/>
  <c r="T186" i="2"/>
  <c r="L723" i="2"/>
  <c r="U669" i="2"/>
  <c r="T452" i="2"/>
  <c r="O160" i="2"/>
  <c r="J393" i="2"/>
  <c r="O170" i="2"/>
  <c r="R337" i="2"/>
  <c r="P697" i="2"/>
  <c r="T577" i="2"/>
  <c r="M241" i="2"/>
  <c r="O156" i="2"/>
  <c r="K333" i="2"/>
  <c r="K203" i="2"/>
  <c r="P29" i="2"/>
  <c r="L784" i="2"/>
  <c r="J18" i="2"/>
  <c r="J337" i="2"/>
  <c r="J15" i="2"/>
  <c r="U220" i="2"/>
  <c r="J299" i="2"/>
  <c r="J427" i="2"/>
  <c r="K451" i="2"/>
  <c r="N520" i="2"/>
  <c r="L95" i="2"/>
  <c r="R54" i="2"/>
  <c r="O429" i="2"/>
  <c r="L251" i="2"/>
  <c r="L10" i="2"/>
  <c r="P501" i="2"/>
  <c r="N686" i="2"/>
  <c r="J73" i="2"/>
  <c r="O383" i="2"/>
  <c r="R408" i="2"/>
  <c r="U275" i="2"/>
  <c r="R229" i="2"/>
  <c r="P119" i="2"/>
  <c r="P221" i="2"/>
  <c r="M122" i="2"/>
  <c r="N29" i="2"/>
  <c r="K394" i="2"/>
  <c r="K654" i="2"/>
  <c r="U622" i="2"/>
  <c r="Q581" i="2"/>
  <c r="L519" i="2"/>
  <c r="Q345" i="2"/>
  <c r="M217" i="2"/>
  <c r="O1039" i="2"/>
  <c r="R262" i="2"/>
  <c r="U77" i="2"/>
  <c r="O315" i="2"/>
  <c r="O107" i="2"/>
  <c r="S226" i="2"/>
  <c r="T257" i="2"/>
  <c r="P369" i="2"/>
  <c r="N578" i="2"/>
  <c r="R315" i="2"/>
  <c r="Q170" i="2"/>
  <c r="T6" i="2"/>
  <c r="P263" i="2"/>
  <c r="U208" i="2"/>
  <c r="J233" i="2"/>
  <c r="J546" i="2"/>
  <c r="O303" i="2"/>
  <c r="S245" i="2"/>
  <c r="P96" i="2"/>
  <c r="Q91" i="2"/>
  <c r="Q161" i="2"/>
  <c r="T21" i="2"/>
  <c r="U292" i="2"/>
  <c r="L14" i="2"/>
  <c r="K277" i="2"/>
  <c r="J60" i="2"/>
  <c r="T89" i="2"/>
  <c r="R257" i="2"/>
  <c r="O697" i="2"/>
  <c r="Q98" i="2"/>
  <c r="J540" i="2"/>
  <c r="T226" i="2"/>
  <c r="N158" i="2"/>
  <c r="U346" i="2"/>
  <c r="P57" i="2"/>
  <c r="T169" i="2"/>
  <c r="J583" i="2"/>
  <c r="Q517" i="2"/>
  <c r="U298" i="2"/>
  <c r="U61" i="2"/>
  <c r="R164" i="2"/>
  <c r="Q192" i="2"/>
  <c r="T558" i="2"/>
  <c r="N416" i="2"/>
  <c r="N30" i="2"/>
  <c r="O352" i="2"/>
  <c r="N25" i="2"/>
  <c r="T241" i="2"/>
  <c r="S368" i="2"/>
  <c r="T266" i="2"/>
  <c r="T254" i="2"/>
  <c r="L293" i="2"/>
  <c r="P149" i="2"/>
  <c r="R10" i="2"/>
  <c r="U934" i="2"/>
  <c r="M267" i="2"/>
  <c r="S246" i="2"/>
  <c r="K249" i="2"/>
  <c r="S422" i="2"/>
  <c r="U98" i="2"/>
  <c r="N436" i="2"/>
  <c r="P547" i="2"/>
  <c r="S265" i="2"/>
  <c r="M605" i="2"/>
  <c r="T472" i="2"/>
  <c r="M23" i="2"/>
  <c r="O26" i="2"/>
  <c r="P132" i="2"/>
  <c r="Q9" i="2"/>
  <c r="L107" i="2"/>
  <c r="K433" i="2"/>
  <c r="R118" i="2"/>
  <c r="R455" i="2"/>
  <c r="K364" i="2"/>
  <c r="P942" i="2"/>
  <c r="S1366" i="2"/>
  <c r="P1556" i="2"/>
  <c r="T635" i="2"/>
  <c r="O1415" i="2"/>
  <c r="N979" i="2"/>
  <c r="M832" i="2"/>
  <c r="Q390" i="2"/>
  <c r="S569" i="2"/>
  <c r="M1647" i="2"/>
  <c r="T674" i="2"/>
  <c r="N1175" i="2"/>
  <c r="T720" i="2"/>
  <c r="J330" i="2"/>
  <c r="O608" i="2"/>
  <c r="O479" i="2"/>
  <c r="L967" i="2"/>
  <c r="L640" i="2"/>
  <c r="N1649" i="2"/>
  <c r="P659" i="2"/>
  <c r="L839" i="2"/>
  <c r="M543" i="2"/>
  <c r="M1369" i="2"/>
  <c r="U580" i="2"/>
  <c r="S894" i="2"/>
  <c r="O412" i="2"/>
  <c r="M935" i="2"/>
  <c r="Q1140" i="2"/>
  <c r="P368" i="2"/>
  <c r="O841" i="2"/>
  <c r="Q589" i="2"/>
  <c r="M819" i="2"/>
  <c r="N1424" i="2"/>
  <c r="P645" i="2"/>
  <c r="L255" i="2"/>
  <c r="M1920" i="2"/>
  <c r="T671" i="2"/>
  <c r="U663" i="2"/>
  <c r="O782" i="2"/>
  <c r="J187" i="2"/>
  <c r="Q302" i="2"/>
  <c r="O139" i="2"/>
  <c r="K913" i="2"/>
  <c r="S857" i="2"/>
  <c r="J304" i="2"/>
  <c r="L205" i="2"/>
  <c r="J375" i="2"/>
  <c r="L526" i="2"/>
  <c r="R549" i="2"/>
  <c r="N783" i="2"/>
  <c r="M399" i="2"/>
  <c r="Q422" i="2"/>
  <c r="K547" i="2"/>
  <c r="N601" i="2"/>
  <c r="P702" i="2"/>
  <c r="L263" i="2"/>
  <c r="N434" i="2"/>
  <c r="N24" i="2"/>
  <c r="M439" i="2"/>
  <c r="Q296" i="2"/>
  <c r="J877" i="2"/>
  <c r="R780" i="2"/>
  <c r="K340" i="2"/>
  <c r="J245" i="2"/>
  <c r="O306" i="2"/>
  <c r="L722" i="2"/>
  <c r="R66" i="2"/>
  <c r="N928" i="2"/>
  <c r="N615" i="2"/>
  <c r="K603" i="2"/>
  <c r="N332" i="2"/>
  <c r="O840" i="2"/>
  <c r="R117" i="2"/>
  <c r="R152" i="2"/>
  <c r="O75" i="2"/>
  <c r="R898" i="2"/>
  <c r="R507" i="2"/>
  <c r="U212" i="2"/>
  <c r="O472" i="2"/>
  <c r="J629" i="2"/>
  <c r="S581" i="2"/>
  <c r="L436" i="2"/>
  <c r="K527" i="2"/>
  <c r="K828" i="2"/>
  <c r="T775" i="2"/>
  <c r="O823" i="2"/>
  <c r="J656" i="2"/>
  <c r="L250" i="2"/>
  <c r="R893" i="2"/>
  <c r="M404" i="2"/>
  <c r="U452" i="2"/>
  <c r="U472" i="2"/>
  <c r="J195" i="2"/>
  <c r="K351" i="2"/>
  <c r="S727" i="2"/>
  <c r="O384" i="2"/>
  <c r="O894" i="2"/>
  <c r="R650" i="2"/>
  <c r="K652" i="2"/>
  <c r="P564" i="2"/>
  <c r="K229" i="2"/>
  <c r="M882" i="2"/>
  <c r="L484" i="2"/>
  <c r="K860" i="2"/>
  <c r="T752" i="2"/>
  <c r="R591" i="2"/>
  <c r="J405" i="2"/>
  <c r="N638" i="2"/>
  <c r="K612" i="2"/>
  <c r="P643" i="2"/>
  <c r="U631" i="2"/>
  <c r="T332" i="2"/>
  <c r="S272" i="2"/>
  <c r="N1005" i="2"/>
  <c r="U323" i="2"/>
  <c r="L342" i="2"/>
  <c r="S861" i="2"/>
  <c r="O499" i="2"/>
  <c r="Q507" i="2"/>
  <c r="O1067" i="2"/>
  <c r="P85" i="2"/>
  <c r="J528" i="2"/>
  <c r="K222" i="2"/>
  <c r="J313" i="2"/>
  <c r="Q484" i="2"/>
  <c r="S141" i="2"/>
  <c r="L620" i="2"/>
  <c r="J225" i="2"/>
  <c r="O137" i="2"/>
  <c r="Q698" i="2"/>
  <c r="P76" i="2"/>
  <c r="K460" i="2"/>
  <c r="J240" i="2"/>
  <c r="S49" i="2"/>
  <c r="L489" i="2"/>
  <c r="N171" i="2"/>
  <c r="K672" i="2"/>
  <c r="R534" i="2"/>
  <c r="P629" i="2"/>
  <c r="N768" i="2"/>
  <c r="Q490" i="2"/>
  <c r="R24" i="2"/>
  <c r="R319" i="2"/>
  <c r="R339" i="2"/>
  <c r="M125" i="2"/>
  <c r="K425" i="2"/>
  <c r="N71" i="2"/>
  <c r="S135" i="2"/>
  <c r="S896" i="2"/>
  <c r="Q235" i="2"/>
  <c r="T467" i="2"/>
  <c r="Q117" i="2"/>
  <c r="M355" i="2"/>
  <c r="U687" i="2"/>
  <c r="K463" i="2"/>
  <c r="M290" i="2"/>
  <c r="S405" i="2"/>
  <c r="Q423" i="2"/>
  <c r="J211" i="2"/>
  <c r="R359" i="2"/>
  <c r="N245" i="2"/>
  <c r="L395" i="2"/>
  <c r="L495" i="2"/>
  <c r="O267" i="2"/>
  <c r="J312" i="2"/>
  <c r="N626" i="2"/>
  <c r="N349" i="2"/>
  <c r="N286" i="2"/>
  <c r="T180" i="2"/>
  <c r="T604" i="2"/>
  <c r="S23" i="2"/>
  <c r="P371" i="2"/>
  <c r="O1016" i="2"/>
  <c r="R812" i="2"/>
  <c r="R413" i="2"/>
  <c r="U60" i="2"/>
  <c r="R228" i="2"/>
  <c r="L209" i="2"/>
  <c r="N301" i="2"/>
  <c r="U355" i="2"/>
  <c r="U267" i="2"/>
  <c r="R110" i="2"/>
  <c r="R63" i="2"/>
  <c r="K104" i="2"/>
  <c r="L1026" i="2"/>
  <c r="N184" i="2"/>
  <c r="P641" i="2"/>
  <c r="O271" i="2"/>
  <c r="M281" i="2"/>
  <c r="Q42" i="2"/>
  <c r="N451" i="2"/>
  <c r="Q640" i="2"/>
  <c r="R273" i="2"/>
  <c r="T140" i="2"/>
  <c r="S540" i="2"/>
  <c r="U399" i="2"/>
  <c r="J180" i="2"/>
  <c r="T71" i="2"/>
  <c r="P359" i="2"/>
  <c r="P717" i="2"/>
  <c r="U436" i="2"/>
  <c r="O13" i="2"/>
  <c r="T231" i="2"/>
  <c r="K171" i="2"/>
  <c r="R401" i="2"/>
  <c r="Q265" i="2"/>
  <c r="R381" i="2"/>
  <c r="J341" i="2"/>
  <c r="P497" i="2"/>
  <c r="J383" i="2"/>
  <c r="O177" i="2"/>
  <c r="P540" i="2"/>
  <c r="T327" i="2"/>
  <c r="T283" i="2"/>
  <c r="J384" i="2"/>
  <c r="O149" i="2"/>
  <c r="N501" i="2"/>
  <c r="J265" i="2"/>
  <c r="Q132" i="2"/>
  <c r="K344" i="2"/>
  <c r="M569" i="2"/>
  <c r="K64" i="2"/>
  <c r="P126" i="2"/>
  <c r="Q316" i="2"/>
  <c r="T36" i="2"/>
  <c r="S13" i="2"/>
  <c r="J196" i="2"/>
  <c r="J262" i="2"/>
  <c r="P484" i="2"/>
  <c r="R51" i="2"/>
  <c r="O330" i="2"/>
  <c r="J659" i="2"/>
  <c r="R201" i="2"/>
  <c r="T225" i="2"/>
  <c r="L279" i="2"/>
  <c r="O347" i="2"/>
  <c r="M50" i="2"/>
  <c r="N560" i="2"/>
  <c r="O548" i="2"/>
  <c r="T402" i="2"/>
  <c r="P102" i="2"/>
  <c r="S429" i="2"/>
  <c r="T234" i="2"/>
  <c r="N273" i="2"/>
  <c r="K296" i="2"/>
  <c r="Q1073" i="2"/>
  <c r="R532" i="2"/>
  <c r="R415" i="2"/>
  <c r="M1615" i="2"/>
  <c r="U1001" i="2"/>
  <c r="T1134" i="2"/>
  <c r="P495" i="2"/>
  <c r="S1190" i="2"/>
  <c r="R957" i="2"/>
  <c r="O856" i="2"/>
  <c r="S369" i="2"/>
  <c r="U1060" i="2"/>
  <c r="L1045" i="2"/>
  <c r="O731" i="2"/>
  <c r="U885" i="2"/>
  <c r="L725" i="2"/>
  <c r="N374" i="2"/>
  <c r="L410" i="2"/>
  <c r="J713" i="2"/>
  <c r="R827" i="2"/>
  <c r="U840" i="2"/>
  <c r="R1526" i="2"/>
  <c r="U886" i="2"/>
  <c r="T528" i="2"/>
  <c r="R864" i="2"/>
  <c r="O1144" i="2"/>
  <c r="U704" i="2"/>
  <c r="T645" i="2"/>
  <c r="P572" i="2"/>
  <c r="N1152" i="2"/>
  <c r="K588" i="2"/>
  <c r="K442" i="2"/>
  <c r="S1036" i="2"/>
  <c r="M554" i="2"/>
  <c r="P328" i="2"/>
  <c r="K282" i="2"/>
  <c r="T743" i="2"/>
  <c r="R214" i="2"/>
  <c r="Q1132" i="2"/>
  <c r="L1344" i="2"/>
  <c r="P872" i="2"/>
  <c r="Q714" i="2"/>
  <c r="U301" i="2"/>
  <c r="J288" i="2"/>
  <c r="R662" i="2"/>
  <c r="Q419" i="2"/>
  <c r="P639" i="2"/>
  <c r="L153" i="2"/>
  <c r="U112" i="2"/>
  <c r="L164" i="2"/>
  <c r="N365" i="2"/>
  <c r="L512" i="2"/>
  <c r="J702" i="2"/>
  <c r="O686" i="2"/>
  <c r="N329" i="2"/>
  <c r="L648" i="2"/>
  <c r="N534" i="2"/>
  <c r="J132" i="2"/>
  <c r="L53" i="2"/>
  <c r="M84" i="2"/>
  <c r="K397" i="2"/>
  <c r="M47" i="2"/>
  <c r="M244" i="2"/>
  <c r="N791" i="2"/>
  <c r="K713" i="2"/>
  <c r="J681" i="2"/>
  <c r="R431" i="2"/>
  <c r="O410" i="2"/>
  <c r="U264" i="2"/>
  <c r="L154" i="2"/>
  <c r="S928" i="2"/>
  <c r="O509" i="2"/>
  <c r="K537" i="2"/>
  <c r="P195" i="2"/>
  <c r="R512" i="2"/>
  <c r="T455" i="2"/>
  <c r="M291" i="2"/>
  <c r="L72" i="2"/>
  <c r="K870" i="2"/>
  <c r="S500" i="2"/>
  <c r="N243" i="2"/>
  <c r="L158" i="2"/>
  <c r="L439" i="2"/>
  <c r="P402" i="2"/>
  <c r="Q44" i="2"/>
  <c r="K888" i="2"/>
  <c r="T574" i="2"/>
  <c r="U209" i="2"/>
  <c r="M369" i="2"/>
  <c r="L454" i="2"/>
  <c r="T281" i="2"/>
  <c r="Q539" i="2"/>
  <c r="K622" i="2"/>
  <c r="L961" i="2"/>
  <c r="M568" i="2"/>
  <c r="K464" i="2"/>
  <c r="R450" i="2"/>
  <c r="K46" i="2"/>
  <c r="U1057" i="2"/>
  <c r="O736" i="2"/>
  <c r="J910" i="2"/>
  <c r="P795" i="2"/>
  <c r="O127" i="2"/>
  <c r="T117" i="2"/>
  <c r="N736" i="2"/>
  <c r="T338" i="2"/>
  <c r="O305" i="2"/>
  <c r="T398" i="2"/>
  <c r="R842" i="2"/>
  <c r="O147" i="2"/>
  <c r="J473" i="2"/>
  <c r="P401" i="2"/>
  <c r="P1054" i="2"/>
  <c r="M906" i="2"/>
  <c r="L547" i="2"/>
  <c r="R279" i="2"/>
  <c r="S825" i="2"/>
  <c r="N417" i="2"/>
  <c r="S284" i="2"/>
  <c r="P419" i="2"/>
  <c r="P374" i="2"/>
  <c r="U374" i="2"/>
  <c r="P275" i="2"/>
  <c r="O558" i="2"/>
  <c r="J237" i="2"/>
  <c r="O986" i="2"/>
  <c r="S312" i="2"/>
  <c r="J797" i="2"/>
  <c r="M270" i="2"/>
  <c r="M19" i="2"/>
  <c r="N265" i="2"/>
  <c r="P415" i="2"/>
  <c r="L654" i="2"/>
  <c r="L535" i="2"/>
  <c r="U134" i="2"/>
  <c r="S29" i="2"/>
  <c r="Q189" i="2"/>
  <c r="T325" i="2"/>
  <c r="Q511" i="2"/>
  <c r="O461" i="2"/>
  <c r="S14" i="2"/>
  <c r="Q404" i="2"/>
  <c r="R560" i="2"/>
  <c r="P10" i="2"/>
  <c r="J19" i="2"/>
  <c r="S558" i="2"/>
  <c r="M13" i="2"/>
  <c r="U135" i="2"/>
  <c r="N681" i="2"/>
  <c r="P316" i="2"/>
  <c r="R736" i="2"/>
  <c r="M836" i="2"/>
  <c r="M846" i="2"/>
  <c r="R209" i="2"/>
  <c r="J689" i="2"/>
  <c r="T121" i="2"/>
  <c r="T388" i="2"/>
  <c r="J272" i="2"/>
  <c r="K100" i="2"/>
  <c r="R174" i="2"/>
  <c r="R131" i="2"/>
  <c r="R570" i="2"/>
  <c r="R665" i="2"/>
  <c r="J147" i="2"/>
  <c r="J163" i="2"/>
  <c r="P347" i="2"/>
  <c r="U213" i="2"/>
  <c r="M363" i="2"/>
  <c r="J850" i="2"/>
  <c r="K255" i="2"/>
  <c r="P21" i="2"/>
  <c r="N267" i="2"/>
  <c r="N253" i="2"/>
  <c r="Q3" i="2"/>
  <c r="M542" i="2"/>
  <c r="K790" i="2"/>
  <c r="M781" i="2"/>
  <c r="M505" i="2"/>
  <c r="J412" i="2"/>
  <c r="Q126" i="2"/>
  <c r="M705" i="2"/>
  <c r="R26" i="2"/>
  <c r="Q580" i="2"/>
  <c r="R498" i="2"/>
  <c r="P358" i="2"/>
  <c r="S399" i="2"/>
  <c r="P48" i="2"/>
  <c r="U667" i="2"/>
  <c r="O230" i="2"/>
  <c r="M331" i="2"/>
  <c r="L1070" i="2"/>
  <c r="M436" i="2"/>
  <c r="S188" i="2"/>
  <c r="S303" i="2"/>
  <c r="T91" i="2"/>
  <c r="R457" i="2"/>
  <c r="P233" i="2"/>
  <c r="Q136" i="2"/>
  <c r="M373" i="2"/>
  <c r="O957" i="2"/>
  <c r="R752" i="2"/>
  <c r="T538" i="2"/>
  <c r="N642" i="2"/>
  <c r="N27" i="2"/>
  <c r="J248" i="2"/>
  <c r="L508" i="2"/>
  <c r="N210" i="2"/>
  <c r="P261" i="2"/>
  <c r="N406" i="2"/>
  <c r="Q168" i="2"/>
  <c r="T412" i="2"/>
  <c r="N285" i="2"/>
  <c r="O431" i="2"/>
  <c r="Q456" i="2"/>
  <c r="K233" i="2"/>
  <c r="S57" i="2"/>
  <c r="M272" i="2"/>
  <c r="U72" i="2"/>
  <c r="R291" i="2"/>
  <c r="S71" i="2"/>
  <c r="K48" i="2"/>
  <c r="O707" i="2"/>
  <c r="T333" i="2"/>
  <c r="N188" i="2"/>
  <c r="Q183" i="2"/>
  <c r="U282" i="2"/>
  <c r="J17" i="2"/>
  <c r="U167" i="2"/>
  <c r="S248" i="2"/>
  <c r="O85" i="2"/>
  <c r="U102" i="2"/>
  <c r="M405" i="2"/>
  <c r="S38" i="2"/>
  <c r="P168" i="2"/>
  <c r="M551" i="2"/>
  <c r="R356" i="2"/>
  <c r="M766" i="2"/>
  <c r="Q61" i="2"/>
  <c r="Q92" i="2"/>
  <c r="K148" i="2"/>
  <c r="Q226" i="2"/>
  <c r="U123" i="2"/>
  <c r="T829" i="2"/>
  <c r="T168" i="2"/>
  <c r="R543" i="2"/>
  <c r="P18" i="2"/>
  <c r="S313" i="2"/>
  <c r="J675" i="2"/>
  <c r="P77" i="2"/>
  <c r="L90" i="2"/>
  <c r="T328" i="2"/>
  <c r="U1275" i="2"/>
  <c r="K810" i="2"/>
  <c r="R788" i="2"/>
  <c r="R1422" i="2"/>
  <c r="Q1424" i="2"/>
  <c r="R810" i="2"/>
  <c r="M939" i="2"/>
  <c r="U680" i="2"/>
  <c r="P376" i="2"/>
  <c r="K635" i="2"/>
  <c r="L1441" i="2"/>
  <c r="O879" i="2"/>
  <c r="J981" i="2"/>
  <c r="N426" i="2"/>
  <c r="L398" i="2"/>
  <c r="J474" i="2"/>
  <c r="Q797" i="2"/>
  <c r="T755" i="2"/>
  <c r="P1489" i="2"/>
  <c r="U517" i="2"/>
  <c r="U795" i="2"/>
  <c r="T380" i="2"/>
  <c r="Q628" i="2"/>
  <c r="N892" i="2"/>
  <c r="N566" i="2"/>
  <c r="O312" i="2"/>
  <c r="M932" i="2"/>
  <c r="T630" i="2"/>
  <c r="R614" i="2"/>
  <c r="T1555" i="2"/>
  <c r="N550" i="2"/>
  <c r="Q1178" i="2"/>
  <c r="U312" i="2"/>
  <c r="J868" i="2"/>
  <c r="K285" i="2"/>
  <c r="P913" i="2"/>
  <c r="R1456" i="2"/>
  <c r="R1115" i="2"/>
  <c r="U484" i="2"/>
  <c r="S459" i="2"/>
  <c r="L479" i="2"/>
  <c r="S620" i="2"/>
  <c r="S448" i="2"/>
  <c r="N708" i="2"/>
  <c r="O699" i="2"/>
  <c r="J145" i="2"/>
  <c r="O408" i="2"/>
  <c r="O99" i="2"/>
  <c r="J115" i="2"/>
  <c r="T898" i="2"/>
  <c r="P519" i="2"/>
  <c r="O376" i="2"/>
  <c r="N450" i="2"/>
  <c r="R824" i="2"/>
  <c r="U246" i="2"/>
  <c r="P1096" i="2"/>
  <c r="R851" i="2"/>
  <c r="P100" i="2"/>
  <c r="P264" i="2"/>
  <c r="L25" i="2"/>
  <c r="S561" i="2"/>
  <c r="L803" i="2"/>
  <c r="S480" i="2"/>
  <c r="N396" i="2"/>
  <c r="Q153" i="2"/>
  <c r="L229" i="2"/>
  <c r="S110" i="2"/>
  <c r="Q1388" i="2"/>
  <c r="M379" i="2"/>
  <c r="P211" i="2"/>
  <c r="R142" i="2"/>
  <c r="J765" i="2"/>
  <c r="T304" i="2"/>
  <c r="Q861" i="2"/>
  <c r="J158" i="2"/>
  <c r="L634" i="2"/>
  <c r="P604" i="2"/>
  <c r="P635" i="2"/>
  <c r="T108" i="2"/>
  <c r="Q190" i="2"/>
  <c r="U8" i="2"/>
  <c r="P474" i="2"/>
  <c r="L1163" i="2"/>
  <c r="M665" i="2"/>
  <c r="N73" i="2"/>
  <c r="T462" i="2"/>
  <c r="S269" i="2"/>
  <c r="M353" i="2"/>
  <c r="Q717" i="2"/>
  <c r="N558" i="2"/>
  <c r="T730" i="2"/>
  <c r="R96" i="2"/>
  <c r="T386" i="2"/>
  <c r="U322" i="2"/>
  <c r="J186" i="2"/>
  <c r="R443" i="2"/>
  <c r="P664" i="2"/>
  <c r="J746" i="2"/>
  <c r="Q495" i="2"/>
  <c r="K24" i="2"/>
  <c r="T355" i="2"/>
  <c r="L646" i="2"/>
  <c r="O611" i="2"/>
  <c r="R493" i="2"/>
  <c r="M384" i="2"/>
  <c r="L891" i="2"/>
  <c r="S521" i="2"/>
  <c r="N890" i="2"/>
  <c r="N173" i="2"/>
  <c r="N836" i="2"/>
  <c r="O766" i="2"/>
  <c r="K193" i="2"/>
  <c r="M396" i="2"/>
  <c r="T714" i="2"/>
  <c r="J1125" i="2"/>
  <c r="T544" i="2"/>
  <c r="M515" i="2"/>
  <c r="Q398" i="2"/>
  <c r="Q182" i="2"/>
  <c r="M642" i="2"/>
  <c r="O624" i="2"/>
  <c r="J179" i="2"/>
  <c r="N420" i="2"/>
  <c r="Q531" i="2"/>
  <c r="L896" i="2"/>
  <c r="O181" i="2"/>
  <c r="R687" i="2"/>
  <c r="P492" i="2"/>
  <c r="J127" i="2"/>
  <c r="N853" i="2"/>
  <c r="Q39" i="2"/>
  <c r="Q428" i="2"/>
  <c r="N631" i="2"/>
  <c r="O595" i="2"/>
  <c r="M16" i="2"/>
  <c r="P138" i="2"/>
  <c r="M255" i="2"/>
  <c r="P90" i="2"/>
  <c r="T152" i="2"/>
  <c r="L383" i="2"/>
  <c r="T530" i="2"/>
  <c r="T292" i="2"/>
  <c r="L358" i="2"/>
  <c r="N79" i="2"/>
  <c r="K457" i="2"/>
  <c r="N179" i="2"/>
  <c r="O141" i="2"/>
  <c r="N62" i="2"/>
  <c r="J1469" i="2"/>
  <c r="Q497" i="2"/>
  <c r="P212" i="2"/>
  <c r="N831" i="2"/>
  <c r="P311" i="2"/>
  <c r="R297" i="2"/>
  <c r="U53" i="2"/>
  <c r="L567" i="2"/>
  <c r="T85" i="2"/>
  <c r="Q46" i="2"/>
  <c r="O171" i="2"/>
  <c r="J785" i="2"/>
  <c r="N283" i="2"/>
  <c r="U755" i="2"/>
  <c r="P529" i="2"/>
  <c r="K270" i="2"/>
  <c r="R278" i="2"/>
  <c r="P578" i="2"/>
  <c r="S363" i="2"/>
  <c r="N899" i="2"/>
  <c r="M94" i="2"/>
  <c r="N310" i="2"/>
  <c r="L845" i="2"/>
  <c r="S212" i="2"/>
  <c r="K943" i="2"/>
  <c r="L702" i="2"/>
  <c r="K110" i="2"/>
  <c r="S172" i="2"/>
  <c r="P391" i="2"/>
  <c r="O416" i="2"/>
  <c r="T101" i="2"/>
  <c r="L890" i="2"/>
  <c r="R382" i="2"/>
  <c r="N10" i="2"/>
  <c r="O210" i="2"/>
  <c r="U189" i="2"/>
  <c r="R270" i="2"/>
  <c r="R69" i="2"/>
  <c r="T873" i="2"/>
  <c r="T666" i="2"/>
  <c r="T144" i="2"/>
  <c r="R97" i="2"/>
  <c r="T280" i="2"/>
  <c r="Q1082" i="2"/>
  <c r="J181" i="2"/>
  <c r="O60" i="2"/>
  <c r="L253" i="2"/>
  <c r="L475" i="2"/>
  <c r="J1045" i="2"/>
  <c r="J732" i="2"/>
  <c r="U627" i="2"/>
  <c r="K961" i="2"/>
  <c r="U126" i="2"/>
  <c r="L111" i="2"/>
  <c r="M688" i="2"/>
  <c r="O192" i="2"/>
  <c r="O287" i="2"/>
  <c r="T383" i="2"/>
  <c r="S567" i="2"/>
  <c r="J717" i="2"/>
  <c r="K324" i="2"/>
  <c r="Q694" i="2"/>
  <c r="J239" i="2"/>
  <c r="P577" i="2"/>
  <c r="R425" i="2"/>
  <c r="R345" i="2"/>
  <c r="L97" i="2"/>
  <c r="R714" i="2"/>
  <c r="Q143" i="2"/>
  <c r="T284" i="2"/>
  <c r="U311" i="2"/>
  <c r="Q407" i="2"/>
  <c r="L396" i="2"/>
  <c r="T93" i="2"/>
  <c r="Q200" i="2"/>
  <c r="S382" i="2"/>
  <c r="Q47" i="2"/>
  <c r="O148" i="2"/>
  <c r="K254" i="2"/>
  <c r="K312" i="2"/>
  <c r="U119" i="2"/>
  <c r="M555" i="2"/>
  <c r="Q297" i="2"/>
  <c r="T228" i="2"/>
  <c r="L222" i="2"/>
  <c r="J374" i="2"/>
  <c r="Q130" i="2"/>
  <c r="P155" i="2"/>
  <c r="J82" i="2"/>
  <c r="L401" i="2"/>
  <c r="N449" i="2"/>
  <c r="S120" i="2"/>
  <c r="P137" i="2"/>
  <c r="Q230" i="2"/>
  <c r="P51" i="2"/>
  <c r="K244" i="2"/>
  <c r="S713" i="2"/>
  <c r="U446" i="2"/>
  <c r="R277" i="2"/>
  <c r="T44" i="2"/>
  <c r="O98" i="2"/>
  <c r="K321" i="2"/>
  <c r="N695" i="2"/>
  <c r="R43" i="2"/>
  <c r="Q8" i="2"/>
  <c r="Q537" i="2"/>
  <c r="N83" i="2"/>
  <c r="L217" i="2"/>
  <c r="Q879" i="2"/>
  <c r="O1084" i="2"/>
  <c r="K938" i="2"/>
  <c r="Q761" i="2"/>
  <c r="O1436" i="2"/>
  <c r="O829" i="2"/>
  <c r="T1136" i="2"/>
  <c r="S343" i="2"/>
  <c r="O833" i="2"/>
  <c r="N1077" i="2"/>
  <c r="M1087" i="2"/>
  <c r="R840" i="2"/>
  <c r="P1597" i="2"/>
  <c r="U741" i="2"/>
  <c r="U48" i="2"/>
  <c r="S849" i="2"/>
  <c r="P503" i="2"/>
  <c r="K923" i="2"/>
  <c r="M1139" i="2"/>
  <c r="L672" i="2"/>
  <c r="M702" i="2"/>
  <c r="J1187" i="2"/>
  <c r="M690" i="2"/>
  <c r="N577" i="2"/>
  <c r="T400" i="2"/>
  <c r="J87" i="2"/>
  <c r="O696" i="2"/>
  <c r="P1042" i="2"/>
  <c r="T593" i="2"/>
  <c r="J664" i="2"/>
  <c r="U603" i="2"/>
  <c r="N498" i="2"/>
  <c r="R1851" i="2"/>
  <c r="R1302" i="2"/>
  <c r="P406" i="2"/>
  <c r="L1434" i="2"/>
  <c r="S1535" i="2"/>
  <c r="M630" i="2"/>
  <c r="R609" i="2"/>
  <c r="U1163" i="2"/>
  <c r="K198" i="2"/>
  <c r="N214" i="2"/>
  <c r="U551" i="2"/>
  <c r="L409" i="2"/>
  <c r="U790" i="2"/>
  <c r="K74" i="2"/>
  <c r="T183" i="2"/>
  <c r="M310" i="2"/>
  <c r="P214" i="2"/>
  <c r="N512" i="2"/>
  <c r="K526" i="2"/>
  <c r="L451" i="2"/>
  <c r="U203" i="2"/>
  <c r="O372" i="2"/>
  <c r="S281" i="2"/>
  <c r="T781" i="2"/>
  <c r="Q349" i="2"/>
  <c r="J188" i="2"/>
  <c r="S100" i="2"/>
  <c r="N491" i="2"/>
  <c r="T373" i="2"/>
  <c r="L481" i="2"/>
  <c r="P651" i="2"/>
  <c r="L221" i="2"/>
  <c r="L104" i="2"/>
  <c r="P918" i="2"/>
  <c r="T64" i="2"/>
  <c r="J1016" i="2"/>
  <c r="S550" i="2"/>
  <c r="O289" i="2"/>
  <c r="K648" i="2"/>
  <c r="R453" i="2"/>
  <c r="P213" i="2"/>
  <c r="S353" i="2"/>
  <c r="L389" i="2"/>
  <c r="J699" i="2"/>
  <c r="S318" i="2"/>
  <c r="S335" i="2"/>
  <c r="L738" i="2"/>
  <c r="U676" i="2"/>
  <c r="U450" i="2"/>
  <c r="R1546" i="2"/>
  <c r="O540" i="2"/>
  <c r="M1056" i="2"/>
  <c r="O404" i="2"/>
  <c r="R11" i="2"/>
  <c r="J234" i="2"/>
  <c r="R236" i="2"/>
  <c r="L541" i="2"/>
  <c r="O863" i="2"/>
  <c r="N343" i="2"/>
  <c r="U51" i="2"/>
  <c r="Q452" i="2"/>
  <c r="S809" i="2"/>
  <c r="Q518" i="2"/>
  <c r="K197" i="2"/>
  <c r="N745" i="2"/>
  <c r="K948" i="2"/>
  <c r="Q711" i="2"/>
  <c r="T473" i="2"/>
  <c r="O678" i="2"/>
  <c r="L539" i="2"/>
  <c r="J1077" i="2"/>
  <c r="N362" i="2"/>
  <c r="M61" i="2"/>
  <c r="K1423" i="2"/>
  <c r="U852" i="2"/>
  <c r="T703" i="2"/>
  <c r="Q624" i="2"/>
  <c r="T1302" i="2"/>
  <c r="M653" i="2"/>
  <c r="T1082" i="2"/>
  <c r="O454" i="2"/>
  <c r="P818" i="2"/>
  <c r="S978" i="2"/>
  <c r="O153" i="2"/>
  <c r="U328" i="2"/>
  <c r="S385" i="2"/>
  <c r="O243" i="2"/>
  <c r="S452" i="2"/>
  <c r="T1047" i="2"/>
  <c r="R449" i="2"/>
  <c r="L44" i="2"/>
  <c r="M707" i="2"/>
  <c r="R71" i="2"/>
  <c r="U357" i="2"/>
  <c r="K221" i="2"/>
  <c r="Q15" i="2"/>
  <c r="O40" i="2"/>
  <c r="S886" i="2"/>
  <c r="N753" i="2"/>
  <c r="M423" i="2"/>
  <c r="O56" i="2"/>
  <c r="K40" i="2"/>
  <c r="S74" i="2"/>
  <c r="P107" i="2"/>
  <c r="T439" i="2"/>
  <c r="U186" i="2"/>
  <c r="N163" i="2"/>
  <c r="T329" i="2"/>
  <c r="T444" i="2"/>
  <c r="R19" i="2"/>
  <c r="L57" i="2"/>
  <c r="P134" i="2"/>
  <c r="R233" i="2"/>
  <c r="K25" i="2"/>
  <c r="J388" i="2"/>
  <c r="N157" i="2"/>
  <c r="T585" i="2"/>
  <c r="S774" i="2"/>
  <c r="N277" i="2"/>
  <c r="N237" i="2"/>
  <c r="M234" i="2"/>
  <c r="O381" i="2"/>
  <c r="M95" i="2"/>
  <c r="R62" i="2"/>
  <c r="N337" i="2"/>
  <c r="M80" i="2"/>
  <c r="N208" i="2"/>
  <c r="J753" i="2"/>
  <c r="O140" i="2"/>
  <c r="O467" i="2"/>
  <c r="K205" i="2"/>
  <c r="M12" i="2"/>
  <c r="L677" i="2"/>
  <c r="T601" i="2"/>
  <c r="R658" i="2"/>
  <c r="K181" i="2"/>
  <c r="N331" i="2"/>
  <c r="Q307" i="2"/>
  <c r="P154" i="2"/>
  <c r="J243" i="2"/>
  <c r="U578" i="2"/>
  <c r="J445" i="2"/>
  <c r="L168" i="2"/>
  <c r="N713" i="2"/>
  <c r="P161" i="2"/>
  <c r="P99" i="2"/>
  <c r="T245" i="2"/>
  <c r="T243" i="2"/>
  <c r="S827" i="2"/>
  <c r="R114" i="2"/>
  <c r="R330" i="2"/>
  <c r="L464" i="2"/>
  <c r="L520" i="2"/>
  <c r="S164" i="2"/>
  <c r="P959" i="2"/>
  <c r="O940" i="2"/>
  <c r="L688" i="2"/>
  <c r="S252" i="2"/>
  <c r="P408" i="2"/>
  <c r="T520" i="2"/>
  <c r="J479" i="2"/>
  <c r="U646" i="2"/>
  <c r="O259" i="2"/>
  <c r="P33" i="2"/>
  <c r="L632" i="2"/>
  <c r="S19" i="2"/>
  <c r="M472" i="2"/>
  <c r="R883" i="2"/>
  <c r="Q535" i="2"/>
  <c r="N92" i="2"/>
  <c r="L359" i="2"/>
  <c r="R742" i="2"/>
  <c r="P367" i="2"/>
  <c r="U62" i="2"/>
  <c r="R592" i="2"/>
  <c r="T1114" i="2"/>
  <c r="K931" i="2"/>
  <c r="T374" i="2"/>
  <c r="R434" i="2"/>
  <c r="L203" i="2"/>
  <c r="Q393" i="2"/>
  <c r="M300" i="2"/>
  <c r="N311" i="2"/>
  <c r="T137" i="2"/>
  <c r="L117" i="2"/>
  <c r="R104" i="2"/>
  <c r="M378" i="2"/>
  <c r="Q2" i="2"/>
  <c r="U847" i="2"/>
  <c r="U364" i="2"/>
  <c r="K904" i="2"/>
  <c r="T1615" i="2"/>
  <c r="T1029" i="2"/>
  <c r="Q834" i="2"/>
  <c r="O760" i="2"/>
  <c r="S798" i="2"/>
  <c r="T667" i="2"/>
  <c r="R685" i="2"/>
  <c r="T688" i="2"/>
  <c r="P656" i="2"/>
  <c r="T568" i="2"/>
  <c r="N383" i="2"/>
  <c r="R358" i="2"/>
  <c r="O400" i="2"/>
  <c r="S511" i="2"/>
  <c r="U650" i="2"/>
  <c r="P794" i="2"/>
  <c r="U394" i="2"/>
  <c r="M1141" i="2"/>
  <c r="S634" i="2"/>
  <c r="T850" i="2"/>
  <c r="J1118" i="2"/>
  <c r="S438" i="2"/>
  <c r="N909" i="2"/>
  <c r="Q1010" i="2"/>
  <c r="T545" i="2"/>
  <c r="O936" i="2"/>
  <c r="K1127" i="2"/>
  <c r="Q496" i="2"/>
  <c r="N463" i="2"/>
  <c r="M1203" i="2"/>
  <c r="K520" i="2"/>
  <c r="Q911" i="2"/>
  <c r="R964" i="2"/>
  <c r="J1228" i="2"/>
  <c r="M1397" i="2"/>
  <c r="M557" i="2"/>
  <c r="L642" i="2"/>
  <c r="O233" i="2"/>
  <c r="N563" i="2"/>
  <c r="L667" i="2"/>
  <c r="O176" i="2"/>
  <c r="O159" i="2"/>
  <c r="T242" i="2"/>
  <c r="U132" i="2"/>
  <c r="U617" i="2"/>
  <c r="L1018" i="2"/>
  <c r="O805" i="2"/>
  <c r="S603" i="2"/>
  <c r="U467" i="2"/>
  <c r="N757" i="2"/>
  <c r="R1947" i="2"/>
  <c r="J510" i="2"/>
  <c r="J371" i="2"/>
  <c r="J599" i="2"/>
  <c r="R192" i="2"/>
  <c r="S66" i="2"/>
  <c r="N339" i="2"/>
  <c r="O254" i="2"/>
  <c r="S1103" i="2"/>
  <c r="U707" i="2"/>
  <c r="U625" i="2"/>
  <c r="K27" i="2"/>
  <c r="J669" i="2"/>
  <c r="R724" i="2"/>
  <c r="L1169" i="2"/>
  <c r="L559" i="2"/>
  <c r="U43" i="2"/>
  <c r="P360" i="2"/>
  <c r="T487" i="2"/>
  <c r="L12" i="2"/>
  <c r="P145" i="2"/>
  <c r="L179" i="2"/>
  <c r="R586" i="2"/>
  <c r="L426" i="2"/>
  <c r="O390" i="2"/>
  <c r="O277" i="2"/>
  <c r="U423" i="2"/>
  <c r="U28" i="2"/>
  <c r="N1717" i="2"/>
  <c r="N302" i="2"/>
  <c r="J970" i="2"/>
  <c r="O934" i="2"/>
  <c r="S381" i="2"/>
  <c r="K546" i="2"/>
  <c r="R260" i="2"/>
  <c r="P1025" i="2"/>
  <c r="K743" i="2"/>
  <c r="S489" i="2"/>
  <c r="M1020" i="2"/>
  <c r="P494" i="2"/>
  <c r="L376" i="2"/>
  <c r="T689" i="2"/>
  <c r="M130" i="2"/>
  <c r="P615" i="2"/>
  <c r="T366" i="2"/>
  <c r="M258" i="2"/>
  <c r="R734" i="2"/>
  <c r="J432" i="2"/>
  <c r="M731" i="2"/>
  <c r="L402" i="2"/>
  <c r="M286" i="2"/>
  <c r="M278" i="2"/>
  <c r="R784" i="2"/>
  <c r="P306" i="2"/>
  <c r="U263" i="2"/>
  <c r="R463" i="2"/>
  <c r="R1055" i="2"/>
  <c r="L793" i="2"/>
  <c r="M376" i="2"/>
  <c r="U411" i="2"/>
  <c r="L584" i="2"/>
  <c r="P300" i="2"/>
  <c r="M240" i="2"/>
  <c r="P50" i="2"/>
  <c r="R295" i="2"/>
  <c r="K287" i="2"/>
  <c r="P681" i="2"/>
  <c r="Q909" i="2"/>
  <c r="T90" i="2"/>
  <c r="M36" i="2"/>
  <c r="U666" i="2"/>
  <c r="Q204" i="2"/>
  <c r="O203" i="2"/>
  <c r="N238" i="2"/>
  <c r="L91" i="2"/>
  <c r="S78" i="2"/>
  <c r="L371" i="2"/>
  <c r="T877" i="2"/>
  <c r="P28" i="2"/>
  <c r="R108" i="2"/>
  <c r="S692" i="2"/>
  <c r="N128" i="2"/>
  <c r="L286" i="2"/>
  <c r="O238" i="2"/>
  <c r="T35" i="2"/>
  <c r="N135" i="2"/>
  <c r="N347" i="2"/>
  <c r="J615" i="2"/>
  <c r="O235" i="2"/>
  <c r="T232" i="2"/>
  <c r="J25" i="2"/>
  <c r="M342" i="2"/>
  <c r="M60" i="2"/>
  <c r="K107" i="2"/>
  <c r="Q273" i="2"/>
  <c r="L485" i="2"/>
  <c r="S537" i="2"/>
  <c r="N118" i="2"/>
  <c r="O310" i="2"/>
  <c r="S633" i="2"/>
  <c r="R60" i="2"/>
  <c r="R78" i="2"/>
  <c r="N48" i="2"/>
  <c r="S292" i="2"/>
  <c r="T1340" i="2"/>
  <c r="R391" i="2"/>
  <c r="L513" i="2"/>
  <c r="T395" i="2"/>
  <c r="M452" i="2"/>
  <c r="T134" i="2"/>
  <c r="Q32" i="2"/>
  <c r="T177" i="2"/>
  <c r="L577" i="2"/>
  <c r="T757" i="2"/>
  <c r="J107" i="2"/>
  <c r="L129" i="2"/>
  <c r="S296" i="2"/>
  <c r="Q169" i="2"/>
  <c r="O296" i="2"/>
  <c r="M219" i="2"/>
  <c r="Q719" i="2"/>
  <c r="M40" i="2"/>
  <c r="O401" i="2"/>
  <c r="N178" i="2"/>
  <c r="O165" i="2"/>
  <c r="M178" i="2"/>
  <c r="R754" i="2"/>
  <c r="S344" i="2"/>
  <c r="T109" i="2"/>
  <c r="R371" i="2"/>
  <c r="Q549" i="2"/>
  <c r="J100" i="2"/>
  <c r="Q155" i="2"/>
  <c r="M44" i="2"/>
  <c r="Q889" i="2"/>
  <c r="P732" i="2"/>
  <c r="U205" i="2"/>
  <c r="M730" i="2"/>
  <c r="O187" i="2"/>
  <c r="T247" i="2"/>
  <c r="T343" i="2"/>
  <c r="R146" i="2"/>
  <c r="P591" i="2"/>
  <c r="R1104" i="2"/>
  <c r="P430" i="2"/>
  <c r="T68" i="2"/>
  <c r="O420" i="2"/>
  <c r="S421" i="2"/>
  <c r="N192" i="2"/>
  <c r="K438" i="2"/>
  <c r="S304" i="2"/>
  <c r="P241" i="2"/>
  <c r="R951" i="2"/>
  <c r="M304" i="2"/>
  <c r="U404" i="2"/>
  <c r="K387" i="2"/>
  <c r="O214" i="2"/>
  <c r="U83" i="2"/>
  <c r="K1097" i="2"/>
  <c r="L823" i="2"/>
  <c r="S1063" i="2"/>
  <c r="P1443" i="2"/>
  <c r="O816" i="2"/>
  <c r="K1020" i="2"/>
  <c r="S716" i="2"/>
  <c r="U378" i="2"/>
  <c r="N430" i="2"/>
  <c r="P660" i="2"/>
  <c r="Q1362" i="2"/>
  <c r="M893" i="2"/>
  <c r="Q931" i="2"/>
  <c r="P472" i="2"/>
  <c r="Q249" i="2"/>
  <c r="K456" i="2"/>
  <c r="K1331" i="2"/>
  <c r="P808" i="2"/>
  <c r="Q981" i="2"/>
  <c r="N646" i="2"/>
  <c r="R508" i="2"/>
  <c r="K606" i="2"/>
  <c r="U844" i="2"/>
  <c r="M674" i="2"/>
  <c r="J637" i="2"/>
  <c r="O528" i="2"/>
  <c r="M970" i="2"/>
  <c r="U1046" i="2"/>
  <c r="L613" i="2"/>
  <c r="S729" i="2"/>
  <c r="U500" i="2"/>
  <c r="T497" i="2"/>
  <c r="P1057" i="2"/>
  <c r="U953" i="2"/>
  <c r="L427" i="2"/>
  <c r="O1672" i="2"/>
  <c r="M1062" i="2"/>
  <c r="Q1307" i="2"/>
  <c r="O380" i="2"/>
  <c r="N427" i="2"/>
  <c r="Q396" i="2"/>
  <c r="U519" i="2"/>
  <c r="N816" i="2"/>
  <c r="S177" i="2"/>
  <c r="M751" i="2"/>
  <c r="N300" i="2"/>
  <c r="Q236" i="2"/>
  <c r="Q415" i="2"/>
  <c r="M1579" i="2"/>
  <c r="M814" i="2"/>
  <c r="N803" i="2"/>
  <c r="Q385" i="2"/>
  <c r="O576" i="2"/>
  <c r="S583" i="2"/>
  <c r="S492" i="2"/>
  <c r="U453" i="2"/>
  <c r="N669" i="2"/>
  <c r="Q144" i="2"/>
  <c r="J165" i="2"/>
  <c r="K452" i="2"/>
  <c r="P411" i="2"/>
  <c r="K808" i="2"/>
  <c r="Q191" i="2"/>
  <c r="P507" i="2"/>
  <c r="R225" i="2"/>
  <c r="K497" i="2"/>
  <c r="R520" i="2"/>
  <c r="S751" i="2"/>
  <c r="J757" i="2"/>
  <c r="M597" i="2"/>
  <c r="P546" i="2"/>
  <c r="U398" i="2"/>
  <c r="U545" i="2"/>
  <c r="L71" i="2"/>
  <c r="M128" i="2"/>
  <c r="L548" i="2"/>
  <c r="N569" i="2"/>
  <c r="R327" i="2"/>
  <c r="O463" i="2"/>
  <c r="Q620" i="2"/>
  <c r="T569" i="2"/>
  <c r="T939" i="2"/>
  <c r="N439" i="2"/>
  <c r="O297" i="2"/>
  <c r="R617" i="2"/>
  <c r="U228" i="2"/>
  <c r="O417" i="2"/>
  <c r="M194" i="2"/>
  <c r="K581" i="2"/>
  <c r="U606" i="2"/>
  <c r="R411" i="2"/>
  <c r="N468" i="2"/>
  <c r="S356" i="2"/>
  <c r="P477" i="2"/>
  <c r="S322" i="2"/>
  <c r="K348" i="2"/>
  <c r="U830" i="2"/>
  <c r="T307" i="2"/>
  <c r="Q45" i="2"/>
  <c r="K717" i="2"/>
  <c r="K784" i="2"/>
  <c r="J1162" i="2"/>
  <c r="T804" i="2"/>
  <c r="M494" i="2"/>
  <c r="R834" i="2"/>
  <c r="T1229" i="2"/>
  <c r="L494" i="2"/>
  <c r="S808" i="2"/>
  <c r="M344" i="2"/>
  <c r="S1265" i="2"/>
  <c r="O1176" i="2"/>
  <c r="U295" i="2"/>
  <c r="Q1499" i="2"/>
  <c r="T648" i="2"/>
  <c r="P722" i="2"/>
  <c r="U244" i="2"/>
  <c r="U71" i="2"/>
  <c r="J618" i="2"/>
  <c r="K283" i="2"/>
  <c r="N912" i="2"/>
  <c r="R76" i="2"/>
  <c r="R27" i="2"/>
  <c r="O71" i="2"/>
  <c r="N90" i="2"/>
  <c r="O204" i="2"/>
  <c r="L414" i="2"/>
  <c r="Q69" i="2"/>
  <c r="K378" i="2"/>
  <c r="N218" i="2"/>
  <c r="M629" i="2"/>
  <c r="R159" i="2"/>
  <c r="U723" i="2"/>
  <c r="N324" i="2"/>
  <c r="L404" i="2"/>
  <c r="T72" i="2"/>
  <c r="S360" i="2"/>
  <c r="L254" i="2"/>
  <c r="T187" i="2"/>
  <c r="Q467" i="2"/>
  <c r="K176" i="2"/>
  <c r="T415" i="2"/>
  <c r="O415" i="2"/>
  <c r="J1171" i="2"/>
  <c r="S543" i="2"/>
  <c r="Q410" i="2"/>
  <c r="Q127" i="2"/>
  <c r="N254" i="2"/>
  <c r="T53" i="2"/>
  <c r="O521" i="2"/>
  <c r="R59" i="2"/>
  <c r="T996" i="2"/>
  <c r="N230" i="2"/>
  <c r="Q416" i="2"/>
  <c r="U336" i="2"/>
  <c r="O49" i="2"/>
  <c r="U161" i="2"/>
  <c r="R510" i="2"/>
  <c r="N1336" i="2"/>
  <c r="P173" i="2"/>
  <c r="L606" i="2"/>
  <c r="R269" i="2"/>
  <c r="M412" i="2"/>
  <c r="T207" i="2"/>
  <c r="L925" i="2"/>
  <c r="Q23" i="2"/>
  <c r="P1435" i="2"/>
  <c r="O503" i="2"/>
  <c r="M209" i="2"/>
  <c r="S755" i="2"/>
  <c r="O568" i="2"/>
  <c r="P226" i="2"/>
  <c r="O61" i="2"/>
  <c r="R1200" i="2"/>
  <c r="Q632" i="2"/>
  <c r="M5" i="2"/>
  <c r="O42" i="2"/>
  <c r="P380" i="2"/>
  <c r="L185" i="2"/>
  <c r="S161" i="2"/>
  <c r="O278" i="2"/>
  <c r="R421" i="2"/>
  <c r="K443" i="2"/>
  <c r="K431" i="2"/>
  <c r="T353" i="2"/>
  <c r="P112" i="2"/>
  <c r="T460" i="2"/>
  <c r="U400" i="2"/>
  <c r="S179" i="2"/>
  <c r="P227" i="2"/>
  <c r="K395" i="2"/>
  <c r="R1271" i="2"/>
  <c r="S725" i="2"/>
  <c r="U354" i="2"/>
  <c r="R148" i="2"/>
  <c r="S556" i="2"/>
  <c r="M162" i="2"/>
  <c r="J712" i="2"/>
  <c r="Q22" i="2"/>
  <c r="R504" i="2"/>
  <c r="Q1015" i="2"/>
  <c r="J315" i="2"/>
  <c r="M742" i="2"/>
  <c r="O689" i="2"/>
  <c r="M147" i="2"/>
  <c r="U803" i="2"/>
  <c r="N1057" i="2"/>
  <c r="Q397" i="2"/>
  <c r="N731" i="2"/>
  <c r="N248" i="2"/>
  <c r="M222" i="2"/>
  <c r="Q220" i="2"/>
  <c r="P208" i="2"/>
  <c r="R130" i="2"/>
  <c r="R235" i="2"/>
  <c r="L190" i="2"/>
  <c r="M202" i="2"/>
  <c r="O208" i="2"/>
  <c r="Q595" i="2"/>
  <c r="R250" i="2"/>
  <c r="J227" i="2"/>
  <c r="T278" i="2"/>
  <c r="O1198" i="2"/>
  <c r="O18" i="2"/>
  <c r="K123" i="2"/>
  <c r="M358" i="2"/>
  <c r="U761" i="2"/>
  <c r="Q239" i="2"/>
  <c r="U277" i="2"/>
  <c r="S674" i="2"/>
  <c r="M235" i="2"/>
  <c r="M386" i="2"/>
  <c r="U10" i="2"/>
  <c r="Q315" i="2"/>
  <c r="T133" i="2"/>
  <c r="L140" i="2"/>
  <c r="N46" i="2"/>
  <c r="T573" i="2"/>
  <c r="L718" i="2"/>
  <c r="Q474" i="2"/>
  <c r="T417" i="2"/>
  <c r="P75" i="2"/>
  <c r="S90" i="2"/>
  <c r="J33" i="2"/>
  <c r="M171" i="2"/>
  <c r="Q588" i="2"/>
  <c r="N588" i="2"/>
  <c r="K709" i="2"/>
  <c r="N94" i="2"/>
  <c r="M62" i="2"/>
  <c r="J434" i="2"/>
  <c r="P943" i="2"/>
  <c r="R464" i="2"/>
  <c r="M293" i="2"/>
  <c r="U385" i="2"/>
  <c r="L160" i="2"/>
  <c r="P1189" i="2"/>
  <c r="L1263" i="2"/>
  <c r="T522" i="2"/>
  <c r="O941" i="2"/>
  <c r="P1049" i="2"/>
  <c r="S1474" i="2"/>
  <c r="N1222" i="2"/>
  <c r="Q829" i="2"/>
  <c r="N379" i="2"/>
  <c r="P1212" i="2"/>
  <c r="S988" i="2"/>
  <c r="J601" i="2"/>
  <c r="M1086" i="2"/>
  <c r="P294" i="2"/>
  <c r="T862" i="2"/>
  <c r="U243" i="2"/>
  <c r="S1057" i="2"/>
  <c r="T702" i="2"/>
  <c r="O1004" i="2"/>
  <c r="K407" i="2"/>
  <c r="L1186" i="2"/>
  <c r="U726" i="2"/>
  <c r="L510" i="2"/>
  <c r="O666" i="2"/>
  <c r="K577" i="2"/>
  <c r="R264" i="2"/>
  <c r="P985" i="2"/>
  <c r="U829" i="2"/>
  <c r="J586" i="2"/>
  <c r="L857" i="2"/>
  <c r="Q538" i="2"/>
  <c r="Q1017" i="2"/>
  <c r="U1533" i="2"/>
  <c r="S1146" i="2"/>
  <c r="U283" i="2"/>
  <c r="L928" i="2"/>
  <c r="U1183" i="2"/>
  <c r="K935" i="2"/>
  <c r="Q818" i="2"/>
  <c r="N187" i="2"/>
  <c r="Q179" i="2"/>
  <c r="S86" i="2"/>
  <c r="O516" i="2"/>
  <c r="N394" i="2"/>
  <c r="O526" i="2"/>
  <c r="L289" i="2"/>
  <c r="N216" i="2"/>
  <c r="M313" i="2"/>
  <c r="K1325" i="2"/>
  <c r="Q560" i="2"/>
  <c r="P330" i="2"/>
  <c r="S243" i="2"/>
  <c r="O650" i="2"/>
  <c r="Q772" i="2"/>
  <c r="M697" i="2"/>
  <c r="R190" i="2"/>
  <c r="U709" i="2"/>
  <c r="Q282" i="2"/>
  <c r="L622" i="2"/>
  <c r="N16" i="2"/>
  <c r="T792" i="2"/>
  <c r="K673" i="2"/>
  <c r="T503" i="2"/>
  <c r="P694" i="2"/>
  <c r="N579" i="2"/>
  <c r="R79" i="2"/>
  <c r="S446" i="2"/>
  <c r="R861" i="2"/>
  <c r="L458" i="2"/>
  <c r="U401" i="2"/>
  <c r="S453" i="2"/>
  <c r="J400" i="2"/>
  <c r="N369" i="2"/>
  <c r="O449" i="2"/>
  <c r="K230" i="2"/>
  <c r="K653" i="2"/>
  <c r="J360" i="2"/>
  <c r="Q142" i="2"/>
  <c r="K404" i="2"/>
  <c r="M413" i="2"/>
  <c r="Q74" i="2"/>
  <c r="Q639" i="2"/>
  <c r="T260" i="2"/>
  <c r="N652" i="2"/>
  <c r="L713" i="2"/>
  <c r="T821" i="2"/>
  <c r="K509" i="2"/>
  <c r="O78" i="2"/>
  <c r="J662" i="2"/>
  <c r="K591" i="2"/>
  <c r="S289" i="2"/>
  <c r="U561" i="2"/>
  <c r="P356" i="2"/>
  <c r="J820" i="2"/>
  <c r="J84" i="2"/>
  <c r="Q157" i="2"/>
  <c r="S1076" i="2"/>
  <c r="U1047" i="2"/>
  <c r="K332" i="2"/>
  <c r="T31" i="2"/>
  <c r="N455" i="2"/>
  <c r="S986" i="2"/>
  <c r="R300" i="2"/>
  <c r="R122" i="2"/>
  <c r="J673" i="2"/>
  <c r="Q759" i="2"/>
  <c r="S585" i="2"/>
  <c r="K253" i="2"/>
  <c r="O27" i="2"/>
  <c r="J986" i="2"/>
  <c r="K745" i="2"/>
  <c r="J882" i="2"/>
  <c r="J804" i="2"/>
  <c r="P647" i="2"/>
  <c r="K692" i="2"/>
  <c r="L746" i="2"/>
  <c r="S345" i="2"/>
  <c r="T447" i="2"/>
  <c r="Q210" i="2"/>
  <c r="N403" i="2"/>
  <c r="K426" i="2"/>
  <c r="S678" i="2"/>
  <c r="N37" i="2"/>
  <c r="O162" i="2"/>
  <c r="Q601" i="2"/>
  <c r="S31" i="2"/>
  <c r="K328" i="2"/>
  <c r="M274" i="2"/>
  <c r="K576" i="2"/>
  <c r="T200" i="2"/>
  <c r="P45" i="2"/>
  <c r="L390" i="2"/>
  <c r="L188" i="2"/>
  <c r="Q256" i="2"/>
  <c r="U626" i="2"/>
  <c r="P4" i="2"/>
  <c r="O387" i="2"/>
  <c r="Q17" i="2"/>
  <c r="P342" i="2"/>
  <c r="T683" i="2"/>
  <c r="S388" i="2"/>
  <c r="S210" i="2"/>
  <c r="M602" i="2"/>
  <c r="L813" i="2"/>
  <c r="O12" i="2"/>
  <c r="O406" i="2"/>
  <c r="J217" i="2"/>
  <c r="S192" i="2"/>
  <c r="M682" i="2"/>
  <c r="S361" i="2"/>
  <c r="M24" i="2"/>
  <c r="J122" i="2"/>
  <c r="T151" i="2"/>
  <c r="P268" i="2"/>
  <c r="K177" i="2"/>
  <c r="S258" i="2"/>
  <c r="L155" i="2"/>
  <c r="O545" i="2"/>
  <c r="P463" i="2"/>
  <c r="O67" i="2"/>
  <c r="N36" i="2"/>
  <c r="Q37" i="2"/>
  <c r="O334" i="2"/>
  <c r="N240" i="2"/>
  <c r="S98" i="2"/>
  <c r="T62" i="2"/>
  <c r="N104" i="2"/>
  <c r="K108" i="2"/>
  <c r="S587" i="2"/>
  <c r="U128" i="2"/>
  <c r="S41" i="2"/>
  <c r="S748" i="2"/>
  <c r="O1080" i="2"/>
  <c r="U238" i="2"/>
  <c r="S475" i="2"/>
  <c r="J76" i="2"/>
  <c r="K247" i="2"/>
  <c r="P183" i="2"/>
  <c r="M911" i="2"/>
  <c r="Q392" i="2"/>
  <c r="L413" i="2"/>
  <c r="N438" i="2"/>
  <c r="U154" i="2"/>
  <c r="J359" i="2"/>
  <c r="L321" i="2"/>
  <c r="N102" i="2"/>
  <c r="K121" i="2"/>
  <c r="S926" i="2"/>
  <c r="U236" i="2"/>
  <c r="L239" i="2"/>
  <c r="P1098" i="2"/>
  <c r="Q486" i="2"/>
  <c r="L5" i="2"/>
  <c r="N404" i="2"/>
  <c r="R219" i="2"/>
  <c r="K82" i="2"/>
  <c r="K819" i="2"/>
  <c r="N193" i="2"/>
  <c r="Q215" i="2"/>
  <c r="N691" i="2"/>
  <c r="T715" i="2"/>
  <c r="O39" i="2"/>
  <c r="T336" i="2"/>
  <c r="P125" i="2"/>
  <c r="U373" i="2"/>
  <c r="K621" i="2"/>
  <c r="K50" i="2"/>
  <c r="U686" i="2"/>
  <c r="J113" i="2"/>
  <c r="U115" i="2"/>
  <c r="Q505" i="2"/>
  <c r="U445" i="2"/>
  <c r="N113" i="2"/>
  <c r="J168" i="2"/>
  <c r="M462" i="2"/>
  <c r="K22" i="2"/>
  <c r="O15" i="2"/>
  <c r="U146" i="2"/>
  <c r="P49" i="2"/>
  <c r="O172" i="2"/>
  <c r="M788" i="2"/>
  <c r="K885" i="2"/>
  <c r="P714" i="2"/>
  <c r="Q1103" i="2"/>
  <c r="K1201" i="2"/>
  <c r="M1034" i="2"/>
  <c r="N1284" i="2"/>
  <c r="S122" i="2"/>
  <c r="J525" i="2"/>
  <c r="S469" i="2"/>
  <c r="T927" i="2"/>
  <c r="K735" i="2"/>
  <c r="R688" i="2"/>
  <c r="S641" i="2"/>
  <c r="N1056" i="2"/>
  <c r="Q133" i="2"/>
  <c r="M929" i="2"/>
  <c r="N673" i="2"/>
  <c r="M1239" i="2"/>
  <c r="O826" i="2"/>
  <c r="J507" i="2"/>
  <c r="S708" i="2"/>
  <c r="O603" i="2"/>
  <c r="T340" i="2"/>
  <c r="R595" i="2"/>
  <c r="N44" i="2"/>
  <c r="U708" i="2"/>
  <c r="U858" i="2"/>
  <c r="M480" i="2"/>
  <c r="P550" i="2"/>
  <c r="Q928" i="2"/>
  <c r="N435" i="2"/>
  <c r="L630" i="2"/>
  <c r="N1108" i="2"/>
  <c r="L745" i="2"/>
  <c r="S1009" i="2"/>
  <c r="Q1311" i="2"/>
  <c r="K1193" i="2"/>
  <c r="R304" i="2"/>
  <c r="J218" i="2"/>
  <c r="T268" i="2"/>
  <c r="N122" i="2"/>
  <c r="T660" i="2"/>
  <c r="O871" i="2"/>
  <c r="K345" i="2"/>
  <c r="R263" i="2"/>
  <c r="Q260" i="2"/>
  <c r="N308" i="2"/>
  <c r="N705" i="2"/>
  <c r="L751" i="2"/>
  <c r="Q468" i="2"/>
  <c r="R361" i="2"/>
  <c r="L724" i="2"/>
  <c r="Q231" i="2"/>
  <c r="K715" i="2"/>
  <c r="J376" i="2"/>
  <c r="P113" i="2"/>
  <c r="T22" i="2"/>
  <c r="R137" i="2"/>
  <c r="L691" i="2"/>
  <c r="L130" i="2"/>
  <c r="P661" i="2"/>
  <c r="R430" i="2"/>
  <c r="P775" i="2"/>
  <c r="S256" i="2"/>
  <c r="Q85" i="2"/>
  <c r="P186" i="2"/>
  <c r="K693" i="2"/>
  <c r="Q572" i="2"/>
  <c r="U174" i="2"/>
  <c r="J930" i="2"/>
  <c r="M640" i="2"/>
  <c r="T32" i="2"/>
  <c r="M176" i="2"/>
  <c r="K302" i="2"/>
  <c r="O769" i="2"/>
  <c r="S503" i="2"/>
  <c r="R660" i="2"/>
  <c r="R303" i="2"/>
  <c r="R704" i="2"/>
  <c r="M265" i="2"/>
  <c r="K874" i="2"/>
  <c r="S559" i="2"/>
  <c r="T560" i="2"/>
  <c r="S589" i="2"/>
  <c r="J574" i="2"/>
  <c r="S513" i="2"/>
  <c r="L366" i="2"/>
  <c r="K628" i="2"/>
  <c r="O944" i="2"/>
  <c r="R424" i="2"/>
  <c r="U710" i="2"/>
  <c r="J517" i="2"/>
  <c r="M615" i="2"/>
  <c r="Q326" i="2"/>
  <c r="P729" i="2"/>
  <c r="P858" i="2"/>
  <c r="O511" i="2"/>
  <c r="N688" i="2"/>
  <c r="K371" i="2"/>
  <c r="S358" i="2"/>
  <c r="L779" i="2"/>
  <c r="J646" i="2"/>
  <c r="R751" i="2"/>
  <c r="U196" i="2"/>
  <c r="T866" i="2"/>
  <c r="S761" i="2"/>
  <c r="T88" i="2"/>
  <c r="N980" i="2"/>
  <c r="Q765" i="2"/>
  <c r="S403" i="2"/>
  <c r="N1339" i="2"/>
  <c r="S1048" i="2"/>
  <c r="T1072" i="2"/>
  <c r="M869" i="2"/>
  <c r="L242" i="2"/>
  <c r="U428" i="2"/>
  <c r="J47" i="2"/>
  <c r="L249" i="2"/>
  <c r="L76" i="2"/>
  <c r="J720" i="2"/>
  <c r="R241" i="2"/>
  <c r="J454" i="2"/>
  <c r="U562" i="2"/>
  <c r="L207" i="2"/>
  <c r="U99" i="2"/>
  <c r="L65" i="2"/>
  <c r="U136" i="2"/>
  <c r="Q290" i="2"/>
  <c r="J905" i="2"/>
  <c r="P1034" i="2"/>
  <c r="L355" i="2"/>
  <c r="L465" i="2"/>
  <c r="R624" i="2"/>
  <c r="Q514" i="2"/>
  <c r="S53" i="2"/>
  <c r="T111" i="2"/>
  <c r="Q20" i="2"/>
  <c r="K638" i="2"/>
  <c r="K314" i="2"/>
  <c r="U214" i="2"/>
  <c r="O119" i="2"/>
  <c r="S103" i="2"/>
  <c r="Q120" i="2"/>
  <c r="K124" i="2"/>
  <c r="T181" i="2"/>
  <c r="T219" i="2"/>
  <c r="T163" i="2"/>
  <c r="O676" i="2"/>
  <c r="L737" i="2"/>
  <c r="L54" i="2"/>
  <c r="O261" i="2"/>
  <c r="K629" i="2"/>
  <c r="N293" i="2"/>
  <c r="T308" i="2"/>
  <c r="U225" i="2"/>
  <c r="S514" i="2"/>
  <c r="J760" i="2"/>
  <c r="L266" i="2"/>
  <c r="Q180" i="2"/>
  <c r="K391" i="2"/>
  <c r="S266" i="2"/>
  <c r="J242" i="2"/>
  <c r="T712" i="2"/>
  <c r="U701" i="2"/>
  <c r="J317" i="2"/>
  <c r="K35" i="2"/>
  <c r="M276" i="2"/>
  <c r="O549" i="2"/>
  <c r="P279" i="2"/>
  <c r="P142" i="2"/>
  <c r="S58" i="2"/>
  <c r="T759" i="2"/>
  <c r="L431" i="2"/>
  <c r="L319" i="2"/>
  <c r="R451" i="2"/>
  <c r="O419" i="2"/>
  <c r="K4" i="2"/>
  <c r="P705" i="2"/>
  <c r="R541" i="2"/>
  <c r="S365" i="2"/>
  <c r="Q334" i="2"/>
  <c r="S92" i="2"/>
  <c r="L348" i="2"/>
  <c r="K549" i="2"/>
  <c r="P991" i="2"/>
  <c r="T426" i="2"/>
  <c r="M756" i="2"/>
  <c r="J470" i="2"/>
  <c r="L351" i="2"/>
  <c r="M683" i="2"/>
  <c r="M141" i="2"/>
  <c r="L87" i="2"/>
  <c r="O328" i="2"/>
  <c r="P612" i="2"/>
  <c r="S194" i="2"/>
  <c r="S831" i="2"/>
  <c r="L378" i="2"/>
  <c r="U408" i="2"/>
  <c r="K544" i="2"/>
  <c r="U579" i="2"/>
  <c r="J228" i="2"/>
  <c r="M261" i="2"/>
  <c r="K300" i="2"/>
  <c r="O514" i="2"/>
  <c r="K698" i="2"/>
  <c r="L860" i="2"/>
  <c r="Q89" i="2"/>
  <c r="N164" i="2"/>
  <c r="J5" i="2"/>
  <c r="T157" i="2"/>
  <c r="L560" i="2"/>
  <c r="J368" i="2"/>
  <c r="S240" i="2"/>
  <c r="K322" i="2"/>
  <c r="J48" i="2"/>
  <c r="T820" i="2"/>
  <c r="L169" i="2"/>
  <c r="U280" i="2"/>
  <c r="S36" i="2"/>
  <c r="Q72" i="2"/>
  <c r="J253" i="2"/>
  <c r="Q459" i="2"/>
  <c r="K757" i="2"/>
  <c r="L579" i="2"/>
  <c r="Q101" i="2"/>
  <c r="O236" i="2"/>
  <c r="O223" i="2"/>
  <c r="U566" i="2"/>
  <c r="K130" i="2"/>
  <c r="K183" i="2"/>
  <c r="N31" i="2"/>
  <c r="N185" i="2"/>
  <c r="T727" i="2"/>
  <c r="K215" i="2"/>
  <c r="P151" i="2"/>
  <c r="S473" i="2"/>
  <c r="S137" i="2"/>
  <c r="O55" i="2"/>
  <c r="J77" i="2"/>
  <c r="S80" i="2"/>
  <c r="S406" i="2"/>
  <c r="P101" i="2"/>
  <c r="L82" i="2"/>
  <c r="S834" i="2"/>
  <c r="S618" i="2"/>
  <c r="L340" i="2"/>
  <c r="N105" i="2"/>
  <c r="U33" i="2"/>
  <c r="L43" i="2"/>
  <c r="Q992" i="2"/>
  <c r="R598" i="2"/>
  <c r="O242" i="2"/>
  <c r="L418" i="2"/>
  <c r="T58" i="2"/>
  <c r="N1063" i="2"/>
  <c r="P631" i="2"/>
  <c r="S944" i="2"/>
  <c r="Q781" i="2"/>
  <c r="R973" i="2"/>
  <c r="M901" i="2"/>
  <c r="R858" i="2"/>
  <c r="J55" i="2"/>
  <c r="K934" i="2"/>
  <c r="U1237" i="2"/>
  <c r="M613" i="2"/>
  <c r="P680" i="2"/>
  <c r="N893" i="2"/>
  <c r="J848" i="2"/>
  <c r="O1048" i="2"/>
  <c r="L732" i="2"/>
  <c r="Q884" i="2"/>
  <c r="O345" i="2"/>
  <c r="N869" i="2"/>
  <c r="N751" i="2"/>
  <c r="R885" i="2"/>
  <c r="J591" i="2"/>
  <c r="Q669" i="2"/>
  <c r="K385" i="2"/>
  <c r="M408" i="2"/>
  <c r="K403" i="2"/>
  <c r="R778" i="2"/>
  <c r="O541" i="2"/>
  <c r="S355" i="2"/>
  <c r="L1118" i="2"/>
  <c r="N919" i="2"/>
  <c r="R587" i="2"/>
  <c r="K879" i="2"/>
  <c r="K922" i="2"/>
  <c r="O961" i="2"/>
  <c r="N976" i="2"/>
  <c r="U980" i="2"/>
  <c r="P1159" i="2"/>
  <c r="S134" i="2"/>
  <c r="T670" i="2"/>
  <c r="K284" i="2"/>
  <c r="K853" i="2"/>
  <c r="N482" i="2"/>
  <c r="J679" i="2"/>
  <c r="J155" i="2"/>
  <c r="U211" i="2"/>
  <c r="Q213" i="2"/>
  <c r="J398" i="2"/>
  <c r="N467" i="2"/>
  <c r="P518" i="2"/>
  <c r="T312" i="2"/>
  <c r="N811" i="2"/>
  <c r="L515" i="2"/>
  <c r="N572" i="2"/>
  <c r="R281" i="2"/>
  <c r="U350" i="2"/>
  <c r="R312" i="2"/>
  <c r="K30" i="2"/>
  <c r="P97" i="2"/>
  <c r="L565" i="2"/>
  <c r="L993" i="2"/>
  <c r="M585" i="2"/>
  <c r="R992" i="2"/>
  <c r="J593" i="2"/>
  <c r="N692" i="2"/>
  <c r="R157" i="2"/>
  <c r="T550" i="2"/>
  <c r="S661" i="2"/>
  <c r="Q540" i="2"/>
  <c r="O596" i="2"/>
  <c r="S414" i="2"/>
  <c r="O634" i="2"/>
  <c r="N120" i="2"/>
  <c r="K412" i="2"/>
  <c r="M135" i="2"/>
  <c r="J862" i="2"/>
  <c r="R801" i="2"/>
  <c r="L346" i="2"/>
  <c r="Q903" i="2"/>
  <c r="O355" i="2"/>
  <c r="O178" i="2"/>
  <c r="R579" i="2"/>
  <c r="N725" i="2"/>
  <c r="T458" i="2"/>
  <c r="S656" i="2"/>
  <c r="M517" i="2"/>
  <c r="T599" i="2"/>
  <c r="Q481" i="2"/>
  <c r="R681" i="2"/>
  <c r="J387" i="2"/>
  <c r="L430" i="2"/>
  <c r="N380" i="2"/>
  <c r="S412" i="2"/>
  <c r="J485" i="2"/>
  <c r="M321" i="2"/>
  <c r="O280" i="2"/>
  <c r="N911" i="2"/>
  <c r="S772" i="2"/>
  <c r="S42" i="2"/>
  <c r="L659" i="2"/>
  <c r="L517" i="2"/>
  <c r="Q826" i="2"/>
  <c r="T358" i="2"/>
  <c r="U492" i="2"/>
  <c r="L811" i="2"/>
  <c r="J688" i="2"/>
  <c r="M908" i="2"/>
  <c r="T204" i="2"/>
  <c r="L441" i="2"/>
  <c r="T1064" i="2"/>
  <c r="N746" i="2"/>
  <c r="T603" i="2"/>
  <c r="J937" i="2"/>
  <c r="J639" i="2"/>
  <c r="M1107" i="2"/>
  <c r="T416" i="2"/>
  <c r="R324" i="2"/>
  <c r="N557" i="2"/>
  <c r="R603" i="2"/>
  <c r="U388" i="2"/>
  <c r="M598" i="2"/>
  <c r="O279" i="2"/>
  <c r="N433" i="2"/>
  <c r="U125" i="2"/>
  <c r="J89" i="2"/>
  <c r="U463" i="2"/>
  <c r="M307" i="2"/>
  <c r="K36" i="2"/>
  <c r="M69" i="2"/>
  <c r="P711" i="2"/>
  <c r="S613" i="2"/>
  <c r="P58" i="2"/>
  <c r="J416" i="2"/>
  <c r="Q446" i="2"/>
  <c r="S163" i="2"/>
  <c r="J58" i="2"/>
  <c r="Q160" i="2"/>
  <c r="O275" i="2"/>
  <c r="R630" i="2"/>
  <c r="L365" i="2"/>
  <c r="N963" i="2"/>
  <c r="P196" i="2"/>
  <c r="U15" i="2"/>
  <c r="R726" i="2"/>
  <c r="U92" i="2"/>
  <c r="J366" i="2"/>
  <c r="L381" i="2"/>
  <c r="L363" i="2"/>
  <c r="O604" i="2"/>
  <c r="J808" i="2"/>
  <c r="K454" i="2"/>
  <c r="Q267" i="2"/>
  <c r="L555" i="2"/>
  <c r="U89" i="2"/>
  <c r="P219" i="2"/>
  <c r="P423" i="2"/>
  <c r="R288" i="2"/>
  <c r="N510" i="2"/>
  <c r="K540" i="2"/>
  <c r="U242" i="2"/>
  <c r="S162" i="2"/>
  <c r="R150" i="2"/>
  <c r="L297" i="2"/>
  <c r="O563" i="2"/>
  <c r="T947" i="2"/>
  <c r="K905" i="2"/>
  <c r="K415" i="2"/>
  <c r="U49" i="2"/>
  <c r="Q194" i="2"/>
  <c r="R544" i="2"/>
  <c r="J193" i="2"/>
  <c r="N197" i="2"/>
  <c r="P728" i="2"/>
  <c r="S592" i="2"/>
  <c r="Q172" i="2"/>
  <c r="R65" i="2"/>
  <c r="L322" i="2"/>
  <c r="M79" i="2"/>
  <c r="K762" i="2"/>
  <c r="M502" i="2"/>
  <c r="J67" i="2"/>
  <c r="L11" i="2"/>
  <c r="R328" i="2"/>
  <c r="R365" i="2"/>
  <c r="T61" i="2"/>
  <c r="J786" i="2"/>
  <c r="K877" i="2"/>
  <c r="J395" i="2"/>
  <c r="T285" i="2"/>
  <c r="K219" i="2"/>
  <c r="O53" i="2"/>
  <c r="J270" i="2"/>
  <c r="L198" i="2"/>
  <c r="P258" i="2"/>
  <c r="K953" i="2"/>
  <c r="O146" i="2"/>
  <c r="K657" i="2"/>
  <c r="N1111" i="2"/>
  <c r="K167" i="2"/>
  <c r="O685" i="2"/>
  <c r="M508" i="2"/>
  <c r="K49" i="2"/>
  <c r="Q225" i="2"/>
  <c r="P362" i="2"/>
  <c r="M392" i="2"/>
  <c r="K416" i="2"/>
  <c r="L403" i="2"/>
  <c r="K146" i="2"/>
  <c r="Q193" i="2"/>
  <c r="M633" i="2"/>
  <c r="Q212" i="2"/>
  <c r="K557" i="2"/>
  <c r="N371" i="2"/>
  <c r="M46" i="2"/>
  <c r="L246" i="2"/>
  <c r="R2" i="2"/>
  <c r="P471" i="2"/>
  <c r="L405" i="2"/>
  <c r="Q188" i="2"/>
  <c r="L695" i="2"/>
  <c r="Q1516" i="2"/>
  <c r="P579" i="2"/>
  <c r="J429" i="2"/>
  <c r="U1115" i="2"/>
  <c r="O1260" i="2"/>
  <c r="Q1063" i="2"/>
  <c r="P738" i="2"/>
  <c r="M453" i="2"/>
  <c r="U392" i="2"/>
  <c r="P770" i="2"/>
  <c r="M740" i="2"/>
  <c r="O512" i="2"/>
  <c r="L739" i="2"/>
  <c r="S347" i="2"/>
  <c r="K1405" i="2"/>
  <c r="S449" i="2"/>
  <c r="T818" i="2"/>
  <c r="U750" i="2"/>
  <c r="T1046" i="2"/>
  <c r="P1588" i="2"/>
  <c r="S715" i="2"/>
  <c r="J553" i="2"/>
  <c r="K1022" i="2"/>
  <c r="T710" i="2"/>
  <c r="S396" i="2"/>
  <c r="L807" i="2"/>
  <c r="Q568" i="2"/>
  <c r="T540" i="2"/>
  <c r="S1045" i="2"/>
  <c r="K564" i="2"/>
  <c r="M482" i="2"/>
  <c r="R314" i="2"/>
  <c r="P912" i="2"/>
  <c r="K730" i="2"/>
  <c r="K733" i="2"/>
  <c r="T471" i="2"/>
  <c r="P893" i="2"/>
  <c r="N710" i="2"/>
  <c r="Q933" i="2"/>
  <c r="Q547" i="2"/>
  <c r="Q65" i="2"/>
  <c r="N269" i="2"/>
  <c r="T669" i="2"/>
  <c r="J421" i="2"/>
  <c r="U655" i="2"/>
  <c r="N1004" i="2"/>
  <c r="O92" i="2"/>
  <c r="T28" i="2"/>
  <c r="T517" i="2"/>
  <c r="R675" i="2"/>
  <c r="M495" i="2"/>
  <c r="L304" i="2"/>
  <c r="S767" i="2"/>
  <c r="K843" i="2"/>
  <c r="K484" i="2"/>
  <c r="N763" i="2"/>
  <c r="U25" i="2"/>
  <c r="L240" i="2"/>
  <c r="M196" i="2"/>
  <c r="J135" i="2"/>
  <c r="S1094" i="2"/>
  <c r="R427" i="2"/>
  <c r="P857" i="2"/>
  <c r="O282" i="2"/>
  <c r="J740" i="2"/>
  <c r="T521" i="2"/>
  <c r="M489" i="2"/>
  <c r="O677" i="2"/>
  <c r="S548" i="2"/>
  <c r="M311" i="2"/>
  <c r="K634" i="2"/>
  <c r="S193" i="2"/>
  <c r="U712" i="2"/>
  <c r="M443" i="2"/>
  <c r="T761" i="2"/>
  <c r="T807" i="2"/>
  <c r="K365" i="2"/>
  <c r="Q306" i="2"/>
  <c r="P308" i="2"/>
  <c r="U449" i="2"/>
  <c r="P290" i="2"/>
  <c r="O785" i="2"/>
  <c r="U681" i="2"/>
  <c r="Q323" i="2"/>
  <c r="U698" i="2"/>
  <c r="R489" i="2"/>
  <c r="K358" i="2"/>
  <c r="J124" i="2"/>
  <c r="N957" i="2"/>
  <c r="T549" i="2"/>
  <c r="S111" i="2"/>
  <c r="S416" i="2"/>
  <c r="R364" i="2"/>
  <c r="P584" i="2"/>
  <c r="N260" i="2"/>
  <c r="K164" i="2"/>
  <c r="T1352" i="2"/>
  <c r="S430" i="2"/>
  <c r="M211" i="2"/>
  <c r="K341" i="2"/>
  <c r="P110" i="2"/>
  <c r="M708" i="2"/>
  <c r="J693" i="2"/>
  <c r="J423" i="2"/>
  <c r="P704" i="2"/>
  <c r="T448" i="2"/>
  <c r="Q1408" i="2"/>
  <c r="P174" i="2"/>
  <c r="R198" i="2"/>
  <c r="T922" i="2"/>
  <c r="N603" i="2"/>
  <c r="M349" i="2"/>
  <c r="R1088" i="2"/>
  <c r="J860" i="2"/>
  <c r="O912" i="2"/>
  <c r="S653" i="2"/>
  <c r="U458" i="2"/>
  <c r="L328" i="2"/>
  <c r="T1442" i="2"/>
  <c r="J640" i="2"/>
  <c r="R776" i="2"/>
  <c r="N723" i="2"/>
  <c r="S214" i="2"/>
  <c r="O327" i="2"/>
  <c r="S176" i="2"/>
  <c r="K237" i="2"/>
  <c r="K83" i="2"/>
  <c r="J23" i="2"/>
  <c r="N194" i="2"/>
  <c r="J772" i="2"/>
  <c r="T42" i="2"/>
  <c r="Q258" i="2"/>
  <c r="K39" i="2"/>
  <c r="U31" i="2"/>
  <c r="S169" i="2"/>
  <c r="P609" i="2"/>
  <c r="S436" i="2"/>
  <c r="L384" i="2"/>
  <c r="M988" i="2"/>
  <c r="N412" i="2"/>
  <c r="M90" i="2"/>
  <c r="U58" i="2"/>
  <c r="R155" i="2"/>
  <c r="K517" i="2"/>
  <c r="S336" i="2"/>
  <c r="N431" i="2"/>
  <c r="J278" i="2"/>
  <c r="L232" i="2"/>
  <c r="R590" i="2"/>
  <c r="M459" i="2"/>
  <c r="N109" i="2"/>
  <c r="Q370" i="2"/>
  <c r="S434" i="2"/>
  <c r="Q103" i="2"/>
  <c r="T887" i="2"/>
  <c r="P265" i="2"/>
  <c r="R362" i="2"/>
  <c r="P757" i="2"/>
  <c r="S367" i="2"/>
  <c r="R255" i="2"/>
  <c r="N219" i="2"/>
  <c r="R334" i="2"/>
  <c r="T26" i="2"/>
  <c r="O294" i="2"/>
  <c r="O920" i="2"/>
  <c r="Q413" i="2"/>
  <c r="P193" i="2"/>
  <c r="O321" i="2"/>
  <c r="R55" i="2"/>
  <c r="J401" i="2"/>
  <c r="U184" i="2"/>
  <c r="R336" i="2"/>
  <c r="L432" i="2"/>
  <c r="M454" i="2"/>
  <c r="R203" i="2"/>
  <c r="S97" i="2"/>
  <c r="P611" i="2"/>
  <c r="J293" i="2"/>
  <c r="N1023" i="2"/>
  <c r="O293" i="2"/>
  <c r="N134" i="2"/>
  <c r="R461" i="2"/>
  <c r="R127" i="2"/>
  <c r="P19" i="2"/>
  <c r="L202" i="2"/>
  <c r="J578" i="2"/>
  <c r="M528" i="2"/>
  <c r="T770" i="2"/>
  <c r="K153" i="2"/>
  <c r="N428" i="2"/>
  <c r="N400" i="2"/>
  <c r="R738" i="2"/>
  <c r="S316" i="2"/>
  <c r="Q610" i="2"/>
  <c r="J428" i="2"/>
  <c r="N247" i="2"/>
  <c r="M239" i="2"/>
  <c r="N303" i="2"/>
  <c r="L287" i="2"/>
  <c r="R480" i="2"/>
  <c r="T778" i="2"/>
  <c r="U513" i="2"/>
  <c r="O117" i="2"/>
  <c r="U367" i="2"/>
  <c r="N709" i="2"/>
  <c r="P709" i="2"/>
  <c r="S301" i="2"/>
  <c r="T116" i="2"/>
  <c r="S140" i="2"/>
  <c r="P671" i="2"/>
  <c r="P140" i="2"/>
  <c r="K325" i="2"/>
  <c r="P80" i="2"/>
  <c r="U50" i="2"/>
  <c r="L166" i="2"/>
  <c r="T1060" i="2"/>
  <c r="R683" i="2"/>
  <c r="O5" i="2"/>
  <c r="U344" i="2"/>
  <c r="U671" i="2"/>
  <c r="M904" i="2"/>
  <c r="U670" i="2"/>
  <c r="J1139" i="2"/>
  <c r="S1040" i="2"/>
  <c r="N1328" i="2"/>
  <c r="U818" i="2"/>
  <c r="R1000" i="2"/>
  <c r="N922" i="2"/>
  <c r="Q369" i="2"/>
  <c r="S724" i="2"/>
  <c r="R629" i="2"/>
  <c r="R699" i="2"/>
  <c r="U892" i="2"/>
  <c r="S658" i="2"/>
  <c r="R712" i="2"/>
  <c r="U754" i="2"/>
  <c r="K311" i="2"/>
  <c r="K21" i="2"/>
  <c r="P920" i="2"/>
  <c r="L844" i="2"/>
  <c r="S749" i="2"/>
  <c r="N730" i="2"/>
  <c r="N857" i="2"/>
  <c r="T838" i="2"/>
  <c r="M512" i="2"/>
  <c r="U854" i="2"/>
  <c r="R744" i="2"/>
  <c r="J354" i="2"/>
  <c r="O902" i="2"/>
  <c r="J687" i="2"/>
  <c r="S437" i="2"/>
  <c r="N1009" i="2"/>
  <c r="K1057" i="2"/>
  <c r="J936" i="2"/>
  <c r="T515" i="2"/>
  <c r="T768" i="2"/>
  <c r="S744" i="2"/>
  <c r="K601" i="2"/>
  <c r="N884" i="2"/>
  <c r="S146" i="2"/>
  <c r="U245" i="2"/>
  <c r="L139" i="2"/>
  <c r="K474" i="2"/>
  <c r="P669" i="2"/>
  <c r="S795" i="2"/>
  <c r="K159" i="2"/>
  <c r="K420" i="2"/>
  <c r="U52" i="2"/>
  <c r="S237" i="2"/>
  <c r="M406" i="2"/>
  <c r="Q68" i="2"/>
  <c r="U905" i="2"/>
  <c r="P677" i="2"/>
  <c r="P393" i="2"/>
  <c r="T351" i="2"/>
  <c r="L411" i="2"/>
  <c r="S46" i="2"/>
  <c r="O674" i="2"/>
  <c r="M22" i="2"/>
  <c r="J362" i="2"/>
  <c r="T636" i="2"/>
  <c r="N595" i="2"/>
  <c r="S77" i="2"/>
  <c r="R447" i="2"/>
  <c r="M797" i="2"/>
  <c r="K1021" i="2"/>
  <c r="M463" i="2"/>
  <c r="S1058" i="2"/>
  <c r="O397" i="2"/>
  <c r="S185" i="2"/>
  <c r="S191" i="2"/>
  <c r="O728" i="2"/>
  <c r="T704" i="2"/>
  <c r="J654" i="2"/>
  <c r="J133" i="2"/>
  <c r="L552" i="2"/>
  <c r="L679" i="2"/>
  <c r="M391" i="2"/>
  <c r="M81" i="2"/>
  <c r="J493" i="2"/>
  <c r="S102" i="2"/>
  <c r="O660" i="2"/>
  <c r="R765" i="2"/>
  <c r="S483" i="2"/>
  <c r="R741" i="2"/>
  <c r="J718" i="2"/>
  <c r="M675" i="2"/>
  <c r="L392" i="2"/>
  <c r="N562" i="2"/>
  <c r="S686" i="2"/>
  <c r="S338" i="2"/>
  <c r="P938" i="2"/>
  <c r="S701" i="2"/>
  <c r="T370" i="2"/>
  <c r="K725" i="2"/>
  <c r="R969" i="2"/>
  <c r="N992" i="2"/>
  <c r="O948" i="2"/>
  <c r="L334" i="2"/>
  <c r="P128" i="2"/>
  <c r="Q1218" i="2"/>
  <c r="L574" i="2"/>
  <c r="M547" i="2"/>
  <c r="M142" i="2"/>
  <c r="R206" i="2"/>
  <c r="M571" i="2"/>
  <c r="S424" i="2"/>
  <c r="N706" i="2"/>
  <c r="Q529" i="2"/>
  <c r="O518" i="2"/>
  <c r="L514" i="2"/>
  <c r="K70" i="2"/>
  <c r="O791" i="2"/>
  <c r="T620" i="2"/>
  <c r="N432" i="2"/>
  <c r="Q240" i="2"/>
  <c r="O193" i="2"/>
  <c r="Q116" i="2"/>
  <c r="U690" i="2"/>
  <c r="T393" i="2"/>
  <c r="N643" i="2"/>
  <c r="P283" i="2"/>
  <c r="Q83" i="2"/>
  <c r="N589" i="2"/>
  <c r="L264" i="2"/>
  <c r="T50" i="2"/>
  <c r="T459" i="2"/>
  <c r="M779" i="2"/>
  <c r="N156" i="2"/>
  <c r="S387" i="2"/>
  <c r="O768" i="2"/>
  <c r="K278" i="2"/>
  <c r="M268" i="2"/>
  <c r="K45" i="2"/>
  <c r="O80" i="2"/>
  <c r="M100" i="2"/>
  <c r="M203" i="2"/>
  <c r="S333" i="2"/>
  <c r="S553" i="2"/>
  <c r="O646" i="2"/>
  <c r="Q40" i="2"/>
  <c r="R68" i="2"/>
  <c r="Q743" i="2"/>
  <c r="P94" i="2"/>
  <c r="U67" i="2"/>
  <c r="M145" i="2"/>
  <c r="M403" i="2"/>
  <c r="N181" i="2"/>
  <c r="K534" i="2"/>
  <c r="O613" i="2"/>
  <c r="M190" i="2"/>
  <c r="S195" i="2"/>
  <c r="M428" i="2"/>
  <c r="K267" i="2"/>
  <c r="N546" i="2"/>
  <c r="T429" i="2"/>
  <c r="S229" i="2"/>
  <c r="S391" i="2"/>
  <c r="K330" i="2"/>
  <c r="P65" i="2"/>
  <c r="R912" i="2"/>
  <c r="K133" i="2"/>
  <c r="L387" i="2"/>
  <c r="L92" i="2"/>
  <c r="M497" i="2"/>
  <c r="K830" i="2"/>
  <c r="R195" i="2"/>
  <c r="L133" i="2"/>
  <c r="S323" i="2"/>
  <c r="J301" i="2"/>
  <c r="T79" i="2"/>
  <c r="Q241" i="2"/>
  <c r="R140" i="2"/>
  <c r="P421" i="2"/>
  <c r="S65" i="2"/>
  <c r="P247" i="2"/>
  <c r="T223" i="2"/>
  <c r="R407" i="2"/>
  <c r="J817" i="2"/>
  <c r="O22" i="2"/>
  <c r="U682" i="2"/>
  <c r="L42" i="2"/>
  <c r="J152" i="2"/>
  <c r="R149" i="2"/>
  <c r="M1170" i="2"/>
  <c r="L636" i="2"/>
  <c r="T160" i="2"/>
  <c r="T399" i="2"/>
  <c r="T330" i="2"/>
  <c r="U827" i="2"/>
  <c r="T567" i="2"/>
  <c r="O350" i="2"/>
  <c r="N224" i="2"/>
  <c r="K136" i="2"/>
  <c r="L62" i="2"/>
  <c r="S464" i="2"/>
  <c r="R599" i="2"/>
  <c r="O757" i="2"/>
  <c r="R224" i="2"/>
  <c r="J144" i="2"/>
  <c r="L794" i="2"/>
  <c r="P71" i="2"/>
  <c r="T9" i="2"/>
  <c r="P692" i="2"/>
  <c r="T564" i="2"/>
  <c r="R292" i="2"/>
  <c r="Q321" i="2"/>
  <c r="M285" i="2"/>
  <c r="J613" i="2"/>
  <c r="P34" i="2"/>
  <c r="P16" i="2"/>
  <c r="M368" i="2"/>
  <c r="U481" i="2"/>
  <c r="S250" i="2"/>
  <c r="Q82" i="2"/>
  <c r="R165" i="2"/>
  <c r="R743" i="2"/>
  <c r="U567" i="2"/>
  <c r="J399" i="2"/>
  <c r="J900" i="2"/>
  <c r="Q655" i="2"/>
  <c r="K195" i="2"/>
  <c r="T162" i="2"/>
  <c r="R121" i="2"/>
  <c r="T749" i="2"/>
  <c r="U127" i="2"/>
  <c r="N12" i="2"/>
  <c r="P175" i="2"/>
  <c r="K293" i="2"/>
  <c r="P61" i="2"/>
  <c r="N155" i="2"/>
  <c r="T432" i="2"/>
  <c r="O52" i="2"/>
  <c r="N718" i="2"/>
  <c r="Q112" i="2"/>
  <c r="J919" i="2"/>
  <c r="L462" i="2"/>
  <c r="T119" i="2"/>
  <c r="S173" i="2"/>
  <c r="U843" i="2"/>
  <c r="J154" i="2"/>
  <c r="K274" i="2"/>
  <c r="K347" i="2"/>
  <c r="L149" i="2"/>
  <c r="R441" i="2"/>
  <c r="M876" i="2"/>
  <c r="U190" i="2"/>
  <c r="O63" i="2"/>
  <c r="P297" i="2"/>
  <c r="J206" i="2"/>
  <c r="M346" i="2"/>
  <c r="N568" i="2"/>
  <c r="L135" i="2"/>
  <c r="Q704" i="2"/>
  <c r="Q888" i="2"/>
  <c r="T1857" i="2"/>
  <c r="M771" i="2"/>
  <c r="R1496" i="2"/>
  <c r="Q830" i="2"/>
  <c r="M646" i="2"/>
  <c r="U508" i="2"/>
  <c r="J261" i="2"/>
  <c r="N599" i="2"/>
  <c r="J439" i="2"/>
  <c r="S700" i="2"/>
  <c r="S557" i="2"/>
  <c r="P458" i="2"/>
  <c r="J350" i="2"/>
  <c r="U1935" i="2"/>
  <c r="U672" i="2"/>
  <c r="L110" i="2"/>
  <c r="P827" i="2"/>
  <c r="T982" i="2"/>
  <c r="T766" i="2"/>
  <c r="L446" i="2"/>
  <c r="S655" i="2"/>
  <c r="L422" i="2"/>
  <c r="U470" i="2"/>
  <c r="Q301" i="2"/>
  <c r="Q860" i="2"/>
  <c r="M299" i="2"/>
  <c r="K842" i="2"/>
  <c r="J515" i="2"/>
  <c r="M259" i="2"/>
  <c r="U781" i="2"/>
  <c r="J758" i="2"/>
  <c r="M687" i="2"/>
  <c r="P400" i="2"/>
  <c r="U740" i="2"/>
  <c r="M868" i="2"/>
  <c r="M954" i="2"/>
  <c r="R643" i="2"/>
  <c r="N177" i="2"/>
  <c r="K53" i="2"/>
  <c r="S156" i="2"/>
  <c r="M483" i="2"/>
  <c r="U552" i="2"/>
  <c r="Q405" i="2"/>
  <c r="Q199" i="2"/>
  <c r="T265" i="2"/>
  <c r="M124" i="2"/>
  <c r="J831" i="2"/>
  <c r="S679" i="2"/>
  <c r="T642" i="2"/>
  <c r="J1027" i="2"/>
  <c r="O483" i="2"/>
  <c r="M282" i="2"/>
  <c r="T209" i="2"/>
  <c r="K363" i="2"/>
  <c r="P448" i="2"/>
  <c r="L885" i="2"/>
  <c r="T676" i="2"/>
  <c r="R405" i="2"/>
  <c r="R682" i="2"/>
  <c r="O651" i="2"/>
  <c r="M753" i="2"/>
  <c r="J651" i="2"/>
  <c r="O443" i="2"/>
  <c r="K449" i="2"/>
  <c r="T486" i="2"/>
  <c r="K611" i="2"/>
  <c r="N597" i="2"/>
  <c r="J535" i="2"/>
  <c r="T640" i="2"/>
  <c r="Q444" i="2"/>
  <c r="T367" i="2"/>
  <c r="J216" i="2"/>
  <c r="N91" i="2"/>
  <c r="U616" i="2"/>
  <c r="O544" i="2"/>
  <c r="Q487" i="2"/>
  <c r="J38" i="2"/>
  <c r="N502" i="2"/>
  <c r="J208" i="2"/>
  <c r="M716" i="2"/>
  <c r="O437" i="2"/>
  <c r="T5" i="2"/>
  <c r="M449" i="2"/>
  <c r="R535" i="2"/>
  <c r="L625" i="2"/>
  <c r="R418" i="2"/>
  <c r="P482" i="2"/>
  <c r="O684" i="2"/>
  <c r="T619" i="2"/>
  <c r="P538" i="2"/>
  <c r="S506" i="2"/>
  <c r="P190" i="2"/>
  <c r="L685" i="2"/>
  <c r="S912" i="2"/>
  <c r="L382" i="2"/>
  <c r="Q728" i="2"/>
  <c r="S486" i="2"/>
  <c r="P688" i="2"/>
  <c r="O877" i="2"/>
  <c r="N354" i="2"/>
  <c r="T377" i="2"/>
  <c r="K626" i="2"/>
  <c r="P162" i="2"/>
  <c r="J521" i="2"/>
  <c r="S728" i="2"/>
  <c r="N425" i="2"/>
  <c r="O531" i="2"/>
  <c r="P786" i="2"/>
  <c r="T482" i="2"/>
  <c r="J1174" i="2"/>
  <c r="N947" i="2"/>
  <c r="U523" i="2"/>
  <c r="L306" i="2"/>
  <c r="J1030" i="2"/>
  <c r="J933" i="2"/>
  <c r="K942" i="2"/>
  <c r="K768" i="2"/>
  <c r="Q920" i="2"/>
  <c r="L237" i="2"/>
  <c r="Q63" i="2"/>
  <c r="N257" i="2"/>
  <c r="O426" i="2"/>
  <c r="T78" i="2"/>
  <c r="L83" i="2"/>
  <c r="U140" i="2"/>
  <c r="T74" i="2"/>
  <c r="P307" i="2"/>
  <c r="S241" i="2"/>
  <c r="N397" i="2"/>
  <c r="K119" i="2"/>
  <c r="O870" i="2"/>
  <c r="O323" i="2"/>
  <c r="P698" i="2"/>
  <c r="O184" i="2"/>
  <c r="Q373" i="2"/>
  <c r="U96" i="2"/>
  <c r="K424" i="2"/>
  <c r="T125" i="2"/>
  <c r="T726" i="2"/>
  <c r="J269" i="2"/>
  <c r="L619" i="2"/>
  <c r="S12" i="2"/>
  <c r="P72" i="2"/>
  <c r="O207" i="2"/>
  <c r="T147" i="2"/>
  <c r="R12" i="2"/>
  <c r="K76" i="2"/>
  <c r="P409" i="2"/>
  <c r="K337" i="2"/>
  <c r="P976" i="2"/>
  <c r="O326" i="2"/>
  <c r="P323" i="2"/>
  <c r="U162" i="2"/>
  <c r="J162" i="2"/>
  <c r="M218" i="2"/>
  <c r="Q455" i="2"/>
  <c r="K450" i="2"/>
  <c r="L45" i="2"/>
  <c r="K423" i="2"/>
  <c r="L125" i="2"/>
  <c r="K184" i="2"/>
  <c r="Q52" i="2"/>
  <c r="L965" i="2"/>
  <c r="S507" i="2"/>
  <c r="Q557" i="2"/>
  <c r="T146" i="2"/>
  <c r="J431" i="2"/>
  <c r="M254" i="2"/>
  <c r="R14" i="2"/>
  <c r="L74" i="2"/>
  <c r="S308" i="2"/>
  <c r="L533" i="2"/>
  <c r="N287" i="2"/>
  <c r="J63" i="2"/>
  <c r="J874" i="2"/>
  <c r="N80" i="2"/>
  <c r="K854" i="2"/>
  <c r="N125" i="2"/>
  <c r="U11" i="2"/>
  <c r="R494" i="2"/>
  <c r="K271" i="2"/>
  <c r="T445" i="2"/>
  <c r="P37" i="2"/>
  <c r="U483" i="2"/>
  <c r="O357" i="2"/>
  <c r="Q263" i="2"/>
  <c r="M216" i="2"/>
  <c r="K521" i="2"/>
  <c r="L457" i="2"/>
  <c r="N849" i="2"/>
  <c r="K113" i="2"/>
  <c r="N350" i="2"/>
  <c r="L8" i="2"/>
  <c r="Q400" i="2"/>
  <c r="J819" i="2"/>
  <c r="Q682" i="2"/>
  <c r="J907" i="2"/>
  <c r="K482" i="2"/>
  <c r="U478" i="2"/>
  <c r="M31" i="2"/>
  <c r="T629" i="2"/>
  <c r="T563" i="2"/>
  <c r="O118" i="2"/>
  <c r="M678" i="2"/>
  <c r="T1040" i="2"/>
  <c r="N17" i="2"/>
  <c r="Q159" i="2"/>
  <c r="R634" i="2"/>
  <c r="R111" i="2"/>
  <c r="U104" i="2"/>
  <c r="N299" i="2"/>
  <c r="M835" i="2"/>
  <c r="K401" i="2"/>
  <c r="O586" i="2"/>
  <c r="R144" i="2"/>
  <c r="R960" i="2"/>
  <c r="Q121" i="2"/>
  <c r="S1086" i="2"/>
  <c r="O324" i="2"/>
  <c r="M238" i="2"/>
  <c r="T437" i="2"/>
  <c r="Q353" i="2"/>
  <c r="T364" i="2"/>
  <c r="Q820" i="2"/>
  <c r="S175" i="2"/>
  <c r="S187" i="2"/>
  <c r="S638" i="2"/>
  <c r="T361" i="2"/>
  <c r="Q67" i="2"/>
  <c r="L99" i="2"/>
  <c r="K659" i="2"/>
  <c r="K272" i="2"/>
  <c r="L295" i="2"/>
  <c r="T500" i="2"/>
  <c r="P349" i="2"/>
  <c r="S646" i="2"/>
  <c r="K132" i="2"/>
  <c r="T342" i="2"/>
  <c r="O1172" i="2"/>
  <c r="L225" i="2"/>
  <c r="U999" i="2"/>
  <c r="S1027" i="2"/>
  <c r="P791" i="2"/>
  <c r="N607" i="2"/>
  <c r="O1546" i="2"/>
  <c r="L1545" i="2"/>
  <c r="P657" i="2"/>
  <c r="T785" i="2"/>
  <c r="O523" i="2"/>
  <c r="P638" i="2"/>
  <c r="R474" i="2"/>
  <c r="T436" i="2"/>
  <c r="U789" i="2"/>
  <c r="S230" i="2"/>
  <c r="R947" i="2"/>
  <c r="N901" i="2"/>
  <c r="K334" i="2"/>
  <c r="S616" i="2"/>
  <c r="U668" i="2"/>
  <c r="K728" i="2"/>
  <c r="Q488" i="2"/>
  <c r="M897" i="2"/>
  <c r="T905" i="2"/>
  <c r="Q569" i="2"/>
  <c r="R680" i="2"/>
  <c r="J570" i="2"/>
  <c r="U496" i="2"/>
  <c r="M351" i="2"/>
  <c r="K594" i="2"/>
  <c r="M806" i="2"/>
  <c r="U658" i="2"/>
  <c r="O402" i="2"/>
  <c r="K475" i="2"/>
  <c r="O422" i="2"/>
  <c r="Q289" i="2"/>
  <c r="Q737" i="2"/>
  <c r="Q780" i="2"/>
  <c r="P626" i="2"/>
  <c r="T659" i="2"/>
  <c r="O106" i="2"/>
  <c r="Q314" i="2"/>
  <c r="P433" i="2"/>
  <c r="J440" i="2"/>
  <c r="T466" i="2"/>
  <c r="S409" i="2"/>
  <c r="K727" i="2"/>
  <c r="L443" i="2"/>
  <c r="T217" i="2"/>
  <c r="P619" i="2"/>
  <c r="M721" i="2"/>
  <c r="L585" i="2"/>
  <c r="P899" i="2"/>
  <c r="T764" i="2"/>
  <c r="T17" i="2"/>
  <c r="N639" i="2"/>
  <c r="Q615" i="2"/>
  <c r="M288" i="2"/>
  <c r="M7" i="2"/>
  <c r="J64" i="2"/>
  <c r="U416" i="2"/>
  <c r="L866" i="2"/>
  <c r="Q647" i="2"/>
  <c r="P475" i="2"/>
  <c r="L522" i="2"/>
  <c r="R604" i="2"/>
  <c r="J273" i="2"/>
  <c r="Q106" i="2"/>
  <c r="M877" i="2"/>
  <c r="K554" i="2"/>
  <c r="T498" i="2"/>
  <c r="L600" i="2"/>
  <c r="T45" i="2"/>
  <c r="N271" i="2"/>
  <c r="S946" i="2"/>
  <c r="M1112" i="2"/>
  <c r="J456" i="2"/>
  <c r="N649" i="2"/>
  <c r="P508" i="2"/>
  <c r="J343" i="2"/>
  <c r="L178" i="2"/>
  <c r="K73" i="2"/>
  <c r="O565" i="2"/>
  <c r="J634" i="2"/>
  <c r="Q145" i="2"/>
  <c r="L537" i="2"/>
  <c r="R404" i="2"/>
  <c r="O712" i="2"/>
  <c r="P302" i="2"/>
  <c r="S1014" i="2"/>
  <c r="J726" i="2"/>
  <c r="S142" i="2"/>
  <c r="M329" i="2"/>
  <c r="Q747" i="2"/>
  <c r="R238" i="2"/>
  <c r="L459" i="2"/>
  <c r="L899" i="2"/>
  <c r="P446" i="2"/>
  <c r="S547" i="2"/>
  <c r="P30" i="2"/>
  <c r="S456" i="2"/>
  <c r="J1173" i="2"/>
  <c r="T356" i="2"/>
  <c r="K925" i="2"/>
  <c r="K596" i="2"/>
  <c r="P364" i="2"/>
  <c r="P992" i="2"/>
  <c r="T809" i="2"/>
  <c r="J44" i="2"/>
  <c r="M192" i="2"/>
  <c r="S1054" i="2"/>
  <c r="U363" i="2"/>
  <c r="Q600" i="2"/>
  <c r="O932" i="2"/>
  <c r="N634" i="2"/>
  <c r="K135" i="2"/>
  <c r="J426" i="2"/>
  <c r="O554" i="2"/>
  <c r="P780" i="2"/>
  <c r="R1021" i="2"/>
  <c r="S105" i="2"/>
  <c r="N88" i="2"/>
  <c r="J725" i="2"/>
  <c r="Q41" i="2"/>
  <c r="S25" i="2"/>
  <c r="Q181" i="2"/>
  <c r="O298" i="2"/>
  <c r="J394" i="2"/>
  <c r="L230" i="2"/>
  <c r="Q627" i="2"/>
  <c r="M457" i="2"/>
  <c r="O494" i="2"/>
  <c r="M246" i="2"/>
  <c r="Q318" i="2"/>
  <c r="J52" i="2"/>
  <c r="M395" i="2"/>
  <c r="T506" i="2"/>
  <c r="S255" i="2"/>
  <c r="N2" i="2"/>
  <c r="L491" i="2"/>
  <c r="Q457" i="2"/>
  <c r="Q113" i="2"/>
  <c r="N154" i="2"/>
  <c r="P198" i="2"/>
  <c r="J653" i="2"/>
  <c r="S15" i="2"/>
  <c r="R313" i="2"/>
  <c r="P12" i="2"/>
  <c r="L151" i="2"/>
  <c r="P567" i="2"/>
  <c r="U746" i="2"/>
  <c r="M174" i="2"/>
  <c r="N540" i="2"/>
  <c r="N306" i="2"/>
  <c r="U187" i="2"/>
  <c r="K562" i="2"/>
  <c r="J171" i="2"/>
  <c r="N236" i="2"/>
  <c r="R594" i="2"/>
  <c r="O875" i="2"/>
  <c r="N275" i="2"/>
  <c r="N203" i="2"/>
  <c r="O322" i="2"/>
  <c r="L248" i="2"/>
  <c r="U47" i="2"/>
  <c r="Q425" i="2"/>
  <c r="M159" i="2"/>
  <c r="R182" i="2"/>
  <c r="N54" i="2"/>
  <c r="U54" i="2"/>
  <c r="J788" i="2"/>
  <c r="S26" i="2"/>
  <c r="N172" i="2"/>
  <c r="S595" i="2"/>
  <c r="O392" i="2"/>
  <c r="R143" i="2"/>
  <c r="R607" i="2"/>
  <c r="K280" i="2"/>
  <c r="J140" i="2"/>
  <c r="K719" i="2"/>
  <c r="M849" i="2"/>
  <c r="P238" i="2"/>
  <c r="O371" i="2"/>
  <c r="J173" i="2"/>
  <c r="S219" i="2"/>
  <c r="U82" i="2"/>
  <c r="T810" i="2"/>
  <c r="Q402" i="2"/>
  <c r="T16" i="2"/>
  <c r="U183" i="2"/>
  <c r="T647" i="2"/>
  <c r="J310" i="2"/>
  <c r="Q327" i="2"/>
  <c r="O74" i="2"/>
  <c r="P277" i="2"/>
  <c r="U324" i="2"/>
  <c r="U78" i="2"/>
  <c r="P56" i="2"/>
  <c r="L617" i="2"/>
  <c r="T499" i="2"/>
  <c r="Q340" i="2"/>
  <c r="M127" i="2"/>
  <c r="O682" i="2"/>
  <c r="Q335" i="2"/>
  <c r="L147" i="2"/>
  <c r="J379" i="2"/>
  <c r="T798" i="2"/>
  <c r="S415" i="2"/>
  <c r="R124" i="2"/>
  <c r="K90" i="2"/>
  <c r="K512" i="2"/>
  <c r="R249" i="2"/>
  <c r="L778" i="2"/>
  <c r="J1363" i="2"/>
  <c r="S204" i="2"/>
  <c r="U29" i="2"/>
  <c r="Q185" i="2"/>
  <c r="K137" i="2"/>
  <c r="L228" i="2"/>
  <c r="L40" i="2"/>
  <c r="N313" i="2"/>
  <c r="K614" i="2"/>
  <c r="K224" i="2"/>
  <c r="K54" i="2"/>
  <c r="M317" i="2"/>
  <c r="O57" i="2"/>
  <c r="R420" i="2"/>
  <c r="P239" i="2"/>
  <c r="O189" i="2"/>
  <c r="P765" i="2"/>
  <c r="P165" i="2"/>
  <c r="J573" i="2"/>
  <c r="K151" i="2"/>
  <c r="M170" i="2"/>
  <c r="O7" i="2"/>
  <c r="P312" i="2"/>
  <c r="R119" i="2"/>
  <c r="J606" i="2"/>
  <c r="U80" i="2"/>
  <c r="Q354" i="2"/>
  <c r="Q109" i="2"/>
  <c r="S68" i="2"/>
  <c r="T214" i="2"/>
  <c r="R220" i="2"/>
  <c r="J305" i="2"/>
  <c r="O505" i="2"/>
  <c r="P182" i="2"/>
  <c r="N167" i="2"/>
  <c r="M1546" i="2"/>
  <c r="O1141" i="2"/>
  <c r="J461" i="2"/>
  <c r="J871" i="2"/>
  <c r="M1287" i="2"/>
  <c r="N1528" i="2"/>
  <c r="O370" i="2"/>
  <c r="T511" i="2"/>
  <c r="U251" i="2"/>
  <c r="L731" i="2"/>
  <c r="P566" i="2"/>
  <c r="O375" i="2"/>
  <c r="K485" i="2"/>
  <c r="O205" i="2"/>
  <c r="S841" i="2"/>
  <c r="N1442" i="2"/>
  <c r="S753" i="2"/>
  <c r="J141" i="2"/>
  <c r="N437" i="2"/>
  <c r="Q1119" i="2"/>
  <c r="P624" i="2"/>
  <c r="S721" i="2"/>
  <c r="O620" i="2"/>
  <c r="N521" i="2"/>
  <c r="R429" i="2"/>
  <c r="N1619" i="2"/>
  <c r="U954" i="2"/>
  <c r="K480" i="2"/>
  <c r="R477" i="2"/>
  <c r="L696" i="2"/>
  <c r="K873" i="2"/>
  <c r="O10" i="2"/>
  <c r="U480" i="2"/>
  <c r="O438" i="2"/>
  <c r="T1101" i="2"/>
  <c r="Q756" i="2"/>
  <c r="T787" i="2"/>
  <c r="R335" i="2"/>
  <c r="N388" i="2"/>
  <c r="K16" i="2"/>
  <c r="Q320" i="2"/>
  <c r="R1064" i="2"/>
  <c r="N900" i="2"/>
  <c r="O476" i="2"/>
  <c r="N503" i="2"/>
  <c r="P116" i="2"/>
  <c r="Q574" i="2"/>
  <c r="N82" i="2"/>
  <c r="J632" i="2"/>
  <c r="M458" i="2"/>
  <c r="J381" i="2"/>
  <c r="J1079" i="2"/>
  <c r="K831" i="2"/>
  <c r="Q111" i="2"/>
  <c r="K639" i="2"/>
  <c r="N87" i="2"/>
  <c r="P124" i="2"/>
  <c r="T233" i="2"/>
  <c r="N264" i="2"/>
  <c r="N159" i="2"/>
  <c r="M1130" i="2"/>
  <c r="M519" i="2"/>
  <c r="P489" i="2"/>
  <c r="L161" i="2"/>
  <c r="O50" i="2"/>
  <c r="M308" i="2"/>
  <c r="U493" i="2"/>
  <c r="L645" i="2"/>
  <c r="R352" i="2"/>
  <c r="R289" i="2"/>
  <c r="P846" i="2"/>
  <c r="Q312" i="2"/>
  <c r="O301" i="2"/>
  <c r="M663" i="2"/>
  <c r="J896" i="2"/>
  <c r="N466" i="2"/>
  <c r="S472" i="2"/>
  <c r="O253" i="2"/>
  <c r="L159" i="2"/>
  <c r="K161" i="2"/>
  <c r="T339" i="2"/>
  <c r="R886" i="2"/>
  <c r="J526" i="2"/>
  <c r="T143" i="2"/>
  <c r="U85" i="2"/>
  <c r="R775" i="2"/>
  <c r="N386" i="2"/>
  <c r="O25" i="2"/>
  <c r="R967" i="2"/>
  <c r="M560" i="2"/>
  <c r="N932" i="2"/>
  <c r="S419" i="2"/>
  <c r="S227" i="2"/>
  <c r="J289" i="2"/>
  <c r="P122" i="2"/>
  <c r="P924" i="2"/>
  <c r="T643" i="2"/>
  <c r="P1020" i="2"/>
  <c r="M30" i="2"/>
  <c r="K360" i="2"/>
  <c r="S881" i="2"/>
  <c r="J316" i="2"/>
  <c r="T930" i="2"/>
  <c r="R769" i="2"/>
  <c r="S1277" i="2"/>
  <c r="K756" i="2"/>
  <c r="N994" i="2"/>
  <c r="O108" i="2"/>
  <c r="U171" i="2"/>
  <c r="M1027" i="2"/>
  <c r="R785" i="2"/>
  <c r="O332" i="2"/>
  <c r="L888" i="2"/>
  <c r="J576" i="2"/>
  <c r="P39" i="2"/>
  <c r="S364" i="2"/>
  <c r="M360" i="2"/>
  <c r="S431" i="2"/>
  <c r="K553" i="2"/>
  <c r="Q545" i="2"/>
  <c r="S55" i="2"/>
  <c r="N84" i="2"/>
  <c r="J231" i="2"/>
  <c r="S114" i="2"/>
  <c r="R15" i="2"/>
  <c r="K158" i="2"/>
  <c r="S305" i="2"/>
  <c r="T205" i="2"/>
  <c r="O2134" i="2"/>
  <c r="S510" i="2"/>
  <c r="L601" i="2"/>
  <c r="K848" i="2"/>
  <c r="J98" i="2"/>
  <c r="N261" i="2"/>
  <c r="L199" i="2"/>
  <c r="S131" i="2"/>
  <c r="J40" i="2"/>
  <c r="J14" i="2"/>
  <c r="L423" i="2"/>
  <c r="J707" i="2"/>
  <c r="Q148" i="2"/>
  <c r="L786" i="2"/>
  <c r="Q217" i="2"/>
  <c r="Q379" i="2"/>
  <c r="T67" i="2"/>
  <c r="P7" i="2"/>
  <c r="O69" i="2"/>
  <c r="O1455" i="2"/>
  <c r="S563" i="2"/>
  <c r="L750" i="2"/>
  <c r="M444" i="2"/>
  <c r="K44" i="2"/>
  <c r="T174" i="2"/>
  <c r="O213" i="2"/>
  <c r="R285" i="2"/>
  <c r="O341" i="2"/>
  <c r="P414" i="2"/>
  <c r="M325" i="2"/>
  <c r="J447" i="2"/>
  <c r="L344" i="2"/>
  <c r="P222" i="2"/>
  <c r="R402" i="2"/>
  <c r="Q57" i="2"/>
  <c r="Q102" i="2"/>
  <c r="T1432" i="2"/>
  <c r="S397" i="2"/>
  <c r="P488" i="2"/>
  <c r="T690" i="2"/>
  <c r="J90" i="2"/>
  <c r="L545" i="2"/>
  <c r="Q247" i="2"/>
  <c r="T359" i="2"/>
  <c r="L325" i="2"/>
  <c r="N39" i="2"/>
  <c r="M14" i="2"/>
  <c r="O649" i="2"/>
  <c r="J571" i="2"/>
  <c r="P511" i="2"/>
  <c r="Q706" i="2"/>
  <c r="P399" i="2"/>
  <c r="U268" i="2"/>
  <c r="M474" i="2"/>
  <c r="J345" i="2"/>
  <c r="T404" i="2"/>
  <c r="R237" i="2"/>
  <c r="Q337" i="2"/>
  <c r="R125" i="2"/>
  <c r="T479" i="2"/>
  <c r="N272" i="2"/>
  <c r="J856" i="2"/>
  <c r="T82" i="2"/>
  <c r="R74" i="2"/>
  <c r="T485" i="2"/>
  <c r="L143" i="2"/>
  <c r="S299" i="2"/>
  <c r="R205" i="2"/>
  <c r="K773" i="2"/>
  <c r="Q73" i="2"/>
  <c r="L1014" i="2"/>
  <c r="N608" i="2"/>
  <c r="J1122" i="2"/>
  <c r="N542" i="2"/>
  <c r="O19" i="2"/>
  <c r="U207" i="2"/>
  <c r="J86" i="2"/>
  <c r="Q618" i="2"/>
  <c r="U185" i="2"/>
  <c r="R178" i="2"/>
  <c r="M105" i="2"/>
  <c r="S145" i="2"/>
  <c r="Q792" i="2"/>
  <c r="Q114" i="2"/>
  <c r="R145" i="2"/>
  <c r="O163" i="2"/>
  <c r="S302" i="2"/>
  <c r="Q228" i="2"/>
  <c r="O313" i="2"/>
  <c r="J340" i="2"/>
  <c r="O234" i="2"/>
  <c r="O794" i="2"/>
  <c r="L173" i="2"/>
  <c r="Q255" i="2"/>
  <c r="S40" i="2"/>
  <c r="K523" i="2"/>
  <c r="L77" i="2"/>
  <c r="P410" i="2"/>
  <c r="K389" i="2"/>
  <c r="J238" i="2"/>
  <c r="S384" i="2"/>
  <c r="K988" i="2"/>
  <c r="R50" i="2"/>
  <c r="U276" i="2"/>
  <c r="K361" i="2"/>
  <c r="O700" i="2"/>
  <c r="U4" i="2"/>
  <c r="N40" i="2"/>
  <c r="Q441" i="2"/>
  <c r="P720" i="2"/>
  <c r="N61" i="2"/>
  <c r="Q229" i="2"/>
  <c r="L272" i="2"/>
  <c r="O360" i="2"/>
  <c r="S133" i="2"/>
  <c r="K20" i="2"/>
  <c r="Q448" i="2"/>
  <c r="N415" i="2"/>
  <c r="M88" i="2"/>
  <c r="N1194" i="2"/>
  <c r="P1226" i="2"/>
  <c r="J965" i="2"/>
  <c r="J342" i="2"/>
  <c r="R2006" i="2"/>
  <c r="P291" i="2"/>
  <c r="S1012" i="2"/>
  <c r="Q853" i="2"/>
  <c r="L474" i="2"/>
  <c r="R166" i="2"/>
  <c r="M110" i="2"/>
  <c r="J205" i="2"/>
  <c r="U733" i="2"/>
  <c r="P454" i="2"/>
  <c r="L127" i="2"/>
  <c r="T1019" i="2"/>
  <c r="P321" i="2"/>
  <c r="S501" i="2"/>
  <c r="N515" i="2"/>
  <c r="N196" i="2"/>
  <c r="M902" i="2"/>
  <c r="S973" i="2"/>
  <c r="L614" i="2"/>
  <c r="R723" i="2"/>
  <c r="Q727" i="2"/>
  <c r="O191" i="2"/>
  <c r="O923" i="2"/>
  <c r="M20" i="2"/>
  <c r="T651" i="2"/>
  <c r="L30" i="2"/>
  <c r="Q108" i="2"/>
  <c r="U130" i="2"/>
  <c r="S83" i="2"/>
  <c r="S309" i="2"/>
  <c r="N304" i="2"/>
  <c r="P43" i="2"/>
  <c r="Q436" i="2"/>
  <c r="J185" i="2"/>
  <c r="K561" i="2"/>
  <c r="N485" i="2"/>
  <c r="P617" i="2"/>
  <c r="P972" i="2"/>
  <c r="R623" i="2"/>
  <c r="R107" i="2"/>
  <c r="J126" i="2"/>
  <c r="M195" i="2"/>
  <c r="O348" i="2"/>
  <c r="K97" i="2"/>
  <c r="R48" i="2"/>
  <c r="M549" i="2"/>
  <c r="L113" i="2"/>
  <c r="L103" i="2"/>
  <c r="N651" i="2"/>
  <c r="R469" i="2"/>
  <c r="T347" i="2"/>
  <c r="J51" i="2"/>
  <c r="N424" i="2"/>
  <c r="N89" i="2"/>
  <c r="T218" i="2"/>
  <c r="O639" i="2"/>
  <c r="P557" i="2"/>
  <c r="M251" i="2"/>
  <c r="L206" i="2"/>
  <c r="N278" i="2"/>
  <c r="R175" i="2"/>
  <c r="K396" i="2"/>
  <c r="R99" i="2"/>
  <c r="J203" i="2"/>
  <c r="Q158" i="2"/>
  <c r="Q300" i="2"/>
  <c r="N719" i="2"/>
  <c r="K103" i="2"/>
  <c r="N201" i="2"/>
  <c r="T201" i="2"/>
  <c r="O388" i="2"/>
  <c r="J202" i="2"/>
  <c r="K8" i="2"/>
  <c r="J339" i="2"/>
  <c r="P41" i="2"/>
  <c r="J2" i="2"/>
  <c r="T188" i="2"/>
  <c r="O307" i="2"/>
  <c r="K260" i="2"/>
  <c r="N47" i="2"/>
  <c r="Q87" i="2"/>
  <c r="O264" i="2"/>
  <c r="S314" i="2"/>
  <c r="R73" i="2"/>
  <c r="K84" i="2"/>
  <c r="S683" i="2"/>
  <c r="M53" i="2"/>
  <c r="J8" i="2"/>
  <c r="P558" i="2"/>
  <c r="S51" i="2"/>
  <c r="Q561" i="2"/>
  <c r="P194" i="2"/>
  <c r="K51" i="2"/>
  <c r="O226" i="2"/>
  <c r="U121" i="2"/>
  <c r="K720" i="2"/>
  <c r="R349" i="2"/>
  <c r="J170" i="2"/>
  <c r="P204" i="2"/>
  <c r="N323" i="2"/>
  <c r="M816" i="2"/>
  <c r="Q105" i="2"/>
  <c r="P64" i="2"/>
  <c r="U314" i="2"/>
  <c r="O252" i="2"/>
  <c r="R640" i="2"/>
  <c r="N655" i="2"/>
  <c r="J45" i="2"/>
  <c r="N23" i="2"/>
  <c r="S280" i="2"/>
  <c r="T857" i="2"/>
  <c r="U13" i="2"/>
  <c r="Q34" i="2"/>
  <c r="R84" i="2"/>
  <c r="N191" i="2"/>
  <c r="N270" i="2"/>
  <c r="S348" i="2"/>
  <c r="R373" i="2"/>
  <c r="O453" i="2"/>
  <c r="S168" i="2"/>
  <c r="L500" i="2"/>
  <c r="U334" i="2"/>
  <c r="U299" i="2"/>
  <c r="S887" i="2"/>
  <c r="T297" i="2"/>
  <c r="K493" i="2"/>
  <c r="J61" i="2"/>
  <c r="U139" i="2"/>
  <c r="M2" i="2"/>
  <c r="O874" i="2"/>
  <c r="U359" i="2"/>
  <c r="O574" i="2"/>
  <c r="M186" i="2"/>
  <c r="U46" i="2"/>
  <c r="M121" i="2"/>
  <c r="Q174" i="2"/>
  <c r="K582" i="2"/>
  <c r="N276" i="2"/>
  <c r="N860" i="2"/>
  <c r="S129" i="2"/>
  <c r="Q275" i="2"/>
  <c r="K309" i="2"/>
  <c r="P304" i="2"/>
  <c r="R41" i="2"/>
  <c r="L540" i="2"/>
  <c r="O9" i="2"/>
  <c r="U38" i="2"/>
  <c r="S165" i="2"/>
  <c r="U178" i="2"/>
  <c r="S379" i="2"/>
  <c r="L525" i="2"/>
  <c r="Q147" i="2"/>
  <c r="N492" i="2"/>
  <c r="M296" i="2"/>
  <c r="J286" i="2"/>
  <c r="T406" i="2"/>
  <c r="Q24" i="2"/>
  <c r="J309" i="2"/>
  <c r="P86" i="2"/>
  <c r="L445" i="2"/>
  <c r="O465" i="2"/>
  <c r="N291" i="2"/>
  <c r="Q140" i="2"/>
  <c r="S496" i="2"/>
  <c r="L220" i="2"/>
  <c r="S121" i="2"/>
  <c r="L20" i="2"/>
  <c r="N461" i="2"/>
  <c r="J125" i="2"/>
  <c r="L182" i="2"/>
  <c r="N213" i="2"/>
  <c r="N38" i="2"/>
  <c r="O6" i="2"/>
  <c r="S143" i="2"/>
  <c r="J298" i="2"/>
  <c r="M651" i="2"/>
  <c r="U198" i="2"/>
  <c r="T87" i="2"/>
  <c r="R217" i="2"/>
  <c r="N445" i="2"/>
  <c r="R153" i="2"/>
  <c r="Q333" i="2"/>
  <c r="J437" i="2"/>
  <c r="U1596" i="2"/>
  <c r="P387" i="2"/>
  <c r="U287" i="2"/>
  <c r="L39" i="2"/>
  <c r="L96" i="2"/>
  <c r="P235" i="2"/>
  <c r="M51" i="2"/>
  <c r="R799" i="2"/>
  <c r="P22" i="2"/>
  <c r="R393" i="2"/>
  <c r="O959" i="2"/>
  <c r="T206" i="2"/>
  <c r="P725" i="2"/>
  <c r="J537" i="2"/>
  <c r="T185" i="2"/>
  <c r="P292" i="2"/>
  <c r="M537" i="2"/>
  <c r="P296" i="2"/>
  <c r="N452" i="2"/>
  <c r="J1371" i="2"/>
  <c r="R638" i="2"/>
  <c r="L318" i="2"/>
  <c r="P200" i="2"/>
  <c r="N661" i="2"/>
  <c r="Q237" i="2"/>
  <c r="L352" i="2"/>
  <c r="O263" i="2"/>
  <c r="P270" i="2"/>
  <c r="U137" i="2"/>
  <c r="P115" i="2"/>
  <c r="P341" i="2"/>
  <c r="T679" i="2"/>
  <c r="S178" i="2"/>
  <c r="J4" i="2"/>
  <c r="L119" i="2"/>
  <c r="U697" i="2"/>
  <c r="J3" i="2"/>
  <c r="M322" i="2"/>
  <c r="U27" i="2"/>
  <c r="U219" i="2"/>
  <c r="N169" i="2"/>
  <c r="K515" i="2"/>
  <c r="K642" i="2"/>
  <c r="Q305" i="2"/>
  <c r="Q71" i="2"/>
  <c r="U202" i="2"/>
  <c r="U288" i="2"/>
  <c r="P68" i="2"/>
  <c r="M361" i="2"/>
  <c r="L347" i="2"/>
  <c r="L212" i="2"/>
  <c r="M354" i="2"/>
  <c r="R67" i="2"/>
  <c r="P133" i="2"/>
  <c r="U224" i="2"/>
  <c r="O104" i="2"/>
  <c r="S315" i="2"/>
  <c r="S33" i="2"/>
  <c r="T453" i="2"/>
  <c r="P240" i="2"/>
  <c r="T440" i="2"/>
  <c r="L275" i="2"/>
  <c r="R98" i="2"/>
  <c r="K349" i="2"/>
  <c r="R366" i="2"/>
  <c r="M230" i="2"/>
  <c r="K62" i="2"/>
  <c r="T1062" i="2"/>
  <c r="L1009" i="2"/>
  <c r="N821" i="2"/>
  <c r="K305" i="2"/>
  <c r="L501" i="2"/>
  <c r="M387" i="2"/>
  <c r="K1187" i="2"/>
  <c r="P832" i="2"/>
  <c r="Q227" i="2"/>
  <c r="J259" i="2"/>
  <c r="U143" i="2"/>
  <c r="P502" i="2"/>
  <c r="Q534" i="2"/>
  <c r="J197" i="2"/>
  <c r="Q364" i="2"/>
  <c r="R652" i="2"/>
  <c r="J358" i="2"/>
  <c r="N532" i="2"/>
  <c r="P754" i="2"/>
  <c r="S294" i="2"/>
  <c r="N551" i="2"/>
  <c r="T1017" i="2"/>
  <c r="S709" i="2"/>
  <c r="T368" i="2"/>
  <c r="O150" i="2"/>
  <c r="N183" i="2"/>
  <c r="M523" i="2"/>
  <c r="M35" i="2"/>
  <c r="R472" i="2"/>
  <c r="T189" i="2"/>
  <c r="J79" i="2"/>
  <c r="J382" i="2"/>
  <c r="Q380" i="2"/>
  <c r="T105" i="2"/>
  <c r="O468" i="2"/>
  <c r="R394" i="2"/>
  <c r="L284" i="2"/>
  <c r="M294" i="2"/>
  <c r="Q295" i="2"/>
  <c r="L150" i="2"/>
  <c r="J12" i="2"/>
  <c r="J711" i="2"/>
  <c r="Q79" i="2"/>
  <c r="R552" i="2"/>
  <c r="N9" i="2"/>
  <c r="R123" i="2"/>
  <c r="U326" i="2"/>
  <c r="T275" i="2"/>
  <c r="R857" i="2"/>
  <c r="S154" i="2"/>
  <c r="Q677" i="2"/>
  <c r="O199" i="2"/>
  <c r="P888" i="2"/>
  <c r="M55" i="2"/>
  <c r="U120" i="2"/>
  <c r="T29" i="2"/>
  <c r="P106" i="2"/>
  <c r="J452" i="2"/>
  <c r="T354" i="2"/>
  <c r="M700" i="2"/>
  <c r="O231" i="2"/>
  <c r="T24" i="2"/>
  <c r="N483" i="2"/>
  <c r="R80" i="2"/>
  <c r="P249" i="2"/>
  <c r="L18" i="2"/>
  <c r="O314" i="2"/>
  <c r="P760" i="2"/>
  <c r="O316" i="2"/>
  <c r="S271" i="2"/>
  <c r="N13" i="2"/>
  <c r="L134" i="2"/>
  <c r="P24" i="2"/>
  <c r="J96" i="2"/>
  <c r="O202" i="2"/>
  <c r="U55" i="2"/>
  <c r="Q138" i="2"/>
  <c r="T104" i="2"/>
  <c r="S390" i="2"/>
  <c r="N294" i="2"/>
  <c r="J256" i="2"/>
  <c r="K316" i="2"/>
  <c r="P55" i="2"/>
  <c r="R191" i="2"/>
  <c r="N8" i="2"/>
  <c r="J192" i="2"/>
  <c r="N244" i="2"/>
  <c r="Q346" i="2"/>
  <c r="T288" i="2"/>
  <c r="P319" i="2"/>
  <c r="T2" i="2"/>
  <c r="M326" i="2"/>
  <c r="R805" i="2"/>
  <c r="L108" i="2"/>
  <c r="K68" i="2"/>
  <c r="J120" i="2"/>
  <c r="U113" i="2"/>
  <c r="N442" i="2"/>
  <c r="K492" i="2"/>
  <c r="Q201" i="2"/>
  <c r="O240" i="2"/>
  <c r="J148" i="2"/>
  <c r="R376" i="2"/>
  <c r="J134" i="2"/>
  <c r="P381" i="2"/>
  <c r="M54" i="2"/>
  <c r="N722" i="2"/>
  <c r="P63" i="2"/>
  <c r="N45" i="2"/>
  <c r="K479" i="2"/>
  <c r="O249" i="2"/>
  <c r="R90" i="2"/>
  <c r="L369" i="2"/>
  <c r="L329" i="2"/>
  <c r="P13" i="2"/>
  <c r="T171" i="2"/>
  <c r="K748" i="2"/>
  <c r="L215" i="2"/>
  <c r="S306" i="2"/>
  <c r="P262" i="2"/>
  <c r="Q350" i="2"/>
  <c r="L218" i="2"/>
  <c r="L534" i="2"/>
  <c r="U153" i="2"/>
  <c r="S147" i="2"/>
  <c r="R101" i="2"/>
  <c r="M158" i="2"/>
  <c r="Q162" i="2"/>
  <c r="S221" i="2"/>
  <c r="S128" i="2"/>
  <c r="T30" i="2"/>
  <c r="O14" i="2"/>
  <c r="O474" i="2"/>
  <c r="O672" i="2"/>
  <c r="N28" i="2"/>
  <c r="J219" i="2"/>
  <c r="K223" i="2"/>
  <c r="O302" i="2"/>
  <c r="K308" i="2"/>
  <c r="J10" i="2"/>
  <c r="J103" i="2"/>
  <c r="Q401" i="2"/>
  <c r="T10" i="2"/>
  <c r="M161" i="2"/>
  <c r="K204" i="2"/>
  <c r="R103" i="2"/>
  <c r="U34" i="2"/>
  <c r="S331" i="2"/>
  <c r="U860" i="2"/>
  <c r="Q124" i="2"/>
  <c r="P431" i="2"/>
  <c r="T145" i="2"/>
  <c r="U262" i="2"/>
  <c r="S10" i="2"/>
  <c r="S72" i="2"/>
  <c r="K235" i="2"/>
  <c r="T253" i="2"/>
  <c r="P339" i="2"/>
  <c r="K220" i="2"/>
  <c r="U87" i="2"/>
  <c r="Q325" i="2"/>
  <c r="T103" i="2"/>
  <c r="M70" i="2"/>
  <c r="K163" i="2"/>
  <c r="U2" i="2"/>
  <c r="T75" i="2"/>
  <c r="O81" i="2"/>
  <c r="O336" i="2"/>
  <c r="K242" i="2"/>
  <c r="N96" i="2"/>
  <c r="J111" i="2"/>
  <c r="N72" i="2"/>
  <c r="J80" i="2"/>
  <c r="R305" i="2"/>
  <c r="P1135" i="2"/>
  <c r="S54" i="2"/>
  <c r="Q122" i="2"/>
  <c r="S279" i="2"/>
  <c r="K268" i="2"/>
  <c r="S339" i="2"/>
  <c r="S126" i="2"/>
  <c r="K47" i="2"/>
  <c r="M478" i="2"/>
  <c r="N335" i="2"/>
  <c r="U1054" i="2"/>
  <c r="L174" i="2"/>
  <c r="N256" i="2"/>
  <c r="S199" i="2"/>
  <c r="P26" i="2"/>
  <c r="R112" i="2"/>
  <c r="S61" i="2"/>
  <c r="M249" i="2"/>
  <c r="N195" i="2"/>
  <c r="S321" i="2"/>
  <c r="S67" i="2"/>
  <c r="J117" i="2"/>
  <c r="U26" i="2"/>
  <c r="T653" i="2"/>
  <c r="Q6" i="2"/>
  <c r="J65" i="2"/>
  <c r="S211" i="2"/>
  <c r="K201" i="2"/>
  <c r="M620" i="2"/>
  <c r="R47" i="2"/>
  <c r="O96" i="2"/>
  <c r="O598" i="2"/>
  <c r="N377" i="2"/>
  <c r="N99" i="2"/>
  <c r="S242" i="2"/>
  <c r="S203" i="2"/>
  <c r="J220" i="2"/>
  <c r="P206" i="2"/>
  <c r="T81" i="2"/>
  <c r="T430" i="2"/>
  <c r="T587" i="2"/>
  <c r="S949" i="2"/>
  <c r="K114" i="2"/>
  <c r="T379" i="2"/>
  <c r="K369" i="2"/>
  <c r="M765" i="2"/>
  <c r="O43" i="2"/>
  <c r="M588" i="2"/>
  <c r="Q344" i="2"/>
  <c r="O260" i="2"/>
  <c r="Q758" i="2"/>
  <c r="N356" i="2"/>
  <c r="K9" i="2"/>
  <c r="J214" i="2"/>
  <c r="R87" i="2"/>
  <c r="T18" i="2"/>
  <c r="K281" i="2"/>
  <c r="U170" i="2"/>
  <c r="L370" i="2"/>
  <c r="N1074" i="2"/>
  <c r="J918" i="2"/>
  <c r="N674" i="2"/>
  <c r="L473" i="2"/>
  <c r="T665" i="2"/>
  <c r="N334" i="2"/>
  <c r="U489" i="2"/>
  <c r="U636" i="2"/>
  <c r="P267" i="2"/>
  <c r="O445" i="2"/>
  <c r="J172" i="2"/>
  <c r="U297" i="2"/>
  <c r="K1174" i="2"/>
  <c r="L252" i="2"/>
  <c r="N367" i="2"/>
  <c r="K593" i="2"/>
  <c r="J710" i="2"/>
  <c r="Q222" i="2"/>
  <c r="R77" i="2"/>
  <c r="O1393" i="2"/>
  <c r="P960" i="2"/>
  <c r="T978" i="2"/>
  <c r="T617" i="2"/>
  <c r="R452" i="2"/>
  <c r="S759" i="2"/>
  <c r="O450" i="2"/>
  <c r="Q941" i="2"/>
  <c r="M295" i="2"/>
  <c r="R342" i="2"/>
  <c r="M944" i="2"/>
  <c r="R409" i="2"/>
  <c r="J146" i="2"/>
  <c r="M185" i="2"/>
  <c r="T196" i="2"/>
  <c r="M372" i="2"/>
  <c r="T129" i="2"/>
  <c r="K228" i="2"/>
  <c r="M763" i="2"/>
  <c r="J280" i="2"/>
  <c r="R417" i="2"/>
  <c r="M438" i="2"/>
  <c r="K742" i="2"/>
  <c r="S584" i="2"/>
  <c r="U258" i="2"/>
  <c r="K609" i="2"/>
  <c r="O654" i="2"/>
  <c r="P252" i="2"/>
  <c r="L80" i="2"/>
  <c r="O605" i="2"/>
  <c r="P837" i="2"/>
  <c r="U192" i="2"/>
  <c r="J300" i="2"/>
  <c r="P177" i="2"/>
  <c r="K516" i="2"/>
  <c r="M350" i="2"/>
  <c r="O286" i="2"/>
  <c r="J104" i="2"/>
  <c r="N160" i="2"/>
  <c r="O34" i="2"/>
  <c r="N401" i="2"/>
  <c r="J50" i="2"/>
  <c r="Q55" i="2"/>
  <c r="T229" i="2"/>
  <c r="R132" i="2"/>
  <c r="K207" i="2"/>
  <c r="R783" i="2"/>
  <c r="S34" i="2"/>
  <c r="P120" i="2"/>
  <c r="R156" i="2"/>
  <c r="M58" i="2"/>
  <c r="T277" i="2"/>
  <c r="S112" i="2"/>
  <c r="K116" i="2"/>
  <c r="M565" i="2"/>
  <c r="J24" i="2"/>
  <c r="L81" i="2"/>
  <c r="R13" i="2"/>
  <c r="R58" i="2"/>
  <c r="M102" i="2"/>
  <c r="P384" i="2"/>
  <c r="Q232" i="2"/>
  <c r="U406" i="2"/>
  <c r="R280" i="2"/>
  <c r="O239" i="2"/>
  <c r="O250" i="2"/>
  <c r="K522" i="2"/>
  <c r="O121" i="2"/>
  <c r="Q58" i="2"/>
  <c r="J191" i="2"/>
  <c r="T98" i="2"/>
  <c r="N145" i="2"/>
  <c r="Q75" i="2"/>
  <c r="O221" i="2"/>
  <c r="T641" i="2"/>
  <c r="P178" i="2"/>
  <c r="J252" i="2"/>
  <c r="L986" i="2"/>
  <c r="P187" i="2"/>
  <c r="N212" i="2"/>
  <c r="N74" i="2"/>
  <c r="J494" i="2"/>
  <c r="L573" i="2"/>
  <c r="R170" i="2"/>
  <c r="T476" i="2"/>
  <c r="Q394" i="2"/>
  <c r="M212" i="2"/>
  <c r="R282" i="2"/>
  <c r="S286" i="2"/>
  <c r="K88" i="2"/>
  <c r="T369" i="2"/>
  <c r="L416" i="2"/>
  <c r="S183" i="2"/>
  <c r="T348" i="2"/>
  <c r="M418" i="2"/>
  <c r="T296" i="2"/>
  <c r="J31" i="2"/>
  <c r="J198" i="2"/>
  <c r="P250" i="2"/>
  <c r="U101" i="2"/>
  <c r="R93" i="2"/>
  <c r="M899" i="2"/>
  <c r="R18" i="2"/>
  <c r="T158" i="2"/>
  <c r="K166" i="2"/>
  <c r="J66" i="2"/>
  <c r="U284" i="2"/>
  <c r="S328" i="2"/>
  <c r="P637" i="2"/>
  <c r="P352" i="2"/>
  <c r="P649" i="2"/>
  <c r="L550" i="2"/>
  <c r="R432" i="2"/>
  <c r="S247" i="2"/>
  <c r="L60" i="2"/>
  <c r="Q166" i="2"/>
  <c r="U14" i="2"/>
  <c r="S43" i="2"/>
  <c r="M503" i="2"/>
  <c r="S44" i="2"/>
  <c r="S523" i="2"/>
  <c r="U6" i="2"/>
  <c r="S346" i="2"/>
  <c r="Q141" i="2"/>
  <c r="R627" i="2"/>
  <c r="R239" i="2"/>
  <c r="L442" i="2"/>
  <c r="U611" i="2"/>
  <c r="M233" i="2"/>
  <c r="O134" i="2"/>
  <c r="O35" i="2"/>
  <c r="U331" i="2"/>
  <c r="T592" i="2"/>
  <c r="N747" i="2"/>
  <c r="S1186" i="2"/>
  <c r="Q587" i="2"/>
  <c r="L923" i="2"/>
  <c r="P203" i="2"/>
  <c r="R548" i="2"/>
  <c r="T350" i="2"/>
  <c r="K716" i="2"/>
  <c r="J508" i="2"/>
  <c r="S1118" i="2"/>
  <c r="S401" i="2"/>
  <c r="U510" i="2"/>
  <c r="N368" i="2"/>
  <c r="S160" i="2"/>
  <c r="Q377" i="2"/>
  <c r="U504" i="2"/>
  <c r="S972" i="2"/>
  <c r="J264" i="2"/>
  <c r="S906" i="2"/>
  <c r="M243" i="2"/>
  <c r="R290" i="2"/>
  <c r="U429" i="2"/>
  <c r="K266" i="2"/>
  <c r="U79" i="2"/>
  <c r="J805" i="2"/>
  <c r="Q135" i="2"/>
  <c r="T481" i="2"/>
  <c r="P382" i="2"/>
  <c r="P778" i="2"/>
  <c r="M745" i="2"/>
  <c r="N756" i="2"/>
  <c r="J694" i="2"/>
  <c r="U250" i="2"/>
  <c r="K406" i="2"/>
  <c r="N307" i="2"/>
  <c r="T501" i="2"/>
  <c r="O962" i="2"/>
  <c r="N1580" i="2"/>
  <c r="J380" i="2"/>
  <c r="J295" i="2"/>
  <c r="Q630" i="2"/>
  <c r="R162" i="2"/>
  <c r="O262" i="2"/>
  <c r="T255" i="2"/>
  <c r="Q738" i="2"/>
  <c r="L292" i="2"/>
  <c r="N153" i="2"/>
  <c r="L227" i="2"/>
  <c r="O132" i="2"/>
  <c r="J200" i="2"/>
  <c r="J150" i="2"/>
  <c r="S64" i="2"/>
  <c r="Q208" i="2"/>
  <c r="M89" i="2"/>
  <c r="J499" i="2"/>
  <c r="L27" i="2"/>
  <c r="L734" i="2"/>
  <c r="M461" i="2"/>
  <c r="U306" i="2"/>
  <c r="N744" i="2"/>
  <c r="U1170" i="2"/>
  <c r="S1142" i="2"/>
  <c r="J934" i="2"/>
  <c r="P383" i="2"/>
  <c r="O436" i="2"/>
  <c r="Q224" i="2"/>
  <c r="Q463" i="2"/>
  <c r="Q607" i="2"/>
  <c r="P298" i="2"/>
  <c r="S350" i="2"/>
  <c r="P327" i="2"/>
  <c r="R692" i="2"/>
  <c r="T819" i="2"/>
  <c r="J194" i="2"/>
  <c r="K115" i="2"/>
  <c r="Q368" i="2"/>
  <c r="P865" i="2"/>
  <c r="J93" i="2"/>
  <c r="O756" i="2"/>
  <c r="L1002" i="2"/>
  <c r="O644" i="2"/>
  <c r="T754" i="2"/>
  <c r="O566" i="2"/>
  <c r="M522" i="2"/>
  <c r="N605" i="2"/>
  <c r="R268" i="2"/>
  <c r="N505" i="2"/>
  <c r="S109" i="2"/>
  <c r="K326" i="2"/>
  <c r="J226" i="2"/>
  <c r="L313" i="2"/>
  <c r="N734" i="2"/>
  <c r="L88" i="2"/>
  <c r="R923" i="2"/>
  <c r="K13" i="2"/>
  <c r="S598" i="2"/>
  <c r="R363" i="2"/>
  <c r="P911" i="2"/>
  <c r="M886" i="2"/>
  <c r="T84" i="2"/>
  <c r="S39" i="2"/>
  <c r="P375" i="2"/>
  <c r="N418" i="2"/>
  <c r="M1051" i="2"/>
  <c r="T237" i="2"/>
  <c r="R462" i="2"/>
  <c r="T224" i="2"/>
  <c r="M143" i="2"/>
  <c r="P334" i="2"/>
  <c r="P74" i="2"/>
  <c r="P118" i="2"/>
  <c r="U216" i="2"/>
  <c r="K677" i="2"/>
  <c r="R186" i="2"/>
  <c r="L89" i="2"/>
  <c r="T192" i="2"/>
  <c r="L51" i="2"/>
  <c r="N675" i="2"/>
  <c r="U438" i="2"/>
  <c r="L831" i="2"/>
  <c r="U529" i="2"/>
  <c r="P20" i="2"/>
  <c r="Q12" i="2"/>
  <c r="N266" i="2"/>
  <c r="K12" i="2"/>
  <c r="J802" i="2"/>
  <c r="R199" i="2"/>
  <c r="T203" i="2"/>
  <c r="Q137" i="2"/>
  <c r="P152" i="2"/>
  <c r="M684" i="2"/>
  <c r="R266" i="2"/>
  <c r="T159" i="2"/>
  <c r="N198" i="2"/>
  <c r="T239" i="2"/>
  <c r="M324" i="2"/>
  <c r="M257" i="2"/>
  <c r="K279" i="2"/>
  <c r="O309" i="2"/>
  <c r="M207" i="2"/>
  <c r="M206" i="2"/>
  <c r="P447" i="2"/>
  <c r="N316" i="2"/>
  <c r="S234" i="2"/>
  <c r="R64" i="2"/>
  <c r="M221" i="2"/>
  <c r="M271" i="2"/>
  <c r="U59" i="2"/>
  <c r="J349" i="2"/>
  <c r="K265" i="2"/>
  <c r="J539" i="2"/>
  <c r="Q254" i="2"/>
  <c r="O62" i="2"/>
  <c r="M540" i="2"/>
  <c r="S76" i="2"/>
  <c r="J26" i="2"/>
  <c r="L67" i="2"/>
  <c r="J529" i="2"/>
  <c r="S900" i="2"/>
  <c r="Q36" i="2"/>
  <c r="U133" i="2"/>
  <c r="T47" i="2"/>
  <c r="J306" i="2"/>
  <c r="O144" i="2"/>
  <c r="R351" i="2"/>
  <c r="T259" i="2"/>
  <c r="R7" i="2"/>
  <c r="N465" i="2"/>
  <c r="N228" i="2"/>
  <c r="P594" i="2"/>
  <c r="L64" i="2"/>
  <c r="L260" i="2"/>
  <c r="Q86" i="2"/>
  <c r="R649" i="2"/>
  <c r="K87" i="2"/>
  <c r="S144" i="2"/>
  <c r="S158" i="2"/>
  <c r="K217" i="2"/>
  <c r="Q35" i="2"/>
  <c r="O100" i="2"/>
  <c r="N103" i="2"/>
  <c r="U285" i="2"/>
  <c r="P184" i="2"/>
  <c r="R253" i="2"/>
  <c r="R258" i="2"/>
  <c r="R575" i="2"/>
  <c r="P266" i="2"/>
  <c r="O21" i="2"/>
  <c r="J244" i="2"/>
  <c r="J166" i="2"/>
  <c r="L197" i="2"/>
  <c r="R716" i="2"/>
  <c r="M223" i="2"/>
  <c r="N189" i="2"/>
  <c r="L529" i="2"/>
  <c r="M201" i="2"/>
  <c r="U857" i="2"/>
  <c r="U191" i="2"/>
  <c r="P455" i="2"/>
  <c r="K52" i="2"/>
  <c r="U16" i="2"/>
  <c r="T66" i="2"/>
  <c r="R711" i="2"/>
  <c r="Q395" i="2"/>
  <c r="O28" i="2"/>
  <c r="S676" i="2"/>
  <c r="U201" i="2"/>
  <c r="S32" i="2"/>
  <c r="O1122" i="2"/>
  <c r="U939" i="2"/>
  <c r="U1203" i="2"/>
  <c r="J858" i="2"/>
  <c r="N499" i="2"/>
  <c r="L980" i="2"/>
  <c r="O701" i="2"/>
  <c r="P625" i="2"/>
  <c r="S259" i="2"/>
  <c r="S220" i="2"/>
  <c r="P614" i="2"/>
  <c r="T583" i="2"/>
  <c r="T830" i="2"/>
  <c r="M198" i="2"/>
  <c r="K18" i="2"/>
  <c r="T360" i="2"/>
  <c r="J575" i="2"/>
  <c r="Q1194" i="2"/>
  <c r="N150" i="2"/>
  <c r="O583" i="2"/>
  <c r="K1178" i="2"/>
  <c r="S733" i="2"/>
  <c r="T639" i="2"/>
  <c r="P730" i="2"/>
  <c r="K335" i="2"/>
  <c r="O356" i="2"/>
  <c r="L145" i="2"/>
  <c r="L353" i="2"/>
  <c r="M21" i="2"/>
  <c r="Q216" i="2"/>
  <c r="L361" i="2"/>
  <c r="R216" i="2"/>
  <c r="P89" i="2"/>
  <c r="M498" i="2"/>
  <c r="M437" i="2"/>
  <c r="U257" i="2"/>
  <c r="K472" i="2"/>
  <c r="Q19" i="2"/>
  <c r="N606" i="2"/>
  <c r="R772" i="2"/>
  <c r="P143" i="2"/>
  <c r="Q139" i="2"/>
  <c r="K227" i="2"/>
  <c r="M205" i="2"/>
  <c r="S213" i="2"/>
  <c r="N51" i="2"/>
  <c r="N199" i="2"/>
  <c r="N398" i="2"/>
  <c r="S99" i="2"/>
  <c r="M33" i="2"/>
  <c r="M328" i="2"/>
  <c r="P282" i="2"/>
  <c r="N108" i="2"/>
  <c r="J463" i="2"/>
  <c r="K970" i="2"/>
  <c r="P31" i="2"/>
  <c r="L417" i="2"/>
  <c r="S228" i="2"/>
  <c r="S50" i="2"/>
  <c r="O434" i="2"/>
  <c r="L214" i="2"/>
  <c r="J369" i="2"/>
  <c r="T918" i="2"/>
  <c r="S319" i="2"/>
  <c r="K6" i="2"/>
  <c r="N414" i="2"/>
  <c r="U316" i="2"/>
  <c r="J232" i="2"/>
  <c r="J559" i="2"/>
  <c r="O405" i="2"/>
  <c r="U333" i="2"/>
  <c r="J352" i="2"/>
  <c r="K165" i="2"/>
  <c r="L440" i="2"/>
  <c r="J149" i="2"/>
  <c r="L223" i="2"/>
  <c r="P274" i="2"/>
  <c r="Q426" i="2"/>
  <c r="J57" i="2"/>
  <c r="O257" i="2"/>
  <c r="N130" i="2"/>
  <c r="T469" i="2"/>
  <c r="Q115" i="2"/>
  <c r="N460" i="2"/>
  <c r="M327" i="2"/>
  <c r="M27" i="2"/>
  <c r="U405" i="2"/>
  <c r="N136" i="2"/>
  <c r="L320" i="2"/>
  <c r="U402" i="2"/>
  <c r="O72" i="2"/>
  <c r="Q679" i="2"/>
  <c r="P105" i="2"/>
  <c r="T319" i="2"/>
  <c r="U342" i="2"/>
  <c r="Q485" i="2"/>
  <c r="Q49" i="2"/>
  <c r="K1291" i="2"/>
  <c r="K664" i="2"/>
  <c r="L170" i="2"/>
  <c r="O222" i="2"/>
  <c r="U641" i="2"/>
  <c r="J373" i="2"/>
  <c r="N18" i="2"/>
  <c r="Q450" i="2"/>
  <c r="S107" i="2"/>
  <c r="S73" i="2"/>
  <c r="L305" i="2"/>
  <c r="N131" i="2"/>
  <c r="L271" i="2"/>
  <c r="T363" i="2"/>
  <c r="J392" i="2"/>
  <c r="R187" i="2"/>
  <c r="T57" i="2"/>
  <c r="N60" i="2"/>
  <c r="J184" i="2"/>
  <c r="P46" i="2"/>
  <c r="N149" i="2"/>
  <c r="N333" i="2"/>
  <c r="T190" i="2"/>
  <c r="O423" i="2"/>
  <c r="T69" i="2"/>
  <c r="K256" i="2"/>
  <c r="N110" i="2"/>
  <c r="Q21" i="2"/>
  <c r="J178" i="2"/>
  <c r="J247" i="2"/>
  <c r="R86" i="2"/>
  <c r="N645" i="2"/>
  <c r="N281" i="2"/>
  <c r="S148" i="2"/>
  <c r="U351" i="2"/>
  <c r="K383" i="2"/>
  <c r="K691" i="2"/>
  <c r="T365" i="2"/>
  <c r="T34" i="2"/>
  <c r="K436" i="2"/>
  <c r="P121" i="2"/>
  <c r="J334" i="2"/>
  <c r="T424" i="2"/>
  <c r="R197" i="2"/>
  <c r="N351" i="2"/>
  <c r="P159" i="2"/>
  <c r="S826" i="2"/>
  <c r="O319" i="2"/>
  <c r="O188" i="2"/>
  <c r="J799" i="2"/>
  <c r="N364" i="2"/>
  <c r="P407" i="2"/>
  <c r="J513" i="2"/>
  <c r="J210" i="2"/>
  <c r="M232" i="2"/>
  <c r="Q167" i="2"/>
  <c r="K455" i="2"/>
  <c r="O361" i="2"/>
  <c r="U12" i="2"/>
  <c r="M279" i="2"/>
  <c r="M645" i="2"/>
  <c r="L257" i="2"/>
  <c r="Q427" i="2"/>
  <c r="Q146" i="2"/>
  <c r="M820" i="2"/>
  <c r="Q654" i="2"/>
  <c r="K765" i="2"/>
  <c r="K79" i="2"/>
  <c r="T314" i="2"/>
  <c r="T49" i="2"/>
  <c r="R272" i="2"/>
  <c r="O33" i="2"/>
  <c r="M197" i="2"/>
  <c r="U338" i="2"/>
  <c r="S465" i="2"/>
  <c r="P326" i="2"/>
  <c r="L101" i="2"/>
  <c r="U584" i="2"/>
  <c r="R105" i="2"/>
  <c r="S222" i="2"/>
  <c r="U424" i="2"/>
  <c r="M442" i="2"/>
  <c r="P695" i="2"/>
  <c r="U271" i="2"/>
  <c r="U269" i="2"/>
  <c r="P202" i="2"/>
  <c r="L112" i="2"/>
  <c r="L399" i="2"/>
  <c r="R202" i="2"/>
  <c r="P216" i="2"/>
  <c r="L307" i="2"/>
  <c r="K291" i="2"/>
  <c r="L114" i="2"/>
  <c r="O129" i="2"/>
  <c r="K303" i="2"/>
  <c r="J332" i="2"/>
  <c r="O158" i="2"/>
  <c r="Q571" i="2"/>
  <c r="P902" i="2"/>
  <c r="M237" i="2"/>
  <c r="J223" i="2"/>
  <c r="L241" i="2"/>
  <c r="N495" i="2"/>
  <c r="P1246" i="2"/>
  <c r="U784" i="2"/>
  <c r="L757" i="2"/>
  <c r="R479" i="2"/>
  <c r="L326" i="2"/>
  <c r="Q688" i="2"/>
  <c r="O439" i="2"/>
  <c r="T794" i="2"/>
  <c r="M119" i="2"/>
  <c r="N312" i="2"/>
  <c r="M266" i="2"/>
  <c r="R168" i="2"/>
  <c r="S732" i="2"/>
  <c r="S680" i="2"/>
  <c r="S667" i="2"/>
  <c r="P962" i="2"/>
  <c r="R1082" i="2"/>
  <c r="J72" i="2"/>
  <c r="Q53" i="2"/>
  <c r="K802" i="2"/>
  <c r="S568" i="2"/>
  <c r="Q432" i="2"/>
  <c r="M213" i="2"/>
  <c r="P1485" i="2"/>
  <c r="J318" i="2"/>
  <c r="O300" i="2"/>
  <c r="T589" i="2"/>
  <c r="R70" i="2"/>
  <c r="N625" i="2"/>
  <c r="S310" i="2"/>
  <c r="S231" i="2"/>
  <c r="K295" i="2"/>
  <c r="K636" i="2"/>
  <c r="Q80" i="2"/>
  <c r="K707" i="2"/>
  <c r="M150" i="2"/>
  <c r="R287" i="2"/>
  <c r="Q597" i="2"/>
  <c r="S82" i="2"/>
  <c r="Q473" i="2"/>
  <c r="U1022" i="2"/>
  <c r="R151" i="2"/>
  <c r="P444" i="2"/>
  <c r="U142" i="2"/>
  <c r="S106" i="2"/>
  <c r="K559" i="2"/>
  <c r="M335" i="2"/>
  <c r="R89" i="2"/>
  <c r="Q219" i="2"/>
  <c r="U144" i="2"/>
  <c r="P60" i="2"/>
  <c r="Q670" i="2"/>
  <c r="M380" i="2"/>
  <c r="P217" i="2"/>
  <c r="M229" i="2"/>
  <c r="T96" i="2"/>
  <c r="O377" i="2"/>
  <c r="K186" i="2"/>
  <c r="O395" i="2"/>
  <c r="R294" i="2"/>
  <c r="N320" i="2"/>
  <c r="T384" i="2"/>
  <c r="N190" i="2"/>
  <c r="L298" i="2"/>
  <c r="O154" i="2"/>
  <c r="P246" i="2"/>
  <c r="R284" i="2"/>
  <c r="M166" i="2"/>
  <c r="Q96" i="2"/>
  <c r="L269" i="2"/>
  <c r="S94" i="2"/>
  <c r="R226" i="2"/>
  <c r="R102" i="2"/>
  <c r="L28" i="2"/>
  <c r="M382" i="2"/>
  <c r="R271" i="2"/>
  <c r="L193" i="2"/>
  <c r="Q244" i="2"/>
  <c r="U339" i="2"/>
  <c r="R85" i="2"/>
  <c r="L345" i="2"/>
  <c r="Q59" i="2"/>
  <c r="P104" i="2"/>
  <c r="U57" i="2"/>
  <c r="P271" i="2"/>
  <c r="N549" i="2"/>
  <c r="M256" i="2"/>
  <c r="P166" i="2"/>
  <c r="M800" i="2"/>
  <c r="K304" i="2"/>
  <c r="M163" i="2"/>
  <c r="P883" i="2"/>
  <c r="Q482" i="2"/>
  <c r="M148" i="2"/>
  <c r="U318" i="2"/>
  <c r="Q322" i="2"/>
  <c r="N112" i="2"/>
  <c r="T552" i="2"/>
  <c r="N800" i="2"/>
  <c r="O114" i="2"/>
  <c r="J267" i="2"/>
  <c r="O198" i="2"/>
  <c r="M29" i="2"/>
  <c r="O41" i="2"/>
  <c r="M639" i="2"/>
  <c r="M582" i="2"/>
  <c r="N21" i="2"/>
  <c r="S208" i="2"/>
  <c r="R323" i="2"/>
  <c r="J274" i="2"/>
  <c r="U649" i="2"/>
  <c r="K26" i="2"/>
  <c r="K152" i="2"/>
  <c r="N26" i="2"/>
  <c r="Q612" i="2"/>
  <c r="K377" i="2"/>
  <c r="K306" i="2"/>
  <c r="U197" i="2"/>
  <c r="P824" i="2"/>
  <c r="T294" i="2"/>
  <c r="N43" i="2"/>
  <c r="O745" i="2"/>
  <c r="J121" i="2"/>
  <c r="U437" i="2"/>
  <c r="P3" i="2"/>
  <c r="L24" i="2"/>
  <c r="U735" i="2"/>
  <c r="U155" i="2"/>
  <c r="P432" i="2"/>
  <c r="U412" i="2"/>
  <c r="O37" i="2"/>
  <c r="U157" i="2"/>
  <c r="J324" i="2"/>
  <c r="M154" i="2"/>
  <c r="S330" i="2"/>
  <c r="N1044" i="2"/>
  <c r="K122" i="2"/>
  <c r="P521" i="2"/>
  <c r="T252" i="2"/>
  <c r="M723" i="2"/>
  <c r="T1022" i="2"/>
  <c r="T27" i="2"/>
  <c r="M499" i="2"/>
  <c r="S560" i="2"/>
  <c r="Q541" i="2"/>
  <c r="S81" i="2"/>
  <c r="O265" i="2"/>
  <c r="S351" i="2"/>
  <c r="K37" i="2"/>
  <c r="T94" i="2"/>
  <c r="J314" i="2"/>
  <c r="P232" i="2"/>
  <c r="P412" i="2"/>
  <c r="J74" i="2"/>
  <c r="N252" i="2"/>
  <c r="U217" i="2"/>
  <c r="K380" i="2"/>
  <c r="J271" i="2"/>
  <c r="O109" i="2"/>
  <c r="S804" i="2"/>
  <c r="U770" i="2"/>
  <c r="K96" i="2"/>
  <c r="M116" i="2"/>
  <c r="L37" i="2"/>
  <c r="P69" i="2"/>
  <c r="M10" i="2"/>
  <c r="N69" i="2"/>
  <c r="M315" i="2"/>
  <c r="J389" i="2"/>
  <c r="T299" i="2"/>
  <c r="S202" i="2"/>
  <c r="Q914" i="2"/>
  <c r="P833" i="2"/>
  <c r="S654" i="2"/>
  <c r="L589" i="2"/>
  <c r="S635" i="2"/>
  <c r="T970" i="2"/>
  <c r="R1159" i="2"/>
  <c r="R45" i="2"/>
  <c r="K147" i="2"/>
  <c r="S839" i="2"/>
  <c r="O201" i="2"/>
  <c r="Q729" i="2"/>
  <c r="R188" i="2"/>
  <c r="T490" i="2"/>
  <c r="Q921" i="2"/>
  <c r="Q658" i="2"/>
  <c r="O93" i="2"/>
  <c r="P534" i="2"/>
  <c r="P817" i="2"/>
  <c r="L848" i="2"/>
  <c r="R22" i="2"/>
  <c r="Q489" i="2"/>
  <c r="U204" i="2"/>
  <c r="L29" i="2"/>
  <c r="P280" i="2"/>
  <c r="Q362" i="2"/>
  <c r="N85" i="2"/>
  <c r="P103" i="2"/>
  <c r="K174" i="2"/>
  <c r="Q131" i="2"/>
  <c r="R116" i="2"/>
  <c r="R1103" i="2"/>
  <c r="Q165" i="2"/>
  <c r="T128" i="2"/>
  <c r="O653" i="2"/>
  <c r="N223" i="2"/>
  <c r="M430" i="2"/>
  <c r="P886" i="2"/>
  <c r="T138" i="2"/>
  <c r="P331" i="2"/>
  <c r="P598" i="2"/>
  <c r="L267" i="2"/>
  <c r="Q207" i="2"/>
  <c r="T155" i="2"/>
  <c r="J215" i="2"/>
  <c r="K682" i="2"/>
  <c r="N925" i="2"/>
  <c r="R21" i="2"/>
  <c r="L63" i="2"/>
  <c r="L428" i="2"/>
  <c r="T92" i="2"/>
  <c r="R126" i="2"/>
  <c r="U820" i="2"/>
  <c r="K77" i="2"/>
  <c r="J731" i="2"/>
  <c r="U289" i="2"/>
  <c r="J1101" i="2"/>
  <c r="T890" i="2"/>
  <c r="L693" i="2"/>
  <c r="N865" i="2"/>
  <c r="L1124" i="2"/>
  <c r="J792" i="2"/>
  <c r="U465" i="2"/>
  <c r="O77" i="2"/>
  <c r="M808" i="2"/>
  <c r="K440" i="2"/>
  <c r="S673" i="2"/>
  <c r="J582" i="2"/>
  <c r="S423" i="2"/>
  <c r="U677" i="2"/>
  <c r="U476" i="2"/>
  <c r="Q841" i="2"/>
  <c r="L59" i="2"/>
  <c r="P425" i="2"/>
  <c r="M840" i="2"/>
  <c r="T382" i="2"/>
  <c r="L1107" i="2"/>
  <c r="N481" i="2"/>
  <c r="Q313" i="2"/>
  <c r="P418" i="2"/>
  <c r="P318" i="2"/>
  <c r="M52" i="2"/>
  <c r="Q88" i="2"/>
  <c r="N98" i="2"/>
  <c r="P191" i="2"/>
  <c r="U1014" i="2"/>
  <c r="M545" i="2"/>
  <c r="L181" i="2"/>
  <c r="R717" i="2"/>
  <c r="S359" i="2"/>
  <c r="K162" i="2"/>
  <c r="U148" i="2"/>
  <c r="T483" i="2"/>
  <c r="K418" i="2"/>
  <c r="N67" i="2"/>
  <c r="S123" i="2"/>
  <c r="T331" i="2"/>
  <c r="S216" i="2"/>
  <c r="O283" i="2"/>
  <c r="U462" i="2"/>
  <c r="S171" i="2"/>
  <c r="O113" i="2"/>
  <c r="K741" i="2"/>
  <c r="T349" i="2"/>
  <c r="N227" i="2"/>
  <c r="K120" i="2"/>
  <c r="R230" i="2"/>
  <c r="O166" i="2"/>
  <c r="T313" i="2"/>
  <c r="U188" i="2"/>
  <c r="J99" i="2"/>
  <c r="O54" i="2"/>
  <c r="L49" i="2"/>
  <c r="J436" i="2"/>
  <c r="M469" i="2"/>
  <c r="Q93" i="2"/>
  <c r="L853" i="2"/>
  <c r="O270" i="2"/>
  <c r="L420" i="2"/>
  <c r="R16" i="2"/>
  <c r="S239" i="2"/>
  <c r="N11" i="2"/>
  <c r="O58" i="2"/>
  <c r="O24" i="2"/>
  <c r="P205" i="2"/>
  <c r="T559" i="2"/>
  <c r="U265" i="2"/>
  <c r="Q134" i="2"/>
  <c r="M441" i="2"/>
  <c r="N618" i="2"/>
  <c r="L612" i="2"/>
  <c r="S116" i="2"/>
  <c r="S693" i="2"/>
  <c r="J364" i="2"/>
  <c r="N114" i="2"/>
  <c r="O378" i="2"/>
  <c r="S852" i="2"/>
  <c r="T154" i="2"/>
  <c r="U41" i="2"/>
  <c r="J235" i="2"/>
  <c r="K243" i="2"/>
  <c r="O241" i="2"/>
  <c r="Q205" i="2"/>
  <c r="J199" i="2"/>
  <c r="P14" i="2"/>
  <c r="L566" i="2"/>
  <c r="U114" i="2"/>
  <c r="M118" i="2"/>
  <c r="U17" i="2"/>
  <c r="R20" i="2"/>
  <c r="T97" i="2"/>
  <c r="Q660" i="2"/>
  <c r="R353" i="2"/>
  <c r="K298" i="2"/>
  <c r="M269" i="2"/>
  <c r="S35" i="2"/>
  <c r="P338" i="2"/>
  <c r="L259" i="2"/>
  <c r="P354" i="2"/>
  <c r="Q269" i="2"/>
  <c r="U149" i="2"/>
  <c r="K200" i="2"/>
  <c r="L336" i="2"/>
  <c r="P127" i="2"/>
  <c r="J303" i="2"/>
  <c r="N258" i="2"/>
  <c r="R32" i="2"/>
  <c r="S263" i="2"/>
  <c r="J275" i="2"/>
  <c r="K323" i="2"/>
  <c r="N290" i="2"/>
  <c r="J633" i="2"/>
  <c r="J189" i="2"/>
  <c r="S1031" i="2"/>
  <c r="M375" i="2"/>
  <c r="O425" i="2"/>
  <c r="T434" i="2"/>
  <c r="P9" i="2"/>
  <c r="N186" i="2"/>
  <c r="U362" i="2"/>
  <c r="J251" i="2"/>
  <c r="K67" i="2"/>
  <c r="J449" i="2"/>
  <c r="J213" i="2"/>
  <c r="M169" i="2"/>
  <c r="T12" i="2"/>
  <c r="R231" i="2"/>
  <c r="Q286" i="2"/>
  <c r="O185" i="2"/>
  <c r="U502" i="2"/>
  <c r="U542" i="2"/>
  <c r="S413" i="2"/>
  <c r="J167" i="2"/>
  <c r="U294" i="2"/>
  <c r="J30" i="2"/>
  <c r="M398" i="2"/>
  <c r="L339" i="2"/>
  <c r="O105" i="2"/>
  <c r="L380" i="2"/>
  <c r="K252" i="2"/>
  <c r="Q277" i="2"/>
  <c r="K238" i="2"/>
  <c r="L172" i="2"/>
  <c r="S125" i="2"/>
  <c r="U116" i="2"/>
  <c r="T37" i="2"/>
  <c r="M191" i="2"/>
  <c r="K196" i="2"/>
  <c r="U7" i="2"/>
  <c r="S235" i="2"/>
  <c r="S600" i="2"/>
  <c r="T279" i="2"/>
  <c r="T311" i="2"/>
  <c r="T132" i="2"/>
  <c r="N797" i="2"/>
  <c r="J157" i="2"/>
  <c r="T409" i="2"/>
  <c r="P253" i="2"/>
  <c r="N235" i="2"/>
  <c r="U252" i="2"/>
  <c r="Q760" i="2"/>
  <c r="O115" i="2"/>
  <c r="S626" i="2"/>
  <c r="T475" i="2"/>
  <c r="K210" i="2"/>
  <c r="S824" i="2"/>
  <c r="K117" i="2"/>
  <c r="M333" i="2"/>
  <c r="L100" i="2"/>
  <c r="R690" i="2"/>
  <c r="J56" i="2"/>
  <c r="O1246" i="2"/>
  <c r="P111" i="2"/>
  <c r="Q566" i="2"/>
  <c r="M749" i="2"/>
  <c r="M853" i="2"/>
  <c r="O965" i="2"/>
  <c r="N580" i="2"/>
  <c r="M248" i="2"/>
  <c r="L323" i="2"/>
  <c r="M131" i="2"/>
  <c r="N782" i="2"/>
  <c r="U734" i="2"/>
  <c r="U76" i="2"/>
  <c r="U151" i="2"/>
  <c r="L821" i="2"/>
  <c r="N353" i="2"/>
  <c r="K619" i="2"/>
  <c r="K478" i="2"/>
  <c r="S1007" i="2"/>
  <c r="K353" i="2"/>
  <c r="N635" i="2"/>
  <c r="S517" i="2"/>
  <c r="R171" i="2"/>
  <c r="P189" i="2"/>
  <c r="U469" i="2"/>
  <c r="U163" i="2"/>
  <c r="L379" i="2"/>
  <c r="J62" i="2"/>
  <c r="U763" i="2"/>
  <c r="R372" i="2"/>
  <c r="S290" i="2"/>
  <c r="J391" i="2"/>
  <c r="N419" i="2"/>
  <c r="J1403" i="2"/>
  <c r="L123" i="2"/>
  <c r="L118" i="2"/>
  <c r="P1251" i="2"/>
  <c r="L78" i="2"/>
  <c r="R72" i="2"/>
  <c r="J514" i="2"/>
  <c r="K251" i="2"/>
  <c r="K476" i="2"/>
  <c r="R436" i="2"/>
  <c r="P392" i="2"/>
  <c r="M73" i="2"/>
  <c r="N78" i="2"/>
  <c r="U347" i="2"/>
  <c r="K386" i="2"/>
  <c r="L31" i="2"/>
  <c r="Q435" i="2"/>
  <c r="U158" i="2"/>
  <c r="O138" i="2"/>
  <c r="L66" i="2"/>
  <c r="Q351" i="2"/>
  <c r="K770" i="2"/>
  <c r="O126" i="2"/>
  <c r="J35" i="2"/>
  <c r="K356" i="2"/>
  <c r="P478" i="2"/>
  <c r="J116" i="2"/>
  <c r="L261" i="2"/>
  <c r="J323" i="2"/>
  <c r="M298" i="2"/>
  <c r="R444" i="2"/>
  <c r="U382" i="2"/>
  <c r="M302" i="2"/>
  <c r="J344" i="2"/>
  <c r="P117" i="2"/>
  <c r="T263" i="2"/>
  <c r="M544" i="2"/>
  <c r="Q178" i="2"/>
  <c r="P672" i="2"/>
  <c r="R397" i="2"/>
  <c r="Q151" i="2"/>
  <c r="R377" i="2"/>
  <c r="R368" i="2"/>
  <c r="P1076" i="2"/>
  <c r="O175" i="2"/>
  <c r="J294" i="2"/>
  <c r="Q214" i="2"/>
  <c r="U66" i="2"/>
  <c r="L226" i="2"/>
  <c r="L591" i="2"/>
  <c r="M155" i="2"/>
  <c r="N124" i="2"/>
  <c r="L265" i="2"/>
  <c r="U24" i="2"/>
  <c r="O229" i="2"/>
  <c r="M26" i="2"/>
  <c r="Q76" i="2"/>
  <c r="K185" i="2"/>
  <c r="N525" i="2"/>
  <c r="K257" i="2"/>
  <c r="M63" i="2"/>
  <c r="M334" i="2"/>
  <c r="P59" i="2"/>
  <c r="M151" i="2"/>
  <c r="S580" i="2"/>
  <c r="L238" i="2"/>
  <c r="M743" i="2"/>
  <c r="S400" i="2"/>
  <c r="R218" i="2"/>
  <c r="M393" i="2"/>
  <c r="N259" i="2"/>
  <c r="U229" i="2"/>
  <c r="R379" i="2"/>
  <c r="N295" i="2"/>
  <c r="P35" i="2"/>
  <c r="R29" i="2"/>
  <c r="K352" i="2"/>
  <c r="N233" i="2"/>
  <c r="M113" i="2"/>
  <c r="J285" i="2"/>
  <c r="R95" i="2"/>
  <c r="T63" i="2"/>
  <c r="N423" i="2"/>
  <c r="S374" i="2"/>
  <c r="Q198" i="2"/>
  <c r="S4" i="2"/>
  <c r="U419" i="2"/>
  <c r="S408" i="2"/>
  <c r="M38" i="2"/>
  <c r="M8" i="2"/>
  <c r="T258" i="2"/>
  <c r="R267" i="2"/>
  <c r="J307" i="2"/>
  <c r="M338" i="2"/>
  <c r="Q798" i="2"/>
  <c r="Q84" i="2"/>
  <c r="S267" i="2"/>
  <c r="U270" i="2"/>
  <c r="O8" i="2"/>
  <c r="L288" i="2"/>
  <c r="N148" i="2"/>
  <c r="U255" i="2"/>
  <c r="M250" i="2"/>
  <c r="P439" i="2"/>
  <c r="M262" i="2"/>
  <c r="U22" i="2"/>
  <c r="U372" i="2"/>
  <c r="L75" i="2"/>
  <c r="U684" i="2"/>
  <c r="R35" i="2"/>
  <c r="S127" i="2"/>
  <c r="K75" i="2"/>
  <c r="K29" i="2"/>
  <c r="R167" i="2"/>
  <c r="J733" i="2"/>
  <c r="R311" i="2"/>
  <c r="N206" i="2"/>
  <c r="U366" i="2"/>
  <c r="Q343" i="2"/>
  <c r="N182" i="2"/>
  <c r="U169" i="2"/>
  <c r="T86" i="2"/>
  <c r="O101" i="2"/>
  <c r="Q233" i="2"/>
  <c r="T267" i="2"/>
  <c r="N523" i="2"/>
  <c r="N152" i="2"/>
  <c r="J321" i="2"/>
  <c r="O349" i="2"/>
  <c r="T38" i="2"/>
  <c r="K182" i="2"/>
  <c r="Q292" i="2"/>
  <c r="J54" i="2"/>
  <c r="T4" i="2"/>
  <c r="P148" i="2"/>
  <c r="M91" i="2"/>
  <c r="P141" i="2"/>
  <c r="M431" i="2"/>
  <c r="T40" i="2"/>
  <c r="S159" i="2"/>
  <c r="L917" i="2"/>
  <c r="K381" i="2"/>
  <c r="Q150" i="2"/>
  <c r="K214" i="2"/>
  <c r="K127" i="2"/>
  <c r="T39" i="2"/>
  <c r="Q77" i="2"/>
  <c r="R88" i="2"/>
  <c r="L138" i="2"/>
  <c r="U409" i="2"/>
  <c r="M43" i="2"/>
  <c r="T700" i="2"/>
  <c r="J102" i="2"/>
  <c r="L499" i="2"/>
  <c r="O800" i="2"/>
  <c r="Q564" i="2"/>
  <c r="N443" i="2"/>
  <c r="J1175" i="2"/>
  <c r="O496" i="2"/>
  <c r="O589" i="2"/>
  <c r="T83" i="2"/>
  <c r="T672" i="2"/>
  <c r="S218" i="2"/>
  <c r="P245" i="2"/>
  <c r="U901" i="2"/>
  <c r="N58" i="2"/>
  <c r="R791" i="2"/>
  <c r="K539" i="2"/>
  <c r="O246" i="2"/>
  <c r="S22" i="2"/>
  <c r="O681" i="2"/>
  <c r="L639" i="2"/>
  <c r="P428" i="2"/>
  <c r="M936" i="2"/>
  <c r="S432" i="2"/>
  <c r="R180" i="2"/>
  <c r="L70" i="2"/>
  <c r="J91" i="2"/>
  <c r="J222" i="2"/>
  <c r="J406" i="2"/>
  <c r="M120" i="2"/>
  <c r="K99" i="2"/>
  <c r="T463" i="2"/>
  <c r="K533" i="2"/>
  <c r="O70" i="2"/>
  <c r="K384" i="2"/>
  <c r="K101" i="2"/>
  <c r="R538" i="2"/>
  <c r="S117" i="2"/>
  <c r="N352" i="2"/>
  <c r="J939" i="2"/>
  <c r="M109" i="2"/>
  <c r="U279" i="2"/>
  <c r="K194" i="2"/>
  <c r="P259" i="2"/>
  <c r="M722" i="2"/>
  <c r="J204" i="2"/>
  <c r="L148" i="2"/>
  <c r="L94" i="2"/>
  <c r="O759" i="2"/>
  <c r="K264" i="2"/>
  <c r="M132" i="2"/>
  <c r="K23" i="2"/>
  <c r="M173" i="2"/>
  <c r="N161" i="2"/>
  <c r="J948" i="2"/>
  <c r="R719" i="2"/>
  <c r="L277" i="2"/>
  <c r="K92" i="2"/>
  <c r="S8" i="2"/>
  <c r="P158" i="2"/>
  <c r="N375" i="2"/>
  <c r="J403" i="2"/>
  <c r="L270" i="2"/>
  <c r="J207" i="2"/>
  <c r="Q555" i="2"/>
  <c r="P366" i="2"/>
  <c r="M417" i="2"/>
  <c r="K409" i="2"/>
  <c r="T378" i="2"/>
  <c r="S775" i="2"/>
  <c r="M115" i="2"/>
  <c r="M4" i="2"/>
  <c r="U381" i="2"/>
  <c r="L2" i="2"/>
  <c r="U231" i="2"/>
  <c r="U387" i="2"/>
  <c r="J319" i="2"/>
  <c r="L349" i="2"/>
  <c r="Q629" i="2"/>
  <c r="Q675" i="2"/>
  <c r="J254" i="2"/>
  <c r="T376" i="2"/>
  <c r="O143" i="2"/>
  <c r="K248" i="2"/>
  <c r="K63" i="2"/>
  <c r="P82" i="2"/>
  <c r="N165" i="2"/>
  <c r="L9" i="2"/>
  <c r="U248" i="2"/>
  <c r="R299" i="2"/>
  <c r="L132" i="2"/>
  <c r="T375" i="2"/>
  <c r="N95" i="2"/>
  <c r="T73" i="2"/>
  <c r="L753" i="2"/>
  <c r="R702" i="2"/>
  <c r="P295" i="2"/>
  <c r="N739" i="2"/>
  <c r="S96" i="2"/>
  <c r="S132" i="2"/>
  <c r="T170" i="2"/>
  <c r="T176" i="2"/>
  <c r="K259" i="2"/>
  <c r="U107" i="2"/>
  <c r="L360" i="2"/>
  <c r="P855" i="2"/>
  <c r="M226" i="2"/>
  <c r="O111" i="2"/>
  <c r="Q347" i="2"/>
  <c r="P457" i="2"/>
  <c r="U689" i="2"/>
  <c r="O168" i="2"/>
  <c r="L177" i="2"/>
  <c r="S9" i="2"/>
  <c r="J49" i="2"/>
  <c r="J53" i="2"/>
  <c r="T107" i="2"/>
  <c r="P255" i="2"/>
  <c r="U150" i="2"/>
  <c r="T114" i="2"/>
  <c r="O48" i="2"/>
  <c r="P441" i="2"/>
  <c r="J131" i="2"/>
  <c r="P169" i="2"/>
  <c r="K111" i="2"/>
  <c r="R378" i="2"/>
  <c r="Q360" i="2"/>
  <c r="M188" i="2"/>
  <c r="T99" i="2"/>
  <c r="T431" i="2"/>
  <c r="P273" i="2"/>
  <c r="S3" i="2"/>
  <c r="U18" i="2"/>
  <c r="Q582" i="2"/>
  <c r="J837" i="2"/>
  <c r="O200" i="2"/>
  <c r="M595" i="2"/>
  <c r="U365" i="2"/>
  <c r="J279" i="2"/>
  <c r="S200" i="2"/>
  <c r="S288" i="2"/>
  <c r="Q64" i="2"/>
  <c r="Q175" i="2"/>
  <c r="T248" i="2"/>
  <c r="R134" i="2"/>
  <c r="L171" i="2"/>
  <c r="S378" i="2"/>
  <c r="M167" i="2"/>
  <c r="K536" i="2"/>
  <c r="K234" i="2"/>
  <c r="K367" i="2"/>
  <c r="Q246" i="2"/>
  <c r="N384" i="2"/>
  <c r="K131" i="2"/>
  <c r="J348" i="2"/>
  <c r="P11" i="2"/>
  <c r="Q702" i="2"/>
  <c r="S440" i="2"/>
  <c r="T211" i="2"/>
  <c r="R259" i="2"/>
  <c r="S311" i="2"/>
  <c r="P313" i="2"/>
  <c r="N263" i="2"/>
  <c r="U769" i="2"/>
  <c r="S89" i="2"/>
  <c r="P84" i="2"/>
  <c r="L144" i="2"/>
  <c r="R92" i="2"/>
  <c r="L55" i="2"/>
  <c r="M323" i="2"/>
  <c r="R564" i="2"/>
  <c r="M648" i="2"/>
  <c r="N268" i="2"/>
  <c r="O190" i="2"/>
  <c r="K14" i="2"/>
  <c r="M347" i="2"/>
  <c r="U63" i="2"/>
  <c r="K172" i="2"/>
  <c r="L120" i="2"/>
  <c r="R83" i="2"/>
  <c r="T55" i="2"/>
  <c r="S261" i="2"/>
  <c r="Q149" i="2"/>
  <c r="Q202" i="2"/>
  <c r="O228" i="2"/>
  <c r="S24" i="2"/>
  <c r="L278" i="2"/>
  <c r="T124" i="2"/>
  <c r="P172" i="2"/>
  <c r="P644" i="2"/>
  <c r="M799" i="2"/>
  <c r="R852" i="2"/>
  <c r="P608" i="2"/>
  <c r="N611" i="2"/>
  <c r="R760" i="2"/>
  <c r="N315" i="2"/>
  <c r="O628" i="2"/>
  <c r="M874" i="2"/>
  <c r="O122" i="2"/>
  <c r="J409" i="2"/>
  <c r="U193" i="2"/>
  <c r="U30" i="2"/>
  <c r="L121" i="2"/>
  <c r="M39" i="2"/>
  <c r="T175" i="2"/>
  <c r="Q257" i="2"/>
  <c r="T127" i="2"/>
  <c r="S70" i="2"/>
  <c r="P135" i="2"/>
  <c r="P337" i="2"/>
  <c r="L568" i="2"/>
  <c r="T179" i="2"/>
  <c r="O398" i="2"/>
  <c r="P343" i="2"/>
  <c r="T276" i="2"/>
  <c r="T14" i="2"/>
  <c r="N284" i="2"/>
  <c r="L235" i="2"/>
  <c r="S124" i="2"/>
  <c r="R414" i="2"/>
  <c r="J139" i="2"/>
  <c r="L783" i="2"/>
  <c r="K11" i="2"/>
  <c r="S101" i="2"/>
  <c r="S115" i="2"/>
  <c r="O197" i="2"/>
  <c r="U122" i="2"/>
  <c r="R387" i="2"/>
  <c r="S278" i="2"/>
  <c r="P689" i="2"/>
  <c r="K269" i="2"/>
  <c r="P136" i="2"/>
  <c r="Q331" i="2"/>
  <c r="U522" i="2"/>
  <c r="L175" i="2"/>
  <c r="J78" i="2"/>
  <c r="L19" i="2"/>
  <c r="L167" i="2"/>
  <c r="P220" i="2"/>
  <c r="U890" i="2"/>
  <c r="M86" i="2"/>
  <c r="J7" i="2"/>
  <c r="S342" i="2"/>
  <c r="J129" i="2"/>
  <c r="O4" i="2"/>
  <c r="J16" i="2"/>
  <c r="K833" i="2"/>
  <c r="T950" i="2"/>
  <c r="K206" i="2"/>
  <c r="N68" i="2"/>
  <c r="P5" i="2"/>
  <c r="R213" i="2"/>
  <c r="U109" i="2"/>
  <c r="L16" i="2"/>
  <c r="U937" i="2"/>
  <c r="N328" i="2"/>
  <c r="J807" i="2"/>
  <c r="M871" i="2"/>
  <c r="P590" i="2"/>
  <c r="M484" i="2"/>
  <c r="O520" i="2"/>
  <c r="U20" i="2"/>
  <c r="O571" i="2"/>
  <c r="L956" i="2"/>
  <c r="Q475" i="2"/>
  <c r="N598" i="2"/>
  <c r="T480" i="2"/>
  <c r="S460" i="2"/>
  <c r="O455" i="2"/>
  <c r="J95" i="2"/>
  <c r="O291" i="2"/>
  <c r="U872" i="2"/>
  <c r="L38" i="2"/>
  <c r="T513" i="2"/>
  <c r="U241" i="2"/>
  <c r="R243" i="2"/>
  <c r="S531" i="2"/>
  <c r="L126" i="2"/>
  <c r="O217" i="2"/>
  <c r="P293" i="2"/>
  <c r="Q259" i="2"/>
  <c r="J1449" i="2"/>
  <c r="O219" i="2"/>
  <c r="N387" i="2"/>
  <c r="K531" i="2"/>
  <c r="K933" i="2"/>
  <c r="J287" i="2"/>
  <c r="R317" i="2"/>
  <c r="P361" i="2"/>
  <c r="R1258" i="2"/>
  <c r="P254" i="2"/>
  <c r="S380" i="2"/>
  <c r="U218" i="2"/>
  <c r="J160" i="2"/>
  <c r="J136" i="2"/>
  <c r="U95" i="2"/>
  <c r="L208" i="2"/>
  <c r="P139" i="2"/>
  <c r="L194" i="2"/>
  <c r="S370" i="2"/>
  <c r="S118" i="2"/>
  <c r="T150" i="2"/>
  <c r="L425" i="2"/>
  <c r="Q492" i="2"/>
  <c r="S6" i="2"/>
  <c r="S224" i="2"/>
  <c r="K329" i="2"/>
  <c r="S37" i="2"/>
  <c r="T684" i="2"/>
  <c r="K529" i="2"/>
  <c r="N366" i="2"/>
  <c r="L23" i="2"/>
  <c r="K179" i="2"/>
  <c r="J511" i="2"/>
  <c r="L219" i="2"/>
  <c r="J143" i="2"/>
  <c r="J174" i="2"/>
  <c r="O244" i="2"/>
  <c r="L128" i="2"/>
  <c r="J616" i="2"/>
  <c r="Q650" i="2"/>
  <c r="R82" i="2"/>
  <c r="S1041" i="2"/>
  <c r="L183" i="2"/>
  <c r="O84" i="2"/>
  <c r="Q510" i="2"/>
  <c r="L136" i="2"/>
  <c r="K753" i="2"/>
  <c r="O46" i="2"/>
  <c r="O155" i="2"/>
  <c r="J609" i="2"/>
  <c r="O276" i="2"/>
  <c r="L874" i="2"/>
  <c r="O777" i="2"/>
  <c r="K112" i="2"/>
  <c r="M236" i="2"/>
  <c r="O441" i="2"/>
  <c r="J85" i="2"/>
  <c r="M156" i="2"/>
  <c r="T118" i="2"/>
  <c r="J979" i="2"/>
  <c r="T381" i="2"/>
  <c r="K376" i="2"/>
  <c r="Q97" i="2"/>
  <c r="O83" i="2"/>
  <c r="K98" i="2"/>
  <c r="O367" i="2"/>
  <c r="R133" i="2"/>
  <c r="O142" i="2"/>
  <c r="S79" i="2"/>
  <c r="O206" i="2"/>
  <c r="P815" i="2"/>
  <c r="O36" i="2"/>
  <c r="K372" i="2"/>
  <c r="S610" i="2"/>
  <c r="K28" i="2"/>
  <c r="O335" i="2"/>
  <c r="L86" i="2"/>
  <c r="J708" i="2"/>
  <c r="T541" i="2"/>
  <c r="M332" i="2"/>
  <c r="N395" i="2"/>
  <c r="L204" i="2"/>
  <c r="J34" i="2"/>
  <c r="S410" i="2"/>
  <c r="L680" i="2"/>
  <c r="T362" i="2"/>
  <c r="O29" i="2"/>
  <c r="S225" i="2"/>
  <c r="J9" i="2"/>
  <c r="U111" i="2"/>
  <c r="U44" i="2"/>
  <c r="O87" i="2"/>
  <c r="S45" i="2"/>
  <c r="U176" i="2"/>
  <c r="M506" i="2"/>
  <c r="Q10" i="2"/>
  <c r="K32" i="2"/>
  <c r="K126" i="2"/>
  <c r="M287" i="2"/>
  <c r="M152" i="2"/>
  <c r="T122" i="2"/>
  <c r="J548" i="2"/>
  <c r="Q900" i="2"/>
  <c r="R204" i="2"/>
  <c r="J83" i="2"/>
  <c r="P160" i="2"/>
  <c r="N497" i="2"/>
  <c r="M164" i="2"/>
  <c r="P223" i="2"/>
  <c r="S20" i="2"/>
  <c r="M362" i="2"/>
  <c r="T789" i="2"/>
  <c r="M370" i="2"/>
  <c r="M75" i="2"/>
  <c r="L290" i="2"/>
  <c r="T120" i="2"/>
  <c r="O123" i="2"/>
  <c r="P613" i="2"/>
  <c r="O364" i="2"/>
  <c r="M66" i="2"/>
  <c r="P181" i="2"/>
  <c r="U175" i="2"/>
  <c r="U94" i="2"/>
  <c r="N126" i="2"/>
  <c r="N63" i="2"/>
  <c r="J335" i="2"/>
  <c r="J37" i="2"/>
  <c r="N296" i="2"/>
  <c r="J123" i="2"/>
  <c r="J338" i="2"/>
  <c r="K366" i="2"/>
  <c r="O11" i="2"/>
  <c r="P53" i="2"/>
  <c r="O215" i="2"/>
  <c r="M419" i="2"/>
  <c r="K91" i="2"/>
  <c r="T391" i="2"/>
  <c r="N288" i="2"/>
  <c r="J676" i="2"/>
  <c r="U177" i="2"/>
  <c r="N116" i="2"/>
  <c r="S52" i="2"/>
  <c r="M18" i="2"/>
  <c r="Q619" i="2"/>
  <c r="T344" i="2"/>
  <c r="P180" i="2"/>
  <c r="S189" i="2"/>
  <c r="M520" i="2"/>
  <c r="S215" i="2"/>
  <c r="S180" i="2"/>
  <c r="S787" i="2"/>
  <c r="T843" i="2"/>
  <c r="K10" i="2"/>
  <c r="J114" i="2"/>
  <c r="R439" i="2"/>
  <c r="N1559" i="2"/>
  <c r="R568" i="2"/>
  <c r="U966" i="2"/>
  <c r="P248" i="2"/>
  <c r="J864" i="2"/>
  <c r="T717" i="2"/>
  <c r="L191" i="2"/>
  <c r="P176" i="2"/>
  <c r="N97" i="2"/>
  <c r="P512" i="2"/>
  <c r="N1064" i="2"/>
  <c r="O209" i="2"/>
  <c r="U1395" i="2"/>
  <c r="O606" i="2"/>
  <c r="J13" i="2"/>
  <c r="Q696" i="2"/>
  <c r="M389" i="2"/>
  <c r="T25" i="2"/>
  <c r="L231" i="2"/>
  <c r="L388" i="2"/>
  <c r="O174" i="2"/>
  <c r="Q637" i="2"/>
  <c r="O32" i="2"/>
  <c r="O452" i="2"/>
  <c r="J361" i="2"/>
  <c r="S734" i="2"/>
  <c r="Q13" i="2"/>
  <c r="P146" i="2"/>
  <c r="T334" i="2"/>
  <c r="L243" i="2"/>
  <c r="U356" i="2"/>
  <c r="S254" i="2"/>
  <c r="K422" i="2"/>
  <c r="O135" i="2"/>
  <c r="J727" i="2"/>
  <c r="J531" i="2"/>
  <c r="M37" i="2"/>
  <c r="S376" i="2"/>
  <c r="P301" i="2"/>
  <c r="M83" i="2"/>
  <c r="R115" i="2"/>
  <c r="P479" i="2"/>
  <c r="L350" i="2"/>
  <c r="R185" i="2"/>
  <c r="U56" i="2"/>
  <c r="P528" i="2"/>
  <c r="S270" i="2"/>
  <c r="P537" i="2"/>
  <c r="M114" i="2"/>
  <c r="U259" i="2"/>
  <c r="P228" i="2"/>
  <c r="T153" i="2"/>
  <c r="T43" i="2"/>
  <c r="U103" i="2"/>
  <c r="T149" i="2"/>
  <c r="Q892" i="2"/>
  <c r="O555" i="2"/>
  <c r="S95" i="2"/>
  <c r="J22" i="2"/>
  <c r="S273" i="2"/>
  <c r="P199" i="2"/>
  <c r="N344" i="2"/>
  <c r="Q429" i="2"/>
  <c r="T289" i="2"/>
  <c r="O910" i="2"/>
  <c r="S152" i="2"/>
  <c r="P8" i="2"/>
  <c r="Q70" i="2"/>
  <c r="U410" i="2"/>
  <c r="P114" i="2"/>
  <c r="K232" i="2"/>
  <c r="N147" i="2"/>
  <c r="T221" i="2"/>
  <c r="U805" i="2"/>
  <c r="M689" i="2"/>
  <c r="K430" i="2"/>
  <c r="L886" i="2"/>
  <c r="P487" i="2"/>
  <c r="N711" i="2"/>
  <c r="M552" i="2"/>
  <c r="N211" i="2"/>
  <c r="U100" i="2"/>
  <c r="M1159" i="2"/>
  <c r="K900" i="2"/>
  <c r="Q99" i="2"/>
  <c r="R343" i="2"/>
  <c r="O663" i="2"/>
  <c r="P552" i="2"/>
  <c r="N93" i="2"/>
  <c r="P498" i="2"/>
  <c r="U590" i="2"/>
  <c r="K61" i="2"/>
  <c r="M734" i="2"/>
  <c r="N209" i="2"/>
  <c r="P483" i="2"/>
  <c r="P634" i="2"/>
  <c r="L152" i="2"/>
  <c r="K145" i="2"/>
  <c r="L791" i="2"/>
  <c r="N361" i="2"/>
  <c r="P915" i="2"/>
  <c r="L299" i="2"/>
  <c r="U587" i="2"/>
  <c r="T238" i="2"/>
  <c r="L797" i="2"/>
  <c r="P231" i="2"/>
  <c r="K317" i="2"/>
  <c r="N464" i="2"/>
  <c r="O882" i="2"/>
  <c r="N174" i="2"/>
  <c r="R52" i="2"/>
  <c r="R172" i="2"/>
  <c r="M352" i="2"/>
  <c r="R46" i="2"/>
  <c r="M612" i="2"/>
  <c r="P157" i="2"/>
  <c r="R183" i="2"/>
  <c r="P289" i="2"/>
  <c r="M117" i="2"/>
  <c r="T173" i="2"/>
  <c r="P91" i="2"/>
  <c r="T270" i="2"/>
  <c r="R633" i="2"/>
  <c r="N15" i="2"/>
  <c r="K555" i="2"/>
  <c r="N162" i="2"/>
  <c r="J397" i="2"/>
  <c r="J71" i="2"/>
  <c r="L468" i="2"/>
  <c r="O2" i="2"/>
  <c r="L438" i="2"/>
  <c r="M177" i="2"/>
  <c r="S476" i="2"/>
  <c r="N298" i="2"/>
  <c r="L595" i="2"/>
  <c r="J845" i="2"/>
  <c r="Q680" i="2"/>
  <c r="S27" i="2"/>
  <c r="K552" i="2"/>
  <c r="L354" i="2"/>
  <c r="Q186" i="2"/>
  <c r="J81" i="2"/>
  <c r="L3" i="2"/>
  <c r="S181" i="2"/>
  <c r="K382" i="2"/>
  <c r="M204" i="2"/>
  <c r="T23" i="2"/>
  <c r="L247" i="2"/>
  <c r="N215" i="2"/>
  <c r="Q164" i="2"/>
  <c r="N57" i="2"/>
  <c r="N119" i="2"/>
  <c r="T282" i="2"/>
  <c r="J94" i="2"/>
  <c r="S253" i="2"/>
  <c r="Q50" i="2"/>
  <c r="J212" i="2"/>
  <c r="N600" i="2"/>
  <c r="O389" i="2"/>
  <c r="O73" i="2"/>
  <c r="T191" i="2"/>
  <c r="P218" i="2"/>
  <c r="N140" i="2"/>
  <c r="K288" i="2"/>
  <c r="J41" i="2"/>
  <c r="J177" i="2"/>
  <c r="R325" i="2"/>
  <c r="K168" i="2"/>
  <c r="T106" i="2"/>
  <c r="K7" i="2"/>
  <c r="M303" i="2"/>
  <c r="O94" i="2"/>
  <c r="N143" i="2"/>
  <c r="U40" i="2"/>
  <c r="T264" i="2"/>
  <c r="M96" i="2"/>
  <c r="K125" i="2"/>
  <c r="N207" i="2"/>
  <c r="M415" i="2"/>
  <c r="J209" i="2"/>
  <c r="N336" i="2"/>
  <c r="S325" i="2"/>
  <c r="T3" i="2"/>
  <c r="J169" i="2"/>
  <c r="U662" i="2"/>
  <c r="M414" i="2"/>
  <c r="M49" i="2"/>
  <c r="T216" i="2"/>
  <c r="J420" i="2"/>
  <c r="M662" i="2"/>
  <c r="Q366" i="2"/>
  <c r="S153" i="2"/>
  <c r="N5" i="2"/>
  <c r="U160" i="2"/>
  <c r="P299" i="2"/>
  <c r="M402" i="2"/>
  <c r="K402" i="2"/>
  <c r="P17" i="2"/>
  <c r="T413" i="2"/>
  <c r="Q238" i="2"/>
  <c r="T215" i="2"/>
  <c r="R208" i="2"/>
  <c r="P38" i="2"/>
  <c r="T302" i="2"/>
  <c r="M41" i="2"/>
  <c r="S457" i="2"/>
  <c r="R207" i="2"/>
  <c r="K216" i="2"/>
  <c r="Q38" i="2"/>
  <c r="K157" i="2"/>
  <c r="S249" i="2"/>
  <c r="M157" i="2"/>
  <c r="T855" i="2"/>
  <c r="K840" i="2"/>
  <c r="N441" i="2"/>
  <c r="K320" i="2"/>
  <c r="U779" i="2"/>
  <c r="Q543" i="2"/>
  <c r="M1132" i="2"/>
  <c r="R456" i="2"/>
  <c r="J462" i="2"/>
  <c r="J875" i="2"/>
  <c r="N729" i="2"/>
  <c r="P422" i="2"/>
  <c r="N1000" i="2"/>
  <c r="S392" i="2"/>
  <c r="P909" i="2"/>
  <c r="J159" i="2"/>
  <c r="R615" i="2"/>
  <c r="L13" i="2"/>
  <c r="U173" i="2"/>
  <c r="N672" i="2"/>
  <c r="S85" i="2"/>
  <c r="N242" i="2"/>
  <c r="U210" i="2"/>
  <c r="R467" i="2"/>
  <c r="Q365" i="2"/>
  <c r="L669" i="2"/>
  <c r="S334" i="2"/>
  <c r="M433" i="2"/>
  <c r="M134" i="2"/>
  <c r="S546" i="2"/>
  <c r="Q374" i="2"/>
  <c r="S2" i="2"/>
  <c r="S627" i="2"/>
  <c r="Q757" i="2"/>
  <c r="S84" i="2"/>
  <c r="O340" i="2"/>
  <c r="N945" i="2"/>
  <c r="U166" i="2"/>
  <c r="J748" i="2"/>
  <c r="Q376" i="2"/>
  <c r="U180" i="2"/>
  <c r="M263" i="2"/>
  <c r="P171" i="2"/>
  <c r="J396" i="2"/>
  <c r="P243" i="2"/>
  <c r="U73" i="2"/>
  <c r="K569" i="2"/>
  <c r="K275" i="2"/>
  <c r="P285" i="2"/>
  <c r="T197" i="2"/>
  <c r="K102" i="2"/>
  <c r="R147" i="2"/>
  <c r="N472" i="2"/>
  <c r="T213" i="2"/>
  <c r="L115" i="2"/>
  <c r="Q33" i="2"/>
  <c r="O82" i="2"/>
  <c r="N175" i="2"/>
  <c r="R212" i="2"/>
  <c r="O281" i="2"/>
  <c r="N255" i="2"/>
  <c r="M92" i="2"/>
  <c r="P344" i="2"/>
  <c r="Q319" i="2"/>
  <c r="P683" i="2"/>
  <c r="Q110" i="2"/>
  <c r="P167" i="2"/>
  <c r="T33" i="2"/>
  <c r="M658" i="2"/>
  <c r="R30" i="2"/>
  <c r="U129" i="2"/>
  <c r="T136" i="2"/>
  <c r="S326" i="2"/>
  <c r="R181" i="2"/>
  <c r="U179" i="2"/>
  <c r="L497" i="2"/>
  <c r="L357" i="2"/>
  <c r="R129" i="2"/>
  <c r="L330" i="2"/>
  <c r="P23" i="2"/>
  <c r="O288" i="2"/>
  <c r="T178" i="2"/>
  <c r="U5" i="2"/>
  <c r="N413" i="2"/>
  <c r="R210" i="2"/>
  <c r="U249" i="2"/>
  <c r="O183" i="2"/>
  <c r="P234" i="2"/>
  <c r="Q458" i="2"/>
  <c r="K813" i="2"/>
  <c r="Q753" i="2"/>
  <c r="N14" i="2"/>
  <c r="T323" i="2"/>
  <c r="Q324" i="2"/>
  <c r="U147" i="2"/>
  <c r="K631" i="2"/>
  <c r="T142" i="2"/>
  <c r="N381" i="2"/>
  <c r="T371" i="2"/>
  <c r="R1812" i="2"/>
  <c r="L6" i="2"/>
  <c r="O953" i="2"/>
  <c r="U247" i="2"/>
  <c r="K623" i="2"/>
  <c r="L189" i="2"/>
  <c r="K820" i="2"/>
  <c r="L331" i="2"/>
  <c r="P539" i="2"/>
  <c r="J70" i="2"/>
  <c r="M348" i="2"/>
  <c r="L137" i="2"/>
  <c r="K245" i="2"/>
  <c r="U261" i="2"/>
  <c r="J311" i="2"/>
  <c r="O180" i="2"/>
  <c r="L186" i="2"/>
  <c r="T212" i="2"/>
  <c r="U118" i="2"/>
  <c r="U749" i="2"/>
  <c r="K138" i="2"/>
  <c r="S170" i="2"/>
  <c r="Q291" i="2"/>
  <c r="M1093" i="2"/>
  <c r="J201" i="2"/>
  <c r="U718" i="2"/>
  <c r="O88" i="2"/>
  <c r="L22" i="2"/>
  <c r="P27" i="2"/>
  <c r="T446" i="2"/>
  <c r="J908" i="2"/>
  <c r="L542" i="2"/>
  <c r="P531" i="2"/>
  <c r="L310" i="2"/>
  <c r="T19" i="2"/>
  <c r="J43" i="2"/>
  <c r="O95" i="2"/>
  <c r="R396" i="2"/>
  <c r="Q31" i="2"/>
  <c r="R196" i="2"/>
  <c r="S244" i="2"/>
  <c r="U256" i="2"/>
  <c r="Q177" i="2"/>
  <c r="P52" i="2"/>
  <c r="U200" i="2"/>
  <c r="J108" i="2"/>
  <c r="P87" i="2"/>
  <c r="K373" i="2"/>
  <c r="T450" i="2"/>
  <c r="K69" i="2"/>
  <c r="K503" i="2"/>
  <c r="R252" i="2"/>
  <c r="U19" i="2"/>
  <c r="S373" i="2"/>
  <c r="Q338" i="2"/>
  <c r="J610" i="2"/>
  <c r="L163" i="2"/>
  <c r="K307" i="2"/>
  <c r="K134" i="2"/>
  <c r="S223" i="2"/>
  <c r="P251" i="2"/>
  <c r="K250" i="2"/>
  <c r="M57" i="2"/>
  <c r="O432" i="2"/>
  <c r="S174" i="2"/>
  <c r="K169" i="2"/>
  <c r="O609" i="2"/>
  <c r="O484" i="2"/>
  <c r="S21" i="2"/>
  <c r="Q119" i="2"/>
  <c r="M99" i="2"/>
  <c r="T56" i="2"/>
  <c r="O256" i="2"/>
  <c r="R433" i="2"/>
  <c r="K57" i="2"/>
  <c r="K290" i="2"/>
  <c r="R37" i="2"/>
  <c r="T198" i="2"/>
  <c r="P44" i="2"/>
  <c r="U39" i="2"/>
  <c r="K241" i="2"/>
  <c r="U226" i="2"/>
  <c r="S649" i="2"/>
  <c r="L744" i="2"/>
  <c r="R677" i="2"/>
  <c r="T633" i="2"/>
  <c r="P1287" i="2"/>
  <c r="P749" i="2"/>
  <c r="U699" i="2"/>
  <c r="U461" i="2"/>
  <c r="K599" i="2"/>
  <c r="O569" i="2"/>
  <c r="Q623" i="2"/>
  <c r="J282" i="2"/>
  <c r="R222" i="2"/>
  <c r="J320" i="2"/>
  <c r="L386" i="2"/>
  <c r="U91" i="2"/>
  <c r="S958" i="2"/>
  <c r="N250" i="2"/>
  <c r="S198" i="2"/>
  <c r="K34" i="2"/>
  <c r="P276" i="2"/>
  <c r="T649" i="2"/>
  <c r="O1142" i="2"/>
  <c r="Q530" i="2"/>
  <c r="O167" i="2"/>
  <c r="N812" i="2"/>
  <c r="U602" i="2"/>
  <c r="U466" i="2"/>
  <c r="S5" i="2"/>
  <c r="P98" i="2"/>
  <c r="S377" i="2"/>
  <c r="T77" i="2"/>
  <c r="S516" i="2"/>
  <c r="O537" i="2"/>
  <c r="L187" i="2"/>
  <c r="O354" i="2"/>
  <c r="R891" i="2"/>
  <c r="U379" i="2"/>
  <c r="N326" i="2"/>
  <c r="Q299" i="2"/>
  <c r="P654" i="2"/>
  <c r="O182" i="2"/>
  <c r="S439" i="2"/>
  <c r="S63" i="2"/>
  <c r="Q339" i="2"/>
  <c r="M562" i="2"/>
  <c r="R53" i="2"/>
  <c r="K342" i="2"/>
  <c r="Q60" i="2"/>
  <c r="S149" i="2"/>
  <c r="J183" i="2"/>
  <c r="R333" i="2"/>
  <c r="N1165" i="2"/>
  <c r="R555" i="2"/>
  <c r="U352" i="2"/>
  <c r="T126" i="2"/>
  <c r="U604" i="2"/>
  <c r="O116" i="2"/>
  <c r="M175" i="2"/>
  <c r="R158" i="2"/>
  <c r="J356" i="2"/>
  <c r="O581" i="2"/>
  <c r="O91" i="2"/>
  <c r="M273" i="2"/>
  <c r="Q197" i="2"/>
  <c r="S386" i="2"/>
  <c r="K156" i="2"/>
  <c r="O220" i="2"/>
  <c r="U117" i="2"/>
  <c r="S293" i="2"/>
  <c r="K3" i="2"/>
  <c r="M149" i="2"/>
  <c r="N4" i="2"/>
  <c r="N297" i="2"/>
  <c r="N52" i="2"/>
  <c r="U75" i="2"/>
  <c r="P587" i="2"/>
  <c r="S236" i="2"/>
  <c r="S478" i="2"/>
  <c r="Q16" i="2"/>
  <c r="U307" i="2"/>
  <c r="Q418" i="2"/>
  <c r="R223" i="2"/>
  <c r="J241" i="2"/>
  <c r="Q268" i="2"/>
  <c r="L599" i="2"/>
  <c r="N355" i="2"/>
  <c r="M314" i="2"/>
  <c r="M383" i="2"/>
  <c r="O164" i="2"/>
  <c r="L48" i="2"/>
  <c r="R347" i="2"/>
  <c r="L236" i="2"/>
  <c r="P131" i="2"/>
  <c r="M77" i="2"/>
  <c r="T681" i="2"/>
  <c r="P79" i="2"/>
  <c r="N234" i="2"/>
  <c r="U501" i="2"/>
  <c r="R56" i="2"/>
  <c r="O128" i="2"/>
  <c r="O173" i="2"/>
  <c r="U600" i="2"/>
  <c r="S7" i="2"/>
  <c r="T401" i="2"/>
  <c r="O668" i="2"/>
  <c r="R91" i="2"/>
  <c r="L69" i="2"/>
  <c r="K392" i="2"/>
  <c r="K212" i="2"/>
  <c r="S590" i="2"/>
  <c r="U377" i="2"/>
  <c r="M210" i="2"/>
  <c r="U237" i="2"/>
  <c r="Q43" i="2"/>
  <c r="J768" i="2"/>
  <c r="U375" i="2"/>
  <c r="K80" i="2"/>
  <c r="T274" i="2"/>
  <c r="R113" i="2"/>
  <c r="O66" i="2"/>
  <c r="M264" i="2"/>
  <c r="R307" i="2"/>
  <c r="O451" i="2"/>
  <c r="K19" i="2"/>
  <c r="U194" i="2"/>
  <c r="P109" i="2"/>
  <c r="U195" i="2"/>
  <c r="R176" i="2"/>
  <c r="N246" i="2"/>
  <c r="L56" i="2"/>
  <c r="Q152" i="2"/>
  <c r="P451" i="2"/>
  <c r="J472" i="2"/>
  <c r="M45" i="2"/>
  <c r="J283" i="2"/>
  <c r="P237" i="2"/>
  <c r="M98" i="2"/>
  <c r="L1060" i="2"/>
  <c r="M182" i="2"/>
  <c r="S260" i="2"/>
  <c r="O1173" i="2"/>
  <c r="P574" i="2"/>
  <c r="L449" i="2"/>
  <c r="L300" i="2"/>
  <c r="J130" i="2"/>
  <c r="P470" i="2"/>
  <c r="O151" i="2"/>
  <c r="L281" i="2"/>
  <c r="J246" i="2"/>
  <c r="M275" i="2"/>
  <c r="S108" i="2"/>
  <c r="U233" i="2"/>
  <c r="S232" i="2"/>
  <c r="K388" i="2"/>
  <c r="M107" i="2"/>
  <c r="N217" i="2"/>
  <c r="K297" i="2"/>
  <c r="P244" i="2"/>
  <c r="J281" i="2"/>
  <c r="U221" i="2"/>
  <c r="N373" i="2"/>
  <c r="M539" i="2"/>
  <c r="R40" i="2"/>
  <c r="T164" i="2"/>
  <c r="O47" i="2"/>
  <c r="O290" i="2"/>
  <c r="R38" i="2"/>
  <c r="T1131" i="2"/>
  <c r="S87" i="2"/>
  <c r="O3" i="2"/>
  <c r="K318" i="2"/>
  <c r="K294" i="2"/>
  <c r="K89" i="2"/>
  <c r="O695" i="2"/>
  <c r="S113" i="2"/>
  <c r="L79" i="2"/>
  <c r="R232" i="2"/>
  <c r="R109" i="2"/>
  <c r="K783" i="2"/>
  <c r="N34" i="2"/>
  <c r="J182" i="2"/>
  <c r="L73" i="2"/>
  <c r="P724" i="2"/>
  <c r="J490" i="2"/>
  <c r="J894" i="2"/>
  <c r="S1179" i="2"/>
  <c r="N1041" i="2"/>
  <c r="J647" i="2"/>
  <c r="Q559" i="2"/>
  <c r="N346" i="2"/>
  <c r="M184" i="2"/>
  <c r="K299" i="2"/>
  <c r="K417" i="2"/>
  <c r="M11" i="2"/>
  <c r="T516" i="2"/>
  <c r="P517" i="2"/>
  <c r="O299" i="2"/>
  <c r="R419" i="2"/>
  <c r="L184" i="2"/>
  <c r="Q644" i="2"/>
  <c r="Q11" i="2"/>
  <c r="J229" i="2"/>
  <c r="T235" i="2"/>
  <c r="K1015" i="2"/>
  <c r="M933" i="2"/>
  <c r="J566" i="2"/>
  <c r="K592" i="2"/>
  <c r="M136" i="2"/>
  <c r="L429" i="2"/>
  <c r="J502" i="2"/>
  <c r="U447" i="2"/>
  <c r="R399" i="2"/>
  <c r="J486" i="2"/>
  <c r="Q248" i="2"/>
  <c r="Q800" i="2"/>
  <c r="O251" i="2"/>
  <c r="M477" i="2"/>
  <c r="O688" i="2"/>
  <c r="M341" i="2"/>
  <c r="S1120" i="2"/>
  <c r="L385" i="2"/>
  <c r="U599" i="2"/>
  <c r="S566" i="2"/>
  <c r="U396" i="2"/>
  <c r="Q472" i="2"/>
  <c r="J137" i="2"/>
  <c r="L211" i="2"/>
  <c r="T634" i="2"/>
  <c r="T697" i="2"/>
  <c r="J236" i="2"/>
  <c r="T324" i="2"/>
  <c r="R426" i="2"/>
  <c r="S884" i="2"/>
  <c r="P373" i="2"/>
  <c r="M123" i="2"/>
  <c r="R410" i="2"/>
  <c r="S763" i="2"/>
  <c r="T609" i="2"/>
  <c r="N292" i="2"/>
  <c r="U640" i="2"/>
  <c r="T618" i="2"/>
  <c r="T303" i="2"/>
  <c r="S541" i="2"/>
  <c r="L477" i="2"/>
  <c r="O145" i="2"/>
  <c r="Q375" i="2"/>
  <c r="M225" i="2"/>
  <c r="S190" i="2"/>
  <c r="R36" i="2"/>
  <c r="U300" i="2"/>
  <c r="M25" i="2"/>
  <c r="N35" i="2"/>
  <c r="K236" i="2"/>
  <c r="P486" i="2"/>
  <c r="L1802" i="2"/>
  <c r="S411" i="2"/>
  <c r="P336" i="2"/>
  <c r="L274" i="2"/>
  <c r="P32" i="2"/>
  <c r="S444" i="2"/>
  <c r="U1262" i="2"/>
  <c r="R601" i="2"/>
  <c r="Q552" i="2"/>
  <c r="J249" i="2"/>
  <c r="K17" i="2"/>
  <c r="U235" i="2"/>
  <c r="N2197" i="2"/>
  <c r="N446" i="2"/>
  <c r="U156" i="2"/>
  <c r="O1119" i="2"/>
  <c r="T11" i="2"/>
  <c r="R553" i="2"/>
  <c r="K180" i="2"/>
  <c r="S300" i="2"/>
  <c r="Q311" i="2"/>
  <c r="R61" i="2"/>
  <c r="K276" i="2"/>
  <c r="L312" i="2"/>
  <c r="K1033" i="2"/>
  <c r="O747" i="2"/>
  <c r="U86" i="2"/>
  <c r="J477" i="2"/>
  <c r="J414" i="2"/>
  <c r="K315" i="2"/>
  <c r="U206" i="2"/>
  <c r="P490" i="2"/>
  <c r="L609" i="2"/>
  <c r="O369" i="2"/>
  <c r="K374" i="2"/>
  <c r="O247" i="2"/>
  <c r="N146" i="2"/>
  <c r="K93" i="2"/>
  <c r="S47" i="2"/>
  <c r="N41" i="2"/>
  <c r="U3" i="2"/>
  <c r="N226" i="2"/>
  <c r="M140" i="2"/>
  <c r="L415" i="2"/>
  <c r="M628" i="2"/>
  <c r="T80" i="2"/>
  <c r="L338" i="2"/>
  <c r="O255" i="2"/>
  <c r="N129" i="2"/>
  <c r="J42" i="2"/>
  <c r="L554" i="2"/>
  <c r="N81" i="2"/>
  <c r="S233" i="2"/>
  <c r="M530" i="2"/>
  <c r="S205" i="2"/>
  <c r="K5" i="2"/>
  <c r="T15" i="2"/>
  <c r="M138" i="2"/>
  <c r="R3" i="2"/>
  <c r="O65" i="2"/>
  <c r="S544" i="2"/>
  <c r="U632" i="2"/>
  <c r="R487" i="2"/>
  <c r="Q163" i="2"/>
  <c r="Q381" i="2"/>
  <c r="N86" i="2"/>
  <c r="P370" i="2"/>
  <c r="Q768" i="2"/>
  <c r="R247" i="2"/>
  <c r="R251" i="2"/>
  <c r="O90" i="2"/>
  <c r="Q242" i="2"/>
  <c r="P47" i="2"/>
  <c r="N138" i="2"/>
  <c r="M247" i="2"/>
  <c r="L109" i="2"/>
  <c r="T519" i="2"/>
  <c r="S251" i="2"/>
  <c r="U286" i="2"/>
  <c r="K129" i="2"/>
  <c r="R403" i="2"/>
  <c r="N117" i="2"/>
  <c r="J6" i="2"/>
  <c r="L335" i="2"/>
  <c r="R663" i="2"/>
  <c r="N552" i="2"/>
  <c r="R215" i="2"/>
  <c r="L406" i="2"/>
  <c r="O905" i="2"/>
  <c r="P599" i="2"/>
  <c r="Q982" i="2"/>
  <c r="M777" i="2"/>
  <c r="J430" i="2"/>
  <c r="N511" i="2"/>
  <c r="U21" i="2"/>
  <c r="M699" i="2"/>
  <c r="O534" i="2"/>
  <c r="P78" i="2"/>
  <c r="J404" i="2"/>
  <c r="S264" i="2"/>
  <c r="J268" i="2"/>
  <c r="O671" i="2"/>
  <c r="K419" i="2"/>
  <c r="L332" i="2"/>
  <c r="U487" i="2"/>
  <c r="J292" i="2"/>
  <c r="R490" i="2"/>
  <c r="U564" i="2"/>
  <c r="P123" i="2"/>
  <c r="N411" i="2"/>
  <c r="O76" i="2"/>
  <c r="U253" i="2"/>
  <c r="T418" i="2"/>
  <c r="U413" i="2"/>
  <c r="P144" i="2"/>
  <c r="P224" i="2"/>
  <c r="K55" i="2"/>
  <c r="K286" i="2"/>
  <c r="P467" i="2"/>
  <c r="U479" i="2"/>
  <c r="N1615" i="2"/>
  <c r="U1425" i="2"/>
  <c r="U432" i="2"/>
  <c r="N76" i="2"/>
  <c r="R390" i="2"/>
  <c r="S91" i="2"/>
  <c r="M283" i="2"/>
  <c r="T48" i="2"/>
  <c r="S30" i="2"/>
  <c r="N101" i="2"/>
  <c r="K149" i="2"/>
  <c r="L58" i="2"/>
  <c r="L846" i="2"/>
  <c r="S285" i="2"/>
  <c r="K331" i="2"/>
  <c r="Q14" i="2"/>
  <c r="R49" i="2"/>
  <c r="R81" i="2"/>
  <c r="U68" i="2"/>
  <c r="S93" i="2"/>
  <c r="O796" i="2"/>
  <c r="N459" i="2"/>
  <c r="R169" i="2"/>
  <c r="L17" i="2"/>
  <c r="Q107" i="2"/>
  <c r="J151" i="2"/>
  <c r="O448" i="2"/>
  <c r="M68" i="2"/>
  <c r="J39" i="2"/>
  <c r="J257" i="2"/>
  <c r="L463" i="2"/>
  <c r="K1130" i="2"/>
  <c r="S28" i="2"/>
  <c r="L192" i="2"/>
  <c r="N508" i="2"/>
  <c r="O751" i="2"/>
  <c r="Q1054" i="2"/>
  <c r="K192" i="2"/>
  <c r="U278" i="2"/>
  <c r="K676" i="2"/>
  <c r="S150" i="2"/>
  <c r="S527" i="2"/>
  <c r="M381" i="2"/>
  <c r="R524" i="2"/>
  <c r="T309" i="2"/>
  <c r="R641" i="2"/>
  <c r="P315" i="2"/>
  <c r="M500" i="2"/>
  <c r="M466" i="2"/>
  <c r="U9" i="2"/>
  <c r="T148" i="2"/>
  <c r="O584" i="2"/>
  <c r="K141" i="2"/>
  <c r="J29" i="2"/>
  <c r="T272" i="2"/>
  <c r="S276" i="2"/>
  <c r="N121" i="2"/>
  <c r="J519" i="2"/>
  <c r="T110" i="2"/>
  <c r="L32" i="2"/>
  <c r="U159" i="2"/>
  <c r="P83" i="2"/>
  <c r="U546" i="2"/>
  <c r="T600" i="2"/>
  <c r="T718" i="2"/>
  <c r="N784" i="2"/>
  <c r="O414" i="2"/>
  <c r="S291" i="2"/>
  <c r="K106" i="2"/>
  <c r="Q95" i="2"/>
  <c r="L914" i="2"/>
  <c r="K514" i="2"/>
  <c r="T20" i="2"/>
  <c r="K58" i="2"/>
  <c r="J101" i="2"/>
  <c r="J921" i="2"/>
  <c r="S268" i="2"/>
  <c r="Q294" i="2"/>
  <c r="K2" i="2"/>
  <c r="T421" i="2"/>
  <c r="O124" i="2"/>
  <c r="L546" i="2"/>
  <c r="M564" i="2"/>
  <c r="K362" i="2"/>
  <c r="N180" i="2"/>
  <c r="L364" i="2"/>
  <c r="J631" i="2"/>
  <c r="L162" i="2"/>
  <c r="Q431" i="2"/>
  <c r="T251" i="2"/>
  <c r="P653" i="2"/>
  <c r="T54" i="2"/>
  <c r="N32" i="2"/>
  <c r="K208" i="2"/>
  <c r="S75" i="2"/>
  <c r="N49" i="2"/>
  <c r="K357" i="2"/>
  <c r="N341" i="2"/>
  <c r="Q270" i="2"/>
  <c r="T172" i="2"/>
  <c r="Q195" i="2"/>
  <c r="P278" i="2"/>
  <c r="P242" i="2"/>
  <c r="P170" i="2"/>
  <c r="O45" i="2"/>
  <c r="L233" i="2"/>
  <c r="P322" i="2"/>
  <c r="R9" i="2"/>
  <c r="O274" i="2"/>
  <c r="L309" i="2"/>
  <c r="Q280" i="2"/>
  <c r="L990" i="2"/>
  <c r="K667" i="2"/>
  <c r="L375" i="2"/>
  <c r="Q187" i="2"/>
  <c r="N480" i="2"/>
  <c r="U234" i="2"/>
  <c r="T616" i="2"/>
  <c r="Q171" i="2"/>
  <c r="T389" i="2"/>
  <c r="L180" i="2"/>
  <c r="Q494" i="2"/>
  <c r="R135" i="2"/>
  <c r="L7" i="2"/>
  <c r="M189" i="2"/>
  <c r="J386" i="2"/>
  <c r="M76" i="2"/>
  <c r="Q387" i="2"/>
  <c r="U296" i="2"/>
  <c r="K173" i="2"/>
  <c r="Q447" i="2"/>
  <c r="O407" i="2"/>
  <c r="Q399" i="2"/>
  <c r="P894" i="2"/>
  <c r="J500" i="2"/>
  <c r="Q154" i="2"/>
  <c r="M312" i="2"/>
  <c r="U582" i="2"/>
  <c r="N280" i="2"/>
  <c r="S442" i="2"/>
  <c r="Q218" i="2"/>
  <c r="P207" i="2"/>
  <c r="S238" i="2"/>
  <c r="K33" i="2"/>
  <c r="R75" i="2"/>
  <c r="N3" i="2"/>
  <c r="S366" i="2"/>
  <c r="N548" i="2"/>
  <c r="Q565" i="2"/>
  <c r="N6" i="2"/>
  <c r="P163" i="2"/>
  <c r="S130" i="2"/>
  <c r="M479" i="2"/>
  <c r="N663" i="2"/>
  <c r="L558" i="2"/>
  <c r="M622" i="2"/>
  <c r="U232" i="2"/>
  <c r="T261" i="2"/>
  <c r="J365" i="2"/>
  <c r="T286" i="2"/>
  <c r="J20" i="2"/>
  <c r="O152" i="2"/>
  <c r="M252" i="2"/>
  <c r="N65" i="2"/>
  <c r="S16" i="2"/>
  <c r="U93" i="2"/>
  <c r="T156" i="2"/>
  <c r="J109" i="2"/>
  <c r="O266" i="2"/>
  <c r="L856" i="2"/>
  <c r="K225" i="2"/>
  <c r="O462" i="2"/>
  <c r="K41" i="2"/>
  <c r="M67" i="2"/>
  <c r="R1044" i="2"/>
  <c r="S526" i="2"/>
  <c r="R318" i="2"/>
  <c r="L367" i="2"/>
  <c r="Q7" i="2"/>
  <c r="J221" i="2"/>
  <c r="R100" i="2"/>
  <c r="J263" i="2"/>
  <c r="J648" i="2"/>
  <c r="K414" i="2"/>
  <c r="K202" i="2"/>
  <c r="U442" i="2"/>
  <c r="P197" i="2"/>
  <c r="O418" i="2"/>
  <c r="M137" i="2"/>
  <c r="K246" i="2"/>
  <c r="S282" i="2"/>
  <c r="K86" i="2"/>
  <c r="N378" i="2"/>
  <c r="U37" i="2"/>
  <c r="U42" i="2"/>
  <c r="T290" i="2"/>
  <c r="K483" i="2"/>
  <c r="J854" i="2"/>
  <c r="O112" i="2"/>
  <c r="O489" i="2"/>
  <c r="N327" i="2"/>
  <c r="N1327" i="2"/>
  <c r="N789" i="2"/>
  <c r="O44" i="2"/>
  <c r="M292" i="2"/>
  <c r="T46" i="2"/>
  <c r="T230" i="2"/>
  <c r="T576" i="2"/>
  <c r="U293" i="2"/>
  <c r="Q279" i="2"/>
  <c r="L196" i="2"/>
  <c r="U418" i="2"/>
  <c r="N168" i="2"/>
  <c r="O368" i="2"/>
  <c r="M165" i="2"/>
  <c r="T722" i="2"/>
  <c r="N282" i="2"/>
  <c r="S167" i="2"/>
  <c r="J1474" i="2"/>
  <c r="L296" i="2"/>
  <c r="K580" i="2"/>
  <c r="S666" i="2"/>
  <c r="J110" i="2"/>
  <c r="S1153" i="2"/>
  <c r="R533" i="2"/>
  <c r="R326" i="2"/>
  <c r="K355" i="2"/>
  <c r="N241" i="2"/>
  <c r="P759" i="2"/>
  <c r="N55" i="2"/>
  <c r="O86" i="2"/>
  <c r="N581" i="2"/>
  <c r="S606" i="2"/>
  <c r="O339" i="2"/>
  <c r="L93" i="2"/>
  <c r="Q508" i="2"/>
  <c r="O169" i="2"/>
  <c r="M183" i="2"/>
  <c r="L46" i="2"/>
  <c r="K292" i="2"/>
  <c r="J106" i="2"/>
  <c r="L863" i="2"/>
  <c r="R348" i="2"/>
  <c r="K711" i="2"/>
  <c r="O338" i="2"/>
  <c r="U45" i="2"/>
  <c r="U933" i="2"/>
  <c r="M305" i="2"/>
  <c r="M215" i="2"/>
  <c r="T658" i="2"/>
  <c r="J433" i="2"/>
  <c r="M833" i="2"/>
  <c r="U23" i="2"/>
  <c r="Q304" i="2"/>
  <c r="R792" i="2"/>
  <c r="U182" i="2"/>
  <c r="T305" i="2"/>
  <c r="P805" i="2"/>
  <c r="P15" i="2"/>
  <c r="J469" i="2"/>
  <c r="Q66" i="2"/>
  <c r="O705" i="2"/>
  <c r="M56" i="2"/>
  <c r="U369" i="2"/>
  <c r="U145" i="2"/>
  <c r="M103" i="2"/>
  <c r="O1111" i="2"/>
  <c r="Q156" i="2"/>
  <c r="O792" i="2"/>
  <c r="U97" i="2"/>
  <c r="M15" i="2"/>
  <c r="M72" i="2"/>
  <c r="L311" i="2"/>
  <c r="U110" i="2"/>
  <c r="M535" i="2"/>
  <c r="R383" i="2"/>
  <c r="J520" i="2"/>
  <c r="L808" i="2"/>
  <c r="L461" i="2"/>
  <c r="Q499" i="2"/>
  <c r="P632" i="2"/>
  <c r="U691" i="2"/>
  <c r="R246" i="2"/>
  <c r="M179" i="2"/>
  <c r="L244" i="2"/>
  <c r="Q252" i="2"/>
  <c r="Q367" i="2"/>
  <c r="O268" i="2"/>
  <c r="Q26" i="2"/>
  <c r="O729" i="2"/>
  <c r="T584" i="2"/>
  <c r="J450" i="2"/>
  <c r="L285" i="2"/>
  <c r="R777" i="2"/>
  <c r="P215" i="2"/>
  <c r="U912" i="2"/>
  <c r="K56" i="2"/>
  <c r="R4" i="2"/>
  <c r="U164" i="2"/>
  <c r="K85" i="2"/>
  <c r="K38" i="2"/>
  <c r="T208" i="2"/>
  <c r="J326" i="2"/>
  <c r="P36" i="2"/>
  <c r="K239" i="2"/>
  <c r="Q245" i="2"/>
  <c r="R392" i="2"/>
  <c r="O232" i="2"/>
  <c r="U444" i="2"/>
  <c r="N970" i="2"/>
  <c r="P513" i="2"/>
  <c r="M340" i="2"/>
  <c r="O506" i="2"/>
  <c r="M446" i="2"/>
  <c r="N151" i="2"/>
  <c r="T315" i="2"/>
  <c r="T831" i="2"/>
  <c r="L35" i="2"/>
  <c r="R302" i="2"/>
  <c r="R200" i="2"/>
  <c r="N616" i="2"/>
  <c r="J92" i="2"/>
  <c r="N139" i="2"/>
  <c r="J506" i="2"/>
  <c r="T269" i="2"/>
  <c r="J780" i="2"/>
  <c r="P81" i="2"/>
  <c r="L372" i="2"/>
  <c r="O120" i="2"/>
  <c r="P147" i="2"/>
  <c r="K702" i="2"/>
  <c r="T790" i="2"/>
  <c r="M429" i="2"/>
  <c r="J533" i="2"/>
  <c r="J509" i="2"/>
  <c r="P2" i="2"/>
  <c r="N444" i="2"/>
  <c r="P398" i="2"/>
  <c r="J68" i="2"/>
  <c r="S320" i="2"/>
  <c r="O442" i="2"/>
  <c r="M318" i="2"/>
  <c r="T95" i="2"/>
  <c r="J649" i="2"/>
  <c r="O133" i="2"/>
  <c r="U239" i="2"/>
  <c r="M32" i="2"/>
  <c r="P1060" i="2"/>
  <c r="T13" i="2"/>
  <c r="N225" i="2"/>
  <c r="R248" i="2"/>
  <c r="O304" i="2"/>
  <c r="T195" i="2"/>
  <c r="Q284" i="2"/>
  <c r="P230" i="2"/>
  <c r="R435" i="2"/>
  <c r="N330" i="2"/>
  <c r="M129" i="2"/>
  <c r="N469" i="2"/>
  <c r="J28" i="2"/>
  <c r="M82" i="2"/>
  <c r="S621" i="2"/>
  <c r="M126" i="2"/>
  <c r="U90" i="2"/>
  <c r="L224" i="2"/>
  <c r="S104" i="2"/>
  <c r="T236" i="2"/>
  <c r="K428" i="2"/>
  <c r="K31" i="2"/>
  <c r="S196" i="2"/>
  <c r="J230" i="2"/>
  <c r="U215" i="2"/>
  <c r="S287" i="2"/>
  <c r="S56" i="2"/>
  <c r="O218" i="2"/>
  <c r="Q1192" i="2"/>
  <c r="T135" i="2"/>
  <c r="M48" i="2"/>
  <c r="Q815" i="2"/>
  <c r="J255" i="2"/>
  <c r="Q578" i="2"/>
  <c r="L157" i="2"/>
  <c r="K189" i="2"/>
  <c r="J922" i="2"/>
  <c r="J435" i="2"/>
  <c r="P305" i="2"/>
  <c r="N100" i="2"/>
  <c r="L15" i="2"/>
  <c r="S623" i="2"/>
  <c r="J276" i="2"/>
  <c r="S62" i="2"/>
  <c r="L210" i="2"/>
  <c r="N554" i="2"/>
  <c r="R458" i="2"/>
  <c r="P1113" i="2"/>
  <c r="M160" i="2"/>
  <c r="L105" i="2"/>
  <c r="N22" i="2"/>
  <c r="U227" i="2"/>
  <c r="O103" i="2"/>
  <c r="K109" i="2"/>
  <c r="J363" i="2"/>
  <c r="R316" i="2"/>
  <c r="U486" i="2"/>
  <c r="M220" i="2"/>
  <c r="N204" i="2"/>
  <c r="J291" i="2"/>
  <c r="R242" i="2"/>
  <c r="J11" i="2"/>
  <c r="R221" i="2"/>
  <c r="K72" i="2"/>
  <c r="U223" i="2"/>
  <c r="P185" i="2"/>
  <c r="M227" i="2"/>
  <c r="M366" i="2"/>
  <c r="O318" i="2"/>
  <c r="T250" i="2"/>
  <c r="U141" i="2"/>
  <c r="O186" i="2"/>
  <c r="R184" i="2"/>
  <c r="O194" i="2"/>
  <c r="Q287" i="2"/>
  <c r="N59" i="2"/>
  <c r="O561" i="2"/>
  <c r="L146" i="2"/>
  <c r="R388" i="2"/>
  <c r="T606" i="2"/>
  <c r="R516" i="2"/>
  <c r="T1055" i="2"/>
  <c r="S186" i="2"/>
  <c r="U1323" i="2"/>
  <c r="M411" i="2"/>
  <c r="L471" i="2"/>
  <c r="M260" i="2"/>
  <c r="M6" i="2"/>
  <c r="R44" i="2"/>
  <c r="U64" i="2"/>
  <c r="U272" i="2"/>
  <c r="M193" i="2"/>
  <c r="L102" i="2"/>
  <c r="N239" i="2"/>
  <c r="Q243" i="2"/>
  <c r="U656" i="2"/>
  <c r="U81" i="2"/>
  <c r="L637" i="2"/>
  <c r="Q234" i="2"/>
  <c r="Q184" i="2"/>
  <c r="Q30" i="2"/>
  <c r="T210" i="2"/>
  <c r="U308" i="2"/>
  <c r="N132" i="2"/>
  <c r="R23" i="2"/>
  <c r="O333" i="2"/>
  <c r="J770" i="2"/>
  <c r="T767" i="2"/>
  <c r="K143" i="2"/>
  <c r="P108" i="2"/>
  <c r="S837" i="2"/>
  <c r="N1083" i="2"/>
  <c r="P67" i="2"/>
  <c r="P363" i="2"/>
  <c r="L987" i="2"/>
  <c r="P544" i="2"/>
  <c r="L262" i="2"/>
  <c r="S455" i="2"/>
  <c r="T273" i="2"/>
  <c r="K262" i="2"/>
  <c r="U84" i="2"/>
  <c r="S612" i="2"/>
  <c r="M1000" i="2"/>
  <c r="R506" i="2"/>
  <c r="R547" i="2"/>
  <c r="O591" i="2"/>
  <c r="S18" i="2"/>
  <c r="S815" i="2"/>
  <c r="K190" i="2"/>
  <c r="U172" i="2"/>
  <c r="K398" i="2"/>
  <c r="K240" i="2"/>
  <c r="T298" i="2"/>
  <c r="P164" i="2"/>
  <c r="O344" i="2"/>
  <c r="M9" i="2"/>
  <c r="M71" i="2"/>
  <c r="P192" i="2"/>
  <c r="N56" i="2"/>
  <c r="M224" i="2"/>
  <c r="J142" i="2"/>
  <c r="M284" i="2"/>
  <c r="J69" i="2"/>
  <c r="M28" i="2"/>
  <c r="K191" i="2"/>
  <c r="T227" i="2"/>
  <c r="R17" i="2"/>
  <c r="M106" i="2"/>
  <c r="R398" i="2"/>
  <c r="N107" i="2"/>
  <c r="M97" i="2"/>
  <c r="U106" i="2"/>
  <c r="N477" i="2"/>
  <c r="P878" i="2"/>
  <c r="R924" i="2"/>
  <c r="S426" i="2"/>
  <c r="O23" i="2"/>
  <c r="M231" i="2"/>
  <c r="P6" i="2"/>
  <c r="L932" i="2"/>
  <c r="O435" i="2"/>
  <c r="P826" i="2"/>
  <c r="U850" i="2"/>
  <c r="J1176" i="2"/>
  <c r="P357" i="2"/>
  <c r="Q288" i="2"/>
  <c r="J97" i="2"/>
  <c r="Q384" i="2"/>
  <c r="J266" i="2"/>
  <c r="S362" i="2"/>
  <c r="Q355" i="2"/>
  <c r="P768" i="2"/>
  <c r="L106" i="2"/>
  <c r="M146" i="2"/>
  <c r="J541" i="2"/>
  <c r="T112" i="2"/>
  <c r="M214" i="2"/>
  <c r="K477" i="2"/>
  <c r="R758" i="2"/>
  <c r="Q129" i="2"/>
  <c r="L34" i="2"/>
  <c r="O284" i="2"/>
  <c r="T199" i="2"/>
  <c r="U260" i="2"/>
  <c r="U853" i="2"/>
  <c r="T271" i="2"/>
  <c r="L234" i="2"/>
  <c r="L644" i="2"/>
  <c r="T623" i="2"/>
  <c r="M592" i="2"/>
  <c r="M168" i="2"/>
  <c r="R309" i="2"/>
  <c r="L760" i="2"/>
  <c r="T454" i="2"/>
  <c r="P269" i="2"/>
  <c r="J176" i="2"/>
  <c r="J451" i="2"/>
  <c r="R438" i="2"/>
  <c r="M242" i="2"/>
  <c r="T531" i="2"/>
  <c r="M445" i="2"/>
  <c r="O212" i="2"/>
  <c r="Q100" i="2"/>
  <c r="T611" i="2"/>
  <c r="O617" i="2"/>
  <c r="O64" i="2"/>
  <c r="L268" i="2"/>
  <c r="P372" i="2"/>
  <c r="J119" i="2"/>
  <c r="T165" i="2"/>
  <c r="P95" i="2"/>
  <c r="P66" i="2"/>
  <c r="P284" i="2"/>
  <c r="Q81" i="2"/>
  <c r="S341" i="2"/>
  <c r="M538" i="2"/>
  <c r="N837" i="2"/>
  <c r="U105" i="2"/>
  <c r="U266" i="2"/>
  <c r="N75" i="2"/>
  <c r="M609" i="2"/>
  <c r="O485" i="2"/>
  <c r="S59" i="2"/>
  <c r="P324" i="2"/>
  <c r="K199" i="2"/>
  <c r="J75" i="2"/>
  <c r="T663" i="2"/>
  <c r="R320" i="2"/>
  <c r="Q62" i="2"/>
  <c r="M180" i="2"/>
  <c r="U273" i="2"/>
  <c r="N205" i="2"/>
  <c r="U32" i="2"/>
  <c r="U421" i="2"/>
  <c r="K289" i="2"/>
  <c r="L572" i="2"/>
  <c r="U124" i="2"/>
  <c r="U804" i="2"/>
</calcChain>
</file>

<file path=xl/sharedStrings.xml><?xml version="1.0" encoding="utf-8"?>
<sst xmlns="http://schemas.openxmlformats.org/spreadsheetml/2006/main" count="47351" uniqueCount="10288">
  <si>
    <t>music_id</t>
  </si>
  <si>
    <t>music_title</t>
  </si>
  <si>
    <t>origin_artist</t>
  </si>
  <si>
    <t>mv_bvid</t>
  </si>
  <si>
    <t>mv_likes</t>
  </si>
  <si>
    <t>mv_shares</t>
  </si>
  <si>
    <t>mv_cover</t>
  </si>
  <si>
    <t>mv_lyric</t>
  </si>
  <si>
    <t>wish_count</t>
  </si>
  <si>
    <t>music_source</t>
  </si>
  <si>
    <t>album</t>
  </si>
  <si>
    <t>listen_pv</t>
  </si>
  <si>
    <t>music_rank</t>
  </si>
  <si>
    <t>MA406621635819379378</t>
  </si>
  <si>
    <t>瓦解</t>
  </si>
  <si>
    <t>南拳妈妈</t>
  </si>
  <si>
    <t>https://i0.hdslb.com/bfs/station_src/music_metadata/284aedba73bbb46dd43548a108598c32.jpg</t>
  </si>
  <si>
    <t>http://i0.hdslb.com/bfs/station_src/music_metadata/4d7bef88af4faa856325802b023ef85e</t>
  </si>
  <si>
    <t>南拳妈妈的夏天</t>
  </si>
  <si>
    <t>MA455993688200363437</t>
  </si>
  <si>
    <t>人啊</t>
  </si>
  <si>
    <t>单依纯</t>
  </si>
  <si>
    <t>https://i0.hdslb.com/bfs/station_src/music_metadata/a697c5525f54e3a22b0caceb846d074a.jpg</t>
  </si>
  <si>
    <t>https://i0.hdslb.com/bfs/station_src/music_metadata/f9eba08a567e4e3bb5bf438dae27b6f2.txt</t>
  </si>
  <si>
    <t>2020中国好声音 第11期</t>
  </si>
  <si>
    <t>MA406537575105338034</t>
  </si>
  <si>
    <t>失落沙洲</t>
  </si>
  <si>
    <t>徐佳莹</t>
  </si>
  <si>
    <t>http://i0.hdslb.com/bfs/station_src/music_metadata/7f95eaafe5cfc03dd6c22a1bac11aee8.jpg</t>
  </si>
  <si>
    <t>MA406539376927983984</t>
  </si>
  <si>
    <t>下雨天</t>
  </si>
  <si>
    <t>http://i0.hdslb.com/bfs/station_src/music_metadata/11894af49c3a6335acdcff5503de93ca.jpg</t>
  </si>
  <si>
    <t>http://i0.hdslb.com/bfs/station_src/music_metadata/7562376c6e398641a1432bf3281bc565</t>
  </si>
  <si>
    <t>优の良曲 南搞小孩</t>
  </si>
  <si>
    <t>音乐榜最高NO.14</t>
  </si>
  <si>
    <t>MA406534579281742192</t>
  </si>
  <si>
    <t>刻在我心底的名字</t>
  </si>
  <si>
    <t>卢广仲</t>
  </si>
  <si>
    <t>http://i0.hdslb.com/bfs/station_src/music_metadata/37ea3e391ee95afdcce1b5218d7a6b89.jpg</t>
  </si>
  <si>
    <t>http://i0.hdslb.com/bfs/station_src/music_metadata/5a0249850c66fe79f1f63995afb75828</t>
  </si>
  <si>
    <t>MA407125539048960282</t>
  </si>
  <si>
    <t>繁华梦</t>
  </si>
  <si>
    <t>黄龄</t>
  </si>
  <si>
    <t>https://i0.hdslb.com/bfs/station_src/music_metadata/291e1698332ad9b72c9b1b6d790b1779.jpg</t>
  </si>
  <si>
    <t>http://i0.hdslb.com/bfs/station_src/music_metadata/ec48c16ed2393142cdaec4ce42b3b6e7</t>
  </si>
  <si>
    <t>2018CCTV音乐频道全球中文音乐榜上榜</t>
  </si>
  <si>
    <t>MA406620051832055268</t>
  </si>
  <si>
    <t>在夜里跳舞</t>
  </si>
  <si>
    <t>https://i0.hdslb.com/bfs/station_src/music_metadata/8290748e31edb0e5ad1e0965087b2aab.jpg</t>
  </si>
  <si>
    <t>http://i0.hdslb.com/bfs/station_src/music_metadata/29d5595276e7ec7758df19c35809517b</t>
  </si>
  <si>
    <t>岁岁朝朝</t>
  </si>
  <si>
    <t>说说Crystal</t>
  </si>
  <si>
    <t>BV1Su4m1N7QS</t>
  </si>
  <si>
    <t>他们是，那我呢</t>
  </si>
  <si>
    <t>BV1Tc411v7na</t>
  </si>
  <si>
    <t>人间未满</t>
  </si>
  <si>
    <t>BV1zp4y1P7Hm</t>
  </si>
  <si>
    <t>冽阳之下</t>
  </si>
  <si>
    <t>BV1Pz4y1u7pA</t>
  </si>
  <si>
    <t>长夜杯空</t>
  </si>
  <si>
    <t>BV1KX4y1q7ea</t>
  </si>
  <si>
    <t>桃華</t>
  </si>
  <si>
    <t>BV14z4y1H7Jn</t>
  </si>
  <si>
    <t>救赎</t>
  </si>
  <si>
    <t>BV14u41147tm</t>
  </si>
  <si>
    <t>天知河</t>
  </si>
  <si>
    <t>BV1T14y1Z7J2</t>
  </si>
  <si>
    <t>回乡偶书</t>
  </si>
  <si>
    <t>BV1dv4y197cw</t>
  </si>
  <si>
    <t>琥珀色爱情</t>
  </si>
  <si>
    <t>BV1rU4y117Kk</t>
  </si>
  <si>
    <t>别董大</t>
  </si>
  <si>
    <t>BV1C3411p78f</t>
  </si>
  <si>
    <t>午夜杀</t>
  </si>
  <si>
    <t>BV11a411h78M</t>
  </si>
  <si>
    <t>布虎记</t>
  </si>
  <si>
    <t>BV1xq4y1b7YU</t>
  </si>
  <si>
    <t>玲珑流转</t>
  </si>
  <si>
    <t>BV1ma41127xU</t>
  </si>
  <si>
    <t>至宝</t>
  </si>
  <si>
    <t>BV1v44y1h7qm</t>
  </si>
  <si>
    <t>从前的月光</t>
  </si>
  <si>
    <t>BV1H34y1Z7Re</t>
  </si>
  <si>
    <t>蜃楼之下</t>
  </si>
  <si>
    <t>BV1zb4y1U7Fq</t>
  </si>
  <si>
    <t>灯花落</t>
  </si>
  <si>
    <t>BV1sy4y1M7zQ</t>
  </si>
  <si>
    <t>幻彩</t>
  </si>
  <si>
    <t>BV1LM4y1g7MT</t>
  </si>
  <si>
    <t>废墟凝望</t>
  </si>
  <si>
    <t>BV1LV411n71M</t>
  </si>
  <si>
    <t>少女星际速递</t>
  </si>
  <si>
    <t>BV19i4y1T7TK</t>
  </si>
  <si>
    <t>罗敷</t>
  </si>
  <si>
    <t>BV1Jz4y127SL</t>
  </si>
  <si>
    <t>不问天</t>
  </si>
  <si>
    <t>BV1sv4y1f7Q2</t>
  </si>
  <si>
    <t>幻想三国</t>
  </si>
  <si>
    <t>BV1sU4y1W7Mm</t>
  </si>
  <si>
    <t>标准答案</t>
  </si>
  <si>
    <t>BV1oz4y1X7K6</t>
  </si>
  <si>
    <t>鲸鱼向何处去</t>
  </si>
  <si>
    <t>BV1j4411Z76m</t>
  </si>
  <si>
    <t>不与人说</t>
  </si>
  <si>
    <t>BV1ft41137tF</t>
  </si>
  <si>
    <t>花月妖</t>
  </si>
  <si>
    <t>BV1p4411h7iS</t>
  </si>
  <si>
    <t>关于我</t>
  </si>
  <si>
    <t>BV1nb411r7wU</t>
  </si>
  <si>
    <t>新变化</t>
  </si>
  <si>
    <t>BV1XW411U7ud</t>
  </si>
  <si>
    <t>天黑之后</t>
  </si>
  <si>
    <t>BV1V4411t7HB</t>
  </si>
  <si>
    <t>牡丹亭畔</t>
  </si>
  <si>
    <t>BV1CP411M7tc</t>
  </si>
  <si>
    <t>带你离开</t>
  </si>
  <si>
    <t>言和</t>
  </si>
  <si>
    <t>BV17x411T7TB</t>
  </si>
  <si>
    <t>神女劈观</t>
  </si>
  <si>
    <t>HOYO-MiX</t>
  </si>
  <si>
    <t>烟火人间月</t>
  </si>
  <si>
    <t>三无Marblue</t>
  </si>
  <si>
    <t>BV1X84y1b7Dn</t>
  </si>
  <si>
    <t>解忧曲</t>
  </si>
  <si>
    <t>咻咻满</t>
  </si>
  <si>
    <t>BV1LK42117Vd</t>
  </si>
  <si>
    <t>最后一页</t>
  </si>
  <si>
    <t>江语晨</t>
  </si>
  <si>
    <t>独处的时候</t>
  </si>
  <si>
    <t>沈妙极</t>
  </si>
  <si>
    <t>交响梦</t>
  </si>
  <si>
    <t>苏打绿</t>
  </si>
  <si>
    <t>向光</t>
  </si>
  <si>
    <t>平安小财娘</t>
  </si>
  <si>
    <t>雨蝶</t>
  </si>
  <si>
    <t>李翊君</t>
  </si>
  <si>
    <t>续写</t>
  </si>
  <si>
    <t>光束</t>
  </si>
  <si>
    <t>郁可唯,常石磊</t>
  </si>
  <si>
    <t>康定情歌</t>
  </si>
  <si>
    <t>汤灿</t>
  </si>
  <si>
    <t>点亮梦想</t>
  </si>
  <si>
    <t>袁娅维</t>
  </si>
  <si>
    <t>Nina</t>
  </si>
  <si>
    <t>G.B.帕戈莱西</t>
  </si>
  <si>
    <t>钢铁之翼</t>
  </si>
  <si>
    <t>韩红</t>
  </si>
  <si>
    <t>悲伤的五个步骤</t>
  </si>
  <si>
    <t>艾薇</t>
  </si>
  <si>
    <t>MA406539482809014962</t>
  </si>
  <si>
    <t>繁华唱遍</t>
  </si>
  <si>
    <t>乐正绫</t>
  </si>
  <si>
    <t>MA406539488580353526</t>
  </si>
  <si>
    <t>听见下雨的声音</t>
  </si>
  <si>
    <t>周杰伦</t>
  </si>
  <si>
    <t>http://i0.hdslb.com/bfs/station_src/music_metadata/f190c7459496ee7ff2a9ebb250df5398.jpg</t>
  </si>
  <si>
    <t>http://i0.hdslb.com/bfs/station_src/music_metadata/0d0869a8c2bb7470dd66d7fec7591c32</t>
  </si>
  <si>
    <t>《听见下雨声音》电影主题曲</t>
  </si>
  <si>
    <t>哎呦，不错哦</t>
  </si>
  <si>
    <t>MA428065904346020603</t>
  </si>
  <si>
    <t>梨花颂</t>
  </si>
  <si>
    <t>梅葆玖</t>
  </si>
  <si>
    <t>https://i0.hdslb.com/bfs/station_src/music_metadata/9abefe4483d585f499e254df741d2f35.jpg</t>
  </si>
  <si>
    <t>https://i0.hdslb.com/bfs/station_src/music_metadata/0357286453ce4a1fc693b22b663fe56d.txt</t>
  </si>
  <si>
    <t>新编历史京剧《大唐贵妃》主题曲</t>
  </si>
  <si>
    <t>热门华语260</t>
  </si>
  <si>
    <t>MA407125898165268762</t>
  </si>
  <si>
    <t>枉凝眉</t>
  </si>
  <si>
    <t>陈力</t>
  </si>
  <si>
    <t>https://i0.hdslb.com/bfs/station_src/music_metadata/a5785f300c36a338ca6af40d3a254971.jpg</t>
  </si>
  <si>
    <t>http://i0.hdslb.com/bfs/station_src/music_metadata/ac94f1b9302ef4c0640dc2afded16037</t>
  </si>
  <si>
    <t>《红楼梦》电视剧主题曲</t>
  </si>
  <si>
    <t>红楼梦 电视连续剧歌曲集原声带</t>
  </si>
  <si>
    <t>MA429950221707922007</t>
  </si>
  <si>
    <t>凤凰于飞</t>
  </si>
  <si>
    <t>刘欢</t>
  </si>
  <si>
    <t>http://i0.hdslb.com/bfs/station_src/music_metadata/e79a9de01b54f31e1325f08d027df491.jpg</t>
  </si>
  <si>
    <t>https://i0.hdslb.com/bfs/station_src/music_metadata/8acc1e725a603aac9fd6af9048ff08df.txt</t>
  </si>
  <si>
    <t>甄嬛传主题曲</t>
  </si>
  <si>
    <t>MA418500005192562808</t>
  </si>
  <si>
    <t>雪落下的声音</t>
  </si>
  <si>
    <t>陆虎</t>
  </si>
  <si>
    <t>http://i0.hdslb.com/bfs/station_src/music_metadata/f4572c77b0f3a173236700166377c6c1.jpg</t>
  </si>
  <si>
    <t>http://i0.hdslb.com/bfs/station_src/music_metadata/0ede01b76f5911ecd8df09f7308038d9</t>
  </si>
  <si>
    <t>《延禧攻略》电视剧片尾曲</t>
  </si>
  <si>
    <t>延禧攻略OST</t>
  </si>
  <si>
    <t>MA399852138936701636</t>
  </si>
  <si>
    <t>Rubia</t>
  </si>
  <si>
    <t>周深</t>
  </si>
  <si>
    <t>https://i0.hdslb.com/bfs/station_src/music_metadata/58bc0047ef309717106ab37f9f0eaaef.jpg</t>
  </si>
  <si>
    <t>http://i0.hdslb.com/bfs/station_src/music_metadata/004573c098a52ded7995aead78b01386</t>
  </si>
  <si>
    <t>MA433585757324620028</t>
  </si>
  <si>
    <t>流年如歌</t>
  </si>
  <si>
    <t>苍穹</t>
  </si>
  <si>
    <t>https://i0.hdslb.com/bfs/station_src/music_metadata/7d8de08a2fa9fed3e913a7cbedbd7359.jpg</t>
  </si>
  <si>
    <t>https://i0.hdslb.com/bfs/station_src/music_metadata/39fd2191a90a6dfc42574ff5b43baadb.txt</t>
  </si>
  <si>
    <t>哔哩哔哩拜年纪金曲回顾</t>
  </si>
  <si>
    <t>MA406622903187035075</t>
  </si>
  <si>
    <t>好运来</t>
  </si>
  <si>
    <t>祖海</t>
  </si>
  <si>
    <t>https://i0.hdslb.com/bfs/station_src/music_metadata/018488b96bcd553df8979332b0d180c7.jpg</t>
  </si>
  <si>
    <t>http://i0.hdslb.com/bfs/station_src/music_metadata/255887b55931deff5c3b6f86ebdfa127</t>
  </si>
  <si>
    <t>音乐榜最高NO.2</t>
  </si>
  <si>
    <t>MA444323806035595820</t>
  </si>
  <si>
    <t>https://i0.hdslb.com/bfs/station_src/music_metadata/ce3a0da2a7e64a49fa42a6e3db521f57.jpg</t>
  </si>
  <si>
    <t>https://i0.hdslb.com/bfs/station_src/music_metadata/02cd9198a33924449443fc704a92a25a.txt</t>
  </si>
  <si>
    <t>2021哔哩哔哩拜年纪</t>
  </si>
  <si>
    <t>MA406539432963876324</t>
  </si>
  <si>
    <t>九万字</t>
  </si>
  <si>
    <t>黄诗扶</t>
  </si>
  <si>
    <t>https://i0.hdslb.com/bfs/station_src/music_metadata/83a5f6d1f6977ede1ad685d90a46a593.jpg</t>
  </si>
  <si>
    <t>http://i0.hdslb.com/bfs/station_src/music_metadata/98ec7b6623082ffe27055a48eaf15a9f</t>
  </si>
  <si>
    <t>人间不值得</t>
  </si>
  <si>
    <t>MA399851964218774212</t>
  </si>
  <si>
    <t>相思</t>
  </si>
  <si>
    <t>毛阿敏</t>
  </si>
  <si>
    <t>https://i0.hdslb.com/bfs/station_src/music_metadata/0603be9293791ccb88f9a80d06e3ce3d.jpg</t>
  </si>
  <si>
    <t>https://i0.hdslb.com/bfs/station_src/music_metadata/f447da700792e77fcdc9743518f18ce8.txt</t>
  </si>
  <si>
    <t>直接影响</t>
  </si>
  <si>
    <t>MA406539344245988018</t>
  </si>
  <si>
    <t>一荤一素</t>
  </si>
  <si>
    <t>毛不易</t>
  </si>
  <si>
    <t>https://i0.hdslb.com/bfs/station_src/music_metadata/7f59fe0f47fb65bdae2eeac57b76228c.jpg</t>
  </si>
  <si>
    <t>http://i0.hdslb.com/bfs/station_src/music_metadata/592263cf9a711b6ee593a6429c442efb</t>
  </si>
  <si>
    <t>平凡的一天</t>
  </si>
  <si>
    <t>MA400016967819341003</t>
  </si>
  <si>
    <t>如愿</t>
  </si>
  <si>
    <t>王菲</t>
  </si>
  <si>
    <t>http://i0.hdslb.com/bfs/station_src/music_metadata/4c29d6e8ea08a5ae0f90cb123bf5f52d.jpg</t>
  </si>
  <si>
    <t>http://i0.hdslb.com/bfs/station_src/music_metadata/7dfb091f97b87d41cdb10f22a04b20e6</t>
  </si>
  <si>
    <t>《我和我的父辈》电影主题推广曲</t>
  </si>
  <si>
    <t>MA406552732950865380</t>
  </si>
  <si>
    <t>若把你</t>
  </si>
  <si>
    <t>Kirsty刘瑾睿</t>
  </si>
  <si>
    <t>http://i0.hdslb.com/bfs/station_src/music_metadata/e535448192dd1b72f950d8bf47d14597.jpg</t>
  </si>
  <si>
    <t>音乐榜最高NO.7</t>
  </si>
  <si>
    <t>MA410115394498521641</t>
  </si>
  <si>
    <t>菩萨蛮</t>
  </si>
  <si>
    <t>姚贝娜</t>
  </si>
  <si>
    <t>https://i0.hdslb.com/bfs/station_src/music_metadata/af6a2e36820cd2387f0261a48e49c4ac.jpg</t>
  </si>
  <si>
    <t>https://i0.hdslb.com/bfs/station_src/music_metadata/2ab2b1693f38d61941e813d3fb513a11.txt</t>
  </si>
  <si>
    <t>《甄嬛传》电视剧插曲</t>
  </si>
  <si>
    <t>姚贝娜影视音乐精选辑</t>
  </si>
  <si>
    <t>MA407125881086062874</t>
  </si>
  <si>
    <t>天若有情</t>
  </si>
  <si>
    <t>A-Lin</t>
  </si>
  <si>
    <t>https://i0.hdslb.com/bfs/station_src/music_metadata/d7077aac44142c14752bf54adb6735dd.jpg</t>
  </si>
  <si>
    <t>http://i0.hdslb.com/bfs/station_src/music_metadata/d430629d07fd668a47cf98e2c77345f8</t>
  </si>
  <si>
    <t>《锦绣未央》电视剧主题曲</t>
  </si>
  <si>
    <t>MA419949329642485981</t>
  </si>
  <si>
    <t>入画江南</t>
  </si>
  <si>
    <t>https://i0.hdslb.com/bfs/station_src/music_metadata/9bad5d5de3b3ad30ddb1728f2601e072.jpg</t>
  </si>
  <si>
    <t>http://i0.hdslb.com/bfs/station_src/music_metadata/c67ce1dd9cbfd2414bb3914f717f4817</t>
  </si>
  <si>
    <t>《江南百景图》手游推广曲</t>
  </si>
  <si>
    <t>MA399852058053743300</t>
  </si>
  <si>
    <t>安静</t>
  </si>
  <si>
    <t>https://i0.hdslb.com/bfs/station_src/music_metadata/163260acec8882a8b4bd00db01f5e9b4.jpg</t>
  </si>
  <si>
    <t>范特西</t>
  </si>
  <si>
    <t>MA400017385538464971</t>
  </si>
  <si>
    <t>枫</t>
  </si>
  <si>
    <t>https://i0.hdslb.com/bfs/station_src/music_metadata/fb82b0fb2908b09d88ba13ef0db91863.jpg</t>
  </si>
  <si>
    <t>http://i0.hdslb.com/bfs/station_src/music_metadata/9b1e7a89ea3eead8b8c6b32cdb30abd9</t>
  </si>
  <si>
    <t>十一月的萧邦</t>
  </si>
  <si>
    <t>MA406622976771904451</t>
  </si>
  <si>
    <t>舞娘</t>
  </si>
  <si>
    <t>蔡依林</t>
  </si>
  <si>
    <t>https://i0.hdslb.com/bfs/station_src/music_metadata/98016e7e0e7279d085b712cfa9c4c926.jpg</t>
  </si>
  <si>
    <t>http://i0.hdslb.com/bfs/station_src/music_metadata/18179ef10869c9a411d84ec55a5dece1</t>
  </si>
  <si>
    <t>地才 - 唯舞独尊演唱会纪实</t>
  </si>
  <si>
    <t>MA409257189753022814</t>
  </si>
  <si>
    <t>心型圈</t>
  </si>
  <si>
    <t>https://i0.hdslb.com/bfs/station_src/music_metadata/4589cfbffafe67ee77297d2c1a8382a2.jpg</t>
  </si>
  <si>
    <t>http://i0.hdslb.com/bfs/station_src/music_metadata/8cc5879e0613b2fe4181e186bbdcc8c9</t>
  </si>
  <si>
    <t>MA486220811670134091</t>
  </si>
  <si>
    <t>https://i0.hdslb.com/bfs/station_src/music_metadata/1b7b9e3e2c4c793577a84986cdadb2cc.jpg</t>
  </si>
  <si>
    <t>【说说·原创】这一曲只倾心于你 |《罗敷》</t>
  </si>
  <si>
    <t>MA422412472767497614</t>
  </si>
  <si>
    <t>Slow Down</t>
  </si>
  <si>
    <t>向井太一</t>
  </si>
  <si>
    <t>https://i0.hdslb.com/bfs/station_src/music_metadata/5cd4f791f41dffb71c9f185bf05380f0.jpg</t>
  </si>
  <si>
    <t>http://i0.hdslb.com/bfs/station_src/music_metadata/2ee2f5a1afacc5fb26124bf82db2655b</t>
  </si>
  <si>
    <t>SLOW DOWN</t>
  </si>
  <si>
    <t>MA496617680174885122</t>
  </si>
  <si>
    <t>爱してる</t>
  </si>
  <si>
    <t>不馋</t>
  </si>
  <si>
    <t>https://i0.hdslb.com/bfs/station_src/music_metadata/47fcd815ca18e8160f2381f0614bccfc.jpg</t>
  </si>
  <si>
    <t>https://i0.hdslb.com/bfs/station_src/music_metadata/1897110b7d7b29e86409ff36bee2c420.txt</t>
  </si>
  <si>
    <t>馋的live【2021】</t>
  </si>
  <si>
    <t>MA400017065278188747</t>
  </si>
  <si>
    <t>明明就</t>
  </si>
  <si>
    <t>https://i0.hdslb.com/bfs/station_src/music_metadata/b98a05427f027651ca3c0c8cbab055fe.jpg</t>
  </si>
  <si>
    <t>copyright-crawler/music/task-lyric/65093974f03c35ab34fd5795.txt</t>
  </si>
  <si>
    <t>十二新作</t>
  </si>
  <si>
    <t>音乐榜最高NO.18</t>
  </si>
  <si>
    <t>MA400017105342180555</t>
  </si>
  <si>
    <t>不能说的秘密</t>
  </si>
  <si>
    <t>https://i0.hdslb.com/bfs/station_src/music_metadata/c30e3ade8fa2d678a4fc3f717036ab49.jpg</t>
  </si>
  <si>
    <t>http://i0.hdslb.com/bfs/station_src/music_metadata/b68ac496d2ba38e3bf8908441abecf91</t>
  </si>
  <si>
    <t>《不能说的秘密》电影主题曲</t>
  </si>
  <si>
    <t>不能说的秘密 电影原声带</t>
  </si>
  <si>
    <t>MA399852158968697540</t>
  </si>
  <si>
    <t>桃花笑</t>
  </si>
  <si>
    <t>乐正绫,洛天依,言和</t>
  </si>
  <si>
    <t>https://i0.hdslb.com/bfs/station_src/music_metadata/111f3216921740e3e7a034e11a371531.jpg</t>
  </si>
  <si>
    <t>https://i0.hdslb.com/bfs/station_src/music_metadata/cd7881a3dd16a655167d4bc7b03aa735.txt</t>
  </si>
  <si>
    <t>MA406539346292784630</t>
  </si>
  <si>
    <t>春风十里</t>
  </si>
  <si>
    <t>鹿先森乐队</t>
  </si>
  <si>
    <t>https://i0.hdslb.com/bfs/station_src/music_metadata/cf9a6ab9db5cc9c59383c76556e49755.jpg</t>
  </si>
  <si>
    <t>http://i0.hdslb.com/bfs/station_src/music_metadata/6ccd10c1d26415a12c3b6c0addb7051d</t>
  </si>
  <si>
    <t>《春风十里不如你》电视剧插曲</t>
  </si>
  <si>
    <t>所有的酒，都不如你</t>
  </si>
  <si>
    <t>MA430384976618349002</t>
  </si>
  <si>
    <t>鸿雁</t>
  </si>
  <si>
    <t>呼斯楞,柏菲音乐</t>
  </si>
  <si>
    <t>https://i0.hdslb.com/bfs/station_src/music_metadata/757ef72664f713a69ffc3e10d1eaad5d.jpg</t>
  </si>
  <si>
    <t>https://i0.hdslb.com/bfs/station_src/music_metadata/1cc81a2b8e82def7add1a73a9f9486fe.txt</t>
  </si>
  <si>
    <t>非同凡响NO·3</t>
  </si>
  <si>
    <t>MA400017252344147147</t>
  </si>
  <si>
    <t>晴天</t>
  </si>
  <si>
    <t>https://i0.hdslb.com/bfs/station_src/music_metadata/2efa8f0df2aff949dee33b3f46a56312.jpg</t>
  </si>
  <si>
    <t>叶惠美</t>
  </si>
  <si>
    <t>音乐榜最高NO.8</t>
  </si>
  <si>
    <t>MA417231794027405165</t>
  </si>
  <si>
    <t>致你</t>
  </si>
  <si>
    <t>王赫野</t>
  </si>
  <si>
    <t>http://i0.hdslb.com/bfs/station_src/music_metadata/683916d89744a5d7c887a277e409cfaf.jpg</t>
  </si>
  <si>
    <t>MA409252893393217886</t>
  </si>
  <si>
    <t>浪漫手机</t>
  </si>
  <si>
    <t>https://i0.hdslb.com/bfs/station_src/music_metadata/8eedd1a09269c8d74ed387337e626b75.jpg</t>
  </si>
  <si>
    <t>https://i0.hdslb.com/bfs/station_src/music_metadata/ae5c6e95bbcbbf46dea75520d23f2e3e.txt</t>
  </si>
  <si>
    <t>MA406539235043059172</t>
  </si>
  <si>
    <t>春天的芭蕾</t>
  </si>
  <si>
    <t>常思思</t>
  </si>
  <si>
    <t>http://i0.hdslb.com/bfs/station_src/music_metadata/7202bafed8b495edfdc98691518442b5.jpg</t>
  </si>
  <si>
    <t>http://i0.hdslb.com/bfs/station_src/music_metadata/1faf7f1d5734fb67fc3aa5824aaf8ed2</t>
  </si>
  <si>
    <t>MA456179497931159628</t>
  </si>
  <si>
    <t>玛依拉变奏曲</t>
  </si>
  <si>
    <t>https://i0.hdslb.com/bfs/station_src/music_metadata/44ef3b674b440061a8551258b673f958.jpg</t>
  </si>
  <si>
    <t>https://i0.hdslb.com/bfs/station_src/music_metadata/0d31f0b335305bb6b2fae9ab4daacc38.txt</t>
  </si>
  <si>
    <t>龙乐合集 27</t>
  </si>
  <si>
    <t>MA406552731289920996</t>
  </si>
  <si>
    <t>灯火里的中国</t>
  </si>
  <si>
    <t>张也 / 周深</t>
  </si>
  <si>
    <t>http://i0.hdslb.com/bfs/station_src/music_metadata/0924bf85b82fa62dfcdce38ffb74da1a.jpg</t>
  </si>
  <si>
    <t>http://i0.hdslb.com/bfs/station_src/music_metadata/6398db62f5d229235035926dbc914370</t>
  </si>
  <si>
    <t>MA409256630367086942</t>
  </si>
  <si>
    <t>雨樱花</t>
  </si>
  <si>
    <t>F.I.R.飞儿乐团</t>
  </si>
  <si>
    <t>https://i0.hdslb.com/bfs/station_src/music_metadata/00afd05b69966a9e0c7f56c6963242d8.jpg</t>
  </si>
  <si>
    <t>http://i0.hdslb.com/bfs/station_src/music_metadata/d8a209457fb9a9d83e2536a27c94344c</t>
  </si>
  <si>
    <t>飞行部落</t>
  </si>
  <si>
    <t>MA406622051122560502</t>
  </si>
  <si>
    <t>刀马旦</t>
  </si>
  <si>
    <t>CoCo李玟,周杰伦</t>
  </si>
  <si>
    <t>https://i0.hdslb.com/bfs/station_src/music_metadata/b1611a62ad7c13e4bd8c8be0ddd6e3db.jpg</t>
  </si>
  <si>
    <t>http://i0.hdslb.com/bfs/station_src/music_metadata/3ca8e4af51d30c802f7682c32e87702e</t>
  </si>
  <si>
    <t>Promise</t>
  </si>
  <si>
    <t>MA413044428043752007</t>
  </si>
  <si>
    <t>不要忘记我爱你</t>
  </si>
  <si>
    <t>张碧晨</t>
  </si>
  <si>
    <t>https://i0.hdslb.com/bfs/station_src/music_metadata/89a4b343c6ddfcb41c83a237c9ede180.jpg</t>
  </si>
  <si>
    <t>https://i0.hdslb.com/bfs/station_src/music_metadata/fb8463eff10dadf3902c622968acef08.txt</t>
  </si>
  <si>
    <t>《神犬小七》电视剧主题曲|《麻辣变形计第一季》电视剧主题曲</t>
  </si>
  <si>
    <t>电视剧《神犬小七》</t>
  </si>
  <si>
    <t>MA500095514960734455</t>
  </si>
  <si>
    <t>难忘今宵</t>
  </si>
  <si>
    <t>二珂</t>
  </si>
  <si>
    <t>http://y.gtimg.cn/music/photo_new/T002R300x300M000.jpg</t>
  </si>
  <si>
    <t>MA400017238939151563</t>
  </si>
  <si>
    <t>星晴</t>
  </si>
  <si>
    <t>http://i0.hdslb.com/bfs/station_src/music_metadata/6c5a2e49b22b5017b16436b34ffa8ff4.jpg</t>
  </si>
  <si>
    <t>http://i0.hdslb.com/bfs/station_src/music_metadata/51698719dd553d61e269f2d4bcc88e0c</t>
  </si>
  <si>
    <t>Jay</t>
  </si>
  <si>
    <t>MA400017298817035467</t>
  </si>
  <si>
    <t>彩虹</t>
  </si>
  <si>
    <t>https://i0.hdslb.com/bfs/station_src/music_metadata/2b7d7250423bd10995c607eb49b4e004.jpg</t>
  </si>
  <si>
    <t>《命运呼叫转移》电影主题曲</t>
  </si>
  <si>
    <t>我很忙</t>
  </si>
  <si>
    <t>MA406539331562412722</t>
  </si>
  <si>
    <t>等你下课</t>
  </si>
  <si>
    <t>https://i0.hdslb.com/bfs/station_src/music_metadata/daceac43659e7f7f6326c1570b657381.jpg</t>
  </si>
  <si>
    <t>http://i0.hdslb.com/bfs/station_src/music_metadata/1b827e689cae1db38482c44b47c8737a</t>
  </si>
  <si>
    <t>MA456148979789349367</t>
  </si>
  <si>
    <t>恰好</t>
  </si>
  <si>
    <t>黄龄,李鑫一</t>
  </si>
  <si>
    <t>https://i0.hdslb.com/bfs/station_src/music_metadata/4114b5dce4dc2e8fa6d696106a6624eb.jpg</t>
  </si>
  <si>
    <t>https://i0.hdslb.com/bfs/station_src/music_metadata/7105373054bbacbd0af01ee959bcd5e2.txt</t>
  </si>
  <si>
    <t>天赐的声音第二季 第9期</t>
  </si>
  <si>
    <t>MA399852081105638084</t>
  </si>
  <si>
    <t>龙卷风</t>
  </si>
  <si>
    <t>https://i0.hdslb.com/bfs/station_src/music_metadata/d343e724b396706e5d98b10b1def1e6a.jpg</t>
  </si>
  <si>
    <t>http://i0.hdslb.com/bfs/station_src/music_metadata/8c8d724377f706aa02f776532d7ecf5f</t>
  </si>
  <si>
    <t>MA416180448612341978</t>
  </si>
  <si>
    <t>RingRingRing</t>
  </si>
  <si>
    <t>S.H.E</t>
  </si>
  <si>
    <t>http://i0.hdslb.com/bfs/station_src/music_metadata/118b3cbdbc9aeb5dc89685ab0f853a01.jpg</t>
  </si>
  <si>
    <t>Forever 新歌+精选</t>
  </si>
  <si>
    <t>MA445774035498854033</t>
  </si>
  <si>
    <t>Paper Hearts</t>
  </si>
  <si>
    <t>Tori Kelly</t>
  </si>
  <si>
    <t>https://i0.hdslb.com/bfs/station_src/music_metadata/d163890fde7ff71487a0619f16a06100.jpg</t>
  </si>
  <si>
    <t>Foreword</t>
  </si>
  <si>
    <t>MA449540074921528861</t>
  </si>
  <si>
    <t>无眠</t>
  </si>
  <si>
    <t>https://i0.hdslb.com/bfs/station_src/music_metadata/ce381d40d5668fce4078b49734ac5df3.jpg</t>
  </si>
  <si>
    <t>https://i0.hdslb.com/bfs/station_src/music_metadata/a10d73e7a113caa92a4fe727f216eb73.txt</t>
  </si>
  <si>
    <t>音乐零时差-57</t>
  </si>
  <si>
    <t>MA406539480946743986</t>
  </si>
  <si>
    <t>呼吸决定</t>
  </si>
  <si>
    <t>Fine乐团</t>
  </si>
  <si>
    <t>http://i0.hdslb.com/bfs/station_src/music_metadata/de6c3020bce1962dc02b42568606781f.jpg</t>
  </si>
  <si>
    <t>http://i0.hdslb.com/bfs/station_src/music_metadata/9dfd516512eb23be6e624848db3bed57</t>
  </si>
  <si>
    <t>MA399852068606612164</t>
  </si>
  <si>
    <t>告白气球</t>
  </si>
  <si>
    <t>https://i0.hdslb.com/bfs/station_src/music_metadata/597fc2909210e665dd3a007352426e49.jpg</t>
  </si>
  <si>
    <t>周杰伦的床边故事</t>
  </si>
  <si>
    <t>MA399852090551210692</t>
  </si>
  <si>
    <t>甜甜的</t>
  </si>
  <si>
    <t>http://i0.hdslb.com/bfs/station_src/music_metadata/b70b267ed4b8e6627ef2fddb400bc930.jpg</t>
  </si>
  <si>
    <t>http://i0.hdslb.com/bfs/station_src/music_metadata/279ee78db41e6396428b468a8620d95b</t>
  </si>
  <si>
    <t>MA400017101919628491</t>
  </si>
  <si>
    <t>爱情废柴</t>
  </si>
  <si>
    <t>https://i0.hdslb.com/bfs/station_src/music_metadata/b27285ea13574397bca7b651a4eb0612.jpg</t>
  </si>
  <si>
    <t>copyright-crawler/music/task-lyric/640d4e7ac961e7c45dca2fe1.txt</t>
  </si>
  <si>
    <t>MA406552807290718576</t>
  </si>
  <si>
    <t>说散就散</t>
  </si>
  <si>
    <t>袁娅维TIA RAY</t>
  </si>
  <si>
    <t>http://i0.hdslb.com/bfs/station_src/music_metadata/0d2a98cfa94a37041a8fd9f6d060a0aa.jpg</t>
  </si>
  <si>
    <t>http://i0.hdslb.com/bfs/station_src/music_metadata/ac9c061324965249882f646ffef11dd0</t>
  </si>
  <si>
    <t>《前任3：再见前任》主题曲)</t>
  </si>
  <si>
    <t>音乐榜最高NO.17</t>
  </si>
  <si>
    <t>MA400016582346026187</t>
  </si>
  <si>
    <t>喜欢你</t>
  </si>
  <si>
    <t>陈洁仪</t>
  </si>
  <si>
    <t>https://i0.hdslb.com/bfs/station_src/music_metadata/657c63920e8cf9a7db4753eb939d1dce.jpg</t>
  </si>
  <si>
    <t>http://i0.hdslb.com/bfs/station_src/music_metadata/6bffe0eed99a109396ffa9741cc156c7</t>
  </si>
  <si>
    <t>陈洁仪的异想世界</t>
  </si>
  <si>
    <t>MA407124677606027546</t>
  </si>
  <si>
    <t>Can't Take My Eyes Off You</t>
  </si>
  <si>
    <t>Frankie Valli</t>
  </si>
  <si>
    <t>https://i0.hdslb.com/bfs/station_src/music_metadata/404057822723aeab52e141ddaa73ecb5.jpg</t>
  </si>
  <si>
    <t>http://i0.hdslb.com/bfs/station_src/music_metadata/0699cf7dad910b89b43265c4ab589640</t>
  </si>
  <si>
    <t>The Very Best of Frankie Valli &amp; The 4 Seasons</t>
  </si>
  <si>
    <t>MA416326436647885018</t>
  </si>
  <si>
    <t>残酷月光</t>
  </si>
  <si>
    <t>林宥嘉</t>
  </si>
  <si>
    <t>https://i0.hdslb.com/bfs/station_src/music_metadata/ce9ac424f4b7f0eefa82ac853ca376b9.jpg</t>
  </si>
  <si>
    <t>http://i0.hdslb.com/bfs/station_src/music_metadata/7ac56c3c98e60f9cff717672bce72537</t>
  </si>
  <si>
    <t>神秘嘉宾</t>
  </si>
  <si>
    <t>MA407125672830480666</t>
  </si>
  <si>
    <t>浪费</t>
  </si>
  <si>
    <t>https://i0.hdslb.com/bfs/station_src/music_metadata/8edf4a71ca316f37452096e7b421ff83.jpg</t>
  </si>
  <si>
    <t>http://i0.hdslb.com/bfs/station_src/music_metadata/7e20539e61bdd7fecdadac6a3f4ae620</t>
  </si>
  <si>
    <t>大小说家</t>
  </si>
  <si>
    <t>MA406552753570070006</t>
  </si>
  <si>
    <t>有可能的夜晚</t>
  </si>
  <si>
    <t>曾轶可</t>
  </si>
  <si>
    <t>https://i0.hdslb.com/bfs/station_src/music_metadata/53d23a3f0bdaa3ba13e216981a35b510.jpg</t>
  </si>
  <si>
    <t>http://i0.hdslb.com/bfs/station_src/music_metadata/063b2a09ab4d9b1d20d545d5870808b2</t>
  </si>
  <si>
    <t>会飞的贼</t>
  </si>
  <si>
    <t>MA443463226944967519</t>
  </si>
  <si>
    <t>人是_</t>
  </si>
  <si>
    <t>https://i0.hdslb.com/bfs/station_src/music_metadata/cbc6b9595b8d8ddf3be5a4600fe4ee1f.jpg</t>
  </si>
  <si>
    <t>MA442034616585455289</t>
  </si>
  <si>
    <t>去有风的地方</t>
  </si>
  <si>
    <t>郁可唯</t>
  </si>
  <si>
    <t>http://i0.hdslb.com/bfs/station_src/music_metadata/b093843de254f8f99076be76300b8733.jpg</t>
  </si>
  <si>
    <t>音乐榜最高NO.19</t>
  </si>
  <si>
    <t>MA406539359362235894</t>
  </si>
  <si>
    <t>好想好想</t>
  </si>
  <si>
    <t>古巨基</t>
  </si>
  <si>
    <t>https://i0.hdslb.com/bfs/station_src/music_metadata/1cdde0495aedd2a685e2f9ebee6d0c06.jpg</t>
  </si>
  <si>
    <t>http://i0.hdslb.com/bfs/station_src/music_metadata/8b34bd02e86c390825f9a8a1c208d59c</t>
  </si>
  <si>
    <t>《情深深雨濛濛》电视剧片尾曲</t>
  </si>
  <si>
    <t>情深深雨濛濛音乐全记录</t>
  </si>
  <si>
    <t>MA406621040043632100</t>
  </si>
  <si>
    <t>我只在乎你</t>
  </si>
  <si>
    <t>邓丽君</t>
  </si>
  <si>
    <t>https://i0.hdslb.com/bfs/station_src/music_metadata/20edcc42dece649a8fcfbc7a532d33cf.jpg</t>
  </si>
  <si>
    <t>http://i0.hdslb.com/bfs/station_src/music_metadata/49dfa16b48e0cab94adf65044415eee3</t>
  </si>
  <si>
    <t>邓丽君金曲选01</t>
  </si>
  <si>
    <t>MA409257026661706078</t>
  </si>
  <si>
    <t>三月雨</t>
  </si>
  <si>
    <t>洛天依</t>
  </si>
  <si>
    <t>https://i0.hdslb.com/bfs/station_src/music_metadata/d9ec84386ae11b7d1479726beb84a9b0.jpg</t>
  </si>
  <si>
    <t>洛天依小鸡哔哔</t>
  </si>
  <si>
    <t>MA409257932866251102</t>
  </si>
  <si>
    <t>如此</t>
  </si>
  <si>
    <t>https://i0.hdslb.com/bfs/station_src/music_metadata/02e014c37d605c9c48efcef4cb1658b5.jpg</t>
  </si>
  <si>
    <t>2020中国好声音 第10期</t>
  </si>
  <si>
    <t>MA406537666943794678</t>
  </si>
  <si>
    <t>像风一样</t>
  </si>
  <si>
    <t>薛之谦</t>
  </si>
  <si>
    <t>http://i0.hdslb.com/bfs/station_src/music_metadata/a3a8c61a923efdb7e46195d46e94c363.jpg</t>
  </si>
  <si>
    <t>渡 The Crossing</t>
  </si>
  <si>
    <t>MA409253169915291998</t>
  </si>
  <si>
    <t>给电影人的情书</t>
  </si>
  <si>
    <t>蔡琴</t>
  </si>
  <si>
    <t>https://i0.hdslb.com/bfs/station_src/music_metadata/5a642b125d5c75496a65d82a8b356a5f.jpg</t>
  </si>
  <si>
    <t>http://i0.hdslb.com/bfs/station_src/music_metadata/b70311934da8d72b044401d31b44294e</t>
  </si>
  <si>
    <t>不悔</t>
  </si>
  <si>
    <t>MA456011836936962822</t>
  </si>
  <si>
    <t>各站停靠</t>
  </si>
  <si>
    <t>https://i0.hdslb.com/bfs/station_src/music_metadata/9dda285ef9a52d920d867c32ef0e2361.jpg</t>
  </si>
  <si>
    <t>https://i0.hdslb.com/bfs/station_src/music_metadata/d7362b1b739a43d4234b32d4c2ea15b8.txt</t>
  </si>
  <si>
    <t>春．日光</t>
  </si>
  <si>
    <t>MA423573255593422843</t>
  </si>
  <si>
    <t>有形的翅膀</t>
  </si>
  <si>
    <t>张韶涵</t>
  </si>
  <si>
    <t>https://i0.hdslb.com/bfs/station_src/music_metadata/87ebc407b662d3af1dda082818b3e246.jpg</t>
  </si>
  <si>
    <t>https://i0.hdslb.com/bfs/station_src/music_metadata/b26dccdf68fd599eb0a7303d1d71cb78.txt</t>
  </si>
  <si>
    <t>本期音乐榜NO.7</t>
  </si>
  <si>
    <t>MA444302272344641953</t>
  </si>
  <si>
    <t>http://i0.hdslb.com/bfs/station_src/music_metadata/4ad5958a6b4bee52560f0cf175374bf7.jpg</t>
  </si>
  <si>
    <t>MA406552721122934262</t>
  </si>
  <si>
    <t>三人游</t>
  </si>
  <si>
    <t>方大同</t>
  </si>
  <si>
    <t>http://i0.hdslb.com/bfs/station_src/music_metadata/b7f19bb4d6950ea8c340e7a28a34d747.jpg</t>
  </si>
  <si>
    <t>http://i0.hdslb.com/bfs/station_src/music_metadata/c983d086e43b8e108518877649db4439</t>
  </si>
  <si>
    <t>《冬季恋歌》韩剧中文版主题曲</t>
  </si>
  <si>
    <t>橙月</t>
  </si>
  <si>
    <t>MA409252694465767774</t>
  </si>
  <si>
    <t>不醉不会</t>
  </si>
  <si>
    <t>田馥甄</t>
  </si>
  <si>
    <t>https://i0.hdslb.com/bfs/station_src/music_metadata/89dd3a7fe31b05442c9ebecb6692d9c6.jpg</t>
  </si>
  <si>
    <t>http://i0.hdslb.com/bfs/station_src/music_metadata/e538f424a7bb1b824c88467288129a7b</t>
  </si>
  <si>
    <t>《没有名字的甜点店》电视剧主题曲</t>
  </si>
  <si>
    <t>渺小</t>
  </si>
  <si>
    <t>MA406539260343107062</t>
  </si>
  <si>
    <t>身骑白马</t>
  </si>
  <si>
    <t>http://i0.hdslb.com/bfs/station_src/music_metadata/5309866334d8550fdb4abccc389a5193.jpg</t>
  </si>
  <si>
    <t>http://i0.hdslb.com/bfs/station_src/music_metadata/54d4cd6cf66cfb9eadbebde296a31478</t>
  </si>
  <si>
    <t>LaLa首张创作专辑</t>
  </si>
  <si>
    <t>音乐榜最高NO.10</t>
  </si>
  <si>
    <t>MA416538593268355267</t>
  </si>
  <si>
    <t>红颜如霜</t>
  </si>
  <si>
    <t>https://i0.hdslb.com/bfs/station_src/music_metadata/b0bbef33041121e4c8107f9d82ff0e60.jpg</t>
  </si>
  <si>
    <t>最伟大的作品</t>
  </si>
  <si>
    <t>MA409255404422359390</t>
  </si>
  <si>
    <t>如果你也听说</t>
  </si>
  <si>
    <t>张惠妹</t>
  </si>
  <si>
    <t>https://i0.hdslb.com/bfs/station_src/music_metadata/817afa2e773e7b58be0aa81357a6d3ba.jpg</t>
  </si>
  <si>
    <t>http://i0.hdslb.com/bfs/station_src/music_metadata/bf62c79e96e7ed1fd3cc328229e1279c</t>
  </si>
  <si>
    <t>我最亲爱的张惠妹 - 给自己的精选（2015 Edition）</t>
  </si>
  <si>
    <t>MA406539174108240562</t>
  </si>
  <si>
    <t>阿楚姑娘</t>
  </si>
  <si>
    <t>http://i0.hdslb.com/bfs/station_src/music_metadata/490252348b1df68e4145357b5fc3aad5.jpg</t>
  </si>
  <si>
    <t>http://i0.hdslb.com/bfs/station_src/music_metadata/03c91235e156d3e1f46836f93beeb9f7</t>
  </si>
  <si>
    <t>MA409258072368802142</t>
  </si>
  <si>
    <t>靠近</t>
  </si>
  <si>
    <t>罗震环</t>
  </si>
  <si>
    <t>https://i0.hdslb.com/bfs/station_src/music_metadata/38ab4a46f651a446f01ba757be262549.jpg</t>
  </si>
  <si>
    <t>https://i0.hdslb.com/bfs/station_src/music_metadata/1aa4ee4fef9645e7092232f4801fb704.txt</t>
  </si>
  <si>
    <t>《爱情公寓3》电视剧片尾曲</t>
  </si>
  <si>
    <t>爱情公寓3 电视剧原声带</t>
  </si>
  <si>
    <t>MA455961382127446719</t>
  </si>
  <si>
    <t>在那东山顶上</t>
  </si>
  <si>
    <t>谭晶</t>
  </si>
  <si>
    <t>https://i0.hdslb.com/bfs/station_src/music_metadata/59de415080268909059e7e45a48b31ec.jpg</t>
  </si>
  <si>
    <t>https://i0.hdslb.com/bfs/station_src/music_metadata/eda2f54f706c4adaca6ef517d1b4f09d.txt</t>
  </si>
  <si>
    <t>龙图腾</t>
  </si>
  <si>
    <t>MA456005168094273684</t>
  </si>
  <si>
    <t>龙文</t>
  </si>
  <si>
    <t>https://i0.hdslb.com/bfs/station_src/music_metadata/062a90918f086d711e1940245da47ca6.jpg</t>
  </si>
  <si>
    <t>https://i0.hdslb.com/bfs/station_src/music_metadata/f4ad8d701662a5378d193efa3deff24e.txt</t>
  </si>
  <si>
    <t>谭晶单曲集</t>
  </si>
  <si>
    <t>MA489716670185640104</t>
  </si>
  <si>
    <t>乌梅子酱</t>
  </si>
  <si>
    <t>厚土小姐</t>
  </si>
  <si>
    <t>https://i0.hdslb.com/bfs/station_src/music_metadata/29027242f8b9168eb1b6d0367fda28c8.jpg</t>
  </si>
  <si>
    <t>乌梅子酱（烟嗓女版）</t>
  </si>
  <si>
    <t>MA406539373153101284</t>
  </si>
  <si>
    <t>红玫瑰</t>
  </si>
  <si>
    <t>陈奕迅</t>
  </si>
  <si>
    <t>https://i0.hdslb.com/bfs/station_src/music_metadata/daf19af215835bc6fc2fd9f40df9b04c.jpg</t>
  </si>
  <si>
    <t>https://i0.hdslb.com/bfs/station_src/music_metadata/b2ebf3e83b28b1a8211f6c0893a42e7a.txt</t>
  </si>
  <si>
    <t>认了吧</t>
  </si>
  <si>
    <t>MA409252893930088798</t>
  </si>
  <si>
    <t>月光</t>
  </si>
  <si>
    <t>胡彦斌</t>
  </si>
  <si>
    <t>https://i0.hdslb.com/bfs/station_src/music_metadata/7cc411366d037e788cb0589e4b72b353.jpg</t>
  </si>
  <si>
    <t>https://i0.hdslb.com/bfs/station_src/music_metadata/24b147c13fc9ffd4dfb30a3a88355255.txt</t>
  </si>
  <si>
    <t>《秦时明月》动画主题曲|《秦时明月之君临天下》动画片头曲</t>
  </si>
  <si>
    <t>男人歌 (全胜铂金版)</t>
  </si>
  <si>
    <t>MA406552729863863798</t>
  </si>
  <si>
    <t>没有意外</t>
  </si>
  <si>
    <t>蔡徐坤</t>
  </si>
  <si>
    <t>http://i0.hdslb.com/bfs/station_src/music_metadata/f37afb45f33a17cecec99b227ddb4e26.jpg</t>
  </si>
  <si>
    <t>http://i0.hdslb.com/bfs/station_src/music_metadata/3d75587acbe57120ade22b9852225059</t>
  </si>
  <si>
    <t>MA406537567270378162</t>
  </si>
  <si>
    <t>别找我麻烦</t>
  </si>
  <si>
    <t>蔡健雅</t>
  </si>
  <si>
    <t>https://i0.hdslb.com/bfs/station_src/music_metadata/dc437f3f836d4d4da370db110f3d5b32.jpg</t>
  </si>
  <si>
    <t>https://i0.hdslb.com/bfs/station_src/music_metadata/2602aa09e28c74ea2fefea262e80b0b3.txt</t>
  </si>
  <si>
    <t>说到爱</t>
  </si>
  <si>
    <t>MA456058808746170523</t>
  </si>
  <si>
    <t>十万毫升泪水</t>
  </si>
  <si>
    <t>https://i0.hdslb.com/bfs/station_src/music_metadata/43003db948184238a261743b3e985d11.jpg</t>
  </si>
  <si>
    <t>https://i0.hdslb.com/bfs/station_src/music_metadata/b460bce037ba5523f9fe4dceb112d960.txt</t>
  </si>
  <si>
    <t>电影《爱在午夜希腊时》中文宣传曲</t>
  </si>
  <si>
    <t>MA455959876959525019</t>
  </si>
  <si>
    <t>抛物线</t>
  </si>
  <si>
    <t>https://i0.hdslb.com/bfs/station_src/music_metadata/1192f5d3f5d804716f741e0d9dc73211.jpg</t>
  </si>
  <si>
    <t>https://i0.hdslb.com/bfs/station_src/music_metadata/80d5b0a836c4d402e6c2ea0619723fad.txt</t>
  </si>
  <si>
    <t>若你碰到他</t>
  </si>
  <si>
    <t>MA417231079770988397</t>
  </si>
  <si>
    <t>紫</t>
  </si>
  <si>
    <t>https://i0.hdslb.com/bfs/station_src/music_metadata/0ee1f50e85aaa87f457222254614ff14.jpg</t>
  </si>
  <si>
    <t>http://i0.hdslb.com/bfs/station_src/music_metadata/3f01cd76b8f7163484e41682aefb646c</t>
  </si>
  <si>
    <t>《悟空传》电影插曲</t>
  </si>
  <si>
    <t>悟空传 电影音乐原声带</t>
  </si>
  <si>
    <t>MA406552735870100964</t>
  </si>
  <si>
    <t>美丽的神话</t>
  </si>
  <si>
    <t>孙楠&amp;韩红</t>
  </si>
  <si>
    <t>http://i0.hdslb.com/bfs/station_src/music_metadata/f4023a2151ef0d6621e5b812c91dd137.jpg</t>
  </si>
  <si>
    <t>http://i0.hdslb.com/bfs/station_src/music_metadata/dde8278396b4e5cd1061d542ea3061b2</t>
  </si>
  <si>
    <t>《神话》电影主题曲</t>
  </si>
  <si>
    <t>神话 电影原声音乐</t>
  </si>
  <si>
    <t>MA406539219675159218</t>
  </si>
  <si>
    <t>春三月</t>
  </si>
  <si>
    <t>司南</t>
  </si>
  <si>
    <t>http://i0.hdslb.com/bfs/station_src/music_metadata/1e8f55a59589012b750c6ec41b99d497.jpg</t>
  </si>
  <si>
    <t>http://i0.hdslb.com/bfs/station_src/music_metadata/c1d8969f8a1bbd139cb0cff290fb17e7</t>
  </si>
  <si>
    <t>MA400016788990995659</t>
  </si>
  <si>
    <t>起风了</t>
  </si>
  <si>
    <t>买辣椒也用券</t>
  </si>
  <si>
    <t>http://i0.hdslb.com/bfs/station_src/music_metadata/4341df7b05060da3fa257852d02fd62e.jpg</t>
  </si>
  <si>
    <t>http://i0.hdslb.com/bfs/station_src/music_metadata/1575d5c9be369d87a8c2c118c3176b49</t>
  </si>
  <si>
    <t>原曲：《ヤキモチ》—高桥优</t>
  </si>
  <si>
    <t xml:space="preserve"> 起风了 (旧版)</t>
  </si>
  <si>
    <t>音乐榜最高NO.6</t>
  </si>
  <si>
    <t>MA409254406261893470</t>
  </si>
  <si>
    <t>菊花台</t>
  </si>
  <si>
    <t>https://i0.hdslb.com/bfs/station_src/music_metadata/20d128e1483e9a2518cb37688cbed34d.jpg</t>
  </si>
  <si>
    <t>copyright-crawler/music/task-lyric/623f921e903bdc3e606d8940.txt</t>
  </si>
  <si>
    <t>依然范特西</t>
  </si>
  <si>
    <t>MA400017186560683211</t>
  </si>
  <si>
    <t>搁浅</t>
  </si>
  <si>
    <t>https://i0.hdslb.com/bfs/station_src/music_metadata/5ea93d49aa366e4340787bbc3d63de25.jpg</t>
  </si>
  <si>
    <t>七里香</t>
  </si>
  <si>
    <t>MA406618571225975152</t>
  </si>
  <si>
    <t>左边</t>
  </si>
  <si>
    <t>杨丞琳</t>
  </si>
  <si>
    <t>https://i0.hdslb.com/bfs/station_src/music_metadata/0606c553b019d6955e7932dfd839f28c.jpg</t>
  </si>
  <si>
    <t>http://i0.hdslb.com/bfs/station_src/music_metadata/b2bbd1cc5e237296e0cf70a277cd471c</t>
  </si>
  <si>
    <t>电视剧《奋斗》插曲</t>
  </si>
  <si>
    <t>遇上爱</t>
  </si>
  <si>
    <t>MA409254102845942110</t>
  </si>
  <si>
    <t>假如爱有天意</t>
  </si>
  <si>
    <t>李健</t>
  </si>
  <si>
    <t>https://i0.hdslb.com/bfs/station_src/music_metadata/4b86fcae21e92aaa575bf6018b576dbf.jpg</t>
  </si>
  <si>
    <t>http://i0.hdslb.com/bfs/station_src/music_metadata/7b01ab21af25547478adc56fa63915fc</t>
  </si>
  <si>
    <t>《太平轮·彼岸》电影推广曲</t>
  </si>
  <si>
    <t>MA399989748313107659</t>
  </si>
  <si>
    <t>路过人间</t>
  </si>
  <si>
    <t>http://i0.hdslb.com/bfs/station_src/music_metadata/570f6a193a95780dfeae2a4dfe0cb932.jpg</t>
  </si>
  <si>
    <t>http://i0.hdslb.com/bfs/station_src/music_metadata/0386d6bc66823747cb1d61d511d20a21</t>
  </si>
  <si>
    <t>MA414625465366493250</t>
  </si>
  <si>
    <t>爱就一个字</t>
  </si>
  <si>
    <t>张信哲</t>
  </si>
  <si>
    <t>https://i0.hdslb.com/bfs/station_src/music_metadata/eedf3625069b7bc0f7e914af5059ac37.jpg</t>
  </si>
  <si>
    <t>https://i0.hdslb.com/bfs/station_src/music_metadata/e9904da2f3f323dfba2f266736dcfd88.txt</t>
  </si>
  <si>
    <t>我好想</t>
  </si>
  <si>
    <t>MA428065739392432891</t>
  </si>
  <si>
    <t>Caro Mio Ben</t>
  </si>
  <si>
    <t>Lesley Garrett</t>
  </si>
  <si>
    <t>https://i0.hdslb.com/bfs/station_src/music_metadata/5d4ca8d6cc16d2ac2a9149730e2ab8b4.jpg</t>
  </si>
  <si>
    <t>MA445317289718365883</t>
  </si>
  <si>
    <t>Caro mio ben</t>
  </si>
  <si>
    <t>Cecilia Bartoli,György Fischer</t>
  </si>
  <si>
    <t>https://i0.hdslb.com/bfs/station_src/music_metadata/0981282252a965b7fe42604b66b68284.jpg</t>
  </si>
  <si>
    <t>Cecilia Bartoli - Arie Antiche: Se tu m'ami</t>
  </si>
  <si>
    <t>MA444302533213573537</t>
  </si>
  <si>
    <t>先生</t>
  </si>
  <si>
    <t>Pomelo安妮</t>
  </si>
  <si>
    <t>http://i0.hdslb.com/bfs/station_src/music_metadata/abd9baa925b3f956c34b35698bd85e21.jpg</t>
  </si>
  <si>
    <t>MA406537350458415794</t>
  </si>
  <si>
    <t>将故事写成我们</t>
  </si>
  <si>
    <t>林俊杰</t>
  </si>
  <si>
    <t>http://i0.hdslb.com/bfs/station_src/music_metadata/63fe00af138c363552e6aff10baba93e.jpg</t>
  </si>
  <si>
    <t>http://i0.hdslb.com/bfs/station_src/music_metadata/2c6ada3c80c79f0dd8b56da48df1f4ad</t>
  </si>
  <si>
    <t>MA406538039079246514</t>
  </si>
  <si>
    <t>翅膀</t>
  </si>
  <si>
    <t>https://i0.hdslb.com/bfs/station_src/music_metadata/21d90da3561f5ecc4b0febfb44a261f8.jpg</t>
  </si>
  <si>
    <t>https://i0.hdslb.com/bfs/station_src/music_metadata/73f8a18239ae15d29ce08c084ba9ba98.txt</t>
  </si>
  <si>
    <t>乐行者</t>
  </si>
  <si>
    <t>MA406539510340396516</t>
  </si>
  <si>
    <t>关键词</t>
  </si>
  <si>
    <t>http://i0.hdslb.com/bfs/station_src/music_metadata/2a51c18f069a58269fc8cde88e0fb107.jpg</t>
  </si>
  <si>
    <t>http://i0.hdslb.com/bfs/station_src/music_metadata/b66ef916b6cf54b30ab6d5ba87db00fd</t>
  </si>
  <si>
    <t>和自己对话 From M.E. To Myself</t>
  </si>
  <si>
    <t>MA400017393809632459</t>
  </si>
  <si>
    <t>爱情悬崖</t>
  </si>
  <si>
    <t>https://i0.hdslb.com/bfs/station_src/music_metadata/09deb9d4f4775eb43172424de93829e1.jpg</t>
  </si>
  <si>
    <t>MA409252084328753502</t>
  </si>
  <si>
    <t>分身</t>
  </si>
  <si>
    <t>http://i0.hdslb.com/bfs/station_src/music_metadata/0fd80cf4360670d154b7c8c64ae7abde.jpg</t>
  </si>
  <si>
    <t>MA406539376022005220</t>
  </si>
  <si>
    <t>凄美地</t>
  </si>
  <si>
    <t>郭顶</t>
  </si>
  <si>
    <t>http://i0.hdslb.com/bfs/station_src/music_metadata/45c66fceda09e6bb1431d0bd2b04b2d9.jpg</t>
  </si>
  <si>
    <t>http://i0.hdslb.com/bfs/station_src/music_metadata/62c3f56521310cc5f6b88b48093213b2</t>
  </si>
  <si>
    <t>飞行器的执行周期</t>
  </si>
  <si>
    <t>音乐榜最高NO.1</t>
  </si>
  <si>
    <t>MA406534596948171442</t>
  </si>
  <si>
    <t>易燃易爆炸</t>
  </si>
  <si>
    <t>陈粒</t>
  </si>
  <si>
    <t>https://i0.hdslb.com/bfs/station_src/music_metadata/e4e51e2c02608106bb1f72aeac58a8b9.jpg</t>
  </si>
  <si>
    <t>如也</t>
  </si>
  <si>
    <t>MA494610034588656408</t>
  </si>
  <si>
    <t>阿刁</t>
  </si>
  <si>
    <t>https://i0.hdslb.com/bfs/station_src/music_metadata/e87119ffac229234e193f93af6126b84.jpg</t>
  </si>
  <si>
    <t>https://i0.hdslb.com/bfs/station_src/music_metadata/41092baedcd8ec382a5eebb76bf40be5.txt</t>
  </si>
  <si>
    <t>刘苏萱7岁歌曲专辑</t>
  </si>
  <si>
    <t>MA437198189406249955</t>
  </si>
  <si>
    <t>梦里花</t>
  </si>
  <si>
    <t>https://i0.hdslb.com/bfs/station_src/music_metadata/371c7789b9d6392ec0e4f64347fe10b7.jpg</t>
  </si>
  <si>
    <t>https://i0.hdslb.com/bfs/station_src/music_metadata/107ce5fdef68e361b024d6e36ead18fb.txt</t>
  </si>
  <si>
    <t>MA409691179521682372</t>
  </si>
  <si>
    <t>落叶归根</t>
  </si>
  <si>
    <t>王力宏</t>
  </si>
  <si>
    <t>https://i0.hdslb.com/bfs/station_src/music_metadata/a8ffd1d411d13153eb4745f7b32606c9.jpg</t>
  </si>
  <si>
    <t>https://i0.hdslb.com/bfs/station_src/music_metadata/bcd960f324898e0e42f392683fa178ba.txt</t>
  </si>
  <si>
    <t>改变自己</t>
  </si>
  <si>
    <t>MA455950185600695725</t>
  </si>
  <si>
    <t>茉莉花</t>
  </si>
  <si>
    <t>群星</t>
  </si>
  <si>
    <t>https://i0.hdslb.com/bfs/station_src/music_metadata/e03b06a414da98ba449eefdff7d60f88.jpg</t>
  </si>
  <si>
    <t>https://i0.hdslb.com/bfs/station_src/music_metadata/f7e4d3ca608b74e750bc6ef547b43dbd.txt</t>
  </si>
  <si>
    <t>试机二号</t>
  </si>
  <si>
    <t>MA400017340273536203</t>
  </si>
  <si>
    <t>园游会</t>
  </si>
  <si>
    <t>https://i0.hdslb.com/bfs/station_src/music_metadata/6e1ac13753b4f6ee9b6064e5eea74ee9.jpg</t>
  </si>
  <si>
    <t>音乐榜最高NO.13</t>
  </si>
  <si>
    <t>MA445218009401805496</t>
  </si>
  <si>
    <t>花一开就相爱吧</t>
  </si>
  <si>
    <t>林依晨</t>
  </si>
  <si>
    <t>https://i0.hdslb.com/bfs/station_src/music_metadata/64a48ebd48feecac91ab30c1fcc17d0b.jpg</t>
  </si>
  <si>
    <t>美好的旅行</t>
  </si>
  <si>
    <t>MA406539412562811570</t>
  </si>
  <si>
    <t>遇见</t>
  </si>
  <si>
    <t>孙燕姿</t>
  </si>
  <si>
    <t>https://i0.hdslb.com/bfs/station_src/music_metadata/5bbf2ce1843bc60f9c57b02a09acd1ef.jpg</t>
  </si>
  <si>
    <t>http://i0.hdslb.com/bfs/station_src/music_metadata/2523f48e1475d1352ae5e229ebdb0384</t>
  </si>
  <si>
    <t>《向左走，向右走》电影主题曲</t>
  </si>
  <si>
    <t>The Moment</t>
  </si>
  <si>
    <t>音乐榜最高NO.15</t>
  </si>
  <si>
    <t>MA410404788941941156</t>
  </si>
  <si>
    <t>我好想你</t>
  </si>
  <si>
    <t>https://i0.hdslb.com/bfs/station_src/music_metadata/142298774c35c909c17cc46ed0028323.jpg</t>
  </si>
  <si>
    <t>http://i0.hdslb.com/bfs/station_src/music_metadata/a561acc490d86e8b1eff97408e8b2033</t>
  </si>
  <si>
    <t>MOOV Live 2013 苏打绿</t>
  </si>
  <si>
    <t>MA406539692608071140</t>
  </si>
  <si>
    <t>台风</t>
  </si>
  <si>
    <t>郁一凡</t>
  </si>
  <si>
    <t>https://i0.hdslb.com/bfs/station_src/music_metadata/e62e120e862336e6b171c835ae52b792.jpg</t>
  </si>
  <si>
    <t>https://i0.hdslb.com/bfs/station_src/music_metadata/4025503f8f2dced9cfa0f785fcbd250a.txt</t>
  </si>
  <si>
    <t>我的音乐你听吗 第2期</t>
  </si>
  <si>
    <t>MA399852062432596676</t>
  </si>
  <si>
    <t>大笨钟</t>
  </si>
  <si>
    <t>https://i0.hdslb.com/bfs/station_src/music_metadata/ec4dd0b1aa0bba73b944620a9f015307.jpg</t>
  </si>
  <si>
    <t>MA406539347400104626</t>
  </si>
  <si>
    <t>喂</t>
  </si>
  <si>
    <t>http://i0.hdslb.com/bfs/station_src/music_metadata/3e25166ec82d69eca35a1a16729579ed.jpg</t>
  </si>
  <si>
    <t>http://i0.hdslb.com/bfs/station_src/music_metadata/2751e8840adbe50ca18c15e272712e78</t>
  </si>
  <si>
    <t>MA406621369128723940</t>
  </si>
  <si>
    <t>爱如潮水</t>
  </si>
  <si>
    <t>https://i0.hdslb.com/bfs/station_src/music_metadata/8779c1ac31d3b3a08de562cf24e8207c.jpg</t>
  </si>
  <si>
    <t>http://i0.hdslb.com/bfs/station_src/music_metadata/6d448393a2c136d5067765a4e66ac74d</t>
  </si>
  <si>
    <t>心事</t>
  </si>
  <si>
    <t>MA450588947811187026</t>
  </si>
  <si>
    <t>Da Capo</t>
  </si>
  <si>
    <t>https://i0.hdslb.com/bfs/station_src/music_metadata/7a9cf5180d2e8b433b69c7064ff0efe1.jpg</t>
  </si>
  <si>
    <t>MA413130232430650290</t>
  </si>
  <si>
    <t>我的梦</t>
  </si>
  <si>
    <t>张靓颖</t>
  </si>
  <si>
    <t>https://i0.hdslb.com/bfs/station_src/music_metadata/835602ae15dd1b906d1ff30173ed231b.jpg</t>
  </si>
  <si>
    <t>http://i0.hdslb.com/bfs/station_src/music_metadata/64616656b314bfa45e6146933adda63f</t>
  </si>
  <si>
    <t>华为手机主题曲|《为了你我愿意热爱整个世界》影视剧主题曲</t>
  </si>
  <si>
    <t>MA409252332698659166</t>
  </si>
  <si>
    <t>小小</t>
  </si>
  <si>
    <t>容祖儿</t>
  </si>
  <si>
    <t>https://i0.hdslb.com/bfs/station_src/music_metadata/b9d714ef715f7687d8bb23e6a2aba371.jpg</t>
  </si>
  <si>
    <t>http://i0.hdslb.com/bfs/station_src/music_metadata/bb836ee3f63bcd025917ff09534c243d</t>
  </si>
  <si>
    <t>MA409255375095785822</t>
  </si>
  <si>
    <t>浪漫血液</t>
  </si>
  <si>
    <t>https://i0.hdslb.com/bfs/station_src/music_metadata/df4cb70c4afd251b03add35ca9a9908e.jpg</t>
  </si>
  <si>
    <t>http://i0.hdslb.com/bfs/station_src/music_metadata/1681acdfafc8cdc08a44ca96f53471a4</t>
  </si>
  <si>
    <t>新地球</t>
  </si>
  <si>
    <t>MA406552844435471862</t>
  </si>
  <si>
    <t>问情</t>
  </si>
  <si>
    <t>蔡幸娟</t>
  </si>
  <si>
    <t>https://i0.hdslb.com/bfs/station_src/music_metadata/cc3f30de69ccb18840ef36cb031a3d82.jpg</t>
  </si>
  <si>
    <t>http://i0.hdslb.com/bfs/station_src/music_metadata/4abc16881d62e191e388f0c8b7701e97</t>
  </si>
  <si>
    <t>《戏说乾隆》电视剧台湾版主题曲</t>
  </si>
  <si>
    <t>蔡幸娟精粹集, Vol. 2</t>
  </si>
  <si>
    <t>MA406539493294774962</t>
  </si>
  <si>
    <t>让她降落</t>
  </si>
  <si>
    <t>何璐</t>
  </si>
  <si>
    <t>http://i0.hdslb.com/bfs/station_src/music_metadata/cac3cdb113beb631fc51a8ee80236746.jpg</t>
  </si>
  <si>
    <t>http://i0.hdslb.com/bfs/station_src/music_metadata/61a0ea9f4aae0b0d39b3cda25e077499</t>
  </si>
  <si>
    <t>MA409388531429944260</t>
  </si>
  <si>
    <t>想你就写信</t>
  </si>
  <si>
    <t>浪花兄弟</t>
  </si>
  <si>
    <t>https://i0.hdslb.com/bfs/station_src/music_metadata/c494254cb10689e9150cd2c3c37e4f19.jpg</t>
  </si>
  <si>
    <t>copyright-crawler/music/task-lyric/632888ea0d3b01572d56840a.txt</t>
  </si>
  <si>
    <t>MA406621618001975986</t>
  </si>
  <si>
    <t>上海一九四三</t>
  </si>
  <si>
    <t>https://i0.hdslb.com/bfs/station_src/music_metadata/00515c7749037eb5e54b1b53955bc7ff.jpg</t>
  </si>
  <si>
    <t>http://i0.hdslb.com/bfs/station_src/music_metadata/ff8a043954c6ca13adc9e5f1c94ecd23</t>
  </si>
  <si>
    <t>MA450141458675032865</t>
  </si>
  <si>
    <t>下雨的夜晚</t>
  </si>
  <si>
    <t>https://i0.hdslb.com/bfs/station_src/music_metadata/515892bd2a4d344caf93fec714c813be.jpg</t>
  </si>
  <si>
    <t>冬 未了</t>
  </si>
  <si>
    <t>MA400017280479538379</t>
  </si>
  <si>
    <t>开不了口</t>
  </si>
  <si>
    <t>http://i0.hdslb.com/bfs/station_src/music_metadata/d0f745972711cd41b07e10e96dd6512a.jpg</t>
  </si>
  <si>
    <t>http://i0.hdslb.com/bfs/station_src/music_metadata/9e21bb6bd3e9e6c6a099ea6fe790a7e4</t>
  </si>
  <si>
    <t>MA406539337132448434</t>
  </si>
  <si>
    <t>桃花诺</t>
  </si>
  <si>
    <t>G.E.M.邓紫棋</t>
  </si>
  <si>
    <t>https://i0.hdslb.com/bfs/station_src/music_metadata/6bae981f8da9ae3dbca588bcb85bcd39.jpg</t>
  </si>
  <si>
    <t>http://i0.hdslb.com/bfs/station_src/music_metadata/6b3b9bf58de18a94decf4fedf7355d72</t>
  </si>
  <si>
    <t>《上古情歌》电视剧片尾曲</t>
  </si>
  <si>
    <t>上古情歌 电视剧原声带</t>
  </si>
  <si>
    <t>音乐榜最高NO.12</t>
  </si>
  <si>
    <t>MA429805245959274798</t>
  </si>
  <si>
    <t>离不开你</t>
  </si>
  <si>
    <t>刘悦</t>
  </si>
  <si>
    <t>https://i0.hdslb.com/bfs/station_src/music_metadata/6dcb19366718620471fe6d829ca33dd9.jpg</t>
  </si>
  <si>
    <t>https://i0.hdslb.com/bfs/station_src/music_metadata/828120bc5713fab07615a4083c764464.txt</t>
  </si>
  <si>
    <t>情歌难唱</t>
  </si>
  <si>
    <t>MA406539366257695410</t>
  </si>
  <si>
    <t>锦鲤抄</t>
  </si>
  <si>
    <t>银临/云の泣</t>
  </si>
  <si>
    <t>http://i0.hdslb.com/bfs/station_src/music_metadata/4afbefd3c04f63214361dc43c99c9986.jpg</t>
  </si>
  <si>
    <t>http://i0.hdslb.com/bfs/station_src/music_metadata/5a614dd394085de19715027062d2c8a2</t>
  </si>
  <si>
    <t>MA399852083857101508</t>
  </si>
  <si>
    <t>https://i0.hdslb.com/bfs/station_src/music_metadata/cc542b9d467cfc48aecb420fa38f29a5.jpg</t>
  </si>
  <si>
    <t>MA456130956076562508</t>
  </si>
  <si>
    <t>炫境</t>
  </si>
  <si>
    <t>https://i0.hdslb.com/bfs/station_src/music_metadata/bb472fb5bb963e3196367a80a378cb42.jpg</t>
  </si>
  <si>
    <t>https://i0.hdslb.com/bfs/station_src/music_metadata/d43ca0170afc09df9cd4618d3854ebce.txt</t>
  </si>
  <si>
    <t>常思思作品集</t>
  </si>
  <si>
    <t>MA406539472776239794</t>
  </si>
  <si>
    <t>左手指月</t>
  </si>
  <si>
    <t>萨顶顶</t>
  </si>
  <si>
    <t>http://i0.hdslb.com/bfs/station_src/music_metadata/fe8994db7a3105222f29993a7e9a6d6e.jpg</t>
  </si>
  <si>
    <t>http://i0.hdslb.com/bfs/station_src/music_metadata/78e1f08a3ddf3473daad2f7995590a90</t>
  </si>
  <si>
    <t>《香蜜沉沉烬如霜》电视剧片尾曲</t>
  </si>
  <si>
    <t>香蜜沉沉烬如霜 电视原声音乐专辑</t>
  </si>
  <si>
    <t>音乐榜最高NO.16</t>
  </si>
  <si>
    <t>MA399852110046335684</t>
  </si>
  <si>
    <t>九儿</t>
  </si>
  <si>
    <t>http://i0.hdslb.com/bfs/station_src/music_metadata/4b1235563c7c1ddf528cbdad350afb65.jpg</t>
  </si>
  <si>
    <t>http://i0.hdslb.com/bfs/station_src/music_metadata/4de1f7be8adf439f12c97751ef8d1383</t>
  </si>
  <si>
    <t>《红高粱》电视剧主题曲</t>
  </si>
  <si>
    <t>红高粱 电视剧原声带</t>
  </si>
  <si>
    <t>MA456102322754336844</t>
  </si>
  <si>
    <t>秋水长天</t>
  </si>
  <si>
    <t>https://i0.hdslb.com/bfs/station_src/music_metadata/d520e489abaf715fb24ccc60f72dc6e4.jpg</t>
  </si>
  <si>
    <t>https://i0.hdslb.com/bfs/station_src/music_metadata/56ca13041f9dd35abfd03e02fe5cf59f.txt</t>
  </si>
  <si>
    <t>常思思精选歌曲集</t>
  </si>
  <si>
    <t>MA435494206161554889</t>
  </si>
  <si>
    <t>李荣浩</t>
  </si>
  <si>
    <t>https://i0.hdslb.com/bfs/station_src/music_metadata/9ca5c7e277da8afb806c6e32ced62a88.jpg</t>
  </si>
  <si>
    <t>copyright-crawler/music/lyric/86e5dbf825b8cc46f04240eae52987ff/86e5dbf825b8cc46f04240eae52987ff.txt</t>
  </si>
  <si>
    <t>MA399852085065061060</t>
  </si>
  <si>
    <t>青花瓷</t>
  </si>
  <si>
    <t>https://i0.hdslb.com/bfs/station_src/music_metadata/41873834221338c2a2ad6bf64a0d923b.jpg</t>
  </si>
  <si>
    <t>MA406539320657198582</t>
  </si>
  <si>
    <t>一样的月光</t>
  </si>
  <si>
    <t>https://i0.hdslb.com/bfs/station_src/music_metadata/bb47ed0b6da92d07d9492a6e3982d7f7.jpg</t>
  </si>
  <si>
    <t>http://i0.hdslb.com/bfs/station_src/music_metadata/df58f5b1cd8da2f562b22b6c913ab846</t>
  </si>
  <si>
    <t>MA456110266011138124</t>
  </si>
  <si>
    <t>https://i0.hdslb.com/bfs/station_src/music_metadata/60c89f4499b531519e5e09314ab2d071.jpg</t>
  </si>
  <si>
    <t>https://i0.hdslb.com/bfs/station_src/music_metadata/7b2478f5aaed1401ed3c955d57aa81e8.txt</t>
  </si>
  <si>
    <t>MA400017192046832843</t>
  </si>
  <si>
    <t>发如雪</t>
  </si>
  <si>
    <t>https://i0.hdslb.com/bfs/station_src/music_metadata/4f19787695e451c7ec6f082affe19c57.jpg</t>
  </si>
  <si>
    <t>http://i0.hdslb.com/bfs/station_src/music_metadata/e48762ee9e6f3b4048f790c705f187cd</t>
  </si>
  <si>
    <t>MA406539224959982258</t>
  </si>
  <si>
    <t>大眠</t>
  </si>
  <si>
    <t>王心凌</t>
  </si>
  <si>
    <t>https://i0.hdslb.com/bfs/station_src/music_metadata/af5d28f2df8d5c17a196bebcb46c7319.jpg</t>
  </si>
  <si>
    <t>http://i0.hdslb.com/bfs/station_src/music_metadata/f1798c26021de0c1e651d2f042b7cf9b</t>
  </si>
  <si>
    <t>CYNDILOVES2SING 爱。心凌</t>
  </si>
  <si>
    <t>MA399852040890651332</t>
  </si>
  <si>
    <t>牵丝戏</t>
  </si>
  <si>
    <t>Aki阿杰,银临</t>
  </si>
  <si>
    <t>http://i0.hdslb.com/bfs/station_src/music_metadata/72595c526fcf49f274790d64d054c75b.jpg</t>
  </si>
  <si>
    <t>http://i0.hdslb.com/bfs/station_src/music_metadata/14006e77b0b81667b2717d8b056c1ce1</t>
  </si>
  <si>
    <t>MA421977940926935171</t>
  </si>
  <si>
    <t>星河叹</t>
  </si>
  <si>
    <t>https://i0.hdslb.com/bfs/station_src/music_metadata/f3e960ffbb9dd3ffa3c10d67471b7cde.jpg</t>
  </si>
  <si>
    <t>http://i0.hdslb.com/bfs/station_src/music_metadata/6360e90a7e0e9e0a5a8afded3b15d213</t>
  </si>
  <si>
    <t>《星汉灿烂》电视剧女主人物曲</t>
  </si>
  <si>
    <t>MA456195104131037260</t>
  </si>
  <si>
    <t>愿望</t>
  </si>
  <si>
    <t>https://i0.hdslb.com/bfs/station_src/music_metadata/b26472ef388f52098eeaa5b929c63c0e.jpg</t>
  </si>
  <si>
    <t>https://i0.hdslb.com/bfs/station_src/music_metadata/13ce2c549e261cc0452296fc6dad7bf8.txt</t>
  </si>
  <si>
    <t>音乐密码</t>
  </si>
  <si>
    <t>MA400017115475619019</t>
  </si>
  <si>
    <t>轨迹</t>
  </si>
  <si>
    <t>https://i0.hdslb.com/bfs/station_src/music_metadata/439418765b962c30a2db33196128f32b.jpg</t>
  </si>
  <si>
    <t>copyright-crawler/music/task-lyric/6267f46a504b4c0665fd7bfd.txt</t>
  </si>
  <si>
    <t>寻找周杰伦</t>
  </si>
  <si>
    <t>MA444781572189604536</t>
  </si>
  <si>
    <t>再见深海</t>
  </si>
  <si>
    <t>唐汉霄</t>
  </si>
  <si>
    <t>http://i0.hdslb.com/bfs/station_src/music_metadata/125614d52d7873a21f10529ee87cc3dd.jpg</t>
  </si>
  <si>
    <t>再见深海(微亮的瞬间)</t>
  </si>
  <si>
    <t>MA413044122597757511</t>
  </si>
  <si>
    <t>小城谣</t>
  </si>
  <si>
    <t>胡碧乔</t>
  </si>
  <si>
    <t>http://i0.hdslb.com/bfs/station_src/music_metadata/0827363f1b1b8f54bad2bfe6114098fe.jpg</t>
  </si>
  <si>
    <t>MA400017083296918731</t>
  </si>
  <si>
    <t>暗号</t>
  </si>
  <si>
    <t>https://i0.hdslb.com/bfs/station_src/music_metadata/836d7078552d6143b4a27f54a2a62598.jpg</t>
  </si>
  <si>
    <t>八度空间</t>
  </si>
  <si>
    <t>MA406552725870880228</t>
  </si>
  <si>
    <t>月亮代表我的心</t>
  </si>
  <si>
    <t>http://i0.hdslb.com/bfs/station_src/music_metadata/bd74866c15196fe2e0221c852cd1f687.jpg</t>
  </si>
  <si>
    <t>http://i0.hdslb.com/bfs/station_src/music_metadata/47c5859ed38ee442afeffa8c3c2a6afb</t>
  </si>
  <si>
    <t>MA406552700151417200</t>
  </si>
  <si>
    <t>http://i0.hdslb.com/bfs/station_src/music_metadata/bc1d86b5ee7157af18f4695ed5ae5ebd.jpg</t>
  </si>
  <si>
    <t>http://i0.hdslb.com/bfs/station_src/music_metadata/88b56d438a01f679754b40f053092495</t>
  </si>
  <si>
    <t>「飞彩镌流年」游戏原声EP专辑</t>
  </si>
  <si>
    <t>MA456148520496314444</t>
  </si>
  <si>
    <t>蝶恋花</t>
  </si>
  <si>
    <t>https://i0.hdslb.com/bfs/station_src/music_metadata/1f79684c02756b9086386bb0054e5df4.jpg</t>
  </si>
  <si>
    <t>https://i0.hdslb.com/bfs/station_src/music_metadata/4f297640d47e7f96e96f64cfd258bb5f.txt</t>
  </si>
  <si>
    <t>MA455948930849483455</t>
  </si>
  <si>
    <t>敕勒歌</t>
  </si>
  <si>
    <t>谭维维</t>
  </si>
  <si>
    <t>https://i0.hdslb.com/bfs/station_src/music_metadata/4633e67685206de0672cc528709e3e2f.jpg</t>
  </si>
  <si>
    <t>https://i0.hdslb.com/bfs/station_src/music_metadata/dff7d3073b6cc36766c38942f1f4cf16.txt</t>
  </si>
  <si>
    <t>经典咏流传第二季 第六期</t>
  </si>
  <si>
    <t>MA457117260973100862</t>
  </si>
  <si>
    <t>思念</t>
  </si>
  <si>
    <t>吴碧霞</t>
  </si>
  <si>
    <t>https://i0.hdslb.com/bfs/station_src/music_metadata/627cc7a29f5c50e0659be873604b57f2.jpg</t>
  </si>
  <si>
    <t>https://i0.hdslb.com/bfs/station_src/music_metadata/f5fbf0c9be680b365439ed692aae93dc.txt</t>
  </si>
  <si>
    <t>亚洲巡演北京独唱音乐会中国作品专场</t>
  </si>
  <si>
    <t>MA400017319805332683</t>
  </si>
  <si>
    <t>半岛铁盒</t>
  </si>
  <si>
    <t>https://i0.hdslb.com/bfs/station_src/music_metadata/969db89b7df27aa5580e7e0a53957368.jpg</t>
  </si>
  <si>
    <t>MA419368456605990356</t>
  </si>
  <si>
    <t>在树上唱歌</t>
  </si>
  <si>
    <t>郭静</t>
  </si>
  <si>
    <t>https://i0.hdslb.com/bfs/station_src/music_metadata/8a0a276d96ce39afb010437bbeb8613c.jpg</t>
  </si>
  <si>
    <t>http://i0.hdslb.com/bfs/station_src/music_metadata/24a1cdae4802b62c3ae1b38b0958ab51</t>
  </si>
  <si>
    <t>MA406621734637151716</t>
  </si>
  <si>
    <t>烟火</t>
  </si>
  <si>
    <t>吴奇隆</t>
  </si>
  <si>
    <t>https://i0.hdslb.com/bfs/station_src/music_metadata/95c35061d785d539a7bbbca16d88238c.jpg</t>
  </si>
  <si>
    <t>http://i0.hdslb.com/bfs/station_src/music_metadata/7ad4bd4d867e08361276977fec9ca4b6</t>
  </si>
  <si>
    <t>追梦</t>
  </si>
  <si>
    <t>MA406537751031204208</t>
  </si>
  <si>
    <t>带我走</t>
  </si>
  <si>
    <t>杨丞琳,吴青峰</t>
  </si>
  <si>
    <t>http://i0.hdslb.com/bfs/station_src/music_metadata/2e11b5422ed3f3a27ffc1f5e38246a69.jpg</t>
  </si>
  <si>
    <t>https://i0.hdslb.com/bfs/station_src/music_metadata/b65990afa3b9671cd36f6915d8146ed7.txt</t>
  </si>
  <si>
    <t>半熟宣言</t>
  </si>
  <si>
    <t>MA432414448725022141</t>
  </si>
  <si>
    <t>MA435168751306935753</t>
  </si>
  <si>
    <t>小雨</t>
  </si>
  <si>
    <t>https://i0.hdslb.com/bfs/station_src/music_metadata/607346922702f1ba7302d87db0ecdbf1.jpg</t>
  </si>
  <si>
    <t>https://i0.hdslb.com/bfs/station_src/music_metadata/245fdd0b68a8f71caa554e8f05ea1b6c.txt</t>
  </si>
  <si>
    <t>MA407126337543778586</t>
  </si>
  <si>
    <t>心墙</t>
  </si>
  <si>
    <t>http://i0.hdslb.com/bfs/station_src/music_metadata/ae2d1d9e9624bd7a94d939adb321569b.jpg</t>
  </si>
  <si>
    <t>http://i0.hdslb.com/bfs/station_src/music_metadata/18702e32c3eb4e9c934de4b281e9f9cd</t>
  </si>
  <si>
    <t>MA409255556071614814</t>
  </si>
  <si>
    <t>如果云知道</t>
  </si>
  <si>
    <t>许茹芸</t>
  </si>
  <si>
    <t>http://i0.hdslb.com/bfs/station_src/music_metadata/9da38631e2dd6f94986ba234facf8fe4.jpg</t>
  </si>
  <si>
    <t>http://i0.hdslb.com/bfs/station_src/music_metadata/e8ddd3d5fe50c8872f21315e1a0b2309</t>
  </si>
  <si>
    <t>MA456018993409480859</t>
  </si>
  <si>
    <t>寻一个天荒地老的地方</t>
  </si>
  <si>
    <t>https://i0.hdslb.com/bfs/station_src/music_metadata/1baf91b2d2f204c468162a37d5dc6011.jpg</t>
  </si>
  <si>
    <t>https://i0.hdslb.com/bfs/station_src/music_metadata/e080f50db39ef189fa94151d5b77dc5d.txt</t>
  </si>
  <si>
    <t>2020中国好声音 第8期</t>
  </si>
  <si>
    <t>MA400017413808073931</t>
  </si>
  <si>
    <t>黑色幽默</t>
  </si>
  <si>
    <t>http://i0.hdslb.com/bfs/station_src/music_metadata/8b249713403b3d00ccd102426b9ebda9.jpg</t>
  </si>
  <si>
    <t>http://i0.hdslb.com/bfs/station_src/music_metadata/f8d85e0e293c6e2811bc4a179f6f1d41</t>
  </si>
  <si>
    <t>MA400017429528325323</t>
  </si>
  <si>
    <t>我落泪情绪零碎</t>
  </si>
  <si>
    <t>https://i0.hdslb.com/bfs/station_src/music_metadata/c090e975b37d51a19f23549ae9b7344d.jpg</t>
  </si>
  <si>
    <t>http://i0.hdslb.com/bfs/station_src/music_metadata/84edd7241faa035334b93a365b512d07</t>
  </si>
  <si>
    <t>跨时代</t>
  </si>
  <si>
    <t>MA400017096282483915</t>
  </si>
  <si>
    <t>千里之外</t>
  </si>
  <si>
    <t>周杰伦,费玉清</t>
  </si>
  <si>
    <t>https://i0.hdslb.com/bfs/station_src/music_metadata/93cc2943c40bbf6990bd9e0adeabafe2.jpg</t>
  </si>
  <si>
    <t>http://i0.hdslb.com/bfs/station_src/music_metadata/e8ad99f703c7b523f52b890a4f1946c1</t>
  </si>
  <si>
    <t>MA455958917571205275</t>
  </si>
  <si>
    <t>被雨伤透</t>
  </si>
  <si>
    <t>吴青峰,魏如萱</t>
  </si>
  <si>
    <t>https://i0.hdslb.com/bfs/station_src/music_metadata/d22f3e3598e98857066bc1a174a2315a.jpg</t>
  </si>
  <si>
    <t>https://i0.hdslb.com/bfs/station_src/music_metadata/d836815445f434a39f9a908e968c9410.txt</t>
  </si>
  <si>
    <t>几米向左走.向右走 音乐剧配乐原声带</t>
  </si>
  <si>
    <t>MA414295047945623339</t>
  </si>
  <si>
    <t>如果有来生</t>
  </si>
  <si>
    <t>https://i0.hdslb.com/bfs/station_src/music_metadata/e2cfe88bc057d9c01d2360f94c6d6006.jpg</t>
  </si>
  <si>
    <t>https://i0.hdslb.com/bfs/station_src/music_metadata/accd124b120d284323dbfb2e1955f047.txt</t>
  </si>
  <si>
    <t>谭某某</t>
  </si>
  <si>
    <t>MA399852071693619908</t>
  </si>
  <si>
    <t>黑色毛衣</t>
  </si>
  <si>
    <t>https://i0.hdslb.com/bfs/station_src/music_metadata/d177abbc80cfe554a91bcd9e69d8da51.jpg</t>
  </si>
  <si>
    <t>http://i0.hdslb.com/bfs/station_src/music_metadata/87ffce3db53d0d821f19079333c6109c</t>
  </si>
  <si>
    <t>MA406539571526912368</t>
  </si>
  <si>
    <t>退后</t>
  </si>
  <si>
    <t>https://i0.hdslb.com/bfs/station_src/music_metadata/f15e73f798d4a0f5f331d77b333ef1a8.jpg</t>
  </si>
  <si>
    <t>copyright-crawler/music/task-lyric/650e62defad724c0d01134a0.txt</t>
  </si>
  <si>
    <t>MA456239528168963351</t>
  </si>
  <si>
    <t>月满西楼</t>
  </si>
  <si>
    <t>童丽,王浩</t>
  </si>
  <si>
    <t>https://i0.hdslb.com/bfs/station_src/music_metadata/b3c4ca6aba030b7a627f3f27e37dc765.jpg</t>
  </si>
  <si>
    <t>https://i0.hdslb.com/bfs/station_src/music_metadata/5c1fd8bdc64b18cfc2ffacbb12df1f4a.txt</t>
  </si>
  <si>
    <t>对着唱6</t>
  </si>
  <si>
    <t>MA400017093531020491</t>
  </si>
  <si>
    <t>兰亭序</t>
  </si>
  <si>
    <t>https://i0.hdslb.com/bfs/station_src/music_metadata/a03f7d174c3b01e4c6b3907a115c5434.jpg</t>
  </si>
  <si>
    <t>魔杰座</t>
  </si>
  <si>
    <t>音乐榜最高NO.4</t>
  </si>
  <si>
    <t>MA406539203166378674</t>
  </si>
  <si>
    <t>梦一场</t>
  </si>
  <si>
    <t>那英</t>
  </si>
  <si>
    <t>http://i0.hdslb.com/bfs/station_src/music_metadata/773e1f17befd2548f3caea5b4a15cca5.jpg</t>
  </si>
  <si>
    <t>http://i0.hdslb.com/bfs/station_src/music_metadata/9d34117655bd2156a1e59015320fba7b</t>
  </si>
  <si>
    <t>《新闻小姐》电视剧插曲|《春娇救志明》电影插曲</t>
  </si>
  <si>
    <t>干脆</t>
  </si>
  <si>
    <t>MA406621545390155236</t>
  </si>
  <si>
    <t>分裂</t>
  </si>
  <si>
    <t>https://i0.hdslb.com/bfs/station_src/music_metadata/e0c93dd692e11b8a05a773b5a91db658.jpg</t>
  </si>
  <si>
    <t>copyright-crawler/music/task-lyric/62344913670859274c1e4f20.txt</t>
  </si>
  <si>
    <t>MA400017088514632907</t>
  </si>
  <si>
    <t>断了的弦</t>
  </si>
  <si>
    <t>https://i0.hdslb.com/bfs/station_src/music_metadata/ebc5b74fc87de3b14aae385fe242095a.jpg</t>
  </si>
  <si>
    <t>《寻找周杰伦》电影插曲</t>
  </si>
  <si>
    <t>MA399852074898068164</t>
  </si>
  <si>
    <t>花海</t>
  </si>
  <si>
    <t>http://i0.hdslb.com/bfs/station_src/music_metadata/d1259ab52f391cf8b4eff157118ac592.jpg</t>
  </si>
  <si>
    <t>http://i0.hdslb.com/bfs/station_src/music_metadata/9d91aaabc90b6aafb617648a5dce5812</t>
  </si>
  <si>
    <t>MA400017206190025931</t>
  </si>
  <si>
    <t>雨下一整晚</t>
  </si>
  <si>
    <t>https://i0.hdslb.com/bfs/station_src/music_metadata/740bcd3058e7aa98df27f1f0a32b0f4b.jpg</t>
  </si>
  <si>
    <t>copyright-crawler/music/task-lyric/654daafbfad724c0d03b496f.txt</t>
  </si>
  <si>
    <t>MA457168571991121351</t>
  </si>
  <si>
    <t>溺水金鱼</t>
  </si>
  <si>
    <t>https://i0.hdslb.com/bfs/station_src/music_metadata/3a12093727e659474758b68e5652f564.jpg</t>
  </si>
  <si>
    <t>https://i0.hdslb.com/bfs/station_src/music_metadata/ac90a688d8fe008664a9c256ce5f21b2.txt</t>
  </si>
  <si>
    <t>溺水金鱼（Cover：漆柚）</t>
  </si>
  <si>
    <t>MA441773419659311678</t>
  </si>
  <si>
    <t>洛天依,西门振</t>
  </si>
  <si>
    <t>https://i0.hdslb.com/bfs/station_src/music_metadata/346f3d0245c598c7be9afcb1e6a727b4.jpg</t>
  </si>
  <si>
    <t>【2022虚拟歌手贺岁纪】布虎记</t>
  </si>
  <si>
    <t>MA419079519576525617</t>
  </si>
  <si>
    <t>少年不凡</t>
  </si>
  <si>
    <t>刘美麟</t>
  </si>
  <si>
    <t>https://i0.hdslb.com/bfs/station_src/music_metadata/4f95d266f510854cbf419ca1f4e99a33.jpg</t>
  </si>
  <si>
    <t>https://i0.hdslb.com/bfs/station_src/music_metadata/510fa3ca64bddc52f89c218209dc89b5.txt</t>
  </si>
  <si>
    <t>凡人修仙传 第一季  动画剧原声带</t>
  </si>
  <si>
    <t>MA406552831215025654</t>
  </si>
  <si>
    <t>永不失联的爱</t>
  </si>
  <si>
    <t>Eric周兴哲</t>
  </si>
  <si>
    <t>http://i0.hdslb.com/bfs/station_src/music_metadata/66d68e12c7bf06dfcd345e31ea45ac05.jpg</t>
  </si>
  <si>
    <t>http://i0.hdslb.com/bfs/station_src/music_metadata/4a6a6c9be708e96306f4fbc010bf2a12</t>
  </si>
  <si>
    <t>如果雨之后</t>
  </si>
  <si>
    <t>MA456000006181141933</t>
  </si>
  <si>
    <t>栅栏间隙偷窥你</t>
  </si>
  <si>
    <t>https://i0.hdslb.com/bfs/station_src/music_metadata/02695fbc3e82dda3aca1c35dd64b7823.jpg</t>
  </si>
  <si>
    <t>https://i0.hdslb.com/bfs/station_src/music_metadata/a3bfe1880135f94b8d1004bed38b637f.txt</t>
  </si>
  <si>
    <t>MUSE</t>
  </si>
  <si>
    <t>MA399852101976494788</t>
  </si>
  <si>
    <t>最长的电影</t>
  </si>
  <si>
    <t>https://i0.hdslb.com/bfs/station_src/music_metadata/7eaa1a96d6dc901ac8d38b532ba49f47.jpg</t>
  </si>
  <si>
    <t>http://i0.hdslb.com/bfs/station_src/music_metadata/62e80a61723a09aff7da0f2c4f4612c9</t>
  </si>
  <si>
    <t>MA433718908692753541</t>
  </si>
  <si>
    <t>原谅</t>
  </si>
  <si>
    <t>张玉华</t>
  </si>
  <si>
    <t>https://i0.hdslb.com/bfs/station_src/music_metadata/0c325dbf0a194d5e4405e319d529c6a7.jpg</t>
  </si>
  <si>
    <t>https://i0.hdslb.com/bfs/station_src/music_metadata/acb7dde5c1a35b828aaa3369b3a690da.txt</t>
  </si>
  <si>
    <t>张玉华同名专辑</t>
  </si>
  <si>
    <t>MA456039883962629549</t>
  </si>
  <si>
    <t>落在胸口的星星</t>
  </si>
  <si>
    <t>https://i0.hdslb.com/bfs/station_src/music_metadata/50c77e28db4c8227c00d9a071a65db1e.jpg</t>
  </si>
  <si>
    <t>https://i0.hdslb.com/bfs/station_src/music_metadata/709099508f630786ca5d062cce060acd.txt</t>
  </si>
  <si>
    <t>《美容针》电影主题曲</t>
  </si>
  <si>
    <t>MA413135358692221874</t>
  </si>
  <si>
    <t>彩云之南</t>
  </si>
  <si>
    <t>徐千雅</t>
  </si>
  <si>
    <t>https://i0.hdslb.com/bfs/station_src/music_metadata/ec25a3c6f461a6f39992766a69b70f38.jpg</t>
  </si>
  <si>
    <t>https://i0.hdslb.com/bfs/station_src/music_metadata/dd25918a2979b4b5717af8832b7f9199.txt</t>
  </si>
  <si>
    <t>MA406539212595174066</t>
  </si>
  <si>
    <t>你听得到</t>
  </si>
  <si>
    <t>https://i0.hdslb.com/bfs/station_src/music_metadata/29e28424e7d2a4c37f7b84cd0b8b18ba.jpg</t>
  </si>
  <si>
    <t>copyright-crawler/music/task-lyric/62682789504b4c0665226751.txt</t>
  </si>
  <si>
    <t>MA420818011256019700</t>
  </si>
  <si>
    <t>一生等你</t>
  </si>
  <si>
    <t>http://i0.hdslb.com/bfs/station_src/music_metadata/6b290dc35e11386d12c150c4f46c485e.jpg</t>
  </si>
  <si>
    <t>《媚者无疆》电视剧主题曲</t>
  </si>
  <si>
    <t>媚者无疆 电视剧原声带</t>
  </si>
  <si>
    <t>MA406539348540925412</t>
  </si>
  <si>
    <t>那些你很冒险的梦</t>
  </si>
  <si>
    <t>https://i0.hdslb.com/bfs/station_src/music_metadata/06f970ae00e00f724e3ce8b49b192dcc.jpg</t>
  </si>
  <si>
    <t>http://i0.hdslb.com/bfs/station_src/music_metadata/7d9fd351995e1af5aa9ec35eed740caa</t>
  </si>
  <si>
    <t>学不会</t>
  </si>
  <si>
    <t>MA457090256517259859</t>
  </si>
  <si>
    <t>Sebben crudele mi fai languir</t>
  </si>
  <si>
    <t>https://i0.hdslb.com/bfs/station_src/music_metadata/3d14115a623e152ac235df9385975cf6.jpg</t>
  </si>
  <si>
    <t>https://i0.hdslb.com/bfs/station_src/music_metadata/dcaa6f531c9b536f0e9e4b8e3a508a35.txt</t>
  </si>
  <si>
    <t>MA456169340652271692</t>
  </si>
  <si>
    <t>私を泣かせて下さい</t>
  </si>
  <si>
    <t>Sarah Brightman</t>
  </si>
  <si>
    <t>https://i0.hdslb.com/bfs/station_src/music_metadata/ccbb3991f525f2ad4a3c655fd573023a.jpg</t>
  </si>
  <si>
    <t>https://i0.hdslb.com/bfs/station_src/music_metadata/160eedabe69037f7e7f9360e0959914d.txt</t>
  </si>
  <si>
    <t>The Most Relaxing Feel vol.3</t>
  </si>
  <si>
    <t>MA456129905101389759</t>
  </si>
  <si>
    <t>Laschia ch'io pianga</t>
  </si>
  <si>
    <t>Veronica Antonelli</t>
  </si>
  <si>
    <t>https://i0.hdslb.com/bfs/station_src/music_metadata/754a4d72e7ac59aa183c7eeb7b01a4dc.jpg</t>
  </si>
  <si>
    <t>Laschia ch'io pianga HAENDEL</t>
  </si>
  <si>
    <t>The Goddess Touch</t>
  </si>
  <si>
    <t>MA456104009921481315</t>
  </si>
  <si>
    <t>Disc 1 - Nina (Voice)</t>
  </si>
  <si>
    <t>Richard Tucker,The Columbia Chamber Ensemble,John Wustman,Giovanni Battista Pergolesi</t>
  </si>
  <si>
    <t>https://i0.hdslb.com/bfs/station_src/music_metadata/5825157776a6c8ca6744347e5ab1ac13.jpg</t>
  </si>
  <si>
    <t>The Soul of Italy</t>
  </si>
  <si>
    <t>MA408237275680372001</t>
  </si>
  <si>
    <t>掉了</t>
  </si>
  <si>
    <t>http://i0.hdslb.com/bfs/station_src/music_metadata/3544c1f8bb970ffeab4712860380ac4d.jpg</t>
  </si>
  <si>
    <t>http://i0.hdslb.com/bfs/station_src/music_metadata/bf1138545e7607df7c3d903d052bfd73</t>
  </si>
  <si>
    <t>阿密特意识专辑</t>
  </si>
  <si>
    <t>MA406552699966864886</t>
  </si>
  <si>
    <t>我最亲爱的</t>
  </si>
  <si>
    <t>http://i0.hdslb.com/bfs/station_src/music_metadata/2e2cf0bad9154180e351c2ff64dba3b0.jpg</t>
  </si>
  <si>
    <t>http://i0.hdslb.com/bfs/station_src/music_metadata/0b46183111fae02b7f7533f3a00ae16b</t>
  </si>
  <si>
    <t>你在看我吗</t>
  </si>
  <si>
    <t>MA399852065469272772</t>
  </si>
  <si>
    <t>稻香</t>
  </si>
  <si>
    <t>https://i0.hdslb.com/bfs/station_src/music_metadata/957f8ba4e202e519f64cdd61268ee24d.jpg</t>
  </si>
  <si>
    <t>MA400016047018618059</t>
  </si>
  <si>
    <t>Baby</t>
  </si>
  <si>
    <t>Justin Bieber,Ludacris</t>
  </si>
  <si>
    <t>https://i0.hdslb.com/bfs/station_src/music_metadata/1d8aa79b464086c2dc4d58a13f5f3686.jpg</t>
  </si>
  <si>
    <t>http://i0.hdslb.com/bfs/station_src/music_metadata/b646989ee9e81eabb36866dd8cefa769</t>
  </si>
  <si>
    <t>《QQ飞车手游》游戏背景歌曲</t>
  </si>
  <si>
    <t>My World 2.0</t>
  </si>
  <si>
    <t>MA457179344691814008</t>
  </si>
  <si>
    <t>让我们荡起双桨</t>
  </si>
  <si>
    <t>董文华</t>
  </si>
  <si>
    <t>https://i0.hdslb.com/bfs/station_src/music_metadata/9a1ec279408d56617f21043f749a60a5.jpg</t>
  </si>
  <si>
    <t>https://i0.hdslb.com/bfs/station_src/music_metadata/34156fbcd7e4895d59ad7092d1223840.txt</t>
  </si>
  <si>
    <t>演唱歌曲精选200首</t>
  </si>
  <si>
    <t>MA424463794463347802</t>
  </si>
  <si>
    <t>霞光</t>
  </si>
  <si>
    <t>曲锦楠</t>
  </si>
  <si>
    <t>https://i0.hdslb.com/bfs/station_src/music_metadata/a077572f8ee7b3c83f38ffcf4a94acb4.jpg</t>
  </si>
  <si>
    <t>http://i0.hdslb.com/bfs/station_src/music_metadata/6b6d83bcd7a80305c8bae4ed3500a2af</t>
  </si>
  <si>
    <t>动画片《精灵世纪》片尾曲</t>
  </si>
  <si>
    <t>MA406552835442884086</t>
  </si>
  <si>
    <t>百年孤寂</t>
  </si>
  <si>
    <t>https://i0.hdslb.com/bfs/station_src/music_metadata/20338edb52746e20533f9bd430ce08dd.jpg</t>
  </si>
  <si>
    <t>http://i0.hdslb.com/bfs/station_src/music_metadata/6bcf1ebce64f503bdbd10e260085f9c8</t>
  </si>
  <si>
    <t>只爱陌生人</t>
  </si>
  <si>
    <t>MA406552737145175542</t>
  </si>
  <si>
    <t>矜持</t>
  </si>
  <si>
    <t>http://i0.hdslb.com/bfs/station_src/music_metadata/c70e03f17efac597c1989535f2f3f06f.jpg</t>
  </si>
  <si>
    <t>http://i0.hdslb.com/bfs/station_src/music_metadata/c6243f336e8318eeb79a624c587d829c</t>
  </si>
  <si>
    <t>MA455987487173564571</t>
  </si>
  <si>
    <t>好一朵美丽的茉莉花</t>
  </si>
  <si>
    <t>姚璎格</t>
  </si>
  <si>
    <t>https://i0.hdslb.com/bfs/station_src/music_metadata/2424ae1b72eccbd82f4a33aee799e016.jpg</t>
  </si>
  <si>
    <t>https://i0.hdslb.com/bfs/station_src/music_metadata/345c48736e6a6066bd6da17f3dae6532.txt</t>
  </si>
  <si>
    <t>花好月圆</t>
  </si>
  <si>
    <t>MA435603375405435110</t>
  </si>
  <si>
    <t>真实</t>
  </si>
  <si>
    <t>https://i0.hdslb.com/bfs/station_src/music_metadata/9f4eabc9a46c0571d7f7f67bb2ebab60.jpg</t>
  </si>
  <si>
    <t>https://i0.hdslb.com/bfs/station_src/music_metadata/bfc8e2894c10a612c011fcc912b0f45d.txt</t>
  </si>
  <si>
    <t>MA428244274472044120</t>
  </si>
  <si>
    <t>喜欢寂寞</t>
  </si>
  <si>
    <t>https://i0.hdslb.com/bfs/station_src/music_metadata/d121c3715408b7ed00de8d570a7c5b94.jpg</t>
  </si>
  <si>
    <t>https://i0.hdslb.com/bfs/station_src/music_metadata/7751ffa790ea57dc1e90f19496ce8669.txt</t>
  </si>
  <si>
    <t>2011 Hit Fm 年度百首单曲</t>
  </si>
  <si>
    <t>MA406619743567494646</t>
  </si>
  <si>
    <t>说爱你</t>
  </si>
  <si>
    <t>https://i0.hdslb.com/bfs/station_src/music_metadata/3621fc3954403bb184efcfbafd21b502.jpg</t>
  </si>
  <si>
    <t>http://i0.hdslb.com/bfs/station_src/music_metadata/bb178c4b292c14c83d2bc0c1bd004596</t>
  </si>
  <si>
    <t>《空中拜金女》电影主题曲</t>
  </si>
  <si>
    <t>绝版公主蔡依林 Jolin梦绮地精选</t>
  </si>
  <si>
    <t>MA406552858930986486</t>
  </si>
  <si>
    <t>玫瑰少年</t>
  </si>
  <si>
    <t>https://i0.hdslb.com/bfs/station_src/music_metadata/e26fb9f9e30abbb3708ac3bc172da011.jpg</t>
  </si>
  <si>
    <t>http://i0.hdslb.com/bfs/station_src/music_metadata/2c4a40c50a0c450e80f1fa513e54a7f2</t>
  </si>
  <si>
    <t>UGLY BEAUTY</t>
  </si>
  <si>
    <t>MA409689866352208836</t>
  </si>
  <si>
    <t>倒带</t>
  </si>
  <si>
    <t>https://i0.hdslb.com/bfs/station_src/music_metadata/b0737430027f7577d06aded5efccb00c.jpg</t>
  </si>
  <si>
    <t>https://i0.hdslb.com/bfs/station_src/music_metadata/b1d98419a305a33dbbce33238967f935.txt</t>
  </si>
  <si>
    <t>《求婚事务所》电视剧插曲</t>
  </si>
  <si>
    <t>城堡</t>
  </si>
  <si>
    <t>MA406552697299311282</t>
  </si>
  <si>
    <t>给我一个理由忘记</t>
  </si>
  <si>
    <t>http://i0.hdslb.com/bfs/station_src/music_metadata/bd76bf11fc6f5c6df48b11ced3d8af44.jpg</t>
  </si>
  <si>
    <t>http://i0.hdslb.com/bfs/station_src/music_metadata/36b0dd2ce9b34c735a4eceb168e31c57</t>
  </si>
  <si>
    <t>寂寞不痛</t>
  </si>
  <si>
    <t>MA456140219129837644</t>
  </si>
  <si>
    <t>黄丽玲</t>
  </si>
  <si>
    <t>https://i0.hdslb.com/bfs/station_src/music_metadata/48397dbb63cd5969dc63b01aa1d0d8a5.jpg</t>
  </si>
  <si>
    <t>https://i0.hdslb.com/bfs/station_src/music_metadata/bd60b926118ad39fd6e624910ce0f5b5.txt</t>
  </si>
  <si>
    <t>我们会更好的</t>
  </si>
  <si>
    <t>MA456034905323788443</t>
  </si>
  <si>
    <t>记念</t>
  </si>
  <si>
    <t>雷雨心</t>
  </si>
  <si>
    <t>https://i0.hdslb.com/bfs/station_src/music_metadata/c08c2683a436e2bfa6a0d5ee7d5c2d0f.jpg</t>
  </si>
  <si>
    <t>https://i0.hdslb.com/bfs/station_src/music_metadata/d2d618c34e10f2e1fef9760cbfebb47c.txt</t>
  </si>
  <si>
    <t>《玻璃之脑》电影中文版主题曲</t>
  </si>
  <si>
    <t>MA406538233577490800</t>
  </si>
  <si>
    <t>我们的歌</t>
  </si>
  <si>
    <t>https://i0.hdslb.com/bfs/station_src/music_metadata/b2f17a47f4397b15cfdd64c4260f8c97.jpg</t>
  </si>
  <si>
    <t>音乐榜最高NO.20</t>
  </si>
  <si>
    <t>MA406539137902984694</t>
  </si>
  <si>
    <t>你不知道的事</t>
  </si>
  <si>
    <t>http://i1.hdslb.com/bfs/archive/d601f75e582fef1ea0319e5334def584fa16659b.jpg</t>
  </si>
  <si>
    <t>MA407126399535591706</t>
  </si>
  <si>
    <t>昨日青空</t>
  </si>
  <si>
    <t>尤长靖</t>
  </si>
  <si>
    <t>https://i0.hdslb.com/bfs/station_src/music_metadata/abc73110210c595e7074ddc5a01dd754.jpg</t>
  </si>
  <si>
    <t>http://i0.hdslb.com/bfs/station_src/music_metadata/042fb26c880b233a48dc106af6e82bca</t>
  </si>
  <si>
    <t>《昨日青空》电影同名青春主题曲</t>
  </si>
  <si>
    <t>MA407125721618624794</t>
  </si>
  <si>
    <t>哪里都是你</t>
  </si>
  <si>
    <t>https://i0.hdslb.com/bfs/station_src/music_metadata/400688c94ad1fe3e8d7d8ef98919cb52.jpg</t>
  </si>
  <si>
    <t>《天台》电影主题曲</t>
  </si>
  <si>
    <t>MA406539351762180786</t>
  </si>
  <si>
    <t>送别</t>
  </si>
  <si>
    <t>朴树</t>
  </si>
  <si>
    <t>http://i0.hdslb.com/bfs/station_src/music_metadata/c59827a603bb0fb5d6d4fed3e2015a67.jpg</t>
  </si>
  <si>
    <t>http://i0.hdslb.com/bfs/station_src/music_metadata/b6ba15c1261164c0727a4cb1519182ad</t>
  </si>
  <si>
    <t>《厨子戏子痞子》电影片尾曲</t>
  </si>
  <si>
    <t>MA400017347437407435</t>
  </si>
  <si>
    <t>迷迭香</t>
  </si>
  <si>
    <t>http://i0.hdslb.com/bfs/station_src/music_metadata/0926861efce67153beddcc1bf5676937.jpg</t>
  </si>
  <si>
    <t>http://i0.hdslb.com/bfs/station_src/music_metadata/fd3c3fade748fdd9e948719c9ad02b33</t>
  </si>
  <si>
    <t>MA406539486231537124</t>
  </si>
  <si>
    <t>叶子</t>
  </si>
  <si>
    <t>阿桑</t>
  </si>
  <si>
    <t>http://i0.hdslb.com/bfs/station_src/music_metadata/f93e6e3df7529ecb21c31f7c2b8db022.jpg</t>
  </si>
  <si>
    <t>http://i0.hdslb.com/bfs/station_src/music_metadata/bcd63a979aa4ce19d1de2afe94a8782e</t>
  </si>
  <si>
    <t>受了点伤</t>
  </si>
  <si>
    <t>MA435362823430747073</t>
  </si>
  <si>
    <t>频率</t>
  </si>
  <si>
    <t>http://i0.hdslb.com/bfs/station_src/music_metadata/d355dd715b57d78b55b55bafc618fa13.jpg</t>
  </si>
  <si>
    <t>https://i0.hdslb.com/bfs/station_src/music_metadata/f0e4923aa68dd06d7470f9e57ad496f2.txt</t>
  </si>
  <si>
    <t>MA406552704043752114</t>
  </si>
  <si>
    <t>想你的365天</t>
  </si>
  <si>
    <t>CoCo李玟</t>
  </si>
  <si>
    <t>http://i0.hdslb.com/bfs/station_src/music_metadata/7e0fc3a65347dff7ca5325dcea0c423c.jpg</t>
  </si>
  <si>
    <t>http://i0.hdslb.com/bfs/station_src/music_metadata/df04ab256bcc74775cd5bcfba9597cb4</t>
  </si>
  <si>
    <t>碰碰看爱情</t>
  </si>
  <si>
    <t>音乐榜最高NO.9</t>
  </si>
  <si>
    <t>MA426501009590715860</t>
  </si>
  <si>
    <t>Reflection</t>
  </si>
  <si>
    <t>Christina Aguilera</t>
  </si>
  <si>
    <t>https://i0.hdslb.com/bfs/station_src/music_metadata/0d7f271e6f2c08fc7ca8314568eac002.jpg</t>
  </si>
  <si>
    <t>https://i0.hdslb.com/bfs/station_src/music_metadata/bd734f3bc162e7d8c76d4cf3e4b594c3.txt</t>
  </si>
  <si>
    <t>动画电影《花木兰》主题曲</t>
  </si>
  <si>
    <t>Princess Disneymania</t>
  </si>
  <si>
    <t>MA399851967590994628</t>
  </si>
  <si>
    <t>这世界那么多人</t>
  </si>
  <si>
    <t>莫文蔚</t>
  </si>
  <si>
    <t>http://i0.hdslb.com/bfs/station_src/music_metadata/e7c4033963414035f8529bd990a0ea86.jpg</t>
  </si>
  <si>
    <t>http://i0.hdslb.com/bfs/station_src/music_metadata/e8998a2ba4644d4ab56c9b83478820bf</t>
  </si>
  <si>
    <t>《我们要在一起》电影主题曲</t>
  </si>
  <si>
    <t>MA456001230984987398</t>
  </si>
  <si>
    <t>敢</t>
  </si>
  <si>
    <t>https://i0.hdslb.com/bfs/station_src/music_metadata/3be9d43d15661acaaf62abaf2eb6f23c.jpg</t>
  </si>
  <si>
    <t>https://i0.hdslb.com/bfs/station_src/music_metadata/fc8ac7f65dd494154a668870380550e2.txt</t>
  </si>
  <si>
    <t>《紫禁城》大型纪录片主题歌</t>
  </si>
  <si>
    <t>MA406537114486842852</t>
  </si>
  <si>
    <t>醉赤壁</t>
  </si>
  <si>
    <t>https://i0.hdslb.com/bfs/station_src/music_metadata/7fba77ac6c1e2b9c4ee3c5edfb8fb4fe.jpg</t>
  </si>
  <si>
    <t>https://i0.hdslb.com/bfs/station_src/music_metadata/f6d8d115284de5ecdf96d995274c5783.txt</t>
  </si>
  <si>
    <t>JJ陆</t>
  </si>
  <si>
    <t>MA469254426352162747</t>
  </si>
  <si>
    <t>孤独娱乐</t>
  </si>
  <si>
    <t>http://i0.hdslb.com/bfs/station_src/music_metadata/84561b5e1d6e1dfa852adcf51e34eb8f.jpg</t>
  </si>
  <si>
    <t>重拾_快乐</t>
  </si>
  <si>
    <t>MA466950275735764555</t>
  </si>
  <si>
    <t>笼</t>
  </si>
  <si>
    <t>http://i0.hdslb.com/bfs/station_src/music_metadata/5ca14c3497ae9f34c4a6cc4df51a84b0.jpg</t>
  </si>
  <si>
    <t>MA433719085759479727</t>
  </si>
  <si>
    <t>卷珠帘</t>
  </si>
  <si>
    <t>http://i0.hdslb.com/bfs/station_src/music_metadata/f42e0343b7c418d43f2be69b16badbb5.jpg</t>
  </si>
  <si>
    <t>化身孤岛的鲸 周深翻唱精选Vol. 1</t>
  </si>
  <si>
    <t>MA457105467093597995</t>
  </si>
  <si>
    <t>https://i0.hdslb.com/bfs/station_src/music_metadata/cb7c412dc5758610165454efdef23d3b.jpg</t>
  </si>
  <si>
    <t>https://i0.hdslb.com/bfs/station_src/music_metadata/3f425645ad340ed93a1345109dd50b00.txt</t>
  </si>
  <si>
    <t>MA457093338441496725</t>
  </si>
  <si>
    <t>https://i0.hdslb.com/bfs/station_src/music_metadata/bdd3f00d8b08a3cddf8bce42db5ff25a.jpg</t>
  </si>
  <si>
    <t>MA400017156563021003</t>
  </si>
  <si>
    <t>萱草花</t>
  </si>
  <si>
    <t>张小斐</t>
  </si>
  <si>
    <t>http://i0.hdslb.com/bfs/station_src/music_metadata/8a229082f89f61dabf4714b7ca60f646.jpg</t>
  </si>
  <si>
    <t>http://i0.hdslb.com/bfs/station_src/music_metadata/717c439a71569e00fd804d305ca74fdd</t>
  </si>
  <si>
    <t>《你好，李焕英》电影主题曲</t>
  </si>
  <si>
    <t>你好，李焕英 电影原声大碟</t>
  </si>
  <si>
    <t>MA431544588579150552</t>
  </si>
  <si>
    <t>人啊！</t>
  </si>
  <si>
    <t>孟慧圆</t>
  </si>
  <si>
    <t>https://i0.hdslb.com/bfs/station_src/music_metadata/5409ee86a8b1101694dedd1c76cbf1f7.jpg</t>
  </si>
  <si>
    <t>https://i0.hdslb.com/bfs/station_src/music_metadata/0210489f3075ef46d767cb200e1b4621.txt</t>
  </si>
  <si>
    <t>MA431979577296818933</t>
  </si>
  <si>
    <t>旅行中忘记</t>
  </si>
  <si>
    <t>http://i0.hdslb.com/bfs/station_src/music_metadata/5622cbdb8cb0b4dcce69097dcd3695d9.jpg</t>
  </si>
  <si>
    <t>MA457077519120653666</t>
  </si>
  <si>
    <t>消失的爱人</t>
  </si>
  <si>
    <t>袁娅维TIA RAY,TME live</t>
  </si>
  <si>
    <t>https://i0.hdslb.com/bfs/station_src/music_metadata/6043a5e617db0577a22419487fdcb3bd.jpg</t>
  </si>
  <si>
    <t>https://i0.hdslb.com/bfs/station_src/music_metadata/4517508048c6d1fc38a6fe127480cc78.txt</t>
  </si>
  <si>
    <t>TME live:袁娅维"Ready For Love"线上音乐会</t>
  </si>
  <si>
    <t>MA400017211659398347</t>
  </si>
  <si>
    <t>东风破</t>
  </si>
  <si>
    <t>https://i0.hdslb.com/bfs/station_src/music_metadata/8480d5b9cca7b1a7e5af2101531478e9.jpg</t>
  </si>
  <si>
    <t>copyright-crawler/music/task-lyric/650e6317fad724c0d0113e31.txt</t>
  </si>
  <si>
    <t>MA406539356828900018</t>
  </si>
  <si>
    <t>Melody</t>
  </si>
  <si>
    <t>陶喆</t>
  </si>
  <si>
    <t>https://i0.hdslb.com/bfs/station_src/music_metadata/4f85133845e2c8b25026a678708a9376.jpg</t>
  </si>
  <si>
    <t>http://i0.hdslb.com/bfs/station_src/music_metadata/d18325416bca019d84b21a8b3f7bb651</t>
  </si>
  <si>
    <t>黑色柳丁</t>
  </si>
  <si>
    <t>MA399852093319451332</t>
  </si>
  <si>
    <t>烟花易冷</t>
  </si>
  <si>
    <t>https://i0.hdslb.com/bfs/station_src/music_metadata/e91bf06b1d5a37c76a8c823e36c5adfb.jpg</t>
  </si>
  <si>
    <t>http://i0.hdslb.com/bfs/station_src/music_metadata/e33481ddb835d9a60232725d35c37751</t>
  </si>
  <si>
    <t>MA406539355251841714</t>
  </si>
  <si>
    <t>天天</t>
  </si>
  <si>
    <t>http://i0.hdslb.com/bfs/station_src/music_metadata/ff6417302beb4146f79dbd4e37c6d317.jpg</t>
  </si>
  <si>
    <t>http://i0.hdslb.com/bfs/station_src/music_metadata/c93605bfcadefe74f0d5b1a5b6a8db05</t>
  </si>
  <si>
    <t>I'm OK</t>
  </si>
  <si>
    <t>MA406539509719669426</t>
  </si>
  <si>
    <t>我们的明天</t>
  </si>
  <si>
    <t>鹿晗</t>
  </si>
  <si>
    <t>http://i0.hdslb.com/bfs/station_src/music_metadata/1950a7ea2f58f22a4e539e4aaf7f50a1.jpg</t>
  </si>
  <si>
    <t>http://i0.hdslb.com/bfs/station_src/music_metadata/fbfaa234036df108d401e351201e3bdb</t>
  </si>
  <si>
    <t>MA406552732732770672</t>
  </si>
  <si>
    <t>我要你</t>
  </si>
  <si>
    <t>任素汐</t>
  </si>
  <si>
    <t>https://i0.hdslb.com/bfs/station_src/music_metadata/4197804876b3e8b55ed60f8cd7778bf5.jpg</t>
  </si>
  <si>
    <t>http://i0.hdslb.com/bfs/station_src/music_metadata/28b442d4a42e2442ddfd968f07fe7b09</t>
  </si>
  <si>
    <t>《驴得水》电影主题曲</t>
  </si>
  <si>
    <t>MA427668797256630754</t>
  </si>
  <si>
    <t>夜来香</t>
  </si>
  <si>
    <t>李香兰</t>
  </si>
  <si>
    <t>http://i0.hdslb.com/bfs/station_src/music_metadata/bfb91f7e1a49506d755cc1e7a185a477.jpg</t>
  </si>
  <si>
    <t>夜上海——上海老歌精选集</t>
  </si>
  <si>
    <t>MA443874030819232440</t>
  </si>
  <si>
    <t>路边的野花不要采</t>
  </si>
  <si>
    <t>https://i0.hdslb.com/bfs/station_src/music_metadata/b8d5bd001d322a7b3e6414223e4ffc64.jpg</t>
  </si>
  <si>
    <t>邓丽君1982香港伊利沙伯体育馆演唱会</t>
  </si>
  <si>
    <t>MA455952085351972269</t>
  </si>
  <si>
    <t>芦花</t>
  </si>
  <si>
    <t>雷佳</t>
  </si>
  <si>
    <t>https://i0.hdslb.com/bfs/station_src/music_metadata/5d10069250016b4dc0f3b44677f25d40.jpg</t>
  </si>
  <si>
    <t>https://i0.hdslb.com/bfs/station_src/music_metadata/d73271ada4973630cf18fe263ae525c3.txt</t>
  </si>
  <si>
    <t>一人一首成名曲10</t>
  </si>
  <si>
    <t>MA409252716007713118</t>
  </si>
  <si>
    <t>大地飞歌</t>
  </si>
  <si>
    <t>宋祖英</t>
  </si>
  <si>
    <t>https://i0.hdslb.com/bfs/station_src/music_metadata/b346c034f2cc826bb53de1c250ee108f.jpg</t>
  </si>
  <si>
    <t>http://i0.hdslb.com/bfs/station_src/music_metadata/6092aa62fa54d28c6b8c742cffe5b12e</t>
  </si>
  <si>
    <t>节日欢歌 如意吉祥贺佳节1</t>
  </si>
  <si>
    <t>MA457071031538998626</t>
  </si>
  <si>
    <t>小河淌水</t>
  </si>
  <si>
    <t>黄虹</t>
  </si>
  <si>
    <t>https://i0.hdslb.com/bfs/station_src/music_metadata/c920c0d20590c1764d9b9834d2c7b166.jpg</t>
  </si>
  <si>
    <t>https://i0.hdslb.com/bfs/station_src/music_metadata/288db8bb4526b29549f624e21b295ab0.txt</t>
  </si>
  <si>
    <t>池中萍</t>
  </si>
  <si>
    <t>MA406618414241562102</t>
  </si>
  <si>
    <t>飞云之下</t>
  </si>
  <si>
    <t>韩红,林俊杰</t>
  </si>
  <si>
    <t>https://i0.hdslb.com/bfs/station_src/music_metadata/8173839e76e61fbdb14a575311cd129c.jpg</t>
  </si>
  <si>
    <t>http://i0.hdslb.com/bfs/station_src/music_metadata/a707e381fa177d6b768e612785fecf0d</t>
  </si>
  <si>
    <t>MA407125679793025306</t>
  </si>
  <si>
    <t>梨花又开放</t>
  </si>
  <si>
    <t>周峰</t>
  </si>
  <si>
    <t>http://i0.hdslb.com/bfs/station_src/music_metadata/7572b8e3dc6a41dbbcf3a7538f6ee478.jpg</t>
  </si>
  <si>
    <t>http://i0.hdslb.com/bfs/station_src/music_metadata/0ad50c57aec103dba6a9e0dffce7fe2c</t>
  </si>
  <si>
    <t>1984-01-01</t>
  </si>
  <si>
    <t>MA488122357303512678</t>
  </si>
  <si>
    <t>妈妈的娜鲁娃</t>
  </si>
  <si>
    <t>MA406539592162878948</t>
  </si>
  <si>
    <t>那片海</t>
  </si>
  <si>
    <t>https://i0.hdslb.com/bfs/station_src/music_metadata/184f793edd86aab2479787634f1ec387.jpg</t>
  </si>
  <si>
    <t>http://i0.hdslb.com/bfs/station_src/music_metadata/0a89e25b3c3174c7720c4acdf780f656</t>
  </si>
  <si>
    <t>醒了</t>
  </si>
  <si>
    <t>MA406539375283813878</t>
  </si>
  <si>
    <t>青藏高原</t>
  </si>
  <si>
    <t>李娜</t>
  </si>
  <si>
    <t>http://i0.hdslb.com/bfs/station_src/music_metadata/abffd58894a68460c3c30d449dad96ee.jpg</t>
  </si>
  <si>
    <t>http://i0.hdslb.com/bfs/station_src/music_metadata/c1f095eb882ec280da5fefcb120232f8</t>
  </si>
  <si>
    <t>MA407125879810994458</t>
  </si>
  <si>
    <t>天亮了</t>
  </si>
  <si>
    <t>https://i0.hdslb.com/bfs/station_src/music_metadata/3f12048cabc0c4dba5b994952d79f6c7.jpg</t>
  </si>
  <si>
    <t>http://i0.hdslb.com/bfs/station_src/music_metadata/1480c9f7fdcf51cc52abae7962a7cbfa</t>
  </si>
  <si>
    <t>MA409255417290484062</t>
  </si>
  <si>
    <t>天路</t>
  </si>
  <si>
    <t>https://i0.hdslb.com/bfs/station_src/music_metadata/aa6a20647b6d98fd68d4dd24ce89517d.jpg</t>
  </si>
  <si>
    <t>http://i0.hdslb.com/bfs/station_src/music_metadata/c23bca7dcdf1c888e7e476793ae4c2ef</t>
  </si>
  <si>
    <t>感动</t>
  </si>
  <si>
    <t>MA407125537807446298</t>
  </si>
  <si>
    <t>二十二</t>
  </si>
  <si>
    <t>http://i0.hdslb.com/bfs/station_src/music_metadata/e89d0b6bb51b52049a17aa607ecd7e8d.jpg</t>
  </si>
  <si>
    <t>http://i0.hdslb.com/bfs/station_src/music_metadata/47f341ee2acc202b90520bd34837ebc4</t>
  </si>
  <si>
    <t>MA407125809682231578</t>
  </si>
  <si>
    <t>普通朋友</t>
  </si>
  <si>
    <t>娃娃,陶喆</t>
  </si>
  <si>
    <t>http://i0.hdslb.com/bfs/station_src/music_metadata/b4de12b50832ba1f1ca69812232e19ce.jpg</t>
  </si>
  <si>
    <t>MA406552773820172656</t>
  </si>
  <si>
    <t>修炼爱情</t>
  </si>
  <si>
    <t>http://i0.hdslb.com/bfs/station_src/music_metadata/713cd2835e797b42166abbd9090b7ff1.jpg</t>
  </si>
  <si>
    <t>http://i0.hdslb.com/bfs/station_src/music_metadata/e8eecc0895b84fc8099f903f807b10ff</t>
  </si>
  <si>
    <t>因你 而在</t>
  </si>
  <si>
    <t>MA456002540396395949</t>
  </si>
  <si>
    <t>一个人</t>
  </si>
  <si>
    <t>黄铃凯,吴青峰</t>
  </si>
  <si>
    <t>https://i0.hdslb.com/bfs/station_src/music_metadata/82d9b0e5b48d60f44bc2df2977abcbc6.jpg</t>
  </si>
  <si>
    <t>https://i0.hdslb.com/bfs/station_src/music_metadata/4f320c6331203727bd8e81c3afdf2762.txt</t>
  </si>
  <si>
    <t>中国好歌曲第一季 总决赛</t>
  </si>
  <si>
    <t>MA407125726433685786</t>
  </si>
  <si>
    <t>你啊你啊</t>
  </si>
  <si>
    <t>魏如萱</t>
  </si>
  <si>
    <t>https://i0.hdslb.com/bfs/station_src/music_metadata/9636f8642428f1f3347f6cc3b66a1b94.jpg</t>
  </si>
  <si>
    <t>http://i0.hdslb.com/bfs/station_src/music_metadata/05ff6c9faa056ccafc6e20d96ce6e3f2</t>
  </si>
  <si>
    <t>《用九柑仔店》电视剧插曲</t>
  </si>
  <si>
    <t>末路狂花</t>
  </si>
  <si>
    <t>MA407125665666609434</t>
  </si>
  <si>
    <t>看得最远的地方</t>
  </si>
  <si>
    <t>http://i0.hdslb.com/bfs/station_src/music_metadata/9322541561a8ea8bf5994345bd442ee0.jpg</t>
  </si>
  <si>
    <t>http://i0.hdslb.com/bfs/station_src/music_metadata/12ffa6a40a1d3e55c4c95c5bf8cf65b6</t>
  </si>
  <si>
    <t>《爱的谎言》韩剧片尾曲</t>
  </si>
  <si>
    <t>非常完美 电影原声带</t>
  </si>
  <si>
    <t>MA400017057929768139</t>
  </si>
  <si>
    <t>淋雨一直走</t>
  </si>
  <si>
    <t>http://i0.hdslb.com/bfs/station_src/music_metadata/9cb2a9808b96e53d44684033bfe70e69.jpg</t>
  </si>
  <si>
    <t>http://i0.hdslb.com/bfs/station_src/music_metadata/33fe688ec26e02462db14743a2130485</t>
  </si>
  <si>
    <t>MA425779140394784331</t>
  </si>
  <si>
    <t>爱</t>
  </si>
  <si>
    <t>https://i0.hdslb.com/bfs/station_src/music_metadata/af470c58e628d8785792917f90c60d13.jpg</t>
  </si>
  <si>
    <t>https://i0.hdslb.com/bfs/station_src/music_metadata/4a698382a93be802db96791cf23fa0f9.txt</t>
  </si>
  <si>
    <t>[i]</t>
  </si>
  <si>
    <t>MA423717402497291354</t>
  </si>
  <si>
    <t>小精灵</t>
  </si>
  <si>
    <t>TFBOYS</t>
  </si>
  <si>
    <t>https://i0.hdslb.com/bfs/station_src/music_metadata/4f4e8d0557d68e38a177ab168433a8fa.jpg</t>
  </si>
  <si>
    <t>https://i0.hdslb.com/bfs/station_src/music_metadata/fc82c2697eef2777de0dac5160dc3f96.txt</t>
  </si>
  <si>
    <t>我们的时光</t>
  </si>
  <si>
    <t>MA490292932876722405</t>
  </si>
  <si>
    <t>发如雪 – 周杰伦</t>
  </si>
  <si>
    <t>https://i0.hdslb.com/bfs/station_src/music_metadata/0a6cfe79833036f9cb25dd6619684c36.jpg</t>
  </si>
  <si>
    <t>MA406552862504533494</t>
  </si>
  <si>
    <t>岁月神偷</t>
  </si>
  <si>
    <t>金玟岐</t>
  </si>
  <si>
    <t>https://i0.hdslb.com/bfs/station_src/music_metadata/327ad462fdbb00a2610dd5b7139ebc74.jpg</t>
  </si>
  <si>
    <t>完美世界</t>
  </si>
  <si>
    <t>MA456049638353463622</t>
  </si>
  <si>
    <t>天天晴朗</t>
  </si>
  <si>
    <t>https://i0.hdslb.com/bfs/station_src/music_metadata/6436393b099ec18973601ec85b363cad.jpg</t>
  </si>
  <si>
    <t>https://i0.hdslb.com/bfs/station_src/music_metadata/b3b3b921f262cf66d194d34bba7d383a.txt</t>
  </si>
  <si>
    <t>MA433429095154491253</t>
  </si>
  <si>
    <t>Love U U</t>
  </si>
  <si>
    <t>https://i0.hdslb.com/bfs/station_src/music_metadata/683874c8b50e8963e73219e464a05a2f.jpg</t>
  </si>
  <si>
    <t>https://i0.hdslb.com/bfs/station_src/music_metadata/b121a6651c2b3ba2042afd8f79c17ee5.txt</t>
  </si>
  <si>
    <t>MA469091422746712456</t>
  </si>
  <si>
    <t>想你时风起</t>
  </si>
  <si>
    <t>http://i0.hdslb.com/bfs/station_src/music_metadata/690d5f026cf42acdf74154d42a9e4aec.jpg</t>
  </si>
  <si>
    <t>MA495374092124309907</t>
  </si>
  <si>
    <t>http://i0.hdslb.com/bfs/station_src/music_metadata/8b9ab4aee8e303fe951b3749e53aff6e.jpg</t>
  </si>
  <si>
    <t>剧好听的歌 第8期</t>
  </si>
  <si>
    <t>MA406539583153543858</t>
  </si>
  <si>
    <t>听海</t>
  </si>
  <si>
    <t>https://i0.hdslb.com/bfs/station_src/music_metadata/73dec89697f84502d2f1b8bc3034448d.jpg</t>
  </si>
  <si>
    <t>http://i0.hdslb.com/bfs/station_src/music_metadata/38e7089b8771efc1ab365cfebcb68ddf</t>
  </si>
  <si>
    <t>Bad Boy</t>
  </si>
  <si>
    <t>MA418789900268085744</t>
  </si>
  <si>
    <t>海芋恋</t>
  </si>
  <si>
    <t>萧敬腾</t>
  </si>
  <si>
    <t>https://i0.hdslb.com/bfs/station_src/music_metadata/683179c70f1a5eda62c161e62be8d9ed.jpg</t>
  </si>
  <si>
    <t>http://i0.hdslb.com/bfs/station_src/music_metadata/6bb823a769a34945c2763ae747f03685</t>
  </si>
  <si>
    <t>萧敬腾 同名专辑</t>
  </si>
  <si>
    <t>MA406552704781919716</t>
  </si>
  <si>
    <t>兜圈</t>
  </si>
  <si>
    <t>http://i0.hdslb.com/bfs/station_src/music_metadata/e4aaa8aab2c28fc2fde797d960647814.jpg</t>
  </si>
  <si>
    <t>http://i0.hdslb.com/bfs/station_src/music_metadata/287cc610c4bd3e3ef13de5df8dde7c02</t>
  </si>
  <si>
    <t>MA409257274125642078</t>
  </si>
  <si>
    <t>想自由</t>
  </si>
  <si>
    <t>https://i0.hdslb.com/bfs/station_src/music_metadata/80c48cde65ddbc496d663ac30e1ea657.jpg</t>
  </si>
  <si>
    <t>http://i0.hdslb.com/bfs/station_src/music_metadata/cea95dbba745359d59323685a1866bce</t>
  </si>
  <si>
    <t>美妙生活</t>
  </si>
  <si>
    <t>MA399989782471519435</t>
  </si>
  <si>
    <t>蒲公英的约定</t>
  </si>
  <si>
    <t>https://i0.hdslb.com/bfs/station_src/music_metadata/def25ce07624152bcd4c15c64b585b2b.jpg</t>
  </si>
  <si>
    <t>copyright-crawler/music/task-lyric/650e62cdfad724c0d01131df.txt</t>
  </si>
  <si>
    <t>音乐榜最高NO.11</t>
  </si>
  <si>
    <t>MA406534592049200630</t>
  </si>
  <si>
    <t>她说</t>
  </si>
  <si>
    <t>https://i0.hdslb.com/bfs/station_src/music_metadata/8b4e431d99f3a01b4d163c0902a4b5fd.jpg</t>
  </si>
  <si>
    <t>http://i0.hdslb.com/bfs/station_src/music_metadata/1b91609d6012828328ba59d53f73b326</t>
  </si>
  <si>
    <t>她说 概念自选辑</t>
  </si>
  <si>
    <t>MA456097893082773580</t>
  </si>
  <si>
    <t>满月</t>
  </si>
  <si>
    <t>陈思思</t>
  </si>
  <si>
    <t>https://i0.hdslb.com/bfs/station_src/music_metadata/43a9966e91cd69b2348a555c6041cfb6.jpg</t>
  </si>
  <si>
    <t>https://i0.hdslb.com/bfs/station_src/music_metadata/2a1df572abce1d44c082f0b985cf3183.txt</t>
  </si>
  <si>
    <t>星光璀璨</t>
  </si>
  <si>
    <t>MA456122213133731956</t>
  </si>
  <si>
    <t>望月</t>
  </si>
  <si>
    <t>https://i0.hdslb.com/bfs/station_src/music_metadata/b784ce989528e3c111409e7fae53c03b.jpg</t>
  </si>
  <si>
    <t>https://i0.hdslb.com/bfs/station_src/music_metadata/d0de622123bd7df3b723f2f8a109b29b.txt</t>
  </si>
  <si>
    <t>印青创作歌曲精选</t>
  </si>
  <si>
    <t>MA409256640282421598</t>
  </si>
  <si>
    <t>说了再见</t>
  </si>
  <si>
    <t>https://i0.hdslb.com/bfs/station_src/music_metadata/41ab18757ca0611eb7d09587f90195ce.jpg</t>
  </si>
  <si>
    <t>《海洋天堂》电影主题曲</t>
  </si>
  <si>
    <t>MA406539364294761138</t>
  </si>
  <si>
    <t>大鱼</t>
  </si>
  <si>
    <t>http://i0.hdslb.com/bfs/station_src/music_metadata/8a70d72d1642278d2951984ed21f64b8.jpg</t>
  </si>
  <si>
    <t>http://i0.hdslb.com/bfs/station_src/music_metadata/1ca26ab8b49fda9fd7daa1b9e44e8cab</t>
  </si>
  <si>
    <t>《大鱼海棠》动画电影印象曲</t>
  </si>
  <si>
    <t>MA406536561174265334</t>
  </si>
  <si>
    <t>夏天的风</t>
  </si>
  <si>
    <t>温岚</t>
  </si>
  <si>
    <t>http://i0.hdslb.com/bfs/station_src/music_metadata/299064b429626e564b820aa490025cf3.jpg</t>
  </si>
  <si>
    <t>http://i0.hdslb.com/bfs/station_src/music_metadata/1738086c832f4a90ef3a8c8e24d13a84</t>
  </si>
  <si>
    <t>温式效应</t>
  </si>
  <si>
    <t>MA452754651146639432</t>
  </si>
  <si>
    <t>他夏了夏天</t>
  </si>
  <si>
    <t>https://i0.hdslb.com/bfs/station_src/music_metadata/2001aedebfef6f094ce35d0506d02edc.jpg</t>
  </si>
  <si>
    <t>十年一刻</t>
  </si>
  <si>
    <t>MA400016737921150155</t>
  </si>
  <si>
    <t>宁夏</t>
  </si>
  <si>
    <t>梁静茹</t>
  </si>
  <si>
    <t>http://i0.hdslb.com/bfs/station_src/music_metadata/6a0b6f38ab5d991fe1362b9e32ae7dfb.jpg</t>
  </si>
  <si>
    <t>http://i0.hdslb.com/bfs/station_src/music_metadata/eb7bc07ad56e068ddcdc4ba8a8038aa1</t>
  </si>
  <si>
    <t>燕尾蝶</t>
  </si>
  <si>
    <t>MA475941187954446179</t>
  </si>
  <si>
    <t>妮莉安Lily,纱依shayi,说说Crystal</t>
  </si>
  <si>
    <t>http://i0.hdslb.com/bfs/station_src/music_metadata/a9d9bd8d10828caa99479d3a5fd6f323.jpg</t>
  </si>
  <si>
    <t>MA420818962473845922</t>
  </si>
  <si>
    <t>光亮</t>
  </si>
  <si>
    <t>https://i0.hdslb.com/bfs/station_src/music_metadata/432327254cfcfcbb06e70cd8958eec15.jpg</t>
  </si>
  <si>
    <t>https://i0.hdslb.com/bfs/station_src/music_metadata/bc80794f31f422159366c112e2245a93.txt</t>
  </si>
  <si>
    <t>大型纪录片《紫禁城》主题歌音乐专辑</t>
  </si>
  <si>
    <t>MA399851925396296388</t>
  </si>
  <si>
    <t>童话</t>
  </si>
  <si>
    <t>光良</t>
  </si>
  <si>
    <t>https://i0.hdslb.com/bfs/station_src/music_metadata/7df55e39676b3da5a3fd7ef9d94469db.jpg</t>
  </si>
  <si>
    <t>https://i0.hdslb.com/bfs/station_src/music_metadata/56678415403ced751ddc9bc6f2f99d52.txt</t>
  </si>
  <si>
    <t>MA406539831271791282</t>
  </si>
  <si>
    <t>广寒宫</t>
  </si>
  <si>
    <t>丸子呦</t>
  </si>
  <si>
    <t>http://i0.hdslb.com/bfs/station_src/music_metadata/34ca6b8e730825da76cd496fc8ec788e.jpg</t>
  </si>
  <si>
    <t>http://i0.hdslb.com/bfs/station_src/music_metadata/a95b0d50c3fc759441c9e4331e2e9148</t>
  </si>
  <si>
    <t xml:space="preserve"> 广寒宫 </t>
  </si>
  <si>
    <t>MA406619757308037488</t>
  </si>
  <si>
    <t>风月</t>
  </si>
  <si>
    <t>https://i0.hdslb.com/bfs/station_src/music_metadata/874d427c68cbd11ec3a0c97a238991cf.jpg</t>
  </si>
  <si>
    <t>2020最美的夜 bilibili晚会</t>
  </si>
  <si>
    <t>MA409257448222812510</t>
  </si>
  <si>
    <t>https://i0.hdslb.com/bfs/station_src/music_metadata/f2323a45b4412a3a02fbea8914a0a44e.jpg</t>
  </si>
  <si>
    <t>https://i0.hdslb.com/bfs/station_src/music_metadata/e29a5aa33d28ad0ccd2810298465b1b4.txt</t>
  </si>
  <si>
    <t>MA409251728299452766</t>
  </si>
  <si>
    <t>但愿人长久</t>
  </si>
  <si>
    <t>https://i0.hdslb.com/bfs/station_src/music_metadata/7fb7940860e18a3fa0b05d6850c81206.jpg</t>
  </si>
  <si>
    <t>http://i0.hdslb.com/bfs/station_src/music_metadata/ee3c6651e88071b7a1db572cbc6ce075</t>
  </si>
  <si>
    <t>夜上海 国语老歌 第九辑</t>
  </si>
  <si>
    <t>MA457707281887313707</t>
  </si>
  <si>
    <t>https://i0.hdslb.com/bfs/station_src/music_metadata/e218df4be9686e673484ef800ad67133.jpg</t>
  </si>
  <si>
    <t>https://i0.hdslb.com/bfs/station_src/music_metadata/1c7415392f2006564a764f0b5ba325b3.txt</t>
  </si>
  <si>
    <t>中国民歌集粹 好花红</t>
  </si>
  <si>
    <t>MA406539346091481778</t>
  </si>
  <si>
    <t>月牙湾</t>
  </si>
  <si>
    <t>飞儿乐队</t>
  </si>
  <si>
    <t>https://i0.hdslb.com/bfs/station_src/music_metadata/4d030f96fbe202f9504add491a690ace.jpg</t>
  </si>
  <si>
    <t>http://i0.hdslb.com/bfs/station_src/music_metadata/b5eef77c8e09fe891a2c85dda279ee2c</t>
  </si>
  <si>
    <t>爱‧歌姬</t>
  </si>
  <si>
    <t>MA409255806337345886</t>
  </si>
  <si>
    <t>消愁</t>
  </si>
  <si>
    <t>https://i0.hdslb.com/bfs/station_src/music_metadata/a78412b184af9f6009298b806dbe6dd0.jpg</t>
  </si>
  <si>
    <t>http://i0.hdslb.com/bfs/station_src/music_metadata/b9fbfa971eda374f0c66fc1c765f3df4</t>
  </si>
  <si>
    <t>明日之子 第7期</t>
  </si>
  <si>
    <t>MA456011223343884614</t>
  </si>
  <si>
    <t>故事</t>
  </si>
  <si>
    <t>https://i0.hdslb.com/bfs/station_src/music_metadata/2d29fd5060f4c7150a75dd81e25fdbdd.jpg</t>
  </si>
  <si>
    <t>https://i0.hdslb.com/bfs/station_src/music_metadata/8c1c9743af2990403681c5a21d4fd2e9.txt</t>
  </si>
  <si>
    <t>MA406620111022079478</t>
  </si>
  <si>
    <t>荷塘月色</t>
  </si>
  <si>
    <t>凤凰传奇</t>
  </si>
  <si>
    <t>https://i0.hdslb.com/bfs/station_src/music_metadata/d8121fddfba1b184fb6f13d250135f61.jpg</t>
  </si>
  <si>
    <t>http://i0.hdslb.com/bfs/station_src/music_metadata/f192236c377883b515d7b32f3dc4b59d</t>
  </si>
  <si>
    <t>我从草原来</t>
  </si>
  <si>
    <t>MA406538032318007664</t>
  </si>
  <si>
    <t>不流泪的机场</t>
  </si>
  <si>
    <t>https://i0.hdslb.com/bfs/station_src/music_metadata/121f852527e28e197f6b87efaf113c46.jpg</t>
  </si>
  <si>
    <t>https://i0.hdslb.com/bfs/station_src/music_metadata/4a4685475601415a638d5cdd5d58cb40.txt</t>
  </si>
  <si>
    <t>西界</t>
  </si>
  <si>
    <t>MA456123641562708044</t>
  </si>
  <si>
    <t>儿歌</t>
  </si>
  <si>
    <t>https://i0.hdslb.com/bfs/station_src/music_metadata/cd2982079df591c952cc0412190310d8.jpg</t>
  </si>
  <si>
    <t>儿歌(Live)</t>
  </si>
  <si>
    <t>徐佳莹是日救星演唱会Live</t>
  </si>
  <si>
    <t>MA466096830099250457</t>
  </si>
  <si>
    <t>雨后日记</t>
  </si>
  <si>
    <t>http://i0.hdslb.com/bfs/station_src/music_metadata/3afd0ffaed0e7606577cabb03408bdd1.jpg</t>
  </si>
  <si>
    <t>勇敢额度</t>
  </si>
  <si>
    <t>MA400017322825231563</t>
  </si>
  <si>
    <t>一路向北</t>
  </si>
  <si>
    <t>http://i0.hdslb.com/bfs/station_src/music_metadata/30a9548e104c69c0a6e0747f590b41a2.jpg</t>
  </si>
  <si>
    <t>http://i0.hdslb.com/bfs/station_src/music_metadata/3d9312fb4b7cde3cd376d37c031dfe74</t>
  </si>
  <si>
    <t>《头文字D》电影插曲</t>
  </si>
  <si>
    <t>J III MP3 Player</t>
  </si>
  <si>
    <t>MA409254889596709214</t>
  </si>
  <si>
    <t>胡桃夹子</t>
  </si>
  <si>
    <t>https://i0.hdslb.com/bfs/station_src/music_metadata/08b6c6308b2c1cf59367111a3273728c.jpg</t>
  </si>
  <si>
    <t>http://i0.hdslb.com/bfs/station_src/music_metadata/0cef69ab24d021bdbe707a67ed2d53f4</t>
  </si>
  <si>
    <t>《健忘村》电影宣传曲</t>
  </si>
  <si>
    <t>开往早晨的午夜</t>
  </si>
  <si>
    <t>MA420532281057216243</t>
  </si>
  <si>
    <t>Forever Young</t>
  </si>
  <si>
    <t>艾怡良</t>
  </si>
  <si>
    <t>https://i0.hdslb.com/bfs/station_src/music_metadata/dbe0a5c483acdf75be3b3411a94a3f6e.jpg</t>
  </si>
  <si>
    <t>https://i0.hdslb.com/bfs/station_src/music_metadata/0eecea8bad0d6a372d617485427bcadb.txt</t>
  </si>
  <si>
    <t>MA456033727798067974</t>
  </si>
  <si>
    <t>一吻之间</t>
  </si>
  <si>
    <t>https://i0.hdslb.com/bfs/station_src/music_metadata/a3d43ce9eb78ab875eed490b32b4a29c.jpg</t>
  </si>
  <si>
    <t>https://i0.hdslb.com/bfs/station_src/music_metadata/72848db79c86b2616cfc18f059965ad3.txt</t>
  </si>
  <si>
    <t>《青年医生》电视剧插曲</t>
  </si>
  <si>
    <t>青年医生 电视剧原声带</t>
  </si>
  <si>
    <t>MA457754874134708011</t>
  </si>
  <si>
    <t>那个男人</t>
  </si>
  <si>
    <t>宇西</t>
  </si>
  <si>
    <t>https://i0.hdslb.com/bfs/station_src/music_metadata/3fab084ba971f9c9224f8c63526f1532.jpg</t>
  </si>
  <si>
    <t>https://i0.hdslb.com/bfs/station_src/music_metadata/eafe79096ff5c49f2beba9b29d313fee.txt</t>
  </si>
  <si>
    <t>那个男人（Cover）</t>
  </si>
  <si>
    <t>MA456118880473991284</t>
  </si>
  <si>
    <t>白芍花开</t>
  </si>
  <si>
    <t>https://i0.hdslb.com/bfs/station_src/music_metadata/60c38822d75385bc7f7246251764a48e.jpg</t>
  </si>
  <si>
    <t>2015羽西品牌广告曲</t>
  </si>
  <si>
    <t>MA406552708959455600</t>
  </si>
  <si>
    <t>不为谁而作的歌</t>
  </si>
  <si>
    <t>https://i0.hdslb.com/bfs/station_src/music_metadata/ef02a89c1ac2118e61c5d6311110cfd8.jpg</t>
  </si>
  <si>
    <t>https://i0.hdslb.com/bfs/station_src/music_metadata/12f5f595b70ca92e5cee389d2e4d9107.txt</t>
  </si>
  <si>
    <t>江苏卫视“2016幸福聚荔”跨年演唱会</t>
  </si>
  <si>
    <t>MA406537435434984932</t>
  </si>
  <si>
    <t>一千年以后</t>
  </si>
  <si>
    <t>https://i0.hdslb.com/bfs/station_src/music_metadata/54b42be7ad4fe7e8ee215dbd158a2959.jpg</t>
  </si>
  <si>
    <t>https://i0.hdslb.com/bfs/station_src/music_metadata/53145e62b4c828bee8955473c1f3343e.txt</t>
  </si>
  <si>
    <t>《海的誓言》电视剧片尾曲</t>
  </si>
  <si>
    <t>编号89757</t>
  </si>
  <si>
    <t>MA406539370351306212</t>
  </si>
  <si>
    <t>南屏晚钟</t>
  </si>
  <si>
    <t>崔萍</t>
  </si>
  <si>
    <t>http://i0.hdslb.com/bfs/station_src/music_metadata/14bf17cdfef211b92d7e4d09cb08674a.jpg</t>
  </si>
  <si>
    <t>http://i0.hdslb.com/bfs/station_src/music_metadata/346be9c19c40273de8535c51182e4577</t>
  </si>
  <si>
    <t>MA424007589882270810</t>
  </si>
  <si>
    <t>涛声依旧</t>
  </si>
  <si>
    <t>Classical Artists</t>
  </si>
  <si>
    <t>http://i0.hdslb.com/bfs/station_src/music_metadata/1a6e5823217e3de354522a5a8b743f04.jpg</t>
  </si>
  <si>
    <t>https://i0.hdslb.com/bfs/station_src/music_metadata/333cb36f3f623c6b657702740b4955bb.txt</t>
  </si>
  <si>
    <t>MA406552716576332466</t>
  </si>
  <si>
    <t>欢颜</t>
  </si>
  <si>
    <t>齐豫</t>
  </si>
  <si>
    <t>http://i0.hdslb.com/bfs/station_src/music_metadata/7114bb0804a5318e76eca9a2dc151a50.jpg</t>
  </si>
  <si>
    <t>http://i0.hdslb.com/bfs/station_src/music_metadata/4a33698ccbac0728d62917cf12908980</t>
  </si>
  <si>
    <t>滚石香港黄金十年 齐豫精选</t>
  </si>
  <si>
    <t>MA409255468947532126</t>
  </si>
  <si>
    <t>问花</t>
  </si>
  <si>
    <t>https://i0.hdslb.com/bfs/station_src/music_metadata/d938903a270ebcbf6ae98416465ff752.jpg</t>
  </si>
  <si>
    <t>http://i0.hdslb.com/bfs/station_src/music_metadata/19399052b0da837868fe46152a610a13</t>
  </si>
  <si>
    <t>《白蛇2：青蛇劫起》电影主题曲</t>
  </si>
  <si>
    <t>白蛇2：青蛇劫起 电影原声带</t>
  </si>
  <si>
    <t>MA421398769804805282</t>
  </si>
  <si>
    <t>也许明天</t>
  </si>
  <si>
    <t>https://i0.hdslb.com/bfs/station_src/music_metadata/cb5bd5c1a3d9f8006a1645245f3e31a0.jpg</t>
  </si>
  <si>
    <t>https://i0.hdslb.com/bfs/station_src/music_metadata/dc512ddcd1a2ce380ed76d0906a511fa.txt</t>
  </si>
  <si>
    <t>爱的力量 10年情歌最精选</t>
  </si>
  <si>
    <t>MA461167879258138331</t>
  </si>
  <si>
    <t>https://i0.hdslb.com/bfs/station_src/music_metadata/d3381c4f9efa75a9a131a7c91b7a4a4a.jpg</t>
  </si>
  <si>
    <t>MA456222577526881559</t>
  </si>
  <si>
    <t>https://i0.hdslb.com/bfs/station_src/music_metadata/4e2fa6c3be188c96f2fcbacdcd7c32b9.jpg</t>
  </si>
  <si>
    <t>https://i0.hdslb.com/bfs/station_src/music_metadata/5fb02cb51d8da687f91eef8353e8054f.txt</t>
  </si>
  <si>
    <t>《红荒》片头曲</t>
  </si>
  <si>
    <t>红荒 动画原声带</t>
  </si>
  <si>
    <t>MA426471577689812972</t>
  </si>
  <si>
    <t>再遇见</t>
  </si>
  <si>
    <t>https://i0.hdslb.com/bfs/station_src/music_metadata/a9b3cc3d098eca9c8e1558943ba693dc.jpg</t>
  </si>
  <si>
    <t>https://i0.hdslb.com/bfs/station_src/music_metadata/cfe2c0a134e1f366de1194f09697b3b7.txt</t>
  </si>
  <si>
    <t>中国音乐电视</t>
  </si>
  <si>
    <t>MA409251933384141150</t>
  </si>
  <si>
    <t>无人知晓</t>
  </si>
  <si>
    <t>吴萌,谢馨哲,田馥甄,葛大为</t>
  </si>
  <si>
    <t>https://i0.hdslb.com/bfs/station_src/music_metadata/704d1b1de81203cb3373876c09643308.jpg</t>
  </si>
  <si>
    <t>http://i0.hdslb.com/bfs/station_src/music_metadata/93f8007479900becc71f2f06effb6990</t>
  </si>
  <si>
    <t>" 吴萌""]</t>
  </si>
  <si>
    <t>MA400016743541517515</t>
  </si>
  <si>
    <t>大喜</t>
  </si>
  <si>
    <t>泠鸢yousa,音阙诗听</t>
  </si>
  <si>
    <t>https://i0.hdslb.com/bfs/station_src/music_metadata/30c73b33490a6b57649ad73f14ad5e30.jpg</t>
  </si>
  <si>
    <t>https://i0.hdslb.com/bfs/station_src/music_metadata/15b15946bc1af052bdf4142bd6202fad.txt</t>
  </si>
  <si>
    <t>MA406536745287457458</t>
  </si>
  <si>
    <t>背对背拥抱</t>
  </si>
  <si>
    <t>https://i0.hdslb.com/bfs/station_src/music_metadata/924769c21d602b7dc9ce70fb6d242c2c.jpg</t>
  </si>
  <si>
    <t>http://i0.hdslb.com/bfs/station_src/music_metadata/f0b49e4e56b1d666fa473bc3e1befeff</t>
  </si>
  <si>
    <t>100天</t>
  </si>
  <si>
    <t>MA406537737492077234</t>
  </si>
  <si>
    <t>达尔文</t>
  </si>
  <si>
    <t>http://i2.hdslb.com/bfs/archive/0d88147503c1678b5c14f01bf912438f0e18189c.jpg</t>
  </si>
  <si>
    <t>MA406537375389335030</t>
  </si>
  <si>
    <t>红色高跟鞋</t>
  </si>
  <si>
    <t>https://i0.hdslb.com/bfs/station_src/music_metadata/2753cd4dea9c633ae63f18c3595d4d4f.jpg</t>
  </si>
  <si>
    <t>http://i0.hdslb.com/bfs/station_src/music_metadata/b37a04cb80e78f80d4ff0e1e02023ef4</t>
  </si>
  <si>
    <t>《爱情左右》电影主题曲</t>
  </si>
  <si>
    <t>MA406539343943998130</t>
  </si>
  <si>
    <t>第一天</t>
  </si>
  <si>
    <t>http://i0.hdslb.com/bfs/station_src/music_metadata/c3ad2f387edffa8113342e5c64c3a928.jpg</t>
  </si>
  <si>
    <t>http://i0.hdslb.com/bfs/station_src/music_metadata/40a9d78ac0d6f7f768f26f795b2174d9</t>
  </si>
  <si>
    <t>完美的一天</t>
  </si>
  <si>
    <t>MA406539367683758770</t>
  </si>
  <si>
    <t>时间煮雨</t>
  </si>
  <si>
    <t>https://i0.hdslb.com/bfs/station_src/music_metadata/0ac85eaef8bf646e8e53f7548dd77c75.jpg</t>
  </si>
  <si>
    <t>http://i0.hdslb.com/bfs/station_src/music_metadata/aeb8a8fab19bb6ba0cc42e19268d6dc5</t>
  </si>
  <si>
    <t>电影《小时代》主题曲</t>
  </si>
  <si>
    <t>MA409254518316919134</t>
  </si>
  <si>
    <t>我怀念的</t>
  </si>
  <si>
    <t>https://i0.hdslb.com/bfs/station_src/music_metadata/aec63b858053100c9a0dc93fb7620374.jpg</t>
  </si>
  <si>
    <t>http://i0.hdslb.com/bfs/station_src/music_metadata/de3bcae91bbe18f4ac9ca8db16ae0300</t>
  </si>
  <si>
    <t>《第二回合我爱你（幸运日)》电视剧主题曲</t>
  </si>
  <si>
    <t>逆光</t>
  </si>
  <si>
    <t>MA399852022418936516</t>
  </si>
  <si>
    <t>知足</t>
  </si>
  <si>
    <t>五月天</t>
  </si>
  <si>
    <t>http://i0.hdslb.com/bfs/station_src/music_metadata/dab8db4a9a448c1f836e56049070aa26.jpg</t>
  </si>
  <si>
    <t>http://i0.hdslb.com/bfs/station_src/music_metadata/b378a92a47e277d62037de8697e6967f</t>
  </si>
  <si>
    <t>步步 自选作品辑 the Best of 1999-2013</t>
  </si>
  <si>
    <t>MA487256957565034858</t>
  </si>
  <si>
    <t>自画像</t>
  </si>
  <si>
    <t>https://i0.hdslb.com/bfs/station_src/music_metadata/565900e48fba7315d176b29e34d96be5.jpg</t>
  </si>
  <si>
    <t>MA406537607300815538</t>
  </si>
  <si>
    <t>第几个100天</t>
  </si>
  <si>
    <t>https://i0.hdslb.com/bfs/station_src/music_metadata/2798c86ee0ded2184ee9d070fc22086d.jpg</t>
  </si>
  <si>
    <t>https://i0.hdslb.com/bfs/station_src/music_metadata/3206fa19f3fe4bc1a2c626541809c9a8.txt</t>
  </si>
  <si>
    <t>JJ林俊杰_100天</t>
  </si>
  <si>
    <t>MA442756936920748263</t>
  </si>
  <si>
    <t>美若黎明</t>
  </si>
  <si>
    <t>https://i0.hdslb.com/bfs/station_src/music_metadata/6397ee668fb1accb7d18a203fe958d4e.jpg</t>
  </si>
  <si>
    <t>MA407125770255773978</t>
  </si>
  <si>
    <t>流沙</t>
  </si>
  <si>
    <t>https://i0.hdslb.com/bfs/station_src/music_metadata/3abb213a0a4505c94b03db6cd2a432a2.jpg</t>
  </si>
  <si>
    <t>http://i0.hdslb.com/bfs/station_src/music_metadata/a0dc9ad65068fe35854808089a4fcbf0</t>
  </si>
  <si>
    <t>陶喆同名专辑</t>
  </si>
  <si>
    <t>MA451552599204739594</t>
  </si>
  <si>
    <t>好好说再见</t>
  </si>
  <si>
    <t>关诗敏,陶喆</t>
  </si>
  <si>
    <t>https://i0.hdslb.com/bfs/station_src/music_metadata/b75c95a475cd34e1b8697a8ae0fa9178.jpg</t>
  </si>
  <si>
    <t>再见你好吗 Hello Goodbye</t>
  </si>
  <si>
    <t>MA407125345792209178</t>
  </si>
  <si>
    <t>不识月</t>
  </si>
  <si>
    <t>Luna Safari,折微微,赤羽</t>
  </si>
  <si>
    <t>http://i0.hdslb.com/bfs/station_src/music_metadata/0ba4e987c52d0430bd333a7cdc71f19f.jpg</t>
  </si>
  <si>
    <t>http://i0.hdslb.com/bfs/station_src/music_metadata/8a2c460684eb7937088ad1ba38ab015e</t>
  </si>
  <si>
    <t>MA407125559869485338</t>
  </si>
  <si>
    <t>滚滚红尘</t>
  </si>
  <si>
    <t>陈淑桦</t>
  </si>
  <si>
    <t>https://i0.hdslb.com/bfs/station_src/music_metadata/bbbbc76dd1b78dce9beed3497ed6e04e.jpg</t>
  </si>
  <si>
    <t>http://i0.hdslb.com/bfs/station_src/music_metadata/05c023cf13f9e78c049906f50579fc9c</t>
  </si>
  <si>
    <t>《滚滚红尘》电影主题曲</t>
  </si>
  <si>
    <t>一生守候</t>
  </si>
  <si>
    <t>MA406534561799945718</t>
  </si>
  <si>
    <t>赤伶</t>
  </si>
  <si>
    <t>HITA</t>
  </si>
  <si>
    <t>http://i0.hdslb.com/bfs/station_src/music_metadata/08c4bd403b6db9ea68e072d3e70dd808.jpg</t>
  </si>
  <si>
    <t>http://i0.hdslb.com/bfs/station_src/music_metadata/5f8016b9e5d6d81fdcb6ef5073c58bb8</t>
  </si>
  <si>
    <t>MA429805372677579210</t>
  </si>
  <si>
    <t>种太阳</t>
  </si>
  <si>
    <t>新月合唱团,章中锦</t>
  </si>
  <si>
    <t>https://i0.hdslb.com/bfs/station_src/music_metadata/83d8b86ec4a84453382c0f6ceabc572c.jpg</t>
  </si>
  <si>
    <t>https://i0.hdslb.com/bfs/station_src/music_metadata/a42ee355d3b65a7e63cf6d26431499d7.txt</t>
  </si>
  <si>
    <t>中国最爱儿歌经典一</t>
  </si>
  <si>
    <t>MA399852031143154372</t>
  </si>
  <si>
    <t>雨爱</t>
  </si>
  <si>
    <t>https://i0.hdslb.com/bfs/station_src/music_metadata/d2d96b39e6c888e709641d2931657784.jpg</t>
  </si>
  <si>
    <t>https://i0.hdslb.com/bfs/station_src/music_metadata/da71918707bbbcc54129293228673828.com/bfs/station_src/music_metadata/4ee2e418ba5ab8982bdcaf20967930a5</t>
  </si>
  <si>
    <t>MA409541089138060228</t>
  </si>
  <si>
    <t>痒</t>
  </si>
  <si>
    <t>https://i0.hdslb.com/bfs/station_src/music_metadata/3de02305aa9c846673ac1eb2ad897de1.jpg</t>
  </si>
  <si>
    <t>http://i0.hdslb.com/bfs/station_src/music_metadata/cb354aacda7abd2b861cd28e85743d55</t>
  </si>
  <si>
    <t>MA406539348993919344</t>
  </si>
  <si>
    <t>氧气</t>
  </si>
  <si>
    <t>范晓萱</t>
  </si>
  <si>
    <t>http://i0.hdslb.com/bfs/station_src/music_metadata/b7728e6e8bfaf97ad8f0c27f9dbb8003.jpg</t>
  </si>
  <si>
    <t>http://i0.hdslb.com/bfs/station_src/music_metadata/a48adbd10e6b248bcd4f7f2a5b7c6594</t>
  </si>
  <si>
    <t>MA406536963408021872</t>
  </si>
  <si>
    <t>惊鸿一面</t>
  </si>
  <si>
    <t>许嵩,黄龄</t>
  </si>
  <si>
    <t>https://i0.hdslb.com/bfs/station_src/music_metadata/86f89948690d1ba27ef1d0084a3d76b2.jpg</t>
  </si>
  <si>
    <t>http://i0.hdslb.com/bfs/station_src/music_metadata/4a846a9b75b086fb4b5a4e46ac08d200</t>
  </si>
  <si>
    <t>不如吃茶去</t>
  </si>
  <si>
    <t>MA495206889466901400</t>
  </si>
  <si>
    <t>https://i0.hdslb.com/bfs/station_src/music_metadata/21ff4996fdcf771db265bbe78cdc8aff.jpg</t>
  </si>
  <si>
    <t>https://i0.hdslb.com/bfs/station_src/music_metadata/55d495a4433a7f7289d23d4f335647ce.txt</t>
  </si>
  <si>
    <t>一条小团团OvO翻唱合集</t>
  </si>
  <si>
    <t>MA406618335606774450</t>
  </si>
  <si>
    <t>裹着心的光</t>
  </si>
  <si>
    <t>http://i0.hdslb.com/bfs/station_src/music_metadata/10bf9b49b80f7afe1ff063563124ad4a.jpg</t>
  </si>
  <si>
    <t>http://i0.hdslb.com/bfs/station_src/music_metadata/ead39c3359edda377926c13012b5e11d</t>
  </si>
  <si>
    <t>MA457520644553226389</t>
  </si>
  <si>
    <t>愿与愁</t>
  </si>
  <si>
    <t>http://i0.hdslb.com/bfs/station_src/music_metadata/31e1ef9935ac8acbe46418fc5f53f699.jpg</t>
  </si>
  <si>
    <t>lyric/2023-04-29_2023-04-29_愿与愁.txt</t>
  </si>
  <si>
    <t>MA436945342450134757</t>
  </si>
  <si>
    <t>月</t>
  </si>
  <si>
    <t>https://i0.hdslb.com/bfs/station_src/music_metadata/18366082543cccb9ea83dadd477d221d.jpg</t>
  </si>
  <si>
    <t>https://i0.hdslb.com/bfs/station_src/music_metadata/31530dd411904e556b2dcad90552b3b7.txt</t>
  </si>
  <si>
    <t>MA457169120253726526</t>
  </si>
  <si>
    <t>https://i0.hdslb.com/bfs/station_src/music_metadata/55cdb41a446e5a3e7e554b5961143bc7.jpg</t>
  </si>
  <si>
    <t>https://i0.hdslb.com/bfs/station_src/music_metadata/0c97bbbbf51bc8b21fe5875c0bf27b57.txt</t>
  </si>
  <si>
    <t>MA486221573406105954</t>
  </si>
  <si>
    <t>https://i0.hdslb.com/bfs/station_src/music_metadata/4df255c0a6804ee3d0862ac78121d975.jpg</t>
  </si>
  <si>
    <t>【说说Crystal·原创】《至宝》民族唱法中国风【甘泽谣系列】</t>
  </si>
  <si>
    <t>MA406539181490215602</t>
  </si>
  <si>
    <t>好久不见</t>
  </si>
  <si>
    <t>http://i0.hdslb.com/bfs/station_src/music_metadata/88d27fa622749c05378197f26416a668.jpg</t>
  </si>
  <si>
    <t>http://i0.hdslb.com/bfs/station_src/music_metadata/df74b6beacc1517c61c7e5b9886f9e6c</t>
  </si>
  <si>
    <t>MA406540040735312240</t>
  </si>
  <si>
    <t>飘雪-雪の華</t>
  </si>
  <si>
    <t>陈慧娴</t>
  </si>
  <si>
    <t>https://i0.hdslb.com/bfs/station_src/music_metadata/75bf081013bcbb2e63cb5c6871e79d67.jpg</t>
  </si>
  <si>
    <t>http://i0.hdslb.com/bfs/station_src/music_metadata/44281aaea8f0663d8ae45d5c6f2567ca</t>
  </si>
  <si>
    <t>《少女佳禾》电影插曲</t>
  </si>
  <si>
    <t>归来吧</t>
  </si>
  <si>
    <t>MA406552829117876592</t>
  </si>
  <si>
    <t>暖暖</t>
  </si>
  <si>
    <t>http://i0.hdslb.com/bfs/station_src/music_metadata/fa9db500952a7e4f9a2805e8f3533bbf.jpg</t>
  </si>
  <si>
    <t>http://i0.hdslb.com/bfs/station_src/music_metadata/db39d5b13ad72836680f5b4de35faa0c</t>
  </si>
  <si>
    <t>亲亲</t>
  </si>
  <si>
    <t>MA400017391091723467</t>
  </si>
  <si>
    <t>我不配</t>
  </si>
  <si>
    <t>https://i0.hdslb.com/bfs/station_src/music_metadata/a5214bbe0d47f79316edd71a862fc8a5.jpg</t>
  </si>
  <si>
    <t>MA406539416002120048</t>
  </si>
  <si>
    <t>煎熬</t>
  </si>
  <si>
    <t>李佳薇</t>
  </si>
  <si>
    <t>https://i0.hdslb.com/bfs/station_src/music_metadata/392896194db7b1c3645448301e7145bd.jpg</t>
  </si>
  <si>
    <t>http://i0.hdslb.com/bfs/station_src/music_metadata/08d904e76245632fb8aa600eff409bb7</t>
  </si>
  <si>
    <t>MA454072121375608037</t>
  </si>
  <si>
    <t>茉莉雨</t>
  </si>
  <si>
    <t>https://i0.hdslb.com/bfs/station_src/music_metadata/c0c395d0757c371b76c37bb98d3c24e7.jpg</t>
  </si>
  <si>
    <t>https://i0.hdslb.com/bfs/station_src/music_metadata/d45f6c1adb54696b8ea71a2b8e4f0c55.txt</t>
  </si>
  <si>
    <t>MA406539983290115556</t>
  </si>
  <si>
    <t>输了你赢了世界又如何</t>
  </si>
  <si>
    <t>https://i0.hdslb.com/bfs/station_src/music_metadata/6b8be923d21fc565dc6fed2079562ac3.jpg</t>
  </si>
  <si>
    <t>http://i0.hdslb.com/bfs/station_src/music_metadata/0e8d0dec382a722e97b0f4f190e761b7</t>
  </si>
  <si>
    <t>梦想的声音第二季 第4期</t>
  </si>
  <si>
    <t>MA406539508964694706</t>
  </si>
  <si>
    <t>冬眠</t>
  </si>
  <si>
    <t>https://i0.hdslb.com/bfs/station_src/music_metadata/af7f85ba04e20b74bd2d2f9c594d0f9e.jpg</t>
  </si>
  <si>
    <t>http://i0.hdslb.com/bfs/station_src/music_metadata/0697acb207ba1205710a76aa2cdbcb72</t>
  </si>
  <si>
    <t>MA406625577575965539</t>
  </si>
  <si>
    <t>一剪梅</t>
  </si>
  <si>
    <t>费玉清</t>
  </si>
  <si>
    <t>https://i0.hdslb.com/bfs/station_src/music_metadata/7833ac2095b43502a967252ec8358c54.jpg</t>
  </si>
  <si>
    <t>http://i0.hdslb.com/bfs/station_src/music_metadata/97843366a57afc1798cff4c49317f50b</t>
  </si>
  <si>
    <t>金曲精选6 一剪梅</t>
  </si>
  <si>
    <t>MA406620395865655664</t>
  </si>
  <si>
    <t>一眼万年</t>
  </si>
  <si>
    <t>https://i0.hdslb.com/bfs/station_src/music_metadata/e32032e73f63aa42f29c66c4be19432f.jpg</t>
  </si>
  <si>
    <t>http://i0.hdslb.com/bfs/station_src/music_metadata/44c2cf57860f634a98364c10cf9b54f8</t>
  </si>
  <si>
    <t>MA409252510050609502</t>
  </si>
  <si>
    <t>idontwannabeyouanymore</t>
  </si>
  <si>
    <t>Billie Eilish</t>
  </si>
  <si>
    <t>https://i0.hdslb.com/bfs/station_src/music_metadata/b7afec42da0b86523386b90af444ea79.jpg</t>
  </si>
  <si>
    <t>http://i0.hdslb.com/bfs/station_src/music_metadata/d9cf90a716c883e4addfbed5b3fb35ec</t>
  </si>
  <si>
    <t>dont smile at me</t>
  </si>
  <si>
    <t>MA448981213777024917</t>
  </si>
  <si>
    <t>快乐手账</t>
  </si>
  <si>
    <t>初音未来</t>
  </si>
  <si>
    <t>http://i0.hdslb.com/bfs/station_src/music_metadata/6d0fe4d5c4dc61f5d1d037d0e6855532.jpg</t>
  </si>
  <si>
    <t>MA496617668816672691</t>
  </si>
  <si>
    <t>泥鳅Niko</t>
  </si>
  <si>
    <t>https://i0.hdslb.com/bfs/station_src/music_metadata/dbae17ef9c57a59cec0574ef7463ee79.jpg</t>
  </si>
  <si>
    <t>https://i0.hdslb.com/bfs/station_src/music_metadata/6760d0679c6b0a8ff862b6d8b04d4b99.txt</t>
  </si>
  <si>
    <t>爱してる（夏目友人帐ED）</t>
  </si>
  <si>
    <t>MA457117798414442104</t>
  </si>
  <si>
    <t>弯弯的月亮</t>
  </si>
  <si>
    <t>陈汝佳</t>
  </si>
  <si>
    <t>https://i0.hdslb.com/bfs/station_src/music_metadata/c0ab0653d4a296cdf398bea20cdda55e.jpg</t>
  </si>
  <si>
    <t>https://i0.hdslb.com/bfs/station_src/music_metadata/6107961bf12e97feb94523aa22af7e23.txt</t>
  </si>
  <si>
    <t>MA424609349277609101</t>
  </si>
  <si>
    <t>你的眼神</t>
  </si>
  <si>
    <t>https://i0.hdslb.com/bfs/station_src/music_metadata/beb47e19024e2afcffb8918f5700b972.jpg</t>
  </si>
  <si>
    <t>http://i0.hdslb.com/bfs/station_src/music_metadata/3a55c6d3b5478a0796fd0ad3186c5798</t>
  </si>
  <si>
    <t>靓声天后</t>
  </si>
  <si>
    <t>MA429950637497705334</t>
  </si>
  <si>
    <t>茉莉花的联唱</t>
  </si>
  <si>
    <t>冯霞</t>
  </si>
  <si>
    <t>https://i0.hdslb.com/bfs/station_src/music_metadata/67ba73bda5a0d8295aebb07749c016fb.jpg</t>
  </si>
  <si>
    <t>https://i0.hdslb.com/bfs/station_src/music_metadata/893a5a8fe56fbf528f3d8dc476b15dcf.txt</t>
  </si>
  <si>
    <t>相逢霞韵</t>
  </si>
  <si>
    <t>MA410115381445847593</t>
  </si>
  <si>
    <t>贝加尔湖畔</t>
  </si>
  <si>
    <t>https://i0.hdslb.com/bfs/station_src/music_metadata/8ab2083dd90a51914d1b00e7f40d2688.jpg</t>
  </si>
  <si>
    <t>http://i0.hdslb.com/bfs/station_src/music_metadata/769ecbab206d9e5f0cf58f60a5c7fc82</t>
  </si>
  <si>
    <t>《无心法师》电视剧片头曲</t>
  </si>
  <si>
    <t>依然</t>
  </si>
  <si>
    <t>MA455985154737880493</t>
  </si>
  <si>
    <t>灯塔</t>
  </si>
  <si>
    <t>https://i0.hdslb.com/bfs/station_src/music_metadata/e88819ecbdcfeec19acbaf01ccda5971.jpg</t>
  </si>
  <si>
    <t>https://i0.hdslb.com/bfs/station_src/music_metadata/ab65a3ff0448f299db8c29263b5ed6d7.txt</t>
  </si>
  <si>
    <t>我是歌手第三季 第6期</t>
  </si>
  <si>
    <t>MA406622063621580260</t>
  </si>
  <si>
    <t>在水一方</t>
  </si>
  <si>
    <t>https://i0.hdslb.com/bfs/station_src/music_metadata/175674bd7923821572887bc818ee2513.jpg</t>
  </si>
  <si>
    <t>http://i0.hdslb.com/bfs/station_src/music_metadata/5f76295c7b03d1917761b2babaf3ebff</t>
  </si>
  <si>
    <t>恋君情深 永恒巨星 邓丽君 第二乐章</t>
  </si>
  <si>
    <t>MA400016893898927307</t>
  </si>
  <si>
    <t>好日子</t>
  </si>
  <si>
    <t>http://i0.hdslb.com/bfs/station_src/music_metadata/0a0c1eb97af6a67d52bf4b7e3c1ca351.jpg</t>
  </si>
  <si>
    <t>http://i0.hdslb.com/bfs/station_src/music_metadata/03cd3bc0e689b2b77f34bc7c3c4895c1</t>
  </si>
  <si>
    <t>MA413042840835240773</t>
  </si>
  <si>
    <t>未闻花名</t>
  </si>
  <si>
    <t>沃特艾文儿,町田纪彦,周深</t>
  </si>
  <si>
    <t>http://i0.hdslb.com/bfs/station_src/music_metadata/74ef5f7e0d4ca260f061ce88d2d6476f.jpg</t>
  </si>
  <si>
    <t>https://i0.hdslb.com/bfs/station_src/music_metadata/59550812b72e2fda09193779680f3b75.txt</t>
  </si>
  <si>
    <t>中文版《一期一会》</t>
  </si>
  <si>
    <t>MA456171855724722252</t>
  </si>
  <si>
    <t>https://i0.hdslb.com/bfs/station_src/music_metadata/f014cc372efc20dcaf401338a91b51bf.jpg</t>
  </si>
  <si>
    <t>MA456152036749129804</t>
  </si>
  <si>
    <t>关雎</t>
  </si>
  <si>
    <t>https://i0.hdslb.com/bfs/station_src/music_metadata/83973eaf0bc2ec5b5f2c051fe2dea188.jpg</t>
  </si>
  <si>
    <t>Epics of Love</t>
  </si>
  <si>
    <t>MA455954735833340059</t>
  </si>
  <si>
    <t>秋意浓</t>
  </si>
  <si>
    <t>https://i0.hdslb.com/bfs/station_src/music_metadata/394ea121b46beb843f2de75e87615cc7.jpg</t>
  </si>
  <si>
    <t>https://i0.hdslb.com/bfs/station_src/music_metadata/fefb145cd078fb494f996b0b8ce60802.txt</t>
  </si>
  <si>
    <t>倾听·张靓颖</t>
  </si>
  <si>
    <t>MA457965776188531772</t>
  </si>
  <si>
    <t>蝴蝶泉边</t>
  </si>
  <si>
    <t>黄雅莉</t>
  </si>
  <si>
    <t>http://i0.hdslb.com/bfs/station_src/music_metadata/f47d22472d328e5d9463308f26f10b0c.jpg</t>
  </si>
  <si>
    <t>跨界歌王第五季 第8期</t>
  </si>
  <si>
    <t>MA421542814099195003</t>
  </si>
  <si>
    <t>2.</t>
  </si>
  <si>
    <t>忆迟</t>
  </si>
  <si>
    <t>https://i0.hdslb.com/bfs/station_src/music_metadata/829858b478c48e8a4e5b60d7ff073be9.jpg</t>
  </si>
  <si>
    <t>现场直录懒（没）得（钱）做后期</t>
  </si>
  <si>
    <t>MA406618307337165490</t>
  </si>
  <si>
    <t>你的微笑</t>
  </si>
  <si>
    <t>https://i0.hdslb.com/bfs/station_src/music_metadata/f00319bb8b143d280ce55dfd8031dc09.jpg</t>
  </si>
  <si>
    <t>https://i0.hdslb.com/bfs/station_src/music_metadata/69bb78ddbe2d16f0d36cba70708b94b6.txt</t>
  </si>
  <si>
    <t>《一又二分之一的夏天》电视剧插曲</t>
  </si>
  <si>
    <t>飞儿乐团</t>
  </si>
  <si>
    <t>MA456161580032243788</t>
  </si>
  <si>
    <t>You Raise Me up</t>
  </si>
  <si>
    <t>Michael Hirte</t>
  </si>
  <si>
    <t>https://i0.hdslb.com/bfs/station_src/music_metadata/60ef1cefc51619930ba384bc5a091604.jpg</t>
  </si>
  <si>
    <t>Der Mann mit der Mundharmonika</t>
  </si>
  <si>
    <t>MA406536709988171254</t>
  </si>
  <si>
    <t>被风吹过的夏天</t>
  </si>
  <si>
    <t>林俊杰,金莎</t>
  </si>
  <si>
    <t>https://i0.hdslb.com/bfs/station_src/music_metadata/36aad53b8e13e2b08e23fbc4cead673b.jpg</t>
  </si>
  <si>
    <t>https://i0.hdslb.com/bfs/station_src/music_metadata/b0969da6ce1fcfd50a945d48a5b6bf7c.txt</t>
  </si>
  <si>
    <t>《最佳前男友》电视剧插曲</t>
  </si>
  <si>
    <t>空气</t>
  </si>
  <si>
    <t>MA456130866016467020</t>
  </si>
  <si>
    <t>如燕</t>
  </si>
  <si>
    <t>Olivia Ong</t>
  </si>
  <si>
    <t>https://i0.hdslb.com/bfs/station_src/music_metadata/b2733c4bd517933dcae0cba2b7fa823a.jpg</t>
  </si>
  <si>
    <t>https://i0.hdslb.com/bfs/station_src/music_metadata/ea39207bb5f0808fc26797b69111daa6.txt</t>
  </si>
  <si>
    <t>《我们的》电视剧主题曲</t>
  </si>
  <si>
    <t>我们的主题曲</t>
  </si>
  <si>
    <t>MA407125601493758234</t>
  </si>
  <si>
    <t>剪爱</t>
  </si>
  <si>
    <t>https://i0.hdslb.com/bfs/station_src/music_metadata/0455564807274799fc4f1ec547b0fe98.jpg</t>
  </si>
  <si>
    <t>http://i0.hdslb.com/bfs/station_src/music_metadata/3ef009855510cde5cdafdf7e45cebebf</t>
  </si>
  <si>
    <t>1996-2002妹力最精选</t>
  </si>
  <si>
    <t>MA407126008592904474</t>
  </si>
  <si>
    <t>相亲相爱</t>
  </si>
  <si>
    <t>华语群星</t>
  </si>
  <si>
    <t>http://i0.hdslb.com/bfs/station_src/music_metadata/0f1a44825cc4e0c396615b47ea75b050.jpg</t>
  </si>
  <si>
    <t>http://i0.hdslb.com/bfs/station_src/music_metadata/bfd96694dbf76c36e10c226ba03007e3</t>
  </si>
  <si>
    <t>MA400016331375652043</t>
  </si>
  <si>
    <t>樱花草</t>
  </si>
  <si>
    <t>Sweety</t>
  </si>
  <si>
    <t>http://i0.hdslb.com/bfs/station_src/music_metadata/ea7233e0acf36cf256085ed13b6b1972.jpg</t>
  </si>
  <si>
    <t>http://i0.hdslb.com/bfs/station_src/music_metadata/238e3acf5618b47e66177c16548b3cc6</t>
  </si>
  <si>
    <t>《米可，GO！》电视剧主题曲|《星苹果乐园》电视剧插曲</t>
  </si>
  <si>
    <t>花言乔语 (精装版)</t>
  </si>
  <si>
    <t>MA456193287410174068</t>
  </si>
  <si>
    <t>海水正蓝</t>
  </si>
  <si>
    <t>郭美美</t>
  </si>
  <si>
    <t>https://i0.hdslb.com/bfs/station_src/music_metadata/b606f8807d03af892eff1ad8e08c8d32.jpg</t>
  </si>
  <si>
    <t>https://i0.hdslb.com/bfs/station_src/music_metadata/7caade17bfdf90599d3260060ce49c6d.txt</t>
  </si>
  <si>
    <t>电视剧《丝丝心动》主题曲</t>
  </si>
  <si>
    <t>我是郭美美</t>
  </si>
  <si>
    <t>MA407125713850773786</t>
  </si>
  <si>
    <t>流年</t>
  </si>
  <si>
    <t>https://i0.hdslb.com/bfs/station_src/music_metadata/ae4551416f4fd8baa6a2daa657613bcb.jpg</t>
  </si>
  <si>
    <t>http://i0.hdslb.com/bfs/station_src/music_metadata/24572fc2edb59fadf00c8c23d76dbda6</t>
  </si>
  <si>
    <t>MA400016659907095755</t>
  </si>
  <si>
    <t>知否知否</t>
  </si>
  <si>
    <t>胡夏,郁可唯</t>
  </si>
  <si>
    <t>http://i0.hdslb.com/bfs/station_src/music_metadata/95894e72087c08133adecbe31e755eed.jpg</t>
  </si>
  <si>
    <t>http://i0.hdslb.com/bfs/station_src/music_metadata/d76c10f10df8c8eb0080ea2ccc5426f7</t>
  </si>
  <si>
    <t>《知否知否应是绿肥红瘦》电视剧主题曲</t>
  </si>
  <si>
    <t>知否知否应是绿肥红瘦 电视剧原声带</t>
  </si>
  <si>
    <t>MA406539368992381618</t>
  </si>
  <si>
    <t>旅行的意义</t>
  </si>
  <si>
    <t>陈绮贞</t>
  </si>
  <si>
    <t>http://i0.hdslb.com/bfs/station_src/music_metadata/2b0c2cad07b79b12d23cb24f8c50ae7b.jpg</t>
  </si>
  <si>
    <t>http://i0.hdslb.com/bfs/station_src/music_metadata/2c4df6b11c6cac09c286412f7318f1fa</t>
  </si>
  <si>
    <t>MA406539144026671472</t>
  </si>
  <si>
    <t>Say So</t>
  </si>
  <si>
    <t>Doja Cat</t>
  </si>
  <si>
    <t>https://i0.hdslb.com/bfs/station_src/music_metadata/2c4882806398a76b6dfb3bca3396647d.jpg</t>
  </si>
  <si>
    <t>http://i0.hdslb.com/bfs/station_src/music_metadata/b716b0e8c2e4e29d9db6bcc0ea0c0dd4</t>
  </si>
  <si>
    <t>Hot Pink (Explicit)</t>
  </si>
  <si>
    <t>MA409256551782607198</t>
  </si>
  <si>
    <t>你被写在我的歌里</t>
  </si>
  <si>
    <t>苏打绿,Ella陈嘉桦</t>
  </si>
  <si>
    <t>https://i0.hdslb.com/bfs/station_src/music_metadata/0efd1d645b5569027c60d8a7e266060b.jpg</t>
  </si>
  <si>
    <t>http://i0.hdslb.com/bfs/station_src/music_metadata/c10c28818a304d5b95d6904829eb8ba7</t>
  </si>
  <si>
    <t>Walk Together Live 2012台北小巨蛋演唱会</t>
  </si>
  <si>
    <t>MA399851893569917636</t>
  </si>
  <si>
    <t>孤勇者</t>
  </si>
  <si>
    <t>https://i0.hdslb.com/bfs/station_src/music_metadata/53caab26783be0269825917e75c68c60.jpg</t>
  </si>
  <si>
    <t>http://i0.hdslb.com/bfs/station_src/music_metadata/e0953609612d1dfbccdd6909a88428a2</t>
  </si>
  <si>
    <t>《英雄联盟：双城之战》动画剧集中文主题曲</t>
  </si>
  <si>
    <t>音乐榜最高NO.3</t>
  </si>
  <si>
    <t>MA415592444101482612</t>
  </si>
  <si>
    <t>盗墓笔记·十年人间</t>
  </si>
  <si>
    <t>李常超（Lao乾妈）</t>
  </si>
  <si>
    <t>http://i0.hdslb.com/bfs/station_src/music_metadata/f02ef47c39ebf13d7f02fa051f0b00d3.jpg</t>
  </si>
  <si>
    <t>http://i0.hdslb.com/bfs/station_src/music_metadata/d28ace2ca785194a4bdce4eba0b1b36b</t>
  </si>
  <si>
    <t>MA406539379645890038</t>
  </si>
  <si>
    <t>悟空</t>
  </si>
  <si>
    <t>戴荃</t>
  </si>
  <si>
    <t>http://i0.hdslb.com/bfs/station_src/music_metadata/30375eb81c3b7cf01d225e15045113b5.jpg</t>
  </si>
  <si>
    <t>http://i0.hdslb.com/bfs/station_src/music_metadata/354cec252d4724865b3b0d98dd25a681</t>
  </si>
  <si>
    <t>MA432704330043242745</t>
  </si>
  <si>
    <t>https://i0.hdslb.com/bfs/station_src/music_metadata/6c24faf59e5fa21424cc5032ad5bcef5.jpg</t>
  </si>
  <si>
    <t>https://i0.hdslb.com/bfs/station_src/music_metadata/de8d4d08b4e50ba36afa87d4c2a63d1e.txt</t>
  </si>
  <si>
    <t>阿刁（翻张韶涵版本）</t>
  </si>
  <si>
    <t>MA456042764224748097</t>
  </si>
  <si>
    <t>泼墨漓江</t>
  </si>
  <si>
    <t>泠鸢yousa</t>
  </si>
  <si>
    <t>https://i0.hdslb.com/bfs/station_src/music_metadata/d66f5d91942551f93ea268afb3f1707d.jpg</t>
  </si>
  <si>
    <t>https://i0.hdslb.com/bfs/station_src/music_metadata/fe2794c42c8d1fad9b590390dca312e5.txt</t>
  </si>
  <si>
    <t>创世之音 bilibili虚拟主播演唱会节目音频</t>
  </si>
  <si>
    <t>MA426654987993509868</t>
  </si>
  <si>
    <t>横竖撇点折</t>
  </si>
  <si>
    <t>米白</t>
  </si>
  <si>
    <t>https://i0.hdslb.com/bfs/station_src/music_metadata/aab20dc2daaec54a6e3da538b4098ad2.jpg</t>
  </si>
  <si>
    <t>https://i0.hdslb.com/bfs/station_src/music_metadata/40291633453a88ef8fe0ffb636af6a26.txt</t>
  </si>
  <si>
    <t>MA406618757000084982</t>
  </si>
  <si>
    <t>勾指起誓</t>
  </si>
  <si>
    <t>洛天依,ilem</t>
  </si>
  <si>
    <t>https://i0.hdslb.com/bfs/station_src/music_metadata/2bf703ca0968210e39946b5a88262f56.jpg</t>
  </si>
  <si>
    <t>2:3</t>
  </si>
  <si>
    <t>MA406538096222420470</t>
  </si>
  <si>
    <t>年轮</t>
  </si>
  <si>
    <t>http://i0.hdslb.com/bfs/station_src/music_metadata/f4b95f7e59a319ac109088bc214ff891.jpg</t>
  </si>
  <si>
    <t>https://i0.hdslb.com/bfs/station_src/music_metadata/e89db32904a194caab0c8b0b5dcd95b6.txt</t>
  </si>
  <si>
    <t>花千骨 电视剧原声带</t>
  </si>
  <si>
    <t>MA456108611559545466</t>
  </si>
  <si>
    <t>勇敢</t>
  </si>
  <si>
    <t>https://i0.hdslb.com/bfs/station_src/music_metadata/7f1f0b6a041bbf3ef69027a66627e273.jpg</t>
  </si>
  <si>
    <t>https://i0.hdslb.com/bfs/station_src/music_metadata/02e060568ec38e7ee4884b02c634fc81.txt</t>
  </si>
  <si>
    <t>AMeiZING Live 世界巡回演唱会</t>
  </si>
  <si>
    <t>MA407126050804379930</t>
  </si>
  <si>
    <t>依然爱你</t>
  </si>
  <si>
    <t>韩宝仪</t>
  </si>
  <si>
    <t>https://i0.hdslb.com/bfs/station_src/music_metadata/242392b0da3fcaa10a3784f95a249902.jpg</t>
  </si>
  <si>
    <t>http://i0.hdslb.com/bfs/station_src/music_metadata/949caec540a59346f0baa126ef4029c8</t>
  </si>
  <si>
    <t>又见宝仪</t>
  </si>
  <si>
    <t>MA426761636963952857</t>
  </si>
  <si>
    <t>乌兰巴托的夜</t>
  </si>
  <si>
    <t>https://i0.hdslb.com/bfs/station_src/music_metadata/b2045e553010fc5eb3d33b25a1e62169.jpg</t>
  </si>
  <si>
    <t>https://i0.hdslb.com/bfs/station_src/music_metadata/923bf5d2d6307ddb19690ba77721731f.txt</t>
  </si>
  <si>
    <t>我是歌手第三季 第12期</t>
  </si>
  <si>
    <t>MA406539442694670704</t>
  </si>
  <si>
    <t>女儿情</t>
  </si>
  <si>
    <t>吴静</t>
  </si>
  <si>
    <t>http://i0.hdslb.com/bfs/station_src/music_metadata/a2c00fd4066b56fa69f2043135e08f1b.jpg</t>
  </si>
  <si>
    <t>http://i0.hdslb.com/bfs/station_src/music_metadata/35d43660f2b14e012718bd6fdbf5865c</t>
  </si>
  <si>
    <t>《西游记》电视剧插曲</t>
  </si>
  <si>
    <t>西游记 电视剧原声带</t>
  </si>
  <si>
    <t>MA409254390726191454</t>
  </si>
  <si>
    <t>开往春天的地铁</t>
  </si>
  <si>
    <t>https://i0.hdslb.com/bfs/station_src/music_metadata/defbd75ff07b62dbcda4978cd382cd52.jpg</t>
  </si>
  <si>
    <t>https://i0.hdslb.com/bfs/station_src/music_metadata/c5a139deb38aa3aefd6d5edc6dc918c6.txt</t>
  </si>
  <si>
    <t>歌手 第11期</t>
  </si>
  <si>
    <t>MA409255587294013790</t>
  </si>
  <si>
    <t>https://i0.hdslb.com/bfs/station_src/music_metadata/f72216c2cfc9fccea7e9d7ba59c63737.jpg</t>
  </si>
  <si>
    <t>https://i0.hdslb.com/bfs/station_src/music_metadata/cdc5764e4f6a975fc6d86dd725593b59.txt</t>
  </si>
  <si>
    <t>云南民歌</t>
  </si>
  <si>
    <t>20世纪中华歌坛名人百集珍藏版</t>
  </si>
  <si>
    <t>MA406620074699430578</t>
  </si>
  <si>
    <t>蜗牛与黄鹂鸟</t>
  </si>
  <si>
    <t>银霞</t>
  </si>
  <si>
    <t>https://i0.hdslb.com/bfs/station_src/music_metadata/3e8273ef732c15e784ae8a9d38909401.jpg</t>
  </si>
  <si>
    <t>https://i0.hdslb.com/bfs/station_src/music_metadata/956ddfc8c365c6414b640d6e6ceff356.txt</t>
  </si>
  <si>
    <t>校園歌手 銀霞 (壹)</t>
  </si>
  <si>
    <t>MA400017051420208331</t>
  </si>
  <si>
    <t>画心</t>
  </si>
  <si>
    <t>http://i0.hdslb.com/bfs/station_src/music_metadata/8a902d9f7ad5be6b096598ad48118011.jpg</t>
  </si>
  <si>
    <t>http://i0.hdslb.com/bfs/station_src/music_metadata/5b21bbe6a3b556e535ad2259be1f6a0a</t>
  </si>
  <si>
    <t>《画皮》电影主题曲</t>
  </si>
  <si>
    <t>MA407125376544846106</t>
  </si>
  <si>
    <t>崇拜</t>
  </si>
  <si>
    <t>https://i0.hdslb.com/bfs/station_src/music_metadata/558a5fdd70d879b81eccaad500c9660d.jpg</t>
  </si>
  <si>
    <t>http://i0.hdslb.com/bfs/station_src/music_metadata/fdd664bdb7547dbd99deb2d6cc8326ee</t>
  </si>
  <si>
    <t>《黄真伊》电视剧台版片尾曲</t>
  </si>
  <si>
    <t>MA433864516909007129</t>
  </si>
  <si>
    <t>Stoned Soul Picnic</t>
  </si>
  <si>
    <t>Fifth Dimension</t>
  </si>
  <si>
    <t>https://i0.hdslb.com/bfs/station_src/music_metadata/246f00a8fb0a915c18d1a59d28da2060.jpg</t>
  </si>
  <si>
    <t>More Music to Watch Girls Go By</t>
  </si>
  <si>
    <t>MA409251441878821214</t>
  </si>
  <si>
    <t>虫儿飞</t>
  </si>
  <si>
    <t>郑伊健</t>
  </si>
  <si>
    <t>https://i0.hdslb.com/bfs/station_src/music_metadata/0eb231200bbd0f5b27d34f14e934273f.jpg</t>
  </si>
  <si>
    <t>http://i0.hdslb.com/bfs/station_src/music_metadata/df89a0b8e3382bb26395eafd13a35ea2</t>
  </si>
  <si>
    <t>风云雄霸天下电影原声大碟</t>
  </si>
  <si>
    <t>MA441018490674010750</t>
  </si>
  <si>
    <t>寂寞的恋人啊</t>
  </si>
  <si>
    <t>http://i0.hdslb.com/bfs/station_src/music_metadata/09f685708992f6d78aba50b38af20677.jpg</t>
  </si>
  <si>
    <t xml:space="preserve"> 十二楼的莫文蔚</t>
  </si>
  <si>
    <t>MA414304641392639914</t>
  </si>
  <si>
    <t>Mojito</t>
  </si>
  <si>
    <t>http://i0.hdslb.com/bfs/station_src/music_metadata/aafeb918e08f299cce55518ddee07f79.jpg</t>
  </si>
  <si>
    <t>http://i0.hdslb.com/bfs/station_src/music_metadata/e8bf7b8b05c009d044ec97c39b1f447e</t>
  </si>
  <si>
    <t xml:space="preserve"> Mojito</t>
  </si>
  <si>
    <t>MA400016612696009931</t>
  </si>
  <si>
    <t>踏雪</t>
  </si>
  <si>
    <t>等什么君(邓寓君),FOX胡天渝</t>
  </si>
  <si>
    <t>https://i0.hdslb.com/bfs/station_src/music_metadata/27d024ed8e6a20d0eca0754f5fbc6493.jpg</t>
  </si>
  <si>
    <t>http://i0.hdslb.com/bfs/station_src/music_metadata/a1625e1947f11afcb7de5501c027ce49</t>
  </si>
  <si>
    <t>予·君</t>
  </si>
  <si>
    <t>MA448547146480763577</t>
  </si>
  <si>
    <t>High歌</t>
  </si>
  <si>
    <t>https://i0.hdslb.com/bfs/station_src/music_metadata/f1b14ef08dfbba55c16f4d2b53cbda3c.jpg</t>
  </si>
  <si>
    <t>MA457250762532108437</t>
  </si>
  <si>
    <t>乘着歌声的翅膀</t>
  </si>
  <si>
    <t>柏菲音乐,胭花四乐</t>
  </si>
  <si>
    <t>https://i0.hdslb.com/bfs/station_src/music_metadata/7396153ee872cc44e0a20ceb574228e5.jpg</t>
  </si>
  <si>
    <t>https://i0.hdslb.com/bfs/station_src/music_metadata/6894edd988f8c106f71da48f77dfc8fe.txt</t>
  </si>
  <si>
    <t>胭花四乐II</t>
  </si>
  <si>
    <t>MA406539502018927282</t>
  </si>
  <si>
    <t>天堂岛之歌</t>
  </si>
  <si>
    <t>LizzRobinett</t>
  </si>
  <si>
    <t>http://i0.hdslb.com/bfs/station_src/music_metadata/0625d7a4a30ac54b6b94ca9415de93da.jpg</t>
  </si>
  <si>
    <t>http://i0.hdslb.com/bfs/station_src/music_metadata/467e045b725c253372916613c882e84c</t>
  </si>
  <si>
    <t>MA457090490945265086</t>
  </si>
  <si>
    <t>https://i0.hdslb.com/bfs/station_src/music_metadata/30b69641b669b9133a40621b64ef0ab3.jpg</t>
  </si>
  <si>
    <t>https://i0.hdslb.com/bfs/station_src/music_metadata/c5f67a90f6e8546a6fd4f5ed36cd946c.txt</t>
  </si>
  <si>
    <t>MA456133479655061580</t>
  </si>
  <si>
    <t>言不由衷</t>
  </si>
  <si>
    <t>https://i0.hdslb.com/bfs/station_src/music_metadata/d53323b88a45f35af4b93dbdc250a4ea.jpg</t>
  </si>
  <si>
    <t>https://i0.hdslb.com/bfs/station_src/music_metadata/05b85d974806252c94b65236cde1d36d.txt</t>
  </si>
  <si>
    <t>心里学</t>
  </si>
  <si>
    <t>MA409541227902413764</t>
  </si>
  <si>
    <t>下一秒</t>
  </si>
  <si>
    <t>https://i0.hdslb.com/bfs/station_src/music_metadata/6872f1b54953c3f8995ca1016c37bc7e.jpg</t>
  </si>
  <si>
    <t>https://i0.hdslb.com/bfs/station_src/music_metadata/1e9379d2c2519b801336eeb5ea49452d.txt</t>
  </si>
  <si>
    <t>《微微一笑很倾城》电视剧插曲</t>
  </si>
  <si>
    <t>微微一笑很倾城 电视剧原声带</t>
  </si>
  <si>
    <t>MA406539210263141042</t>
  </si>
  <si>
    <t>年轮说</t>
  </si>
  <si>
    <t>http://i0.hdslb.com/bfs/station_src/music_metadata/12715c513b3ea36c2854419fa5cb461c.jpg</t>
  </si>
  <si>
    <t>http://i0.hdslb.com/bfs/station_src/music_metadata/eed9af929d9851d18bade70c159c15bd</t>
  </si>
  <si>
    <t>MA400017004309785803</t>
  </si>
  <si>
    <t>离歌</t>
  </si>
  <si>
    <t>信乐团</t>
  </si>
  <si>
    <t>http://i0.hdslb.com/bfs/station_src/music_metadata/f10b7d88ac303fcb18851a361985dba5.jpg</t>
  </si>
  <si>
    <t>挑信 (新歌+精选)</t>
  </si>
  <si>
    <t>MA406552699430017714</t>
  </si>
  <si>
    <t>无与伦比的美丽</t>
  </si>
  <si>
    <t>https://i0.hdslb.com/bfs/station_src/music_metadata/1ae4d73925ac180dfcc11b0564d7b0c6.jpg</t>
  </si>
  <si>
    <t>https://i0.hdslb.com/bfs/station_src/music_metadata/837fc03670cecb734e00da7c39983313.txt</t>
  </si>
  <si>
    <t>MA406539470209302006</t>
  </si>
  <si>
    <t>小情歌</t>
  </si>
  <si>
    <t>http://i0.hdslb.com/bfs/station_src/music_metadata/0886ac0210a422030579ac9cd9022f11.jpg</t>
  </si>
  <si>
    <t>小宇宙</t>
  </si>
  <si>
    <t>MA436473189783063436</t>
  </si>
  <si>
    <t>仰望星空</t>
  </si>
  <si>
    <t>张杰</t>
  </si>
  <si>
    <t>https://i0.hdslb.com/bfs/station_src/music_metadata/f227a05cfbf839c5b3b61dab487cf5c0.jpg</t>
  </si>
  <si>
    <t>https://i0.hdslb.com/bfs/station_src/music_metadata/2f2d36bb64755aa012fb8d400083d84d.txt</t>
  </si>
  <si>
    <t>听！我们的歌</t>
  </si>
  <si>
    <t>MA406539547803949746</t>
  </si>
  <si>
    <t>橄榄树</t>
  </si>
  <si>
    <t>https://i0.hdslb.com/bfs/station_src/music_metadata/e9340e2f653e3d41e63d3a722997bcd4.jpg</t>
  </si>
  <si>
    <t>https://i0.hdslb.com/bfs/station_src/music_metadata/d976d0cd894bfc9240516be415e09f01.txt</t>
  </si>
  <si>
    <t>MA409253878199019870</t>
  </si>
  <si>
    <t>从前慢</t>
  </si>
  <si>
    <t>叶炫清</t>
  </si>
  <si>
    <t>https://i0.hdslb.com/bfs/station_src/music_metadata/faf9842a8445f6617532907f5fad7805.jpg</t>
  </si>
  <si>
    <t>http://i0.hdslb.com/bfs/station_src/music_metadata/d7a54726ba2793501aa8c80d9329a5f8</t>
  </si>
  <si>
    <t>MA407125751582732570</t>
  </si>
  <si>
    <t>亲密爱人</t>
  </si>
  <si>
    <t>梅艳芳</t>
  </si>
  <si>
    <t>https://i0.hdslb.com/bfs/station_src/music_metadata/410d0c2fe4f50a29881a29ec55c5aecd.jpg</t>
  </si>
  <si>
    <t>http://i0.hdslb.com/bfs/station_src/music_metadata/23938ce4c5e859bd8235438a5f004332</t>
  </si>
  <si>
    <t>我是歌手第四季 第8期: 淘汰赛</t>
  </si>
  <si>
    <t>MA409252504296024414</t>
  </si>
  <si>
    <t>secret base～君がくれたもの～ (Secret Base ～你给我的所有～)</t>
  </si>
  <si>
    <t>ZONE</t>
  </si>
  <si>
    <t>https://i0.hdslb.com/bfs/station_src/music_metadata/8554116e25ac6000f51076cdc07b9598.jpg</t>
  </si>
  <si>
    <t>http://i0.hdslb.com/bfs/station_src/music_metadata/cbd7b2cd34f3d8159d9cd2f22cfadd24</t>
  </si>
  <si>
    <t>Z (日本版)</t>
  </si>
  <si>
    <t>MA399852054127874756</t>
  </si>
  <si>
    <t>最美的期待</t>
  </si>
  <si>
    <t>周笔畅</t>
  </si>
  <si>
    <t>https://i0.hdslb.com/bfs/station_src/music_metadata/f2a2a8c93cd09a6682d0a39064813d69.jpg</t>
  </si>
  <si>
    <t>http://i0.hdslb.com/bfs/station_src/music_metadata/76dd4b0f588d1a3ad4d799d610379778</t>
  </si>
  <si>
    <t>《茧镇奇缘》电视剧片头曲</t>
  </si>
  <si>
    <t>MA399852002940588740</t>
  </si>
  <si>
    <t>匆匆那年</t>
  </si>
  <si>
    <t>https://i0.hdslb.com/bfs/station_src/music_metadata/cab45a20ca2d7c220522553551bea5b0.jpg</t>
  </si>
  <si>
    <t>http://i0.hdslb.com/bfs/station_src/music_metadata/a8de399662b8d3e4904e3d3bc5933073</t>
  </si>
  <si>
    <t>《匆匆那年》电影同名主题曲</t>
  </si>
  <si>
    <t>MA406539363439123122</t>
  </si>
  <si>
    <t>你要的爱</t>
  </si>
  <si>
    <t>戴佩妮</t>
  </si>
  <si>
    <t>http://i0.hdslb.com/bfs/station_src/music_metadata/1b21e82d07af85053c48dcadc2d3f812.jpg</t>
  </si>
  <si>
    <t>怎样</t>
  </si>
  <si>
    <t>MA456185741219744355</t>
  </si>
  <si>
    <t>梧桐树</t>
  </si>
  <si>
    <t>陈燕</t>
  </si>
  <si>
    <t>https://i0.hdslb.com/bfs/station_src/music_metadata/f8a52f1a4f98b91a5b7fbdd2bc0f27db.jpg</t>
  </si>
  <si>
    <t>https://i0.hdslb.com/bfs/station_src/music_metadata/631acd4f0aa273f8d5cbcaa92bfedc59.txt</t>
  </si>
  <si>
    <t>寻找失落的凄美</t>
  </si>
  <si>
    <t>MA406552694531049840</t>
  </si>
  <si>
    <t>遗失的美好</t>
  </si>
  <si>
    <t>https://i0.hdslb.com/bfs/station_src/music_metadata/13ea56e602f588c7a39ad8c73896edd6.jpg</t>
  </si>
  <si>
    <t>http://i0.hdslb.com/bfs/station_src/music_metadata/2022252e1041e75832df8e21cc355aac</t>
  </si>
  <si>
    <t>《海豚湾恋人》电视剧片尾曲</t>
  </si>
  <si>
    <t>海豚湾恋人 电视剧原声带</t>
  </si>
  <si>
    <t>MA457070641233813852</t>
  </si>
  <si>
    <t>牧笛</t>
  </si>
  <si>
    <t>王必主</t>
  </si>
  <si>
    <t>https://i0.hdslb.com/bfs/station_src/music_metadata/fe290cbc5c51fbc06bb51d6fa82e2c37.jpg</t>
  </si>
  <si>
    <t>http://jssz-boss.bilibili.co/copyright-fpm/copyright-crawler/music/task-lyric/62d6cb1b5cb005ae15d935b9.txt?X-Amz-Algorithm=AWS4-HMAC-SHA256&amp;X-Amz-Credential=f4f2df7ca9d2bd9a%2F20221123%2Fjssz%2Fs3%2Faws4_request&amp;X-Amz-Date=20221123T095140Z&amp;X-Amz-Expires=86400&amp;X-Amz-SignedHeaders=host&amp;X-Amz-Signature=7c0ef1efc58fe3c43849a86a8e8433e109c30cd227ede590d9e8d321ae17f81c</t>
  </si>
  <si>
    <t>21世纪歌唱家唱片集粹 王必主专辑</t>
  </si>
  <si>
    <t>MA409540977821232068</t>
  </si>
  <si>
    <t>亲爱的，那不是爱情</t>
  </si>
  <si>
    <t>https://i0.hdslb.com/bfs/station_src/music_metadata/cadfdb236ffea3cdecdfa4cb6b14a2a2.jpg</t>
  </si>
  <si>
    <t>http://i0.hdslb.com/bfs/station_src/music_metadata/3079156787de0a4a5d3b76f0960b7676</t>
  </si>
  <si>
    <t>《宫-野蛮王妃》电视剧片尾曲</t>
  </si>
  <si>
    <t>Ang 5.0</t>
  </si>
  <si>
    <t>MA454628094674786724</t>
  </si>
  <si>
    <t>一不小心爱上你</t>
  </si>
  <si>
    <t>张翰,江映蓉</t>
  </si>
  <si>
    <t>https://i0.hdslb.com/bfs/station_src/music_metadata/cafb2ccf9a624838095d727bb0b0908f.jpg</t>
  </si>
  <si>
    <t>https://i0.hdslb.com/bfs/station_src/music_metadata/a660c8b2ee98ee1e15a5323134ad7640.txt</t>
  </si>
  <si>
    <t>电视剧《一不小心爱上你》主题曲</t>
  </si>
  <si>
    <t>一不小心爱上你 电视剧原声带</t>
  </si>
  <si>
    <t>MA406623178853503152</t>
  </si>
  <si>
    <t>心如刀割</t>
  </si>
  <si>
    <t>张学友</t>
  </si>
  <si>
    <t>https://i0.hdslb.com/bfs/station_src/music_metadata/f137cd44274fff88ece7c0d4239f127e.jpg</t>
  </si>
  <si>
    <t>http://i0.hdslb.com/bfs/station_src/music_metadata/d0839a8a87693ad48089694c1e17278d</t>
  </si>
  <si>
    <t>Music Is Live 拉阔音乐</t>
  </si>
  <si>
    <t>MA400016949129522379</t>
  </si>
  <si>
    <t>小幸运</t>
  </si>
  <si>
    <t>https://i0.hdslb.com/bfs/station_src/music_metadata/13edca66a772a4f7a1c29126277512a9.jpg</t>
  </si>
  <si>
    <t>http://i0.hdslb.com/bfs/station_src/music_metadata/a41e14cb65ec5abbff57abef0f3736f9</t>
  </si>
  <si>
    <t>《我的少女时代》电影主题曲</t>
  </si>
  <si>
    <t>我的少女时代 电影原声带</t>
  </si>
  <si>
    <t>MA399852005373285060</t>
  </si>
  <si>
    <t>红豆</t>
  </si>
  <si>
    <t>https://i0.hdslb.com/bfs/station_src/music_metadata/d68db1979610db8b9cc1f37b75a77123.jpg</t>
  </si>
  <si>
    <t>http://i0.hdslb.com/bfs/station_src/music_metadata/70c2611798b8f5ee7fda5c676928e8c0</t>
  </si>
  <si>
    <t>唱游</t>
  </si>
  <si>
    <t>MA400016552499358923</t>
  </si>
  <si>
    <t>热爱105°C的你</t>
  </si>
  <si>
    <t>阿肆</t>
  </si>
  <si>
    <t>http://i0.hdslb.com/bfs/station_src/music_metadata/0a0a1ae5330dee98664e33c12ded504c.jpg</t>
  </si>
  <si>
    <t>http://i0.hdslb.com/bfs/station_src/music_metadata/570156cfeed0cbf3caea98b8fb19942c</t>
  </si>
  <si>
    <t>《超能一家人》电影推广曲</t>
  </si>
  <si>
    <t>MA422267723846791535</t>
  </si>
  <si>
    <t>爱我中华</t>
  </si>
  <si>
    <t>http://i0.hdslb.com/bfs/station_src/music_metadata/147a2a4dea37d3fa746460850c28762e.jpg</t>
  </si>
  <si>
    <t>https://i0.hdslb.com/bfs/station_src/music_metadata/7615ec46b60f8f320720f79ba2e11c2a.txt</t>
  </si>
  <si>
    <t>中国原创金曲</t>
  </si>
  <si>
    <t>MA400016847023385803</t>
  </si>
  <si>
    <t>囚鸟</t>
  </si>
  <si>
    <t>彭羚</t>
  </si>
  <si>
    <t>http://i0.hdslb.com/bfs/station_src/music_metadata/d850d5f17780678026edaaaf5d36127d.jpg</t>
  </si>
  <si>
    <t>http://i0.hdslb.com/bfs/station_src/music_metadata/3472509aa581e51b2767d3ff81e62f6d</t>
  </si>
  <si>
    <t>囚鸟 (Remastered)</t>
  </si>
  <si>
    <t>MA464189807896062522</t>
  </si>
  <si>
    <t>Liu-95_Y</t>
  </si>
  <si>
    <t>https://i0.hdslb.com/bfs/station_src/music_metadata/81b0d9bf48a66b8b15beafcd9fd49576.jpg</t>
  </si>
  <si>
    <t>https://i0.hdslb.com/bfs/station_src/music_metadata/89e4e2ba058f90b5c4afb3c9341aac44.txt</t>
  </si>
  <si>
    <t>Drum Cover 合集</t>
  </si>
  <si>
    <t>MA419949472634664321</t>
  </si>
  <si>
    <t>梁山伯与茱丽叶</t>
  </si>
  <si>
    <t>卓文萱,曹格</t>
  </si>
  <si>
    <t>http://i0.hdslb.com/bfs/station_src/music_metadata/459812bea1953a4e82cc3063c91df104.jpg</t>
  </si>
  <si>
    <t>http://i0.hdslb.com/bfs/station_src/music_metadata/e85fa42acd8330750fd23027fb5adafd</t>
  </si>
  <si>
    <t>2006超强偶像剧(恋爱女王)片头/片尾/插曲</t>
  </si>
  <si>
    <t>习惯</t>
  </si>
  <si>
    <t>MA419368873855352276</t>
  </si>
  <si>
    <t>寂寞千年</t>
  </si>
  <si>
    <t>https://i0.hdslb.com/bfs/station_src/music_metadata/16317bdd8179dc925c43812fc18cdb32.jpg</t>
  </si>
  <si>
    <t>https://i0.hdslb.com/bfs/station_src/music_metadata/3294c853351e7f961f7b8c33bfe82034.txt</t>
  </si>
  <si>
    <t>百变 vol.1</t>
  </si>
  <si>
    <t>MA430242930876259032</t>
  </si>
  <si>
    <t>宝贝</t>
  </si>
  <si>
    <t>张悬</t>
  </si>
  <si>
    <t>https://i0.hdslb.com/bfs/station_src/music_metadata/7d0b1aa106b4a6a94bc0ffdd78a1ad23.jpg</t>
  </si>
  <si>
    <t>https://i0.hdslb.com/bfs/station_src/music_metadata/cdce23b8d73a5ec76812a5995cbc22fa.txt</t>
  </si>
  <si>
    <t>my life will…</t>
  </si>
  <si>
    <t>MA455972303205875117</t>
  </si>
  <si>
    <t>时间有泪</t>
  </si>
  <si>
    <t>https://i0.hdslb.com/bfs/station_src/music_metadata/c1b879ee90171cdf01b66a9ac4abd89a.jpg</t>
  </si>
  <si>
    <t>https://i0.hdslb.com/bfs/station_src/music_metadata/359506eb112336644db5a30e1abba838.txt</t>
  </si>
  <si>
    <t>张碧晨2018北京极光演唱会</t>
  </si>
  <si>
    <t>MA407125573761020186</t>
  </si>
  <si>
    <t>红山果</t>
  </si>
  <si>
    <t>安与骑兵</t>
  </si>
  <si>
    <t>https://i0.hdslb.com/bfs/station_src/music_metadata/39daecee1a9cb8cb73b6e5e578e0cae7.jpg</t>
  </si>
  <si>
    <t>http://i0.hdslb.com/bfs/station_src/music_metadata/34a6e2bd270105c6abef6e46f93e45d4</t>
  </si>
  <si>
    <t>MA406552698054286002</t>
  </si>
  <si>
    <t>我的悲伤是水做的</t>
  </si>
  <si>
    <t>ChiliChill,洛天依</t>
  </si>
  <si>
    <t>http://i0.hdslb.com/bfs/station_src/music_metadata/d2d06be357d85d5931353250415e180e.jpg</t>
  </si>
  <si>
    <t>MA457271572789481278</t>
  </si>
  <si>
    <t>Se Tu M'ami</t>
  </si>
  <si>
    <t>Lucid Beausonge</t>
  </si>
  <si>
    <t>https://i0.hdslb.com/bfs/station_src/music_metadata/f755e9ac0ab1d922dc21b45ef6fb45e7.jpg</t>
  </si>
  <si>
    <t>https://i0.hdslb.com/bfs/station_src/music_metadata/0856565b1e7a06ca3033320b6acfc533.txt</t>
  </si>
  <si>
    <t>De Mozart a Bernstein</t>
  </si>
  <si>
    <t>MA417651921654939208</t>
  </si>
  <si>
    <t>花非花</t>
  </si>
  <si>
    <t>廖昌永</t>
  </si>
  <si>
    <t>https://i0.hdslb.com/bfs/station_src/music_metadata/eb755d196fcc72f220e2d93d3c981b98.jpg</t>
  </si>
  <si>
    <t>MA407125741365408026</t>
  </si>
  <si>
    <t>漂洋过海来看你</t>
  </si>
  <si>
    <t>娃娃</t>
  </si>
  <si>
    <t>https://i0.hdslb.com/bfs/station_src/music_metadata/6accd3b8873306793f8878f386c0333b.jpg</t>
  </si>
  <si>
    <t>https://i0.hdslb.com/bfs/station_src/music_metadata/624348c1310a9b1583d320a14df6ed91.txt</t>
  </si>
  <si>
    <t>2002-08-28</t>
  </si>
  <si>
    <t>涩女郎 电视原声带</t>
  </si>
  <si>
    <t>MA406539359697783152</t>
  </si>
  <si>
    <t>一路上有你</t>
  </si>
  <si>
    <t>http://i0.hdslb.com/bfs/station_src/music_metadata/6df5550a5d262311f802b00aa0c994a9.jpg</t>
  </si>
  <si>
    <t>http://i0.hdslb.com/bfs/station_src/music_metadata/f6ae2f1888e5dab6223c037115144fe2</t>
  </si>
  <si>
    <t>吻别</t>
  </si>
  <si>
    <t>MA406621585101834608</t>
  </si>
  <si>
    <t>第一次爱的人</t>
  </si>
  <si>
    <t>https://i0.hdslb.com/bfs/station_src/music_metadata/752f77d2e45f65f1993d078e0d6922e8.jpg</t>
  </si>
  <si>
    <t>https://i0.hdslb.com/bfs/station_src/music_metadata/845b19093d5795f8224ba0601f142781.txt</t>
  </si>
  <si>
    <t xml:space="preserve"> </t>
  </si>
  <si>
    <t>爱你</t>
  </si>
  <si>
    <t>MA409254297931409758</t>
  </si>
  <si>
    <t>黄昏晓</t>
  </si>
  <si>
    <t>https://i0.hdslb.com/bfs/station_src/music_metadata/b99cc59dfc17da876254a568e6abc02f.jpg</t>
  </si>
  <si>
    <t>http://i0.hdslb.com/bfs/station_src/music_metadata/352530efa563273bb8c5a66310d6cb1b</t>
  </si>
  <si>
    <t>My! Cyndi!</t>
  </si>
  <si>
    <t>MA409255750720874846</t>
  </si>
  <si>
    <t>那年夏天宁静的海</t>
  </si>
  <si>
    <t>https://i0.hdslb.com/bfs/station_src/music_metadata/08f5cfe3aeebd61a373ab5fe0b7ca72e.jpg</t>
  </si>
  <si>
    <t>http://i0.hdslb.com/bfs/station_src/music_metadata/9772e8ba809b3fbd6ee51d206ab6e5b7</t>
  </si>
  <si>
    <t>Magic Cyndi</t>
  </si>
  <si>
    <t>MA409255208246372702</t>
  </si>
  <si>
    <t>睫毛弯弯</t>
  </si>
  <si>
    <t>https://i0.hdslb.com/bfs/station_src/music_metadata/f282f16131a4a3cd0453b0933b476080.jpg</t>
  </si>
  <si>
    <t>http://i0.hdslb.com/bfs/station_src/music_metadata/398e2c49752ba00f849406667ec212b6</t>
  </si>
  <si>
    <t>Cyndi With U</t>
  </si>
  <si>
    <t>MA409253200315607390</t>
  </si>
  <si>
    <t>花的嫁纱</t>
  </si>
  <si>
    <t>https://i0.hdslb.com/bfs/station_src/music_metadata/086abdf3ee1e035666bdbeb27d0fadf3.jpg</t>
  </si>
  <si>
    <t>http://i0.hdslb.com/bfs/station_src/music_metadata/adc719fe58e0092aa6c521917c5bb9a7</t>
  </si>
  <si>
    <t>《天国的嫁衣》电视剧片头曲</t>
  </si>
  <si>
    <t>天国的嫁衣 电视剧原声带</t>
  </si>
  <si>
    <t>MA407125354684133658</t>
  </si>
  <si>
    <t>彩虹的微笑</t>
  </si>
  <si>
    <t>https://i0.hdslb.com/bfs/station_src/music_metadata/e2f712b24496057883352c307eaa6d07.jpg</t>
  </si>
  <si>
    <t>http://i0.hdslb.com/bfs/station_src/music_metadata/24071bac099eff32a21bc154cfb83a51</t>
  </si>
  <si>
    <t>MA406537819180252662</t>
  </si>
  <si>
    <t>美人鱼</t>
  </si>
  <si>
    <t>https://i0.hdslb.com/bfs/station_src/music_metadata/d22e7461aa257464124990c7eda3b561.jpg</t>
  </si>
  <si>
    <t>http://i0.hdslb.com/bfs/station_src/music_metadata/3a496b4d36d1ba8fbe75af7a1cc441af</t>
  </si>
  <si>
    <t>MA406539414760603126</t>
  </si>
  <si>
    <t>一笑倾城</t>
  </si>
  <si>
    <t>汪苏泷</t>
  </si>
  <si>
    <t>http://i0.hdslb.com/bfs/station_src/music_metadata/b3bef48a2977e3f841d604989ef46cb4.jpg</t>
  </si>
  <si>
    <t>http://i0.hdslb.com/bfs/station_src/music_metadata/7fe87ec4e81c821186607d4b94941434</t>
  </si>
  <si>
    <t>MA400015736321354955</t>
  </si>
  <si>
    <t>有点甜</t>
  </si>
  <si>
    <t>汪苏泷,BY2</t>
  </si>
  <si>
    <t>http://i0.hdslb.com/bfs/station_src/music_metadata/2194a90bbd091797d22bf8bcef93bb96.jpg</t>
  </si>
  <si>
    <t>http://i0.hdslb.com/bfs/station_src/music_metadata/3dd1e53a4b80ca0ea63ee399dcf0431a</t>
  </si>
  <si>
    <t>《萌三国》网游主题曲|《微微一笑很倾城》电视剧插曲</t>
  </si>
  <si>
    <t>万有引力</t>
  </si>
  <si>
    <t>MA406537955226700144</t>
  </si>
  <si>
    <t>期待爱</t>
  </si>
  <si>
    <t>https://i0.hdslb.com/bfs/station_src/music_metadata/80ebc93365ab76b3f1fd2bb1199d907a.jpg</t>
  </si>
  <si>
    <t>MA456097980995385420</t>
  </si>
  <si>
    <t>爱笑的眼睛</t>
  </si>
  <si>
    <t>https://i0.hdslb.com/bfs/station_src/music_metadata/47529272a43d3c92469a3cf04c189cc5.jpg</t>
  </si>
  <si>
    <t>https://i0.hdslb.com/bfs/station_src/music_metadata/68aed688569c42ae59e4429d1af256f9.txt</t>
  </si>
  <si>
    <t>2006就是俊杰 世界巡回演唱会</t>
  </si>
  <si>
    <t>MA400015902399016139</t>
  </si>
  <si>
    <t>我们的爱</t>
  </si>
  <si>
    <t>http://i0.hdslb.com/bfs/station_src/music_metadata/7e15a3c08fa866a6e72e36164864f52c.jpg</t>
  </si>
  <si>
    <t>http://i0.hdslb.com/bfs/station_src/music_metadata/507900be55c2d63c526ed4eb5cf45ca9</t>
  </si>
  <si>
    <t>MA457741696252297003</t>
  </si>
  <si>
    <t>外婆的澎湖湾</t>
  </si>
  <si>
    <t>阿伦丶米斯特</t>
  </si>
  <si>
    <t>https://i0.hdslb.com/bfs/station_src/music_metadata/2482ddfd7a8d9a28ac828bf09dd902f1.jpg</t>
  </si>
  <si>
    <t>https://i0.hdslb.com/bfs/station_src/music_metadata/383026986e49e9b968179f7304e90fdd.txt</t>
  </si>
  <si>
    <t>童年的口琴</t>
  </si>
  <si>
    <t>MA455961073795783233</t>
  </si>
  <si>
    <t>https://i0.hdslb.com/bfs/station_src/music_metadata/6aca290de3389b06532e0aa81227f902.jpg</t>
  </si>
  <si>
    <t>https://i0.hdslb.com/bfs/station_src/music_metadata/f43fa012da298cd12c4c803259faa76b.txt</t>
  </si>
  <si>
    <t>经典少儿歌曲180首</t>
  </si>
  <si>
    <t>MA432269746142991805</t>
  </si>
  <si>
    <t>https://i0.hdslb.com/bfs/station_src/music_metadata/54debcf6cb2206427e0ed9114636113e.jpg</t>
  </si>
  <si>
    <t>周杰伦同名专辑</t>
  </si>
  <si>
    <t>MA400015916928085195</t>
  </si>
  <si>
    <t>泡沫</t>
  </si>
  <si>
    <t>G.E.M. 邓紫棋</t>
  </si>
  <si>
    <t>http://i0.hdslb.com/bfs/station_src/music_metadata/69c6906ad6bd63b8c1ae326b958431e6.jpg</t>
  </si>
  <si>
    <t>http://i0.hdslb.com/bfs/station_src/music_metadata/1bc15ce05ac17a2e6ff62860f63f3312</t>
  </si>
  <si>
    <t>2012-07-05</t>
  </si>
  <si>
    <t>Xposed</t>
  </si>
  <si>
    <t>MA455941875208083611</t>
  </si>
  <si>
    <t>不忘初心·孝行天下</t>
  </si>
  <si>
    <t>谭维维,韩磊</t>
  </si>
  <si>
    <t>https://i0.hdslb.com/bfs/station_src/music_metadata/00437bbf65706d337af656771580635b.jpg</t>
  </si>
  <si>
    <t>https://i0.hdslb.com/bfs/station_src/music_metadata/31b2c93959ce86513f7c28d3ec8ee063.txt</t>
  </si>
  <si>
    <t>MA434298837390082498</t>
  </si>
  <si>
    <t>忘记拥抱</t>
  </si>
  <si>
    <t>潘玮柏</t>
  </si>
  <si>
    <t>http://i0.hdslb.com/bfs/station_src/music_metadata/62364e3b60f7c2f069821d6eb5f44472.jpg</t>
  </si>
  <si>
    <t>https://i0.hdslb.com/bfs/station_src/music_metadata/49ccfc42e86b16d9cec7afd042db1e65.txt</t>
  </si>
  <si>
    <t>2022热歌合集</t>
  </si>
  <si>
    <t>MA399851879695160004</t>
  </si>
  <si>
    <t>一直很安静</t>
  </si>
  <si>
    <t>https://i0.hdslb.com/bfs/station_src/music_metadata/780f73bfe8e1f7765464ee0a0a0eed27.jpg</t>
  </si>
  <si>
    <t>http://i0.hdslb.com/bfs/station_src/music_metadata/0b3803c82eb4614b0b75b15d12c28dcf</t>
  </si>
  <si>
    <t>《仙剑奇侠传》插曲</t>
  </si>
  <si>
    <t>仙剑奇侠传 电视剧原声带</t>
  </si>
  <si>
    <t>MA406538110516632242</t>
  </si>
  <si>
    <t>杀破狼</t>
  </si>
  <si>
    <t>JS</t>
  </si>
  <si>
    <t>https://i0.hdslb.com/bfs/station_src/music_metadata/009a08789c65c25d3ce5778799f03f07.jpg</t>
  </si>
  <si>
    <t>MA407125897896833306</t>
  </si>
  <si>
    <t>忘记时间</t>
  </si>
  <si>
    <t>胡歌</t>
  </si>
  <si>
    <t>https://i0.hdslb.com/bfs/station_src/music_metadata/febf21bd6bb636f1f63af25ab6e476c9.jpg</t>
  </si>
  <si>
    <t>http://i0.hdslb.com/bfs/station_src/music_metadata/ec8cb794762ba983775b0a929f8719a6</t>
  </si>
  <si>
    <t>《仙剑奇侠传3》电视剧片尾曲</t>
  </si>
  <si>
    <t>仙剑奇侠传三 电视剧原声带</t>
  </si>
  <si>
    <t>MA406539470259657394</t>
  </si>
  <si>
    <t>偏爱</t>
  </si>
  <si>
    <t>张芸京</t>
  </si>
  <si>
    <t>http://i0.hdslb.com/bfs/station_src/music_metadata/2815f03df7c5c046b47f16091ae806d5.jpg</t>
  </si>
  <si>
    <t>http://i0.hdslb.com/bfs/station_src/music_metadata/903ebc0a72b9bc980a12e91a939c9048</t>
  </si>
  <si>
    <t>《仙剑奇侠传3》电视剧插曲</t>
  </si>
  <si>
    <t>破天荒</t>
  </si>
  <si>
    <t>MA407125696268251418</t>
  </si>
  <si>
    <t>凉凉</t>
  </si>
  <si>
    <t>杨宗纬,张碧晨</t>
  </si>
  <si>
    <t>https://i0.hdslb.com/bfs/station_src/music_metadata/3bdb61155be7eaba220856e8e4001ac8.jpg</t>
  </si>
  <si>
    <t>http://i0.hdslb.com/bfs/station_src/music_metadata/50b70a6a183040e394289fcdb599ba43</t>
  </si>
  <si>
    <t>《三生三世十里桃花》电视剧片尾曲</t>
  </si>
  <si>
    <t>三生三世十里桃花 电视剧原声专辑</t>
  </si>
  <si>
    <t>MA456105972956416116</t>
  </si>
  <si>
    <t>醉了千古爱</t>
  </si>
  <si>
    <t>张涛</t>
  </si>
  <si>
    <t>https://i0.hdslb.com/bfs/station_src/music_metadata/7921e8b462476916d997948ddbb609b9.jpg</t>
  </si>
  <si>
    <t>https://i0.hdslb.com/bfs/station_src/music_metadata/3675f9e857e496178ca0d4de8ad92033.txt</t>
  </si>
  <si>
    <t>恩爱</t>
  </si>
  <si>
    <t>MA406539170333366962</t>
  </si>
  <si>
    <t>此生不换</t>
  </si>
  <si>
    <t>青鸟飞鱼</t>
  </si>
  <si>
    <t>http://i0.hdslb.com/bfs/station_src/music_metadata/450bd04688ef6a691b1adb816ace6155.jpg</t>
  </si>
  <si>
    <t>http://i0.hdslb.com/bfs/station_src/music_metadata/7bf96ace29b522409a57d8f5cd5a0c5e</t>
  </si>
  <si>
    <t>MA406623232909697891</t>
  </si>
  <si>
    <t>天下有情人</t>
  </si>
  <si>
    <t>周华健,齐豫</t>
  </si>
  <si>
    <t>http://i0.hdslb.com/bfs/station_src/music_metadata/32b1d8ea8f09ca00ef3d93e72d10d0ed.jpg</t>
  </si>
  <si>
    <t>http://i0.hdslb.com/bfs/station_src/music_metadata/8914d1737e34e0020644e2072ccfb2f4</t>
  </si>
  <si>
    <t>《天下有情人》粤语版|《神雕侠侣》电视剧主题曲</t>
  </si>
  <si>
    <t>烧得厉害4两个世界</t>
  </si>
  <si>
    <t>MA456131049861169655</t>
  </si>
  <si>
    <t>Stories</t>
  </si>
  <si>
    <t>https://i0.hdslb.com/bfs/station_src/music_metadata/dee56aac2b0d8e0ee92248f4bb73d0f2.jpg</t>
  </si>
  <si>
    <t>https://i0.hdslb.com/bfs/station_src/music_metadata/11c54ad122a5428cf8296e10df05c12b.txt</t>
  </si>
  <si>
    <t>个人声音自传 敢梦 (英文) 1978-1990</t>
  </si>
  <si>
    <t>MA456097080008554572</t>
  </si>
  <si>
    <t>玫瑰香 / 欢颜</t>
  </si>
  <si>
    <t>赵咏华</t>
  </si>
  <si>
    <t>https://i0.hdslb.com/bfs/station_src/music_metadata/0fb33384bc02f8ede93e576e6eac8f80.jpg</t>
  </si>
  <si>
    <t>https://i0.hdslb.com/bfs/station_src/music_metadata/b9310cd69fae390d10c79fc14f1ed126.txt</t>
  </si>
  <si>
    <t>快乐天堂 滚石30演唱会</t>
  </si>
  <si>
    <t>MA457770730281549611</t>
  </si>
  <si>
    <t>https://i0.hdslb.com/bfs/station_src/music_metadata/bb7db209e639fad48fa0e925cf5b0479.jpg</t>
  </si>
  <si>
    <t>https://i0.hdslb.com/bfs/station_src/music_metadata/f84e253223ed72cc5390394f42cca391.txt</t>
  </si>
  <si>
    <t>MA400016761811905739</t>
  </si>
  <si>
    <t>勇气</t>
  </si>
  <si>
    <t>http://i0.hdslb.com/bfs/station_src/music_metadata/11c1445caba5b2e661050ea97efee6b1.jpg</t>
  </si>
  <si>
    <t>MA406539458750463478</t>
  </si>
  <si>
    <t>会呼吸的痛</t>
  </si>
  <si>
    <t>http://i0.hdslb.com/bfs/station_src/music_metadata/247eee48c819026f723eb608ac47cb50.jpg</t>
  </si>
  <si>
    <t>http://i0.hdslb.com/bfs/station_src/music_metadata/ac4ac28156e6237b0a47b18c72ff07a4</t>
  </si>
  <si>
    <t>MA406539351829259748</t>
  </si>
  <si>
    <t>可惜不是你</t>
  </si>
  <si>
    <t>http://i0.hdslb.com/bfs/station_src/music_metadata/d11d1ab1fa3abef069874701df656335.jpg</t>
  </si>
  <si>
    <t>http://i0.hdslb.com/bfs/station_src/music_metadata/6c7202c0c2d6eb77f79b832791da9bda</t>
  </si>
  <si>
    <t>丝路</t>
  </si>
  <si>
    <t>MA406539185533524658</t>
  </si>
  <si>
    <t>小手拉大手</t>
  </si>
  <si>
    <t>http://i0.hdslb.com/bfs/station_src/music_metadata/f62de464de1a4f7c713cfee699f98e5c.jpg</t>
  </si>
  <si>
    <t>http://i0.hdslb.com/bfs/station_src/music_metadata/4942ea2bb09c406c7f54489e549f9730</t>
  </si>
  <si>
    <t>MA426036351893290928</t>
  </si>
  <si>
    <t>情深深雨蒙蒙</t>
  </si>
  <si>
    <t>杨胖雨</t>
  </si>
  <si>
    <t>http://i0.hdslb.com/bfs/station_src/music_metadata/2c6df3f0075658192b46e8852acd86b2.jpg</t>
  </si>
  <si>
    <t>情深深雨濛濛</t>
  </si>
  <si>
    <t>MA424754903571783081</t>
  </si>
  <si>
    <t>假如</t>
  </si>
  <si>
    <t>杜丽莎</t>
  </si>
  <si>
    <t>http://i0.hdslb.com/bfs/station_src/music_metadata/6f4e74acc9095fbeae55e9a41071311a.jpg</t>
  </si>
  <si>
    <t>http://i0.hdslb.com/bfs/station_src/music_metadata/e5761e6cd52e351d42abfdcf1d7f75f0</t>
  </si>
  <si>
    <t>I Still Remember</t>
  </si>
  <si>
    <t>MA406539456384869860</t>
  </si>
  <si>
    <t>https://i0.hdslb.com/bfs/station_src/music_metadata/df461555388d556675705b1e413e876d.jpg</t>
  </si>
  <si>
    <t>http://i0.hdslb.com/bfs/station_src/music_metadata/aad0c256d8916e3d3a7c730320b46445</t>
  </si>
  <si>
    <t>MA406539407126963684</t>
  </si>
  <si>
    <t>后来</t>
  </si>
  <si>
    <t>刘若英</t>
  </si>
  <si>
    <t>http://i0.hdslb.com/bfs/station_src/music_metadata/9edff8fe120061962ee52080c1a4411a.jpg</t>
  </si>
  <si>
    <t>http://i0.hdslb.com/bfs/station_src/music_metadata/636bb48052d9718bf2c8dc30460f6a7b</t>
  </si>
  <si>
    <t>我等你</t>
  </si>
  <si>
    <t>MA406552741456920054</t>
  </si>
  <si>
    <t>你一定要幸福</t>
  </si>
  <si>
    <t>何洁</t>
  </si>
  <si>
    <t>https://i0.hdslb.com/bfs/station_src/music_metadata/a8abab24a1b32763336ef9a71d4d1a8f.jpg</t>
  </si>
  <si>
    <t>http://i0.hdslb.com/bfs/station_src/music_metadata/b0cfac5d0355c8a1f230320565a79811</t>
  </si>
  <si>
    <t>美丽分贝 原声大碟</t>
  </si>
  <si>
    <t>MA406618507120229878</t>
  </si>
  <si>
    <t>只要平凡</t>
  </si>
  <si>
    <t>张杰,张碧晨</t>
  </si>
  <si>
    <t>https://i0.hdslb.com/bfs/station_src/music_metadata/f1cbee22b5aff630bfa615504a2d1560.jpg</t>
  </si>
  <si>
    <t>http://i0.hdslb.com/bfs/station_src/music_metadata/597bbbaf66f46bcbe5bdb9bb4323b982</t>
  </si>
  <si>
    <t>《我不是药神》电影主题曲</t>
  </si>
  <si>
    <t>MA399851949840700100</t>
  </si>
  <si>
    <t>江南</t>
  </si>
  <si>
    <t>https://i0.hdslb.com/bfs/station_src/music_metadata/9048beac283ff1336cc742f16ced5304.jpg</t>
  </si>
  <si>
    <t>http://i0.hdslb.com/bfs/station_src/music_metadata/89a96593b32c6ad188782f915579ba39</t>
  </si>
  <si>
    <t>第二天堂</t>
  </si>
  <si>
    <t>MA409256401022544222</t>
  </si>
  <si>
    <t>我和我的祖国</t>
  </si>
  <si>
    <t>李谷一,少年合唱团</t>
  </si>
  <si>
    <t>https://i0.hdslb.com/bfs/station_src/music_metadata/771b26d560f1fee8f4b8772d941687b2.jpg</t>
  </si>
  <si>
    <t>http://i0.hdslb.com/bfs/station_src/music_metadata/3de622a3a168b53cc76ecc7cbc19b2de</t>
  </si>
  <si>
    <t>2016 开学第一课</t>
  </si>
  <si>
    <t>MA432605418640904949</t>
  </si>
  <si>
    <t>映山红</t>
  </si>
  <si>
    <t>邓玉华</t>
  </si>
  <si>
    <t>http://i0.hdslb.com/bfs/station_src/music_metadata/dcc6f2d58672422f895a7e6108acb005.jpg</t>
  </si>
  <si>
    <t>红歌②</t>
  </si>
  <si>
    <t>MA428210974500120867</t>
  </si>
  <si>
    <t>今天是你的生日—中国</t>
  </si>
  <si>
    <t>https://i0.hdslb.com/bfs/station_src/music_metadata/e643ad96aadfeac83dfb86e1733dc534.jpg</t>
  </si>
  <si>
    <t>https://i0.hdslb.com/bfs/station_src/music_metadata/486927616183882e57d4e9c9f82115c3.txt</t>
  </si>
  <si>
    <t>谷建芬作品选 (一)</t>
  </si>
  <si>
    <t>MA468773382867940986</t>
  </si>
  <si>
    <t>https://i0.hdslb.com/bfs/station_src/music_metadata/7b334490ab9b375af214a6ee9f507c2c.jpg</t>
  </si>
  <si>
    <t>MA406552703540414832</t>
  </si>
  <si>
    <t>默</t>
  </si>
  <si>
    <t>http://i0.hdslb.com/bfs/station_src/music_metadata/dcf20adaad19567179fdc54f7bf1704f.jpg</t>
  </si>
  <si>
    <t>http://i0.hdslb.com/bfs/station_src/music_metadata/e39ee9d0c9c0216585b37d5ee4e2a9f5</t>
  </si>
  <si>
    <t>《何以笙箫默》电影插曲|《这！就是街舞》第四期背景音乐</t>
  </si>
  <si>
    <t>MA406618864659482992</t>
  </si>
  <si>
    <t>IF YOU</t>
  </si>
  <si>
    <t>BIGBANG</t>
  </si>
  <si>
    <t>https://i0.hdslb.com/bfs/station_src/music_metadata/bd59c86a27ba4cc684fb2b4e00d1020c.jpg</t>
  </si>
  <si>
    <t>http://i0.hdslb.com/bfs/station_src/music_metadata/ab9c22eb2b326cc4e7cec3116a75a30f</t>
  </si>
  <si>
    <t>MADE SERIES 《D》</t>
  </si>
  <si>
    <t>MA456096191889848396</t>
  </si>
  <si>
    <t>小时候</t>
  </si>
  <si>
    <t>黄晓明</t>
  </si>
  <si>
    <t>https://i0.hdslb.com/bfs/station_src/music_metadata/f689066d83e1cfa3c0fca83925d4aa23.jpg</t>
  </si>
  <si>
    <t>https://i0.hdslb.com/bfs/station_src/music_metadata/3d81746cb471a4e6f324aa92573fa356.txt</t>
  </si>
  <si>
    <t>2016湖南卫视小年夜春晚</t>
  </si>
  <si>
    <t>MA409253714218510686</t>
  </si>
  <si>
    <t>记得</t>
  </si>
  <si>
    <t>https://i0.hdslb.com/bfs/station_src/music_metadata/a4563c3ebf865d156819a10b3fece14a.jpg</t>
  </si>
  <si>
    <t>http://i0.hdslb.com/bfs/station_src/music_metadata/a32e863c3e9a91d1533e4b2dd67c41ab</t>
  </si>
  <si>
    <t>MA456157687080569443</t>
  </si>
  <si>
    <t>https://i0.hdslb.com/bfs/station_src/music_metadata/940936edf335c5bcdab39a6d7ef79866.jpg</t>
  </si>
  <si>
    <t>https://i0.hdslb.com/bfs/station_src/music_metadata/2f72d3a1d6bcbcc356e539378d480b41.txt</t>
  </si>
  <si>
    <t>新城唱好张敬轩．情轩一发．音乐会</t>
  </si>
  <si>
    <t>MA464018132147655734</t>
  </si>
  <si>
    <t>https://i0.hdslb.com/bfs/station_src/music_metadata/07d2d6236c11df800e575eecd6067154.jpg</t>
  </si>
  <si>
    <t>https://i0.hdslb.com/bfs/station_src/music_metadata/5406b67c957e089e55ffe0094ebbbcac.txt</t>
  </si>
  <si>
    <t>我好想你/我好恨你</t>
  </si>
  <si>
    <t>MA456102339212757108</t>
  </si>
  <si>
    <t>你</t>
  </si>
  <si>
    <t>低才生</t>
  </si>
  <si>
    <t>https://i0.hdslb.com/bfs/station_src/music_metadata/e461d01c27eebdf680b9228d6dfda257.jpg</t>
  </si>
  <si>
    <t>https://i0.hdslb.com/bfs/station_src/music_metadata/3892f4dbd4e598884747077ea7332c22.txt</t>
  </si>
  <si>
    <t>阿七</t>
  </si>
  <si>
    <t>MA455994935183731014</t>
  </si>
  <si>
    <t>蓝眼睛</t>
  </si>
  <si>
    <t>张韶涵,苏打绿</t>
  </si>
  <si>
    <t>https://i0.hdslb.com/bfs/station_src/music_metadata/0de9a5b749cdf538b8d77be5c12be0f7.jpg</t>
  </si>
  <si>
    <t>https://i0.hdslb.com/bfs/station_src/music_metadata/4fddaec45c983582e65894c26c294d3d.txt</t>
  </si>
  <si>
    <t>MA399851934825091780</t>
  </si>
  <si>
    <t>星辰大海</t>
  </si>
  <si>
    <t>黄霄雲</t>
  </si>
  <si>
    <t>http://i0.hdslb.com/bfs/station_src/music_metadata/ca24fafb684d7c01cd5d36d80d309e9b.jpg</t>
  </si>
  <si>
    <t>http://i0.hdslb.com/bfs/station_src/music_metadata/c2c80feecca32d72661cd9d636cb1470</t>
  </si>
  <si>
    <t>MA409256576260565342</t>
  </si>
  <si>
    <t>康美之恋</t>
  </si>
  <si>
    <t>https://i0.hdslb.com/bfs/station_src/music_metadata/1fff1a8e81bf36551f9cd0dc95c09a22.jpg</t>
  </si>
  <si>
    <t>http://i0.hdslb.com/bfs/station_src/music_metadata/01f24e1d02b179503db0981c274ca7dc</t>
  </si>
  <si>
    <t>MA409255339024771422</t>
  </si>
  <si>
    <t>天下无双</t>
  </si>
  <si>
    <t>https://i0.hdslb.com/bfs/station_src/music_metadata/8a9a05e416a5aae71d43891deec77cee.jpg</t>
  </si>
  <si>
    <t>http://i0.hdslb.com/bfs/station_src/music_metadata/c5fc09532e5820e7a118ec34272ea752</t>
  </si>
  <si>
    <t>我的快乐时代</t>
  </si>
  <si>
    <t>MA399852126521561796</t>
  </si>
  <si>
    <t>海底</t>
  </si>
  <si>
    <t>一支榴莲</t>
  </si>
  <si>
    <t>https://i0.hdslb.com/bfs/station_src/music_metadata/d686086920339a08b47dba72e330b1c7.jpg</t>
  </si>
  <si>
    <t>http://i0.hdslb.com/bfs/station_src/music_metadata/80aa9f5d4abeca66476cf049a6f72bc5</t>
  </si>
  <si>
    <t>MA451860414209218398</t>
  </si>
  <si>
    <t>春天在哪里</t>
  </si>
  <si>
    <t>儿歌多多</t>
  </si>
  <si>
    <t>https://i0.hdslb.com/bfs/station_src/music_metadata/d90656696067e09c6f9e44a71fc8dc9a.jpg</t>
  </si>
  <si>
    <t>儿歌多多经典儿歌大全</t>
  </si>
  <si>
    <t>MA414011530376445866</t>
  </si>
  <si>
    <t>http://i0.hdslb.com/bfs/station_src/music_metadata/61b7d61c87f86c10302a9e1f92e7a8a0.jpg</t>
  </si>
  <si>
    <t>http://i0.hdslb.com/bfs/station_src/music_metadata/5babee9edc31491ab09d95b959e1fccc</t>
  </si>
  <si>
    <t>2004-06-04</t>
  </si>
  <si>
    <t xml:space="preserve"> 第二天堂</t>
  </si>
  <si>
    <t>MA409255698224965982</t>
  </si>
  <si>
    <t>最初的梦想</t>
  </si>
  <si>
    <t>范玮琪</t>
  </si>
  <si>
    <t>https://i0.hdslb.com/bfs/station_src/music_metadata/6ad9d164e699cd0ad7d6aff7fd5d43a4.jpg</t>
  </si>
  <si>
    <t>http://i0.hdslb.com/bfs/station_src/music_metadata/aa99bb49c8319c0a85e3fd26595b4392</t>
  </si>
  <si>
    <t>《大长今》电视剧片头曲</t>
  </si>
  <si>
    <t>MA409257866915015006</t>
  </si>
  <si>
    <t>Vol.85 你妹KTV3</t>
  </si>
  <si>
    <t>好妹妹</t>
  </si>
  <si>
    <t>https://i0.hdslb.com/bfs/station_src/music_metadata/12878fe4cc8b1b6613acc19904f5df57.jpg</t>
  </si>
  <si>
    <t>你好妹妹Radio</t>
  </si>
  <si>
    <t>MA413047116324163057</t>
  </si>
  <si>
    <t>一期一会</t>
  </si>
  <si>
    <t>https://i0.hdslb.com/bfs/station_src/music_metadata/562ddcfe7143b07ad71582139635d8b0.jpg</t>
  </si>
  <si>
    <t>https://i0.hdslb.com/bfs/station_src/music_metadata/4b0bb1977b6cbbc4af184e67aed6bdbc.txt</t>
  </si>
  <si>
    <t>一期一会《未闻花名》</t>
  </si>
  <si>
    <t>MA409251921707198814</t>
  </si>
  <si>
    <t>外婆的澎湖灣</t>
  </si>
  <si>
    <t>潘安邦</t>
  </si>
  <si>
    <t>https://i0.hdslb.com/bfs/station_src/music_metadata/610491f3ef5093a37b6454d9b0a97b36.jpg</t>
  </si>
  <si>
    <t>国民歌手 潘安邦 (壹)</t>
  </si>
  <si>
    <t>MA455992359511941268</t>
  </si>
  <si>
    <t>如果没有你</t>
  </si>
  <si>
    <t>https://i0.hdslb.com/bfs/station_src/music_metadata/fe7f57a6abd6d398351d22a361c11e3b.jpg</t>
  </si>
  <si>
    <t>https://i0.hdslb.com/bfs/station_src/music_metadata/2409f4fce2868c668a002135efe28810.txt</t>
  </si>
  <si>
    <t>原唱：莫文蔚</t>
  </si>
  <si>
    <t>我是歌手第二季 第7期</t>
  </si>
  <si>
    <t>MA456095778365028428</t>
  </si>
  <si>
    <t>https://i0.hdslb.com/bfs/station_src/music_metadata/ca2676efd528bdeb68e8a949d93d8726.jpg</t>
  </si>
  <si>
    <t>https://i0.hdslb.com/bfs/station_src/music_metadata/b549c9094e1c9b91e7be446407ec656b.txt</t>
  </si>
  <si>
    <t>精彩音乐汇</t>
  </si>
  <si>
    <t>MA406537362336654820</t>
  </si>
  <si>
    <t>有一种悲伤</t>
  </si>
  <si>
    <t>http://i0.hdslb.com/bfs/station_src/music_metadata/54b5e8dcf01549791441050bf61fc5dd.jpg</t>
  </si>
  <si>
    <t>MA455998842110793883</t>
  </si>
  <si>
    <t>https://i0.hdslb.com/bfs/station_src/music_metadata/01ff482975bfb0503dec2a66d55603ad.jpg</t>
  </si>
  <si>
    <t>https://i0.hdslb.com/bfs/station_src/music_metadata/bd38829ceca12fdd42e3dcc7590df366.txt</t>
  </si>
  <si>
    <t>蒙面唱将猜猜猜 第11期</t>
  </si>
  <si>
    <t>MA406539399526893936</t>
  </si>
  <si>
    <t>http://i0.hdslb.com/bfs/station_src/music_metadata/a9b43805ff5aa92d45ef62bce0afe1ea.jpg</t>
  </si>
  <si>
    <t>http://i0.hdslb.com/bfs/station_src/music_metadata/24997dd0952e21fd7706e781e8adb905</t>
  </si>
  <si>
    <t>情话多说一点</t>
  </si>
  <si>
    <t>MA409257943654000990</t>
  </si>
  <si>
    <t>只对你有感觉</t>
  </si>
  <si>
    <t>飞轮海,田馥甄</t>
  </si>
  <si>
    <t>https://i0.hdslb.com/bfs/station_src/music_metadata/008e76ad7e832d9f11cdcd14dec37a64.jpg</t>
  </si>
  <si>
    <t>http://i0.hdslb.com/bfs/station_src/music_metadata/1364d6164322b66ef30603b1366edc5d</t>
  </si>
  <si>
    <t>《东方茱丽叶》电视剧插曲</t>
  </si>
  <si>
    <t>东方茱丽叶 电视原声带</t>
  </si>
  <si>
    <t>MA464921960669806461</t>
  </si>
  <si>
    <t>他没那么喜欢你</t>
  </si>
  <si>
    <t>DJ赵宇</t>
  </si>
  <si>
    <t>https://i0.hdslb.com/bfs/station_src/music_metadata/f3071f8001b4ef0e0681e0e06752a85a.jpg</t>
  </si>
  <si>
    <t>宇子的小夜曲</t>
  </si>
  <si>
    <t>MA399851912242959044</t>
  </si>
  <si>
    <t>独上西楼</t>
  </si>
  <si>
    <t>https://i0.hdslb.com/bfs/station_src/music_metadata/1d57728eb6fc17e0295b55c2d7f90c63.jpg</t>
  </si>
  <si>
    <t>http://i0.hdslb.com/bfs/station_src/music_metadata/69f45b36c3f3f11e2b7a1fc06e9120da</t>
  </si>
  <si>
    <t>邓丽君精选1</t>
  </si>
  <si>
    <t>MA409252348989335902</t>
  </si>
  <si>
    <t>烛光里的妈妈</t>
  </si>
  <si>
    <t>https://i0.hdslb.com/bfs/station_src/music_metadata/4a792467b412816853c15cf3351db857.jpg</t>
  </si>
  <si>
    <t>http://i0.hdslb.com/bfs/station_src/music_metadata/e488a38e024370b52e526d0bf299b6d9</t>
  </si>
  <si>
    <t>原唱经典名曲珍藏2</t>
  </si>
  <si>
    <t>MA421688115225169010</t>
  </si>
  <si>
    <t>天之大</t>
  </si>
  <si>
    <t>https://i0.hdslb.com/bfs/station_src/music_metadata/5d003420eda734ee91e6ce9e7d816317.jpg</t>
  </si>
  <si>
    <t>https://i0.hdslb.com/bfs/station_src/music_metadata/9748587dd5ed905c8c255eff4c762f86.txt</t>
  </si>
  <si>
    <t>腔.调</t>
  </si>
  <si>
    <t>MA456141673496362413</t>
  </si>
  <si>
    <t xml:space="preserve"> Intorno all'idol mio</t>
  </si>
  <si>
    <t>Teresa Berganza,Felix Lavilla</t>
  </si>
  <si>
    <t>https://i0.hdslb.com/bfs/station_src/music_metadata/cdb05d26b1b2f4953055f260fee40a88.jpg</t>
  </si>
  <si>
    <t>https://i0.hdslb.com/bfs/station_src/music_metadata/0239bb6771efc45782c6e4a36c06dfdf.txt</t>
  </si>
  <si>
    <t>Una voce poco fa - A Portrait of Teresa Berganza</t>
  </si>
  <si>
    <t>MA456231211686215103</t>
  </si>
  <si>
    <t>跟着你到天边</t>
  </si>
  <si>
    <t>吴青峰</t>
  </si>
  <si>
    <t>https://i0.hdslb.com/bfs/station_src/music_metadata/3492f067a0464399c415438c889f5d97.jpg</t>
  </si>
  <si>
    <t>https://i0.hdslb.com/bfs/station_src/music_metadata/b646bb50ba158d1f36c68b60c6351167.txt</t>
  </si>
  <si>
    <t>《归来》电影主题推广曲</t>
  </si>
  <si>
    <t>归来 电影原声带</t>
  </si>
  <si>
    <t>MA407125570137141530</t>
  </si>
  <si>
    <t>红颜劫</t>
  </si>
  <si>
    <t>https://i0.hdslb.com/bfs/station_src/music_metadata/7439ca9fcff597a63723ee3d86fee7a2.jpg</t>
  </si>
  <si>
    <t>http://i0.hdslb.com/bfs/station_src/music_metadata/d2a83c08a878990f6c49b682ac7ea6de</t>
  </si>
  <si>
    <t>《甄嬛传》电视剧片头主题曲</t>
  </si>
  <si>
    <t>MA418209702531339526</t>
  </si>
  <si>
    <t>红颜旧</t>
  </si>
  <si>
    <t>刘涛</t>
  </si>
  <si>
    <t>https://i0.hdslb.com/bfs/station_src/music_metadata/4acca364560014e7b3320315db233f6e.jpg</t>
  </si>
  <si>
    <t>http://i0.hdslb.com/bfs/station_src/music_metadata/960777161a66fd64ca416220ee622b30</t>
  </si>
  <si>
    <t>《琅琊榜》电视剧插曲</t>
  </si>
  <si>
    <t>琅琊榜 电视剧原声带</t>
  </si>
  <si>
    <t>MA407125767386840210</t>
  </si>
  <si>
    <t>化身孤岛的鲸</t>
  </si>
  <si>
    <t>李日朗</t>
  </si>
  <si>
    <t>http://i0.hdslb.com/bfs/station_src/music_metadata/8c0df79b6a51661bd2f64147d4612fb1.jpg</t>
  </si>
  <si>
    <t>http://i0.hdslb.com/bfs/station_src/music_metadata/bdc5a57e8bb59f455d05a3b4a3b302d8</t>
  </si>
  <si>
    <t>MA407126374319436058</t>
  </si>
  <si>
    <t>野百合也有春天</t>
  </si>
  <si>
    <t>孟庭苇</t>
  </si>
  <si>
    <t>https://i0.hdslb.com/bfs/station_src/music_metadata/0b9fa00803b9d52e17bd851232925875.jpg</t>
  </si>
  <si>
    <t>http://i0.hdslb.com/bfs/station_src/music_metadata/bc6bda669bf115f36ccb0e33b499125e</t>
  </si>
  <si>
    <t>花开花飞春又来</t>
  </si>
  <si>
    <t>MA455969537532117766</t>
  </si>
  <si>
    <t>又见炊烟</t>
  </si>
  <si>
    <t>https://i0.hdslb.com/bfs/station_src/music_metadata/e895f850cdac424a6c2033816f6fd713.jpg</t>
  </si>
  <si>
    <t>https://i0.hdslb.com/bfs/station_src/music_metadata/080766a9fbb514170a7488d17cc024a4.txt</t>
  </si>
  <si>
    <t>菲靡靡之音</t>
  </si>
  <si>
    <t>MA400016796205198539</t>
  </si>
  <si>
    <t>慢慢喜欢你</t>
  </si>
  <si>
    <t>https://i0.hdslb.com/bfs/station_src/music_metadata/e3900bdbf7412a528714d43012a53567.jpg</t>
  </si>
  <si>
    <t>http://i0.hdslb.com/bfs/station_src/music_metadata/3333265af451e66a565c52c52aa85a91</t>
  </si>
  <si>
    <t>我们在中场相遇</t>
  </si>
  <si>
    <t>MA406552728689452516</t>
  </si>
  <si>
    <t>https://i0.hdslb.com/bfs/station_src/music_metadata/932e8dfc6da200a0e8bac6f301c78184.jpg</t>
  </si>
  <si>
    <t>http://i0.hdslb.com/bfs/station_src/music_metadata/e51e5009d5ff192011aa88f30739d415</t>
  </si>
  <si>
    <t>live</t>
  </si>
  <si>
    <t>崽崽</t>
  </si>
  <si>
    <t>MA406552786285641206</t>
  </si>
  <si>
    <t>妥协</t>
  </si>
  <si>
    <t>http://i0.hdslb.com/bfs/station_src/music_metadata/3d66ea7591714d2b93a06ffc3b01a887.jpg</t>
  </si>
  <si>
    <t>http://i0.hdslb.com/bfs/station_src/music_metadata/83d0afa45c7ff3186081cd92a653700c</t>
  </si>
  <si>
    <t>MA400016570635529419</t>
  </si>
  <si>
    <t>日不落</t>
  </si>
  <si>
    <t>http://i0.hdslb.com/bfs/station_src/music_metadata/309b737bee1c5122fb5159f94dbbef89.jpg</t>
  </si>
  <si>
    <t>http://i0.hdslb.com/bfs/station_src/music_metadata/98abaa827de1ffb433b63da44c314385</t>
  </si>
  <si>
    <t>特务J</t>
  </si>
  <si>
    <t>MA399851916739252932</t>
  </si>
  <si>
    <t>队长</t>
  </si>
  <si>
    <t>http://i0.hdslb.com/bfs/station_src/music_metadata/cb5f3d6bbcd195b306547344a594afc5.jpg</t>
  </si>
  <si>
    <t>http://i0.hdslb.com/bfs/station_src/music_metadata/cc9d25959002c83353dc8136c2546bf3</t>
  </si>
  <si>
    <t>音乐榜最高NO.5</t>
  </si>
  <si>
    <t>MA432124387857028541</t>
  </si>
  <si>
    <t>forever young</t>
  </si>
  <si>
    <t>blue</t>
  </si>
  <si>
    <t>https://i0.hdslb.com/bfs/station_src/music_metadata/2e047e7ecdc68509f7d2e34c80a9c759.jpg</t>
  </si>
  <si>
    <t>https://i0.hdslb.com/bfs/station_src/music_metadata/17fd6bc66ffacde49f7b02c0d2c80b3c.txt</t>
  </si>
  <si>
    <t>自娱自乐</t>
  </si>
  <si>
    <t>MA456095846279170659</t>
  </si>
  <si>
    <t>浏阳河</t>
  </si>
  <si>
    <t>李谷一</t>
  </si>
  <si>
    <t>https://i0.hdslb.com/bfs/station_src/music_metadata/8da95ecb0ac14b3afd37549bd8ccd36b.jpg</t>
  </si>
  <si>
    <t>https://i0.hdslb.com/bfs/station_src/music_metadata/119c275854ad0cb9162eb161a9341c81.txt</t>
  </si>
  <si>
    <t>流淌不尽的中国民歌—在那遥远的地方</t>
  </si>
  <si>
    <t>MA406552726860745072</t>
  </si>
  <si>
    <t>风吹麦浪</t>
  </si>
  <si>
    <t>http://i0.hdslb.com/bfs/station_src/music_metadata/b433b9fe43a8e9761f8e6e25f559f2e5.jpg</t>
  </si>
  <si>
    <t>http://i0.hdslb.com/bfs/station_src/music_metadata/fb79453dbfdef458bd35699612e2dfe7</t>
  </si>
  <si>
    <t>《女人的战争》电视剧片尾曲</t>
  </si>
  <si>
    <t>想念你</t>
  </si>
  <si>
    <t>MA406539136711805296</t>
  </si>
  <si>
    <t>需要人陪</t>
  </si>
  <si>
    <t>http://i0.hdslb.com/bfs/station_src/music_metadata/bc4ae9ac890c0a9148f9fe02ab749349.jpg</t>
  </si>
  <si>
    <t>https://i0.hdslb.com/bfs/station_src/music_metadata/149a1a23ac14edef2334d633058d0b09.txt</t>
  </si>
  <si>
    <t>十八般武艺</t>
  </si>
  <si>
    <t>MA406539413686855140</t>
  </si>
  <si>
    <t>我等到花儿也谢了</t>
  </si>
  <si>
    <t>http://i0.hdslb.com/bfs/station_src/music_metadata/3d435d5c0d0855b113b9b0fb3bf58e2c.jpg</t>
  </si>
  <si>
    <t>http://i0.hdslb.com/bfs/station_src/music_metadata/231edb2a12f4ae91f7af9e0c7c265dcc</t>
  </si>
  <si>
    <t>真爱 新曲 + 真正精选</t>
  </si>
  <si>
    <t>MA456105526162414202</t>
  </si>
  <si>
    <t>痴梦</t>
  </si>
  <si>
    <t>黄英</t>
  </si>
  <si>
    <t>https://i0.hdslb.com/bfs/station_src/music_metadata/8a1e6bace9875b28b1c9cf22f8fbb3cf.jpg</t>
  </si>
  <si>
    <t>https://i0.hdslb.com/bfs/station_src/music_metadata/257f08d1523885697129eea6dd48557b.txt</t>
  </si>
  <si>
    <t>痴梦 to唯今</t>
  </si>
  <si>
    <t>MA406537392753756528</t>
  </si>
  <si>
    <t>天外来物</t>
  </si>
  <si>
    <t>http://i0.hdslb.com/bfs/archive/8b7edf4f1afa32157667c9e603cd4653eb4c953a.jpg</t>
  </si>
  <si>
    <t>MA406552715921991140</t>
  </si>
  <si>
    <t>心动</t>
  </si>
  <si>
    <t>http://i0.hdslb.com/bfs/station_src/music_metadata/e87ce66c7e44d0a48c30f39087720af4.jpg</t>
  </si>
  <si>
    <t>http://i0.hdslb.com/bfs/station_src/music_metadata/54c58b0487fee49aa4b9022383a5c923</t>
  </si>
  <si>
    <t>MA406623242506208872</t>
  </si>
  <si>
    <t>FLY ME TO THE MOON</t>
  </si>
  <si>
    <t>林原惠美</t>
  </si>
  <si>
    <t>https://i0.hdslb.com/bfs/station_src/music_metadata/861100787bfa0808cb4c433309fa1394.jpg</t>
  </si>
  <si>
    <t>http://i0.hdslb.com/bfs/station_src/music_metadata/c0c22ebc3cc752b2488c1cc84aff0242</t>
  </si>
  <si>
    <t>bertemu</t>
  </si>
  <si>
    <t>MA400115792500262020</t>
  </si>
  <si>
    <t>母系社会</t>
  </si>
  <si>
    <t>http://i0.hdslb.com/bfs/station_src/music_metadata/93235c218317f4f64a265aa204b2808e.jpg</t>
  </si>
  <si>
    <t>http://i0.hdslb.com/bfs/station_src/music_metadata/cec0a2d924d46321d99a34dde57a3f83</t>
  </si>
  <si>
    <t>阿密特2</t>
  </si>
  <si>
    <t>MA456148550376536140</t>
  </si>
  <si>
    <t>迟到千年</t>
  </si>
  <si>
    <t>https://i0.hdslb.com/bfs/station_src/music_metadata/41ad516c3398cd443f30ea6fca69d95b.jpg</t>
  </si>
  <si>
    <t>https://i0.hdslb.com/bfs/station_src/music_metadata/8652666bcd074e29ff603dd716749166.txt</t>
  </si>
  <si>
    <t>献给狄奥尼索斯（翻唱专辑）</t>
  </si>
  <si>
    <t>MA457216642288509523</t>
  </si>
  <si>
    <t>先行离去</t>
  </si>
  <si>
    <t>吴奇</t>
  </si>
  <si>
    <t>https://i0.hdslb.com/bfs/station_src/music_metadata/2ab3a218dcb31c125ffa43f2fed50fdc.jpg</t>
  </si>
  <si>
    <t>https://i0.hdslb.com/bfs/station_src/music_metadata/3d41af6e60a94a6efa1b22cc893bcf2e.txt</t>
  </si>
  <si>
    <t>MA409252271109499230</t>
  </si>
  <si>
    <t>千言万语</t>
  </si>
  <si>
    <t>https://i0.hdslb.com/bfs/station_src/music_metadata/19c273df71aa5f1fa70772f958b331a4.jpg</t>
  </si>
  <si>
    <t>http://i0.hdslb.com/bfs/station_src/music_metadata/3a247556a205d8ec11b927df9fb446a4</t>
  </si>
  <si>
    <t>1994香港最精彩演唱会</t>
  </si>
  <si>
    <t>王菲最精彩的演唱会</t>
  </si>
  <si>
    <t>MA409255444855449950</t>
  </si>
  <si>
    <t>心愿便利贴</t>
  </si>
  <si>
    <t>元若蓝,大Q秉洛</t>
  </si>
  <si>
    <t>https://i0.hdslb.com/bfs/station_src/music_metadata/eb2ea0d92ea01037d0bf40b84f74ba3c.jpg</t>
  </si>
  <si>
    <t>http://i0.hdslb.com/bfs/station_src/music_metadata/6a24f1c6a9c77280bdcb81d7f5d991ea</t>
  </si>
  <si>
    <t>《命中注定我爱你》电视剧片尾曲</t>
  </si>
  <si>
    <t>命中注定我爱你 电视剧原声带</t>
  </si>
  <si>
    <t>MA406539470561647282</t>
  </si>
  <si>
    <t>恶作剧</t>
  </si>
  <si>
    <t>王蓝茵</t>
  </si>
  <si>
    <t>http://i0.hdslb.com/bfs/station_src/music_metadata/734385254023262eb704ee972458841d.jpg</t>
  </si>
  <si>
    <t>http://i0.hdslb.com/bfs/station_src/music_metadata/52b02dbc9fc54a831230a845139047a5</t>
  </si>
  <si>
    <t>《 恶作剧之吻》电视剧片尾曲</t>
  </si>
  <si>
    <t>恶作剧之吻 电视剧原声带</t>
  </si>
  <si>
    <t>MA406536905895790960</t>
  </si>
  <si>
    <t>小酒窝</t>
  </si>
  <si>
    <t>林俊杰,蔡卓妍</t>
  </si>
  <si>
    <t>https://i0.hdslb.com/bfs/station_src/music_metadata/6a7ad9a408532b4f36924ef9299855bb.jpg</t>
  </si>
  <si>
    <t>http://i0.hdslb.com/bfs/station_src/music_metadata/0f62e97f70efcb971264c911fdcc4e02</t>
  </si>
  <si>
    <t>《爱情睡醒了》电视剧插曲</t>
  </si>
  <si>
    <t>MA409257863408576862</t>
  </si>
  <si>
    <t>怎么办</t>
  </si>
  <si>
    <t>https://i0.hdslb.com/bfs/station_src/music_metadata/63a9e5243ff3e4d2b579dd40ffacf452.jpg</t>
  </si>
  <si>
    <t>https://i0.hdslb.com/bfs/station_src/music_metadata/630862126773af500d2ee0f436f2c516.txt</t>
  </si>
  <si>
    <t>花样少年少女 电视剧原声带</t>
  </si>
  <si>
    <t>MA407126378647957786</t>
  </si>
  <si>
    <t>终于等到你</t>
  </si>
  <si>
    <t>https://i0.hdslb.com/bfs/station_src/music_metadata/01ee913fa087e1bd968660051e135c18.jpg</t>
  </si>
  <si>
    <t>http://i0.hdslb.com/bfs/station_src/music_metadata/303046c027babfec53ddaa6fa555d0f7</t>
  </si>
  <si>
    <t>《咱们结婚吧》电视剧主题曲</t>
  </si>
  <si>
    <t>第七感</t>
  </si>
  <si>
    <t>MA409253589463132510</t>
  </si>
  <si>
    <t>如果这就是爱情</t>
  </si>
  <si>
    <t>https://i0.hdslb.com/bfs/station_src/music_metadata/8a1a2e8eae488691d629f3d2f1e80285.jpg</t>
  </si>
  <si>
    <t>http://i0.hdslb.com/bfs/station_src/music_metadata/c5ab5a99f4a67ed9c0a214fd1cf9769d</t>
  </si>
  <si>
    <t>我相信</t>
  </si>
  <si>
    <t>MA457072099056443740</t>
  </si>
  <si>
    <t>https://i0.hdslb.com/bfs/station_src/music_metadata/5e2ec185bfe0b01a499ae1b0b579d167.jpg</t>
  </si>
  <si>
    <t>https://i0.hdslb.com/bfs/station_src/music_metadata/04d7571fd896b00132c21369fc27e499.txt</t>
  </si>
  <si>
    <t>2006超级女声10强入围赛第一场</t>
  </si>
  <si>
    <t>MA421284931881207432</t>
  </si>
  <si>
    <t>我爱你，中国</t>
  </si>
  <si>
    <t>叶佩英</t>
  </si>
  <si>
    <t>https://i0.hdslb.com/bfs/station_src/music_metadata/8e8bbac61cafd32bccaae8e8a67e85c8.jpg</t>
  </si>
  <si>
    <t>《海外赤子》电影插曲</t>
  </si>
  <si>
    <t>MA456159027798231156</t>
  </si>
  <si>
    <t>https://i0.hdslb.com/bfs/station_src/music_metadata/f434ff62575a359495993c554220b92e.jpg</t>
  </si>
  <si>
    <t>https://i0.hdslb.com/bfs/station_src/music_metadata/d701b70e896c7f9b721efba8e7c16f5a.txt</t>
  </si>
  <si>
    <t>山丹丹花开</t>
  </si>
  <si>
    <t>MA456125747086510196</t>
  </si>
  <si>
    <t>情深意长</t>
  </si>
  <si>
    <t>https://i0.hdslb.com/bfs/station_src/music_metadata/b2d1dbd15276284cc698eb980ba29a93.jpg</t>
  </si>
  <si>
    <t>https://i0.hdslb.com/bfs/station_src/music_metadata/51d0a152295d18ee57f4b04d85af8f96.txt</t>
  </si>
  <si>
    <t>MA407125553779355930</t>
  </si>
  <si>
    <t>歌者</t>
  </si>
  <si>
    <t>https://i0.hdslb.com/bfs/station_src/music_metadata/3d78d4146f3283aaac04b4050b28bc9c.jpg</t>
  </si>
  <si>
    <t>http://i0.hdslb.com/bfs/station_src/music_metadata/1d0f6c9719178c262311acdf3f92b492</t>
  </si>
  <si>
    <t>《三体》广播剧最终季主题曲</t>
  </si>
  <si>
    <t>MA406539161055566514</t>
  </si>
  <si>
    <t>https://i0.hdslb.com/bfs/station_src/music_metadata/ca40eee41363690306ca184b31dd7424.jpg</t>
  </si>
  <si>
    <t>http://i0.hdslb.com/bfs/station_src/music_metadata/ef4f59db79321f69ff6727607be0915b</t>
  </si>
  <si>
    <t>梦中的你</t>
  </si>
  <si>
    <t>MA416058998748382853</t>
  </si>
  <si>
    <t>后会无期</t>
  </si>
  <si>
    <t>https://i0.hdslb.com/bfs/station_src/music_metadata/59acc49ce3141fb40eb8085a23c465b5.jpg</t>
  </si>
  <si>
    <t>https://i0.hdslb.com/bfs/station_src/music_metadata/c02c910c44a6e489b0c6dcf933624d23.txt</t>
  </si>
  <si>
    <t>《后会无期》电影同名主题歌</t>
  </si>
  <si>
    <t>后会无期 电影原声带</t>
  </si>
  <si>
    <t>MA406539299920562544</t>
  </si>
  <si>
    <t>胡广生</t>
  </si>
  <si>
    <t>http://i0.hdslb.com/bfs/station_src/music_metadata/d11c0649e9a1afe1b9918c21b5ccdfed.jpg</t>
  </si>
  <si>
    <t>http://i0.hdslb.com/bfs/station_src/music_metadata/19201b92065475f325f8e06675000568</t>
  </si>
  <si>
    <t>《无名之辈》电影宣传推广曲</t>
  </si>
  <si>
    <t>MA417630254937439816</t>
  </si>
  <si>
    <t>香水有毒</t>
  </si>
  <si>
    <t>胡杨林</t>
  </si>
  <si>
    <t>https://i0.hdslb.com/bfs/station_src/music_metadata/d9339da5cd6f9d2c8698de3475fe848f.jpg</t>
  </si>
  <si>
    <t>http://i0.hdslb.com/bfs/station_src/music_metadata/953b6bcd42baa516e095ffdf65d77a65</t>
  </si>
  <si>
    <t>香水有毒(宣传单曲)</t>
  </si>
  <si>
    <t>MA407125564013457690</t>
  </si>
  <si>
    <t>好春光</t>
  </si>
  <si>
    <t>吴彤</t>
  </si>
  <si>
    <t>http://i0.hdslb.com/bfs/station_src/music_metadata/bbe9911dfaf60aed77117f51b4b99c21.jpg</t>
  </si>
  <si>
    <t>http://i0.hdslb.com/bfs/station_src/music_metadata/d05a94fbca4d56af4fee29e533327264</t>
  </si>
  <si>
    <t>《春光灿烂猪八戒》电视剧主题曲</t>
  </si>
  <si>
    <t>春光灿烂猪八戒 电视剧原声带</t>
  </si>
  <si>
    <t>MA406552713556433586</t>
  </si>
  <si>
    <t>再回首</t>
  </si>
  <si>
    <t>姜育恒</t>
  </si>
  <si>
    <t>http://i0.hdslb.com/bfs/station_src/music_metadata/07adb78131cfcf67832ee785a73004e3.jpg</t>
  </si>
  <si>
    <t>http://i0.hdslb.com/bfs/station_src/music_metadata/61a4a2329767865c6ee9f01c3996a197</t>
  </si>
  <si>
    <t>多年以后・再回首</t>
  </si>
  <si>
    <t>MA455942382467202477</t>
  </si>
  <si>
    <t>咕叽咕叽</t>
  </si>
  <si>
    <t>https://i0.hdslb.com/bfs/station_src/music_metadata/10cb8eb19578324e172197369835d71e.jpg</t>
  </si>
  <si>
    <t>https://i0.hdslb.com/bfs/station_src/music_metadata/7f1510490e67513d3043ec226d2c77e2.txt</t>
  </si>
  <si>
    <t>MA456079673009390342</t>
  </si>
  <si>
    <t>https://i0.hdslb.com/bfs/station_src/music_metadata/414e8c37ea352a6134832cd36bd522ff.jpg</t>
  </si>
  <si>
    <t>https://i0.hdslb.com/bfs/station_src/music_metadata/83327928bdd8a1c4a285756d3949aee4.txt</t>
  </si>
  <si>
    <t>I AM 世界巡回演唱会</t>
  </si>
  <si>
    <t>MA427775724544352761</t>
  </si>
  <si>
    <t>袖手旁观</t>
  </si>
  <si>
    <t>齐秦</t>
  </si>
  <si>
    <t>https://i0.hdslb.com/bfs/station_src/music_metadata/75f1f378062ca420c8c47cb3e385e93a.jpg</t>
  </si>
  <si>
    <t>https://i0.hdslb.com/bfs/station_src/music_metadata/3a310e22a61cf9c70859e44dc7b7e9f7.txt</t>
  </si>
  <si>
    <t>旷世情歌全记录</t>
  </si>
  <si>
    <t>MA494781506795884718</t>
  </si>
  <si>
    <t>https://i0.hdslb.com/bfs/station_src/music_metadata/b92d51fb5d8fda5d8544368b7c32fb01.jpg</t>
  </si>
  <si>
    <t>Cσcσ翻唱集</t>
  </si>
  <si>
    <t>MA406539163135917558</t>
  </si>
  <si>
    <t>苏幕遮</t>
  </si>
  <si>
    <t>张晓棠</t>
  </si>
  <si>
    <t>https://i0.hdslb.com/bfs/station_src/music_metadata/6d4abb378985a85772919adec194ad14.jpg</t>
  </si>
  <si>
    <t>https://i0.hdslb.com/bfs/station_src/music_metadata/9ecf2ddeccc8f5c9bd142df102c737bf.lrc</t>
  </si>
  <si>
    <t>盛世好风光</t>
  </si>
  <si>
    <t>MA472471502382457033</t>
  </si>
  <si>
    <t>Friend</t>
  </si>
  <si>
    <t>玉置浩二</t>
  </si>
  <si>
    <t>http://i0.hdslb.com/bfs/station_src/music_metadata/4db08dcf1a0682cdad2895bd223e0d93.jpg</t>
  </si>
  <si>
    <t>ワインレッドの心</t>
  </si>
  <si>
    <t>MA456221247311756735</t>
  </si>
  <si>
    <t>陀螺</t>
  </si>
  <si>
    <t>王乙太</t>
  </si>
  <si>
    <t>https://i0.hdslb.com/bfs/station_src/music_metadata/986ffe3b10bd4cd4d80f7db0d53d47e9.jpg</t>
  </si>
  <si>
    <t>https://i0.hdslb.com/bfs/station_src/music_metadata/cb3c9b3a55532068ba6666026bb8058a.txt</t>
  </si>
  <si>
    <t>画(Painting)</t>
  </si>
  <si>
    <t>MA456131016373876812</t>
  </si>
  <si>
    <t>桃花谣</t>
  </si>
  <si>
    <t>https://i0.hdslb.com/bfs/station_src/music_metadata/0c92fbd0b0d4d2a8786e193c7e105c92.jpg</t>
  </si>
  <si>
    <t>https://i0.hdslb.com/bfs/station_src/music_metadata/329a416e8a5c8b00daec20bb07f517be.txt</t>
  </si>
  <si>
    <t>《新四军》电视连续剧主题曲</t>
  </si>
  <si>
    <t>影视精选</t>
  </si>
  <si>
    <t>MA406537702092056036</t>
  </si>
  <si>
    <t>Need You Now</t>
  </si>
  <si>
    <t>Lady A</t>
  </si>
  <si>
    <t>https://i0.hdslb.com/bfs/station_src/music_metadata/f361826ed75ce4a58feb86f022a32521.jpg</t>
  </si>
  <si>
    <t>https://i0.hdslb.com/bfs/station_src/music_metadata/3a0c46d35307166f4f847a51571a30f7.txt</t>
  </si>
  <si>
    <t>Need You Now (Deluxe)</t>
  </si>
  <si>
    <t>MA423572363917946875</t>
  </si>
  <si>
    <t>https://i0.hdslb.com/bfs/station_src/music_metadata/83084f80c987e2891a4f611fad52f476.jpg</t>
  </si>
  <si>
    <t>https://i0.hdslb.com/bfs/station_src/music_metadata/5ff2e94fba4074601c2df670f83c3c91.txt</t>
  </si>
  <si>
    <t>我的名字叫做安</t>
  </si>
  <si>
    <t>MA456222867604954576</t>
  </si>
  <si>
    <t>https://i0.hdslb.com/bfs/station_src/music_metadata/b61e1f56cc524a8bc87397b9024a28b5.jpg</t>
  </si>
  <si>
    <t>https://i0.hdslb.com/bfs/station_src/music_metadata/5c4b3829305f23c15daaf4a4e8c84bd1.txt</t>
  </si>
  <si>
    <t>音乐心旅程LIVE①</t>
  </si>
  <si>
    <t>MA407125648788730138</t>
  </si>
  <si>
    <t>挥着翅膀的女孩</t>
  </si>
  <si>
    <t>https://i0.hdslb.com/bfs/station_src/music_metadata/b0a5d0585f3328d575b35162bcc895e8.jpg</t>
  </si>
  <si>
    <t>https://i0.hdslb.com/bfs/station_src/music_metadata/cc848bcd6df7ad9b226f3f060711be05.txt</t>
  </si>
  <si>
    <t>独照</t>
  </si>
  <si>
    <t>MA456126456376899660</t>
  </si>
  <si>
    <t>小手拍拍</t>
  </si>
  <si>
    <t>宝宝巴士</t>
  </si>
  <si>
    <t>https://i0.hdslb.com/bfs/station_src/music_metadata/876eae7f17a17a049f7a41ee4e96ca69.jpg</t>
  </si>
  <si>
    <t>https://i0.hdslb.com/bfs/station_src/music_metadata/280c0c327fa8bda2396a928938a304b2.txt</t>
  </si>
  <si>
    <t>宝宝巴士中文儿歌200首</t>
  </si>
  <si>
    <t>MA456188016545806412</t>
  </si>
  <si>
    <t>https://i0.hdslb.com/bfs/station_src/music_metadata/44a6f3a568be06813c0be769e1fe38e4.jpg</t>
  </si>
  <si>
    <t>好声音深圳演唱会</t>
  </si>
  <si>
    <t>MA406539348238965426</t>
  </si>
  <si>
    <t>天黑黑</t>
  </si>
  <si>
    <t>http://i0.hdslb.com/bfs/station_src/music_metadata/3ed97306ed82ceb6cfac2cebe223f6be.jpg</t>
  </si>
  <si>
    <t>http://i0.hdslb.com/bfs/station_src/music_metadata/ab21c7271579b4d489cbb7e8aa223bac</t>
  </si>
  <si>
    <t>孙燕姿同名专辑</t>
  </si>
  <si>
    <t>MA409255919063460190</t>
  </si>
  <si>
    <t>我的祖国</t>
  </si>
  <si>
    <t>郭兰英</t>
  </si>
  <si>
    <t>https://i0.hdslb.com/bfs/station_src/music_metadata/f1f0babcd6982acdd0de35063dea0c85.jpg</t>
  </si>
  <si>
    <t>http://i0.hdslb.com/bfs/station_src/music_metadata/d60ead561af337ae57599b642db57734</t>
  </si>
  <si>
    <t>一人一首成名曲1</t>
  </si>
  <si>
    <t>MA456106084172580980</t>
  </si>
  <si>
    <t>蓝色爱情海</t>
  </si>
  <si>
    <t>叶翠</t>
  </si>
  <si>
    <t>https://i0.hdslb.com/bfs/station_src/music_metadata/c336dff9e3172c95e969afa2a0a8c559.jpg</t>
  </si>
  <si>
    <t>https://i0.hdslb.com/bfs/station_src/music_metadata/549c9f59c46cfa7552dbc64337189be8.txt</t>
  </si>
  <si>
    <t>MA409257177522432350</t>
  </si>
  <si>
    <t>我期待</t>
  </si>
  <si>
    <t>张雨生</t>
  </si>
  <si>
    <t>https://i0.hdslb.com/bfs/station_src/music_metadata/ae4743be720bf95c67f9e9ece645177b.jpg</t>
  </si>
  <si>
    <t>http://i0.hdslb.com/bfs/station_src/music_metadata/9eec8ac74e8e0b5db63c9530f2b3ed6c</t>
  </si>
  <si>
    <t>卡拉OK.台北.我</t>
  </si>
  <si>
    <t>MA491593955494882196</t>
  </si>
  <si>
    <t>陪我歌唱</t>
  </si>
  <si>
    <t>https://i0.hdslb.com/bfs/station_src/music_metadata/d1866137a55e3bfd54656084f70d6f21.jpg</t>
  </si>
  <si>
    <t>https://i0.hdslb.com/bfs/station_src/music_metadata/a46b2487416574fd19a099188181565d.txt</t>
  </si>
  <si>
    <t>陪我歌唱 (苏打绿版)</t>
  </si>
  <si>
    <t>MA456094735912712268</t>
  </si>
  <si>
    <t>Intorno all'idol mio</t>
  </si>
  <si>
    <t>https://i0.hdslb.com/bfs/station_src/music_metadata/fdf23963e530147beb8fb18bfdec033a.jpg</t>
  </si>
  <si>
    <t>https://i0.hdslb.com/bfs/station_src/music_metadata/eb9ad2f5e11dbc935e71a73d850c79e9.txt</t>
  </si>
  <si>
    <t>MA406621130355391990</t>
  </si>
  <si>
    <t>突然好想你</t>
  </si>
  <si>
    <t>https://i0.hdslb.com/bfs/station_src/music_metadata/d60c4925252d6a5682a363f795104076.jpg</t>
  </si>
  <si>
    <t>http://i0.hdslb.com/bfs/station_src/music_metadata/2d0e00c3f5385fac1c7e7fa7ec715213</t>
  </si>
  <si>
    <t>女人帮·妞儿 电视剧原声带</t>
  </si>
  <si>
    <t>MA456029896183931028</t>
  </si>
  <si>
    <t>说了再见以后</t>
  </si>
  <si>
    <t>https://i0.hdslb.com/bfs/station_src/music_metadata/94d234557fe9a5920254f7d6b7838607.jpg</t>
  </si>
  <si>
    <t>https://i0.hdslb.com/bfs/station_src/music_metadata/8e4a419e96162f4f01b7e3d8698db51f.txt</t>
  </si>
  <si>
    <t>MA409257720449919326</t>
  </si>
  <si>
    <t>沙滩</t>
  </si>
  <si>
    <t>https://i0.hdslb.com/bfs/station_src/music_metadata/440274ee1a80226c82a45d51431b9c27.jpg</t>
  </si>
  <si>
    <t>http://i0.hdslb.com/bfs/station_src/music_metadata/80071fead604c315d08e5a67145c0351</t>
  </si>
  <si>
    <t>MA456133161978476620</t>
  </si>
  <si>
    <t>你看到的我是蓝色的</t>
  </si>
  <si>
    <t>李霄云</t>
  </si>
  <si>
    <t>https://i0.hdslb.com/bfs/station_src/music_metadata/e647f9031152f1fa311bfd6e8a796ed8.jpg</t>
  </si>
  <si>
    <t>https://i0.hdslb.com/bfs/station_src/music_metadata/4eb02e95022d2c660c197463816a3b85.txt</t>
  </si>
  <si>
    <t>MA400016645277363403</t>
  </si>
  <si>
    <t>老人与海</t>
  </si>
  <si>
    <t>吴琼,海鸣威</t>
  </si>
  <si>
    <t>http://i0.hdslb.com/bfs/station_src/music_metadata/32ebfa1fdfc95ced571cf189892f411a.jpg</t>
  </si>
  <si>
    <t>http://i0.hdslb.com/bfs/station_src/music_metadata/ede30103632baf2f27cae028fc910755</t>
  </si>
  <si>
    <t>Dance Dance Dance</t>
  </si>
  <si>
    <t>MA456159408389374455</t>
  </si>
  <si>
    <t>大约在冬季</t>
  </si>
  <si>
    <t>https://i0.hdslb.com/bfs/station_src/music_metadata/04d4b29a7cf80eb79659a4f1a8c5ed0a.jpg</t>
  </si>
  <si>
    <t>https://i0.hdslb.com/bfs/station_src/music_metadata/7a3f3bae402ebeed887a3c9e225ee807.txt</t>
  </si>
  <si>
    <t>鲍比达&amp;蔡琴 遇见</t>
  </si>
  <si>
    <t>MA432414425740273176</t>
  </si>
  <si>
    <t>送別</t>
  </si>
  <si>
    <t>王珺</t>
  </si>
  <si>
    <t>https://i0.hdslb.com/bfs/station_src/music_metadata/d28e003c6000ad9abc00693da6e4190e.jpg</t>
  </si>
  <si>
    <t>https://i0.hdslb.com/bfs/station_src/music_metadata/5a6610f597664a199f36554480d22f9d.txt</t>
  </si>
  <si>
    <t>般若心曲 放下 国语版</t>
  </si>
  <si>
    <t>MA406539494636952242</t>
  </si>
  <si>
    <t>http://i0.hdslb.com/bfs/station_src/music_metadata/03829d07e510b264a8ee03b9ff99af1d.jpg</t>
  </si>
  <si>
    <t>http://i0.hdslb.com/bfs/station_src/music_metadata/99e9792086eeea86ae744bc267bcf796</t>
  </si>
  <si>
    <t>爱只能在回忆里完整</t>
  </si>
  <si>
    <t>恋习</t>
  </si>
  <si>
    <t>MA457096720828878654</t>
  </si>
  <si>
    <t>晚风吹过哨塔</t>
  </si>
  <si>
    <t>https://i0.hdslb.com/bfs/station_src/music_metadata/db3fcba8048bb618baa8da8f5beb418b.jpg</t>
  </si>
  <si>
    <t>https://i0.hdslb.com/bfs/station_src/music_metadata/ca8ca37a9c31861f1c5197a448b39055.txt</t>
  </si>
  <si>
    <t>王雅洁空政</t>
  </si>
  <si>
    <t>MA400017147335552203</t>
  </si>
  <si>
    <t>隐形的翅膀</t>
  </si>
  <si>
    <t>http://i0.hdslb.com/bfs/station_src/music_metadata/aa953bf60b656ee83e04fc90c7875821.jpg</t>
  </si>
  <si>
    <t>http://i0.hdslb.com/bfs/station_src/music_metadata/415fcea3d0f265e9b480bc3abb878e01</t>
  </si>
  <si>
    <t>潘朵拉</t>
  </si>
  <si>
    <t>MA414629371337310122</t>
  </si>
  <si>
    <t>いつも何度でも</t>
  </si>
  <si>
    <t>木村弓</t>
  </si>
  <si>
    <t>https://i0.hdslb.com/bfs/station_src/music_metadata/a74a219e973f8bd4932d44001ff77d73.jpg</t>
  </si>
  <si>
    <t>http://i0.hdslb.com/bfs/station_src/music_metadata/2d95bba91ac492f063f26203d9fd96e0</t>
  </si>
  <si>
    <t>《千与千寻》动画电影主题曲|《いつも何度でも》日语版</t>
  </si>
  <si>
    <t>千と千尋の神隠し サウンドトラック</t>
  </si>
  <si>
    <t>MA406618248700774768</t>
  </si>
  <si>
    <t>交换余生</t>
  </si>
  <si>
    <t>BV1s5411P7uA</t>
  </si>
  <si>
    <t>https://i0.hdslb.com/bfs/station_src/music_metadata/1bd7ba45ae53c9c5b38bea79ba0477e1.jpg</t>
  </si>
  <si>
    <t>http://i0.hdslb.com/bfs/station_src/music_metadata/f1583c4593a309d1c410fa650e14752b</t>
  </si>
  <si>
    <t>MA407125767034518674</t>
  </si>
  <si>
    <t>蝴蝶</t>
  </si>
  <si>
    <t>http://i0.hdslb.com/bfs/station_src/music_metadata/e5d3bb7013a47cd0591827980d75d0cd.jpg</t>
  </si>
  <si>
    <t>http://i0.hdslb.com/bfs/station_src/music_metadata/34fc209ba811ed1140833b7573d4ccca</t>
  </si>
  <si>
    <t>MA407125701183975706</t>
  </si>
  <si>
    <t>两只蝴蝶</t>
  </si>
  <si>
    <t>庞龙</t>
  </si>
  <si>
    <t>http://i0.hdslb.com/bfs/station_src/music_metadata/123b67dd446e9f71999c14e36a7456df.jpg</t>
  </si>
  <si>
    <t>MA501897226696535656</t>
  </si>
  <si>
    <t>不爱</t>
  </si>
  <si>
    <t>http://i0.hdslb.com/bfs/station_src/music_metadata/57c0581c9b32ae8e5213f3e68d2e127d.jpg</t>
  </si>
  <si>
    <t>https://i0.hdslb.com/bfs/station_src/music_metadata/7483c1014e875bc10e24c73ef4824037.txt</t>
  </si>
  <si>
    <t>太美丽</t>
  </si>
  <si>
    <t>MA421253240038885000</t>
  </si>
  <si>
    <t>爱我你就抱抱我</t>
  </si>
  <si>
    <t>林妙可</t>
  </si>
  <si>
    <t>https://i0.hdslb.com/bfs/station_src/music_metadata/56f8fa62a516466023faaa94313042e0.jpg</t>
  </si>
  <si>
    <t>https://i0.hdslb.com/bfs/station_src/music_metadata/e2f6e78553e3c41b8f53b7ac5cfb46bb.txt</t>
  </si>
  <si>
    <t>经典儿歌</t>
  </si>
  <si>
    <t>MA498213081881517772</t>
  </si>
  <si>
    <t>想把哥哥追</t>
  </si>
  <si>
    <t>6a会魔法</t>
  </si>
  <si>
    <t>https://i0.hdslb.com/bfs/station_src/music_metadata/5a796e31f4703d0b8dc745487432b038.jpg</t>
  </si>
  <si>
    <t>https://i0.hdslb.com/bfs/station_src/music_metadata/2a6dda5a27efb1f0ac5a1a2202696ef3.txt</t>
  </si>
  <si>
    <t>MA409255414371248478</t>
  </si>
  <si>
    <t>潇洒小姐</t>
  </si>
  <si>
    <t>萧亚轩</t>
  </si>
  <si>
    <t>https://i0.hdslb.com/bfs/station_src/music_metadata/a4479c37df6750d249a1c7080bb3b04b.jpg</t>
  </si>
  <si>
    <t>http://i0.hdslb.com/bfs/station_src/music_metadata/d25bb841eb54ddb39828c31d3e2f8fe3</t>
  </si>
  <si>
    <t>MA406618851841710770</t>
  </si>
  <si>
    <t>当你</t>
  </si>
  <si>
    <t>BV1rv4y1f7kh</t>
  </si>
  <si>
    <t>https://i0.hdslb.com/bfs/station_src/music_metadata/d171cd11917e0385262f9cb1564fcb3b.jpg</t>
  </si>
  <si>
    <t>http://i0.hdslb.com/bfs/station_src/music_metadata/86667b348835d329c8074baaa6a4db56</t>
  </si>
  <si>
    <t>《背叛爱情》电视剧中文版主题曲</t>
  </si>
  <si>
    <t>MA421108991112776982</t>
  </si>
  <si>
    <t>绝世舞姬</t>
  </si>
  <si>
    <t>张晓涵,戚琦</t>
  </si>
  <si>
    <t>https://i0.hdslb.com/bfs/station_src/music_metadata/980e98ee2394ac7c5f63cffb1957160d.jpg</t>
  </si>
  <si>
    <t>https://i0.hdslb.com/bfs/station_src/music_metadata/0767ceef0f499506c50a8e28a70fb66d.txt</t>
  </si>
  <si>
    <t>MA471019356843702020</t>
  </si>
  <si>
    <t>逆光白</t>
  </si>
  <si>
    <t>http://i0.hdslb.com/bfs/station_src/music_metadata/2a3b2acf38436ab96bdb493f2b2174ca.jpg</t>
  </si>
  <si>
    <t>MA409256170772031838</t>
  </si>
  <si>
    <t>别问很可怕</t>
  </si>
  <si>
    <t>J. Sheon</t>
  </si>
  <si>
    <t>https://i0.hdslb.com/bfs/station_src/music_metadata/819c4c8454369e66aef5440b77c022d6.jpg</t>
  </si>
  <si>
    <t>https://i0.hdslb.com/bfs/station_src/music_metadata/370f73f612b9ae76757dc1ff55d8091a.txt</t>
  </si>
  <si>
    <t>You'll Never Know / 别问很可怕</t>
  </si>
  <si>
    <t>MA400016931580554443</t>
  </si>
  <si>
    <t>姐就是女王</t>
  </si>
  <si>
    <t>王莎莎</t>
  </si>
  <si>
    <t>http://i0.hdslb.com/bfs/station_src/music_metadata/ea2c3816f8a4885c4c0cb7067d0c7d44.jpg</t>
  </si>
  <si>
    <t>http://i0.hdslb.com/bfs/station_src/music_metadata/461e64097b3f1f448d6438456c2136de</t>
  </si>
  <si>
    <t>MA410115413775542825</t>
  </si>
  <si>
    <t>传奇</t>
  </si>
  <si>
    <t>https://i0.hdslb.com/bfs/station_src/music_metadata/74574de8c7ebbe9ce08b34d8e32a9e05.jpg</t>
  </si>
  <si>
    <t>http://i0.hdslb.com/bfs/station_src/music_metadata/74ab5848d00f5f602cc928768396f954</t>
  </si>
  <si>
    <t>《拿什么拯救你，我的爱人》电视剧主题曲</t>
  </si>
  <si>
    <t>似水流年</t>
  </si>
  <si>
    <t>MA406539332334164658</t>
  </si>
  <si>
    <t>特别的人</t>
  </si>
  <si>
    <t>https://i0.hdslb.com/bfs/station_src/music_metadata/ba49ef236af61f75df05777e4aeaf54e.txt</t>
  </si>
  <si>
    <t>危险世界</t>
  </si>
  <si>
    <t>MA400017294505290955</t>
  </si>
  <si>
    <t>可爱女人</t>
  </si>
  <si>
    <t>周杰伦,徐若瑄</t>
  </si>
  <si>
    <t>http://i0.hdslb.com/bfs/station_src/music_metadata/a512bd568c8051078107cf77ba492c61.jpg</t>
  </si>
  <si>
    <t>http://i0.hdslb.com/bfs/station_src/music_metadata/2d0100c2885635fde6c054fba3eec027</t>
  </si>
  <si>
    <t>MA409255362277992798</t>
  </si>
  <si>
    <t>如果可以</t>
  </si>
  <si>
    <t>韦礼安</t>
  </si>
  <si>
    <t>https://i0.hdslb.com/bfs/station_src/music_metadata/3d52e1d9e9d668310f6fb22c7c34650c.jpg</t>
  </si>
  <si>
    <t>http://i0.hdslb.com/bfs/station_src/music_metadata/0d57c85e1991b51c43332c9b6cb6c1d4</t>
  </si>
  <si>
    <t>《月老》电影主题曲</t>
  </si>
  <si>
    <t>MA495890904146525104</t>
  </si>
  <si>
    <t>MA509396140592999275</t>
  </si>
  <si>
    <t>瘦子</t>
  </si>
  <si>
    <t>丁世光</t>
  </si>
  <si>
    <t>https://i0.hdslb.com/bfs/station_src/music_metadata/6206b348bda97a437ae1de2703ef25cc.jpg</t>
  </si>
  <si>
    <t>https://i0.hdslb.com/bfs/station_src/music_metadata/80dbd3652912432980a3c993c4d64988.txt</t>
  </si>
  <si>
    <t>Skinny Love</t>
  </si>
  <si>
    <t>MA399852061274968772</t>
  </si>
  <si>
    <t>白色风车</t>
  </si>
  <si>
    <t>https://i0.hdslb.com/bfs/station_src/music_metadata/67eddf8b879abc06399423973c78909f.jpg</t>
  </si>
  <si>
    <t>MA488117964642487910</t>
  </si>
  <si>
    <t>不如见一面</t>
  </si>
  <si>
    <t>海来阿木</t>
  </si>
  <si>
    <t>http://i0.hdslb.com/bfs/station_src/music_metadata/76635a0931f05ac28356a4ad5a3e052c.png</t>
  </si>
  <si>
    <t>https://i0.hdslb.com/bfs/station_src/music_metadata/43201edef94fdfc18e734f051246e371.txt</t>
  </si>
  <si>
    <t>MA406539320573306340</t>
  </si>
  <si>
    <t>My Destiny</t>
  </si>
  <si>
    <t>LYn</t>
  </si>
  <si>
    <t>https://i0.hdslb.com/bfs/station_src/music_metadata/50bb9639e44118942b12fec4b015db07.jpg</t>
  </si>
  <si>
    <t>http://i0.hdslb.com/bfs/station_src/music_metadata/f0ca1a5be1505a56d406d2eabed875ab</t>
  </si>
  <si>
    <t>《来自星星的你》韩剧插曲|《滚蛋吧！肿瘤君》电影插曲</t>
  </si>
  <si>
    <t>별에서 온 그대 OST - Part.1</t>
  </si>
  <si>
    <t>MA499397309675622183</t>
  </si>
  <si>
    <t>小美满</t>
  </si>
  <si>
    <t>BV1ZC411x7Ky</t>
  </si>
  <si>
    <t>https://i0.hdslb.com/bfs/station_src/music_metadata/21b82b115506a9a9cea7aa1eb481c598.jpg</t>
  </si>
  <si>
    <t>https://i0.hdslb.com/bfs/station_src/music_metadata/a9b34f18851621ce7c2a74133efa4171.txt</t>
  </si>
  <si>
    <t>《热辣滚烫》电影热辣陪伴曲</t>
  </si>
  <si>
    <t>MA414597440503584555</t>
  </si>
  <si>
    <t>https://i0.hdslb.com/bfs/station_src/music_metadata/e1a7a999898e7d1f5cdb3b7ebad1a523.jpg</t>
  </si>
  <si>
    <t>https://i0.hdslb.com/bfs/station_src/music_metadata/94a279a30c69c0e23df26101babf6355.txt</t>
  </si>
  <si>
    <t>爱的月光</t>
  </si>
  <si>
    <t>MA407126321823527194</t>
  </si>
  <si>
    <t>https://i0.hdslb.com/bfs/station_src/music_metadata/a45420bf5f1761730f869c2dc1d13f30.jpg</t>
  </si>
  <si>
    <t>http://i0.hdslb.com/bfs/station_src/music_metadata/6c42944895f5d6ccba843189c471ae4c</t>
  </si>
  <si>
    <t>MA400017062644165835</t>
  </si>
  <si>
    <t>借口</t>
  </si>
  <si>
    <t>https://i0.hdslb.com/bfs/station_src/music_metadata/52ac34423a448bcd0bb77827494a6874.jpg</t>
  </si>
  <si>
    <t>copyright-crawler/music/task-lyric/650e62eafad724c0d011364f.txt</t>
  </si>
  <si>
    <t>MA456221417281732031</t>
  </si>
  <si>
    <t>https://i0.hdslb.com/bfs/station_src/music_metadata/1834f1419912a823d698b7c012f7da8d.jpg</t>
  </si>
  <si>
    <t>https://i0.hdslb.com/bfs/station_src/music_metadata/9625c13f980a53a15614ffacc1dce51c.txt</t>
  </si>
  <si>
    <t>MA407125083681763610</t>
  </si>
  <si>
    <t>Scarborough Fair</t>
  </si>
  <si>
    <t>https://i0.hdslb.com/bfs/station_src/music_metadata/48bef0e727999b35aebee8cbff39db41.jpg</t>
  </si>
  <si>
    <t>http://i0.hdslb.com/bfs/station_src/music_metadata/876b09ac2dd091cc969627e86c8ef88b</t>
  </si>
  <si>
    <t>《毕业生》电影插曲</t>
  </si>
  <si>
    <t>La Luna</t>
  </si>
  <si>
    <t>散尽飞花</t>
  </si>
  <si>
    <t>艾梨尔Ariel</t>
  </si>
  <si>
    <t>BV1rK421C7pc</t>
  </si>
  <si>
    <t>MA406539471148849842</t>
  </si>
  <si>
    <t>小镇姑娘</t>
  </si>
  <si>
    <t>http://i0.hdslb.com/bfs/station_src/music_metadata/63c043637ab4b1dc2750652f87cf1705.jpg</t>
  </si>
  <si>
    <t>http://i0.hdslb.com/bfs/station_src/music_metadata/fd97a101c493130f23c5e1c19e7a4637</t>
  </si>
  <si>
    <t>MA406621745022257520</t>
  </si>
  <si>
    <t>飞机场</t>
  </si>
  <si>
    <t>小凌,徐良</t>
  </si>
  <si>
    <t>https://i0.hdslb.com/bfs/station_src/music_metadata/0a38128cbf918a6c59a87d1742d4a1f7.jpg</t>
  </si>
  <si>
    <t>http://i0.hdslb.com/bfs/station_src/music_metadata/3f4933664afe675ec038fa36ea2c4ebf</t>
  </si>
  <si>
    <t>MA457713009209425707</t>
  </si>
  <si>
    <t>被雨困住的城市</t>
  </si>
  <si>
    <t>鱼丁糸</t>
  </si>
  <si>
    <t>https://i0.hdslb.com/bfs/station_src/music_metadata/e57c974de0aa1f043a9be4f477fd8110.jpg</t>
  </si>
  <si>
    <t>https://i0.hdslb.com/bfs/station_src/music_metadata/3d04bc370202ca34d6e5ab8366061b7a.txt</t>
  </si>
  <si>
    <t>小宇宙 (鱼版)</t>
  </si>
  <si>
    <t>MA406539307252202998</t>
  </si>
  <si>
    <t>味道</t>
  </si>
  <si>
    <t>辛晓琪</t>
  </si>
  <si>
    <t>http://i0.hdslb.com/bfs/station_src/music_metadata/97d67be8ff8b1210b866263afa159956.jpg</t>
  </si>
  <si>
    <t>MA407126371534418202</t>
  </si>
  <si>
    <t>眼泪成诗</t>
  </si>
  <si>
    <t>http://i0.hdslb.com/bfs/station_src/music_metadata/9f36b6c91db5e064802dcd6b7e3a4490.jpg</t>
  </si>
  <si>
    <t>http://i0.hdslb.com/bfs/station_src/music_metadata/20ff409dba580102aa01112537942a19</t>
  </si>
  <si>
    <t>MA399851972338946756</t>
  </si>
  <si>
    <t>飞鸟和蝉</t>
  </si>
  <si>
    <t>任然</t>
  </si>
  <si>
    <t>BV1eL4y1W7bj</t>
  </si>
  <si>
    <t>https://i0.hdslb.com/bfs/station_src/music_metadata/dcf922d878e8d192939c7fce3a301e4f.jpg</t>
  </si>
  <si>
    <t>http://i0.hdslb.com/bfs/station_src/music_metadata/1e5a38904dbdf7dcf11d6059e25c09ba</t>
  </si>
  <si>
    <t>MA425167294587534177</t>
  </si>
  <si>
    <t>不枉</t>
  </si>
  <si>
    <t>汪小敏</t>
  </si>
  <si>
    <t>https://i0.hdslb.com/bfs/station_src/music_metadata/1233569afa400d8a6333bb974bba7447.jpg</t>
  </si>
  <si>
    <t>空</t>
  </si>
  <si>
    <t>太空人</t>
  </si>
  <si>
    <t>MA456110918275713140</t>
  </si>
  <si>
    <t>玛依拉</t>
  </si>
  <si>
    <t>郭淑珍</t>
  </si>
  <si>
    <t>https://i0.hdslb.com/bfs/station_src/music_metadata/b9cc22a6cad2283be4ab946e98299e22.jpg</t>
  </si>
  <si>
    <t>https://i0.hdslb.com/bfs/station_src/music_metadata/047d38a16454569ff4bde21660f51b7d.txt</t>
  </si>
  <si>
    <t>MA406552820846706166</t>
  </si>
  <si>
    <t>牧羊曲</t>
  </si>
  <si>
    <t>郑绪岚</t>
  </si>
  <si>
    <t>http://i0.hdslb.com/bfs/station_src/music_metadata/0c48017e7eb88f2e3c09ba6b2abe0663.jpg</t>
  </si>
  <si>
    <t>http://i0.hdslb.com/bfs/station_src/music_metadata/2e874369e286d49785d0214063782ed6</t>
  </si>
  <si>
    <t>MA508393657192183713</t>
  </si>
  <si>
    <t>一口/The Day You Left Me</t>
  </si>
  <si>
    <t>https://i0.hdslb.com/bfs/station_src/music_metadata/a4040845e6d9e8a7da6a60d3ce684d07.jpg</t>
  </si>
  <si>
    <t>https://i0.hdslb.com/bfs/station_src/music_metadata/258b225484f0eb628284386c5b79753a.txt</t>
  </si>
  <si>
    <t>神经志</t>
  </si>
  <si>
    <t>MA505629949068093822</t>
  </si>
  <si>
    <t>初月</t>
  </si>
  <si>
    <t>https://i0.hdslb.com/bfs/station_src/music_metadata/5ed259f8c2532c7dc4e4646a7aa5a313.jpg</t>
  </si>
  <si>
    <t>https://i0.hdslb.com/bfs/station_src/music_metadata/128ff037ee4299c3af0a84cd6e922fd4.txt</t>
  </si>
  <si>
    <t>2024年初月翻唱合集</t>
  </si>
  <si>
    <t>MA400017219695684811</t>
  </si>
  <si>
    <t>不该</t>
  </si>
  <si>
    <t>http://i0.hdslb.com/bfs/station_src/music_metadata/5f8ebb73c2ba67badc288df55760414c.jpg</t>
  </si>
  <si>
    <t>http://i0.hdslb.com/bfs/station_src/music_metadata/2f0bb3119059f3b5bbcdc48ccac758cb</t>
  </si>
  <si>
    <t>《幻城》电视剧片头曲|《幻城凡世》网络剧片尾曲</t>
  </si>
  <si>
    <t>MA409255814944057694</t>
  </si>
  <si>
    <t>很久以后</t>
  </si>
  <si>
    <t>BV1Nk4y1R7AP</t>
  </si>
  <si>
    <t>https://i0.hdslb.com/bfs/station_src/music_metadata/f592645ec4c396c49a6f648533cf9d1b.jpg</t>
  </si>
  <si>
    <t>http://i0.hdslb.com/bfs/station_src/music_metadata/40f0da937c16edd869592dab99096d7f</t>
  </si>
  <si>
    <t>《可不可以，你也刚好喜欢我》电影主题曲</t>
  </si>
  <si>
    <t>摩天动物园</t>
  </si>
  <si>
    <t>MA406620138905812470</t>
  </si>
  <si>
    <t>恋人未满</t>
  </si>
  <si>
    <t>http://i0.hdslb.com/bfs/station_src/music_metadata/593484bfb36c576459a25f6d2fc197b7.jpg</t>
  </si>
  <si>
    <t>http://i0.hdslb.com/bfs/station_src/music_metadata/8ecf50f430d916e8649be858cdec6ab9</t>
  </si>
  <si>
    <t>女生宿舍</t>
  </si>
  <si>
    <t>MA456117536182812077</t>
  </si>
  <si>
    <t>哦 想</t>
  </si>
  <si>
    <t>https://i0.hdslb.com/bfs/station_src/music_metadata/d5b16af13d9c1ced10d3b89c843ccca9.jpg</t>
  </si>
  <si>
    <t>https://i0.hdslb.com/bfs/station_src/music_metadata/489f469ce67546437dcef6af1dd75b8a.txt</t>
  </si>
  <si>
    <t>三年三天</t>
  </si>
  <si>
    <t>MA445956478495384482</t>
  </si>
  <si>
    <t>https://i0.hdslb.com/bfs/station_src/music_metadata/5dd6238965a391773fe57227002aa343.jpg</t>
  </si>
  <si>
    <t>https://i0.hdslb.com/bfs/station_src/music_metadata/4d526526f14df5910a5a31135c8a9b43.txt</t>
  </si>
  <si>
    <t>MA406537139233236452</t>
  </si>
  <si>
    <t>星月神话</t>
  </si>
  <si>
    <t>金莎</t>
  </si>
  <si>
    <t>https://i0.hdslb.com/bfs/station_src/music_metadata/bd864f4d331a2eaaad76ac3f4bf2f091.jpg</t>
  </si>
  <si>
    <t>https://i0.hdslb.com/bfs/station_src/music_metadata/87f2bfd22fbc8a6fa32b6277142cb40b.txt</t>
  </si>
  <si>
    <t>《神话》电视剧插曲</t>
  </si>
  <si>
    <t>MA409255343940495710</t>
  </si>
  <si>
    <t>为爱痴狂</t>
  </si>
  <si>
    <t>https://i0.hdslb.com/bfs/station_src/music_metadata/eae9638a5c213debfe6d6dffa9280501.jpg</t>
  </si>
  <si>
    <t>http://i0.hdslb.com/bfs/station_src/music_metadata/27b276669b22a1a195c412e4fea9fcfc</t>
  </si>
  <si>
    <t>少女小渔刘若英的美丽与哀愁</t>
  </si>
  <si>
    <t>MA407126088989323546</t>
  </si>
  <si>
    <t>远走高飞</t>
  </si>
  <si>
    <t>金志文,赖美云</t>
  </si>
  <si>
    <t>https://i0.hdslb.com/bfs/station_src/music_metadata/2e0cd604f2d233c4d1d0047715e624a0.jpg</t>
  </si>
  <si>
    <t>http://i0.hdslb.com/bfs/station_src/music_metadata/ddf8750585f3bf5a613bdb0b88e8561f</t>
  </si>
  <si>
    <t>美好的时光 第9期</t>
  </si>
  <si>
    <t>MA447925557322078488</t>
  </si>
  <si>
    <t>那个女孩</t>
  </si>
  <si>
    <t>卢广仲,陶喆</t>
  </si>
  <si>
    <t>https://i0.hdslb.com/bfs/station_src/music_metadata/c864345045e74c18e9eef7f52891cbbb.jpg</t>
  </si>
  <si>
    <t>MA400017263500995787</t>
  </si>
  <si>
    <t>简单爱</t>
  </si>
  <si>
    <t>https://i0.hdslb.com/bfs/station_src/music_metadata/1164d7e6cda9d45d64679dc3a57c5b5f.jpg</t>
  </si>
  <si>
    <t>MA409257627084712286</t>
  </si>
  <si>
    <t>就是爱你</t>
  </si>
  <si>
    <t>https://i0.hdslb.com/bfs/station_src/music_metadata/89197a055fd805ebdfbd1edd0c3ae4d0.jpg</t>
  </si>
  <si>
    <t>https://i0.hdslb.com/bfs/station_src/music_metadata/d4a422069a9168a5827ff3fcca02a58b.txt</t>
  </si>
  <si>
    <t>太平盛世</t>
  </si>
  <si>
    <t>MA406539572147666422</t>
  </si>
  <si>
    <t>今天你要嫁给我</t>
  </si>
  <si>
    <t>蔡依林,陶喆</t>
  </si>
  <si>
    <t>https://i0.hdslb.com/bfs/station_src/music_metadata/c641d3261d517a3b2b7fab0f82c6baa1.jpg</t>
  </si>
  <si>
    <t>http://i0.hdslb.com/bfs/station_src/music_metadata/62a31f7e9d9aa05bb4aac50a638b9122</t>
  </si>
  <si>
    <t>MA406619885888611812</t>
  </si>
  <si>
    <t>寂寞的季节</t>
  </si>
  <si>
    <t>http://i0.hdslb.com/bfs/station_src/music_metadata/f71dc4018f8341963054d0bc5324785c.jpg</t>
  </si>
  <si>
    <t>http://i0.hdslb.com/bfs/station_src/music_metadata/25b9ce90f0f0179405947a95466ff030</t>
  </si>
  <si>
    <t>MA400017255347268811</t>
  </si>
  <si>
    <t>爱在西元前</t>
  </si>
  <si>
    <t>http://i0.hdslb.com/bfs/station_src/music_metadata/bcdd9d26bee20c24c423e347b838d170.jpg</t>
  </si>
  <si>
    <t>http://i0.hdslb.com/bfs/station_src/music_metadata/cd87bd6f404c0b565b0e29f133fb6ee6</t>
  </si>
  <si>
    <t>MA407124857021575450</t>
  </si>
  <si>
    <t>I Believe</t>
  </si>
  <si>
    <t>申升勋</t>
  </si>
  <si>
    <t>https://i0.hdslb.com/bfs/station_src/music_metadata/968b03f4032fe6e7059ffb3dde7c472f.jpg</t>
  </si>
  <si>
    <t>http://i0.hdslb.com/bfs/station_src/music_metadata/16ca8636d8c37687bacd845b31336420</t>
  </si>
  <si>
    <t>[8집] 8th</t>
  </si>
  <si>
    <t>MA455952295385946689</t>
  </si>
  <si>
    <t>我和你</t>
  </si>
  <si>
    <t>刘欢,Sarah Brightman</t>
  </si>
  <si>
    <t>https://i0.hdslb.com/bfs/station_src/music_metadata/ca8efc9ae3da5a6bc95af326841337fa.jpg</t>
  </si>
  <si>
    <t>https://i0.hdslb.com/bfs/station_src/music_metadata/ca235a57d5db796807a8d5a1fdcecd1b.txt</t>
  </si>
  <si>
    <t>2008年第29届北京奥运会主题曲</t>
  </si>
  <si>
    <t>我和你 2008北京奥运会主题歌</t>
  </si>
  <si>
    <t>MA406534566816267766</t>
  </si>
  <si>
    <t>好汉歌</t>
  </si>
  <si>
    <t>https://i0.hdslb.com/bfs/station_src/music_metadata/85bb025d13d51c5e3f23701e1a5ba342.jpg</t>
  </si>
  <si>
    <t>http://i0.hdslb.com/bfs/station_src/music_metadata/5f6e0227d9052847fb03a740425da92b</t>
  </si>
  <si>
    <t>歌声流淌十四年</t>
  </si>
  <si>
    <t>MA410404771376196004</t>
  </si>
  <si>
    <t>童年</t>
  </si>
  <si>
    <t>罗大佑</t>
  </si>
  <si>
    <t>https://i0.hdslb.com/bfs/station_src/music_metadata/d80f34a7d7b890ce9c590224ed187d9c.jpg</t>
  </si>
  <si>
    <t>http://i0.hdslb.com/bfs/station_src/music_metadata/21705de501fba4846719595cf3ef8088</t>
  </si>
  <si>
    <t>《夏至未至》电视剧插曲</t>
  </si>
  <si>
    <t>之乎者也</t>
  </si>
  <si>
    <t>MA407125937692389658</t>
  </si>
  <si>
    <t>https://i0.hdslb.com/bfs/station_src/music_metadata/2cb8f0e572ebaae5be54e9d6d7b93e58.jpg</t>
  </si>
  <si>
    <t>新歌+成名金曲</t>
  </si>
  <si>
    <t>MA399989774871440587</t>
  </si>
  <si>
    <t>手写的从前</t>
  </si>
  <si>
    <t>BV1VG4y1A7gz</t>
  </si>
  <si>
    <t>http://i0.hdslb.com/bfs/station_src/music_metadata/75ab835cb6c1f590d301438708ba7300.jpg</t>
  </si>
  <si>
    <t>http://i0.hdslb.com/bfs/station_src/music_metadata/db2ac3a886890c348bc05059b3bf14d7</t>
  </si>
  <si>
    <t>MA413042375837913671</t>
  </si>
  <si>
    <t>爱, 很简单</t>
  </si>
  <si>
    <t>https://i0.hdslb.com/bfs/station_src/music_metadata/96c179aea47ab42fa8550920c454193d.jpg</t>
  </si>
  <si>
    <t>http://i0.hdslb.com/bfs/station_src/music_metadata/08eed7cded32332d1c9d23c2890819fa</t>
  </si>
  <si>
    <t>《单身男女》电影插曲|《单身男女2》电影主题曲</t>
  </si>
  <si>
    <t>Ultrasound 乐之路 1997-2003</t>
  </si>
  <si>
    <t>MA399851891103666884</t>
  </si>
  <si>
    <t>追光者</t>
  </si>
  <si>
    <t>岑宁儿</t>
  </si>
  <si>
    <t>http://i0.hdslb.com/bfs/station_src/music_metadata/5af493ba1956e85b6eb523c1bdb0eea5.jpg</t>
  </si>
  <si>
    <t>http://i0.hdslb.com/bfs/station_src/music_metadata/487899f2d84fc00f88fcef7028a9e800</t>
  </si>
  <si>
    <t>夏至未至 电视剧原声带</t>
  </si>
  <si>
    <t>MA406539161625991858</t>
  </si>
  <si>
    <t>珊瑚海</t>
  </si>
  <si>
    <t>周杰伦,梁心颐</t>
  </si>
  <si>
    <t>https://i0.hdslb.com/bfs/station_src/music_metadata/a6ca1c1db07c9fa82ccc92a199f0d2a5.jpg</t>
  </si>
  <si>
    <t>http://i0.hdslb.com/bfs/station_src/music_metadata/55faa794cdfd02e72c76d2008b95b6e1</t>
  </si>
  <si>
    <t>MA516533910402783615</t>
  </si>
  <si>
    <t>迷宫</t>
  </si>
  <si>
    <t>step.jad依加</t>
  </si>
  <si>
    <t>https://i0.hdslb.com/bfs/station_src/music_metadata/4ab9788d5332aa662c40e6622ea53190.jpg</t>
  </si>
  <si>
    <t>https://i0.hdslb.com/bfs/station_src/music_metadata/b3519269dabfa969cd60116ca7a2b9dd.txt</t>
  </si>
  <si>
    <t>MA406552810142845296</t>
  </si>
  <si>
    <t>尚好的青春</t>
  </si>
  <si>
    <t>http://i0.hdslb.com/bfs/station_src/music_metadata/6c7ca7c1f0c7306e22d435440cce9aa4.jpg</t>
  </si>
  <si>
    <t>http://i0.hdslb.com/bfs/station_src/music_metadata/087c5ffcafe72ed0cac39356f9bde1bd</t>
  </si>
  <si>
    <t>MA424151865953914705</t>
  </si>
  <si>
    <t>如果爱忘了</t>
  </si>
  <si>
    <t>戚薇</t>
  </si>
  <si>
    <t>http://i0.hdslb.com/bfs/station_src/music_metadata/e46799a339c1e00728f7410097aeed8f.jpg</t>
  </si>
  <si>
    <t>http://i0.hdslb.com/bfs/station_src/music_metadata/ba782a892259e41bccc954c96c33d8ca</t>
  </si>
  <si>
    <t>《爱情睡醒了》电视剧片尾曲</t>
  </si>
  <si>
    <t>MA455948084338288966</t>
  </si>
  <si>
    <t>十七岁</t>
  </si>
  <si>
    <t>https://i0.hdslb.com/bfs/station_src/music_metadata/cd8e2064aa39afd7b879ef1d7a1cfd87.jpg</t>
  </si>
  <si>
    <t>https://i0.hdslb.com/bfs/station_src/music_metadata/4984db17d2f54a8250031beb01534b24.txt</t>
  </si>
  <si>
    <t>MA406552690185741796</t>
  </si>
  <si>
    <t>http://i0.hdslb.com/bfs/station_src/music_metadata/0d6e4aa1fb3a0c539b8e4054b4b04365.jpg</t>
  </si>
  <si>
    <t>http://i0.hdslb.com/bfs/station_src/music_metadata/d57fb59ff8f2087eda54ce94407e2698</t>
  </si>
  <si>
    <t>誓言谎言</t>
  </si>
  <si>
    <t>MA438977038695589221</t>
  </si>
  <si>
    <t>相信</t>
  </si>
  <si>
    <t>https://i0.hdslb.com/bfs/station_src/music_metadata/8890a08c51ebe3022cc36fd04fd1ce04.jpg</t>
  </si>
  <si>
    <t>https://i0.hdslb.com/bfs/station_src/music_metadata/de0e1295b88f2d22d508d55a94f6812e.txt</t>
  </si>
  <si>
    <t>MA407125922911662362</t>
  </si>
  <si>
    <t>生生</t>
  </si>
  <si>
    <t>https://i0.hdslb.com/bfs/station_src/music_metadata/d6610412bdf71b8895f0cf1fbd7aab05.jpg</t>
  </si>
  <si>
    <t>http://i0.hdslb.com/bfs/station_src/music_metadata/6efc6eb61769eb7a7104263b1c3622f8</t>
  </si>
  <si>
    <t>MA406537526099090098</t>
  </si>
  <si>
    <t>冻结</t>
  </si>
  <si>
    <t>BV1HZ4y1w7y9</t>
  </si>
  <si>
    <t>http://i1.hdslb.com/bfs/archive/f4ad479e0ca7777004e495b82f8e77de4ee1b80c.jpg</t>
  </si>
  <si>
    <t>MA456115967680886860</t>
  </si>
  <si>
    <t>Love For the Republic (Gong He Guo Zhi Lian)</t>
  </si>
  <si>
    <t>https://i0.hdslb.com/bfs/station_src/music_metadata/78f2aa74d1014baff9c29afdce20239c.jpg</t>
  </si>
  <si>
    <t>Famous Chinese Military Singers: Vol. 3 (Zhong Hua Ge Tan Ming Ren: Jun Lv Ge Tan Ming Ren San)</t>
  </si>
  <si>
    <t>MA409255917486401886</t>
  </si>
  <si>
    <t>我会自己上厕所</t>
  </si>
  <si>
    <t>https://i0.hdslb.com/bfs/station_src/music_metadata/7462160540d507daa8458f7586491af5.jpg</t>
  </si>
  <si>
    <t>http://i0.hdslb.com/bfs/station_src/music_metadata/7bee3e974d1a4b73d94f67eb5600f5ed</t>
  </si>
  <si>
    <t>宝宝巴士益智儿歌</t>
  </si>
  <si>
    <t>MA456093706882177658</t>
  </si>
  <si>
    <t>梨花香</t>
  </si>
  <si>
    <t>音频怪物</t>
  </si>
  <si>
    <t>https://i0.hdslb.com/bfs/station_src/music_metadata/e274742df693beef2e7453f675dafc61.jpg</t>
  </si>
  <si>
    <t>https://i0.hdslb.com/bfs/station_src/music_metadata/55bad8e3307c3f0c06ac77e29bcf2148.txt</t>
  </si>
  <si>
    <t>Cover：李宇春</t>
  </si>
  <si>
    <t>音频怪物精选</t>
  </si>
  <si>
    <t>MA439522527493021192</t>
  </si>
  <si>
    <t>泡泡</t>
  </si>
  <si>
    <t>牛佳钰</t>
  </si>
  <si>
    <t>https://i0.hdslb.com/bfs/station_src/music_metadata/bbe45dae7e19b5e173cd009a3f740c6b.jpg</t>
  </si>
  <si>
    <t>MA493308846345834906</t>
  </si>
  <si>
    <t>这世界也是我的家</t>
  </si>
  <si>
    <t>https://i0.hdslb.com/bfs/station_src/music_metadata/d1f30ce4defe30aa546916e44a928157.jpg</t>
  </si>
  <si>
    <t>https://i0.hdslb.com/bfs/station_src/music_metadata/c7cb7df40cdce8a5c80cf5234ee7d984.txt</t>
  </si>
  <si>
    <t>MA399989764888997067</t>
  </si>
  <si>
    <t>红尘客栈</t>
  </si>
  <si>
    <t>https://i0.hdslb.com/bfs/station_src/music_metadata/0ddef2626d3c5ff91c063cd3f73112dd.jpg</t>
  </si>
  <si>
    <t>MA483593619870066787</t>
  </si>
  <si>
    <t>腾格尔</t>
  </si>
  <si>
    <t>http://i0.hdslb.com/bfs/station_src/music_metadata/5e69faa47425a7c2052850010ef74ce4.jpg</t>
  </si>
  <si>
    <t>不凡的改变 第2期</t>
  </si>
  <si>
    <t>MA497087829357165708</t>
  </si>
  <si>
    <t>昌盛长</t>
  </si>
  <si>
    <t>安子与九妹</t>
  </si>
  <si>
    <t>https://i0.hdslb.com/bfs/station_src/music_metadata/3c99ea70d9da93d5c01ce206c9edc222.jpg</t>
  </si>
  <si>
    <t>MA406539481668143472</t>
  </si>
  <si>
    <t>宠爱</t>
  </si>
  <si>
    <t>https://i0.hdslb.com/bfs/station_src/music_metadata/868eec5bd79cbf8cadbc524410a6d039.jpg</t>
  </si>
  <si>
    <t>http://i0.hdslb.com/bfs/station_src/music_metadata/866fee5bdcb1116afa51684894bf092b</t>
  </si>
  <si>
    <t>《猪猪侠之英雄猪少年》动画主题曲</t>
  </si>
  <si>
    <t>大梦想家</t>
  </si>
  <si>
    <t>MA456058585793708806</t>
  </si>
  <si>
    <t>谁动了我的琴弦</t>
  </si>
  <si>
    <t>https://i0.hdslb.com/bfs/station_src/music_metadata/d732d30e51126e3de88f181a53e9d548.jpg</t>
  </si>
  <si>
    <t>MA406622002619652786</t>
  </si>
  <si>
    <t>给我一个吻</t>
  </si>
  <si>
    <t>张露</t>
  </si>
  <si>
    <t>https://i0.hdslb.com/bfs/station_src/music_metadata/e0c7ce071d416aeb84d180b06bbc90f6.jpg</t>
  </si>
  <si>
    <t>http://i0.hdslb.com/bfs/station_src/music_metadata/69ff1280ba12c3e81ae54e1ce3429004</t>
  </si>
  <si>
    <t>群星会 38 张露 (珍藏系列)</t>
  </si>
  <si>
    <t>MA409255381857003870</t>
  </si>
  <si>
    <t>泪桥</t>
  </si>
  <si>
    <t>伍佰 &amp; China Blue</t>
  </si>
  <si>
    <t>http://i0.hdslb.com/bfs/station_src/music_metadata/cae3bab33498ad8866f9aee5e4f3ea6f.jpg</t>
  </si>
  <si>
    <t>http://i0.hdslb.com/bfs/station_src/music_metadata/36da461ecabf80ade5a756011eb03dcd</t>
  </si>
  <si>
    <t>忘情1015精选辑</t>
  </si>
  <si>
    <t>MA400017399010569419</t>
  </si>
  <si>
    <t>给我一首歌的时间</t>
  </si>
  <si>
    <t>BV1WY411K7g5</t>
  </si>
  <si>
    <t>http://i0.hdslb.com/bfs/station_src/music_metadata/95bc87adfc78cee98d60bc4dc9a91cc1.jpg</t>
  </si>
  <si>
    <t>http://i0.hdslb.com/bfs/station_src/music_metadata/364ac3e9b5dad88c53dd760d258a835b</t>
  </si>
  <si>
    <t>MA407125805303378202</t>
  </si>
  <si>
    <t>偶阵雨</t>
  </si>
  <si>
    <t>https://i0.hdslb.com/bfs/station_src/music_metadata/b5cdad1ff4f796e92425b57d4e7ccf95.jpg</t>
  </si>
  <si>
    <t>http://i0.hdslb.com/bfs/station_src/music_metadata/0c89513c572bbf7c805569cb9f3a47a4</t>
  </si>
  <si>
    <t>《爱从心说 温润心田》微电影插曲</t>
  </si>
  <si>
    <t>爱久见人心</t>
  </si>
  <si>
    <t>MA429370365806928001</t>
  </si>
  <si>
    <t>橙光音乐,米豆音乐</t>
  </si>
  <si>
    <t>https://i0.hdslb.com/bfs/station_src/music_metadata/568b05ebf3c0f2f8c3f136b118321370.jpg</t>
  </si>
  <si>
    <t>橙光音乐集·舒缓中国风1</t>
  </si>
  <si>
    <t>MA406620418783329782</t>
  </si>
  <si>
    <t>心乱飞</t>
  </si>
  <si>
    <t>https://i0.hdslb.com/bfs/station_src/music_metadata/45da56472b0055ed6771def2ab7659b2.jpg</t>
  </si>
  <si>
    <t>http://i0.hdslb.com/bfs/station_src/music_metadata/237fa2bd0c98e8e3167656ded50448f4</t>
  </si>
  <si>
    <t>清唱《斯卡布罗集市》</t>
  </si>
  <si>
    <t>MA450104164651916695</t>
  </si>
  <si>
    <t>字字句句</t>
  </si>
  <si>
    <t>卢卢快闭嘴</t>
  </si>
  <si>
    <t>https://i0.hdslb.com/bfs/station_src/music_metadata/8f18ad8b349f8aba0c3ac01eb9c17e52.jpg</t>
  </si>
  <si>
    <t>MA457128021644599891</t>
  </si>
  <si>
    <t>https://i0.hdslb.com/bfs/station_src/music_metadata/2c820d1bcee047206748bd027daf6121.jpg</t>
  </si>
  <si>
    <t>30COVERS</t>
  </si>
  <si>
    <t>清唱《桃華》</t>
  </si>
  <si>
    <t>idx</t>
  </si>
  <si>
    <t>filename</t>
  </si>
  <si>
    <t>totalP</t>
  </si>
  <si>
    <t>innerP</t>
  </si>
  <si>
    <t>intitle</t>
  </si>
  <si>
    <t>sing_date</t>
  </si>
  <si>
    <t>bv</t>
  </si>
  <si>
    <t>链接</t>
  </si>
  <si>
    <t>[P0002]【说说】2023（一）_P1_1.10  瓦解（阳康复健）[].m4a</t>
  </si>
  <si>
    <t>BV1ne4y1A7oM</t>
  </si>
  <si>
    <t>[P0003]【说说】2023（一）_P2_1.14 人啊（阳康复健）[].m4a</t>
  </si>
  <si>
    <t>[P0004]【说说】2023（一）_P3_1.14 失落沙洲[].m4a</t>
  </si>
  <si>
    <t>[P0005]【说说】2023（一）_P4_1.14 下雨天[].m4a</t>
  </si>
  <si>
    <t>[P0006]【说说】2023（一）_P5_1.14 刻在我心底的名字[].m4a</t>
  </si>
  <si>
    <t>[P0007]【说说】2023（一）_P6_1.19 繁华梦（阳康复健）[].m4a</t>
  </si>
  <si>
    <t>[P0008]【说说】2023（一）_P7_1.19 在夜里跳舞[].m4a</t>
  </si>
  <si>
    <t>[P0009]【说说】2023（一）_P8_1.20 繁华唱遍[].m4a</t>
  </si>
  <si>
    <t>[P0010]【说说】2023（一）_P9_1.20 听见下雨的声音[].m4a</t>
  </si>
  <si>
    <t>[P0011]【说说】2023（一）_P10_1.20 梨花颂（尾奏很长）[].m4a</t>
  </si>
  <si>
    <t>[P0012]【说说】2023（一）_P11_1.20 枉凝眉[].m4a</t>
  </si>
  <si>
    <t>[P0013]【说说】2023（一）_P12_1.21 凤凰于飞[].m4a</t>
  </si>
  <si>
    <t>[P0014]【说说】2023（一）_P13_1.21 雪落下的声音[].m4a</t>
  </si>
  <si>
    <t>[P0015]【说说】2023（一）_P14_1.21 Rubi[].m4a</t>
  </si>
  <si>
    <t>Rubi</t>
  </si>
  <si>
    <t>[P0016]【说说】2023（一）_P15_1.21 流年如歌[].m4a</t>
  </si>
  <si>
    <t>[P0017]【说说】2023（一）_P16_1.21 好运来[].m4a</t>
  </si>
  <si>
    <t>[P0018]【说说】2023（一）_P17_1.21 不问天[].m4a</t>
  </si>
  <si>
    <t>[P0019]【说说】2023（一）_P18_1.29 九万字[].m4a</t>
  </si>
  <si>
    <t>[P0020]【说说】2023（一）_P19_1.29 相思[].m4a</t>
  </si>
  <si>
    <t>[P0021]【说说】2023（一）_P20_1.29 迷迭香[].m4a</t>
  </si>
  <si>
    <t>[P0022]【说说】2023（一）_P21_1.29 回乡偶书[].m4a</t>
  </si>
  <si>
    <t>[P0023]【说说】2023（一）_P22_1.29 一荤一素[].m4a</t>
  </si>
  <si>
    <t>[P0024]【说说】2023（一）_P23_1.30 如愿[].m4a</t>
  </si>
  <si>
    <t>[P0025]【说说】2023（一）_P24_1.31 若把你[].m4a</t>
  </si>
  <si>
    <t>[P0026]【说说】2023（一）_P25_1.31 菩萨蛮[].m4a</t>
  </si>
  <si>
    <t>[P0027]【说说】2023（一）_P26_1.31 天若有情[].m4a</t>
  </si>
  <si>
    <t>[P0028]【说说】2023（一）_P27_1.31 入画江南[].m4a</t>
  </si>
  <si>
    <t>[P0029]【说说】2023（一）_P28_1.31 安静[].m4a</t>
  </si>
  <si>
    <t>[P0030]【说说】2023（一）_P29_1.31 下雨天[].m4a</t>
  </si>
  <si>
    <t>[P0031]【说说】2023（一）_P30_1.31 如燕[].m4a</t>
  </si>
  <si>
    <t>[P0032]【说说】2023（一）_P31_1.31 瓦解[].m4a</t>
  </si>
  <si>
    <t>[P0033]【说说】2023（一）_P32_1.31 枫[].m4a</t>
  </si>
  <si>
    <t>[P0034]【说说】2023（一）_P33_1.31 舞娘[].m4a</t>
  </si>
  <si>
    <t>[P0035]【说说】2023（一）_P34_1.31 心形圈[].m4a</t>
  </si>
  <si>
    <t>心形圈</t>
  </si>
  <si>
    <t>[P0036]【说说】2023（一）_P35_1.31 布虎记[].m4a</t>
  </si>
  <si>
    <t>[P0037]【说说】2023（一）_P36_2.2 烟火人间月[].m4a</t>
  </si>
  <si>
    <t>[P0038]【说说】2023（一）_P37_2.2 罗敷[].m4a</t>
  </si>
  <si>
    <t>[P0039]【说说】2023（一）_P38_2.3 Sow Down[].m4a</t>
  </si>
  <si>
    <t>Sow Down</t>
  </si>
  <si>
    <t>[P0040]【说说】2023（一）_P39_2.3 愛してる（我爱你）[].m4a</t>
  </si>
  <si>
    <t>愛してる</t>
  </si>
  <si>
    <t>[P0041]【说说】2023（一）_P40_2.3 明明就[].m4a</t>
  </si>
  <si>
    <t>[P0042]【说说】2023（一）_P41_2.3 呼吸决定[].m4a</t>
  </si>
  <si>
    <t>[P0043]【说说】2023（一）_P42_2.3 向光[].m4a</t>
  </si>
  <si>
    <t>[P0044]【说说】2023（一）_P43_2.3 不能说的秘密[].m4a</t>
  </si>
  <si>
    <t>[P0045]【说说】2023（一）_P44_2.4 桃花笑[].m4a</t>
  </si>
  <si>
    <t>[P0046]【说说】2023（一）_P45_2.4 春风十里[].m4a</t>
  </si>
  <si>
    <t>[P0047]【说说】2023（一）_P46_2.4 鸿雁[].m4a</t>
  </si>
  <si>
    <t>[P0048]【说说】2023（一）_P47_2.4 晴天[].m4a</t>
  </si>
  <si>
    <t>[P0049]【说说】2023（一）_P48_2.4 致你[].m4a</t>
  </si>
  <si>
    <t>[P0050]【说说】2023（一）_P49_2.4 浪漫手机[].m4a</t>
  </si>
  <si>
    <t>[P0051]【说说】2023（一）_P50_2.4 不能说的秘密[].m4a</t>
  </si>
  <si>
    <t>[P0052]【说说】2023（一）_P51_2.4 春天的芭蕾[].m4a</t>
  </si>
  <si>
    <t>[P0053]【说说】2023（一）_P52_2.4 玛依拉变奏曲[].m4a</t>
  </si>
  <si>
    <t>[P0054]【说说】2023（一）_P53_2.4 灯火里的中国[].m4a</t>
  </si>
  <si>
    <t>[P0055]【说说】2023（一）_P54_2.5 雨樱花[].m4a</t>
  </si>
  <si>
    <t>[P0056]【说说】2023（一）_P55_2.5 刀马旦[].m4a</t>
  </si>
  <si>
    <t>[P0057]【说说】2023（一）_P56_2.5 不要忘记我爱你[].m4a</t>
  </si>
  <si>
    <t>[P0058]【说说】2023（一）_P57_2.5 难忘今宵[].m4a</t>
  </si>
  <si>
    <t>[P0059]【说说】2023（一）_P58_2.8 星晴[].m4a</t>
  </si>
  <si>
    <t>[P0060]【说说】2023（一）_P59_2.8 瓦解[].m4a</t>
  </si>
  <si>
    <t>[P0061]【说说】2023（一）_P60_2.8 浪漫手机[].m4a</t>
  </si>
  <si>
    <t>[P0062]【说说】2023（一）_P61_2.8 彩虹[].m4a</t>
  </si>
  <si>
    <t>[P0063]【说说】2023（一）_P62_2.8 枫[].m4a</t>
  </si>
  <si>
    <t>[P0064]【说说】2023（一）_P63_2.8 等你下课[].m4a</t>
  </si>
  <si>
    <t>[P0065]【说说】2023（一）_P64_2.11 星晴[].m4a</t>
  </si>
  <si>
    <t>[P0066]【说说】2023（一）_P65_2.11 恰好[].m4a</t>
  </si>
  <si>
    <t>[P0067]【说说】2023（一）_P66_2.12 龙卷风[].m4a</t>
  </si>
  <si>
    <t>[P0068]【说说】2023（一）_P67_2.12 Ring ing ing[].m4a</t>
  </si>
  <si>
    <t>Ring ing ing</t>
  </si>
  <si>
    <t>[P0069]【说说】2023（一）_P68_2.12 Ppe he（清唱）[].m4a</t>
  </si>
  <si>
    <t>Ppe he</t>
  </si>
  <si>
    <t>[P0070]【说说】2023（一）_P69_2.12 永不失联的爱[].m4a</t>
  </si>
  <si>
    <t>[P0071]【说说】2023（一）_P70_2.12 陪我歌唱[].m4a</t>
  </si>
  <si>
    <t>[P0072]【说说】2023（一）_P71_2.12 左边[].m4a</t>
  </si>
  <si>
    <t>[P0073]【说说】2023（一）_P72_2.12 交响梦[].m4a</t>
  </si>
  <si>
    <t>[P0074]【说说】2023（一）_P73_2.12 无眠[].m4a</t>
  </si>
  <si>
    <t>[P0075]【说说】2023（一）_P74_2.12 呼吸决定[].m4a</t>
  </si>
  <si>
    <t>[P0076]【说说】2023（一）_P75_2.14 告白气球[].m4a</t>
  </si>
  <si>
    <t>[P0077]【说说】2023（一）_P76_2.14 甜甜的[].m4a</t>
  </si>
  <si>
    <t>[P0078]【说说】2023（一）_P77_2.14 爱情废柴[].m4a</t>
  </si>
  <si>
    <t>[P0079]【说说】2023（一）_P78_2.14 说散就散[].m4a</t>
  </si>
  <si>
    <t>[P0080]【说说】2023（一）_P79_2.14 喜欢你[].m4a</t>
  </si>
  <si>
    <t>[P0081]【说说】2023（一）_P80_2.14 n' ke m ee off ou[].m4a</t>
  </si>
  <si>
    <t>n' ke m ee off ou</t>
  </si>
  <si>
    <t>[P0082]【说说】2023（一）_P81_2.14 残酷月光[].m4a</t>
  </si>
  <si>
    <t>[P0083]【说说】2023（一）_P82_2.14 浪费[].m4a</t>
  </si>
  <si>
    <t>[P0084]【说说】2023（一）_P83_2.14 有可能的夜晚[].m4a</t>
  </si>
  <si>
    <t>[P0085]【说说】2023（一）_P84_2.15 雪落下的声音[].m4a</t>
  </si>
  <si>
    <t>[P0086]【说说】2023（一）_P85_2.15 人是_[].m4a</t>
  </si>
  <si>
    <t>[P0087]【说说】2023（一）_P86_2.15 去有风的地方[].m4a</t>
  </si>
  <si>
    <t>[P0088]【说说】2023（一）_P87_2.15 好想好想[].m4a</t>
  </si>
  <si>
    <t>[P0089]【说说】2023（一）_P88_2.15 我只在乎你[].m4a</t>
  </si>
  <si>
    <t>[P0090]【说说】2023（一）_P89_2.17 三月雨[].m4a</t>
  </si>
  <si>
    <t>[P0091]【说说】2023（一）_P90_2.17 如此[].m4a</t>
  </si>
  <si>
    <t>[P0092]【说说】2023（一）_P91_2.17 像风一样[].m4a</t>
  </si>
  <si>
    <t>[P0093]【说说】2023（一）_P92_2.17 给电影人的情书[].m4a</t>
  </si>
  <si>
    <t>[P0094]【说说】2023（一）_P93_2.17 青花瓷[].m4a</t>
  </si>
  <si>
    <t>[P0095]【说说】2023（一）_P94_2.17 交响梦[].m4a</t>
  </si>
  <si>
    <t>[P0096]【说说】2023（一）_P95_2.17 无眠[].m4a</t>
  </si>
  <si>
    <t>[P0097]【说说】2023（一）_P96_2.17 各站停靠[].m4a</t>
  </si>
  <si>
    <t>[P0098]【说说】2023（一）_P97_2.17 故事[].m4a</t>
  </si>
  <si>
    <t>[P0099]【说说】2023（一）_P98_2.17 独处的时候[].m4a</t>
  </si>
  <si>
    <t>[P0100]【说说】2023（一）_P99_2.17 有形的翅膀[].m4a</t>
  </si>
  <si>
    <t>[P0101]【说说】2023（一）_P100_2.17 天知河 清唱[].m4a</t>
  </si>
  <si>
    <t>天知河 清唱</t>
  </si>
  <si>
    <t>[P0102]【说说】2023（一）_P101_2.17 明明就[].m4a</t>
  </si>
  <si>
    <t>[P0103]【说说】2023（一）_P102_2.17 三人游[].m4a</t>
  </si>
  <si>
    <t>[P0104]【说说】2023（一）_P103_2.18 不醉不会[].m4a</t>
  </si>
  <si>
    <t>[P0105]【说说】2023（一）_P104_2.18 身骑白马[].m4a</t>
  </si>
  <si>
    <t>[P0106]【说说】2023（一）_P105_2.22 红颜如霜[].m4a</t>
  </si>
  <si>
    <t>[P0107]【说说】2023（一）_P106_2.22 残酷月光[].m4a</t>
  </si>
  <si>
    <t>[P0108]【说说】2023（一）_P107_2.22 如果你也听说[].m4a</t>
  </si>
  <si>
    <t>[P0109]【说说】2023（一）_P108_2.22 阿楚姑娘[].m4a</t>
  </si>
  <si>
    <t>[P0110]【说说】2023（一）_P109_2.22 靠近[].m4a</t>
  </si>
  <si>
    <t>[P0111]【说说】2023（一）_P110_2.22 在那东山顶上[].m4a</t>
  </si>
  <si>
    <t>[P0112]【说说】2023（一）_P111_2.22 龙文[].m4a</t>
  </si>
  <si>
    <t>[P0113]【说说】2023（一）_P112_2.28 浪漫手机[].m4a</t>
  </si>
  <si>
    <t>[P0114]【说说】2023（一）_P113_2.28 乌梅子酱[].m4a</t>
  </si>
  <si>
    <t>[P0115]【说说】2023（一）_P114_2.28 红玫瑰[].m4a</t>
  </si>
  <si>
    <t>[P0116]【说说】2023（一）_P115_2.28 月光[].m4a</t>
  </si>
  <si>
    <t>[P0117]【说说】2023（一）_P116_3.1 没有意外[].m4a</t>
  </si>
  <si>
    <t>[P0118]【说说】2023（一）_P117_3.1 别找我麻烦[].m4a</t>
  </si>
  <si>
    <t>[P0119]【说说】2023（一）_P118_3.1 十万毫升泪水[].m4a</t>
  </si>
  <si>
    <t>[P0120]【说说】2023（一）_P119_3.1 抛物线[].m4a</t>
  </si>
  <si>
    <t>[P0121]【说说】2023（一）_P120_3.1 紫[].m4a</t>
  </si>
  <si>
    <t>[P0122]【说说】2023（一）_P121_3.1 去有风的地方[].m4a</t>
  </si>
  <si>
    <t>[P0123]【说说】2023（一）_P122_3.1 人是_[].m4a</t>
  </si>
  <si>
    <t>[P0124]【说说】2023（一）_P123_3.1 美丽的神话[].m4a</t>
  </si>
  <si>
    <t>[P0125]【说说】2023（一）_P124_3.1 春三月[].m4a</t>
  </si>
  <si>
    <t>[P0126]【说说】2023（一）_P125_3.1 起风了[].m4a</t>
  </si>
  <si>
    <t>[P0127]【说说】2023（一）_P126_3.1 菊花台[].m4a</t>
  </si>
  <si>
    <t>[P0128]【说说】2023（一）_P127_3.1 菊花台（原调高八度）[].m4a</t>
  </si>
  <si>
    <t>[P0129]【说说】2023（一）_P128_3.4 烟火人间月[].m4a</t>
  </si>
  <si>
    <t>[P0130]【说说】2023（一）_P129_3.4 搁浅[].m4a</t>
  </si>
  <si>
    <t>[P0131]【说说】2023（一）_P130_3.4 左边[].m4a</t>
  </si>
  <si>
    <t>[P0132]【说说】2023（一）_P131_3.5  假如爱有天意[].m4a</t>
  </si>
  <si>
    <t>[P0133]【说说】2023（一）_P132_3.5 瓦解[].m4a</t>
  </si>
  <si>
    <t>[P0134]【说说】2023（一）_P133_3.5 路过人间[].m4a</t>
  </si>
  <si>
    <t>[P0135]【说说】2023（一）_P134_3.8 致你[].m4a</t>
  </si>
  <si>
    <t>[P0136]【说说】2023（一）_P135_3.8 爱就一个字 清唱[].m4a</t>
  </si>
  <si>
    <t>爱就一个字 清唱</t>
  </si>
  <si>
    <t>[P0137]【说说】2023（一）_P136_3.8 繁华唱遍[].m4a</t>
  </si>
  <si>
    <t>[P0138]【说说】2023（一）_P137_3.8 不问天之我是女神[].m4a</t>
  </si>
  <si>
    <t>不问天之我是女神</t>
  </si>
  <si>
    <t>[P0139]【说说】2023（一）_P138_3.8 牡丹亭畔 清唱[].m4a</t>
  </si>
  <si>
    <t>[P0140]【说说】2023（一）_P139_3.8 o mio  ben 清唱[].m4a</t>
  </si>
  <si>
    <t>o mio  ben 清唱</t>
  </si>
  <si>
    <t>[P0141]【说说】2023（一）_P140_3.8 o mio ben[].m4a</t>
  </si>
  <si>
    <t>o mio ben</t>
  </si>
  <si>
    <t>[P0142]【说说】2023（一）_P141_3.8 Inomo 'ido mio[].m4a</t>
  </si>
  <si>
    <t>Inomo 'ido mio</t>
  </si>
  <si>
    <t>[P0143]【说说】2023（一）_P142_3.8 独处的时候 清唱[].m4a</t>
  </si>
  <si>
    <t>[P0144]【说说】2023（一）_P143_3.8 先生 清唱[].m4a</t>
  </si>
  <si>
    <t>先生 清唱</t>
  </si>
  <si>
    <t>[P0145]【说说】2023（一）_P144_3.11 搁浅[].m4a</t>
  </si>
  <si>
    <t>[P0146]【说说】2023（一）_P145_3.11 乌梅子酱[].m4a</t>
  </si>
  <si>
    <t>[P0147]【说说】2023（一）_P146_3.11 将故事写成我们[].m4a</t>
  </si>
  <si>
    <t>[P0148]【说说】2023（一）_P147_3.11 翅膀[].m4a</t>
  </si>
  <si>
    <t>[P0149]【说说】2023（一）_P148_3.11 关键词[].m4a</t>
  </si>
  <si>
    <t>[P0150]【说说】2023（一）_P149_3.11 爱情悬崖[].m4a</t>
  </si>
  <si>
    <t>[P0151]【说说】2023（一）_P150_3.11 左边[].m4a</t>
  </si>
  <si>
    <t>[P0152]【说说】2023（一）_P151_3.11 分身[].m4a</t>
  </si>
  <si>
    <t>[P0153]【说说】2023（一）_P152_3.11 分身（第二遍）[].m4a</t>
  </si>
  <si>
    <t>[P0154]【说说】2023（一）_P153_3.11 不亏不欠[].m4a</t>
  </si>
  <si>
    <t>不亏不欠</t>
  </si>
  <si>
    <t>[P0155]【说说】2023（一）_P154_3.11 阿楚姑娘[].m4a</t>
  </si>
  <si>
    <t>[P0156]【说说】2023（一）_P155_3.11 凄美地[].m4a</t>
  </si>
  <si>
    <t>[P0157]【说说】2023（一）_P156_3.11 易燃易爆炸[].m4a</t>
  </si>
  <si>
    <t>[P0158]【说说】2023（一）_P157_3.11 阿刁[].m4a</t>
  </si>
  <si>
    <t>[P0159]【说说】2023（一）_P158_3.11 梦里花[].m4a</t>
  </si>
  <si>
    <t>[P0160]【说说】2023（一）_P159_3.11 落叶归根[].m4a</t>
  </si>
  <si>
    <t>[P0161]【说说】2023（一）_P160_3.11 茉莉花[].m4a</t>
  </si>
  <si>
    <t>[P0162]【说说】2023（一）_P161_3.11 天知河[].m4a</t>
  </si>
  <si>
    <t>[P0163]【说说】2023（一）_P162_3.14 甜甜的[].m4a</t>
  </si>
  <si>
    <t>[P0164]【说说】2023（一）_P163_3.14 园游会[].m4a</t>
  </si>
  <si>
    <t>[P0165]【说说】2023（一）_P164_3.14 花一开就相爱吧[].m4a</t>
  </si>
  <si>
    <t>[P0166]【说说】2023（一）_P165_3.15 爱情悬崖[].m4a</t>
  </si>
  <si>
    <t>[P0167]【说说】2023（一）_P166_3.15 ubi[].m4a</t>
  </si>
  <si>
    <t>ubi</t>
  </si>
  <si>
    <t>[P0168]【说说】2023（一）_P167_3.15 梨花颂[].m4a</t>
  </si>
  <si>
    <t>[P0169]【说说】2023（一）_P168_3.15 遇见[].m4a</t>
  </si>
  <si>
    <t>[P0170]【说说】2023（一）_P169_3.21 听见下雨的声音[].m4a</t>
  </si>
  <si>
    <t>[P0171]【说说】2023（一）_P170_3.21 我好想你[].m4a</t>
  </si>
  <si>
    <t>[P0172]【说说】2023（一）_P171_3.21 凄美地[].m4a</t>
  </si>
  <si>
    <t>[P0173]【说说】2023（一）_P172_3.21 台风[].m4a</t>
  </si>
  <si>
    <t>[P0174]【说说】2023（一）_P173_3.21 大笨钟[].m4a</t>
  </si>
  <si>
    <t>[P0175]【说说】2023（一）_P174_3.21 在夜里跳舞[].m4a</t>
  </si>
  <si>
    <t>[P0176]【说说】2023（一）_P175_3.21 Ppe he[].m4a</t>
  </si>
  <si>
    <t>[P0177]【说说】2023（一）_P176_3.21 如此[].m4a</t>
  </si>
  <si>
    <t>[P0178]【说说】2023（一）_P177_3.21 喂[].m4a</t>
  </si>
  <si>
    <t>[P0179]【说说】2023（一）_P178_3.21 月光[].m4a</t>
  </si>
  <si>
    <t>[P0180]【说说】2023（一）_P179_3.21 爱就一个字[].m4a</t>
  </si>
  <si>
    <t>[P0181]【说说】2023（一）_P180_3.21 爱如潮水[].m4a</t>
  </si>
  <si>
    <t>[P0182]【说说】2023（一）_P181_3.21 D po[].m4a</t>
  </si>
  <si>
    <t>D po</t>
  </si>
  <si>
    <t>[P0183]【说说】2023（一）_P182_3.22 我的梦[].m4a</t>
  </si>
  <si>
    <t>[P0184]【说说】2023（一）_P183_3.22 小小[].m4a</t>
  </si>
  <si>
    <t>[P0185]【说说】2023（一）_P184_3.22 浪漫血液[].m4a</t>
  </si>
  <si>
    <t>[P0186]【说说】2023（一）_P185_3.22 问情[].m4a</t>
  </si>
  <si>
    <t>[P0187]【说说】2023（一）_P186_3.24 明明就[].m4a</t>
  </si>
  <si>
    <t>[P0188]【说说】2023（一）_P187_3.24 让她降落[].m4a</t>
  </si>
  <si>
    <t>[P0189]【说说】2023（一）_P188_3.24 九万字[].m4a</t>
  </si>
  <si>
    <t>[P0190]【说说】2023（一）_P189_3.25 想你就写信[].m4a</t>
  </si>
  <si>
    <t>[P0191]【说说】2023（一）_P190_3.25 上海一九四三[].m4a</t>
  </si>
  <si>
    <t>[P0192]【说说】2023（一）_P191_3.28 D cpo[].m4a</t>
  </si>
  <si>
    <t>D cpo</t>
  </si>
  <si>
    <t>[P0193]【说说】2023（一）_P192_3.28 下雨的夜晚[].m4a</t>
  </si>
  <si>
    <t>[P0194]【说说】2023（一）_P193_3.28 搁浅[].m4a</t>
  </si>
  <si>
    <t>[P0195]【说说】2023（一）_P194_3.28 嘟嘟台风[].m4a</t>
  </si>
  <si>
    <t>嘟嘟台风</t>
  </si>
  <si>
    <t>[P0196]【说说】2023（一）_P195_3.28 开不了口[].m4a</t>
  </si>
  <si>
    <t>[P0197]【说说】2023（一）_P196_3.28 桃花诺[].m4a</t>
  </si>
  <si>
    <t>[P0198]【说说】2023（一）_P197_3.28 离不开你[].m4a</t>
  </si>
  <si>
    <t>[P0199]【说说】2023（二）_P1_4.2 红颜如霜[].m4a</t>
  </si>
  <si>
    <t>BV1cs4y1w7Lv</t>
  </si>
  <si>
    <t>[P0200]【说说】2023（二）_P2_4.5 锦鲤抄[].m4a</t>
  </si>
  <si>
    <t>[P0201]【说说】2023（二）_P3_4.5 月光[].m4a</t>
  </si>
  <si>
    <t>[P0202]【说说】2023（二）_P4_4.5 牡丹亭畔[].m4a</t>
  </si>
  <si>
    <t>[P0203]【说说】2023（二）_P5_4.5 最长的电影[].m4a</t>
  </si>
  <si>
    <t>[P0204]【说说】2023（二）_P6_4.5 回乡偶书[].m4a</t>
  </si>
  <si>
    <t>[P0205]【说说】2023（二）_P7_4.5 罗敷[].m4a</t>
  </si>
  <si>
    <t>[P0206]【说说】2023（二）_P8_4.5 七里香[].m4a</t>
  </si>
  <si>
    <t>七里香-四川话</t>
  </si>
  <si>
    <t>[P0207]【说说】2023（二）_P9_4.5 开不了口[].m4a</t>
  </si>
  <si>
    <t>[P0208]【说说】2023（二）_P10_4.5 枫[].m4a</t>
  </si>
  <si>
    <t>[P0209]【说说】2023（二）_P11_4.5 炫境[].m4a</t>
  </si>
  <si>
    <t>[P0210]【说说】2023（二）_P12_4.5 左手指月[].m4a</t>
  </si>
  <si>
    <t>[P0211]【说说】2023（二）_P13_4.5 九儿[].m4a</t>
  </si>
  <si>
    <t>[P0212]【说说】2023（二）_P14_4.5 秋水长天[].m4a</t>
  </si>
  <si>
    <t>[P0213]【说说】2023（二）_P15_4.5 乌梅子酱[].m4a</t>
  </si>
  <si>
    <t>[P0214]【说说】2023（二）_P16_4.8 无眠[].m4a</t>
  </si>
  <si>
    <t>[P0215]【说说】2023（二）_P17_4.8 左边[].m4a</t>
  </si>
  <si>
    <t>[P0216]【说说】2023（二）_P18_4.8 陪我歌唱[].m4a</t>
  </si>
  <si>
    <t>[P0217]【说说】2023（二）_P19_4.8 交响梦[].m4a</t>
  </si>
  <si>
    <t>[P0218]【说说】2023（二）_P20_4.8 呼吸决定[].m4a</t>
  </si>
  <si>
    <t>[P0219]【说说】2023（二）_P21_4.8 Rubi[].m4a</t>
  </si>
  <si>
    <t>[P0220]【说说】2023（二）_P22_4.8 D cpo[].m4a</t>
  </si>
  <si>
    <t>[P0221]【说说】2023（二）_P23_4.8 青花瓷[].m4a</t>
  </si>
  <si>
    <t>[P0222]【说说】2023（二）_P24_4.8 台风[].m4a</t>
  </si>
  <si>
    <t>[P0223]【说说】2023（二）_P25_4.9 一样的月光[].m4a</t>
  </si>
  <si>
    <t>[P0224]【说说】2023（二）_P26_4.12 问情[].m4a</t>
  </si>
  <si>
    <t>[P0225]【说说】2023（二）_P27_4.12 明明就[].m4a</t>
  </si>
  <si>
    <t>[P0226]【说说】2023（二）_P28_4.12 发如雪[].m4a</t>
  </si>
  <si>
    <t>[P0227]【说说】2023（二）_P29_4.12 大眠[].m4a</t>
  </si>
  <si>
    <t>[P0228]【说说】2023（二）_P30_4.13 爱情悬崖[].m4a</t>
  </si>
  <si>
    <t>[P0229]【说说】2023（二）_P31_4.14 甜知河[].m4a</t>
  </si>
  <si>
    <t>甜知河</t>
  </si>
  <si>
    <t>[P0230]【说说】2023（二）_P32_4.14 天知河[].m4a</t>
  </si>
  <si>
    <t>[P0231]【说说】2023（二）_P33_4.14 牵丝戏[].m4a</t>
  </si>
  <si>
    <t>[P0232]【说说】2023（二）_P34_4.14 星河叹[].m4a</t>
  </si>
  <si>
    <t>[P0233]【说说】2023（二）_P35_4.14 愿望[].m4a</t>
  </si>
  <si>
    <t>[P0234]【说说】2023（二）_P36_4.14 月光[].m4a</t>
  </si>
  <si>
    <t>[P0235]【说说】2023（二）_P37_4.14 上海一九四三[].m4a</t>
  </si>
  <si>
    <t>[P0236]【说说】2023（二）_P38_4.14 轨迹[].m4a</t>
  </si>
  <si>
    <t>[P0237]【说说】2023（二）_P39_4.14 再见深海[].m4a</t>
  </si>
  <si>
    <t>[P0238]【说说】2023（二）_P40_4.15 晴天[].m4a</t>
  </si>
  <si>
    <t>[P0239]【说说】2023（二）_P41_4.18 Ring ing ing[].m4a</t>
  </si>
  <si>
    <t>[P0240]【说说】2023（二）_P42_4.18 安静[].m4a</t>
  </si>
  <si>
    <t>[P0241]【说说】2023（二）_P43_4.18 龙卷风[].m4a</t>
  </si>
  <si>
    <t>[P0242]【说说】2023（二）_P44_4.19 小城谣[].m4a</t>
  </si>
  <si>
    <t>[P0243]【说说】2023（二）_P45_4.19 暗号[].m4a</t>
  </si>
  <si>
    <t>[P0244]【说说】2023（二）_P46_4.19 浪漫血液[].m4a</t>
  </si>
  <si>
    <t>[P0245]【说说】2023（二）_P47_4.19 月亮代表我的心[].m4a</t>
  </si>
  <si>
    <t>[P0246]【说说】2023（二）_P48_4.19 若把你[].m4a</t>
  </si>
  <si>
    <t>[P0247]【说说】2023（二）_P49_4.21 带你离开（首唱现场）[].m4a</t>
  </si>
  <si>
    <t>[P0248]【说说】2023（二）_P50_4.21 神女劈观[].m4a</t>
  </si>
  <si>
    <t>[P0249]【说说】2023（二）_P51_4.21 蝶恋花[].m4a</t>
  </si>
  <si>
    <t>[P0250]【说说】2023（二）_P52_4.21 敕勒歌 民族唱法[].m4a</t>
  </si>
  <si>
    <t>敕勒歌 民族唱法</t>
  </si>
  <si>
    <t>[P0251]【说说】2023（二）_P53_4.21 跟唱《思念》[].m4a</t>
  </si>
  <si>
    <t>跟唱《思念》</t>
  </si>
  <si>
    <t>[P0252]【说说】2023（二）_P54_4.21 月光[].m4a</t>
  </si>
  <si>
    <t>[P0253]【说说】2023（二）_P55_4.21 流年如歌[].m4a</t>
  </si>
  <si>
    <t>[P0254]【说说】2023（二）_P56_4.21 不问天[].m4a</t>
  </si>
  <si>
    <t>[P0255]【说说】2023（二）_P57_4.21 落叶归根[].m4a</t>
  </si>
  <si>
    <t>[P0256]【说说】2023（二）_P58_4.22 半岛铁盒[].m4a</t>
  </si>
  <si>
    <t>[P0257]【说说】2023（二）_P59_4.22 在树上唱歌[].m4a</t>
  </si>
  <si>
    <t>[P0258]【说说】2023（二）_P60_4.22 人啊[].m4a</t>
  </si>
  <si>
    <t>[P0259]【说说】2023（二）_P61_4.22 人是_[].m4a</t>
  </si>
  <si>
    <t>[P0260]【说说】2023（二）_P62_4.22 烟火[].m4a</t>
  </si>
  <si>
    <t>[P0261]【说说】2023（二）_P63_4.22 带我走[].m4a</t>
  </si>
  <si>
    <t>[P0262]【说说】2023（二）_P64_4.22 晴天[].m4a</t>
  </si>
  <si>
    <t>[P0263]【说说】2023（二）_P65_4.28 房间[].m4a</t>
  </si>
  <si>
    <t>房间</t>
  </si>
  <si>
    <t>[P0264]【说说】2023（二）_P66_4.28 乌梅子酱[].m4a</t>
  </si>
  <si>
    <t>[P0265]【说说】2023（二）_P67_4.28 小雨（跟唱）[].m4a</t>
  </si>
  <si>
    <t>[P0266]【说说】2023（二）_P68_4.28 心墙[].m4a</t>
  </si>
  <si>
    <t>[P0267]【说说】2023（二）_P69_4.28 星晴[].m4a</t>
  </si>
  <si>
    <t>[P0268]【说说】2023（二）_P70_4.28 再见深海[].m4a</t>
  </si>
  <si>
    <t>[P0269]【说说】2023（二）_P71_4.29 等你下课[].m4a</t>
  </si>
  <si>
    <t>[P0270]【说说】2023（二）_P72_4.29 如果云知道[].m4a</t>
  </si>
  <si>
    <t>[P0271]【说说】2023（二）_P73_4.29 寻一个天荒地老的地方[].m4a</t>
  </si>
  <si>
    <t>[P0272]【说说】2023（二）_P74_5.1 恰好[].m4a</t>
  </si>
  <si>
    <t>[P0273]【说说】2023（二）_P75_5.1 星河叹[].m4a</t>
  </si>
  <si>
    <t>[P0274]【说说】2023（二）_P76_5.1 敕勒歌[].m4a</t>
  </si>
  <si>
    <t>[P0275]【说说】2023（二）_P77_5.1 黑色幽默[].m4a</t>
  </si>
  <si>
    <t>[P0276]【说说】2023（二）_P78_5.1 我落泪情绪零碎[].m4a</t>
  </si>
  <si>
    <t>[P0277]【说说】2023（二）_P79_5.2 暗号[].m4a</t>
  </si>
  <si>
    <t>[P0278]【说说】2023（二）_P80_5.2 发如雪[].m4a</t>
  </si>
  <si>
    <t>[P0279]【说说】2023（二）_P81_5.2 七里香[].m4a</t>
  </si>
  <si>
    <t>[P0280]【说说】2023（二）_P82_5.2 千里之外[].m4a</t>
  </si>
  <si>
    <t>[P0281]【说说】2023（二）_P83_5.2 千里之外（高八度）[].m4a</t>
  </si>
  <si>
    <t>[P0282]【说说】2023（二）_P84_5.5 被雨伤透[].m4a</t>
  </si>
  <si>
    <t>[P0283]【说说】2023（二）_P85_5.5 去有风的地方[].m4a</t>
  </si>
  <si>
    <t>[P0284]【说说】2023（二）_P86_5.5 烟火[].m4a</t>
  </si>
  <si>
    <t>[P0285]【说说】2023（二）_P87_5.5 如果有来生[].m4a</t>
  </si>
  <si>
    <t>[P0286]【说说】2023（二）_P88_5.5 黑色毛衣[].m4a</t>
  </si>
  <si>
    <t>[P0287]【说说】2023（二）_P89_5.5 爱情悬崖[].m4a</t>
  </si>
  <si>
    <t>[P0288]【说说】2023（二）_P90_5.5 Ppe he[].m4a</t>
  </si>
  <si>
    <t>[P0289]【说说】2023（二）_P91_5.5 退后[].m4a</t>
  </si>
  <si>
    <t>[P0290]【说说】2023（二）_P92_5.5 独上西楼[].m4a</t>
  </si>
  <si>
    <t>[P0291]【说说】2023（二）_P93_5.5 兰亭序[].m4a</t>
  </si>
  <si>
    <t>[P0292]【说说】2023（二）_P94_5.11 好运来[].m4a</t>
  </si>
  <si>
    <t>[P0293]【说说】2023（二）_P95_5.11 再见深海[].m4a</t>
  </si>
  <si>
    <t>[P0294]【说说】2023（二）_P96_5.11 少年不凡[].m4a</t>
  </si>
  <si>
    <t>[P0295]【说说】2023（二）_P97_5.11 雨蝶[].m4a</t>
  </si>
  <si>
    <t>[P0296]【说说】2023（二）_P98_5.11 繁华唱遍[].m4a</t>
  </si>
  <si>
    <t>[P0297]【说说】2023（二）_P99_5.11 梦一场[].m4a</t>
  </si>
  <si>
    <t>[P0298]【说说】2023（二）_P100_5.13 分裂[].m4a</t>
  </si>
  <si>
    <t>[P0299]【说说】2023（二）_P101_5.13 分裂（第二遍）[].m4a</t>
  </si>
  <si>
    <t>[P0300]【说说】2023（二）_P102_5.13 断了的弦[].m4a</t>
  </si>
  <si>
    <t>[P0301]【说说】2023（二）_P103_5.13 靠近[].m4a</t>
  </si>
  <si>
    <t>[P0302]【说说】2023（二）_P104_5.13 若把你[].m4a</t>
  </si>
  <si>
    <t>[P0303]【说说】2023（二）_P105_5.14 花海[].m4a</t>
  </si>
  <si>
    <t>[P0304]【说说】2023（二）_P106_5.14 我落泪情绪零碎[].m4a</t>
  </si>
  <si>
    <t>[P0305]【说说】2023（二）_P107_5.17 雨下一整晚[].m4a</t>
  </si>
  <si>
    <t>[P0306]【说说】2023（二）_P108_5.17 花海[].m4a</t>
  </si>
  <si>
    <t>[P0307]【说说】2023（二）_P109_5.17 小雨[].m4a</t>
  </si>
  <si>
    <t>[P0308]【说说】2023（二）_P110_5.17 溺水金鱼[].m4a</t>
  </si>
  <si>
    <t>[P0309]【说说】2023（二）_P111_5.20 浪漫手机（两周年纪念回）[].m4a</t>
  </si>
  <si>
    <t>[P0310]【说说】2023（二）_P112_5.20 布虎记[].m4a</t>
  </si>
  <si>
    <t>[P0311]【说说】2023（二）_P113_5.20 呼吸决定[].m4a</t>
  </si>
  <si>
    <t>[P0312]【说说】2023（二）_P114_5.20 不问天[].m4a</t>
  </si>
  <si>
    <t>[P0313]【说说】2023（二）_P115_5.20 玛依拉变奏曲[].m4a</t>
  </si>
  <si>
    <t>[P0314]【说说】2023（二）_P116_5.20 星晴[].m4a</t>
  </si>
  <si>
    <t>[P0315]【说说】2023（二）_P117_5.20 天知河 清唱[].m4a</t>
  </si>
  <si>
    <t>[P0316]【说说】2023（二）_P118_5.21 小雨[].m4a</t>
  </si>
  <si>
    <t>[P0317]【说说】2023（二）_P119_5.21 开不了口[].m4a</t>
  </si>
  <si>
    <t>[P0318]【说说】2023（二）_P120_5.21 雨下一整晚[].m4a</t>
  </si>
  <si>
    <t>[P0319]【说说】2023（二）_P121_5.23 若把你[].m4a</t>
  </si>
  <si>
    <t>[P0320]【说说】2023（二）_P122_5.23 少年不凡[].m4a</t>
  </si>
  <si>
    <t>[P0321]【说说】2023（二）_P123_5.24 永不失联的爱[].m4a</t>
  </si>
  <si>
    <t>[P0322]【说说】2023（二）_P124_5.24 明明就[].m4a</t>
  </si>
  <si>
    <t>[P0323]【说说】2023（二）_P125_5.24 人啊[].m4a</t>
  </si>
  <si>
    <t>[P0324]【说说】2023（二）_P126_5.24 在夜里跳舞[].m4a</t>
  </si>
  <si>
    <t>[P0325]【说说】2023（二）_P127_5.24 如此[].m4a</t>
  </si>
  <si>
    <t>[P0326]【说说】2023（二）_P128_5.24 再见深海[].m4a</t>
  </si>
  <si>
    <t>[P0327]【说说】2023（二）_P129_5.24 D cpo[].m4a</t>
  </si>
  <si>
    <t>[P0328]【说说】2023（二）_P130_5.24 Rubi[].m4a</t>
  </si>
  <si>
    <t>[P0329]【说说】2023（二）_P131_5.24 栅栏间隙偷窥你[].m4a</t>
  </si>
  <si>
    <t>[P0330]【说说】2023（二）_P132_5.24 暗号[].m4a</t>
  </si>
  <si>
    <t>[P0331]【说说】2023（二）_P133_5.26 黑色毛衣[].m4a</t>
  </si>
  <si>
    <t>[P0332]【说说】2023（二）_P134_5.26 七里香[].m4a</t>
  </si>
  <si>
    <t>七里香-忘词</t>
  </si>
  <si>
    <t>[P0333]【说说】2023（二）_P135_5.26 牡丹亭畔[].m4a</t>
  </si>
  <si>
    <t>[P0334]【说说】2023（二）_P136_5.26 最长的电影[].m4a</t>
  </si>
  <si>
    <t>[P0335]【说说】2023（二）_P137_5.26 兰亭序[].m4a</t>
  </si>
  <si>
    <t>[P0336]【说说】2023（二）_P138_5.26 分裂[].m4a</t>
  </si>
  <si>
    <t>[P0337]【说说】2023（二）_P139_5.27 原谅[].m4a</t>
  </si>
  <si>
    <t>[P0338]【说说】2023（二）_P140_5.27 落在胸口的星星[].m4a</t>
  </si>
  <si>
    <t>[P0339]【说说】2023（二）_P141_5.27 如果云知道[].m4a</t>
  </si>
  <si>
    <t>[P0340]【说说】2023（二）_P142_5.27 彩云之南[].m4a</t>
  </si>
  <si>
    <t>[P0341]【说说】2023（二）_P143_5.27 你听得到[].m4a</t>
  </si>
  <si>
    <t>[P0342]【说说】2023（二）_P144_5.30 将故事写成我们[].m4a</t>
  </si>
  <si>
    <t>[P0343]【说说】2023（二）_P145_5.30 一生等你[].m4a</t>
  </si>
  <si>
    <t>[P0344]【说说】2023（二）_P146_5.30 那些你很冒险的梦[].m4a</t>
  </si>
  <si>
    <t>[P0345]【说说】2023（二）_P147_5.30 Sebben cudee（虽然你冷酷无情）[].m4a</t>
  </si>
  <si>
    <t>Sebben cudee</t>
  </si>
  <si>
    <t>[P0346]【说说】2023（二）_P148_5.30 Lci ch'io ping（让我痛哭吧）[].m4a</t>
  </si>
  <si>
    <t>Lci ch'io ping</t>
  </si>
  <si>
    <t>[P0347]【说说】2023（二）_P149_5.30 Lci ch'io ping 后半段[].m4a</t>
  </si>
  <si>
    <t>Lci ch'io ping 后半段</t>
  </si>
  <si>
    <t>[P0348]【说说】2023（二）_P150_5.30 o mio ben（我亲爱的）[].m4a</t>
  </si>
  <si>
    <t>[P0349]【说说】2023（二）_P151_5.30 Nin[].m4a</t>
  </si>
  <si>
    <t>Nin</t>
  </si>
  <si>
    <t>[P0350]【说说】2023（二）_P152_5.31 彩虹[].m4a</t>
  </si>
  <si>
    <t>[P0351]【说说】2023（二）_P153_5.31 掉了[].m4a</t>
  </si>
  <si>
    <t>[P0352]【说说】2023（二）_P154_5.31 浪漫手机[].m4a</t>
  </si>
  <si>
    <t>[P0353]【说说】2023（二）_P155_5.31 喂[].m4a</t>
  </si>
  <si>
    <t>[P0354]【说说】2023（二）_P156_5.31 我最亲爱的[].m4a</t>
  </si>
  <si>
    <t>[P0355]【说说】2023（二）_P157_6.1 稻香[].m4a</t>
  </si>
  <si>
    <t>[P0356]【说说】2023（二）_P158_6.1 Bb[].m4a</t>
  </si>
  <si>
    <t>Bb</t>
  </si>
  <si>
    <t>[P0357]【说说】2023（二）_P159_6.1 让我们荡起双桨[].m4a</t>
  </si>
  <si>
    <t>[P0358]【说说】2023（二）_P160_6.1 霞光[].m4a</t>
  </si>
  <si>
    <t>[P0359]【说说】2023（二）_P161_6.5 百年孤寂[].m4a</t>
  </si>
  <si>
    <t>[P0360]【说说】2023（二）_P162_6.5 矜持[].m4a</t>
  </si>
  <si>
    <t>[P0361]【说说】2023（二）_P163_6.5 茉莉花 清唱[].m4a</t>
  </si>
  <si>
    <t>茉莉花 清唱</t>
  </si>
  <si>
    <t>[P0362]【说说】2023（二）_P164_6.7 天若有情[].m4a</t>
  </si>
  <si>
    <t>[P0363]【说说】2023（二）_P165_6.7 掉了[].m4a</t>
  </si>
  <si>
    <t>[P0364]【说说】2023（二）_P166_6.7 真实[].m4a</t>
  </si>
  <si>
    <t>[P0365]【说说】2023（二）_P167_6.7 喜欢寂寞[].m4a</t>
  </si>
  <si>
    <t>[P0366]【说说】2023（二）_P168_6.7 说爱你[].m4a</t>
  </si>
  <si>
    <t>[P0367]【说说】2023（二）_P169_6.7 玫瑰少年[].m4a</t>
  </si>
  <si>
    <t>[P0368]【说说】2023（二）_P170_6.7 倒带[].m4a</t>
  </si>
  <si>
    <t>[P0369]【说说】2023（二）_P171_6.9 给我一个理由忘记[].m4a</t>
  </si>
  <si>
    <t>[P0370]【说说】2023（二）_P172_6.9 浪漫血液[].m4a</t>
  </si>
  <si>
    <t>[P0371]【说说】2023（二）_P173_6.9 三人游[].m4a</t>
  </si>
  <si>
    <t>[P0372]【说说】2023（二）_P174_6.9 我很忙[].m4a</t>
  </si>
  <si>
    <t>[P0373]【说说】2023（二）_P175_6.11 分身[].m4a</t>
  </si>
  <si>
    <t>[P0374]【说说】2023（二）_P176_6.11 瓦解[].m4a</t>
  </si>
  <si>
    <t>[P0375]【说说】2023（二）_P177_6.11 续写[].m4a</t>
  </si>
  <si>
    <t>[P0376]【说说】2023（二）_P178_6.14 七里香[].m4a</t>
  </si>
  <si>
    <t>[P0377]【说说】2023（二）_P179_6.15 我落泪情绪零碎[].m4a</t>
  </si>
  <si>
    <t>[P0378]【说说】2023（二）_P180_6.17 续写[].m4a</t>
  </si>
  <si>
    <t>[P0379]【说说】2023（二）_P181_6.19 纪念[].m4a</t>
  </si>
  <si>
    <t>纪念</t>
  </si>
  <si>
    <t>[P0380]【说说】2023（二）_P182_6.20 浪漫血液[].m4a</t>
  </si>
  <si>
    <t>[P0381]【说说】2023（二）_P183_6.26 桃華[].m4a</t>
  </si>
  <si>
    <t>[P0382]【说说】2023（二）_P184_6.28 我们的歌[].m4a</t>
  </si>
  <si>
    <t>[P0383]【说说】2023（二）_P185_6.28 你不知道的事[].m4a</t>
  </si>
  <si>
    <t>[P0384]【说说】2023（二）_P186_6.28 昨日青空[].m4a</t>
  </si>
  <si>
    <t>[P0385]【说说】2023（二）_P187_6.28 哪里都是你[].m4a</t>
  </si>
  <si>
    <t>[P0386]【说说】2023（二）_P188_6.28 送别[].m4a</t>
  </si>
  <si>
    <t>[P0387]【说说】2023（二）_P189_6.28 玫瑰少年[].m4a</t>
  </si>
  <si>
    <t>[P0388]【说说】2023（二）_P190_6.28 退后[].m4a</t>
  </si>
  <si>
    <t>[P0389]【说说】2023（二）_P191_6.30 迷迭香[].m4a</t>
  </si>
  <si>
    <t>[P0390]【说说】2023（二）_P192_6.30 搁浅[].m4a</t>
  </si>
  <si>
    <t>[P0391]【说说】2023（二）_P193_6.30 明明就[].m4a</t>
  </si>
  <si>
    <t>[P0392]【说说】2023（三）_P1_7.2 浪漫手机[].m4a</t>
  </si>
  <si>
    <t>BV1gz4y147yu</t>
  </si>
  <si>
    <t>[P0393]【说说】2023（三）_P2_7.2 在夜里跳舞[].m4a</t>
  </si>
  <si>
    <t>[P0394]【说说】2023（三）_P3_7.2 叶子 清唱[].m4a</t>
  </si>
  <si>
    <t>叶子 清唱</t>
  </si>
  <si>
    <t>[P0395]【说说】2023（三）_P4_7.5 突然好想你[].m4a</t>
  </si>
  <si>
    <t>[P0396]【说说】2023（三）_P5_7.5 续写[].m4a</t>
  </si>
  <si>
    <t>[P0397]【说说】2023（三）_P6_7.5 雨下一整晚[].m4a</t>
  </si>
  <si>
    <t>[P0398]【说说】2023（三）_P7_7.9 频率[].m4a</t>
  </si>
  <si>
    <t>[P0399]【说说】2023（三）_P8_7.9 下雨的夜晚[].m4a</t>
  </si>
  <si>
    <t>[P0400]【说说】2023（三）_P9_7.9 想你的365天[].m4a</t>
  </si>
  <si>
    <t>[P0401]【说说】2023（三）_P10_7.12 恰好[].m4a</t>
  </si>
  <si>
    <t>[P0402]【说说】2023（三）_P11_7.12 自己[].m4a</t>
  </si>
  <si>
    <t>自己</t>
  </si>
  <si>
    <t>[P0403]【说说】2023（三）_P12_7.12 这世界那么多人[].m4a</t>
  </si>
  <si>
    <t>[P0404]【说说】2023（三）_P13_7.12 小小[].m4a</t>
  </si>
  <si>
    <t>[P0405]【说说】2023（三）_P14_7.14 D cpo[].m4a</t>
  </si>
  <si>
    <t>[P0406]【说说】2023（三）_P15_7.14 敢[].m4a</t>
  </si>
  <si>
    <t>[P0407]【说说】2023（三）_P16_7.14 红颜如霜[].m4a</t>
  </si>
  <si>
    <t>[P0408]【说说】2023（三）_P17_7.14 小雨[].m4a</t>
  </si>
  <si>
    <t>[P0409]【说说】2023（三）_P18_7.14 蝶恋花[].m4a</t>
  </si>
  <si>
    <t>[P0410]【说说】2023（三）_P19_7.16 女儿情（生日回）[].m4a</t>
  </si>
  <si>
    <t>[P0411]【说说】2023（三）_P20_7.16 桃華[].m4a</t>
  </si>
  <si>
    <t>[P0412]【说说】2023（三）_P21_7.16 不问天[].m4a</t>
  </si>
  <si>
    <t>[P0413]【说说】2023（三）_P22_7.16 布虎记[].m4a</t>
  </si>
  <si>
    <t>[P0414]【说说】2023（三）_P23_7.16 开不了口[].m4a</t>
  </si>
  <si>
    <t>[P0415]【说说】2023（三）_P24_7.16 暗号[].m4a</t>
  </si>
  <si>
    <t>[P0416]【说说】2023（三）_P25_7.19 青花瓷[].m4a</t>
  </si>
  <si>
    <t>[P0417]【说说】2023（三）_P26_7.19 罗敷[].m4a</t>
  </si>
  <si>
    <t>[P0418]【说说】2023（三）_P27_7.19 昨日青空（三姐妹合唱）[].m4a</t>
  </si>
  <si>
    <t>[P0419]【说说】2023（三）_P28_7.19 桃花诺[].m4a</t>
  </si>
  <si>
    <t>[P0420]【说说】2023（三）_P29_7.21 醉赤壁[].m4a</t>
  </si>
  <si>
    <t>[P0421]【说说】2023（三）_P30_7.21 将故事写成我们[].m4a</t>
  </si>
  <si>
    <t>[P0422]【说说】2023（三）_P31_7.21 孤独娱乐[].m4a</t>
  </si>
  <si>
    <t>[P0423]【说说】2023（三）_P32_7.21 你听得到[].m4a</t>
  </si>
  <si>
    <t>[P0424]【说说】2023（三）_P33_7.21 笼[].m4a</t>
  </si>
  <si>
    <t>[P0425]【说说】2023（三）_P34_7.25 卷珠帘[].m4a</t>
  </si>
  <si>
    <t>[P0426]【说说】2023（三）_P35_7.25 小雨[].m4a</t>
  </si>
  <si>
    <t>[P0427]【说说】2023（三）_P36_7.25 入画江南[].m4a</t>
  </si>
  <si>
    <t>[P0428]【说说】2023（三）_P37_7.25 半岛铁盒[].m4a</t>
  </si>
  <si>
    <t>[P0429]【说说】2023（三）_P38_7.25 标准答案[].m4a</t>
  </si>
  <si>
    <t>[P0430]【说说】2023（三）_P39_7.25 不与人说[].m4a</t>
  </si>
  <si>
    <t>[P0431]【说说】2023（三）_P40_7.26 萱花草[].m4a</t>
  </si>
  <si>
    <t>萱花草</t>
  </si>
  <si>
    <t>[P0432]【说说】2023（三）_P41_7.26 人啊[].m4a</t>
  </si>
  <si>
    <t>[P0433]【说说】2023（三）_P42_7.26 下雨天[].m4a</t>
  </si>
  <si>
    <t>[P0434]【说说】2023（三）_P43_7.26 萱花草（第二遍）[].m4a</t>
  </si>
  <si>
    <t>[P0435]【说说】2023（三）_P44_7.28 阿楚姑娘[].m4a</t>
  </si>
  <si>
    <t>[P0436]【说说】2023（三）_P45_7.28 旅行中忘记[].m4a</t>
  </si>
  <si>
    <t>[P0437]【说说】2023（三）_P46_7.28 消失的爱人[].m4a</t>
  </si>
  <si>
    <t>[P0438]【说说】2023（三）_P47_7.28 敢[].m4a</t>
  </si>
  <si>
    <t>[P0439]【说说】2023（三）_P48_7.28 长夜杯空[].m4a</t>
  </si>
  <si>
    <t>[P0440]【说说】2023（三）_P49_7.28 等你下课[].m4a</t>
  </si>
  <si>
    <t>[P0441]【说说】2023（三）_P50_7.28 东风破[].m4a</t>
  </si>
  <si>
    <t>[P0442]【说说】2023（三）_P51_7.28 Meod[].m4a</t>
  </si>
  <si>
    <t>Meod</t>
  </si>
  <si>
    <t>[P0443]【说说】2023（三）_P52_7.28 恰好[].m4a</t>
  </si>
  <si>
    <t>[P0444]【说说】2023（三）_P53_7.29 你听得到[].m4a</t>
  </si>
  <si>
    <t>[P0445]【说说】2023（三）_P54_7.29 晴天[].m4a</t>
  </si>
  <si>
    <t>[P0446]【说说】2023（三）_P55_7.29 烟花易冷[].m4a</t>
  </si>
  <si>
    <t>[P0447]【说说】2023（三）_P56_8.2 兰亭序[].m4a</t>
  </si>
  <si>
    <t>[P0448]【说说】2023（三）_P57_8.2 天天[].m4a</t>
  </si>
  <si>
    <t>[P0449]【说说】2023（三）_P58_8.2 呼吸决定[].m4a</t>
  </si>
  <si>
    <t>[P0450]【说说】2023（三）_P59_8.2 枫[].m4a</t>
  </si>
  <si>
    <t>[P0451]【说说】2023（三）_P60_8.2 我们的明天（姐妹合唱）[].m4a</t>
  </si>
  <si>
    <t>[P0452]【说说】2023（三）_P61_8.2 你听得到[].m4a</t>
  </si>
  <si>
    <t>[P0453]【说说】2023（三）_P62_8.4 续写[].m4a</t>
  </si>
  <si>
    <t>[P0454]【说说】2023（三）_P63_8.4 萱草花[].m4a</t>
  </si>
  <si>
    <t>[P0455]【说说】2023（三）_P64_8.4 我要你[].m4a</t>
  </si>
  <si>
    <t>[P0456]【说说】2023（三）_P65_8.4 给电影人的情书[].m4a</t>
  </si>
  <si>
    <t>[P0457]【说说】2023（三）_P66_8.4 让她降落[].m4a</t>
  </si>
  <si>
    <t>[P0458]【说说】2023（三）_P67_8.4 夜来香[].m4a</t>
  </si>
  <si>
    <t>[P0459]【说说】2023（三）_P68_8.4 路边的野花不要采[].m4a</t>
  </si>
  <si>
    <t>[P0460]【说说】2023（三）_P69_8.4 我只在乎你[].m4a</t>
  </si>
  <si>
    <t>[P0461]【说说】2023（三）_P70_8.4 月亮代表我的心[].m4a</t>
  </si>
  <si>
    <t>[P0462]【说说】2023（三）_P71_8.4 芦花[].m4a</t>
  </si>
  <si>
    <t>[P0463]【说说】2023（三）_P72_8.4 敕勒歌[].m4a</t>
  </si>
  <si>
    <t>[P0464]【说说】2023（三）_P73_8.4 春天的芭蕾[].m4a</t>
  </si>
  <si>
    <t>[P0465]【说说】2023（三）_P74_8.4 玛依拉变奏曲[].m4a</t>
  </si>
  <si>
    <t>[P0466]【说说】2023（三）_P75_8.4 鸿雁[].m4a</t>
  </si>
  <si>
    <t>[P0467]【说说】2023（三）_P76_8.4 秋水长天[].m4a</t>
  </si>
  <si>
    <t>[P0468]【说说】2023（三）_P77_8.4 大地飞歌[].m4a</t>
  </si>
  <si>
    <t>[P0469]【说说】2023（三）_P78_8.4 小河淌水[].m4a</t>
  </si>
  <si>
    <t>[P0470]【说说】2023（三）_P79_8.4 天知河[].m4a</t>
  </si>
  <si>
    <t>[P0471]【说说】2023（三）_P80_8.5 天若有情[].m4a</t>
  </si>
  <si>
    <t>[P0472]【说说】2023（三）_P81_8.8 天天[].m4a</t>
  </si>
  <si>
    <t>[P0473]【说说】2023（三）_P82_8.9 Ppe he[].m4a</t>
  </si>
  <si>
    <t>[P0474]【说说】2023（三）_P83_8.9 翅膀[].m4a</t>
  </si>
  <si>
    <t>[P0475]【说说】2023（三）_P84_8.9 飞云之下[].m4a</t>
  </si>
  <si>
    <t>[P0476]【说说】2023（三）_P85_8.9 关键词[].m4a</t>
  </si>
  <si>
    <t>[P0477]【说说】2023（三）_P86_8.9 梨花又开放[].m4a</t>
  </si>
  <si>
    <t>[P0478]【说说】2023（三）_P87_8.9 妈妈的娜鲁娃[].m4a</t>
  </si>
  <si>
    <t>[P0479]【说说】2023（三）_P88_8.9 那片海[].m4a</t>
  </si>
  <si>
    <t>[P0480]【说说】2023（三）_P89_8.9 青藏高原[].m4a</t>
  </si>
  <si>
    <t>[P0481]【说说】2023（三）_P90_8.9 天亮了[].m4a</t>
  </si>
  <si>
    <t>[P0482]【说说】2023（三）_P91_8.9 天路[].m4a</t>
  </si>
  <si>
    <t>[P0483]【说说】2023（三）_P92_8.9 醉赤壁[].m4a</t>
  </si>
  <si>
    <t>[P0484]【说说】2023（三）_P93_8.13 昨日青空[].m4a</t>
  </si>
  <si>
    <t>[P0485]【说说】2023（三）_P94_8.16 二十二[].m4a</t>
  </si>
  <si>
    <t>[P0486]【说说】2023（三）_P95_8.16 天天[].m4a</t>
  </si>
  <si>
    <t>[P0487]【说说】2023（三）_P96_8.16 开不了口[].m4a</t>
  </si>
  <si>
    <t>[P0488]【说说】2023（三）_P97_8.16 普通朋友[].m4a</t>
  </si>
  <si>
    <t>[P0489]【说说】2023（三）_P98_8.22 浪漫手机[].m4a</t>
  </si>
  <si>
    <t>[P0490]【说说】2023（三）_P99_8.22 那些你很冒险的梦[].m4a</t>
  </si>
  <si>
    <t>[P0491]【说说】2023（三）_P100_8.22 瓦解[].m4a</t>
  </si>
  <si>
    <t>[P0492]【说说】2023（三）_P101_8.22 修炼爱情[].m4a</t>
  </si>
  <si>
    <t>[P0493]【说说】2023（三）_P102_8.22 甜甜的[].m4a</t>
  </si>
  <si>
    <t>[P0494]【说说】2023（三）_P103_8.22 暗号[].m4a</t>
  </si>
  <si>
    <t>[P0495]【说说】2023（三）_P104_8.22 悲伤的五个步骤[].m4a</t>
  </si>
  <si>
    <t>[P0496]【说说】2023（三）_P105_8.22 不问天 清唱[].m4a</t>
  </si>
  <si>
    <t>不问天 清唱</t>
  </si>
  <si>
    <t>[P0497]【说说】2023（三）_P106_8.23 一个人[].m4a</t>
  </si>
  <si>
    <t>[P0498]【说说】2023（三）_P107_8.23 你啊你啊[].m4a</t>
  </si>
  <si>
    <t>[P0499]【说说】2023（三）_P108_8.23 看的最远的地方[].m4a</t>
  </si>
  <si>
    <t>看的最远的地方</t>
  </si>
  <si>
    <t>[P0500]【说说】2023（三）_P109_8.23 淋雨一直走[].m4a</t>
  </si>
  <si>
    <t>[P0501]【说说】2023（三）_P110_8.23 黑色幽默[].m4a</t>
  </si>
  <si>
    <t>[P0502]【说说】2023（三）_P111_8.23 爱[].m4a</t>
  </si>
  <si>
    <t>[P0503]【说说】2023（三）_P112_8.23 小精灵[].m4a</t>
  </si>
  <si>
    <t>[P0504]【说说】2023（三）_P113_8.25 发如雪[].m4a</t>
  </si>
  <si>
    <t>[P0505]【说说】2023（三）_P114_8.25 千里之外[].m4a</t>
  </si>
  <si>
    <t>[P0506]【说说】2023（三）_P115_8.25 晴天[].m4a</t>
  </si>
  <si>
    <t>[P0507]【说说】2023（三）_P116_8.25 你听得到[].m4a</t>
  </si>
  <si>
    <t>[P0508]【说说】2023（三）_P117_8.25 东风破[].m4a</t>
  </si>
  <si>
    <t>[P0509]【说说】2023（三）_P118_8.25 枫[].m4a</t>
  </si>
  <si>
    <t>[P0510]【说说】2023（三）_P119_8.25 搁浅[].m4a</t>
  </si>
  <si>
    <t>[P0511]【说说】2023（三）_P120_8.26 枫[].m4a</t>
  </si>
  <si>
    <t>[P0512]【说说】2023（三）_P121_8.26 断了的弦[].m4a</t>
  </si>
  <si>
    <t>[P0513]【说说】2023（三）_P122_8.30 分身[].m4a</t>
  </si>
  <si>
    <t>[P0514]【说说】2023（三）_P123_8.30 喂[].m4a</t>
  </si>
  <si>
    <t>[P0515]【说说】2023（三）_P124_8.30 岁月神偷[].m4a</t>
  </si>
  <si>
    <t>[P0516]【说说】2023（三）_P125_8.30 二十二[].m4a</t>
  </si>
  <si>
    <t>[P0517]【说说】2023（三）_P126_8.31 上海一九四三[].m4a</t>
  </si>
  <si>
    <t>[P0518]【说说】2023（三）_P127_8.31 路过人间[].m4a</t>
  </si>
  <si>
    <t>[P0519]【说说】2023（三）_P128_8.31 天天晴朗[].m4a</t>
  </si>
  <si>
    <t>[P0520]【说说】2023（三）_P129_9.6 Love U U[].m4a</t>
  </si>
  <si>
    <t>[P0521]【说说】2023（三）_P130_9.6 想你时风起[].m4a</t>
  </si>
  <si>
    <t>[P0522]【说说】2023（三）_P131_9.6 我要你[].m4a</t>
  </si>
  <si>
    <t>[P0523]【说说】2023（三）_P132_9.6 Love U U（第二遍）[].m4a</t>
  </si>
  <si>
    <t>[P0524]【说说】2023（三）_P133_9.6 想你时风起（第二遍）[].m4a</t>
  </si>
  <si>
    <t>[P0525]【说说】2023（三）_P134_9.8 浪漫手机[].m4a</t>
  </si>
  <si>
    <t>[P0526]【说说】2023（三）_P135_9.8 想你时风起[].m4a</t>
  </si>
  <si>
    <t>[P0527]【说说】2023（三）_P136_9.8 不问天[].m4a</t>
  </si>
  <si>
    <t>[P0528]【说说】2023（三）_P137_9.8 菩萨蛮[].m4a</t>
  </si>
  <si>
    <t>[P0529]【说说】2023（三）_P138_9.8 牡丹亭畔[].m4a</t>
  </si>
  <si>
    <t>[P0530]【说说】2023（三）_P139_9.8 琥珀色爱情[].m4a</t>
  </si>
  <si>
    <t>[P0531]【说说】2023（三）_P140_9.8 琥珀色爱情（第二遍）[].m4a</t>
  </si>
  <si>
    <t>[P0532]【说说】2023（三）_P141_9.9 听海[].m4a</t>
  </si>
  <si>
    <t>[P0533]【说说】2023（三）_P142_9.9 如果你也听说[].m4a</t>
  </si>
  <si>
    <t>[P0534]【说说】2023（三）_P143_9.13 一样的月光[].m4a</t>
  </si>
  <si>
    <t>[P0535]【说说】2023（三）_P144_9.13 轨迹[].m4a</t>
  </si>
  <si>
    <t>[P0536]【说说】2023（三）_P145_9.13 黑色毛衣[].m4a</t>
  </si>
  <si>
    <t>[P0537]【说说】2023（三）_P146_9.13 海芋恋[].m4a</t>
  </si>
  <si>
    <t>[P0538]【说说】2023（三）_P147_9.13 原谅[].m4a</t>
  </si>
  <si>
    <t>[P0539]【说说】2023（三）_P148_9.13 Sow Down[].m4a</t>
  </si>
  <si>
    <t>[P0540]【说说】2023（三）_P149_9.13 兜圈[].m4a</t>
  </si>
  <si>
    <t>[P0541]【说说】2023（三）_P150_9.13 想自由[].m4a</t>
  </si>
  <si>
    <t>[P0542]【说说】2023（三）_P151_9.13 永不失联的爱[].m4a</t>
  </si>
  <si>
    <t>[P0543]【说说】2023（三）_P152_9.13 自己[].m4a</t>
  </si>
  <si>
    <t>[P0544]【说说】2023（三）_P153_9.15 蒲公英的约定[].m4a</t>
  </si>
  <si>
    <t>[P0545]【说说】2023（三）_P154_9.15 甜甜的[].m4a</t>
  </si>
  <si>
    <t>[P0546]【说说】2023（三）_P155_9.15 Love U U[].m4a</t>
  </si>
  <si>
    <t>[P0547]【说说】2023（三）_P156_9.15 孤独娱乐[].m4a</t>
  </si>
  <si>
    <t>[P0548]【说说】2023（三）_P157_9.15 她说[].m4a</t>
  </si>
  <si>
    <t>[P0549]【说说】2023（三）_P158_9.15 Meod[].m4a</t>
  </si>
  <si>
    <t>[P0550]【说说】2023（三）_P159_9.15 二十二[].m4a</t>
  </si>
  <si>
    <t>[P0551]【说说】2023（三）_P160_9.15 满月[].m4a</t>
  </si>
  <si>
    <t>[P0552]【说说】2023（三）_P161_9.15 望月[].m4a</t>
  </si>
  <si>
    <t>[P0553]【说说】2023（三）_P162_9.19 退后[].m4a</t>
  </si>
  <si>
    <t>[P0554]【说说】2023（三）_P163_9.19 我很忙[].m4a</t>
  </si>
  <si>
    <t>[P0555]【说说】2023（三）_P164_9.19 说了再见[].m4a</t>
  </si>
  <si>
    <t>[P0556]【说说】2023（三）_P165_9.20 听见下雨的声音[].m4a</t>
  </si>
  <si>
    <t>[P0557]【说说】2023（三）_P166_9.20 Rubi[].m4a</t>
  </si>
  <si>
    <t>[P0558]【说说】2023（三）_P167_9.20 大鱼[].m4a</t>
  </si>
  <si>
    <t>[P0559]【说说】2023（三）_P168_9.20 人是_[].m4a</t>
  </si>
  <si>
    <t>[P0560]【说说】2023（三）_P169_9.20 普通朋友[].m4a</t>
  </si>
  <si>
    <t>[P0561]【说说】2023（三）_P170_9.23 孤独娱乐[].m4a</t>
  </si>
  <si>
    <t>[P0562]【说说】2023（三）_P171_9.23 续写[].m4a</t>
  </si>
  <si>
    <t>[P0563]【说说】2023（三）_P172_9.23 布虎记[].m4a</t>
  </si>
  <si>
    <t>[P0564]【说说】2023（三）_P173_9.23 月光[].m4a</t>
  </si>
  <si>
    <t>[P0565]【说说】2023（三）_P174_9.23 Lci ch'io ping[].m4a</t>
  </si>
  <si>
    <t>[P0566]【说说】2023（三）_P175_9.23 黑色幽默[].m4a</t>
  </si>
  <si>
    <t>[P0567]【说说】2023（三）_P176_9.23 枫[].m4a</t>
  </si>
  <si>
    <t>[P0568]【说说】2023（三）_P177_9.23 长夜杯空[].m4a</t>
  </si>
  <si>
    <t>[P0569]【说说】2023（三）_P178_9.24 海芋恋[].m4a</t>
  </si>
  <si>
    <t>[P0570]【说说】2023（三）_P179_9.24 夏天的风[].m4a</t>
  </si>
  <si>
    <t>[P0571]【说说】2023（三）_P180_9.24 他夏了夏天[].m4a</t>
  </si>
  <si>
    <t>[P0572]【说说】2023（三）_P181_9.24 宁夏[].m4a</t>
  </si>
  <si>
    <t>[P0573]【说说】2023（三）_P182_9.27 想你时风起[].m4a</t>
  </si>
  <si>
    <t>[P0574]【说说】2023（三）_P183_9.27 人间未满[].m4a</t>
  </si>
  <si>
    <t>[P0575]【说说】2023（三）_P184_9.27 小雨[].m4a</t>
  </si>
  <si>
    <t>[P0576]【说说】2023（三）_P185_9.27 如愿[].m4a</t>
  </si>
  <si>
    <t>[P0577]【说说】2023（三）_P186_9.27 将故事写成我们[].m4a</t>
  </si>
  <si>
    <t>[P0578]【说说】2023（三）_P187_9.27 光亮[].m4a</t>
  </si>
  <si>
    <t>[P0579]【说说】2023（三）_P188_9.27 童话[].m4a</t>
  </si>
  <si>
    <t>[P0580]【说说】2023（三）_P189_9.27 兰亭序[].m4a</t>
  </si>
  <si>
    <t>[P0581]【说说】2023（三）_P190_9.29 罗敷（中秋歌回）[].m4a</t>
  </si>
  <si>
    <t>[P0582]【说说】2023（三）_P191_9.29 广寒宫[].m4a</t>
  </si>
  <si>
    <t>[P0583]【说说】2023（三）_P192_9.29 风月[].m4a</t>
  </si>
  <si>
    <t>[P0584]【说说】2023（三）_P193_9.29 望月[].m4a</t>
  </si>
  <si>
    <t>[P0585]【说说】2023（三）_P194_9.29 但愿人长久[].m4a</t>
  </si>
  <si>
    <t>[P0586]【说说】2023（三）_P195_9.29 小河淌水[].m4a</t>
  </si>
  <si>
    <t>[P0587]【说说】2023（三）_P196_9.29 月光[].m4a</t>
  </si>
  <si>
    <t>[P0588]【说说】2023（三）_P197_9.29 月牙湾[].m4a</t>
  </si>
  <si>
    <t>[P0589]【说说】2023（三）_P198_9.29 一荤一素[].m4a</t>
  </si>
  <si>
    <t>[P0590]【说说】2023（三）_P199_9.29 消愁[].m4a</t>
  </si>
  <si>
    <t>[P0591]【说说】2023（四）_P1_10.4 落叶归根 （15w纪念回）[].m4a</t>
  </si>
  <si>
    <t xml:space="preserve">落叶归根 </t>
  </si>
  <si>
    <t>BV1ie411v7a2</t>
  </si>
  <si>
    <t>[P0592]【说说】2023（四）_P2_10.4 稻香[].m4a</t>
  </si>
  <si>
    <t>[P0593]【说说】2023（四）_P3_10.4 明明就[].m4a</t>
  </si>
  <si>
    <t>[P0594]【说说】2023（四）_P4_10.4 我好想你[].m4a</t>
  </si>
  <si>
    <t>[P0595]【说说】2023（四）_P5_10.4 枫[].m4a</t>
  </si>
  <si>
    <t>[P0596]【说说】2023（四）_P6_10.8 故事[].m4a</t>
  </si>
  <si>
    <t>[P0597]【说说】2023（四）_P7_10.8 人间未满[].m4a</t>
  </si>
  <si>
    <t>[P0598]【说说】2023（四）_P8_10.8 说了再见以后[].m4a</t>
  </si>
  <si>
    <t>[P0599]【说说】2023（四）_P9_10.18 桃華[].m4a</t>
  </si>
  <si>
    <t>[P0600]【说说】2023（四）_P10_10.18 搁浅[].m4a</t>
  </si>
  <si>
    <t>[P0601]【说说】2023（四）_P11_10.18 彩虹[].m4a</t>
  </si>
  <si>
    <t>[P0602]【说说】2023（四）_P12_10.18 荷塘月色[].m4a</t>
  </si>
  <si>
    <t>[P0603]【说说】2023（四）_P13_10.18 想自由[].m4a</t>
  </si>
  <si>
    <t>[P0604]【说说】2023（四）_P14_10.18 路过人间[].m4a</t>
  </si>
  <si>
    <t>[P0605]【说说】2023（四）_P15_10.20 瓦解[].m4a</t>
  </si>
  <si>
    <t>[P0606]【说说】2023（四）_P16_10.20 明明就[].m4a</t>
  </si>
  <si>
    <t>[P0607]【说说】2023（四）_P17_10.20 不流泪的机场[].m4a</t>
  </si>
  <si>
    <t>[P0608]【说说】2023（四）_P18_10.20 半岛铁盒[].m4a</t>
  </si>
  <si>
    <t>[P0609]【说说】2023（四）_P19_10.20 菊花台[].m4a</t>
  </si>
  <si>
    <t>[P0610]【说说】2023（四）_P20_10.20 青花瓷[].m4a</t>
  </si>
  <si>
    <t>[P0611]【说说】2023（四）_P21_10.20 星晴[].m4a</t>
  </si>
  <si>
    <t>[P0612]【说说】2023（四）_P22_10.22 儿歌[].m4a</t>
  </si>
  <si>
    <t>[P0613]【说说】2023（四）_P23_10.22 想你时风起[].m4a</t>
  </si>
  <si>
    <t>[P0614]【说说】2023（四）_P24_10.22 雨后日记[].m4a</t>
  </si>
  <si>
    <t>[P0615]【说说】2023（四）_P25_10.22 枫[].m4a</t>
  </si>
  <si>
    <t>[P0616]【说说】2023（四）_P26_10.22 分裂[].m4a</t>
  </si>
  <si>
    <t>[P0617]【说说】2023（四）_P27_10.24 Rubi[].m4a</t>
  </si>
  <si>
    <t>[P0618]【说说】2023（四）_P28_10.24 腾格尔《乌梅子酱》[].m4a</t>
  </si>
  <si>
    <t>腾格尔《乌梅子酱》</t>
  </si>
  <si>
    <t>[P0619]【说说】2023（四）_P29_10.24 钢铁之翼[].m4a</t>
  </si>
  <si>
    <t>[P0620]【说说】2023（四）_P30_10.24 轨迹[].m4a</t>
  </si>
  <si>
    <t>[P0621]【说说】2023（四）_P31_10.24 萱草花[].m4a</t>
  </si>
  <si>
    <t>[P0622]【说说】2023（四）_P32_10.25 二十二[].m4a</t>
  </si>
  <si>
    <t>[P0623]【说说】2023（四）_P33_10.29 Rubi[].m4a</t>
  </si>
  <si>
    <t>[P0624]【说说】2023（四）_P34_10.29 明明就[].m4a</t>
  </si>
  <si>
    <t>[P0625]【说说】2023（四）_P35_10.30 天天[].m4a</t>
  </si>
  <si>
    <t>[P0626]【说说】2023（四）_P36_10.30 轨迹[].m4a</t>
  </si>
  <si>
    <t>[P0627]【说说】2023（四）_P37_11.1 一路向北[].m4a</t>
  </si>
  <si>
    <t>[P0628]【说说】2023（四）_P38_11.1 退后[].m4a</t>
  </si>
  <si>
    <t>[P0629]【说说】2023（四）_P39_11.1 胡桃夹子[].m4a</t>
  </si>
  <si>
    <t>[P0630]【说说】2023（四）_P40_11.1 Foeve Young[].m4a</t>
  </si>
  <si>
    <t>Foeve Young</t>
  </si>
  <si>
    <t>[P0631]【说说】2023（四）_P41_11.1 一吻之间[].m4a</t>
  </si>
  <si>
    <t>[P0632]【说说】2023（四）_P42_11.1 那个男人[].m4a</t>
  </si>
  <si>
    <t>[P0633]【说说】2023（四）_P43_11.1 白芍花开[].m4a</t>
  </si>
  <si>
    <t>[P0634]【说说】2023（四）_P44_11.1 光亮[].m4a</t>
  </si>
  <si>
    <t>[P0635]【说说】2023（四）_P45_11.3 雨后日记[].m4a</t>
  </si>
  <si>
    <t>[P0636]【说说】2023（四）_P46_11.3 如此[].m4a</t>
  </si>
  <si>
    <t>[P0637]【说说】2023（四）_P47_11.3 下雨天[].m4a</t>
  </si>
  <si>
    <t>[P0638]【说说】2023（四）_P48_11.3 寻一个天荒地老的地方[].m4a</t>
  </si>
  <si>
    <t>[P0639]【说说】2023（四）_P49_11.3 想你时风起[].m4a</t>
  </si>
  <si>
    <t>[P0640]【说说】2023（四）_P50_11.12 雨下一整晚[].m4a</t>
  </si>
  <si>
    <t>[P0641]【说说】2023（四）_P51_11.12 不为谁而作的歌[].m4a</t>
  </si>
  <si>
    <t>[P0642]【说说】2023（四）_P52_11.12 她说[].m4a</t>
  </si>
  <si>
    <t>[P0643]【说说】2023（四）_P53_11.12 一千年以后[].m4a</t>
  </si>
  <si>
    <t>[P0644]【说说】2023（四）_P54_11.12 不流泪的机场[].m4a</t>
  </si>
  <si>
    <t>[P0645]【说说】2023（四）_P55_11.14 南屏晚钟[].m4a</t>
  </si>
  <si>
    <t>[P0646]【说说】2023（四）_P56_11.14 涛声依旧[].m4a</t>
  </si>
  <si>
    <t>[P0647]【说说】2023（四）_P57_11.14 欢颜[].m4a</t>
  </si>
  <si>
    <t>[P0648]【说说】2023（四）_P58_11.14 星河叹[].m4a</t>
  </si>
  <si>
    <t>[P0649]【说说】2023（四）_P59_11.14 十万毫升泪水[].m4a</t>
  </si>
  <si>
    <t>[P0650]【说说】2023（四）_P60_11.14 Love U U[].m4a</t>
  </si>
  <si>
    <t>[P0651]【说说】2023（四）_P61_11.14 起风了[].m4a</t>
  </si>
  <si>
    <t>[P0652]【说说】2023（四）_P62_11.15 发如雪[].m4a</t>
  </si>
  <si>
    <t>[P0653]【说说】2023（四）_P63_11.15 人是_[].m4a</t>
  </si>
  <si>
    <t>[P0654]【说说】2023（四）_P64_11.15 光亮[].m4a</t>
  </si>
  <si>
    <t>[P0655]【说说】2023（四）_P65_11.15 大眠[].m4a</t>
  </si>
  <si>
    <t>[P0656]【说说】2023（四）_P66_11.15 暗号[].m4a</t>
  </si>
  <si>
    <t>[P0657]【说说】2023（四）_P67_11.15 问花[].m4a</t>
  </si>
  <si>
    <t>[P0658]【说说】2023（四）_P68_11.15 也许明天[].m4a</t>
  </si>
  <si>
    <t>[P0659]【说说】2023（四）_P69_11.17 呼吸决定[].m4a</t>
  </si>
  <si>
    <t>[P0660]【说说】2023（四）_P70_11.17 将故事写成我们[].m4a</t>
  </si>
  <si>
    <t>[P0661]【说说】2023（四）_P71_11.17 记念[].m4a</t>
  </si>
  <si>
    <t>[P0662]【说说】2023（四）_P72_11.18 最长的电影[].m4a</t>
  </si>
  <si>
    <t>[P0663]【说说】2023（四）_P73_11.18 从前的月光[].m4a</t>
  </si>
  <si>
    <t>[P0664]【说说】2023（四）_P74_11.18 蜃楼之下（半首）[].m4a</t>
  </si>
  <si>
    <t>[P0665]【说说】2023（四）_P75_11.18 不与人说[].m4a</t>
  </si>
  <si>
    <t>[P0666]【说说】2023（四）_P76_11.18 长夜杯空[].m4a</t>
  </si>
  <si>
    <t>[P0667]【说说】2023（四）_P77_11.18 轨迹[].m4a</t>
  </si>
  <si>
    <t>[P0668]【说说】2023（四）_P78_11.18 真实[].m4a</t>
  </si>
  <si>
    <t>[P0669]【说说】2023（四）_P79_11.19 小雨[].m4a</t>
  </si>
  <si>
    <t>[P0670]【说说】2023（四）_P80_11.19 小雨（第二遍）[].m4a</t>
  </si>
  <si>
    <t>[P0671]【说说】2023（四）_P81_11.19 再遇见[].m4a</t>
  </si>
  <si>
    <t>[P0672]【说说】2023（四）_P82_11.19 敕勒歌[].m4a</t>
  </si>
  <si>
    <t>[P0673]【说说】2023（四）_P83_11.19 红颜如霜[].m4a</t>
  </si>
  <si>
    <t>[P0674]【说说】2023（四）_P84_11.25 无人知晓[].m4a</t>
  </si>
  <si>
    <t>[P0675]【说说】2023（四）_P85_11.25 不醉不会[].m4a</t>
  </si>
  <si>
    <t>[P0676]【说说】2023（四）_P86_11.25 大喜[].m4a</t>
  </si>
  <si>
    <t>[P0677]【说说】2023（四）_P87_11.25 光亮[].m4a</t>
  </si>
  <si>
    <t>[P0678]【说说】2023（四）_P88_11.25 但愿人长久[].m4a</t>
  </si>
  <si>
    <t>[P0679]【说说】2023（四）_P89_11.25 桃華[].m4a</t>
  </si>
  <si>
    <t>[P0680]【说说】2023（四）_P90_11.25 罗敷[].m4a</t>
  </si>
  <si>
    <t>[P0681]【说说】2023（四）_P91_11.25 背对背拥抱[].m4a</t>
  </si>
  <si>
    <t>[P0682]【说说】2023（四）_P92_11.25 达尔文[].m4a</t>
  </si>
  <si>
    <t>[P0683]【说说】2023（四）_P93_11.26 别找我麻烦[].m4a</t>
  </si>
  <si>
    <t>[P0684]【说说】2023（四）_P94_11.26 一路向北[].m4a</t>
  </si>
  <si>
    <t>[P0685]【说说】2023（四）_P95_11.26 红色高跟鞋[].m4a</t>
  </si>
  <si>
    <t>[P0686]【说说】2023（四）_P96_11.27 瓦解[].m4a</t>
  </si>
  <si>
    <t>[P0687]【说说】2023（四）_P97_11.29 第一天[].m4a</t>
  </si>
  <si>
    <t>[P0688]【说说】2023（四）_P98_11.29 想你时风起[].m4a</t>
  </si>
  <si>
    <t>[P0689]【说说】2023（四）_P99_11.29 时间煮雨[].m4a</t>
  </si>
  <si>
    <t>[P0690]【说说】2023（四）_P100_11.29 我怀念的[].m4a</t>
  </si>
  <si>
    <t>[P0691]【说说】2023（四）_P101_11.29 知足[].m4a</t>
  </si>
  <si>
    <t>[P0692]【说说】2023（四）_P102_11.29 自画像[].m4a</t>
  </si>
  <si>
    <t>[P0693]【说说】2023（四）_P103_11.30 第几个100天[].m4a</t>
  </si>
  <si>
    <t>[P0694]【说说】2023（四）_P104_11.30 紫[].m4a</t>
  </si>
  <si>
    <t>[P0695]【说说】2023（四）_P105_11.30 美容黎明[].m4a</t>
  </si>
  <si>
    <t>美容黎明</t>
  </si>
  <si>
    <t>[P0696]【说说】2023（四）_P106_11.30 流沙[].m4a</t>
  </si>
  <si>
    <t>[P0697]【说说】2023（四）_P107_11.30 Meod[].m4a</t>
  </si>
  <si>
    <t>[P0698]【说说】2023（四）_P108_11.30 好好说再见[].m4a</t>
  </si>
  <si>
    <t>[P0699]【说说】2023（四）_P109_11.30 达尔文[].m4a</t>
  </si>
  <si>
    <t>[P0700]【说说】2023（四）_P110_11.30 发如雪[].m4a</t>
  </si>
  <si>
    <t>[P0701]【说说】2023（四）_P111_11.30 左边[].m4a</t>
  </si>
  <si>
    <t>[P0702]【说说】2023（四）_P112_12.1 不识月[].m4a</t>
  </si>
  <si>
    <t>[P0703]【说说】2023（四）_P113_12.1 滚滚红尘[].m4a</t>
  </si>
  <si>
    <t>[P0704]【说说】2023（四）_P114_12.1 赤伶[].m4a</t>
  </si>
  <si>
    <t>[P0705]【说说】2023（四）_P115_12.1 赤伶（第二遍）[].m4a</t>
  </si>
  <si>
    <t>[P0706]【说说】2023（四）_P116_12.1 布虎记[].m4a</t>
  </si>
  <si>
    <t>[P0707]【说说】2023（四）_P117_12.1 月光[].m4a</t>
  </si>
  <si>
    <t>[P0708]【说说】2023（四）_P118_12.1 醉赤壁[].m4a</t>
  </si>
  <si>
    <t>[P0709]【说说】2023（四）_P119_雨下一整晚[].m4a</t>
  </si>
  <si>
    <t>_雨下一整晚</t>
  </si>
  <si>
    <t>[P0710]【说说】2023（四）_P120_12.1 东风破[].m4a</t>
  </si>
  <si>
    <t>[P0711]【说说】2023（四）_P121_12.2 沙滩[].m4a</t>
  </si>
  <si>
    <t>[P0712]【说说】2023（四）_P122_Foeve Young[].m4a</t>
  </si>
  <si>
    <t>_Foeve Young</t>
  </si>
  <si>
    <t>[P0713]【说说】2023（四）_P123_12.5 种太阳[].m4a</t>
  </si>
  <si>
    <t>[P0714]【说说】2023（四）_P124_12.5 普通朋友[].m4a</t>
  </si>
  <si>
    <t>[P0715]【说说】2023（四）_P125_12.5 天若有情[].m4a</t>
  </si>
  <si>
    <t>[P0716]【说说】2023（四）_P126_12.5 光束[].m4a</t>
  </si>
  <si>
    <t>[P0717]【说说】2023（四）_P127_12.5 想自由[].m4a</t>
  </si>
  <si>
    <t>[P0718]【说说】2023（四）_P128_12.5 雨爱[].m4a</t>
  </si>
  <si>
    <t>[P0719]【说说】2023（四）_P129_12.6 甜甜的[].m4a</t>
  </si>
  <si>
    <t>[P0720]【说说】2023（四）_P130_12.6 痒[].m4a</t>
  </si>
  <si>
    <t>[P0721]【说说】2023（四）_P131_12.6 氧气[].m4a</t>
  </si>
  <si>
    <t>[P0722]【说说】2023（四）_P132_12.6 雨樱花[].m4a</t>
  </si>
  <si>
    <t>[P0723]【说说】2023（四）_P133_12.6 稻香[].m4a</t>
  </si>
  <si>
    <t>[P0724]【说说】2023（四）_P134_12.8 先生[].m4a</t>
  </si>
  <si>
    <t>[P0725]【说说】2023（四）_P135_12.8 惊鸿一面[].m4a</t>
  </si>
  <si>
    <t>[P0726]【说说】2023（四）_P136_12.8 风月[].m4a</t>
  </si>
  <si>
    <t>[P0727]【说说】2023（四）_P137_12.8 七里香[].m4a</t>
  </si>
  <si>
    <t>七里香-3.48</t>
  </si>
  <si>
    <t>[P0728]【说说】2023（四）_P138_12.8 孤独娱乐[].m4a</t>
  </si>
  <si>
    <t>[P0729]【说说】2023（四）_P139_12.9 裹着心的光[].m4a</t>
  </si>
  <si>
    <t>[P0730]【说说】2023（四）_P140_12.9 达尔文[].m4a</t>
  </si>
  <si>
    <t>[P0731]【说说】2023（四）_P141_12.9 愿与愁[].m4a</t>
  </si>
  <si>
    <t>[P0732]【说说】2023（四）_P142_12.9 愿与愁（第二遍）[].m4a</t>
  </si>
  <si>
    <t>[P0733]【说说】2023（四）_P143_12.11 黑色毛衣[].m4a</t>
  </si>
  <si>
    <t>[P0734]【说说】2023（四）_P144_12.11 月[].m4a</t>
  </si>
  <si>
    <t>[P0735]【说说】2023（四）_P145_12.11 落在胸口的星星[].m4a</t>
  </si>
  <si>
    <t>[P0736]【说说】2023（四）_P146_12.11 暗号[].m4a</t>
  </si>
  <si>
    <t>[P0737]【说说】2023（四）_P147_12.11 敕勒歌[].m4a</t>
  </si>
  <si>
    <t>[P0738]【说说】2023（四）_P148_12.12 花月妖[].m4a</t>
  </si>
  <si>
    <t>[P0739]【说说】2023（四）_P149_12.12 至宝[].m4a</t>
  </si>
  <si>
    <t>[P0740]【说说】2023（四）_P150_12.18 残酷月光[].m4a</t>
  </si>
  <si>
    <t>[P0741]【说说】2023（四）_P151_12.18 再见深海[].m4a</t>
  </si>
  <si>
    <t>[P0742]【说说】2023（四）_P152_12.18 兜圈[].m4a</t>
  </si>
  <si>
    <t>[P0743]【说说】2023（四）_P153_12.18 雪落下的声音[].m4a</t>
  </si>
  <si>
    <t>[P0744]【说说】2023（四）_P154_12.18 好久不见[].m4a</t>
  </si>
  <si>
    <t>[P0745]【说说】2023（四）_P155_12.18 飘雪[].m4a</t>
  </si>
  <si>
    <t>飘雪</t>
  </si>
  <si>
    <t>[P0746]【说说】2023（四）_P156_12.18 暖暖（模仿腾格尔）[].m4a</t>
  </si>
  <si>
    <t>[P0747]【说说】2023（四）_P157_12.18 孤独娱乐[].m4a</t>
  </si>
  <si>
    <t>[P0748]【说说】2023（四）_P158_12.18 搁浅[].m4a</t>
  </si>
  <si>
    <t>[P0749]【说说】2023（四）_P159_12.18 发如雪[].m4a</t>
  </si>
  <si>
    <t>[P0750]【说说】2023（四）_P160_12.18 我不配[].m4a</t>
  </si>
  <si>
    <t>[P0751]【说说】2023（四）_P161_12.20 桃花诺[].m4a</t>
  </si>
  <si>
    <t>[P0752]【说说】2023（四）_P162_12.20 不为谁而作的歌[].m4a</t>
  </si>
  <si>
    <t>[P0753]【说说】2023（四）_P163_12.20 浪漫血液[].m4a</t>
  </si>
  <si>
    <t>[P0754]【说说】2023（四）_P164_12.20 浪漫血液（第二遍）[].m4a</t>
  </si>
  <si>
    <t>[P0755]【说说】2023（四）_P165_12.22 等你下课[].m4a</t>
  </si>
  <si>
    <t>[P0756]【说说】2023（四）_P166_12.22 煎熬[].m4a</t>
  </si>
  <si>
    <t>[P0757]【说说】2023（四）_P167_12.22 茉莉雨[].m4a</t>
  </si>
  <si>
    <t>[P0758]【说说】2023（四）_P168_12.22 输了你赢了世界又如何[].m4a</t>
  </si>
  <si>
    <t>[P0759]【说说】2023（四）_P169_12.22 我落泪情绪零碎[].m4a</t>
  </si>
  <si>
    <t>[P0760]【说说】2023（四）_P170_12.22 雨后日记[].m4a</t>
  </si>
  <si>
    <t>[P0761]【说说】2023（四）_P171_12.23 敢[].m4a</t>
  </si>
  <si>
    <t>[P0762]【说说】2023（四）_P172_12.23 凄美地[].m4a</t>
  </si>
  <si>
    <t>[P0763]【说说】2023（四）_P173_12.23 若把你[].m4a</t>
  </si>
  <si>
    <t>[P0764]【说说】2023（四）_P174_12.23 雨下一整晚[].m4a</t>
  </si>
  <si>
    <t>[P0765]【说说】2023（四）_P175_12.24 爱情废柴[].m4a</t>
  </si>
  <si>
    <t>[P0766]【说说】2023（四）_P176_12.24 冬眠[].m4a</t>
  </si>
  <si>
    <t>[P0767]【说说】2023（四）_P177_12.24 发如雪[].m4a</t>
  </si>
  <si>
    <t>[P0768]【说说】2023（四）_P178_12.24 将故事写成我们[].m4a</t>
  </si>
  <si>
    <t>[P0769]【说说】2023（四）_P179_12.24 一剪梅[].m4a</t>
  </si>
  <si>
    <t>[P0770]【说说】2023（四）_P180_12.24 一眼万年[].m4a</t>
  </si>
  <si>
    <t>[P0771]【说说】2023（四）_P181_12.25 流沙[].m4a</t>
  </si>
  <si>
    <t>[P0772]【说说】2023（四）_P182_12.25 天天[].m4a</t>
  </si>
  <si>
    <t>[P0773]【说说】2023（四）_P183_12.25 我怀念的[].m4a</t>
  </si>
  <si>
    <t>[P0774]【说说】2023（四）_P184_12.27 Idonwnnbeounmoe[].m4a</t>
  </si>
  <si>
    <t>Idonwnnbeounmoe</t>
  </si>
  <si>
    <t>[P0775]【说说】2023（四）_P185_12.27 达尔文[].m4a</t>
  </si>
  <si>
    <t>[P0776]【说说】2023（四）_P186_12.29 快乐手帐[].m4a</t>
  </si>
  <si>
    <t>快乐手帐</t>
  </si>
  <si>
    <t>[P0777]【说说】2023（四）_P187_12.29 明明就[].m4a</t>
  </si>
  <si>
    <t>[P0778]【说说】2023（四）_P188_12.29 普通朋友[].m4a</t>
  </si>
  <si>
    <t>[P0779]【说说】2023（四）_P189_12.29 我爱你[].m4a</t>
  </si>
  <si>
    <t>我爱你</t>
  </si>
  <si>
    <t>[P0780]【说说】2023（四）_P190_12.29 我爱你（第二遍）[].m4a</t>
  </si>
  <si>
    <t>[P0781]【说说】2023（四）_P191_12.30 弯弯的月亮[].m4a</t>
  </si>
  <si>
    <t>[P0782]【说说】2023（四）_P192_12.30 你的眼神[].m4a</t>
  </si>
  <si>
    <t>[P0783]【说说】2023（四）_P193_12.30 茉莉雨[].m4a</t>
  </si>
  <si>
    <t>[P0784]【说说】2023（四）_P194_12.31 茉莉花[].m4a</t>
  </si>
  <si>
    <t>[P0785]【说说】2023（四）_P195_12.31 光亮[].m4a</t>
  </si>
  <si>
    <t>[P0786]【说说】2023（四）_P196_12.31 大喜[].m4a</t>
  </si>
  <si>
    <t>[P0787]【说说】【个人向】（一）_P1_2021.08.29 贝加尔湖畔[].m4a</t>
  </si>
  <si>
    <t>BV1pY411t7Rb</t>
  </si>
  <si>
    <t>[P0788]【说说】【个人向】（一）_P2_2021.11.29 灯塔[].m4a</t>
  </si>
  <si>
    <t>[P0789]【说说】【个人向】（一）_P3_2021.12.11 在水一方[].m4a</t>
  </si>
  <si>
    <t>[P0790]【说说】【个人向】（一）_P4_1.3 大地飞歌[].m4a</t>
  </si>
  <si>
    <t>[P0791]【说说】【个人向】（一）_P5_1.3 好日子[].m4a</t>
  </si>
  <si>
    <t>[P0792]【说说】【个人向】（一）_P6_1.3 未闻花名[].m4a</t>
  </si>
  <si>
    <t>[P0793]【说说】【个人向】（一）_P7_1.5 彩虹[].m4a</t>
  </si>
  <si>
    <t>[P0794]【说说】【个人向】（一）_P8_1.5 真实[].m4a</t>
  </si>
  <si>
    <t>[P0795]【说说】【个人向】（一）_P9_1.5 鸿雁[].m4a</t>
  </si>
  <si>
    <t>[P0796]【说说】【个人向】（一）_P10_1.5 玛依拉变奏曲[].m4a</t>
  </si>
  <si>
    <t>[P0797]【说说】【个人向】（一）_P11_1.12 月牙湾[].m4a</t>
  </si>
  <si>
    <t>[P0798]【说说】【个人向】（一）_P12_1.16 晴天[].m4a</t>
  </si>
  <si>
    <t>[P0799]【说说】【个人向】（一）_P13_1.16 问情[].m4a</t>
  </si>
  <si>
    <t>[P0800]【说说】【个人向】（一）_P14_1.16 不醉不会[].m4a</t>
  </si>
  <si>
    <t>[P0801]【说说】【个人向】（一）_P15_1.16 花月妖[].m4a</t>
  </si>
  <si>
    <t>[P0802]【说说】【个人向】（一）_P16_1.16 牡丹亭畔[].m4a</t>
  </si>
  <si>
    <t>[P0803]【说说】【个人向】（一）_P17_1.16 灯花落[].m4a</t>
  </si>
  <si>
    <t>[P0804]【说说】【个人向】（一）_P18_1.16 蜃楼之下[].m4a</t>
  </si>
  <si>
    <t>[P0805]【说说】【个人向】（一）_P19_1.18 青花瓷[].m4a</t>
  </si>
  <si>
    <t>[P0806]【说说】【个人向】（一）_P20_1.19 关雎[].m4a</t>
  </si>
  <si>
    <t>[P0807]【说说】【个人向】（一）_P21_1.19 秋意浓[].m4a</t>
  </si>
  <si>
    <t>[P0808]【说说】【个人向】（一）_P22_1.19 蝴蝶泉边[].m4a</t>
  </si>
  <si>
    <t>[P0809]【说说】【个人向】（一）_P23_1.21 不问天[].m4a</t>
  </si>
  <si>
    <t>[P0810]【说说】【个人向】（一）_P24_1.21 苏幕遮[].m4a</t>
  </si>
  <si>
    <t>[P0811]【说说】【个人向】（一）_P25_1.21 你的微笑[].m4a</t>
  </si>
  <si>
    <t>[P0812]【说说】【个人向】（一）_P26_1.21 芦花[].m4a</t>
  </si>
  <si>
    <t>[P0813]【说说】【个人向】（一）_P27_1.23 You ie me up[].m4a</t>
  </si>
  <si>
    <t>You ie me up</t>
  </si>
  <si>
    <t>[P0814]【说说】【个人向】（一）_P28_1.23 被风吹过的夏天[].m4a</t>
  </si>
  <si>
    <t>[P0815]【说说】【个人向】（一）_P29_1.23 搁浅[].m4a</t>
  </si>
  <si>
    <t>[P0816]【说说】【个人向】（一）_P30_1.23 最长的电影[].m4a</t>
  </si>
  <si>
    <t>[P0817]【说说】【个人向】（一）_P31_1.23 如燕[].m4a</t>
  </si>
  <si>
    <t>[P0818]【说说】【个人向】（一）_P32_1.29 繁华唱遍[].m4a</t>
  </si>
  <si>
    <t>[P0819]【说说】【个人向】（一）_P33_1.29 左手指月[].m4a</t>
  </si>
  <si>
    <t>[P0820]【说说】【个人向】（一）_P34_1.29 灯火里的中国[].m4a</t>
  </si>
  <si>
    <t>[P0821]【说说】【个人向】（一）_P35_1.29 Nin[].m4a</t>
  </si>
  <si>
    <t>[P0822]【说说】【个人向】（一）_P36_1.30 阿楚姑娘[].m4a</t>
  </si>
  <si>
    <t>[P0823]【说说】【个人向】（一）_P37_1.30 春三月[].m4a</t>
  </si>
  <si>
    <t>[P0824]【说说】【个人向】（一）_P38_1.30 那些你很冒险的梦[].m4a</t>
  </si>
  <si>
    <t>[P0825]【说说】【个人向】（一）_P39_1.30 桃花笑[].m4a</t>
  </si>
  <si>
    <t>[P0826]【说说】【个人向】（一）_P40_2.9 暖暖[].m4a</t>
  </si>
  <si>
    <t>[P0827]【说说】【个人向】（一）_P41_2.9 剪爱[].m4a</t>
  </si>
  <si>
    <t>[P0828]【说说】【个人向】（一）_P42_2.9 相亲相爱[].m4a</t>
  </si>
  <si>
    <t>[P0829]【说说】【个人向】（一）_P43_2.10 南屏晚钟[].m4a</t>
  </si>
  <si>
    <t>[P0830]【说说】【个人向】（一）_P44_2.10 寻一个天荒地老的地方[].m4a</t>
  </si>
  <si>
    <t>[P0831]【说说】【个人向】（一）_P45_2.10 不为谁而作的歌[].m4a</t>
  </si>
  <si>
    <t>[P0832]【说说】【个人向】（一）_P46_2.10 月牙湾[].m4a</t>
  </si>
  <si>
    <t>[P0833]【说说】【个人向】（一）_P47_2.10 枫[].m4a</t>
  </si>
  <si>
    <t>[P0834]【说说】【个人向】（一）_P48_2.10 樱花草[].m4a</t>
  </si>
  <si>
    <t>[P0835]【说说】【个人向】（一）_P49_2.11 恰好[].m4a</t>
  </si>
  <si>
    <t>[P0836]【说说】【个人向】（一）_P50_2.11 我怀念的[].m4a</t>
  </si>
  <si>
    <t>[P0837]【说说】【个人向】（一）_P51_2.12 布虎记[].m4a</t>
  </si>
  <si>
    <t>[P0838]【说说】【个人向】（一）_P52_2.12 大鱼[].m4a</t>
  </si>
  <si>
    <t>[P0839]【说说】【个人向】（一）_P53_2.14 海水正蓝[].m4a</t>
  </si>
  <si>
    <t>[P0840]【说说】【个人向】（一）_P54_2.14 喜欢你[].m4a</t>
  </si>
  <si>
    <t>[P0841]【说说】【个人向】（一）_P55_2.14 不问天[].m4a</t>
  </si>
  <si>
    <t>[P0842]【说说】【个人向】（一）_P56_2.14 流年如歌[].m4a</t>
  </si>
  <si>
    <t>[P0843]【说说】【个人向】（一）_P57_2.14 神女劈观[].m4a</t>
  </si>
  <si>
    <t>[P0844]【说说】【个人向】（一）_P58_2.17 小精灵[].m4a</t>
  </si>
  <si>
    <t>[P0845]【说说】【个人向】（一）_P59_2.17 流年[].m4a</t>
  </si>
  <si>
    <t>[P0846]【说说】【个人向】（一）_P60_2.17 但愿人长久[].m4a</t>
  </si>
  <si>
    <t>[P0847]【说说】【个人向】（一）_P61_2.18 紫[].m4a</t>
  </si>
  <si>
    <t>[P0848]【说说】【个人向】（一）_P62_2.19 知否知否[].m4a</t>
  </si>
  <si>
    <t>[P0849]【说说】【个人向】（一）_P63_2.20 旅行的意义[].m4a</t>
  </si>
  <si>
    <t>[P0850]【说说】【个人向】（一）_P64_2.22  o[].m4a</t>
  </si>
  <si>
    <t>o</t>
  </si>
  <si>
    <t>[P0851]【说说】【个人向】（一）_P65_2.22 你被写在我的歌里[].m4a</t>
  </si>
  <si>
    <t>[P0852]【说说】【个人向】（一）_P66_2.22 冬眠[].m4a</t>
  </si>
  <si>
    <t>[P0853]【说说】【个人向】（一）_P67_2.22 孤勇者[].m4a</t>
  </si>
  <si>
    <t>[P0854]【说说】【个人向】（一）_P68_2.22 罗敷[].m4a</t>
  </si>
  <si>
    <t>[P0855]【说说】【个人向】（一）_P69_2.22 十年人间[].m4a</t>
  </si>
  <si>
    <t>十年人间</t>
  </si>
  <si>
    <t>[P0856]【说说】【个人向】（一）_P70_2.22 芦花[].m4a</t>
  </si>
  <si>
    <t>[P0857]【说说】【个人向】（一）_P71_2.22 蝶恋花[].m4a</t>
  </si>
  <si>
    <t>[P0858]【说说】【个人向】（一）_P72_2.22 路过人间[].m4a</t>
  </si>
  <si>
    <t>[P0859]【说说】【个人向】（一）_P73_2.22 悟空（流行+戏腔）[].m4a</t>
  </si>
  <si>
    <t>[P0860]【说说】【个人向】（一）_P74_2.22 阿刁[].m4a</t>
  </si>
  <si>
    <t>[P0861]【说说】【个人向】（一）_P75_2.22 旅行中忘记[].m4a</t>
  </si>
  <si>
    <t>[P0862]【说说】【个人向】（一）_P76_2.22 消失的爱人[].m4a</t>
  </si>
  <si>
    <t>[P0863]【说说】【个人向】（一）_P77_2.22 标准答案[].m4a</t>
  </si>
  <si>
    <t>[P0864]【说说】【个人向】（一）_P78_2.23 园游会[].m4a</t>
  </si>
  <si>
    <t>[P0865]【说说】【个人向】（一）_P79_2.26 寻一个天荒地老的地方[].m4a</t>
  </si>
  <si>
    <t>[P0866]【说说】【个人向】（一）_P80_2.26 问花[].m4a</t>
  </si>
  <si>
    <t>[P0867]【说说】【个人向】（一）_P81_2.26 泼墨漓江[].m4a</t>
  </si>
  <si>
    <t>[P0868]【说说】【个人向】（一）_P82_2.26 横竖撇点折[].m4a</t>
  </si>
  <si>
    <t>[P0869]【说说】【个人向】（一）_P83_2.26 春天的芭蕾[].m4a</t>
  </si>
  <si>
    <t>[P0870]【说说】【个人向】（一）_P84_2.28 晴天（别肘好吗）[].m4a</t>
  </si>
  <si>
    <t>[P0871]【说说】【个人向】（一）_P85_2.28 喜欢寂寞[].m4a</t>
  </si>
  <si>
    <t>[P0872]【说说】【个人向】（一）_P86_2.28 勾指起誓[].m4a</t>
  </si>
  <si>
    <t>[P0873]【说说】【个人向】（一）_P87_2.28 像风一样[].m4a</t>
  </si>
  <si>
    <t>[P0874]【说说】【个人向】（一）_P88_2.28 人啊[].m4a</t>
  </si>
  <si>
    <t>[P0875]【说说】【个人向】（一）_P89_3.3 春三月[].m4a</t>
  </si>
  <si>
    <t>[P0876]【说说】【个人向】（一）_P90_3.3 桃花笑[].m4a</t>
  </si>
  <si>
    <t>[P0877]【说说】【个人向】（一）_P91_3.3 三月雨[].m4a</t>
  </si>
  <si>
    <t>[P0878]【说说】【个人向】（一）_P92_3.3 春天的芭蕾[].m4a</t>
  </si>
  <si>
    <t>[P0879]【说说】【个人向】（一）_P93_3.3 秋水长天[].m4a</t>
  </si>
  <si>
    <t>[P0880]【说说】【个人向】（一）_P94_3.3 牵丝戏[].m4a</t>
  </si>
  <si>
    <t>[P0881]【说说】【个人向】（一）_P95_3.3 繁华梦[].m4a</t>
  </si>
  <si>
    <t>[P0882]【说说】【个人向】（一）_P96_3.3 痒[].m4a</t>
  </si>
  <si>
    <t>[P0883]【说说】【个人向】（一）_P97_3.3 卷珠帘[].m4a</t>
  </si>
  <si>
    <t>[P0884]【说说】【个人向】（一）_P98_3.3 赤伶[].m4a</t>
  </si>
  <si>
    <t>[P0885]【说说】【个人向】（一）_P99_3.3 九万字[].m4a</t>
  </si>
  <si>
    <t>[P0886]【说说】【个人向】（一）_P100_3.3 年轮[].m4a</t>
  </si>
  <si>
    <t>[P0887]【说说】【个人向】（一）_P101_3.5 勇敢[].m4a</t>
  </si>
  <si>
    <t>[P0888]【说说】【个人向】（一）_P102_3.5 听海[].m4a</t>
  </si>
  <si>
    <t>[P0889]【说说】【个人向】（一）_P103_3.5 真实[].m4a</t>
  </si>
  <si>
    <t>[P0890]【说说】【个人向】（一）_P104_3.5 依然爱你[].m4a</t>
  </si>
  <si>
    <t>[P0891]【说说】【个人向】（一）_P105_3.5 赤伶[].m4a</t>
  </si>
  <si>
    <t>[P0892]【说说】【个人向】（一）_P106_3.5 不识月[].m4a</t>
  </si>
  <si>
    <t>[P0893]【说说】【个人向】（一）_P107_3.5 如果云知道[].m4a</t>
  </si>
  <si>
    <t>[P0894]【说说】【个人向】（一）_P108_3.5 乌兰巴托的夜[].m4a</t>
  </si>
  <si>
    <t>[P0895]【说说】【个人向】（一）_P109_3.5 永不失联的爱[].m4a</t>
  </si>
  <si>
    <t>[P0896]【说说】【个人向】（一）_P110_3.6 女儿情[].m4a</t>
  </si>
  <si>
    <t>[P0897]【说说】【个人向】（一）_P111_3.6 繁华唱遍[].m4a</t>
  </si>
  <si>
    <t>[P0898]【说说】【个人向】（一）_P112_3.6 开往春天的地铁（修补版）[].m4a</t>
  </si>
  <si>
    <t>[P0899]【说说】【个人向】（一）_P113_3.6 小河淌水[].m4a</t>
  </si>
  <si>
    <t>[P0900]【说说】【个人向】（一）_P114_3.6 蜗牛与黄鹂鸟[].m4a</t>
  </si>
  <si>
    <t>[P0901]【说说】【个人向】（一）_P115_3.6 如愿[].m4a</t>
  </si>
  <si>
    <t>[P0902]【说说】【个人向】（一）_P116_3.6 百年孤寂[].m4a</t>
  </si>
  <si>
    <t>[P0903]【说说】【个人向】（一）_P117_3.8 我的梦[].m4a</t>
  </si>
  <si>
    <t>[P0904]【说说】【个人向】（一）_P118_3.8 画心[].m4a</t>
  </si>
  <si>
    <t>[P0905]【说说】【个人向】（一）_P119_3.12 崇拜[].m4a</t>
  </si>
  <si>
    <t>[P0906]【说说】【个人向】（一）_P120_3.12 F Me o he Moon[].m4a</t>
  </si>
  <si>
    <t>F Me o he Moon</t>
  </si>
  <si>
    <t>[P0907]【说说】【个人向】（一）_P121_3.13 恰好[].m4a</t>
  </si>
  <si>
    <t>[P0908]【说说】【个人向】（一）_P122_3.14 Rubi[].m4a</t>
  </si>
  <si>
    <t>[P0909]【说说】【个人向】（一）_P123_3.14 从前的月光[].m4a</t>
  </si>
  <si>
    <t>[P0910]【说说】【个人向】（一）_P124_3.14 流年如歌[].m4a</t>
  </si>
  <si>
    <t>[P0911]【说说】【个人向】（一）_P125_3.16 锦鲤抄[].m4a</t>
  </si>
  <si>
    <t>[P0912]【说说】【个人向】（一）_P126_3.16 夏天的风[].m4a</t>
  </si>
  <si>
    <t>[P0913]【说说】【个人向】（一）_P127_3.18 但愿人长久[].m4a</t>
  </si>
  <si>
    <t>[P0914]【说说】【个人向】（一）_P128_3.19 掉了[].m4a</t>
  </si>
  <si>
    <t>[P0915]【说说】【个人向】（一）_P129_3.19 虫儿飞[].m4a</t>
  </si>
  <si>
    <t>[P0916]【说说】【个人向】（一）_P130_3.27 下雨天[].m4a</t>
  </si>
  <si>
    <t>[P0917]【说说】【个人向】（一）_P131_3.27 罗敷[].m4a</t>
  </si>
  <si>
    <t>[P0918]【说说】【个人向】（一）_P132_3.27 寂寞的恋人啊[].m4a</t>
  </si>
  <si>
    <t>[P0919]【说说】【个人向】（一）_P133_3.27 Mojio[].m4a</t>
  </si>
  <si>
    <t>Mojio</t>
  </si>
  <si>
    <t>[P0920]【说说】【个人向】（一）_P134_3.27 横竖撇点折（成功不口胡）[].m4a</t>
  </si>
  <si>
    <t>[P0921]【说说】【个人向】（一）_P135_3.27 冰火春日宴 踏雪（分词分镜切片）[].m4a</t>
  </si>
  <si>
    <t>冰火春日宴 踏雪</t>
  </si>
  <si>
    <t>[P0922]【说说】【个人向】（一）_P136_3.28 High歌[].m4a</t>
  </si>
  <si>
    <t>[P0923]【说说】【个人向】（一）_P137_3.28 搁浅[].m4a</t>
  </si>
  <si>
    <t>[P0924]【说说】【个人向】（一）_P138_3.28 点亮梦想[].m4a</t>
  </si>
  <si>
    <t>[P0925]【说说】【个人向】（一）_P139_3.28 乘着歌声的翅膀[].m4a</t>
  </si>
  <si>
    <t>[P0926]【说说】【个人向】（一）_P140_3.28 昨日青空[].m4a</t>
  </si>
  <si>
    <t>[P0927]【说说】【个人向】（一）_P141_3.28 苏幕遮[].m4a</t>
  </si>
  <si>
    <t>[P0928]【说说】【个人向】（一）_P142_3.28 你看到的我是蓝色的[].m4a</t>
  </si>
  <si>
    <t>[P0929]【说说】【个人向】（一）_P143_3.28 老人与海（部分删减）[].m4a</t>
  </si>
  <si>
    <t>[P0930]【说说】【个人向】（一）_P144_3.28 天堂岛之歌[].m4a</t>
  </si>
  <si>
    <t>[P0931]【说说】【个人向】（一）_P145_3.28 梦一场[].m4a</t>
  </si>
  <si>
    <t>[P0932]【说说】【个人向】（一）_P146_3.28 频率[].m4a</t>
  </si>
  <si>
    <t>[P0933]【说说】【个人向】（一）_P147_3.28 春天的芭蕾[].m4a</t>
  </si>
  <si>
    <t>[P0934]【说说】【个人向】（一）_P148_3.28 玛依拉变奏曲[].m4a</t>
  </si>
  <si>
    <t>[P0935]【说说】【个人向】（一）_P149_3.29 如愿[].m4a</t>
  </si>
  <si>
    <t>[P0936]【说说】【个人向】（一）_P150_3.29 一生等你[].m4a</t>
  </si>
  <si>
    <t>[P0937]【说说】【个人向】（一）_P151_3.30 神说拖播（改自《神女劈观》，重填词：如意）[].m4a</t>
  </si>
  <si>
    <t>神说拖播</t>
  </si>
  <si>
    <t>[P0938]【说说】【个人向】（一）_P152_3.31 频率[].m4a</t>
  </si>
  <si>
    <t>[P0939]【说说】【个人向】（一）_P153_3.31 雪落下的声音[].m4a</t>
  </si>
  <si>
    <t>[P0940]【说说】【个人向】（一）_P154_3.31 午夜杀[].m4a</t>
  </si>
  <si>
    <t>[P0941]【说说】【个人向】（一）_P155_3.31 冬眠[].m4a</t>
  </si>
  <si>
    <t>[P0942]【说说】【个人向】（一）_P156_3.31 牡丹亭畔[].m4a</t>
  </si>
  <si>
    <t>[P0943]【说说】【个人向】（一）_P157_3.31 悟空[].m4a</t>
  </si>
  <si>
    <t>[P0944]【说说】【个人向】（一）_P158_3.31 如愿[].m4a</t>
  </si>
  <si>
    <t>[P0945]【说说】【个人向】（一）_P159_3.31 枫[].m4a</t>
  </si>
  <si>
    <t>[P0946]【说说】【个人向】（一）_P160_3.31 暗号[].m4a</t>
  </si>
  <si>
    <t>[P0947]【说说】【个人向】（一）_P161_3.31 言不由衷[].m4a</t>
  </si>
  <si>
    <t>[P0948]【说说】【个人向】（一）_P162_3.31 儿歌[].m4a</t>
  </si>
  <si>
    <t>[P0949]【说说】【个人向】（一）_P163_3.31 人啊[].m4a</t>
  </si>
  <si>
    <t>[P0950]【说说】【个人向】（一）_P164_4.1 下一秒[].m4a</t>
  </si>
  <si>
    <t>[P0951]【说说】【个人向】（一）_P165_4.3 我好想你[].m4a</t>
  </si>
  <si>
    <t>[P0952]【说说】【个人向】（一）_P166_4.3 我好想你×2[].m4a</t>
  </si>
  <si>
    <t>我好想你×2</t>
  </si>
  <si>
    <t>[P0953]【说说】【个人向】（一）_P167_4.3 年轮说[].m4a</t>
  </si>
  <si>
    <t>[P0954]【说说】【个人向】（一）_P168_4.3 有形的翅膀[].m4a</t>
  </si>
  <si>
    <t>[P0955]【说说】【个人向】（一）_P169_4.3 离歌[].m4a</t>
  </si>
  <si>
    <t>[P0956]【说说】【个人向】（一）_P170_4.3 无与伦比的美丽[].m4a</t>
  </si>
  <si>
    <t>[P0957]【说说】【个人向】（一）_P171_4.3 故事[].m4a</t>
  </si>
  <si>
    <t>[P0958]【说说】【个人向】（一）_P172_4.3 小情歌[].m4a</t>
  </si>
  <si>
    <t>[P0959]【说说】【个人向】（一）_P173_4.3 喜欢寂寞[].m4a</t>
  </si>
  <si>
    <t>[P0960]【说说】【个人向】（一）_P174_4.5 路过人间[].m4a</t>
  </si>
  <si>
    <t>[P0961]【说说】【个人向】（一）_P175_4.5 彩虹[].m4a</t>
  </si>
  <si>
    <t>[P0962]【说说】【个人向】（一）_P176_4.5 罗敷[].m4a</t>
  </si>
  <si>
    <t>[P0963]【说说】【个人向】（一）_P177_4.6 失落沙洲[].m4a</t>
  </si>
  <si>
    <t>[P0964]【说说】【个人向】（一）_P178_4.6 一样的月光[].m4a</t>
  </si>
  <si>
    <t>[P0965]【说说】【个人向】（一）_P179_4.6 暗号[].m4a</t>
  </si>
  <si>
    <t>[P0966]【说说】【个人向】（一）_P180_4.6 落叶归根[].m4a</t>
  </si>
  <si>
    <t>[P0967]【说说】【个人向】（一）_P181_4.6 爱你[].m4a</t>
  </si>
  <si>
    <t>[P0968]【说说】【个人向】（一）_P182_4.8 仰望星空[].m4a</t>
  </si>
  <si>
    <t>[P0969]【说说】【个人向】（一）_P183_4.11 月牙湾[].m4a</t>
  </si>
  <si>
    <t>[P0970]【说说】【个人向】（一）_P184_4.11 大约在冬季[].m4a</t>
  </si>
  <si>
    <t>[P0971]【说说】【个人向】（一）_P185_4.11 橄榄树[].m4a</t>
  </si>
  <si>
    <t>[P0972]【说说】【个人向】（一）_P186_4.11 浪费[].m4a</t>
  </si>
  <si>
    <t>[P0973]【说说】【个人向】（一）_P187_4.13 从前慢[].m4a</t>
  </si>
  <si>
    <t>[P0974]【说说】【个人向】（一）_P188_4.13 亲密爱人[].m4a</t>
  </si>
  <si>
    <t>[P0975]【说说】【个人向】（一）_P189_4.13 春三月[].m4a</t>
  </si>
  <si>
    <t>[P0976]【说说】【个人向】（一）_P190_4.13 冬眠[].m4a</t>
  </si>
  <si>
    <t>[P0977]【说说】【个人向】（一）_P191_4.13 玛依拉变奏曲[].m4a</t>
  </si>
  <si>
    <t>[P0978]【说说】【个人向】（一）_P192_4.13 最长的电影[].m4a</t>
  </si>
  <si>
    <t>[P0979]【说说】【个人向】（一）_P193_4.13 未闻花名[].m4a</t>
  </si>
  <si>
    <t>[P0980]【说说】【个人向】（一）_P194_4.15 风月[].m4a</t>
  </si>
  <si>
    <t>[P0981]【说说】【个人向】（一）_P195_4.16 园游会[].m4a</t>
  </si>
  <si>
    <t>[P0982]【说说】【个人向】（一）_P196_4.17 痒[].m4a</t>
  </si>
  <si>
    <t>[P0983]【说说】【个人向】（一）_P197_4.18 最美的期待[].m4a</t>
  </si>
  <si>
    <t>[P0984]【说说】【个人向】（一）_P198_4.18 Ring Ring Ring[].m4a</t>
  </si>
  <si>
    <t>Ring Ring Ring</t>
  </si>
  <si>
    <t>[P0985]【说说】【个人向】（一）_P199_4.18 枫[].m4a</t>
  </si>
  <si>
    <t>[P0986]【说说】【个人向】（一）_P200_4.20 匆匆那年[].m4a</t>
  </si>
  <si>
    <t>[P0987]【说说】（二）_P1_4.22 寻一个天荒地老的地方[].m4a</t>
  </si>
  <si>
    <t>BV1o3411T7Yn</t>
  </si>
  <si>
    <t>[P0988]【说说】（二）_P2_4.22 给电影人的情书[].m4a</t>
  </si>
  <si>
    <t>[P0989]【说说】（二）_P3_4.22 你要的爱[].m4a</t>
  </si>
  <si>
    <t>[P0990]【说说】（二）_P4_4.22 梧桐树[].m4a</t>
  </si>
  <si>
    <t>[P0991]【说说】（二）_P5_4.22 落在胸口的星星[].m4a</t>
  </si>
  <si>
    <t>[P0992]【说说】（二）_P6_4.23 Foeve oung[].m4a</t>
  </si>
  <si>
    <t>Foeve oung</t>
  </si>
  <si>
    <t>[P0993]【说说】（二）_P7_4.23 一样的月光[].m4a</t>
  </si>
  <si>
    <t>[P0994]【说说】（二）_P8_4.23 敕勒歌 90%[].m4a</t>
  </si>
  <si>
    <t>敕勒歌 90%</t>
  </si>
  <si>
    <t>[P0995]【说说】（二）_P9_4.23 靠近 90%[].m4a</t>
  </si>
  <si>
    <t>靠近 90%</t>
  </si>
  <si>
    <t>[P0996]【说说】（二）_P10_4.23 雨爱[].m4a</t>
  </si>
  <si>
    <t>[P0997]【说说】（二）_P11_4.23 如愿[].m4a</t>
  </si>
  <si>
    <t>[P0998]【说说】（二）_P12_4.25 小小[].m4a</t>
  </si>
  <si>
    <t>[P0999]【说说】（二）_P13_4.25 遗失的美好[].m4a</t>
  </si>
  <si>
    <t>[P1000]【说说】（二）_P14_4.25 牧笛（变速部分）[].m4a</t>
  </si>
  <si>
    <t>[P1001]【说说】（二）_P15_4.25 亲爱的那不是爱情[].m4a</t>
  </si>
  <si>
    <t>亲爱的那不是爱情</t>
  </si>
  <si>
    <t>[P1002]【说说】（二）_P16_4.25 看得最远的地方[].m4a</t>
  </si>
  <si>
    <t>[P1003]【说说】（二）_P17_4.27 大眠[].m4a</t>
  </si>
  <si>
    <t>[P1004]【说说】（二）_P18_4.27 一不小心爱上你[].m4a</t>
  </si>
  <si>
    <t>[P1005]【说说】（二）_P19_4.27 听海[].m4a</t>
  </si>
  <si>
    <t>[P1006]【说说】（二）_P20_4.27 像风一样[].m4a</t>
  </si>
  <si>
    <t>[P1007]【说说】（二）_P21_4.27 从前的月光[].m4a</t>
  </si>
  <si>
    <t>[P1008]【说说】（二）_P22_4.29 落叶归根[].m4a</t>
  </si>
  <si>
    <t>[P1009]【说说】（二）_P23_5.1 从前的月光（一周年纪念回）[].m4a</t>
  </si>
  <si>
    <t>[P1010]【说说】（二）_P24_5.1 流年如歌[].m4a</t>
  </si>
  <si>
    <t>[P1011]【说说】（二）_P25_5.1 Sow Down[].m4a</t>
  </si>
  <si>
    <t>[P1012]【说说】（二）_P26_5.1 不问天[].m4a</t>
  </si>
  <si>
    <t>[P1013]【说说】（二）_P27_5.1 蝶恋花[].m4a</t>
  </si>
  <si>
    <t>[P1014]【说说】（二）_P28_5.1 神女劈观[].m4a</t>
  </si>
  <si>
    <t>[P1015]【说说】（二）_P29_5.1 春天的芭蕾[].m4a</t>
  </si>
  <si>
    <t>[P1016]【说说】（二）_P30_5.1 布虎记[].m4a</t>
  </si>
  <si>
    <t>[P1017]【说说】（二）_P31_5.1 像风一样[].m4a</t>
  </si>
  <si>
    <t>[P1018]【说说】（二）_P32_5.1 永不失联的爱[].m4a</t>
  </si>
  <si>
    <t>[P1019]【说说】（二）_P33_5.2 雨爱[].m4a</t>
  </si>
  <si>
    <t>[P1020]【说说】（二）_P34_5.3 一荤一素[].m4a</t>
  </si>
  <si>
    <t>[P1021]【说说】（二）_P35_5.3 愿望[].m4a</t>
  </si>
  <si>
    <t>[P1022]【说说】（二）_P36_5.3 暗号[].m4a</t>
  </si>
  <si>
    <t>[P1023]【说说】（二）_P37_5.4 心如刀割[].m4a</t>
  </si>
  <si>
    <t>[P1024]【说说】（二）_P38_5.4 小幸运[].m4a</t>
  </si>
  <si>
    <t>[P1025]【说说】（二）_P39_5.7 听见下雨的声音[].m4a</t>
  </si>
  <si>
    <t>[P1026]【说说】（二）_P40_5.7 氧气[].m4a</t>
  </si>
  <si>
    <t>[P1027]【说说】（二）_P41_5.7 红豆[].m4a</t>
  </si>
  <si>
    <t>[P1028]【说说】（二）_P42_5.9 无人知晓[].m4a</t>
  </si>
  <si>
    <t>[P1029]【说说】（二）_P43_5.11 大鱼[].m4a</t>
  </si>
  <si>
    <t>[P1030]【说说】（二）_P44_5.11 小精灵[].m4a</t>
  </si>
  <si>
    <t>[P1031]【说说】（二）_P45_5.11 一生等你[].m4a</t>
  </si>
  <si>
    <t>[P1032]【说说】（二）_P46_5.11 恰好[].m4a</t>
  </si>
  <si>
    <t>[P1033]【说说】（二）_P47_5.13 热爱105℃的你[].m4a</t>
  </si>
  <si>
    <t>热爱105℃的你</t>
  </si>
  <si>
    <t>[P1034]【说说】（二）_P48_5.13 爱我中华[].m4a</t>
  </si>
  <si>
    <t>[P1035]【说说】（二）_P49_5.13 暗号[].m4a</t>
  </si>
  <si>
    <t>[P1036]【说说】（二）_P50_5.13 牡丹亭畔[].m4a</t>
  </si>
  <si>
    <t>[P1037]【说说】（二）_P51_5.13 彩虹[].m4a</t>
  </si>
  <si>
    <t>[P1038]【说说】（二）_P52_5.14 依然爱你[].m4a</t>
  </si>
  <si>
    <t>[P1039]【说说】（二）_P53_5.14 囚鸟[].m4a</t>
  </si>
  <si>
    <t>[P1040]【说说】（二）_P54_5.14 满月[].m4a</t>
  </si>
  <si>
    <t>[P1041]【说说】（二）_P55_5.14 起风了[].m4a</t>
  </si>
  <si>
    <t>[P1042]【说说】（二）_P56_5.14 三月雨[].m4a</t>
  </si>
  <si>
    <t>[P1043]【说说】（二）_P57_5.15 崇拜[].m4a</t>
  </si>
  <si>
    <t>[P1044]【说说】（二）_P58_5.17 栅栏间隙偷窥你[].m4a</t>
  </si>
  <si>
    <t>[P1045]【说说】（二）_P59_5.17 知足[].m4a</t>
  </si>
  <si>
    <t>[P1046]【说说】（二）_P60_5.17 梁山伯与茱丽叶[].m4a</t>
  </si>
  <si>
    <t>[P1047]【说说】（二）_P61_5.17 园游会[].m4a</t>
  </si>
  <si>
    <t>[P1048]【说说】（二）_P62_5.17 暗号[].m4a</t>
  </si>
  <si>
    <t>[P1049]【说说】（二）_P63_5.17 画心[].m4a</t>
  </si>
  <si>
    <t>[P1050]【说说】（二）_P64_5.17 宝贝[].m4a</t>
  </si>
  <si>
    <t>[P1051]【说说】（二）_P65_5.18 九万字[].m4a</t>
  </si>
  <si>
    <t>[P1052]【说说】（二）_P66_5.18 时间有泪[].m4a</t>
  </si>
  <si>
    <t>[P1053]【说说】（二）_P67_5.18 红山果[].m4a</t>
  </si>
  <si>
    <t>[P1054]【说说】（二）_P68_5.18 想你的365天[].m4a</t>
  </si>
  <si>
    <t>[P1055]【说说】（二）_P69_5.18 自己[].m4a</t>
  </si>
  <si>
    <t>[P1056]【说说】（二）_P70_5.18 一剪梅[].m4a</t>
  </si>
  <si>
    <t>[P1057]【说说】（二）_P71_5.18 我的悲伤是水做的[].m4a</t>
  </si>
  <si>
    <t>[P1058]【说说】（二）_P72_5.20 你的微笑[].m4a</t>
  </si>
  <si>
    <t>[P1059]【说说】（二）_P73_5.20 你不知道的事[].m4a</t>
  </si>
  <si>
    <t>[P1060]【说说】（二）_P74_5.20 花一开就相爱吧[].m4a</t>
  </si>
  <si>
    <t>[P1061]【说说】（二）_P75_5.20 告白气球[].m4a</t>
  </si>
  <si>
    <t>[P1062]【说说】（二）_P76_5.20 o mio ben（我亲爱的）×2[].m4a</t>
  </si>
  <si>
    <t>我亲爱的 - T. Giordani: Caro mio ben</t>
  </si>
  <si>
    <t>[P1063]【说说】（二）_P77_5.20 Se u m'mi（假如你爱我）[].m4a</t>
  </si>
  <si>
    <t>Se u m'mi</t>
  </si>
  <si>
    <t>[P1064]【说说】（二）_P78_5.20 花非花[].m4a</t>
  </si>
  <si>
    <t>[P1065]【说说】（二）_P79_5.20 路过人间[].m4a</t>
  </si>
  <si>
    <t>[P1066]【说说】（二）_P80_5.20 漂洋过海来看你[].m4a</t>
  </si>
  <si>
    <t>[P1067]【说说】（二）_P81_5.20 一路上有你[].m4a</t>
  </si>
  <si>
    <t>[P1068]【说说】（二）_P82_5.20 被风吹过的夏天[].m4a</t>
  </si>
  <si>
    <t>[P1069]【说说】（二）_P83_5.24 晴天[].m4a</t>
  </si>
  <si>
    <t>[P1070]【说说】（二）_P84_5.24 红玫瑰[].m4a</t>
  </si>
  <si>
    <t>[P1071]【说说】（二）_P85_5.24 下雨天[].m4a</t>
  </si>
  <si>
    <t>[P1072]【说说】（二）_P86_5.24 落叶归根[].m4a</t>
  </si>
  <si>
    <t>[P1073]【说说】（二）_P87_5.25 第一次爱的人[].m4a</t>
  </si>
  <si>
    <t>[P1074]【说说】（二）_P88_5.25 黄昏晓[].m4a</t>
  </si>
  <si>
    <t>[P1075]【说说】（二）_P89_5.25 那年夏天宁静的海[].m4a</t>
  </si>
  <si>
    <t>[P1076]【说说】（二）_P90_5.25 睫毛弯弯[].m4a</t>
  </si>
  <si>
    <t>[P1077]【说说】（二）_P91_5.25 大眠[].m4a</t>
  </si>
  <si>
    <t>[P1078]【说说】（二）_P92_5.25 花的嫁纱[].m4a</t>
  </si>
  <si>
    <t>[P1079]【说说】（二）_P93_5.25 彩虹的微笑[].m4a</t>
  </si>
  <si>
    <t>[P1080]【说说】（二）_P94_5.27 美人鱼[].m4a</t>
  </si>
  <si>
    <t>[P1081]【说说】（二）_P95_5.28 一笑倾城[].m4a</t>
  </si>
  <si>
    <t>[P1082]【说说】（二）_P96_5.28 大眠[].m4a</t>
  </si>
  <si>
    <t>[P1083]【说说】（二）_P97_5.28 有点甜[].m4a</t>
  </si>
  <si>
    <t>[P1084]【说说】（二）_P98_5.28 期待你的爱[].m4a</t>
  </si>
  <si>
    <t>期待你的爱</t>
  </si>
  <si>
    <t>[P1085]【说说】（二）_P99_5.28 爱笑的眼睛[].m4a</t>
  </si>
  <si>
    <t>[P1086]【说说】（二）_P100_5.28 我们的爱[].m4a</t>
  </si>
  <si>
    <t>[P1087]【说说】（二）_P101_5.29 罗敷[].m4a</t>
  </si>
  <si>
    <t>[P1088]【说说】（二）_P102_6.1 外婆的澎湖湾[].m4a</t>
  </si>
  <si>
    <t>[P1089]【说说】（二）_P103_6.1 让我们荡起双桨[].m4a</t>
  </si>
  <si>
    <t>[P1090]【说说】（二）_P104_6.1 蜗牛与黄鹂鸟[].m4a</t>
  </si>
  <si>
    <t>[P1091]【说说】（二）_P105_6.1 睫毛弯弯[].m4a</t>
  </si>
  <si>
    <t>[P1092]【说说】（二）_P106_6.1 龙卷风[].m4a</t>
  </si>
  <si>
    <t>[P1093]【说说】（二）_P107_6.1 泡沫（+1ke）[].m4a</t>
  </si>
  <si>
    <t>[P1094]【说说】（二）_P108_6.2 霞光[].m4a</t>
  </si>
  <si>
    <t>[P1095]【说说】（二）_P109_6.2 送别[].m4a</t>
  </si>
  <si>
    <t>[P1096]【说说】（二）_P110_6.4 康定情歌[].m4a</t>
  </si>
  <si>
    <t>[P1097]【说说】（二）_P111_6.4 呼吸决定[].m4a</t>
  </si>
  <si>
    <t>[P1098]【说说】（二）_P112_6.4 玲珑流转[].m4a</t>
  </si>
  <si>
    <t>[P1099]【说说】（二）_P113_6.7 爱你[].m4a</t>
  </si>
  <si>
    <t>[P1100]【说说】（二）_P114_6.8 知否知否[].m4a</t>
  </si>
  <si>
    <t>[P1101]【说说】（二）_P115_6.8 敕勒歌[].m4a</t>
  </si>
  <si>
    <t>[P1102]【说说】（二）_P116_6.8 我很忙[].m4a</t>
  </si>
  <si>
    <t>[P1103]【说说】（二）_P117_6.8 不忘初心[].m4a</t>
  </si>
  <si>
    <t>不忘初心</t>
  </si>
  <si>
    <t>[P1104]【说说】（二）_P118_6.8 忘记拥抱[].m4a</t>
  </si>
  <si>
    <t>[P1105]【说说】（二）_P119_6.8 如果你也听说[].m4a</t>
  </si>
  <si>
    <t>[P1106]【说说】（二）_P120_6.8 剪爱[].m4a</t>
  </si>
  <si>
    <t>[P1107]【说说】（二）_P121_6.8 不能说的秘密[].m4a</t>
  </si>
  <si>
    <t>[P1108]【说说】（二）_P122_6.10 一直很安静[].m4a</t>
  </si>
  <si>
    <t>[P1109]【说说】（二）_P123_6.10 一眼万年[].m4a</t>
  </si>
  <si>
    <t>[P1110]【说说】（二）_P124_6.10 年轮[].m4a</t>
  </si>
  <si>
    <t>[P1111]【说说】（二）_P125_6.10 杀破狼[].m4a</t>
  </si>
  <si>
    <t>[P1112]【说说】（二）_P126_6.10 忘记时间[].m4a</t>
  </si>
  <si>
    <t>[P1113]【说说】（二）_P127_6.10 偏爱[].m4a</t>
  </si>
  <si>
    <t>[P1114]【说说】（二）_P128_6.10 凉凉[].m4a</t>
  </si>
  <si>
    <t>[P1115]【说说】（二）_P129_6.10 醉了千古爱[].m4a</t>
  </si>
  <si>
    <t>[P1116]【说说】（二）_P130_6.10 此生不换[].m4a</t>
  </si>
  <si>
    <t>[P1117]【说说】（二）_P131_6.10 天下有情人[].m4a</t>
  </si>
  <si>
    <t>[P1118]【说说】（二）_P132_6.10 Soie[].m4a</t>
  </si>
  <si>
    <t>Soie</t>
  </si>
  <si>
    <t>[P1119]【说说】（二）_P133_6.10 欢颜[].m4a</t>
  </si>
  <si>
    <t>[P1120]【说说】（二）_P134_6.11 宁夏[].m4a</t>
  </si>
  <si>
    <t>[P1121]【说说】（二）_P135_6.11 勇气[].m4a</t>
  </si>
  <si>
    <t>[P1122]【说说】（二）_P136_6.11 暖暖[].m4a</t>
  </si>
  <si>
    <t>[P1123]【说说】（二）_P137_6.11 会呼吸的痛[].m4a</t>
  </si>
  <si>
    <t>[P1124]【说说】（二）_P138_6.11 可惜不是你[].m4a</t>
  </si>
  <si>
    <t>[P1125]【说说】（二）_P139_6.11 小手拉大手[].m4a</t>
  </si>
  <si>
    <t>[P1126]【说说】（二）_P140_6.11 这世界那么多人[].m4a</t>
  </si>
  <si>
    <t>[P1127]【说说】（二）_P141_6.12 情深深雨蒙蒙[].m4a</t>
  </si>
  <si>
    <t>[P1128]【说说】（二）_P142_6.17 从前的月光[].m4a</t>
  </si>
  <si>
    <t>[P1129]【说说】（二）_P143_6.18 最后一页[].m4a</t>
  </si>
  <si>
    <t>[P1130]【说说】（二）_P144_6.18 是否[].m4a</t>
  </si>
  <si>
    <t>是否</t>
  </si>
  <si>
    <t>[P1131]【说说】（二）_P145_6.18 关键词[].m4a</t>
  </si>
  <si>
    <t>[P1132]【说说】（二）_P146_6.18 一样的月光[].m4a</t>
  </si>
  <si>
    <t>[P1133]【说说】（二）_P147_6.18 言不由衷[].m4a</t>
  </si>
  <si>
    <t>[P1134]【说说】（二）_P148_6.20 秋意浓[].m4a</t>
  </si>
  <si>
    <t>[P1135]【说说】（二）_P149_6.20 再遇见[].m4a</t>
  </si>
  <si>
    <t>[P1136]【说说】（二）_P150_6.22 蒲公英的约定[].m4a</t>
  </si>
  <si>
    <t>[P1137]【说说】（二）_P151_6.22 等你下课[].m4a</t>
  </si>
  <si>
    <t>[P1138]【说说】（二）_P152_6.22 如愿[].m4a</t>
  </si>
  <si>
    <t>[P1139]【说说】（二）_P153_6.22 匆匆那年[].m4a</t>
  </si>
  <si>
    <t>[P1140]【说说】（二）_P154_6.22 我们的明天[].m4a</t>
  </si>
  <si>
    <t>[P1141]【说说】（二）_P155_6.22 岁月神偷[].m4a</t>
  </si>
  <si>
    <t>[P1142]【说说】（二）_P156_6.22 纪念[].m4a</t>
  </si>
  <si>
    <t>[P1143]【说说】（二）_P157_6.22 后来[].m4a</t>
  </si>
  <si>
    <t>[P1144]【说说】（二）_P158_6.22 你一定要幸福[].m4a</t>
  </si>
  <si>
    <t>[P1145]【说说】（二）_P159_6.22 昨日青空[].m4a</t>
  </si>
  <si>
    <t>[P1146]【说说】（二）_P160_6.22 一千年以后[].m4a</t>
  </si>
  <si>
    <t>[P1147]【说说】（二）_P161_6.22 修炼爱情[].m4a</t>
  </si>
  <si>
    <t>[P1148]【说说】（二）_P162_6.22 背对背拥抱[].m4a</t>
  </si>
  <si>
    <t>[P1149]【说说】（二）_P163_6.24 一吻之间[].m4a</t>
  </si>
  <si>
    <t>[P1150]【说说】（二）_P164_6.24 只要平凡[].m4a</t>
  </si>
  <si>
    <t>[P1151]【说说】（二）_P165_6.24 小城谣[].m4a</t>
  </si>
  <si>
    <t>[P1152]【说说】（二）_P166_6.24 勾指起誓[].m4a</t>
  </si>
  <si>
    <t>[P1153]【说说】（二）_P167_6.24 夏天的风[].m4a</t>
  </si>
  <si>
    <t>[P1154]【说说】（二）_P168_6.24 江南[].m4a</t>
  </si>
  <si>
    <t>[P1155]【说说】（二）_P169_6.24 一荤一素[].m4a</t>
  </si>
  <si>
    <t>[P1156]【说说】（二）_P170_6.25 入画江南[].m4a</t>
  </si>
  <si>
    <t>[P1157]【说说】（二）_P171_6.28 知足 (清唱)[].m4a</t>
  </si>
  <si>
    <t xml:space="preserve">知足 </t>
  </si>
  <si>
    <t>[P1158]【说说】（二）_P172_6.28 陪我歌唱 (清唱)[].m4a</t>
  </si>
  <si>
    <t>[P1159]【说说】（四）_P1_10.1 我的祖国[].m4a</t>
  </si>
  <si>
    <t>BV1ie4y1B7SZ</t>
  </si>
  <si>
    <t>[P1160]【说说】（四）_P2_10.1 我和我的祖国[].m4a</t>
  </si>
  <si>
    <t>[P1161]【说说】（四）_P3_10.1 大地飞歌[].m4a</t>
  </si>
  <si>
    <t>[P1162]【说说】（四）_P4_10.1 兰亭序[].m4a</t>
  </si>
  <si>
    <t>[P1163]【说说】（四）_P5_10.1 快乐手帐[].m4a</t>
  </si>
  <si>
    <t>[P1164]【说说】（四）_P6_10.1 秋水长天[].m4a</t>
  </si>
  <si>
    <t>[P1165]【说说】（四）_P7_10.1 茉莉花[].m4a</t>
  </si>
  <si>
    <t>[P1166]【说说】（四）_P8_10.1 枉凝眉[].m4a</t>
  </si>
  <si>
    <t>[P1167]【说说】（四）_P9_10.1 如愿[].m4a</t>
  </si>
  <si>
    <t>[P1168]【说说】（四）_P10_10.1 映山红[].m4a</t>
  </si>
  <si>
    <t>[P1169]【说说】（四）_P11_10.1 Rubi[].m4a</t>
  </si>
  <si>
    <t>[P1170]【说说】（四）_P12_10.1 今天是你的生日[].m4a</t>
  </si>
  <si>
    <t>今天是你的生日</t>
  </si>
  <si>
    <t>[P1171]【说说】（四）_P13_10.1 春天的芭蕾[].m4a</t>
  </si>
  <si>
    <t>[P1172]【说说】（四）_P14_10.1 难忘今宵[].m4a</t>
  </si>
  <si>
    <t>[P1173]【说说】（四）_P15_10.2 黄昏晓[].m4a</t>
  </si>
  <si>
    <t>[P1174]【说说】（四）_P16_10.2 那年夏天宁静的海[].m4a</t>
  </si>
  <si>
    <t>[P1175]【说说】（四）_P17_10.3 菊花台（高八度）[].m4a</t>
  </si>
  <si>
    <t>[P1176]【说说】（四）_P18_10.3 默[].m4a</t>
  </si>
  <si>
    <t>[P1177]【说说】（四）_P19_10.3 路过人间[].m4a</t>
  </si>
  <si>
    <t>[P1178]【说说】（四）_P20_10.3 If ou[].m4a</t>
  </si>
  <si>
    <t>If ou</t>
  </si>
  <si>
    <t>[P1179]【说说】（四）_P21_10.3 呼吸决定[].m4a</t>
  </si>
  <si>
    <t>[P1180]【说说】（四）_P22_10.4 搁浅[].m4a</t>
  </si>
  <si>
    <t>[P1181]【说说】（四）_P23_10.4 最长的电影[].m4a</t>
  </si>
  <si>
    <t>[P1182]【说说】（四）_P24_10.4 枫[].m4a</t>
  </si>
  <si>
    <t>[P1183]【说说】（四）_P25_10.4 下雨天[].m4a</t>
  </si>
  <si>
    <t>[P1184]【说说】（四）_P26_10.5 彩虹[].m4a</t>
  </si>
  <si>
    <t>[P1185]【说说】（四）_P27_10.7 虫儿飞[].m4a</t>
  </si>
  <si>
    <t>[P1186]【说说】（四）_P28_10.7 迷迭香[].m4a</t>
  </si>
  <si>
    <t>[P1187]【说说】（四）_P29_10.7 小时候[].m4a</t>
  </si>
  <si>
    <t>[P1188]【说说】（四）_P30_10.7 记得[].m4a</t>
  </si>
  <si>
    <t>[P1189]【说说】（四）_P31_10.11 勇气[].m4a</t>
  </si>
  <si>
    <t>[P1190]【说说】（四）_P32_10.11 雪落下的声音[].m4a</t>
  </si>
  <si>
    <t>[P1191]【说说】（四）_P33_10.11 给我一个理由忘记[].m4a</t>
  </si>
  <si>
    <t>[P1192]【说说】（四）_P34_10.11 真实[].m4a</t>
  </si>
  <si>
    <t>[P1193]【说说】（四）_P35_10.11 我好想你[].m4a</t>
  </si>
  <si>
    <t>[P1194]【说说】（四）_P36_10.11 你[].m4a</t>
  </si>
  <si>
    <t>[P1195]【说说】（四）_P37_10.13 台风[].m4a</t>
  </si>
  <si>
    <t>[P1196]【说说】（四）_P38_10.13 九万字[].m4a</t>
  </si>
  <si>
    <t>[P1197]【说说】（四）_P39_10.13 蓝眼睛[].m4a</t>
  </si>
  <si>
    <t>[P1198]【说说】（四）_P40_10.13 阿刁[].m4a</t>
  </si>
  <si>
    <t>[P1199]【说说】（四）_P41_10.13 梦里花[].m4a</t>
  </si>
  <si>
    <t>[P1200]【说说】（四）_P42_10.13 昨日青空[].m4a</t>
  </si>
  <si>
    <t>[P1201]【说说】（四）_P43_10.13 身骑白马[].m4a</t>
  </si>
  <si>
    <t>[P1202]【说说】（四）_P44_10.14 迷迭香（VMV音乐榜）[].m4a</t>
  </si>
  <si>
    <t>[P1203]【说说】（四）_P45_10.15 一生等你[].m4a</t>
  </si>
  <si>
    <t>[P1204]【说说】（四）_P46_10.15 如果有来生[].m4a</t>
  </si>
  <si>
    <t>[P1205]【说说】（四）_P47_10.15 你不知道的事[].m4a</t>
  </si>
  <si>
    <t>[P1206]【说说】（四）_P48_10.15 易燃易爆炸[].m4a</t>
  </si>
  <si>
    <t>[P1207]【说说】（四）_P49_10.15 依然爱你[].m4a</t>
  </si>
  <si>
    <t>[P1208]【说说】（四）_P50_10.15 星辰大海[].m4a</t>
  </si>
  <si>
    <t>[P1209]【说说】（四）_P51_10.15 左手指月[].m4a</t>
  </si>
  <si>
    <t>[P1210]【说说】（四）_P52_10.15 桃花笑[].m4a</t>
  </si>
  <si>
    <t>[P1211]【说说】（四）_P53_10.15 小小[].m4a</t>
  </si>
  <si>
    <t>[P1212]【说说】（四）_P54_10.15 康美之恋[].m4a</t>
  </si>
  <si>
    <t>[P1213]【说说】（四）_P55_10.15 天下无双[].m4a</t>
  </si>
  <si>
    <t>[P1214]【说说】（四）_P56_10.18 断了的弦[].m4a</t>
  </si>
  <si>
    <t>[P1215]【说说】（四）_P57_10.21 一生等你[].m4a</t>
  </si>
  <si>
    <t>[P1216]【说说】（四）_P58_10.21 说散就散[].m4a</t>
  </si>
  <si>
    <t>[P1217]【说说】（四）_P59_10.21 大眠[].m4a</t>
  </si>
  <si>
    <t>[P1218]【说说】（四）_P60_10.21 枫[].m4a</t>
  </si>
  <si>
    <t>[P1219]【说说】（四）_P61_10.21 不问天[].m4a</t>
  </si>
  <si>
    <t>[P1220]【说说】（四）_P62_10.21 龙卷风[].m4a</t>
  </si>
  <si>
    <t>[P1221]【说说】（四）_P63_10.21 繁华唱遍[].m4a</t>
  </si>
  <si>
    <t>[P1222]【说说】（四）_P64_10.21 我很忙[].m4a</t>
  </si>
  <si>
    <t>[P1223]【说说】（四）_P65_10.21 煎熬（跟唱）[].m4a</t>
  </si>
  <si>
    <t>[P1224]【说说】（四）_P66_10.21 红颜如霜[].m4a</t>
  </si>
  <si>
    <t>[P1225]【说说】（四）_P67_10.22 给我一个理由忘记[].m4a</t>
  </si>
  <si>
    <t>[P1226]【说说】（四）_P68_10.22 如此[].m4a</t>
  </si>
  <si>
    <t>[P1227]【说说】（四）_P69_10.22 好久不见[].m4a</t>
  </si>
  <si>
    <t>[P1228]【说说】（四）_P70_10.22 红玫瑰[].m4a</t>
  </si>
  <si>
    <t>[P1229]【说说】（四）_P71_10.22 海底[].m4a</t>
  </si>
  <si>
    <t>[P1230]【说说】（四）_P72_10.22 我们的爱[].m4a</t>
  </si>
  <si>
    <t>[P1231]【说说】（四）_P73_10.22 刻在我心底的名字[].m4a</t>
  </si>
  <si>
    <t>[P1232]【说说】（四）_P74_10.22 在树上唱歌[].m4a</t>
  </si>
  <si>
    <t>[P1233]【说说】（四）_P75_10.22 春天在哪里[].m4a</t>
  </si>
  <si>
    <t>[P1234]【说说】（四）_P76_10.24 你啊你啊[].m4a</t>
  </si>
  <si>
    <t>[P1235]【说说】（四）_P77_10.24 听见下雨的声音[].m4a</t>
  </si>
  <si>
    <t>[P1236]【说说】（四）_P78_10.24 将故事写成我们[].m4a</t>
  </si>
  <si>
    <t>[P1237]【说说】（四）_P79_10.24 美人鱼[].m4a</t>
  </si>
  <si>
    <t>[P1238]【说说】（四）_P80_10.24 关键词[].m4a</t>
  </si>
  <si>
    <t>[P1239]【说说】（四）_P81_10.24 从前慢[].m4a</t>
  </si>
  <si>
    <t>[P1240]【说说】（四）_P82_10.24 寻一个天荒地老的地方[].m4a</t>
  </si>
  <si>
    <t>[P1241]【说说】（四）_P83_10.24 路过人间[].m4a</t>
  </si>
  <si>
    <t>[P1242]【说说】（四）_P84_10.24 暗号[].m4a</t>
  </si>
  <si>
    <t>[P1243]【说说】（四）_P85_10.24 宝贝宝贝[].m4a</t>
  </si>
  <si>
    <t>宝贝宝贝</t>
  </si>
  <si>
    <t>[P1244]【说说】（四）_P86_10.29 飘雪[].m4a</t>
  </si>
  <si>
    <t>[P1245]【说说】（四）_P87_10.29 最初的梦想（前半部分）[].m4a</t>
  </si>
  <si>
    <t>[P1246]【说说】（四）_P88_10.29 天若有情[].m4a</t>
  </si>
  <si>
    <t>[P1247]【说说】（四）_P89_10.30 青花瓷[].m4a</t>
  </si>
  <si>
    <t>[P1248]【说说】（四）_P90_10.30 发如雪[].m4a</t>
  </si>
  <si>
    <t>[P1249]【说说】（四）_P91_10.30 迷迭香[].m4a</t>
  </si>
  <si>
    <t>[P1250]【说说】（四）_P92_10.30 未闻花名[].m4a</t>
  </si>
  <si>
    <t>[P1251]【说说】（四）_P93_10.30 知足[].m4a</t>
  </si>
  <si>
    <t>[P1252]【说说】（四）_P94_10.30 让我们荡起双桨[].m4a</t>
  </si>
  <si>
    <t>[P1253]【说说】（四）_P95_10.30 外婆的澎湖湾[].m4a</t>
  </si>
  <si>
    <t>[P1254]【说说】（四）_P96_10.30 如果云知道[].m4a</t>
  </si>
  <si>
    <t>[P1255]【说说】（四）_P97_11.2 心形圈[].m4a</t>
  </si>
  <si>
    <t>[P1256]【说说】（四）_P98_11.2 快乐手帐[].m4a</t>
  </si>
  <si>
    <t>[P1257]【说说】（四）_P99_11.2 园游会[].m4a</t>
  </si>
  <si>
    <t>[P1258]【说说】（四）_P100_11.2 如果有来生[].m4a</t>
  </si>
  <si>
    <t>[P1259]【说说】（四）_P101_11.4 这世界那么多人[].m4a</t>
  </si>
  <si>
    <t>[P1260]【说说】（四）_P102_11.4 若把你[].m4a</t>
  </si>
  <si>
    <t>[P1261]【说说】（四）_P103_11.4 如果没有你[].m4a</t>
  </si>
  <si>
    <t>[P1262]【说说】（四）_P104_11.4 泡沫[].m4a</t>
  </si>
  <si>
    <t>[P1263]【说说】（四）_P105_11.4 是否[].m4a</t>
  </si>
  <si>
    <t>[P1264]【说说】（四）_P106_11.4 飞云之下[].m4a</t>
  </si>
  <si>
    <t>[P1265]【说说】（四）_P107_11.4 青藏高原[].m4a</t>
  </si>
  <si>
    <t>[P1266]【说说】（四）_P108_11.4 天路[].m4a</t>
  </si>
  <si>
    <t>[P1267]【说说】（四）_P109_11.4 大鱼[].m4a</t>
  </si>
  <si>
    <t>[P1268]【说说】（四）_P110_11.4 呼吸决定[].m4a</t>
  </si>
  <si>
    <t>[P1269]【说说】（四）_P111_11.4 愿望[].m4a</t>
  </si>
  <si>
    <t>[P1270]【说说】（四）_P112_11.4 有一种悲伤[].m4a</t>
  </si>
  <si>
    <t>[P1271]【说说】（四）_P113_11.4 发如雪[].m4a</t>
  </si>
  <si>
    <t>[P1272]【说说】（四）_P114_11.4 断了的弦[].m4a</t>
  </si>
  <si>
    <t>[P1273]【说说】（四）_P115_11.4 致你[].m4a</t>
  </si>
  <si>
    <t>[P1274]【说说】（四）_P116_11.8 你要的爱[].m4a</t>
  </si>
  <si>
    <t>[P1275]【说说】（四）_P117_11.8 敕勒歌[].m4a</t>
  </si>
  <si>
    <t>[P1276]【说说】（四）_P118_11.8 爱你[].m4a</t>
  </si>
  <si>
    <t>[P1277]【说说】（四）_P119_11.8 Ring ing ing[].m4a</t>
  </si>
  <si>
    <t>[P1278]【说说】（四）_P120_11.8 东方茱丽叶[].m4a</t>
  </si>
  <si>
    <t>东方茱丽叶</t>
  </si>
  <si>
    <t>[P1279]【说说】（四）_P121_11.8 如愿[].m4a</t>
  </si>
  <si>
    <t>[P1280]【说说】（四）_P122_11.15 星河叹[].m4a</t>
  </si>
  <si>
    <t>[P1281]【说说】（四）_P123_11.15 若把你[].m4a</t>
  </si>
  <si>
    <t>[P1282]【说说】（四）_P124_11.15 彩云之南[].m4a</t>
  </si>
  <si>
    <t>[P1283]【说说】（四）_P125_11.15 爱情废柴[].m4a</t>
  </si>
  <si>
    <t>[P1284]【说说】（四）_P126_11.15 风月[].m4a</t>
  </si>
  <si>
    <t>[P1285]【说说】（四）_P127_11.16 泼墨漓江[].m4a</t>
  </si>
  <si>
    <t>[P1286]【说说】（四）_P128_11.16 轨迹[].m4a</t>
  </si>
  <si>
    <t>[P1287]【说说】（四）_P129_11.16 真实[].m4a</t>
  </si>
  <si>
    <t>[P1288]【说说】（四）_P130_11.16 春天的芭蕾[].m4a</t>
  </si>
  <si>
    <t>[P1289]【说说】（四）_P131_11.18 晴天[].m4a</t>
  </si>
  <si>
    <t>[P1290]【说说】（四）_P132_11.18 星河叹[].m4a</t>
  </si>
  <si>
    <t>[P1291]【说说】（四）_P133_11.18 氧气[].m4a</t>
  </si>
  <si>
    <t>[P1292]【说说】（四）_P134_11.18 泼墨漓江[].m4a</t>
  </si>
  <si>
    <t>[P1293]【说说】（四）_P135_11.18 布虎记[].m4a</t>
  </si>
  <si>
    <t>[P1294]【说说】（四）_P136_11.18 没有意外[].m4a</t>
  </si>
  <si>
    <t>[P1295]【说说】（四）_P137_11.18 下一秒[].m4a</t>
  </si>
  <si>
    <t>[P1296]【说说】（四）_P138_11.18 海水正蓝[].m4a</t>
  </si>
  <si>
    <t>[P1297]【说说】（四）_P139_11.18 关雎[].m4a</t>
  </si>
  <si>
    <t>[P1298]【说说】（四）_P140_11.18 雨爱[].m4a</t>
  </si>
  <si>
    <t>[P1299]【说说】（四）_P141_11.21 等你下课[].m4a</t>
  </si>
  <si>
    <t>[P1300]【说说】（四）_P142_11.23 永不失联的爱+消失的爱人[].m4a</t>
  </si>
  <si>
    <t>永不失联的爱+消失的爱人</t>
  </si>
  <si>
    <t>[P1301]【说说】（四）_P143_11.25 idonwnnbeounmoe[].m4a</t>
  </si>
  <si>
    <t>idonwnnbeounmoe</t>
  </si>
  <si>
    <t>[P1302]【说说】（四）_P144_11.25 F me o he moon[].m4a</t>
  </si>
  <si>
    <t>F me o he moon</t>
  </si>
  <si>
    <t>[P1303]【说说】（四）_P145_11.25 如果云知道（夜光杯第一场 特邀评委演唱）[].m4a</t>
  </si>
  <si>
    <t>[P1304]【说说】（四）_P146_11.26 红颜如霜[].m4a</t>
  </si>
  <si>
    <t>[P1305]【说说】（四）_P147_11.29 星河叹[].m4a</t>
  </si>
  <si>
    <t>[P1306]【说说】（四）_P148_11.30 相思[].m4a</t>
  </si>
  <si>
    <t>[P1307]【说说】（四）_P149_11.30 我只在乎你[].m4a</t>
  </si>
  <si>
    <t>[P1308]【说说】（四）_P150_11.30 独上西楼[].m4a</t>
  </si>
  <si>
    <t>[P1309]【说说】（四）_P151_11.30 蝶恋花[].m4a</t>
  </si>
  <si>
    <t>[P1310]【说说】（四）_P152_11.30 望月[].m4a</t>
  </si>
  <si>
    <t>[P1311]【说说】（四）_P153_11.30 烛光里的妈妈[].m4a</t>
  </si>
  <si>
    <t>[P1312]【说说】（四）_P154_11.30 敕勒川[].m4a</t>
  </si>
  <si>
    <t>敕勒川</t>
  </si>
  <si>
    <t>[P1313]【说说】（四）_P155_11.30 天之大[].m4a</t>
  </si>
  <si>
    <t>[P1314]【说说】（四）_P156_12.3 快乐手账（10w粉纪念回）[].m4a</t>
  </si>
  <si>
    <t>[P1315]【说说】（四）_P157_12.3 致你[].m4a</t>
  </si>
  <si>
    <t>[P1316]【说说】（四）_P158_12.3 牡丹亭畔[].m4a</t>
  </si>
  <si>
    <t>[P1317]【说说】（四）_P159_12.3 最长的电影[].m4a</t>
  </si>
  <si>
    <t>[P1318]【说说】（四）_P160_12.3 胡桃夹子[].m4a</t>
  </si>
  <si>
    <t>[P1319]【说说】（四）_P161_12.3 勾指起誓[].m4a</t>
  </si>
  <si>
    <t>[P1320]【说说】（四）_P162_12.3 o mio ben（我亲爱的）[].m4a</t>
  </si>
  <si>
    <t>[P1321]【说说】（四）_P163_12.3 鸿雁[].m4a</t>
  </si>
  <si>
    <t>[P1322]【说说】（四）_P164_12.3 Inomo ''ido mio（围绕着我崇拜的人儿）[].m4a</t>
  </si>
  <si>
    <t>Inomo ''ido mio</t>
  </si>
  <si>
    <t>[P1323]【说说】（四）_P165_12.3 彩云之南[].m4a</t>
  </si>
  <si>
    <t>[P1324]【说说】（四）_P166_12.4 下雨的夜晚[].m4a</t>
  </si>
  <si>
    <t>[P1325]【说说】（四）_P167_12.7 园游会[].m4a</t>
  </si>
  <si>
    <t>[P1326]【说说】（四）_P168_12.7 跟着你到天边[].m4a</t>
  </si>
  <si>
    <t>[P1327]【说说】（四）_P169_12.7 最长的电影[].m4a</t>
  </si>
  <si>
    <t>[P1328]【说说】（四）_P170_12.7 菩萨蛮[].m4a</t>
  </si>
  <si>
    <t>[P1329]【说说】（四）_P171_12.7 红颜旧[].m4a</t>
  </si>
  <si>
    <t>[P1330]【说说】（四）_P172_12.7 一不小心爱上你[].m4a</t>
  </si>
  <si>
    <t>[P1331]【说说】（四）_P173_12.7 化身孤岛的鲸[].m4a</t>
  </si>
  <si>
    <t>[P1332]【说说】（四）_P174_12.10 轨迹[].m4a</t>
  </si>
  <si>
    <t>[P1333]【说说】（四）_P175_12.10 喂[].m4a</t>
  </si>
  <si>
    <t>[P1334]【说说】（四）_P176_12.10 胡桃夹子[].m4a</t>
  </si>
  <si>
    <t>[P1335]【说说】（四）_P177_12.10 雨樱花[].m4a</t>
  </si>
  <si>
    <t>[P1336]【说说】（四）_P178_12.10 月牙湾[].m4a</t>
  </si>
  <si>
    <t>[P1337]【说说】（四）_P179_12.10 美若黎明（第一遍）[].m4a</t>
  </si>
  <si>
    <t>[P1338]【说说】（四）_P180_12.10 美若黎明（第二遍）[].m4a</t>
  </si>
  <si>
    <t>[P1339]【说说】（四）_P181_12.10 紫[].m4a</t>
  </si>
  <si>
    <t>[P1340]【说说】（四）_P182_12.10 敕勒歌[].m4a</t>
  </si>
  <si>
    <t>[P1341]【说说】（四）_P183_12.10 乌兰巴托的夜[].m4a</t>
  </si>
  <si>
    <t>[P1342]【说说】（四）_P184_12.10 一样的月光[].m4a</t>
  </si>
  <si>
    <t>[P1343]【说说】（四）_P185_12.11 三人游[].m4a</t>
  </si>
  <si>
    <t>[P1344]【说说】（四）_P186_12.14 路过人间[].m4a</t>
  </si>
  <si>
    <t>[P1345]【说说】（四）_P187_12.14 野百合也有春天[].m4a</t>
  </si>
  <si>
    <t>[P1346]【说说】（四）_P188_12.14 发如雪[].m4a</t>
  </si>
  <si>
    <t>[P1347]【说说】（四）_P189_12.14 如此[].m4a</t>
  </si>
  <si>
    <t>[P1348]【说说】（四）_P190_12.14 失落沙洲[].m4a</t>
  </si>
  <si>
    <t>[P1349]【说说】（四）_P191_12.14 七里香[].m4a</t>
  </si>
  <si>
    <t>七里香-原key</t>
  </si>
  <si>
    <t>[P1350]【说说】（四）_P192_12.14 Foeve Young[].m4a</t>
  </si>
  <si>
    <t>[P1351]【说说】（四）_P193_12.14 又见炊烟[].m4a</t>
  </si>
  <si>
    <t>[P1352]【说说】（四）_P194_12.14 春天的芭蕾[].m4a</t>
  </si>
  <si>
    <t>[P1353]【说说】（四）_P195_12.14 慢慢喜欢你[].m4a</t>
  </si>
  <si>
    <t>[P1354]【说说】（四）_P196_12.14 星晴[].m4a</t>
  </si>
  <si>
    <t>[P1355]【说说】（三）_P1_7.1 流年如歌 (3D生日会 新衣变装)[].m4a</t>
  </si>
  <si>
    <t xml:space="preserve">流年如歌 </t>
  </si>
  <si>
    <t>BV1ta411X75v</t>
  </si>
  <si>
    <t>[P1356]【说说】（三）_P2_7.1 园游会[].m4a</t>
  </si>
  <si>
    <t>[P1357]【说说】（三）_P3_7.1 暗号[].m4a</t>
  </si>
  <si>
    <t>[P1358]【说说】（三）_P4_7.1 昨日青空[].m4a</t>
  </si>
  <si>
    <t>[P1359]【说说】（三）_P5_7.6 牡丹亭畔 （合奏演唱）[].m4a</t>
  </si>
  <si>
    <t>[P1360]【说说】（三）_P6_7.6 身骑白马[].m4a</t>
  </si>
  <si>
    <t>[P1361]【说说】（三）_P7_7.6 芦花[].m4a</t>
  </si>
  <si>
    <t>[P1362]【说说】（三）_P8_7.6 如愿 （合奏演唱）[].m4a</t>
  </si>
  <si>
    <t xml:space="preserve">如愿 </t>
  </si>
  <si>
    <t>[P1363]【说说】（三）_P9_7.6 起风了[].m4a</t>
  </si>
  <si>
    <t>[P1364]【说说】（三）_P10_7.6 烟花易冷 （合奏演唱）[].m4a</t>
  </si>
  <si>
    <t xml:space="preserve">烟花易冷 </t>
  </si>
  <si>
    <t>[P1365]【说说】（三）_P11_7.9 告白气球[].m4a</t>
  </si>
  <si>
    <t>[P1366]【说说】（三）_P12_7.9 花非花[].m4a</t>
  </si>
  <si>
    <t>[P1367]【说说】（三）_P13_7.9 布虎记[].m4a</t>
  </si>
  <si>
    <t>[P1368]【说说】（三）_P14_7.9 致你[].m4a</t>
  </si>
  <si>
    <t>[P1369]【说说】（三）_P15_7.9 蝴蝶泉边[].m4a</t>
  </si>
  <si>
    <t>[P1370]【说说】（三）_P16_7.9 灯火里的中国[].m4a</t>
  </si>
  <si>
    <t>[P1371]【说说】（三）_P17_7.11 妥协[].m4a</t>
  </si>
  <si>
    <t>[P1372]【说说】（三）_P18_7.11 日不落[].m4a</t>
  </si>
  <si>
    <t>[P1373]【说说】（三）_P19_7.11 不能说的秘密[].m4a</t>
  </si>
  <si>
    <t>[P1374]【说说】（三）_P20_7.11 时间有泪[].m4a</t>
  </si>
  <si>
    <t>[P1375]【说说】（三）_P21_7.13 但愿人长久[].m4a</t>
  </si>
  <si>
    <t>[P1376]【说说】（三）_P22_7.13 化身孤岛的鲸[].m4a</t>
  </si>
  <si>
    <t>[P1377]【说说】（三）_P23_7.15 听见下雨的声音[].m4a</t>
  </si>
  <si>
    <t>[P1378]【说说】（三）_P24_7.15 哪里都是你[].m4a</t>
  </si>
  <si>
    <t>[P1379]【说说】（三）_P25_7.17 给电影人的情书[].m4a</t>
  </si>
  <si>
    <t>[P1380]【说说】（三）_P26_7.17 Foeve oung[].m4a</t>
  </si>
  <si>
    <t>[P1381]【说说】（三）_P27_7.17 红颜如霜[].m4a</t>
  </si>
  <si>
    <t>[P1382]【说说】（三）_P28_7.17 Inomo 'ido mio 围绕着我崇拜的人儿[].m4a</t>
  </si>
  <si>
    <t>Inomo 'ido mio 围绕着我崇拜的人儿</t>
  </si>
  <si>
    <t>[P1383]【说说】（三）_P29_7.17 Inomo 'ido mio 围绕着我崇拜的人儿（第二遍）[].m4a</t>
  </si>
  <si>
    <t>[P1384]【说说】（三）_P30_7.17 茉莉花[].m4a</t>
  </si>
  <si>
    <t>[P1385]【说说】（三）_P31_7.17 茉莉花（第二遍，混响调大）[].m4a</t>
  </si>
  <si>
    <t>[P1386]【说说】（三）_P32_7.17 浏阳河[].m4a</t>
  </si>
  <si>
    <t>[P1387]【说说】（三）_P33_7.17 九儿[].m4a</t>
  </si>
  <si>
    <t>[P1388]【说说】（三）_P34_7.17 风吹麦浪[].m4a</t>
  </si>
  <si>
    <t>[P1389]【说说】（三）_P35_7.17 抛物线[].m4a</t>
  </si>
  <si>
    <t>[P1390]【说说】（三）_P36_7.20 永不失联的爱[].m4a</t>
  </si>
  <si>
    <t>[P1391]【说说】（三）_P37_7.20 繁华唱遍[].m4a</t>
  </si>
  <si>
    <t>[P1392]【说说】（三）_P38_7.20 需要人陪 （咱就是说，别笑）[].m4a</t>
  </si>
  <si>
    <t xml:space="preserve">需要人陪 </t>
  </si>
  <si>
    <t>[P1393]【说说】（三）_P39_7.20 给我一个理由忘记[].m4a</t>
  </si>
  <si>
    <t>[P1394]【说说】（三）_P40_7.20 我等到花儿也谢了[].m4a</t>
  </si>
  <si>
    <t>[P1395]【说说】（三）_P41_7.22 痴梦[].m4a</t>
  </si>
  <si>
    <t>[P1396]【说说】（三）_P42_7.22 蒲公英的约定[].m4a</t>
  </si>
  <si>
    <t>[P1397]【说说】（三）_P43_7.23 天外来物[].m4a</t>
  </si>
  <si>
    <t>[P1398]【说说】（三）_P44_7.23 我们的明天[].m4a</t>
  </si>
  <si>
    <t>[P1399]【说说】（三）_P45_7.23 心动[].m4a</t>
  </si>
  <si>
    <t>[P1400]【说说】（三）_P46_7.25 红玫瑰[].m4a</t>
  </si>
  <si>
    <t>[P1401]【说说】（三）_P47_7.25 她说[].m4a</t>
  </si>
  <si>
    <t>[P1402]【说说】（三）_P48_7.25 F me o he moon[].m4a</t>
  </si>
  <si>
    <t>[P1403]【说说】（三）_P49_7.25 小小[].m4a</t>
  </si>
  <si>
    <t>[P1404]【说说】（三）_P50_7.25 致你[].m4a</t>
  </si>
  <si>
    <t>[P1405]【说说】（三）_P51_7.25 真实[].m4a</t>
  </si>
  <si>
    <t>[P1406]【说说】（三）_P52_7.25 母系社会[].m4a</t>
  </si>
  <si>
    <t>[P1407]【说说】（三）_P53_7.25 宝贝[].m4a</t>
  </si>
  <si>
    <t>[P1408]【说说】（三）_P54_7.27 蓝眼睛[].m4a</t>
  </si>
  <si>
    <t>[P1409]【说说】（三）_P55_7.27 下雨的夜晚[].m4a</t>
  </si>
  <si>
    <t>[P1410]【说说】（三）_P56_7.27 无与伦比的美丽[].m4a</t>
  </si>
  <si>
    <t>[P1411]【说说】（三）_P57_7.27 小情歌[].m4a</t>
  </si>
  <si>
    <t>[P1412]【说说】（三）_P58_7.27 带我走[].m4a</t>
  </si>
  <si>
    <t>[P1413]【说说】（三）_P59_7.27 频率[].m4a</t>
  </si>
  <si>
    <t>[P1414]【说说】（三）_P60_7.27 无眠[].m4a</t>
  </si>
  <si>
    <t>[P1415]【说说】（三）_P61_7.27 我只在乎你[].m4a</t>
  </si>
  <si>
    <t>[P1416]【说说】（三）_P62_7.27 迟到千年[].m4a</t>
  </si>
  <si>
    <t>[P1417]【说说】（三）_P63_7.30 先行离去[].m4a</t>
  </si>
  <si>
    <t>[P1418]【说说】（三）_P64_7.30 纪念[].m4a</t>
  </si>
  <si>
    <t>[P1419]【说说】（三）_P65_7.30 漂洋过海来看你[].m4a</t>
  </si>
  <si>
    <t>[P1420]【说说】（三）_P66_7.30 千言万语[].m4a</t>
  </si>
  <si>
    <t>[P1421]【说说】（三）_P67_7.30 在水一方[].m4a</t>
  </si>
  <si>
    <t>[P1422]【说说】（三）_P68_7.30 春三月[].m4a</t>
  </si>
  <si>
    <t>[P1423]【说说】（三）_P69_7.30 愛してる（我爱你）（50%歌词）[].m4a</t>
  </si>
  <si>
    <t>[P1424]【说说】（三）_P70_8.3 呼吸决定[].m4a</t>
  </si>
  <si>
    <t>[P1425]【说说】（三）_P71_8.3 痒（后一半，前一半请右转录播）[].m4a</t>
  </si>
  <si>
    <t>[P1426]【说说】（三）_P72_8.3 心愿便利贴[].m4a</t>
  </si>
  <si>
    <t>[P1427]【说说】（三）_P73_8.3 恶作剧[].m4a</t>
  </si>
  <si>
    <t>[P1428]【说说】（三）_P74_8.3 天下无双[].m4a</t>
  </si>
  <si>
    <t>[P1429]【说说】（三）_P75_8.4 小酒窝[].m4a</t>
  </si>
  <si>
    <t>[P1430]【说说】（三）_P76_8.4 怎么办[].m4a</t>
  </si>
  <si>
    <t>[P1431]【说说】（三）_P77_8.4 慢慢喜欢你[].m4a</t>
  </si>
  <si>
    <t>[P1432]【说说】（三）_P78_8.5 让她降落[].m4a</t>
  </si>
  <si>
    <t>[P1433]【说说】（三）_P79_8.6 Mojio[].m4a</t>
  </si>
  <si>
    <t>[P1434]【说说】（三）_P80_8.6 月亮代表我的心[].m4a</t>
  </si>
  <si>
    <t>[P1435]【说说】（三）_P81_8.6 终于等到你[].m4a</t>
  </si>
  <si>
    <t>[P1436]【说说】（三）_P82_8.6 如果这就是爱情[].m4a</t>
  </si>
  <si>
    <t>[P1437]【说说】（三）_P83_8.6 致你[].m4a</t>
  </si>
  <si>
    <t>[P1438]【说说】（三）_P84_8.6 靠近[].m4a</t>
  </si>
  <si>
    <t>[P1439]【说说】（三）_P85_8.6 小河淌水[].m4a</t>
  </si>
  <si>
    <t>[P1440]【说说】（三）_P86_8.9 台风[].m4a</t>
  </si>
  <si>
    <t>[P1441]【说说】（三）_P87_8.9 最长的电影[].m4a</t>
  </si>
  <si>
    <t>[P1442]【说说】（三）_P88_8.9 梨花又开放[].m4a</t>
  </si>
  <si>
    <t>[P1443]【说说】（三）_P89_8.9 我爱你中国[].m4a</t>
  </si>
  <si>
    <t>我爱你中国</t>
  </si>
  <si>
    <t>[P1444]【说说】（三）_P90_8.9 如愿[].m4a</t>
  </si>
  <si>
    <t>[P1445]【说说】（三）_P91_8.10 望月[].m4a</t>
  </si>
  <si>
    <t>[P1446]【说说】（三）_P92_8.10 蜗牛与黄鹂鸟[].m4a</t>
  </si>
  <si>
    <t>[P1447]【说说】（三）_P93_8.10 好运来[].m4a</t>
  </si>
  <si>
    <t>[P1448]【说说】（三）_P94_8.10 茉莉花[].m4a</t>
  </si>
  <si>
    <t>[P1449]【说说】（三）_P95_8.10 玛依拉变奏曲[].m4a</t>
  </si>
  <si>
    <t>[P1450]【说说】（三）_P96_8.10 九儿[].m4a</t>
  </si>
  <si>
    <t>[P1451]【说说】（三）_P97_8.10 浏阳河[].m4a</t>
  </si>
  <si>
    <t>[P1452]【说说】（三）_P98_8.10 映山红（流行）[].m4a</t>
  </si>
  <si>
    <t>[P1453]【说说】（三）_P99_8.10 映山红（民族）[].m4a</t>
  </si>
  <si>
    <t>[P1454]【说说】（三）_P100_8.10 情深谊长[].m4a</t>
  </si>
  <si>
    <t>情深谊长</t>
  </si>
  <si>
    <t>[P1455]【说说】（三）_P101_8.13 园游会[].m4a</t>
  </si>
  <si>
    <t>[P1456]【说说】（三）_P102_8.13 那年夏天宁静的海[].m4a</t>
  </si>
  <si>
    <t>[P1457]【说说】（三）_P103_8.14 送别[].m4a</t>
  </si>
  <si>
    <t>[P1458]【说说】（三）_P104_8.16 快乐手帐（开头可爱）[].m4a</t>
  </si>
  <si>
    <t>[P1459]【说说】（三）_P105_8.16 阿楚姑娘[].m4a</t>
  </si>
  <si>
    <t>[P1460]【说说】（三）_P106_8.16 歌者（半开麦）[].m4a</t>
  </si>
  <si>
    <t>[P1461]【说说】（三）_P107_8.16 秋意浓[].m4a</t>
  </si>
  <si>
    <t>[P1462]【说说】（三）_P108_8.17 昨日青空[].m4a</t>
  </si>
  <si>
    <t>[P1463]【说说】（三）_P109_8.17 身骑白马[].m4a</t>
  </si>
  <si>
    <t>[P1464]【说说】（三）_P110_8.17 不能说的秘密+星晴（林俊杰版，第一次唱）[].m4a</t>
  </si>
  <si>
    <t>不能说的秘密+星晴</t>
  </si>
  <si>
    <t>[P1465]【说说】（三）_P111_8.17 后会无期[].m4a</t>
  </si>
  <si>
    <t>[P1466]【说说】（三）_P112_8.17 一吻之间[].m4a</t>
  </si>
  <si>
    <t>[P1467]【说说】（三）_P113_8.17 胡广生[].m4a</t>
  </si>
  <si>
    <t>[P1468]【说说】（三）_P114_8.20 红颜如霜[].m4a</t>
  </si>
  <si>
    <t>[P1469]【说说】（三）_P115_8.20 星晴[].m4a</t>
  </si>
  <si>
    <t>[P1470]【说说】（三）_P116_8.21 白芍花开[].m4a</t>
  </si>
  <si>
    <t>[P1471]【说说】（三）_P117_8.31 我好想你[].m4a</t>
  </si>
  <si>
    <t>[P1472]【说说】（三）_P118_8.31 相思[].m4a</t>
  </si>
  <si>
    <t>[P1473]【说说】（三）_P119_8.31 呼吸决定[].m4a</t>
  </si>
  <si>
    <t>[P1474]【说说】（三）_P120_8.31 不问天[].m4a</t>
  </si>
  <si>
    <t>[P1475]【说说】（三）_P121_8.31 不问天（和声伴奏版）[].m4a</t>
  </si>
  <si>
    <t>[P1476]【说说】（三）_P122_8.31 罗敷[].m4a</t>
  </si>
  <si>
    <t>[P1477]【说说】（三）_P123_8.31 从前的月光[].m4a</t>
  </si>
  <si>
    <t>[P1478]【说说】（三）_P124_8.31 灯花落[].m4a</t>
  </si>
  <si>
    <t>[P1479]【说说】（三）_P125_8.31 花月妖[].m4a</t>
  </si>
  <si>
    <t>[P1480]【说说】（三）_P126_8.31 蜃楼之下[].m4a</t>
  </si>
  <si>
    <t>[P1481]【说说】（三）_P127_8.31 未闻花名[].m4a</t>
  </si>
  <si>
    <t>[P1482]【说说】（三）_P128_8.31 香水有毒[].m4a</t>
  </si>
  <si>
    <t>[P1483]【说说】（三）_P129_8.31 等你下课[].m4a</t>
  </si>
  <si>
    <t>[P1484]【说说】（三）_P130_9.2 好春光[].m4a</t>
  </si>
  <si>
    <t>[P1485]【说说】（三）_P131_9.2 兰亭序（+6ke）[].m4a</t>
  </si>
  <si>
    <t>[P1486]【说说】（三）_P132_9.2 不能说的秘密[].m4a</t>
  </si>
  <si>
    <t>[P1487]【说说】（三）_P133_9.2 枫[].m4a</t>
  </si>
  <si>
    <t>[P1488]【说说】（三）_P134_9.2 再回首[].m4a</t>
  </si>
  <si>
    <t>[P1489]【说说】（三）_P135_9.2 崇拜[].m4a</t>
  </si>
  <si>
    <t>[P1490]【说说】（三）_P136_9.2 咕叽咕叽[].m4a</t>
  </si>
  <si>
    <t>[P1491]【说说】（三）_P137_9.2 一样的月光[].m4a</t>
  </si>
  <si>
    <t>[P1492]【说说】（三）_P138_9.2 贝加尔湖畔[].m4a</t>
  </si>
  <si>
    <t>[P1493]【说说】（三）_P139_9.2 亲密爱人[].m4a</t>
  </si>
  <si>
    <t>[P1494]【说说】（三）_P140_9.3 美若黎明[].m4a</t>
  </si>
  <si>
    <t>[P1495]【说说】（三）_P141_9.3 妈妈的娜鲁娃[].m4a</t>
  </si>
  <si>
    <t>[P1496]【说说】（三）_P142_9.3 天之大[].m4a</t>
  </si>
  <si>
    <t>[P1497]【说说】（三）_P143_9.3 袖手旁观[].m4a</t>
  </si>
  <si>
    <t>[P1498]【说说】（三）_P144_9.3 恰好[].m4a</t>
  </si>
  <si>
    <t>[P1499]【说说】（三）_P145_9.3 月牙湾[].m4a</t>
  </si>
  <si>
    <t>[P1500]【说说】（三）_P146_9.3 说散就散[].m4a</t>
  </si>
  <si>
    <t>[P1501]【说说】（三）_P147_9.5 飞云之下[].m4a</t>
  </si>
  <si>
    <t>[P1502]【说说】（三）_P148_9.5 那些你很冒险的梦[].m4a</t>
  </si>
  <si>
    <t>[P1503]【说说】（三）_P149_9.7 不醉不会[].m4a</t>
  </si>
  <si>
    <t>[P1504]【说说】（三）_P150_9.7 喂[].m4a</t>
  </si>
  <si>
    <t>[P1505]【说说】（三）_P151_9.10 一荤一素[].m4a</t>
  </si>
  <si>
    <t>[P1506]【说说】（三）_P152_9.10 修炼爱情[].m4a</t>
  </si>
  <si>
    <t>[P1507]【说说】（三）_P153_9.10 但愿人长久[].m4a</t>
  </si>
  <si>
    <t>[P1508]【说说】（三）_P154_9.10 不识月[].m4a</t>
  </si>
  <si>
    <t>[P1509]【说说】（三）_P155_9.10 流年如歌[].m4a</t>
  </si>
  <si>
    <t>[P1510]【说说】（三）_P156_9.10 月亮代表我的心[].m4a</t>
  </si>
  <si>
    <t>[P1511]【说说】（三）_P157_9.10 海芋恋[].m4a</t>
  </si>
  <si>
    <t>[P1512]【说说】（三）_P158_9.13 兜圈[].m4a</t>
  </si>
  <si>
    <t>[P1513]【说说】（三）_P159_9.13 浪费[].m4a</t>
  </si>
  <si>
    <t>[P1514]【说说】（三）_P160_9.14 繁华梦[].m4a</t>
  </si>
  <si>
    <t>[P1515]【说说】（三）_P161_9.14 风月[].m4a</t>
  </si>
  <si>
    <t>[P1516]【说说】（三）_P162_9.14 牵丝戏[].m4a</t>
  </si>
  <si>
    <t>[P1517]【说说】（三）_P163_9.14 锦鲤抄[].m4a</t>
  </si>
  <si>
    <t>[P1518]【说说】（三）_P164_9.14 苏幕遮[].m4a</t>
  </si>
  <si>
    <t>[P1519]【说说】（三）_P165_9.19 idonwnnbounnmoe[].m4a</t>
  </si>
  <si>
    <t>idonwnnbounnmoe</t>
  </si>
  <si>
    <t>[P1520]【说说】（三）_P166_9.19 我的悲伤是水做的[].m4a</t>
  </si>
  <si>
    <t>[P1521]【说说】（三）_P167_9.19 芦花[].m4a</t>
  </si>
  <si>
    <t>[P1522]【说说】（三）_P168_9.19 晚风吹过哨塔[].m4a</t>
  </si>
  <si>
    <t>[P1523]【说说】（三）_P169_9.19 如燕[].m4a</t>
  </si>
  <si>
    <t>[P1524]【说说】（三）_P170_9.19 De Fiend[].m4a</t>
  </si>
  <si>
    <t>De Fiend</t>
  </si>
  <si>
    <t>[P1525]【说说】（三）_P171_9.21 永不失联的爱[].m4a</t>
  </si>
  <si>
    <t>[P1526]【说说】（三）_P172_9.23 孤勇者[].m4a</t>
  </si>
  <si>
    <t>[P1527]【说说】（三）_P173_9.23 路过人间[].m4a</t>
  </si>
  <si>
    <t>[P1528]【说说】（三）_P174_9.23 星晴[].m4a</t>
  </si>
  <si>
    <t>[P1529]【说说】（三）_P175_9.23 台风[].m4a</t>
  </si>
  <si>
    <t>[P1530]【说说】（三）_P176_9.23 冬眠[].m4a</t>
  </si>
  <si>
    <t>[P1531]【说说】（三）_P177_9.26 陀螺[].m4a</t>
  </si>
  <si>
    <t>[P1532]【说说】（三）_P178_9.28 晴天[].m4a</t>
  </si>
  <si>
    <t>[P1533]【说说】（三）_P179_9.28 勾指起誓[].m4a</t>
  </si>
  <si>
    <t>[P1534]【说说】（三）_P180_9.28 桃花谣[].m4a</t>
  </si>
  <si>
    <t>[P1535]【说说】（三）_P181_9.28 暗号[].m4a</t>
  </si>
  <si>
    <t>[P1536]【说说】（三）_P182_9.28 先行离去[].m4a</t>
  </si>
  <si>
    <t>[P1537]【说说】（三）_P183_9.30 一不小心爱上你[].m4a</t>
  </si>
  <si>
    <t>[P1538]【说说】（三）_P184_9.30 阿楚姑娘[].m4a</t>
  </si>
  <si>
    <t>[P1539]【说说】（三）_P185_9.30 靠近[].m4a</t>
  </si>
  <si>
    <t>[P1540]【说说】（三）_P186_9.30 你呢[].m4a</t>
  </si>
  <si>
    <t>你呢</t>
  </si>
  <si>
    <t>[P1541]【说说】（三）_P187_9.30 灯火里的中国[].m4a</t>
  </si>
  <si>
    <t>[P1542]【说说】（三）_P188_9.30 枫[].m4a</t>
  </si>
  <si>
    <t>[P1543]【说说】（三）_P189_9.30 龙卷风[].m4a</t>
  </si>
  <si>
    <t>[P1544]说说【暂停更新】_P1_自己[].m4a</t>
  </si>
  <si>
    <t>BV1kQ4y1z7WD</t>
  </si>
  <si>
    <t>[P1545]说说【暂停更新】_P2_修炼爱情[].m4a</t>
  </si>
  <si>
    <t>[P1546]说说【暂停更新】_P3_昨日青空[].m4a</t>
  </si>
  <si>
    <t>[P1547]说说【暂停更新】_P4_灯火里的中国[].m4a</t>
  </si>
  <si>
    <t>[P1548]说说【暂停更新】_P5_你被写在我的歌里[].m4a</t>
  </si>
  <si>
    <t>[P1549]说说【暂停更新】_P6_喜欢你[].m4a</t>
  </si>
  <si>
    <t>[P1550]说说【暂停更新】_P7_说散就散[].m4a</t>
  </si>
  <si>
    <t>[P1551]说说【暂停更新】_P8_海水正蓝[].m4a</t>
  </si>
  <si>
    <t>[P1552]说说【暂停更新】_P9_从前慢[].m4a</t>
  </si>
  <si>
    <t>[P1553]说说【暂停更新】_P10_一剪梅[].m4a</t>
  </si>
  <si>
    <t>[P1554]说说【暂停更新】_P11_胡桃夹子[].m4a</t>
  </si>
  <si>
    <t>[P1555]说说【暂停更新】_P12_一荤一素[].m4a</t>
  </si>
  <si>
    <t>[P1556]说说【暂停更新】_P13_房间[].m4a</t>
  </si>
  <si>
    <t>[P1557]说说【暂停更新】_P14_宝贝[].m4a</t>
  </si>
  <si>
    <t>[P1558]说说【暂停更新】_P15_阿楚姑娘[].m4a</t>
  </si>
  <si>
    <t>[P1559]说说【暂停更新】_P16_落在胸口的星星[].m4a</t>
  </si>
  <si>
    <t>[P1560]说说【暂停更新】_P17_匆匆那年[].m4a</t>
  </si>
  <si>
    <t>[P1561]说说【暂停更新】_P18_Rubi[].m4a</t>
  </si>
  <si>
    <t>[P1562]说说【暂停更新】_P19_喜欢寂寞[].m4a</t>
  </si>
  <si>
    <t>[P1563]说说【暂停更新】_P20_永不失联的爱[].m4a</t>
  </si>
  <si>
    <t>[P1564]说说【暂停更新】_P21_鸿雁[].m4a</t>
  </si>
  <si>
    <t>[P1565]说说【暂停更新】_P22_芦花[].m4a</t>
  </si>
  <si>
    <t>[P1566]说说【暂停更新】_P23_乌兰巴托的夜[].m4a</t>
  </si>
  <si>
    <t>[P1567]说说【暂停更新】_P24_红豆[].m4a</t>
  </si>
  <si>
    <t>[P1568]说说【暂停更新】_P25_但愿人长久…[].m4a</t>
  </si>
  <si>
    <t>[P1569]说说【暂停更新】_P26_下雨的夜晚[].m4a</t>
  </si>
  <si>
    <t>[P1570]说说【暂停更新】_P27_小时候[].m4a</t>
  </si>
  <si>
    <t>[P1571]说说【暂停更新】_P28_相思[].m4a</t>
  </si>
  <si>
    <t>[P1572]说说【暂停更新】_P29_广寒宫[].m4a</t>
  </si>
  <si>
    <t>[P1573]说说【暂停更新】_P30_岁月神偷[].m4a</t>
  </si>
  <si>
    <t>[P1574]说说【暂停更新】_P31_满月[].m4a</t>
  </si>
  <si>
    <t>[P1575]说说【暂停更新】_P32_半首《左手指月》[].m4a</t>
  </si>
  <si>
    <t>[P1576]说说【暂停更新】_P33_那年夏天宁静的海[].m4a</t>
  </si>
  <si>
    <t>[P1577]说说【暂停更新】_P34_紫[].m4a</t>
  </si>
  <si>
    <t>[P1578]说说【暂停更新】_P35_梨花又开放[].m4a</t>
  </si>
  <si>
    <t>[P1579]说说【暂停更新】_P36_亲密爱人[].m4a</t>
  </si>
  <si>
    <t>[P1580]说说【暂停更新】_P37_像风一样[].m4a</t>
  </si>
  <si>
    <t>[P1581]说说【暂停更新】_P38_千言万语[].m4a</t>
  </si>
  <si>
    <t>[P1582]说说【暂停更新】_P39_园游会[].m4a</t>
  </si>
  <si>
    <t>[P1583]说说【暂停更新】_P40_夏天的风[].m4a</t>
  </si>
  <si>
    <t>[P1584]说说【暂停更新】_P41_晴天[].m4a</t>
  </si>
  <si>
    <t>[P1585]说说【暂停更新】_P42_枉凝眉[].m4a</t>
  </si>
  <si>
    <t>[P1586]说说【暂停更新】_P43_流年如歌[].m4a</t>
  </si>
  <si>
    <t>[P1587]说说【暂停更新】_P44_知否[].m4a</t>
  </si>
  <si>
    <t>知否</t>
  </si>
  <si>
    <t>[P1588]说说【暂停更新】_P45_陪我歌唱[].m4a</t>
  </si>
  <si>
    <t>[P1589]说说【暂停更新】_P46_亲爱的那不是爱情[].m4a</t>
  </si>
  <si>
    <t>[P1590]说说【暂停更新】_P47_挥着翅膀的女孩[].m4a</t>
  </si>
  <si>
    <t>[P1591]说说【暂停更新】_P48_童话[].m4a</t>
  </si>
  <si>
    <t>[P1592]说说【暂停更新】_P49_纪念…[].m4a</t>
  </si>
  <si>
    <t>[P1593]说说【暂停更新】_P50_隐形的翅膀[].m4a</t>
  </si>
  <si>
    <t>[P1594]说说【暂停更新】_P51_如燕[].m4a</t>
  </si>
  <si>
    <t>[P1595]说说【暂停更新】_P52_小手拍拍[].m4a</t>
  </si>
  <si>
    <t>[P1596]说说【暂停更新】_P53_春天的芭蕾[].m4a</t>
  </si>
  <si>
    <t>[P1597]说说【暂停更新】_P54_玛依拉变奏曲[].m4a</t>
  </si>
  <si>
    <t>[P1598]说说【暂停更新】_P55_给电影人的情书[].m4a</t>
  </si>
  <si>
    <t>[P1599]说说【暂停更新】_P56_身骑白马[].m4a</t>
  </si>
  <si>
    <t>[P1600]说说【暂停更新】_P57_风月[].m4a</t>
  </si>
  <si>
    <t>[P1601]说说【暂停更新】_P58_9兒[].m4a</t>
  </si>
  <si>
    <t>9兒</t>
  </si>
  <si>
    <t>[P1602]说说【暂停更新】_P59_依然爱你[].m4a</t>
  </si>
  <si>
    <t>[P1603]说说【暂停更新】_P60_月牙湾[].m4a</t>
  </si>
  <si>
    <t>[P1604]说说【暂停更新】_P61_不醉不会[].m4a</t>
  </si>
  <si>
    <t>[P1605]说说【暂停更新】_P62_无人知晓[].m4a</t>
  </si>
  <si>
    <t>[P1606]说说【暂停更新】_P63_刻在我心里的名字[].m4a</t>
  </si>
  <si>
    <t>刻在我心里的名字</t>
  </si>
  <si>
    <t>[P1607]说说【暂停更新】_P64_再给我两分钟[].m4a</t>
  </si>
  <si>
    <t>再给我两分钟</t>
  </si>
  <si>
    <t>[P1608]说说【暂停更新】_P65_在那东山顶上[].m4a</t>
  </si>
  <si>
    <t>[P1609]说说【暂停更新】_P66_女儿情[].m4a</t>
  </si>
  <si>
    <t>[P1610]说说【暂停更新】_P67_我只在乎你[].m4a</t>
  </si>
  <si>
    <t>[P1611]说说【暂停更新】_P68_秋意浓[].m4a</t>
  </si>
  <si>
    <t>[P1612]说说【暂停更新】_P69_难忘今宵[].m4a</t>
  </si>
  <si>
    <t>[P1613]说说【暂停更新】_P70_天黑黑[].m4a</t>
  </si>
  <si>
    <t>[P1614]说说【暂停更新】_P71_十万毫升泪水[].m4a</t>
  </si>
  <si>
    <t>[P1615]说说【暂停更新】_P72_梨花颂[].m4a</t>
  </si>
  <si>
    <t>[P1616]说说【暂停更新】_P73_虫儿飞[].m4a</t>
  </si>
  <si>
    <t>[P1617]说说【暂停更新】_P74_勾指起誓[].m4a</t>
  </si>
  <si>
    <t>[P1618]说说【暂停更新】_P75_让她降落[].m4a</t>
  </si>
  <si>
    <t>[P1619]说说【暂停更新】_P76_我的祖国[].m4a</t>
  </si>
  <si>
    <t>[P1620]说说【暂停更新】_P77_我和我的祖国[].m4a</t>
  </si>
  <si>
    <t>[P1621]说说【暂停更新】_P78_有可能的夜晚[].m4a</t>
  </si>
  <si>
    <t>[P1622]说说【暂停更新】_P79_蓝色爱情海[].m4a</t>
  </si>
  <si>
    <t>[P1623]说说【暂停更新】_P80_一生等你[].m4a</t>
  </si>
  <si>
    <t>[P1624]说说【暂停更新】_P81_失落沙洲[].m4a</t>
  </si>
  <si>
    <t>[P1625]说说【暂停更新】_P82_残酷月光[].m4a</t>
  </si>
  <si>
    <t>[P1626]说说【暂停更新】_P83_浪费[].m4a</t>
  </si>
  <si>
    <t>[P1627]说说【暂停更新】_P84_看得最远的地方[].m4a</t>
  </si>
  <si>
    <t>[P1628]说说【暂停更新】_P85_枫[].m4a</t>
  </si>
  <si>
    <t>[P1629]说说【暂停更新】_P86_后会无期[].m4a</t>
  </si>
  <si>
    <t>[P1630]说说【暂停更新】_P87_在水一方[].m4a</t>
  </si>
  <si>
    <t>[P1631]说说【暂停更新】_P88_我期待[].m4a</t>
  </si>
  <si>
    <t>[P1632]说说【暂停更新】_P89_不要忘记我爱你[].m4a</t>
  </si>
  <si>
    <t>[P1633]说说【暂停更新】_P90_最美的期待[].m4a</t>
  </si>
  <si>
    <t>[P1634]说说【暂停更新】_P91_蝶恋花[].m4a</t>
  </si>
  <si>
    <t>[P1635]说说【暂停更新】_P92_大鱼[].m4a</t>
  </si>
  <si>
    <t>[P1636]说说【暂停更新】_P93_阿刁[].m4a</t>
  </si>
  <si>
    <t>[P001]【说说Crystal】枫（感冒音）[]</t>
  </si>
  <si>
    <t>BV1oF4m1G7Du</t>
  </si>
  <si>
    <t>[P002]【说说Crystal】繁华唱遍（感冒音）[]</t>
  </si>
  <si>
    <t>BV1GC411a7PN</t>
  </si>
  <si>
    <t>[P003]【说说Crystal】孤独娱乐（感冒音）[]</t>
  </si>
  <si>
    <t>BV1yt421t7MD</t>
  </si>
  <si>
    <t>[P004]【说说Crystal】下雨天（感冒音）[]</t>
  </si>
  <si>
    <t>BV1KS421A7Ej</t>
  </si>
  <si>
    <t>[P005]【说说Crystal】雨樱花（感冒音）[]</t>
  </si>
  <si>
    <t>BV1A1421f794</t>
  </si>
  <si>
    <t>[P006]【说说Crystal】亲爱的旅人啊（感冒音）[]</t>
  </si>
  <si>
    <t>亲爱的旅人啊</t>
  </si>
  <si>
    <t>BV1cH4y1E7oD</t>
  </si>
  <si>
    <t>[P007]【说说Crystal】大鱼（感冒音）[]</t>
  </si>
  <si>
    <t>BV1Qj421S7X6</t>
  </si>
  <si>
    <t>[P008]【说说Crystal】流沙（感冒音）[]</t>
  </si>
  <si>
    <t>BV1jj421S7uk</t>
  </si>
  <si>
    <t>[P009]【说说Crystal】交换余生（感冒音）[]</t>
  </si>
  <si>
    <t>BV1Ku4m1w7FB</t>
  </si>
  <si>
    <t>[P010]【说说Crystal】给电影人的情书（感冒音）[]</t>
  </si>
  <si>
    <t>BV1Dw4m1Z7Z2</t>
  </si>
  <si>
    <t>[P011]【说说Crystal】蝴蝶（感冒音）[]</t>
  </si>
  <si>
    <t>BV1FU411F7LV</t>
  </si>
  <si>
    <t>[P012]【说说Crystal】我们的歌（感冒音）[]</t>
  </si>
  <si>
    <t>BV1My421676c</t>
  </si>
  <si>
    <t>[P013]【说说Crystal】退后（感冒音）[]</t>
  </si>
  <si>
    <t>BV1mH4y177vR</t>
  </si>
  <si>
    <t>[P014]【说说Crystal】贝加尔湖畔（感冒音）[]</t>
  </si>
  <si>
    <t>BV1kt42147TV</t>
  </si>
  <si>
    <t>[P015]【说说Crystal】两只蝴蝶（感冒音）[]</t>
  </si>
  <si>
    <t>BV1iF4m157Wa</t>
  </si>
  <si>
    <t>[P016]【说说Crystal】不爱（感冒音）[]</t>
  </si>
  <si>
    <t>BV1qr421s7Kg</t>
  </si>
  <si>
    <t>[P017]【说说Crystal】不能说的秘密[]</t>
  </si>
  <si>
    <t>BV1dA4m137u3</t>
  </si>
  <si>
    <t>[P018]【说说Crystal】枫[]</t>
  </si>
  <si>
    <t>BV1Mm411S7t4</t>
  </si>
  <si>
    <t>[P019]【说说Crystal】爱我你就抱抱我[]</t>
  </si>
  <si>
    <t>BV18x4y1k7NQ</t>
  </si>
  <si>
    <t>[P020]【说说Crystal】东风破[]</t>
  </si>
  <si>
    <t>BV1ZH4y1j79Y</t>
  </si>
  <si>
    <t>[P021]【说说Crystal】想把哥哥追（最后亿次）[]</t>
  </si>
  <si>
    <t>BV1C6421M7C1</t>
  </si>
  <si>
    <t>[P022]【说说Crystal】桃華[]</t>
  </si>
  <si>
    <t>BV19B421B73g</t>
  </si>
  <si>
    <t>[P023]【说说Crystal】难忘今宵[]</t>
  </si>
  <si>
    <t>BV1HZ421U7RR</t>
  </si>
  <si>
    <t>[P024]【说说Crystal】流年如歌[]</t>
  </si>
  <si>
    <t>BV1h2421c7Vk</t>
  </si>
  <si>
    <t>[P025]【说说Crystal】不问天[]</t>
  </si>
  <si>
    <t>BV15J4m1t7Ys</t>
  </si>
  <si>
    <t>[P026]【说说Crystal】布虎记[]</t>
  </si>
  <si>
    <t>BV1R4421c7Xd</t>
  </si>
  <si>
    <t>[P027]【说说Crystal】解忧曲[]</t>
  </si>
  <si>
    <t>BV1UZ421z7Qs</t>
  </si>
  <si>
    <t>[P028]【说说Crystal】锦鲤抄[]</t>
  </si>
  <si>
    <t>BV1w4421P7gE</t>
  </si>
  <si>
    <t>[P029]【说说Crystal】他们是，那我呢[]</t>
  </si>
  <si>
    <t>BV1zu4m1K7JF</t>
  </si>
  <si>
    <t>[P030]【说说Crystal】人间未满[]</t>
  </si>
  <si>
    <t>BV12Z421U7G2</t>
  </si>
  <si>
    <t>[P031]【说说Crystal】不问天[]</t>
  </si>
  <si>
    <t>BV1ay421h7YD</t>
  </si>
  <si>
    <t>[P032]【说说Crystal】罗敷[]</t>
  </si>
  <si>
    <t>BV1Mt421p7R1</t>
  </si>
  <si>
    <t>[P033]【说说Crystal】潇洒小姐[]</t>
  </si>
  <si>
    <t>BV1h2421A7pN</t>
  </si>
  <si>
    <t>[P034]【说说Crystal】恰好[]</t>
  </si>
  <si>
    <t>BV1X4421w7FE</t>
  </si>
  <si>
    <t>[P035]【说说Crystal】将故事写成我们[]</t>
  </si>
  <si>
    <t>BV1k44y1F7E5</t>
  </si>
  <si>
    <t>[P036]【说说Crystal】但愿人长久[]</t>
  </si>
  <si>
    <t>BV1bC411z7R8</t>
  </si>
  <si>
    <t>[P037]【说说Crystal】剪爱[]</t>
  </si>
  <si>
    <t>BV1Uy421a72z</t>
  </si>
  <si>
    <t>[P038]【说说Crystal】七里香[]</t>
  </si>
  <si>
    <t>七里香-3.49</t>
  </si>
  <si>
    <t>BV1YC411z7pp</t>
  </si>
  <si>
    <t>[P039]【说说Crystal】像风一样[]</t>
  </si>
  <si>
    <t>BV1uK42117CA</t>
  </si>
  <si>
    <t>[P040]【说说Crystal】分身[]</t>
  </si>
  <si>
    <t>BV1Qg4y127aK</t>
  </si>
  <si>
    <t>[P041]【说说Crystal】如此[]</t>
  </si>
  <si>
    <t>BV1qC4y1r747</t>
  </si>
  <si>
    <t>[P042]【说说Crystal】小雨[]</t>
  </si>
  <si>
    <t>BV1Wa4y1k7N2</t>
  </si>
  <si>
    <t>[P043]【说说Crystal】问情[]</t>
  </si>
  <si>
    <t>BV19C4y1r78q</t>
  </si>
  <si>
    <t>[P044]【说说Crystal】想你的365天[]</t>
  </si>
  <si>
    <t>BV1A5411y7Cv</t>
  </si>
  <si>
    <t>[P045]【说说Crystal】昨日青空[]</t>
  </si>
  <si>
    <t>BV1pc411x7LY</t>
  </si>
  <si>
    <t>[P046]【说说Crystal】Love U U[]</t>
  </si>
  <si>
    <t>BV1nw411E7n6</t>
  </si>
  <si>
    <t>[P047]【说说Crystal】点亮梦想[]</t>
  </si>
  <si>
    <t>BV1gN4y1H7VC</t>
  </si>
  <si>
    <t>[P048]【说说Crystal】交换余生[]</t>
  </si>
  <si>
    <t>BV195411C7Yv</t>
  </si>
  <si>
    <t>[P049]【说说Crystal】沙滩[]</t>
  </si>
  <si>
    <t>BV1ce411Y7YW</t>
  </si>
  <si>
    <t>[P050]【说说Crystal】蝴蝶泉边[]</t>
  </si>
  <si>
    <t>BV1mK411a7WA</t>
  </si>
  <si>
    <t>[P051]【说说Crystal】蝴蝶[]</t>
  </si>
  <si>
    <t>BV1pK411a7hJ</t>
  </si>
  <si>
    <t>[P052]【说说Crystal】开不了口[]</t>
  </si>
  <si>
    <t>BV1SC4y1C7Xr</t>
  </si>
  <si>
    <t>[P053]【说说Crystal】Paper Hearts[]</t>
  </si>
  <si>
    <t>BV1yk4y1D7PP</t>
  </si>
  <si>
    <t>[P054]【说说Crystal】想你时风起[]</t>
  </si>
  <si>
    <t>BV1Hg4y1U79G</t>
  </si>
  <si>
    <t>[P055]【说说Crystal】将故事写成我们[]</t>
  </si>
  <si>
    <t>BV1Ee411n7y4</t>
  </si>
  <si>
    <t>[P056]【说说Crystal】当你[]</t>
  </si>
  <si>
    <t>BV1VC4y1r7Yx</t>
  </si>
  <si>
    <t>[P057]【说说Crystal】难忘今宵[]</t>
  </si>
  <si>
    <t>BV19g4y1172a</t>
  </si>
  <si>
    <t>[P058]【说说Crystal】孤独娱乐[]</t>
  </si>
  <si>
    <t>BV1pK4y1B7pV</t>
  </si>
  <si>
    <t>[P059]【说说Crystal】大眠[]</t>
  </si>
  <si>
    <t>BV1ea4y1y7cC</t>
  </si>
  <si>
    <t>[P060]【说说Crystal】一路向北[]</t>
  </si>
  <si>
    <t>BV12c41147by</t>
  </si>
  <si>
    <t>[P061]【说说Crystal】浪漫血液[]</t>
  </si>
  <si>
    <t>BV1QK4y1q7Nb</t>
  </si>
  <si>
    <t>[P062]【说说Crystal】背对背拥抱[]</t>
  </si>
  <si>
    <t>BV1Re411271D</t>
  </si>
  <si>
    <t>[P063]【说说Crystal】晴天[]</t>
  </si>
  <si>
    <t>BV1kK411v7hJ</t>
  </si>
  <si>
    <t>[P064]【说说Crystal】你听得到[]</t>
  </si>
  <si>
    <t>BV1z64y1P7Wv</t>
  </si>
  <si>
    <t>[P065]【说说Crystal】交换余生[]</t>
  </si>
  <si>
    <t>BV1T5411i7HS</t>
  </si>
  <si>
    <t>[P066]【说说Crystal】爱情悬崖[]</t>
  </si>
  <si>
    <t>BV19k4y1D7tR</t>
  </si>
  <si>
    <t>[P067]【说说Crystal】小雨[]</t>
  </si>
  <si>
    <t>BV1me411U7gw</t>
  </si>
  <si>
    <t>[P068]【说说Crystal】光亮[]</t>
  </si>
  <si>
    <t>BV1Xg4y1U7HM</t>
  </si>
  <si>
    <t>[P069]【说说Crystal】交响梦[]</t>
  </si>
  <si>
    <t>BV11c411t7nj</t>
  </si>
  <si>
    <t>[P070]【说说Crystal】二十二[]</t>
  </si>
  <si>
    <t>BV1og4y1U7Eh</t>
  </si>
  <si>
    <t>[P071]【说说Crystal】蝴蝶[]</t>
  </si>
  <si>
    <t>BV17N4y1q7jm</t>
  </si>
  <si>
    <t>[P072]【说说Crystal】我不配[]</t>
  </si>
  <si>
    <t>BV1Ye411m7jz</t>
  </si>
  <si>
    <t>[P073]【说说Crystal】如愿[]</t>
  </si>
  <si>
    <t>BV1AQ4y1E7Xz</t>
  </si>
  <si>
    <t>[P074]【说说Crystal】萱草花[]</t>
  </si>
  <si>
    <t>BV1aN4y1i7Sm</t>
  </si>
  <si>
    <t>[P075]【说说Crystal】如果云知道[]</t>
  </si>
  <si>
    <t>BV1Dw41137zW</t>
  </si>
  <si>
    <t>[P076]【说说Crystal】去有风的地方[]</t>
  </si>
  <si>
    <t>BV1Vi4y1z7ry</t>
  </si>
  <si>
    <t>[P077]【说说Crystal】月[]</t>
  </si>
  <si>
    <t>BV1zi4y1z71X</t>
  </si>
  <si>
    <t>[P078]【说说Crystal】天天[]</t>
  </si>
  <si>
    <t>BV1aC4y1e7L3</t>
  </si>
  <si>
    <t>[P079]【说说Crystal】绝世舞姬[]</t>
  </si>
  <si>
    <t>BV14i4y1z7ey</t>
  </si>
  <si>
    <t>[P080]【说说Crystal】人间未满[]</t>
  </si>
  <si>
    <t>BV1Pg4y1D7Dm</t>
  </si>
  <si>
    <t>[P081]【说说Crystal】繁华唱遍[]</t>
  </si>
  <si>
    <t>BV19a4y1q78f</t>
  </si>
  <si>
    <t>[P095]【说说Crystal】逆光白[]</t>
  </si>
  <si>
    <t>BV1V64y1H7y3</t>
  </si>
  <si>
    <t>[P099]【说说Crystal】别问很可怕[]</t>
  </si>
  <si>
    <t>BV16N4y187ta</t>
  </si>
  <si>
    <t>[P105]【说说Crystal】雪の華（中文）[]</t>
  </si>
  <si>
    <t>雪の華</t>
  </si>
  <si>
    <t>BV1FW4y1F7zs</t>
  </si>
  <si>
    <t>[P117]【说说Crystal】姐就是女王[]</t>
  </si>
  <si>
    <t>BV1cG411i7nW</t>
  </si>
  <si>
    <t>[P138]【说说Crystal】和女粉合唱《她说》[]</t>
  </si>
  <si>
    <t>BV1Xw411s72S</t>
  </si>
  <si>
    <t>[P141]【说说Crysta】传奇（和声）[]</t>
  </si>
  <si>
    <t>BV1ty421i7kp</t>
  </si>
  <si>
    <t>[P142]【说说Crystal】不流泪的机场[]</t>
  </si>
  <si>
    <t>BV1Ji421Z7c3</t>
  </si>
  <si>
    <t>[P143]【说说Crystal】二十二[]</t>
  </si>
  <si>
    <t>BV1Bx421y7kR</t>
  </si>
  <si>
    <t>[P144]【说说Crystal】三月雨[]</t>
  </si>
  <si>
    <t>BV1BS421w7Ji</t>
  </si>
  <si>
    <t>[P145]【说说Crystal】灯花落[]</t>
  </si>
  <si>
    <t>BV1YK42147yt</t>
  </si>
  <si>
    <t>[P146]【说说Crystal】特别的人[]</t>
  </si>
  <si>
    <t>BV1qJ4m1Y7md</t>
  </si>
  <si>
    <t>[P147]【说说Crystal】雨下一整晚[]</t>
  </si>
  <si>
    <t>BV1r2421M7fY</t>
  </si>
  <si>
    <t>[P148]【说说Crystal】黑色幽默[]</t>
  </si>
  <si>
    <t>BV1F2421u7Yb</t>
  </si>
  <si>
    <t>[P149]【说说Crystal】分身[]</t>
  </si>
  <si>
    <t>BV1Pi421f7Cr</t>
  </si>
  <si>
    <t>[P150]【说说Crystal】一样的月光[]</t>
  </si>
  <si>
    <t>BV1Ym411d7zD</t>
  </si>
  <si>
    <t>[P151]【说说Crystal】春天的芭蕾[]</t>
  </si>
  <si>
    <t>BV1nW421c7b4</t>
  </si>
  <si>
    <t>[P152]【说说Crystal】敕勒歌[]</t>
  </si>
  <si>
    <t>BV1Gw4m1o7zy</t>
  </si>
  <si>
    <t>[P153]【说说Crystal】广寒宫[]</t>
  </si>
  <si>
    <t>BV1Bw4m1d7jL</t>
  </si>
  <si>
    <t>[P154]【说说Crystal】可爱女人[]</t>
  </si>
  <si>
    <t>BV1SZ421a7QQ</t>
  </si>
  <si>
    <t>[P155]【说说Crystal】沙滩[]</t>
  </si>
  <si>
    <t>BV1Mx4y1S7Ua</t>
  </si>
  <si>
    <t>[P156]【说说Crystal】雨后日记[]</t>
  </si>
  <si>
    <t>BV1kr421J712</t>
  </si>
  <si>
    <t>[P157]【说说Crystal】交换余生[]</t>
  </si>
  <si>
    <t>BV16H4y157KH</t>
  </si>
  <si>
    <t>[P158]【说说Crystal】罗敷[]</t>
  </si>
  <si>
    <t>BV1Wt421V7eM</t>
  </si>
  <si>
    <t>[P159]【说说Crystal】阿楚姑娘[]</t>
  </si>
  <si>
    <t>BV1zW421c7gC</t>
  </si>
  <si>
    <t>[P160]【说说Crystal】不问天[]</t>
  </si>
  <si>
    <t>BV1Um411Z7LH</t>
  </si>
  <si>
    <t>[P161]【说说Crystal】月光[]</t>
  </si>
  <si>
    <t>BV11w4m1d7Z4</t>
  </si>
  <si>
    <t>[P162]【说说Crystal】若把你[]</t>
  </si>
  <si>
    <t>BV12i421d7b8</t>
  </si>
  <si>
    <t>[P163]【说说Crystal】苏幕遮[]</t>
  </si>
  <si>
    <t>BV1jD421E7Nf</t>
  </si>
  <si>
    <t>[P164]【说说Crystal】达尔文[]</t>
  </si>
  <si>
    <t>BV1Wt421V73r</t>
  </si>
  <si>
    <t>[P165]【说说Crystal】发如雪[]</t>
  </si>
  <si>
    <t>BV11x4y1Q7z9</t>
  </si>
  <si>
    <t>[P166]【说说Crystal】枫[]</t>
  </si>
  <si>
    <t>BV1ri421o7aE</t>
  </si>
  <si>
    <t>[P167]【说说Crystal】在夜里跳舞[]</t>
  </si>
  <si>
    <t>BV1Qj421U7DP</t>
  </si>
  <si>
    <t>[P168]【说说Crystal】想你时风起[]</t>
  </si>
  <si>
    <t>BV16K421x7Et</t>
  </si>
  <si>
    <t>BV1JW421c7EF</t>
  </si>
  <si>
    <t>BV1LJ4m187WK</t>
  </si>
  <si>
    <t>BV1NF4m1w7xw</t>
  </si>
  <si>
    <t>BV1FC411a7cG</t>
  </si>
  <si>
    <t>BV1gi421R7GC</t>
  </si>
  <si>
    <t>BV1aC411h77h</t>
  </si>
  <si>
    <t>BV1Qz421f7Eh</t>
  </si>
  <si>
    <t>BV1Nw4m1R7ta</t>
  </si>
  <si>
    <t>BV1ef421f7cw</t>
  </si>
  <si>
    <t>BV1iC411h7dc</t>
  </si>
  <si>
    <t>BV1ci421d7V8</t>
  </si>
  <si>
    <t>BV1rD421j7jg</t>
  </si>
  <si>
    <t>BV19t421V7PE</t>
  </si>
  <si>
    <t>BV14K421v7Sb</t>
  </si>
  <si>
    <t>BV1kC411h7wj</t>
  </si>
  <si>
    <t>BV1zx421C7Q3</t>
  </si>
  <si>
    <t>BV1tJ4m187nt</t>
  </si>
  <si>
    <t>BV1Hx4y1D7KL</t>
  </si>
  <si>
    <t>BV1NH4y1s7Hg</t>
  </si>
  <si>
    <t>BV1wu4m1u7fF</t>
  </si>
  <si>
    <t>BV1Xt421V7Nb</t>
  </si>
  <si>
    <t>BV1vx421r7UA</t>
  </si>
  <si>
    <t>BV1Hw4m1o7pC</t>
  </si>
  <si>
    <t>BV1ej421o7qK</t>
  </si>
  <si>
    <t>BV1Lx4y1D7zi</t>
  </si>
  <si>
    <t>BV1bZ421b7vn</t>
  </si>
  <si>
    <t>BV19C411h77y</t>
  </si>
  <si>
    <t>My Destiny (我的命运)</t>
  </si>
  <si>
    <t>BV1Mx421y7f4</t>
  </si>
  <si>
    <t>BV1uZ421b78y</t>
  </si>
  <si>
    <t>BV1kZ421b7RA</t>
  </si>
  <si>
    <t>BV1dy421v7dK</t>
  </si>
  <si>
    <t>BV1fj421d7Gm</t>
  </si>
  <si>
    <t>BV1pC411b7if</t>
  </si>
  <si>
    <t>BV1u6421w7xx</t>
  </si>
  <si>
    <t>BV1nm411o7ud</t>
  </si>
  <si>
    <t>BV1ZC411b7pz</t>
  </si>
  <si>
    <t>BV1XK421Y77p</t>
  </si>
  <si>
    <t>BV1VD42177vt</t>
  </si>
  <si>
    <t>BV17x421k7gv</t>
  </si>
  <si>
    <t>BV1Fw4m1d7z6</t>
  </si>
  <si>
    <t>BV1RH4y1p7Cy</t>
  </si>
  <si>
    <t>BV1uD421L7zv</t>
  </si>
  <si>
    <t>BV1Rr421t726</t>
  </si>
  <si>
    <t>BV1Y1421Q7g6</t>
  </si>
  <si>
    <t>不该 (with aMEI)</t>
  </si>
  <si>
    <t>BV1x1421S7MC</t>
  </si>
  <si>
    <t>BV14u4m1T76W</t>
  </si>
  <si>
    <t>BV13m411d7rM</t>
  </si>
  <si>
    <t>BV1Pz421f7Xc</t>
  </si>
  <si>
    <t>BV1UA4m1A7n7</t>
  </si>
  <si>
    <t>BV18f421Z7Ko</t>
  </si>
  <si>
    <t>BV1bp421m7fv</t>
  </si>
  <si>
    <t>BV1Bu4m1T74S</t>
  </si>
  <si>
    <t>BV1bj421d7Wj</t>
  </si>
  <si>
    <t>BV13F4m1F7Kn</t>
  </si>
  <si>
    <t>BV1qC41187wF</t>
  </si>
  <si>
    <t>BV1B1421D7y9</t>
  </si>
  <si>
    <t>灯花落 (伴奏)</t>
  </si>
  <si>
    <t>BV1zx4y1m7qh</t>
  </si>
  <si>
    <t>BV1Hj421978W</t>
  </si>
  <si>
    <t>BV1zp42117gu</t>
  </si>
  <si>
    <t>BV1up421173Z</t>
  </si>
  <si>
    <t>BV1mt421g7cj</t>
  </si>
  <si>
    <t>无与伦比的美丽 (Live)</t>
  </si>
  <si>
    <t>BV1jD421j7Nw</t>
  </si>
  <si>
    <t>BV1qf421o7pM</t>
  </si>
  <si>
    <t>BV19A4m1A7Ta</t>
  </si>
  <si>
    <t>BV1fZ421q7MN</t>
  </si>
  <si>
    <t>BV1Pf421Z7zT</t>
  </si>
  <si>
    <t>BV1ir42147qa</t>
  </si>
  <si>
    <t>BV1zq421w7Si</t>
  </si>
  <si>
    <t>BV1RD42157ka</t>
  </si>
  <si>
    <t>BV12m421E7ZA</t>
  </si>
  <si>
    <t>BV1tq421w7Xr</t>
  </si>
  <si>
    <t>BV1Tr421t7Yo</t>
  </si>
  <si>
    <t>BV1Jx4y1v7fS</t>
  </si>
  <si>
    <t>BV1gq421w7dt</t>
  </si>
  <si>
    <t>BV1Hm421J7xr</t>
  </si>
  <si>
    <t>BV1uA4m1P7vT</t>
  </si>
  <si>
    <t>BV1sZ421B71Z</t>
  </si>
  <si>
    <t>BV1Rf421o7KF</t>
  </si>
  <si>
    <t>BV1jt421H7ng</t>
  </si>
  <si>
    <t>BV1cC411j73H</t>
  </si>
  <si>
    <t>BV1jx421D7T8</t>
  </si>
  <si>
    <t>BV1Mf421Z7Lr</t>
  </si>
  <si>
    <t>BV1Xz421o7YH</t>
  </si>
  <si>
    <t>BV1H1421U7hT</t>
  </si>
  <si>
    <t>BV16p421y7j9</t>
  </si>
  <si>
    <t>BV1CM4m197b6</t>
  </si>
  <si>
    <t>BV1qt421J7qg</t>
  </si>
  <si>
    <t>BV1jx421S7dD</t>
  </si>
  <si>
    <t>泼墨漓江 (创世之音Live)</t>
  </si>
  <si>
    <t>BV1ep42197hr</t>
  </si>
  <si>
    <t>BV1wT421m7Xg</t>
  </si>
  <si>
    <t>BV1hm42177tk</t>
  </si>
  <si>
    <t>BV1xK421a7MD</t>
  </si>
  <si>
    <t>BV1Rx421U7vt</t>
  </si>
  <si>
    <t>BV1ZE421M71C</t>
  </si>
  <si>
    <t>BV1vA4m1F7sh</t>
  </si>
  <si>
    <t>BV1gx4y1Y7iv</t>
  </si>
  <si>
    <t>BV1yp421Q7EU</t>
  </si>
  <si>
    <t>BV1YT421m7yh</t>
  </si>
  <si>
    <t>BV1Ht421E7e3</t>
  </si>
  <si>
    <t>BV1Zm411B7dq</t>
  </si>
  <si>
    <t>BV1SJ4m1V7TF</t>
  </si>
  <si>
    <t>BV16x421m79J</t>
  </si>
  <si>
    <t>BV18Z421Y7fe</t>
  </si>
  <si>
    <t>BV1AA4m1c7Tu</t>
  </si>
  <si>
    <t>BV16m421x7Dn</t>
  </si>
  <si>
    <t>BV1fi421f7Q8</t>
  </si>
  <si>
    <t>不识月 (赤羽版)</t>
  </si>
  <si>
    <t>BV1pu4m1F75N</t>
  </si>
  <si>
    <t>BV1Lz421k7kW</t>
  </si>
  <si>
    <t>BV19H4y1P7d8</t>
  </si>
  <si>
    <t>BV1Mu4m1F7WW</t>
  </si>
  <si>
    <t>BV15m41127ep</t>
  </si>
  <si>
    <t>BV1H1421d7rE</t>
  </si>
  <si>
    <t>BV15q421F7WR</t>
  </si>
  <si>
    <t>BV1Vw4m127jY</t>
  </si>
  <si>
    <t>BV1Wz421k7E2</t>
  </si>
  <si>
    <t>BV1Tt421P76e</t>
  </si>
  <si>
    <t>BV1Ft421j7Fm</t>
  </si>
  <si>
    <t>BV1vp421X72J</t>
  </si>
  <si>
    <t>BV1JJ4m1H7Vf</t>
  </si>
  <si>
    <t>BV1b1421d75J</t>
  </si>
  <si>
    <t>BV1Xr42137Yu</t>
  </si>
  <si>
    <t>BV1pi42127GW</t>
  </si>
  <si>
    <t>BV1Zm421j7Dd</t>
  </si>
  <si>
    <t>BV1Li42127AX</t>
  </si>
  <si>
    <t>BV1f1421d7vo</t>
  </si>
  <si>
    <t>BV1Dt421w7Rv</t>
  </si>
  <si>
    <t>BV19J4m1J7vm</t>
  </si>
  <si>
    <t>BV1EF4m1w7d6</t>
  </si>
  <si>
    <t>BV16C411n7rT</t>
  </si>
  <si>
    <t>BV1iC411n7kF</t>
  </si>
  <si>
    <t>BV1rF4m1w7cK</t>
  </si>
  <si>
    <t>BV1pm41127Dv</t>
  </si>
  <si>
    <t>BV1rC411n75C</t>
  </si>
  <si>
    <t>BV1PC411H7yB</t>
  </si>
  <si>
    <t>BV151421R7vC</t>
  </si>
  <si>
    <t>BV1rC411n7m4</t>
  </si>
  <si>
    <t>BV1B1421R7E6</t>
  </si>
  <si>
    <t>BV1Jm41127CP</t>
  </si>
  <si>
    <t>BV1Mx4y167Xo</t>
  </si>
  <si>
    <t>BV1vp421S7n8</t>
  </si>
  <si>
    <t>BV1vz42167bv</t>
  </si>
  <si>
    <t>BV1pm42147Kg</t>
  </si>
  <si>
    <t>BV1Vt42177Hv</t>
  </si>
  <si>
    <t>BV1kC411n7ra</t>
  </si>
  <si>
    <t>BV1PC411H7QP</t>
  </si>
  <si>
    <t>BV1JZ421H7nL</t>
  </si>
  <si>
    <t>BV15T42117Zh</t>
  </si>
  <si>
    <t>BV1mJ4m1J7xb</t>
  </si>
  <si>
    <t>BV1Yb421Y7RQ</t>
  </si>
  <si>
    <t>BV1ix4y167i1</t>
  </si>
  <si>
    <t>BV1Yp421Q72Y</t>
  </si>
  <si>
    <t>BV11M4m1f7zT</t>
  </si>
  <si>
    <t>BV17t421A7oY</t>
  </si>
  <si>
    <t>BV1fb421a7Wb</t>
  </si>
  <si>
    <t>BV1xr42137BA</t>
  </si>
  <si>
    <t>BV1KZ421J7dX</t>
  </si>
  <si>
    <t>BV1pm411178E</t>
  </si>
  <si>
    <t>BV1Wi421C7tm</t>
  </si>
  <si>
    <t>BV1aJ4m1E7zc</t>
  </si>
  <si>
    <t>BV13f421S7Do</t>
  </si>
  <si>
    <t>BV1KE421j7sk</t>
  </si>
  <si>
    <t>BV1bi421C7ZN</t>
  </si>
  <si>
    <t>BV1Lm411C7Ga</t>
  </si>
  <si>
    <t>BV1qx4y1B7Vn</t>
  </si>
  <si>
    <t>BV1Yw4m117X1</t>
  </si>
  <si>
    <t>BV1GH4y1V71C</t>
  </si>
  <si>
    <t>BV17142197Ag</t>
  </si>
  <si>
    <t>BV1dZ421J7tj</t>
  </si>
  <si>
    <t>BV1vm421p73M</t>
  </si>
  <si>
    <t>BV13E42157Uk</t>
  </si>
  <si>
    <t>BV1Up421S7QS</t>
  </si>
  <si>
    <t>BV1GE421L7RX</t>
  </si>
  <si>
    <t>BV1Qr421E7y5</t>
  </si>
  <si>
    <t>BV1Sf421U79x</t>
  </si>
  <si>
    <t>BV1LE421V7Du</t>
  </si>
  <si>
    <t>BV1Zm411C7WL</t>
  </si>
  <si>
    <t>BV1GC411n7W1</t>
  </si>
  <si>
    <t>BV1KE421L7hV</t>
  </si>
  <si>
    <t>BV1Lr421g7b8</t>
  </si>
  <si>
    <t>BV1xD421K7BK</t>
  </si>
  <si>
    <t>BV1jf421U7V7</t>
  </si>
  <si>
    <t>BV1GM4m1d7sg</t>
  </si>
  <si>
    <t>BV1eD421K7BS</t>
  </si>
  <si>
    <t>BV1w1421z779</t>
  </si>
  <si>
    <t>BV1pH4y1g74S</t>
  </si>
  <si>
    <t>BV1fC411j7Gc</t>
  </si>
  <si>
    <t>BV1qH4y1G7EX</t>
  </si>
  <si>
    <t>BV1vz421m73k</t>
  </si>
  <si>
    <t>BV15J4m1T79p</t>
  </si>
  <si>
    <t>BV1kt421u7xK</t>
  </si>
  <si>
    <t>BV18z421m7Gj</t>
  </si>
  <si>
    <t>BV1wC41177Mf</t>
  </si>
  <si>
    <t>BV1xz421m7he</t>
  </si>
  <si>
    <t>BV1nb421h7vX</t>
  </si>
  <si>
    <t>BV13D421N7V9</t>
  </si>
  <si>
    <t>BV1HD421N7NU</t>
  </si>
  <si>
    <t>BV1vr421779m</t>
  </si>
  <si>
    <t>BV1fr42177Zv</t>
  </si>
  <si>
    <t>BV1LZ42177JL</t>
  </si>
  <si>
    <t>BV1zE421V7Uz</t>
  </si>
  <si>
    <t>BV1nE42137rK</t>
  </si>
  <si>
    <t>BV15f421m7RW</t>
  </si>
  <si>
    <t>BV1YH4y1G7Ze</t>
  </si>
  <si>
    <t>BV16w4m197Rx</t>
  </si>
  <si>
    <t>BV1Xx4y1p7Lt</t>
  </si>
  <si>
    <t>BV1vf42117UX</t>
  </si>
  <si>
    <t>BV1tt421M7DF</t>
  </si>
  <si>
    <t>BV1Cm421T77e</t>
  </si>
  <si>
    <t>BV17r421E7Eg</t>
  </si>
  <si>
    <t>BV1Fm421g7s3</t>
  </si>
  <si>
    <t>BV1ZM4m1C7Lz</t>
  </si>
  <si>
    <t>BV19J4m1N7BN</t>
  </si>
  <si>
    <t>BV1aJ4m1A7Fs</t>
  </si>
  <si>
    <t>BV1wy411e7do</t>
  </si>
  <si>
    <t>BV1cr421j75a</t>
  </si>
  <si>
    <t>BV1aM4m1C7q2</t>
  </si>
  <si>
    <t>BV1Uw4m1Q7JU</t>
  </si>
  <si>
    <t>BV1oH4y1M7BK</t>
  </si>
  <si>
    <t>BV1F1421B76K</t>
  </si>
  <si>
    <t>BV1e7421f7HF</t>
  </si>
  <si>
    <t>BV1UJ4m1N7rC</t>
  </si>
  <si>
    <t>【说说Crystal】泡沫</t>
  </si>
  <si>
    <t>2024-5-18</t>
  </si>
  <si>
    <t>BV1ey411a7q4</t>
  </si>
  <si>
    <t>【说说Crystal】在水一方</t>
  </si>
  <si>
    <t>BV1tf421R7SG</t>
  </si>
  <si>
    <t>【说说Crystal】菩萨蛮</t>
  </si>
  <si>
    <t>BV1FM4m1k7yC</t>
  </si>
  <si>
    <t>【说说Crystal】天知河</t>
  </si>
  <si>
    <t>BV1Qt421K7wD</t>
  </si>
  <si>
    <t>【说说Crystal】不问天</t>
  </si>
  <si>
    <t>BV1AZ421x7zS</t>
  </si>
  <si>
    <t>【说说Crystal】枫</t>
  </si>
  <si>
    <t>BV1rw4m1U7R7</t>
  </si>
  <si>
    <t>【说说Crystal】不为谁而作的歌</t>
  </si>
  <si>
    <t>BV1kr42157pm</t>
  </si>
  <si>
    <t>【说说Crystal】小美满</t>
  </si>
  <si>
    <t>2024-5-20</t>
  </si>
  <si>
    <t>BV19i421D77G</t>
  </si>
  <si>
    <t>【说说Crystal】就是爱你</t>
  </si>
  <si>
    <t>BV1bf421R7iZ</t>
  </si>
  <si>
    <t>【说说Crystal】人间未满</t>
  </si>
  <si>
    <t>BV1bw4m1D79Q</t>
  </si>
  <si>
    <t>【说说Crystal】你听得到</t>
  </si>
  <si>
    <t>BV1bD421V7tr</t>
  </si>
  <si>
    <t>【说说Crystal】今天你要嫁给我</t>
  </si>
  <si>
    <t>BV1vm421M71L</t>
  </si>
  <si>
    <t>【说说Crystal】有点甜</t>
  </si>
  <si>
    <t>BV15s421w7FY</t>
  </si>
  <si>
    <t>【说说Crystal】兜圈</t>
  </si>
  <si>
    <t>BV1Fm421T7pB</t>
  </si>
  <si>
    <t>【说说Crystal】沙滩</t>
  </si>
  <si>
    <t>2024-5-25</t>
  </si>
  <si>
    <t>BV1uJ4m1A75q</t>
  </si>
  <si>
    <t>【说说Crystal】Melody</t>
  </si>
  <si>
    <t>BV1ET421q7NS</t>
  </si>
  <si>
    <t>【说说Crystal】寂寞的季节</t>
  </si>
  <si>
    <t>BV1gm421N77V</t>
  </si>
  <si>
    <t>【说说Crystal】黑色毛衣</t>
  </si>
  <si>
    <t>BV1Rb421q7S5</t>
  </si>
  <si>
    <t>【说说Crystal】爱在西元前mua</t>
  </si>
  <si>
    <t>爱在西元前mua</t>
  </si>
  <si>
    <t>BV1Ny411h7N2</t>
  </si>
  <si>
    <t>【说说Crystal】想自由</t>
  </si>
  <si>
    <t>BV1s7421Z7DY</t>
  </si>
  <si>
    <t>【说说Crystal】Ring Ring Ring</t>
  </si>
  <si>
    <t>BV1tz421e7NQ</t>
  </si>
  <si>
    <t>【说说Crystal】解忧曲</t>
  </si>
  <si>
    <t>BV1bz421a7KJ</t>
  </si>
  <si>
    <t>【说说Crystal】不枉</t>
  </si>
  <si>
    <t>2024-5-31</t>
  </si>
  <si>
    <t>BV1Tn4y197vZ</t>
  </si>
  <si>
    <t>【说说Crystal】达尔文</t>
  </si>
  <si>
    <t>BV1Kr421A7yW</t>
  </si>
  <si>
    <t>【说说Crystal】千里之外</t>
  </si>
  <si>
    <t>BV1rs421g7y2</t>
  </si>
  <si>
    <t>【说说Crystal】岁岁朝朝</t>
  </si>
  <si>
    <t>BV1Hb421i7x6</t>
  </si>
  <si>
    <t>【说说Crystal】搁浅</t>
  </si>
  <si>
    <t>BV1b4421X7Gb</t>
  </si>
  <si>
    <t>【说说Crystal】I Believe</t>
  </si>
  <si>
    <t>BV19D421u7aZ</t>
  </si>
  <si>
    <t>【说说Crystal】《我和你》梦回2008</t>
  </si>
  <si>
    <t>第一遍</t>
  </si>
  <si>
    <t>2024-6-1</t>
  </si>
  <si>
    <t>BV1MZ421p7jw</t>
  </si>
  <si>
    <t>第二遍</t>
  </si>
  <si>
    <t>【说说Crystal】好汉歌</t>
  </si>
  <si>
    <t>BV144421X7ms</t>
  </si>
  <si>
    <t>【说说Crystal】童年</t>
  </si>
  <si>
    <t>BV18i421v7XY</t>
  </si>
  <si>
    <t>【说说Crystal】弯弯的月亮</t>
  </si>
  <si>
    <t>BV1WT421v78U</t>
  </si>
  <si>
    <t>【说说Crystal】凤凰于飞</t>
  </si>
  <si>
    <t>BV17f421X7FK</t>
  </si>
  <si>
    <t>【说说Crystal】美人鱼</t>
  </si>
  <si>
    <t>2024-6-3</t>
  </si>
  <si>
    <t>BV1Jf421X7CN</t>
  </si>
  <si>
    <t>【说说Crystal】裹着心的光</t>
  </si>
  <si>
    <t>BV1Jw4m1q7Nu</t>
  </si>
  <si>
    <t>【说说Crystal】孤独娱乐</t>
  </si>
  <si>
    <t>BV1Zx4y1E7U2</t>
  </si>
  <si>
    <t>【说说Crystal】交换余生</t>
  </si>
  <si>
    <t>BV1k4421X7Vq</t>
  </si>
  <si>
    <t>【说说Crystal】那些你很冒险的梦</t>
  </si>
  <si>
    <t>BV1or421w7TN</t>
  </si>
  <si>
    <t>【说说Crystal】霞光</t>
  </si>
  <si>
    <t>BV1ei421v7G4</t>
  </si>
  <si>
    <t>【说说Crystal】落在胸口的星星</t>
  </si>
  <si>
    <t>BV1Nx4y1H7vo</t>
  </si>
  <si>
    <t>【说说Crystal】手写的从前</t>
  </si>
  <si>
    <t>BV1nS411K7uP</t>
  </si>
  <si>
    <t>【说说Crystal】醉赤壁</t>
  </si>
  <si>
    <t>2024-6-5</t>
  </si>
  <si>
    <t>BV1Yw4m1q7Ss</t>
  </si>
  <si>
    <t>【说说Crystal】雨下一整晚</t>
  </si>
  <si>
    <t>BV15s421g7Dz</t>
  </si>
  <si>
    <t>【说说Crystal】愿与愁（相当炸裂的伴奏）</t>
  </si>
  <si>
    <t>愿与愁（相当炸裂的伴奏）</t>
  </si>
  <si>
    <t>BV1D4421X7AC</t>
  </si>
  <si>
    <t>【说说Crystal】少年不凡</t>
  </si>
  <si>
    <t>BV1Tn4y1d7GL</t>
  </si>
  <si>
    <t>【说说Crystal】昨日青空</t>
  </si>
  <si>
    <t>BV1sJ4m1G7s4</t>
  </si>
  <si>
    <t>【说说Crystal】花月妖</t>
  </si>
  <si>
    <t>2024-6-8</t>
  </si>
  <si>
    <t>BV1sD421M7mw</t>
  </si>
  <si>
    <t>【说说Crystal】从前的月光</t>
  </si>
  <si>
    <t>BV164421Q7WH</t>
  </si>
  <si>
    <t>【说说Crystal】若把你</t>
  </si>
  <si>
    <t>BV1oT421Y7JB</t>
  </si>
  <si>
    <t>【说说Crystal】回乡偶书</t>
  </si>
  <si>
    <t>BV1pb421v7FK</t>
  </si>
  <si>
    <t>【说说Crystal】罗敷</t>
  </si>
  <si>
    <t>BV1Cf421D7HV</t>
  </si>
  <si>
    <t>【说说Crystal】记念</t>
  </si>
  <si>
    <t>BV1vz421b79w</t>
  </si>
  <si>
    <t>BV1xb421v7Zz</t>
  </si>
  <si>
    <t>BV12J4m1g7k7</t>
  </si>
  <si>
    <t>【说说Crystal】小时候</t>
  </si>
  <si>
    <t>BV1Js421T7qW</t>
  </si>
  <si>
    <t>BV1im421L73s</t>
  </si>
  <si>
    <t>【说说Crystal】起风了</t>
  </si>
  <si>
    <t>BV1Vz421b7EG</t>
  </si>
  <si>
    <t>【说说Crystal】送别</t>
  </si>
  <si>
    <t>BV13f421Q7Nr</t>
  </si>
  <si>
    <t>2024-6-10</t>
  </si>
  <si>
    <t>BV1GM4m1S72g</t>
  </si>
  <si>
    <t>【说说Crystal】稻香</t>
  </si>
  <si>
    <t>BV1gf421Q7Qi</t>
  </si>
  <si>
    <t>【说说Crystal】二十二</t>
  </si>
  <si>
    <t>BV1Gx4y1b7cb</t>
  </si>
  <si>
    <t>【说说Crystal】再见深海</t>
  </si>
  <si>
    <t>BV1ix4y1J7X5</t>
  </si>
  <si>
    <t>2024-6-11</t>
  </si>
  <si>
    <t>BV1CZ421p7ES</t>
  </si>
  <si>
    <t>【说说Crystal】开不了口</t>
  </si>
  <si>
    <t>BV1f1421y7vG</t>
  </si>
  <si>
    <t>【说说Crystal】泼墨漓江</t>
  </si>
  <si>
    <t>BV1bx4y1b76A</t>
  </si>
  <si>
    <t>【说说Crystal】眼泪成诗</t>
  </si>
  <si>
    <t>BV1qy411B7jD</t>
  </si>
  <si>
    <t>【说说Crystal】爱情悬崖</t>
  </si>
  <si>
    <t>BV1Gb421H7s8</t>
  </si>
  <si>
    <t>【说说Crystal】东风破</t>
  </si>
  <si>
    <t>BV1N1421C7H5</t>
  </si>
  <si>
    <t>【说说Crystal】给我一个理由忘记</t>
  </si>
  <si>
    <t>BV1er421c7L2</t>
  </si>
  <si>
    <t>【说说Crystal】一路向北</t>
  </si>
  <si>
    <t>BV1T4421Q7aJ</t>
  </si>
  <si>
    <t>【说说Crystal】想你时风起</t>
  </si>
  <si>
    <t>2024-6-12</t>
  </si>
  <si>
    <t>BV1TZ421g7Uk</t>
  </si>
  <si>
    <t>【说说Crystal】爱，很简单</t>
  </si>
  <si>
    <t>爱，很简单</t>
  </si>
  <si>
    <t>BV1QZ421u7qY</t>
  </si>
  <si>
    <t>【说说Crystal】不流泪的机场</t>
  </si>
  <si>
    <t>BV14f421D7SD</t>
  </si>
  <si>
    <t>BV167421R7jM</t>
  </si>
  <si>
    <t>【说说Crystal】I Don't Wanna Be You Anymore</t>
  </si>
  <si>
    <t>I Don't Wanna Be You Anymore</t>
  </si>
  <si>
    <t>BV1ew4m1v7Zt</t>
  </si>
  <si>
    <t>BV1KS411N7hH</t>
  </si>
  <si>
    <t>【说说Crystal】我要你</t>
  </si>
  <si>
    <t>2024-6-21</t>
  </si>
  <si>
    <t>BV1J1421r7da</t>
  </si>
  <si>
    <t>【说说Crystal】星辰大海</t>
  </si>
  <si>
    <t>BV1iy411z7o3</t>
  </si>
  <si>
    <t>【说说Crystal】遇见</t>
  </si>
  <si>
    <t>BV134421D7SX</t>
  </si>
  <si>
    <t>【说说Crystal】最美的期待</t>
  </si>
  <si>
    <t>BV1hf421Q73V</t>
  </si>
  <si>
    <t>【说说Crystal】追光者（无歌词口胡版）</t>
  </si>
  <si>
    <t>追光者（无歌词口胡版）</t>
  </si>
  <si>
    <t>BV1Ei421e7dK</t>
  </si>
  <si>
    <t>2024-6-26</t>
  </si>
  <si>
    <t>BV1qM4m1m7Cr</t>
  </si>
  <si>
    <t>【说说Crystal】月</t>
  </si>
  <si>
    <t>BV1mm421V7Fi</t>
  </si>
  <si>
    <t>【说说Crystal】Paper Hearts</t>
  </si>
  <si>
    <t>BV1ZS421d7Tx</t>
  </si>
  <si>
    <t>【说说Crystal】珊瑚海</t>
  </si>
  <si>
    <t>BV1sJ4m1u7Lz</t>
  </si>
  <si>
    <t>【说说Crystal】如果云知道</t>
  </si>
  <si>
    <t>BV1Ts421M7hk</t>
  </si>
  <si>
    <t>【说说Crystal】蜃楼之下</t>
  </si>
  <si>
    <t>BV1GS421o7kC</t>
  </si>
  <si>
    <t>【说说Crystal】迷宫</t>
  </si>
  <si>
    <t>BV1kw4m1e7yK</t>
  </si>
  <si>
    <t>【说说Crystal】轨迹</t>
  </si>
  <si>
    <t>BV18J4m1T79K</t>
  </si>
  <si>
    <t>【说说Crystal】如果可以</t>
  </si>
  <si>
    <t>2024-6-27</t>
  </si>
  <si>
    <t>BV1qs421T7Sg</t>
  </si>
  <si>
    <t>【说说Crystal】半岛铁盒</t>
  </si>
  <si>
    <t>BV1WS421d7dj</t>
  </si>
  <si>
    <t>【说说Crystal】不能说的秘密</t>
  </si>
  <si>
    <t>BV15b421p7MJ</t>
  </si>
  <si>
    <t>【说说Crystal】尚好的青春</t>
  </si>
  <si>
    <t>BV1o1421r77A</t>
  </si>
  <si>
    <t>【说说Crystal】你要的爱</t>
  </si>
  <si>
    <t>BV1Hw4m1a7aw</t>
  </si>
  <si>
    <t>【说说Crystal】如果爱忘了</t>
  </si>
  <si>
    <t>BV1rw4m1Y7Vn</t>
  </si>
  <si>
    <t>【说说Crystal】光亮</t>
  </si>
  <si>
    <t>BV1iS411A7v8</t>
  </si>
  <si>
    <t>【说说Crystal】翅膀</t>
  </si>
  <si>
    <t>2024-6-28</t>
  </si>
  <si>
    <t>BV1U1421r7b7</t>
  </si>
  <si>
    <t>【说说Crystal】Love U U</t>
  </si>
  <si>
    <t>BV1Bi421e7jJ</t>
  </si>
  <si>
    <t>【说说Crystal】说了再见</t>
  </si>
  <si>
    <t>BV14f421Q7Vd</t>
  </si>
  <si>
    <t>【说说Crystal】记得</t>
  </si>
  <si>
    <t>2024-6-29</t>
  </si>
  <si>
    <t>BV14J4m1T7nR</t>
  </si>
  <si>
    <t>BV15m42157DK</t>
  </si>
  <si>
    <t>BV18s421T73S</t>
  </si>
  <si>
    <t>【说说Crystal】身骑白马</t>
  </si>
  <si>
    <t>BV1Nz421z7K3</t>
  </si>
  <si>
    <t>【说说Crystal】别问很可怕</t>
  </si>
  <si>
    <t>BV1kr421F7Wo</t>
  </si>
  <si>
    <t>BV1nr421F79X</t>
  </si>
  <si>
    <t>【说说Crystal】愿与愁</t>
  </si>
  <si>
    <t>BV1wi421v7re</t>
  </si>
  <si>
    <t>【说说Crystal】听见下雨的声音</t>
  </si>
  <si>
    <t>BV1ym42137gS</t>
  </si>
  <si>
    <t>【说说Crystal】知否知否</t>
  </si>
  <si>
    <t>2024-7-3</t>
  </si>
  <si>
    <t>BV1kz421z78f</t>
  </si>
  <si>
    <t>【说说Crystal】红颜如霜</t>
  </si>
  <si>
    <t>BV1rW421R79c</t>
  </si>
  <si>
    <t>【说说Crystal】妥协</t>
  </si>
  <si>
    <t>BV1JE421P7hS</t>
  </si>
  <si>
    <t>【说说Crystal】很久以后</t>
  </si>
  <si>
    <t>BV1a4421D72q</t>
  </si>
  <si>
    <t>【说说Crystal】迷迭香</t>
  </si>
  <si>
    <t>BV1qE421A7Gu</t>
  </si>
  <si>
    <t>BV1Lf421z75H</t>
  </si>
  <si>
    <t>【说说Crystal】小雨</t>
  </si>
  <si>
    <t>BV1zf421z7CK</t>
  </si>
  <si>
    <t>【说说Crystal】恰好</t>
  </si>
  <si>
    <t>BV1x4421D7T9</t>
  </si>
  <si>
    <t>【说说Crystal】寻一个天荒地老的地方</t>
  </si>
  <si>
    <t>BV1Af421q7TR</t>
  </si>
  <si>
    <t>【说说Crystal】给电影人的情书</t>
  </si>
  <si>
    <t>BV1uf421q7rW</t>
  </si>
  <si>
    <t>BV1Qx4y1x7JL</t>
  </si>
  <si>
    <t>【说说Crystal】十七岁</t>
  </si>
  <si>
    <t>2024-7-5</t>
  </si>
  <si>
    <t>BV1mgawedEho</t>
  </si>
  <si>
    <t>【说说Crystal】借口</t>
  </si>
  <si>
    <t>BV1MuawetERB</t>
  </si>
  <si>
    <t>【说说Crystal】台风</t>
  </si>
  <si>
    <t>BV1Uuawe4EbW</t>
  </si>
  <si>
    <t>【说说Crystal】卷珠帘</t>
  </si>
  <si>
    <t>BV1KVaweRErm</t>
  </si>
  <si>
    <t>【说说Crystal】匆匆那年</t>
  </si>
  <si>
    <t>BV12GawesEQm</t>
  </si>
  <si>
    <t>【说说Crystal】追光者</t>
  </si>
  <si>
    <t>BV1mGawesE7u</t>
  </si>
  <si>
    <t>【说说Crystal】普通朋友</t>
  </si>
  <si>
    <t>BV1fbaweCE4n</t>
  </si>
  <si>
    <t>BV1zbaweCEFx</t>
  </si>
  <si>
    <t>【说说Crystal】左边</t>
  </si>
  <si>
    <t>2024-7-6</t>
  </si>
  <si>
    <t>BV1aqaueHEAP</t>
  </si>
  <si>
    <t>【说说Crystal】在夜里跳舞</t>
  </si>
  <si>
    <t>BV1braueUEfd</t>
  </si>
  <si>
    <t>【说说Crystal】Rubia</t>
  </si>
  <si>
    <t>BV1g6aueJEVm</t>
  </si>
  <si>
    <t>【说说Crystal】爱就一个字</t>
  </si>
  <si>
    <t>BV1g6aueJEY4</t>
  </si>
  <si>
    <t>【说说Crystal】雨蝶</t>
  </si>
  <si>
    <t>BV1VaaueREsU</t>
  </si>
  <si>
    <t>【说说Crystal】快乐手帐</t>
  </si>
  <si>
    <t>BV1g6aueJEVj</t>
  </si>
  <si>
    <t>【说说Crystal】总督限定《想把哥哥追》</t>
  </si>
  <si>
    <t>总督限定《想把哥哥追》</t>
  </si>
  <si>
    <t>BV1VaaueREDg</t>
  </si>
  <si>
    <t>【说说Crystal】分身</t>
  </si>
  <si>
    <t>BV1braueUEvB</t>
  </si>
  <si>
    <t>【说说Crystal】痒</t>
  </si>
  <si>
    <t>BV1LhauexE5c</t>
  </si>
  <si>
    <t>BV15hauexEMW</t>
  </si>
  <si>
    <t>【说说Crystal】心墙</t>
  </si>
  <si>
    <t>2024-7-9</t>
  </si>
  <si>
    <t>BV1HmaqeEEin</t>
  </si>
  <si>
    <t>【说说Crystal】浪漫血液</t>
  </si>
  <si>
    <t>BV1wmaqeEEpj</t>
  </si>
  <si>
    <t>【说说Crystal】隐形的翅膀</t>
  </si>
  <si>
    <t>BV1WkaqeQEyS</t>
  </si>
  <si>
    <t>【说说Crystal】茉莉雨</t>
  </si>
  <si>
    <t>BV1w1aqeSED9</t>
  </si>
  <si>
    <t>2024-7-10</t>
  </si>
  <si>
    <t>BV1opaEeQEgF</t>
  </si>
  <si>
    <t>【说说Crystal】第几个100天</t>
  </si>
  <si>
    <t>BV1oHaEepEXu</t>
  </si>
  <si>
    <t>BV1oHaEepER7</t>
  </si>
  <si>
    <t>BV1ZHaEepEup</t>
  </si>
  <si>
    <t>【说说Crystal】小镇姑娘</t>
  </si>
  <si>
    <t>BV1VSa7eLEmZ</t>
  </si>
  <si>
    <t>【说说Crystal】喜欢寂寞</t>
  </si>
  <si>
    <t>BV13Xa7eVEaa</t>
  </si>
  <si>
    <t>【说说Crystal】频率</t>
  </si>
  <si>
    <t>BV1ema7e2EWi</t>
  </si>
  <si>
    <t>【说说Crystal】相信</t>
  </si>
  <si>
    <t>BV1YwasehELT</t>
  </si>
  <si>
    <t>【说说Crystal】桃華</t>
  </si>
  <si>
    <t>BV1hNasebEYG</t>
  </si>
  <si>
    <t>【说说Crystal】化身孤岛的鲸</t>
  </si>
  <si>
    <t>2024-7-12</t>
  </si>
  <si>
    <t>BV1QsbtehExF</t>
  </si>
  <si>
    <t>【说说Crystal】天天</t>
  </si>
  <si>
    <t>BV1QsbtehEKQ</t>
  </si>
  <si>
    <t>【说说Crystal】人是_</t>
  </si>
  <si>
    <t>BV1YWbteAELt</t>
  </si>
  <si>
    <t>【说说Crystal】自己</t>
  </si>
  <si>
    <t>BV1XWbtewEGF</t>
  </si>
  <si>
    <t>【说说Crystal】想你的365天</t>
  </si>
  <si>
    <t>BV1gtbte8Eez</t>
  </si>
  <si>
    <t>【说说Crystal】等你下课</t>
  </si>
  <si>
    <t>2024-7-13</t>
  </si>
  <si>
    <t>BV1ZqbMeDEwg</t>
  </si>
  <si>
    <t>【说说Crystal】七里香</t>
  </si>
  <si>
    <t>BV1EqbMeQEes</t>
  </si>
  <si>
    <t>【说说Crystal】生生（不熟）</t>
  </si>
  <si>
    <t>生生（不熟）</t>
  </si>
  <si>
    <t>BV1w8bMe4ErB</t>
  </si>
  <si>
    <t>BV1c8bMe4EqP</t>
  </si>
  <si>
    <t>【说说Crystal】灯火里的中国</t>
  </si>
  <si>
    <t>BV1cYbMesEL5</t>
  </si>
  <si>
    <t>【说说Crystal】敕勒歌</t>
  </si>
  <si>
    <t>BV1AtbMeZENJ</t>
  </si>
  <si>
    <t>【说说Crystal】冻结</t>
  </si>
  <si>
    <t>BV1chbMedEnV</t>
  </si>
  <si>
    <t>【说说Crystal】彩云之南</t>
  </si>
  <si>
    <t>BV192bMeyEyp</t>
  </si>
  <si>
    <t>BV1gJbGeSE6N</t>
  </si>
  <si>
    <t>2024-7-17</t>
  </si>
  <si>
    <t>BV1dr85eKEe5</t>
  </si>
  <si>
    <t>【说说Crystal】我好想你</t>
  </si>
  <si>
    <t>BV1Rk85evEbn</t>
  </si>
  <si>
    <t>BV19185eYEer</t>
  </si>
  <si>
    <t>【说说Crystal】问花</t>
  </si>
  <si>
    <t>BV1Ry85ePEDA</t>
  </si>
  <si>
    <t>【说说Crystal】发如雪</t>
  </si>
  <si>
    <t>BV1mf85e9Ez7</t>
  </si>
  <si>
    <t>【说说Crystal】桃花谣</t>
  </si>
  <si>
    <t>BV1yP8LenExz</t>
  </si>
  <si>
    <t>【说说Crystal】后会无期</t>
  </si>
  <si>
    <t>2024-7-19</t>
  </si>
  <si>
    <t>BV1KF8PesEmF</t>
  </si>
  <si>
    <t>【说说Crystal】自画像</t>
  </si>
  <si>
    <t>BV1gX8AeFELR</t>
  </si>
  <si>
    <t>【说说Crystal】你</t>
  </si>
  <si>
    <t>BV1gX8AeFEaq</t>
  </si>
  <si>
    <t>BV1aD8AehE7X</t>
  </si>
  <si>
    <t>【说说Crystal】小幸运</t>
  </si>
  <si>
    <t>BV13D8AehEj2</t>
  </si>
  <si>
    <t>2024-7-21</t>
  </si>
  <si>
    <t>BV19y82eWEMn</t>
  </si>
  <si>
    <t>BV19y82eWEn7</t>
  </si>
  <si>
    <t>BV1fv82e8EcC</t>
  </si>
  <si>
    <t>BV15k82edE7R</t>
  </si>
  <si>
    <t>BV19y82eWEgx</t>
  </si>
  <si>
    <t>BV15k82edEEe</t>
  </si>
  <si>
    <t>【说说Crystal】你啊你啊</t>
  </si>
  <si>
    <t>2024-7-22</t>
  </si>
  <si>
    <t>BV1dL8eeRE8R</t>
  </si>
  <si>
    <t>【说说Crystal】太空人</t>
  </si>
  <si>
    <t>BV1Z38eetE4u</t>
  </si>
  <si>
    <t>【说说Crystal】大笨钟</t>
  </si>
  <si>
    <t>BV1jL8eedE7U</t>
  </si>
  <si>
    <t>【说说Crystal】断了的弦</t>
  </si>
  <si>
    <t>BV1o58eexERp</t>
  </si>
  <si>
    <t>2024-7-24</t>
  </si>
  <si>
    <t>BV1SdeDeTEPn</t>
  </si>
  <si>
    <t>【说说Crystal】炫境</t>
  </si>
  <si>
    <t>BV1MdeDeMEyD</t>
  </si>
  <si>
    <t>【说说Crystal】三月雨</t>
  </si>
  <si>
    <t>BV1u9eDeqExE</t>
  </si>
  <si>
    <t>【说说Crystal】长夜杯空</t>
  </si>
  <si>
    <t>BV1S9eDeBEJk</t>
  </si>
  <si>
    <t>【说说Crystal】桃花诺</t>
  </si>
  <si>
    <t>BV1u9eDezEq7</t>
  </si>
  <si>
    <t>【说说Crystal】繁华唱遍</t>
  </si>
  <si>
    <t>2024-7-26</t>
  </si>
  <si>
    <t>BV1jPeCefEEi</t>
  </si>
  <si>
    <t>【说说Crystal】鸿雁</t>
  </si>
  <si>
    <t>BV1jPeCefEGr</t>
  </si>
  <si>
    <t>【说说Crystal】清唱《我和我的祖国》</t>
  </si>
  <si>
    <t>清唱《我和我的祖国》</t>
  </si>
  <si>
    <t>BV1eueCexEdn</t>
  </si>
  <si>
    <t>【说说Crystal】清唱《我的祖国》</t>
  </si>
  <si>
    <t>清唱《我的祖国》</t>
  </si>
  <si>
    <t>BV1eueCexEQh</t>
  </si>
  <si>
    <t>【说说Crystal】清唱《共和国之恋》</t>
  </si>
  <si>
    <t>共和国之恋</t>
  </si>
  <si>
    <t>BV15TeCeoEdk</t>
  </si>
  <si>
    <t>【说说Crystal】牡丹亭畔</t>
  </si>
  <si>
    <t>2024-7-27</t>
  </si>
  <si>
    <t>BV1wEvEeTEdb</t>
  </si>
  <si>
    <t>【说说Crystal】浏阳河</t>
  </si>
  <si>
    <t>BV1kjvEeqEqL</t>
  </si>
  <si>
    <t>【说说Crystal】美声版《我会自己上厕所》</t>
  </si>
  <si>
    <t>美声版《我会自己上厕所》</t>
  </si>
  <si>
    <t>BV1F6v7eAECp</t>
  </si>
  <si>
    <t>【说说Crystal】贝加尔湖畔</t>
  </si>
  <si>
    <t>2024-7-29</t>
  </si>
  <si>
    <t>BV1XvvTeRESZ</t>
  </si>
  <si>
    <t>【说说Crystal】风吹麦浪</t>
  </si>
  <si>
    <t>BV19vvTeREWA</t>
  </si>
  <si>
    <t>【说说Crystal】知足</t>
  </si>
  <si>
    <t>BV1D6vTeHE45</t>
  </si>
  <si>
    <t>【说说Crystal】彩虹</t>
  </si>
  <si>
    <t>BV12RvueSEAx</t>
  </si>
  <si>
    <t>BV1mDvuepETf</t>
  </si>
  <si>
    <t>BV11RvueSEJW</t>
  </si>
  <si>
    <t>【说说Crystal】梨花香</t>
  </si>
  <si>
    <t>BV119vuenE9h</t>
  </si>
  <si>
    <t>【说说Crystal】入画江南</t>
  </si>
  <si>
    <t>2024-7-30</t>
  </si>
  <si>
    <t>BV1MVv1esEs8</t>
  </si>
  <si>
    <t>【说说Crystal】星河叹</t>
  </si>
  <si>
    <t>BV1b3v1edEYD</t>
  </si>
  <si>
    <t>【说说Crystal】繁华梦</t>
  </si>
  <si>
    <t>BV1u3v1edEMv</t>
  </si>
  <si>
    <t>【说说Crystal】泡泡</t>
  </si>
  <si>
    <t>BV1GKv1eFEwo</t>
  </si>
  <si>
    <t>【说说Crystal】九万字</t>
  </si>
  <si>
    <t>BV13Tv1ebE5m</t>
  </si>
  <si>
    <t>【说说Crystal】这世界也是我的家</t>
  </si>
  <si>
    <t>BV1hgv1e4ETm</t>
  </si>
  <si>
    <t>BV1DMv1eZEj1</t>
  </si>
  <si>
    <t>【说说Crystal】画心</t>
  </si>
  <si>
    <t>BV1pxv1ejEt2</t>
  </si>
  <si>
    <t>2024-7-31</t>
  </si>
  <si>
    <t>BV1Ntv4eAEVE</t>
  </si>
  <si>
    <t>BV1bJv4eBEFa</t>
  </si>
  <si>
    <t>【说说Crystal】瓦解</t>
  </si>
  <si>
    <t>BV1uEv4euEjz</t>
  </si>
  <si>
    <t>【说说Crystal】红尘客栈</t>
  </si>
  <si>
    <t>BV14pv4eiECZ</t>
  </si>
  <si>
    <t>【说说Crystal】爱在西元前</t>
  </si>
  <si>
    <t>2024-8-2</t>
  </si>
  <si>
    <t>BV171iGe7EzG</t>
  </si>
  <si>
    <t>【说说Crystal】清唱《小雨》</t>
  </si>
  <si>
    <t>清唱《小雨》</t>
  </si>
  <si>
    <t>BV1uciVeTEaV</t>
  </si>
  <si>
    <t>【说说Crystal】清唱《人间未满》</t>
  </si>
  <si>
    <t>清唱《人间未满》</t>
  </si>
  <si>
    <t>BV17CiGeUEQU</t>
  </si>
  <si>
    <t>【说说Crystal】清唱《想你的365天》</t>
  </si>
  <si>
    <t>清唱《想你的365天》</t>
  </si>
  <si>
    <t>BV17CiGeUEhm</t>
  </si>
  <si>
    <t>【说说Crystal】剪爱</t>
  </si>
  <si>
    <t>2024-8-3</t>
  </si>
  <si>
    <t>BV1uxv9eEEis</t>
  </si>
  <si>
    <t>BV1V7v9e9E2T</t>
  </si>
  <si>
    <t>【说说Crystal】想把哥哥追</t>
  </si>
  <si>
    <t>BV1Rjv9esEPW</t>
  </si>
  <si>
    <t>2024-8-7</t>
  </si>
  <si>
    <t>BV161a2e6EZB</t>
  </si>
  <si>
    <t>【说说Crystal】夏天的风</t>
  </si>
  <si>
    <t>2024-8-6</t>
  </si>
  <si>
    <t>BV1r1a2e6Em8</t>
  </si>
  <si>
    <t>BV1H8aSeEETh</t>
  </si>
  <si>
    <t>【说说Crystal】喜欢你</t>
  </si>
  <si>
    <t>BV1ptaSeDEiQ</t>
  </si>
  <si>
    <t>【说说Crystal】宠爱</t>
  </si>
  <si>
    <t>BV1ptaSeSEwM</t>
  </si>
  <si>
    <t>【说说Crystal】谁动了我的琴弦</t>
  </si>
  <si>
    <t>BV1JYaSejEf4</t>
  </si>
  <si>
    <t>BV1nhaSemExt</t>
  </si>
  <si>
    <t>【说说Crystal】上海一九四三</t>
  </si>
  <si>
    <t>BV1rZaXedEjS</t>
  </si>
  <si>
    <t>BV1woaXetEhY</t>
  </si>
  <si>
    <t>【说说Crystal】那个女孩</t>
  </si>
  <si>
    <t>BV1cZaXedE7g</t>
  </si>
  <si>
    <t>BV1coaXetEBg</t>
  </si>
  <si>
    <t>【说说Crystal】去有风的地方</t>
  </si>
  <si>
    <t>2024-8-9</t>
  </si>
  <si>
    <t>BV1HNYueTEUd</t>
  </si>
  <si>
    <t>【说说Crystal】路过人间</t>
  </si>
  <si>
    <t>BV1HNYueTEvA</t>
  </si>
  <si>
    <t>BV1EuYueeErF</t>
  </si>
  <si>
    <t>【说说Crystal】让她降落</t>
  </si>
  <si>
    <t>BV1WFYue6EfE</t>
  </si>
  <si>
    <t>【说说Crystal】给我一个吻</t>
  </si>
  <si>
    <t>BV1yfYMe3ECZ</t>
  </si>
  <si>
    <t>【说说Crystal】Forever Young</t>
  </si>
  <si>
    <t>BV1JMYueNEoW</t>
  </si>
  <si>
    <t>【说说Crystal】原谅</t>
  </si>
  <si>
    <t>BV1CFYue6EzM</t>
  </si>
  <si>
    <t>【说说Crystal】甜甜的</t>
  </si>
  <si>
    <t>2024-8-10</t>
  </si>
  <si>
    <t>BV1EaYJebEAZ</t>
  </si>
  <si>
    <t>BV1EhYJeFERN</t>
  </si>
  <si>
    <t>BV1EhYJeFEAj</t>
  </si>
  <si>
    <t>BV1EhYJeFEQP</t>
  </si>
  <si>
    <t>BV1qvYJe4EM2</t>
  </si>
  <si>
    <t>【说说Crystal】好运来</t>
  </si>
  <si>
    <t>BV1jvYJe4Esa</t>
  </si>
  <si>
    <t>BV1EhYJeFEnr</t>
  </si>
  <si>
    <t>BV1ayYJenEVv</t>
  </si>
  <si>
    <t>把前面那段剪掉</t>
  </si>
  <si>
    <t>BV1LBYJesEci</t>
  </si>
  <si>
    <t>【说说Crystal】如此</t>
  </si>
  <si>
    <t>2024-8-12</t>
  </si>
  <si>
    <t>BV1aeYiewEY6</t>
  </si>
  <si>
    <t>BV1aeYiewESb</t>
  </si>
  <si>
    <t>BV1bBYiebEBn</t>
  </si>
  <si>
    <t>【说说Crystal】泪桥</t>
  </si>
  <si>
    <t>BV18BYiebEWC</t>
  </si>
  <si>
    <t>BV18qYieFERt</t>
  </si>
  <si>
    <t>2024-8-14</t>
  </si>
  <si>
    <t>BV1yYepeEEMS</t>
  </si>
  <si>
    <t>BV1kqepe1EBq</t>
  </si>
  <si>
    <t>BV1CYepeEEfJ</t>
  </si>
  <si>
    <t>【说说Crystal】依然爱你</t>
  </si>
  <si>
    <t>BV1kqepe1EHu</t>
  </si>
  <si>
    <t>【说说Crystal】月光</t>
  </si>
  <si>
    <t>BV1pqepe2EYY</t>
  </si>
  <si>
    <t>BV1Aiepe7EiQ</t>
  </si>
  <si>
    <t>【说说Crystal】下雨天</t>
  </si>
  <si>
    <t>2024-8-17</t>
  </si>
  <si>
    <t>BV1EBWFenE2x</t>
  </si>
  <si>
    <t>BV1JBWFenE1j</t>
  </si>
  <si>
    <t>BV1ZkWFemEq4</t>
  </si>
  <si>
    <t>【说说Crystal】浪漫手机</t>
  </si>
  <si>
    <t>BV1qkWFemEb5</t>
  </si>
  <si>
    <t>【说说Crystal】烟花易冷</t>
  </si>
  <si>
    <t>BV1ErWFeEEnx</t>
  </si>
  <si>
    <t>BV1BkWFemEGT</t>
  </si>
  <si>
    <t>BV1orWFejEa5</t>
  </si>
  <si>
    <t>BV1rYWFe9Ei3</t>
  </si>
  <si>
    <t>【说说Crystal】给我一首歌的时间</t>
  </si>
  <si>
    <t>BV1wYWFeRExP</t>
  </si>
  <si>
    <t>2024-8-21</t>
  </si>
  <si>
    <t>BV1vhW2erE5w</t>
  </si>
  <si>
    <t>BV1aiW2eMEyA</t>
  </si>
  <si>
    <t>【说说Crystal】年轮</t>
  </si>
  <si>
    <t>BV1YiW2eMETZ</t>
  </si>
  <si>
    <t>BV19eW2ezEJm</t>
  </si>
  <si>
    <t>【说说Crystal】晴天</t>
  </si>
  <si>
    <t>BV1bwW2eaEUK</t>
  </si>
  <si>
    <t>【说说Crystal】像风一样</t>
  </si>
  <si>
    <t>BV1gcW2eAEu4</t>
  </si>
  <si>
    <t>2024-8-24</t>
  </si>
  <si>
    <t>BV1bPW2ecEv8</t>
  </si>
  <si>
    <t>BV1MPW2ecEpD</t>
  </si>
  <si>
    <t>2024-8-26</t>
  </si>
  <si>
    <t>BV1tfs4eyEzU</t>
  </si>
  <si>
    <t>【说说Crystal】布虎记</t>
  </si>
  <si>
    <t>BV1tfs4e1EV6</t>
  </si>
  <si>
    <t>BV1KPsteGENS</t>
  </si>
  <si>
    <t>【说说Crystal】High歌</t>
  </si>
  <si>
    <t>BV12Pste3EKz</t>
  </si>
  <si>
    <t>【说说Crystal】慢慢喜欢你</t>
  </si>
  <si>
    <t>BV1KwsteCEDr</t>
  </si>
  <si>
    <t>2024-8-28</t>
  </si>
  <si>
    <t>BV1Y2HKeHEM6</t>
  </si>
  <si>
    <t>【说说Crystal】崇拜</t>
  </si>
  <si>
    <t>BV1NAHTerEey</t>
  </si>
  <si>
    <t>【说说Crystal】偶阵雨</t>
  </si>
  <si>
    <t>BV1NwHTeGEiR</t>
  </si>
  <si>
    <t>BV1xwHTeGEk1</t>
  </si>
  <si>
    <t>【说说Crystal】谢东风</t>
  </si>
  <si>
    <t>谢东风</t>
  </si>
  <si>
    <t>2024-8-30</t>
  </si>
  <si>
    <t>BV1GLHYetE8k</t>
  </si>
  <si>
    <t>BV1GLHYetE4b</t>
  </si>
  <si>
    <t>【说说Crystal】相思</t>
  </si>
  <si>
    <t>BV1GVHYefEXH</t>
  </si>
  <si>
    <t>【说说Crystal】女儿情</t>
  </si>
  <si>
    <t>BV13LHYetECW</t>
  </si>
  <si>
    <t>【说说Crystal】锦鲤抄</t>
  </si>
  <si>
    <t>BV1VVHYefEVw</t>
  </si>
  <si>
    <t>BV1aVHYefEoZ</t>
  </si>
  <si>
    <t>【说说Crystal】先生</t>
  </si>
  <si>
    <t>BV1VVHYefEM5</t>
  </si>
  <si>
    <t>【说说Crystal】牵丝戏</t>
  </si>
  <si>
    <t>BV1oKHYeeEex</t>
  </si>
  <si>
    <t>【说说Crystal】学不会</t>
  </si>
  <si>
    <t>2024-8-31</t>
  </si>
  <si>
    <t>BV1jKHYeeEyj</t>
  </si>
  <si>
    <t>【说说Crystal】漂洋过海来看你</t>
  </si>
  <si>
    <t>BV17NHYeNE31</t>
  </si>
  <si>
    <t>【说说Crystal】心乱飞</t>
  </si>
  <si>
    <t>BV17NHYeNEN5</t>
  </si>
  <si>
    <t>BV17KHYevEcu</t>
  </si>
  <si>
    <t>【说说Crystal】秋意浓</t>
  </si>
  <si>
    <t>BV17NHYeNEbG</t>
  </si>
  <si>
    <t>2024-9-4</t>
  </si>
  <si>
    <t>BV1gWpueZE3H</t>
  </si>
  <si>
    <t>BV18xpue4Eha</t>
  </si>
  <si>
    <t>【说说Crystal】暗号</t>
  </si>
  <si>
    <t>BV1gWpueZE5S</t>
  </si>
  <si>
    <t>【说说Crystal】不要忘记我爱你</t>
  </si>
  <si>
    <t>BV1gWpueZEie</t>
  </si>
  <si>
    <t>【说说Crystal】风月</t>
  </si>
  <si>
    <t>BV1gWpueZEV5</t>
  </si>
  <si>
    <t>BV1RjpueYEnX</t>
  </si>
  <si>
    <t>【说说Crystal】清唱《斯卡布罗集市》</t>
  </si>
  <si>
    <t>BV1VjpueYESQ</t>
  </si>
  <si>
    <t>【说说Crystal】下一秒</t>
  </si>
  <si>
    <t>BV1vjpueYEFj</t>
  </si>
  <si>
    <t>【说说Crystal】下雨的夜晚</t>
  </si>
  <si>
    <t>BV1vjpueYEAj</t>
  </si>
  <si>
    <t>【说说Crystal】字字句句</t>
  </si>
  <si>
    <t>BV15LpuePEaG</t>
  </si>
  <si>
    <t>【说说Crystal】那年夏天宁静的海</t>
  </si>
  <si>
    <t>2024-9-6</t>
  </si>
  <si>
    <t>BV1Urp4euEb5</t>
  </si>
  <si>
    <t>【说说Crystal】梨花又开放</t>
  </si>
  <si>
    <t>BV1sup4ewEFY</t>
  </si>
  <si>
    <t>【说说Crystal】爱你</t>
  </si>
  <si>
    <t>BV1Pup4ewEuS</t>
  </si>
  <si>
    <t>【说说Crystal】当你</t>
  </si>
  <si>
    <t>BV1NTp4eYEJy</t>
  </si>
  <si>
    <t>第三遍</t>
  </si>
  <si>
    <t>BV1yTp4eYEEX</t>
  </si>
  <si>
    <t>【说说Crystal】睫毛弯弯</t>
  </si>
  <si>
    <t>BV1NTp4eYEE1</t>
  </si>
  <si>
    <t>2024-9-7</t>
  </si>
  <si>
    <t>BV1AbpveHEFV</t>
  </si>
  <si>
    <t>BV1w4pveQEyL</t>
  </si>
  <si>
    <t>BV1wbpvenEN2</t>
  </si>
  <si>
    <t>BV1wbpvenE3C</t>
  </si>
  <si>
    <t>【说说Crystal】房间</t>
  </si>
  <si>
    <t>2024-9-9</t>
  </si>
  <si>
    <t>BV18vpseiEHe</t>
  </si>
  <si>
    <t>【说说Crystal】清唱《不该》</t>
  </si>
  <si>
    <t>清唱《不该》</t>
  </si>
  <si>
    <t>BV1bvpseiEhi</t>
  </si>
  <si>
    <t>【说说Crystal】清唱《恰好》</t>
  </si>
  <si>
    <t>清唱《恰好》</t>
  </si>
  <si>
    <t>BV1uvpseiE5v</t>
  </si>
  <si>
    <t>【说说Crystal】清唱《九万字》</t>
  </si>
  <si>
    <t>清唱《九万字》</t>
  </si>
  <si>
    <t>BV1T6pseAE1i</t>
  </si>
  <si>
    <t>【说说Crystal】清唱《呼吸决定》</t>
  </si>
  <si>
    <t>清唱《呼吸决定》</t>
  </si>
  <si>
    <t>BV1T6pseAEgf</t>
  </si>
  <si>
    <t>【说说Crystal】清唱《敕勒歌》</t>
  </si>
  <si>
    <t>清唱《敕勒歌》</t>
  </si>
  <si>
    <t>BV1m6psewELu</t>
  </si>
  <si>
    <t>【说说Crystal】清唱《桃華》</t>
  </si>
  <si>
    <t>BV1tBpseeEo7</t>
  </si>
  <si>
    <t>【说说Crystal】清唱《喜欢你》</t>
  </si>
  <si>
    <t>清唱《喜欢你》</t>
  </si>
  <si>
    <t>BV1mBpseYEVw</t>
  </si>
  <si>
    <t>【曲库达人】（1）歌曲标签补充任务详解 (kugou.com)</t>
  </si>
  <si>
    <t>乂龘投稿视频-乂龘视频分享-哔哩哔哩视频 (bilibili.com)</t>
  </si>
  <si>
    <t>天天-头声纯享版</t>
    <phoneticPr fontId="1" type="noConversion"/>
  </si>
  <si>
    <t>桃華</t>
    <phoneticPr fontId="1" type="noConversion"/>
  </si>
  <si>
    <t>霍尊</t>
  </si>
  <si>
    <t>恰好</t>
    <phoneticPr fontId="1" type="noConversion"/>
  </si>
  <si>
    <t>房间</t>
    <phoneticPr fontId="1" type="noConversion"/>
  </si>
  <si>
    <t>刘瑞琦</t>
  </si>
  <si>
    <t>谢东风(恬淡悠然)</t>
    <phoneticPr fontId="1" type="noConversion"/>
  </si>
  <si>
    <t>提督专属</t>
  </si>
  <si>
    <t>流行</t>
  </si>
  <si>
    <t>国语</t>
  </si>
  <si>
    <t>王蓉</t>
  </si>
  <si>
    <t>要抱抱</t>
  </si>
  <si>
    <t>lily</t>
    <phoneticPr fontId="16" type="noConversion"/>
  </si>
  <si>
    <t>妮莉安Lily</t>
  </si>
  <si>
    <t>樱狐</t>
  </si>
  <si>
    <t>别问月亮</t>
  </si>
  <si>
    <t>黑桃影</t>
  </si>
  <si>
    <t>Spade</t>
  </si>
  <si>
    <t>张芯</t>
  </si>
  <si>
    <t>可汗山</t>
  </si>
  <si>
    <t>林志炫</t>
  </si>
  <si>
    <t>没离开过</t>
  </si>
  <si>
    <t>【参赛曲】</t>
  </si>
  <si>
    <t>黄绮珊</t>
  </si>
  <si>
    <t>民族</t>
  </si>
  <si>
    <t>人是</t>
  </si>
  <si>
    <t>浮光</t>
  </si>
  <si>
    <t>玫瑰的名字</t>
  </si>
  <si>
    <t>是否爱过我</t>
  </si>
  <si>
    <t>情人流浪记</t>
  </si>
  <si>
    <t>我用所有报答爱</t>
  </si>
  <si>
    <t>三生三世</t>
  </si>
  <si>
    <t>我还年轻</t>
  </si>
  <si>
    <t>羽泉</t>
  </si>
  <si>
    <t>爱无反顾</t>
  </si>
  <si>
    <t>徐晶晶</t>
  </si>
  <si>
    <t>千年之恋</t>
  </si>
  <si>
    <t>火烧的寂寞</t>
  </si>
  <si>
    <t>小时</t>
  </si>
  <si>
    <t>爱殇</t>
  </si>
  <si>
    <t>弦子</t>
  </si>
  <si>
    <t>天空之外</t>
  </si>
  <si>
    <t>西单女孩</t>
  </si>
  <si>
    <t>原点</t>
  </si>
  <si>
    <t>盛夏光年</t>
  </si>
  <si>
    <t>美声</t>
  </si>
  <si>
    <t>思恋</t>
  </si>
  <si>
    <t>粤语</t>
  </si>
  <si>
    <t>多得他</t>
  </si>
  <si>
    <t>林忆莲版</t>
  </si>
  <si>
    <t>苍狼大地</t>
  </si>
  <si>
    <t>怨苍天变了心</t>
  </si>
  <si>
    <t>孙楠</t>
  </si>
  <si>
    <t>拯救</t>
  </si>
  <si>
    <t>苏诗丁</t>
  </si>
  <si>
    <t>再见萤火虫</t>
  </si>
  <si>
    <t>古风</t>
  </si>
  <si>
    <t>说说</t>
  </si>
  <si>
    <t>尚雯婕</t>
  </si>
  <si>
    <t>不鼓自鸣</t>
  </si>
  <si>
    <t>雾里</t>
  </si>
  <si>
    <t>鸿音</t>
  </si>
  <si>
    <t>达尼亚</t>
  </si>
  <si>
    <t>妮莉安/说说/纱依</t>
  </si>
  <si>
    <t>林忆莲</t>
  </si>
  <si>
    <t>蓝莲花</t>
  </si>
  <si>
    <t>血腥爱情故事</t>
  </si>
  <si>
    <t>归零</t>
  </si>
  <si>
    <t>柿子</t>
  </si>
  <si>
    <t>leslieforever</t>
  </si>
  <si>
    <t>黑夜问白天</t>
  </si>
  <si>
    <t>李玟</t>
  </si>
  <si>
    <t>悬崖</t>
  </si>
  <si>
    <t>李常超</t>
  </si>
  <si>
    <t>人世间</t>
  </si>
  <si>
    <t>老妖</t>
  </si>
  <si>
    <t>典狱司</t>
  </si>
  <si>
    <t>血河</t>
  </si>
  <si>
    <t>打开</t>
  </si>
  <si>
    <t>心城</t>
  </si>
  <si>
    <t>我的美丽</t>
  </si>
  <si>
    <t>红眼睛</t>
  </si>
  <si>
    <t>胡莎莎</t>
  </si>
  <si>
    <t>光泽</t>
  </si>
  <si>
    <t>空心</t>
  </si>
  <si>
    <t>simon</t>
  </si>
  <si>
    <t>邓紫棋</t>
  </si>
  <si>
    <t>你把我灌醉</t>
  </si>
  <si>
    <t>回忆的沙漏</t>
  </si>
  <si>
    <t>邓见超</t>
  </si>
  <si>
    <t>肆意的河</t>
  </si>
  <si>
    <t>无赖</t>
  </si>
  <si>
    <t>V家</t>
  </si>
  <si>
    <t>日语</t>
  </si>
  <si>
    <t>初音ミク</t>
  </si>
  <si>
    <t>歌に形はないけれど</t>
  </si>
  <si>
    <t>陈姿彤</t>
  </si>
  <si>
    <t>我的世界</t>
  </si>
  <si>
    <t>曹轩宾</t>
  </si>
  <si>
    <t>如果你爱我</t>
  </si>
  <si>
    <t>曹格</t>
  </si>
  <si>
    <t>寂寞先生</t>
  </si>
  <si>
    <t>英语</t>
  </si>
  <si>
    <t>NaomiScott</t>
  </si>
  <si>
    <t>Speechless</t>
  </si>
  <si>
    <t>《马戏之王》电影插曲</t>
  </si>
  <si>
    <t>LorenAllred</t>
  </si>
  <si>
    <t>NeverEnough</t>
  </si>
  <si>
    <t>想淋雨就别走</t>
  </si>
  <si>
    <t>fine乐团</t>
  </si>
  <si>
    <t>忘了我</t>
  </si>
  <si>
    <t>讨厌</t>
  </si>
  <si>
    <t>Aimer</t>
  </si>
  <si>
    <t>あなたに出会わなければ～夏雪冬花～</t>
  </si>
  <si>
    <t>周兴哲</t>
  </si>
  <si>
    <t>周传雄</t>
  </si>
  <si>
    <t>黄昏</t>
  </si>
  <si>
    <t>若梦</t>
  </si>
  <si>
    <t>缘起</t>
  </si>
  <si>
    <t>愿得一心人</t>
  </si>
  <si>
    <t>莫斯科郊外的晚上</t>
  </si>
  <si>
    <t>明月传说</t>
  </si>
  <si>
    <t>周菲戈</t>
  </si>
  <si>
    <t>飞鸽</t>
  </si>
  <si>
    <t>中岛美嘉</t>
  </si>
  <si>
    <t>雪の华</t>
  </si>
  <si>
    <t>志方あきこ</t>
  </si>
  <si>
    <t>片翼の鳥</t>
  </si>
  <si>
    <t>郑中基</t>
  </si>
  <si>
    <t>郑云龙</t>
  </si>
  <si>
    <t>天边外</t>
  </si>
  <si>
    <t>张栋梁</t>
  </si>
  <si>
    <t>北极星的眼泪</t>
  </si>
  <si>
    <t>钟无艳</t>
  </si>
  <si>
    <t>不要对他说</t>
  </si>
  <si>
    <t>引路的风筝</t>
  </si>
  <si>
    <t>不痛</t>
  </si>
  <si>
    <t>张敬轩</t>
  </si>
  <si>
    <t>春秋</t>
  </si>
  <si>
    <t>张惠妹/林忆莲</t>
  </si>
  <si>
    <t>双影</t>
  </si>
  <si>
    <t>身后</t>
  </si>
  <si>
    <t>我要快乐</t>
  </si>
  <si>
    <t>连名带姓</t>
  </si>
  <si>
    <t>张惠妹/周杰伦</t>
  </si>
  <si>
    <t>爱让每个人都心碎</t>
  </si>
  <si>
    <t>光的方向</t>
  </si>
  <si>
    <t>泽野弘之</t>
  </si>
  <si>
    <t>bios</t>
  </si>
  <si>
    <t>alize</t>
  </si>
  <si>
    <t>我爱</t>
  </si>
  <si>
    <t>破阵子</t>
  </si>
  <si>
    <t>万物起舞</t>
  </si>
  <si>
    <t>呦猫</t>
  </si>
  <si>
    <t>梦回还</t>
  </si>
  <si>
    <t>韩语</t>
  </si>
  <si>
    <t>尹美莱</t>
  </si>
  <si>
    <t>ALWAYS</t>
  </si>
  <si>
    <t>银临</t>
  </si>
  <si>
    <t>腐草为萤</t>
  </si>
  <si>
    <t>以冬</t>
  </si>
  <si>
    <t>我的一个道姑朋友</t>
  </si>
  <si>
    <t>战争世界</t>
  </si>
  <si>
    <t>鱼</t>
  </si>
  <si>
    <t>画情</t>
  </si>
  <si>
    <t>杨宗纬</t>
  </si>
  <si>
    <t>流浪记</t>
  </si>
  <si>
    <t>杨扬</t>
  </si>
  <si>
    <t>杨千嬅</t>
  </si>
  <si>
    <t>可惜我是水瓶座</t>
  </si>
  <si>
    <t>暗涌</t>
  </si>
  <si>
    <t>萱萱</t>
  </si>
  <si>
    <t>一定要幸福</t>
  </si>
  <si>
    <t>许嵩</t>
  </si>
  <si>
    <t>许佩哲</t>
  </si>
  <si>
    <t>气球</t>
  </si>
  <si>
    <t>徐佳莹/张惠妹/艾怡良</t>
  </si>
  <si>
    <t>傲娇</t>
  </si>
  <si>
    <t>行走的鱼</t>
  </si>
  <si>
    <t>谢安琪</t>
  </si>
  <si>
    <t>可乐</t>
  </si>
  <si>
    <t>萧忆情</t>
  </si>
  <si>
    <t>不谓侠</t>
  </si>
  <si>
    <t>新不了情</t>
  </si>
  <si>
    <t>王妃</t>
  </si>
  <si>
    <t>吴琼</t>
  </si>
  <si>
    <t>影子</t>
  </si>
  <si>
    <t>故人叹</t>
  </si>
  <si>
    <t>魏奇奇</t>
  </si>
  <si>
    <t>爱,存在</t>
  </si>
  <si>
    <t>王笑文</t>
  </si>
  <si>
    <t>吴哥窟</t>
  </si>
  <si>
    <t>王馨悦/村西</t>
  </si>
  <si>
    <t>戒网</t>
  </si>
  <si>
    <t>王琪</t>
  </si>
  <si>
    <t>可可托海的牧羊人</t>
  </si>
  <si>
    <t>天地龙鳞</t>
  </si>
  <si>
    <t>守望麦田</t>
  </si>
  <si>
    <t>电话音效</t>
  </si>
  <si>
    <t>开到荼靡</t>
  </si>
  <si>
    <t>买辣椒</t>
  </si>
  <si>
    <t>你就不要想起我</t>
  </si>
  <si>
    <t>唐沢美帆</t>
  </si>
  <si>
    <t>Sincerely</t>
  </si>
  <si>
    <t>孙盛希</t>
  </si>
  <si>
    <t>潜伏期</t>
  </si>
  <si>
    <t>雨天</t>
  </si>
  <si>
    <t>克卜勒</t>
  </si>
  <si>
    <t>舍离断</t>
  </si>
  <si>
    <t>苏运莹</t>
  </si>
  <si>
    <t>时候</t>
  </si>
  <si>
    <t>徐佳莹歌手版</t>
  </si>
  <si>
    <t>宋冬野</t>
  </si>
  <si>
    <t>莉莉安</t>
  </si>
  <si>
    <t>斯丹曼簇</t>
  </si>
  <si>
    <t>水妖</t>
  </si>
  <si>
    <t>双笙</t>
  </si>
  <si>
    <t>霜雪千年</t>
  </si>
  <si>
    <t>沙宝亮</t>
  </si>
  <si>
    <t>暗香</t>
  </si>
  <si>
    <t>万物生</t>
  </si>
  <si>
    <t>想着你的感觉</t>
  </si>
  <si>
    <t>搜神记</t>
  </si>
  <si>
    <t>你是我所有的回忆</t>
  </si>
  <si>
    <t>彭佳慧</t>
  </si>
  <si>
    <t>鹿港小镇</t>
  </si>
  <si>
    <t>爱上一个不回家的人</t>
  </si>
  <si>
    <t>潘虹</t>
  </si>
  <si>
    <t>南里侑香</t>
  </si>
  <si>
    <t>晓之车</t>
  </si>
  <si>
    <t>米西亚</t>
  </si>
  <si>
    <t>逢いたくていま</t>
  </si>
  <si>
    <t>米津玄师</t>
  </si>
  <si>
    <t>Lemon</t>
  </si>
  <si>
    <t>风萤月</t>
  </si>
  <si>
    <t>白石溪</t>
  </si>
  <si>
    <t>鲁向卉</t>
  </si>
  <si>
    <t>也罢</t>
  </si>
  <si>
    <t>思无量</t>
  </si>
  <si>
    <t>林俊杰版本</t>
  </si>
  <si>
    <t>蒙娜丽莎的眼泪</t>
  </si>
  <si>
    <t>为你我受冷风吹</t>
  </si>
  <si>
    <t>不必在乎我是谁</t>
  </si>
  <si>
    <t>幻觉动物</t>
  </si>
  <si>
    <t>林俊杰、韩红</t>
  </si>
  <si>
    <t>可惜没如果</t>
  </si>
  <si>
    <t>李雅薇</t>
  </si>
  <si>
    <t>我们的纪念</t>
  </si>
  <si>
    <t>月光爱人</t>
  </si>
  <si>
    <t>李佩玲</t>
  </si>
  <si>
    <t>心有独钟</t>
  </si>
  <si>
    <t>李克勤</t>
  </si>
  <si>
    <t>天梯</t>
  </si>
  <si>
    <t>月半小夜曲</t>
  </si>
  <si>
    <t>炼爱</t>
  </si>
  <si>
    <t>张靓颖版</t>
  </si>
  <si>
    <t>浮生未歇</t>
  </si>
  <si>
    <t>金海心</t>
  </si>
  <si>
    <t>爱似水仙</t>
  </si>
  <si>
    <t>金池</t>
  </si>
  <si>
    <t>我对自己开了一枪</t>
  </si>
  <si>
    <t>白与黑</t>
  </si>
  <si>
    <t>剑三剧情歌</t>
  </si>
  <si>
    <t>天策枪魂</t>
  </si>
  <si>
    <t>那时的光</t>
  </si>
  <si>
    <t>要不然我们就这样一万年</t>
  </si>
  <si>
    <t>梦返</t>
  </si>
  <si>
    <t>探清水河</t>
  </si>
  <si>
    <t>孽海记</t>
  </si>
  <si>
    <t>何必诗债换酒钱</t>
  </si>
  <si>
    <t>拆穿</t>
  </si>
  <si>
    <t>high歌</t>
  </si>
  <si>
    <t>alin</t>
  </si>
  <si>
    <t>失恋无罪</t>
  </si>
  <si>
    <t>华晨宇</t>
  </si>
  <si>
    <t>烟火里的尘埃</t>
  </si>
  <si>
    <t>山海</t>
  </si>
  <si>
    <t>你要的全拿走</t>
  </si>
  <si>
    <t>胡夏</t>
  </si>
  <si>
    <t>那些年</t>
  </si>
  <si>
    <t>何佳乐</t>
  </si>
  <si>
    <t>韩雪</t>
  </si>
  <si>
    <t>飘雪/对不起我爱你</t>
  </si>
  <si>
    <t>绒花</t>
  </si>
  <si>
    <t>袁娅维版</t>
  </si>
  <si>
    <t>再见</t>
  </si>
  <si>
    <t>光年之外</t>
  </si>
  <si>
    <t>多远都要在一起</t>
  </si>
  <si>
    <t>AINY</t>
  </si>
  <si>
    <t>高山青</t>
  </si>
  <si>
    <t>星·sailing</t>
  </si>
  <si>
    <t>R&amp;B</t>
  </si>
  <si>
    <t>你给我听好</t>
  </si>
  <si>
    <t>圣诞结</t>
  </si>
  <si>
    <t>陈小春</t>
  </si>
  <si>
    <t>独家记忆</t>
  </si>
  <si>
    <t>陈瑞</t>
  </si>
  <si>
    <t>白狐</t>
  </si>
  <si>
    <t>千千阙歌</t>
  </si>
  <si>
    <t>背叛</t>
  </si>
  <si>
    <t>我知道你很难过</t>
  </si>
  <si>
    <t>柠檬草的味道</t>
  </si>
  <si>
    <t>两只老虎（小妮特别版）</t>
  </si>
  <si>
    <t>阿YueYue</t>
  </si>
  <si>
    <t>云与海</t>
  </si>
  <si>
    <t>J.Sheon</t>
  </si>
  <si>
    <t>昔言</t>
  </si>
  <si>
    <t>Hita</t>
  </si>
  <si>
    <t>Gummy</t>
  </si>
  <si>
    <t>You Are My Everything</t>
  </si>
  <si>
    <t>GUMI</t>
  </si>
  <si>
    <t>心做し</t>
  </si>
  <si>
    <t>25時</t>
  </si>
  <si>
    <t>自傷無色</t>
  </si>
  <si>
    <t>GARNiDELiA</t>
  </si>
  <si>
    <t>極楽浄土</t>
  </si>
  <si>
    <t>beyond</t>
  </si>
  <si>
    <t>冷雨夜</t>
  </si>
  <si>
    <t>海阔天空</t>
  </si>
  <si>
    <t>挚友</t>
  </si>
  <si>
    <t>升1key</t>
  </si>
  <si>
    <t>六等星の夜</t>
  </si>
  <si>
    <t>茜さす</t>
  </si>
  <si>
    <t>Ailee</t>
  </si>
  <si>
    <t>像初雪一样靠近你</t>
  </si>
  <si>
    <t>AGA</t>
  </si>
  <si>
    <t>孤雏</t>
  </si>
  <si>
    <t>子弥</t>
  </si>
  <si>
    <t>多情岸</t>
  </si>
  <si>
    <t>梦留别</t>
  </si>
  <si>
    <t>来不及勇敢</t>
  </si>
  <si>
    <t>张远</t>
  </si>
  <si>
    <t>嘉宾</t>
  </si>
  <si>
    <t>我等到花儿都谢了</t>
  </si>
  <si>
    <t>慢慢</t>
  </si>
  <si>
    <t>来生缘</t>
  </si>
  <si>
    <t>爱你痛到不知痛</t>
  </si>
  <si>
    <t>偷心</t>
  </si>
  <si>
    <t>我醒着做梦</t>
  </si>
  <si>
    <t>破茧</t>
  </si>
  <si>
    <t>张靓颖/李荣浩</t>
  </si>
  <si>
    <t>女儿国</t>
  </si>
  <si>
    <t>界</t>
  </si>
  <si>
    <t>lovecanfly</t>
  </si>
  <si>
    <t>于文文</t>
  </si>
  <si>
    <t>体面</t>
  </si>
  <si>
    <t>金陵谣</t>
  </si>
  <si>
    <t>蔓珠莎华</t>
  </si>
  <si>
    <t>以上皆非</t>
  </si>
  <si>
    <t>不舍</t>
  </si>
  <si>
    <t>心然</t>
  </si>
  <si>
    <t>千年缘</t>
  </si>
  <si>
    <t>临安初雨</t>
  </si>
  <si>
    <t>小田音乐社/傲七爷</t>
  </si>
  <si>
    <t>枕边童话</t>
  </si>
  <si>
    <t>小爱的妈</t>
  </si>
  <si>
    <t>刹那芳华曲</t>
  </si>
  <si>
    <t>陌上花开</t>
  </si>
  <si>
    <t>萧人凤</t>
  </si>
  <si>
    <t>仙剑问情</t>
  </si>
  <si>
    <t>王樾安</t>
  </si>
  <si>
    <t>会开花的人</t>
  </si>
  <si>
    <t>梦的光点</t>
  </si>
  <si>
    <t>执迷不悔</t>
  </si>
  <si>
    <t>童丽</t>
  </si>
  <si>
    <t>葬花吟</t>
  </si>
  <si>
    <t>melody</t>
  </si>
  <si>
    <t>生活倒影</t>
  </si>
  <si>
    <t>野子</t>
  </si>
  <si>
    <t>不染</t>
  </si>
  <si>
    <t>晴愔</t>
  </si>
  <si>
    <t>眉间雪</t>
  </si>
  <si>
    <t>齐豫、周华健</t>
  </si>
  <si>
    <t>飞鸟和鱼</t>
  </si>
  <si>
    <t>你究竟有几个好妹妹</t>
  </si>
  <si>
    <t>无问</t>
  </si>
  <si>
    <t>柳爽</t>
  </si>
  <si>
    <t>漠河舞厅</t>
  </si>
  <si>
    <t>流浪的蛙蛙</t>
  </si>
  <si>
    <t>从别后</t>
  </si>
  <si>
    <t>离人</t>
  </si>
  <si>
    <t>李玉刚</t>
  </si>
  <si>
    <t>新贵妃醉酒</t>
  </si>
  <si>
    <t>年少有为</t>
  </si>
  <si>
    <t>喜剧之王</t>
  </si>
  <si>
    <t>老街</t>
  </si>
  <si>
    <t>李白</t>
  </si>
  <si>
    <t>模特</t>
  </si>
  <si>
    <t>不将就</t>
  </si>
  <si>
    <t>清明上河图</t>
  </si>
  <si>
    <t>蓝心羽</t>
  </si>
  <si>
    <t>阿拉斯加海湾</t>
  </si>
  <si>
    <t>林倛玉</t>
  </si>
  <si>
    <t>同花顺</t>
  </si>
  <si>
    <t>一点一滴</t>
  </si>
  <si>
    <t>降央卓玛</t>
  </si>
  <si>
    <t>家家</t>
  </si>
  <si>
    <t>尘埃</t>
  </si>
  <si>
    <t>多情种</t>
  </si>
  <si>
    <t>有梦好甜蜜</t>
  </si>
  <si>
    <t>红颜</t>
  </si>
  <si>
    <t>胡夏/郁可唯</t>
  </si>
  <si>
    <t>一吻天荒</t>
  </si>
  <si>
    <t>水星记</t>
  </si>
  <si>
    <t>耿斯汉、柯泯薰</t>
  </si>
  <si>
    <t>我把我的青春给你</t>
  </si>
  <si>
    <t>浮生梦</t>
  </si>
  <si>
    <t>探窗</t>
  </si>
  <si>
    <t>lydia</t>
  </si>
  <si>
    <t>丁当</t>
  </si>
  <si>
    <t>我爱他</t>
  </si>
  <si>
    <t>邓紫棋/张靓颖</t>
  </si>
  <si>
    <t>依然睡公主</t>
  </si>
  <si>
    <t>邓丽欣</t>
  </si>
  <si>
    <t>电灯胆</t>
  </si>
  <si>
    <t>爱的回归线</t>
  </si>
  <si>
    <t>创造101女团</t>
  </si>
  <si>
    <t>创造101</t>
  </si>
  <si>
    <t>陈慧琳</t>
  </si>
  <si>
    <t>记事本</t>
  </si>
  <si>
    <t>晓秋月明</t>
  </si>
  <si>
    <t>千本桜</t>
  </si>
  <si>
    <t>爱情转移</t>
  </si>
  <si>
    <t>K歌之王</t>
  </si>
  <si>
    <t>婚礼的祝福</t>
  </si>
  <si>
    <t>陈僖仪</t>
  </si>
  <si>
    <t>蜚蜚</t>
  </si>
  <si>
    <t>我</t>
  </si>
  <si>
    <t>不才</t>
  </si>
  <si>
    <t>夜航星</t>
  </si>
  <si>
    <t>八三夭乐团</t>
  </si>
  <si>
    <t>想见你想见你想见你</t>
  </si>
  <si>
    <t>foreveryoung</t>
  </si>
  <si>
    <t>艾薇儿</t>
  </si>
  <si>
    <t>Innocence</t>
  </si>
  <si>
    <t>艾辰</t>
  </si>
  <si>
    <t>错位时空</t>
  </si>
  <si>
    <t>cossami</t>
  </si>
  <si>
    <t>青い星</t>
  </si>
  <si>
    <t>Kalafina</t>
  </si>
  <si>
    <t>Lacrimosa</t>
  </si>
  <si>
    <t>Gloria</t>
  </si>
  <si>
    <t>位置</t>
  </si>
  <si>
    <t>祖堅正慶/南条爱乃</t>
  </si>
  <si>
    <t>千年の暁~朱雀征魂戦~</t>
  </si>
  <si>
    <t>顺子</t>
  </si>
  <si>
    <t>Dear Friend</t>
  </si>
  <si>
    <t>自然卷</t>
  </si>
  <si>
    <t>快乐的旅行</t>
  </si>
  <si>
    <t>张翰</t>
  </si>
  <si>
    <t>拾忆</t>
  </si>
  <si>
    <t>星空物语</t>
  </si>
  <si>
    <t>语冰记</t>
  </si>
  <si>
    <t>卿云花信</t>
  </si>
  <si>
    <t>卓文萱</t>
  </si>
  <si>
    <t>爱的城堡</t>
  </si>
  <si>
    <t>朱主爱</t>
  </si>
  <si>
    <t>好想你</t>
  </si>
  <si>
    <t>周旋</t>
  </si>
  <si>
    <t>夜上海</t>
  </si>
  <si>
    <t>天涯歌女</t>
  </si>
  <si>
    <t>玦恋</t>
  </si>
  <si>
    <t>夜曲</t>
  </si>
  <si>
    <t>威廉古堡</t>
  </si>
  <si>
    <t>牛仔很忙</t>
  </si>
  <si>
    <t>霍元甲</t>
  </si>
  <si>
    <t>回到过去</t>
  </si>
  <si>
    <t>mojito</t>
  </si>
  <si>
    <t>周蕙</t>
  </si>
  <si>
    <t>约定</t>
  </si>
  <si>
    <t>周慧敏</t>
  </si>
  <si>
    <t>最爱</t>
  </si>
  <si>
    <t>自作多情</t>
  </si>
  <si>
    <t>周华健</t>
  </si>
  <si>
    <t>朋友</t>
  </si>
  <si>
    <t>周柏豪</t>
  </si>
  <si>
    <t>够钟</t>
  </si>
  <si>
    <t>中孝介</t>
  </si>
  <si>
    <t>各自远扬</t>
  </si>
  <si>
    <t>至上励合</t>
  </si>
  <si>
    <t>棉花糖</t>
  </si>
  <si>
    <t>植松申夫</t>
  </si>
  <si>
    <t>Dragonsong</t>
  </si>
  <si>
    <t>赵薇</t>
  </si>
  <si>
    <t>民谣</t>
  </si>
  <si>
    <t>赵雷</t>
  </si>
  <si>
    <t>南方姑娘</t>
  </si>
  <si>
    <t>成都</t>
  </si>
  <si>
    <t>三十岁的女人</t>
  </si>
  <si>
    <t>相思风雨中</t>
  </si>
  <si>
    <t>喜欢</t>
  </si>
  <si>
    <t>信仰</t>
  </si>
  <si>
    <t>过火</t>
  </si>
  <si>
    <t>白月光</t>
  </si>
  <si>
    <t>欧若拉</t>
  </si>
  <si>
    <t>漩涡</t>
  </si>
  <si>
    <t>我们说好的</t>
  </si>
  <si>
    <t>就算</t>
  </si>
  <si>
    <t>不惜时光</t>
  </si>
  <si>
    <t>张杰/张碧晨</t>
  </si>
  <si>
    <t>看月亮爬上来</t>
  </si>
  <si>
    <t>火</t>
  </si>
  <si>
    <t>我可以抱你吗</t>
  </si>
  <si>
    <t>人质</t>
  </si>
  <si>
    <t>badboy</t>
  </si>
  <si>
    <t>张国荣</t>
  </si>
  <si>
    <t>追</t>
  </si>
  <si>
    <t>当年情</t>
  </si>
  <si>
    <t>玻璃之情</t>
  </si>
  <si>
    <t>张碧晨/杨宗纬</t>
  </si>
  <si>
    <t>血如墨</t>
  </si>
  <si>
    <t>时光笔墨</t>
  </si>
  <si>
    <t>如故</t>
  </si>
  <si>
    <t>神预言</t>
  </si>
  <si>
    <t>如河RIVER FLOW</t>
  </si>
  <si>
    <t>如果你听见</t>
  </si>
  <si>
    <t>思慕</t>
  </si>
  <si>
    <t>禹丁洁</t>
  </si>
  <si>
    <t>心中想的还是他</t>
  </si>
  <si>
    <t>余佳运</t>
  </si>
  <si>
    <t>我想</t>
  </si>
  <si>
    <t>于果</t>
  </si>
  <si>
    <t>侧脸</t>
  </si>
  <si>
    <t>印子月</t>
  </si>
  <si>
    <t>借过</t>
  </si>
  <si>
    <t>棠梨煎雪</t>
  </si>
  <si>
    <t>泸沽寻梦</t>
  </si>
  <si>
    <t>何须问</t>
  </si>
  <si>
    <t>不老梦</t>
  </si>
  <si>
    <t>音阙诗听</t>
  </si>
  <si>
    <t>芒种</t>
  </si>
  <si>
    <t>红昭愿</t>
  </si>
  <si>
    <t>琴师</t>
  </si>
  <si>
    <t>归去来兮</t>
  </si>
  <si>
    <t>叶倩文</t>
  </si>
  <si>
    <t>潇洒走一回</t>
  </si>
  <si>
    <t>其实都没有</t>
  </si>
  <si>
    <t>杨钰莹</t>
  </si>
  <si>
    <t>我不想说</t>
  </si>
  <si>
    <t>桃花运</t>
  </si>
  <si>
    <t>轻轻地告诉你</t>
  </si>
  <si>
    <t>茶山情歌</t>
  </si>
  <si>
    <t>处处吻</t>
  </si>
  <si>
    <t>野孩子</t>
  </si>
  <si>
    <t>小城大事</t>
  </si>
  <si>
    <t>大林寺桃花</t>
  </si>
  <si>
    <t>匿名的好友</t>
  </si>
  <si>
    <t>暧昧</t>
  </si>
  <si>
    <t>岩男潤子</t>
  </si>
  <si>
    <t>夜の歌</t>
  </si>
  <si>
    <t>温柔の种子</t>
  </si>
  <si>
    <t>严艺丹</t>
  </si>
  <si>
    <t>三寸天堂</t>
  </si>
  <si>
    <t>巡音ルカ</t>
  </si>
  <si>
    <t>justbefriends</t>
  </si>
  <si>
    <t>たこルカ★マグロフィーバー</t>
  </si>
  <si>
    <t>薛之谦/黄龄</t>
  </si>
  <si>
    <t>来日方长</t>
  </si>
  <si>
    <t>演员</t>
  </si>
  <si>
    <t>你还要我怎样</t>
  </si>
  <si>
    <t>丑八怪</t>
  </si>
  <si>
    <t>薛凯琪</t>
  </si>
  <si>
    <t>苏州河</t>
  </si>
  <si>
    <t>徐良</t>
  </si>
  <si>
    <t>客官不可以</t>
  </si>
  <si>
    <t>犯贱</t>
  </si>
  <si>
    <t>红装</t>
  </si>
  <si>
    <t>坏女孩</t>
  </si>
  <si>
    <t>有何不可</t>
  </si>
  <si>
    <t>燕归巢</t>
  </si>
  <si>
    <t>想象之中</t>
  </si>
  <si>
    <t>素颜</t>
  </si>
  <si>
    <t>认错</t>
  </si>
  <si>
    <t>清明雨上</t>
  </si>
  <si>
    <t>你若成风</t>
  </si>
  <si>
    <t>南山忆</t>
  </si>
  <si>
    <t>庐州月</t>
  </si>
  <si>
    <t>灰色头像</t>
  </si>
  <si>
    <t>幻听</t>
  </si>
  <si>
    <t>胡萝卜须</t>
  </si>
  <si>
    <t>多余的解释</t>
  </si>
  <si>
    <t>突然想爱你</t>
  </si>
  <si>
    <t>许美静</t>
  </si>
  <si>
    <t>倾城</t>
  </si>
  <si>
    <t>遗憾</t>
  </si>
  <si>
    <t>许景淳</t>
  </si>
  <si>
    <t>玫瑰人生</t>
  </si>
  <si>
    <t>真的傻</t>
  </si>
  <si>
    <t>是日救星</t>
  </si>
  <si>
    <t>湫兮如风</t>
  </si>
  <si>
    <t>光阴独白</t>
  </si>
  <si>
    <t>大雨将至</t>
  </si>
  <si>
    <t>徐秉龙</t>
  </si>
  <si>
    <t>鸽子</t>
  </si>
  <si>
    <t>喜帖街</t>
  </si>
  <si>
    <t>罗生门</t>
  </si>
  <si>
    <t>我们都被忘了</t>
  </si>
  <si>
    <t>小虎队</t>
  </si>
  <si>
    <t>天涯</t>
  </si>
  <si>
    <t>兰若词</t>
  </si>
  <si>
    <t>空山忆雨</t>
  </si>
  <si>
    <t>如寄</t>
  </si>
  <si>
    <t>逞强</t>
  </si>
  <si>
    <t>突然想起你</t>
  </si>
  <si>
    <t>冲动</t>
  </si>
  <si>
    <t>表白</t>
  </si>
  <si>
    <t>萧潇</t>
  </si>
  <si>
    <t>爱要坦荡荡</t>
  </si>
  <si>
    <t>花</t>
  </si>
  <si>
    <t>想太</t>
  </si>
  <si>
    <t>いかないで</t>
  </si>
  <si>
    <t>沿海地带</t>
  </si>
  <si>
    <t>星星的眼泪</t>
  </si>
  <si>
    <t>非你不爱</t>
  </si>
  <si>
    <t>独角戏</t>
  </si>
  <si>
    <t>当我们只剩下我</t>
  </si>
  <si>
    <t>伍佰</t>
  </si>
  <si>
    <t>lastdance</t>
  </si>
  <si>
    <t>吴若希</t>
  </si>
  <si>
    <t>炊烟</t>
  </si>
  <si>
    <t>吴克群</t>
  </si>
  <si>
    <t>为你写诗</t>
  </si>
  <si>
    <t>巫启贤</t>
  </si>
  <si>
    <t>红尘来去一场梦</t>
  </si>
  <si>
    <t>夏天的風</t>
  </si>
  <si>
    <t>门</t>
  </si>
  <si>
    <t>买你</t>
  </si>
  <si>
    <t>有没有</t>
  </si>
  <si>
    <t>王杰</t>
  </si>
  <si>
    <t>安妮</t>
  </si>
  <si>
    <t>王欣宇</t>
  </si>
  <si>
    <t>小星星</t>
  </si>
  <si>
    <t>hihibyebye</t>
  </si>
  <si>
    <t>王若琳</t>
  </si>
  <si>
    <t>如风</t>
  </si>
  <si>
    <t>容易受伤的女人</t>
  </si>
  <si>
    <t>爱与痛的边缘</t>
  </si>
  <si>
    <t>致青春</t>
  </si>
  <si>
    <t>旋木</t>
  </si>
  <si>
    <t>笑忘书</t>
  </si>
  <si>
    <t>我也不想这样</t>
  </si>
  <si>
    <t>清平调</t>
  </si>
  <si>
    <t>你在终点等我</t>
  </si>
  <si>
    <t>美错</t>
  </si>
  <si>
    <t>笑看风云</t>
  </si>
  <si>
    <t>巴赫旧约</t>
  </si>
  <si>
    <t>汪峰</t>
  </si>
  <si>
    <t>你是我心爱的姑娘</t>
  </si>
  <si>
    <t>万芳</t>
  </si>
  <si>
    <t>桂花酿</t>
  </si>
  <si>
    <t>猜心</t>
  </si>
  <si>
    <t>尘缘</t>
  </si>
  <si>
    <t>最暖的忧伤</t>
  </si>
  <si>
    <t>魔鬼中的天使</t>
  </si>
  <si>
    <t>爱了很久的朋友</t>
  </si>
  <si>
    <t>天時</t>
  </si>
  <si>
    <t>EternalMemories</t>
  </si>
  <si>
    <t>烟火莲灯</t>
  </si>
  <si>
    <t>藤田麻衣子</t>
  </si>
  <si>
    <t>蛍</t>
  </si>
  <si>
    <t>陶喆/蔡依林</t>
  </si>
  <si>
    <t>陶晶莹</t>
  </si>
  <si>
    <t>离开我</t>
  </si>
  <si>
    <t>愚人的国度</t>
  </si>
  <si>
    <t>孙柏森</t>
  </si>
  <si>
    <t>报国寺喝茶</t>
  </si>
  <si>
    <t>缘字书</t>
  </si>
  <si>
    <t>董小姐</t>
  </si>
  <si>
    <t>斑马斑马</t>
  </si>
  <si>
    <t>安和桥</t>
  </si>
  <si>
    <t>松下优也</t>
  </si>
  <si>
    <t>Bird</t>
  </si>
  <si>
    <t>斯琴高丽</t>
  </si>
  <si>
    <t>犯错</t>
  </si>
  <si>
    <t>思南</t>
  </si>
  <si>
    <t>手嶌葵</t>
  </si>
  <si>
    <t>金色野原</t>
  </si>
  <si>
    <t>さよならの夏～コクリコ坂から～</t>
  </si>
  <si>
    <t>柳暗花明</t>
  </si>
  <si>
    <t>日向めぐみ</t>
  </si>
  <si>
    <t>CatchYouCatchMe</t>
  </si>
  <si>
    <t>尽在一笑中</t>
  </si>
  <si>
    <t>青春有你</t>
  </si>
  <si>
    <t>yesok</t>
  </si>
  <si>
    <t>不让我的眼泪陪我过夜</t>
  </si>
  <si>
    <t>LOVE UU</t>
  </si>
  <si>
    <t>那些花儿</t>
  </si>
  <si>
    <t>白桦林</t>
  </si>
  <si>
    <t>相见恨晚</t>
  </si>
  <si>
    <t>欧得洋</t>
  </si>
  <si>
    <t>孤单北半球</t>
  </si>
  <si>
    <t>牛奶咖啡</t>
  </si>
  <si>
    <t>越长大越孤单</t>
  </si>
  <si>
    <t>咖喱咖喱</t>
  </si>
  <si>
    <t>南笙</t>
  </si>
  <si>
    <t>天真</t>
  </si>
  <si>
    <t>青玉案</t>
  </si>
  <si>
    <t>纳豆</t>
  </si>
  <si>
    <t>第二杯半价</t>
  </si>
  <si>
    <t>三生三世十里桃花</t>
  </si>
  <si>
    <t>春暖花开</t>
  </si>
  <si>
    <t>慕容晓晓</t>
  </si>
  <si>
    <t>爱情买卖</t>
  </si>
  <si>
    <t>墨明棋妙</t>
  </si>
  <si>
    <t>又年</t>
  </si>
  <si>
    <t>忽然之间</t>
  </si>
  <si>
    <t>梦飞船乐队</t>
  </si>
  <si>
    <t>不值得</t>
  </si>
  <si>
    <t>羞答答的玫瑰静悄悄地开</t>
  </si>
  <si>
    <t>透过开满鲜花的月亮</t>
  </si>
  <si>
    <t>没有情人的情人节</t>
  </si>
  <si>
    <t>风中有朵雨做的云</t>
  </si>
  <si>
    <t>哈哈哈</t>
  </si>
  <si>
    <t>梦伴</t>
  </si>
  <si>
    <t>耿耿于怀</t>
  </si>
  <si>
    <t>茅原实里</t>
  </si>
  <si>
    <t>優しい忘却</t>
  </si>
  <si>
    <t>米良美一</t>
  </si>
  <si>
    <t>もののけ姫</t>
  </si>
  <si>
    <t>毛不易/周深</t>
  </si>
  <si>
    <t>梅香如故</t>
  </si>
  <si>
    <t>像我这样的人</t>
  </si>
  <si>
    <t>红莓花儿开</t>
  </si>
  <si>
    <t>马吟吟</t>
  </si>
  <si>
    <t>溯</t>
  </si>
  <si>
    <t>马良</t>
  </si>
  <si>
    <t>往后余生</t>
  </si>
  <si>
    <t>马頔</t>
  </si>
  <si>
    <t>南山南</t>
  </si>
  <si>
    <t>电音</t>
  </si>
  <si>
    <t>洛天依/言和</t>
  </si>
  <si>
    <t>普通的disico</t>
  </si>
  <si>
    <t>兔子先生</t>
  </si>
  <si>
    <t>廖俊涛</t>
  </si>
  <si>
    <t>谁</t>
  </si>
  <si>
    <t>鱼仔</t>
  </si>
  <si>
    <t>卢冠廷</t>
  </si>
  <si>
    <t>一生所爱</t>
  </si>
  <si>
    <t>刘昕</t>
  </si>
  <si>
    <t>残忍的缠绵</t>
  </si>
  <si>
    <t>恸天</t>
  </si>
  <si>
    <t>初见</t>
  </si>
  <si>
    <t>最浪漫的事</t>
  </si>
  <si>
    <t>刘瑾睿</t>
  </si>
  <si>
    <t>凌之轩</t>
  </si>
  <si>
    <t>白骨哀</t>
  </si>
  <si>
    <t>凤凰花开的路口</t>
  </si>
  <si>
    <t>单身情歌</t>
  </si>
  <si>
    <t>早开的晚霞</t>
  </si>
  <si>
    <t>天真有邪</t>
  </si>
  <si>
    <t>全世界谁倾听你</t>
  </si>
  <si>
    <t>成全</t>
  </si>
  <si>
    <t>至少还有你</t>
  </si>
  <si>
    <t>纸飞机</t>
  </si>
  <si>
    <t>伤痕</t>
  </si>
  <si>
    <t>词不达意</t>
  </si>
  <si>
    <t>林依伦</t>
  </si>
  <si>
    <t>林欣彤</t>
  </si>
  <si>
    <t>哪里只得我共你</t>
  </si>
  <si>
    <t>握不住的他</t>
  </si>
  <si>
    <t>不潮不用花钱</t>
  </si>
  <si>
    <t>爱不会绝跡</t>
  </si>
  <si>
    <t>林俊呈</t>
  </si>
  <si>
    <t>东西</t>
  </si>
  <si>
    <t>梁静茹版</t>
  </si>
  <si>
    <t>夜夜夜夜</t>
  </si>
  <si>
    <t>问</t>
  </si>
  <si>
    <t>分手快乐</t>
  </si>
  <si>
    <t>刚好遇见你</t>
  </si>
  <si>
    <t>李宇春</t>
  </si>
  <si>
    <t>下个路口见</t>
  </si>
  <si>
    <t>李易峰</t>
  </si>
  <si>
    <t>剑伤</t>
  </si>
  <si>
    <t>往日情</t>
  </si>
  <si>
    <t>爱我久一点</t>
  </si>
  <si>
    <t>十点半的地铁</t>
  </si>
  <si>
    <t>李建</t>
  </si>
  <si>
    <t>长安忆</t>
  </si>
  <si>
    <t>快乐星球</t>
  </si>
  <si>
    <t>月亮船</t>
  </si>
  <si>
    <t>堀江由衣</t>
  </si>
  <si>
    <t>红花ノ乙女呗</t>
  </si>
  <si>
    <t>可乐就是力量</t>
  </si>
  <si>
    <t>熬夜上瘾</t>
  </si>
  <si>
    <t>井口裕香</t>
  </si>
  <si>
    <t>白金ディスコ</t>
  </si>
  <si>
    <t>鞠婧祎</t>
  </si>
  <si>
    <t>醉飞霜</t>
  </si>
  <si>
    <t>每一天</t>
  </si>
  <si>
    <t>井迪儿</t>
  </si>
  <si>
    <t>彼岸</t>
  </si>
  <si>
    <t>下沙</t>
  </si>
  <si>
    <t>叫兽</t>
  </si>
  <si>
    <t>夕山谣</t>
  </si>
  <si>
    <t>江蕙</t>
  </si>
  <si>
    <t>晚婚</t>
  </si>
  <si>
    <t>回春丹乐队</t>
  </si>
  <si>
    <t>艾蜜莉</t>
  </si>
  <si>
    <t>灰老板</t>
  </si>
  <si>
    <t>双抛桥</t>
  </si>
  <si>
    <t>杯欢</t>
  </si>
  <si>
    <t>晃儿</t>
  </si>
  <si>
    <t>临水照花</t>
  </si>
  <si>
    <t>故人归</t>
  </si>
  <si>
    <t>禁区</t>
  </si>
  <si>
    <t>月圆花好</t>
  </si>
  <si>
    <t>叹</t>
  </si>
  <si>
    <t>骑士</t>
  </si>
  <si>
    <t>等待</t>
  </si>
  <si>
    <t>不散</t>
  </si>
  <si>
    <t>花泽香菜</t>
  </si>
  <si>
    <t>恋愛サーキュレーション</t>
  </si>
  <si>
    <t>洪佩瑜</t>
  </si>
  <si>
    <t>踮起脚尖爱</t>
  </si>
  <si>
    <t>赫赫Kazuki</t>
  </si>
  <si>
    <t>挥不走的萤火</t>
  </si>
  <si>
    <t>河西智美</t>
  </si>
  <si>
    <t>おしべとめしべと夜の蝶々</t>
  </si>
  <si>
    <t>河图</t>
  </si>
  <si>
    <t>流月人间</t>
  </si>
  <si>
    <t>好妹妹乐队</t>
  </si>
  <si>
    <t>青城山下白素贞</t>
  </si>
  <si>
    <t>寒蝉鸣泣之时</t>
  </si>
  <si>
    <t>对象A</t>
  </si>
  <si>
    <t>郭书瑶</t>
  </si>
  <si>
    <t>幸福不远</t>
  </si>
  <si>
    <t>下一个天亮</t>
  </si>
  <si>
    <t>郭富城</t>
  </si>
  <si>
    <t>对你爱不完</t>
  </si>
  <si>
    <t>保留</t>
  </si>
  <si>
    <t>皈依小能手</t>
  </si>
  <si>
    <t>皈依</t>
  </si>
  <si>
    <t>关淑怡</t>
  </si>
  <si>
    <t>缱绻星光下</t>
  </si>
  <si>
    <t>地尽头</t>
  </si>
  <si>
    <t>谷嘉诚/赵露思</t>
  </si>
  <si>
    <t>好像掉进爱情海里</t>
  </si>
  <si>
    <t>爱与诚</t>
  </si>
  <si>
    <t>古剑奇谭</t>
  </si>
  <si>
    <t>尤记多情</t>
  </si>
  <si>
    <t>格格</t>
  </si>
  <si>
    <t>生日祝福歌</t>
  </si>
  <si>
    <t>大英雄狄青动画片主题曲</t>
  </si>
  <si>
    <t>傅彬</t>
  </si>
  <si>
    <t>凤飞飞</t>
  </si>
  <si>
    <t>追梦人</t>
  </si>
  <si>
    <t>绯村河北</t>
  </si>
  <si>
    <t>东流</t>
  </si>
  <si>
    <t>飞轮海</t>
  </si>
  <si>
    <t>向日葵盛开的夏天</t>
  </si>
  <si>
    <t>房东的猫</t>
  </si>
  <si>
    <t>云烟成雨</t>
  </si>
  <si>
    <t>最重要的决定</t>
  </si>
  <si>
    <t>一个像夏天一个像秋天</t>
  </si>
  <si>
    <t>动力火车</t>
  </si>
  <si>
    <t>当</t>
  </si>
  <si>
    <t>丁薇</t>
  </si>
  <si>
    <t>普希金</t>
  </si>
  <si>
    <t>有什么不敢面对</t>
  </si>
  <si>
    <t>wheredidUgo</t>
  </si>
  <si>
    <t>烟熏妆</t>
  </si>
  <si>
    <t>邓伦</t>
  </si>
  <si>
    <t>痴情冢</t>
  </si>
  <si>
    <t>何日君再來</t>
  </si>
  <si>
    <t>船歌</t>
  </si>
  <si>
    <t>偿还</t>
  </si>
  <si>
    <t>萤火虫</t>
  </si>
  <si>
    <t>你的世界</t>
  </si>
  <si>
    <t>青山白云</t>
  </si>
  <si>
    <t>原谅我就是这样的女生</t>
  </si>
  <si>
    <t>崔子格</t>
  </si>
  <si>
    <t>可念不可说</t>
  </si>
  <si>
    <t>夕日坂</t>
  </si>
  <si>
    <t>鸟の詩</t>
  </si>
  <si>
    <t>白雪~shirayuki~</t>
  </si>
  <si>
    <t>WAVE（日）</t>
  </si>
  <si>
    <t>Rainstop，good-bye</t>
  </si>
  <si>
    <t>西江月</t>
  </si>
  <si>
    <t>橙翼</t>
  </si>
  <si>
    <t>故梦</t>
  </si>
  <si>
    <t>陈柏宇</t>
  </si>
  <si>
    <t>你瞒我瞒</t>
  </si>
  <si>
    <t>陈奕迅/王菲</t>
  </si>
  <si>
    <t>因为爱情</t>
  </si>
  <si>
    <t>无条件</t>
  </si>
  <si>
    <t>淘汰</t>
  </si>
  <si>
    <t>十年</t>
  </si>
  <si>
    <t>全世界失眠</t>
  </si>
  <si>
    <t>孤独患者</t>
  </si>
  <si>
    <t>陈一发</t>
  </si>
  <si>
    <t>童话镇</t>
  </si>
  <si>
    <t>我喜欢上你时的内心活动</t>
  </si>
  <si>
    <t>奇妙能力歌</t>
  </si>
  <si>
    <t>走马</t>
  </si>
  <si>
    <t>小半</t>
  </si>
  <si>
    <t>陈乐一</t>
  </si>
  <si>
    <t>火柴天堂</t>
  </si>
  <si>
    <t>从前的我</t>
  </si>
  <si>
    <t>月弯弯</t>
  </si>
  <si>
    <t>陈百强</t>
  </si>
  <si>
    <t>偏偏喜欢你</t>
  </si>
  <si>
    <t>最天使</t>
  </si>
  <si>
    <t>夜车</t>
  </si>
  <si>
    <t>狮子座</t>
  </si>
  <si>
    <t>岑雨桥</t>
  </si>
  <si>
    <t>小野猫[提督专属]</t>
  </si>
  <si>
    <t>蔡翊昇</t>
  </si>
  <si>
    <t>石楠小札</t>
  </si>
  <si>
    <t>美人计</t>
  </si>
  <si>
    <t>桃花源</t>
  </si>
  <si>
    <t>七上八下</t>
  </si>
  <si>
    <t>离人节</t>
  </si>
  <si>
    <t>看我七十二变</t>
  </si>
  <si>
    <t>花蝴蝶</t>
  </si>
  <si>
    <t>黑发尤物</t>
  </si>
  <si>
    <t>海盗</t>
  </si>
  <si>
    <t>玩爱之徒</t>
  </si>
  <si>
    <t>布拉格广场</t>
  </si>
  <si>
    <t>爱情三十六计</t>
  </si>
  <si>
    <t>lovelovelove</t>
  </si>
  <si>
    <t>情人</t>
  </si>
  <si>
    <t>无底洞</t>
  </si>
  <si>
    <t>停格</t>
  </si>
  <si>
    <t>十万毫升的泪水</t>
  </si>
  <si>
    <t>空白格</t>
  </si>
  <si>
    <t>被驯服的象</t>
  </si>
  <si>
    <t>beautifullove</t>
  </si>
  <si>
    <t>蔡淳佳</t>
  </si>
  <si>
    <t>隐形纪念</t>
  </si>
  <si>
    <t>前座后座</t>
  </si>
  <si>
    <t>十三月凉</t>
  </si>
  <si>
    <t>参商</t>
  </si>
  <si>
    <t>贝乐虎</t>
  </si>
  <si>
    <t>勇气大爆发</t>
  </si>
  <si>
    <t>宝儿</t>
  </si>
  <si>
    <t>想要的守护~whitewishes~</t>
  </si>
  <si>
    <t>坂本真绫</t>
  </si>
  <si>
    <t>プラチナ（白金）</t>
  </si>
  <si>
    <t>安七炫</t>
  </si>
  <si>
    <t>面具</t>
  </si>
  <si>
    <t>阿兰</t>
  </si>
  <si>
    <t>千古</t>
  </si>
  <si>
    <t>阿yueyue</t>
  </si>
  <si>
    <t>沈园外</t>
  </si>
  <si>
    <t>winky诗</t>
  </si>
  <si>
    <t>菁华浮梦</t>
  </si>
  <si>
    <t>T.R.Y</t>
  </si>
  <si>
    <t>不是因为寂寞才想你</t>
  </si>
  <si>
    <t>辿りつく詩Sound Horizon</t>
  </si>
  <si>
    <t>sarahbrightman</t>
  </si>
  <si>
    <t>scarboroughfair</t>
  </si>
  <si>
    <t>热带雨林</t>
  </si>
  <si>
    <t>候鸟</t>
  </si>
  <si>
    <t>不想长大</t>
  </si>
  <si>
    <t>波斯猫</t>
  </si>
  <si>
    <t>半糖主义</t>
  </si>
  <si>
    <t>安静了</t>
  </si>
  <si>
    <t>Super Star</t>
  </si>
  <si>
    <t>Shero</t>
  </si>
  <si>
    <t>RyanGosling、EmmaStone</t>
  </si>
  <si>
    <t>city of stars</t>
  </si>
  <si>
    <t>OliviaOng</t>
  </si>
  <si>
    <t>Lia</t>
  </si>
  <si>
    <t>鸟之诗</t>
  </si>
  <si>
    <t>Katio</t>
  </si>
  <si>
    <t>上弦の月</t>
  </si>
  <si>
    <t>シリョクケンサ</t>
  </si>
  <si>
    <t>中島愛</t>
  </si>
  <si>
    <t>ライオン</t>
  </si>
  <si>
    <t>星の在り処Falcom Sound Team jdk</t>
  </si>
  <si>
    <t>グリグリメガネと月光蟲</t>
  </si>
  <si>
    <t>rikki</t>
  </si>
  <si>
    <t>素敵だね</t>
  </si>
  <si>
    <t>Sound Horizon</t>
  </si>
  <si>
    <t>辿りつく詩</t>
  </si>
  <si>
    <t>IU</t>
  </si>
  <si>
    <t>夜信</t>
  </si>
  <si>
    <t>献上我的心</t>
  </si>
  <si>
    <t>i give you my heart</t>
  </si>
  <si>
    <r>
      <t>12</t>
    </r>
    <r>
      <rPr>
        <sz val="11"/>
        <color theme="1"/>
        <rFont val="宋体"/>
        <family val="2"/>
        <charset val="134"/>
        <scheme val="minor"/>
      </rPr>
      <t>월</t>
    </r>
    <r>
      <rPr>
        <sz val="11"/>
        <color theme="1"/>
        <rFont val="宋体"/>
        <family val="2"/>
        <scheme val="minor"/>
      </rPr>
      <t>24</t>
    </r>
    <r>
      <rPr>
        <sz val="11"/>
        <color theme="1"/>
        <rFont val="宋体"/>
        <family val="2"/>
        <charset val="134"/>
        <scheme val="minor"/>
      </rPr>
      <t>일</t>
    </r>
  </si>
  <si>
    <t>hanser</t>
  </si>
  <si>
    <t>八重樱</t>
  </si>
  <si>
    <t>FeliciaSanders</t>
  </si>
  <si>
    <t>Flymetothemoon</t>
  </si>
  <si>
    <t>egoist</t>
  </si>
  <si>
    <t>エウテルペ</t>
  </si>
  <si>
    <t>clesss</t>
  </si>
  <si>
    <t>樱花雨</t>
  </si>
  <si>
    <t>Cecile Corbel</t>
  </si>
  <si>
    <t>Arrietty's Song</t>
  </si>
  <si>
    <t>BY2/汪苏泷</t>
  </si>
  <si>
    <t>BY2</t>
  </si>
  <si>
    <t>不是故意</t>
  </si>
  <si>
    <t>BrunoMars</t>
  </si>
  <si>
    <t>Talking to the moon</t>
  </si>
  <si>
    <t>Beyond</t>
  </si>
  <si>
    <t>ANZA</t>
  </si>
  <si>
    <t>扉をあけて</t>
  </si>
  <si>
    <t>alanwalker</t>
  </si>
  <si>
    <t>faded</t>
  </si>
  <si>
    <t>Aki阿杰</t>
  </si>
  <si>
    <t>东风志</t>
  </si>
  <si>
    <t>备注</t>
  </si>
  <si>
    <t>需要SC</t>
  </si>
  <si>
    <t>曲风</t>
  </si>
  <si>
    <t>语种</t>
  </si>
  <si>
    <t>歌手</t>
  </si>
  <si>
    <t>歌名(单击复制)</t>
  </si>
  <si>
    <t>mz</t>
    <phoneticPr fontId="16" type="noConversion"/>
  </si>
  <si>
    <t>pipw</t>
  </si>
  <si>
    <t>pipw</t>
    <phoneticPr fontId="1" type="noConversion"/>
  </si>
  <si>
    <t>==</t>
    <phoneticPr fontId="1" type="noConversion"/>
  </si>
  <si>
    <t>gm</t>
    <phoneticPr fontId="1" type="noConversion"/>
  </si>
  <si>
    <t>J. Sheon</t>
    <phoneticPr fontId="1" type="noConversion"/>
  </si>
  <si>
    <t>刘欢</t>
    <phoneticPr fontId="1" type="noConversion"/>
  </si>
  <si>
    <t>南屏晚钟</t>
    <phoneticPr fontId="1" type="noConversion"/>
  </si>
  <si>
    <t>王喆</t>
  </si>
  <si>
    <t>林依晨</t>
    <phoneticPr fontId="1" type="noConversion"/>
  </si>
  <si>
    <t>周杰伦,张惠妹</t>
  </si>
  <si>
    <t>周杰伦,张惠妹</t>
    <phoneticPr fontId="1" type="noConversion"/>
  </si>
  <si>
    <t>雨蝶</t>
    <phoneticPr fontId="1" type="noConversion"/>
  </si>
  <si>
    <t>第五灌灌</t>
  </si>
  <si>
    <t>爱若琉璃</t>
  </si>
  <si>
    <t>30SC</t>
  </si>
  <si>
    <t>等你的季节</t>
  </si>
  <si>
    <t>刘诗诗</t>
  </si>
  <si>
    <t>对酒</t>
  </si>
  <si>
    <t>浅影阿</t>
  </si>
  <si>
    <t>故事终章</t>
  </si>
  <si>
    <t>程响</t>
  </si>
  <si>
    <t>花开忘忧</t>
  </si>
  <si>
    <t>画中来</t>
  </si>
  <si>
    <t>黄霄云</t>
  </si>
  <si>
    <t>君心剑意</t>
  </si>
  <si>
    <t>池年</t>
  </si>
  <si>
    <t>空山新雨后</t>
  </si>
  <si>
    <t>锦零</t>
  </si>
  <si>
    <t>落</t>
  </si>
  <si>
    <t>唐伯虎Annie</t>
  </si>
  <si>
    <t>南枝巢</t>
  </si>
  <si>
    <t>泽典</t>
  </si>
  <si>
    <t>念念</t>
  </si>
  <si>
    <t>人间二两墨</t>
  </si>
  <si>
    <t>耳朵便利店</t>
  </si>
  <si>
    <t>人字如她</t>
  </si>
  <si>
    <t>十年如烟</t>
  </si>
  <si>
    <t>是妈妈是女儿</t>
  </si>
  <si>
    <t>黄绮珊、希林娜依·高</t>
  </si>
  <si>
    <t>天空没有极限</t>
  </si>
  <si>
    <t>我知道</t>
  </si>
  <si>
    <t>By2</t>
  </si>
  <si>
    <t>扬州姑娘</t>
  </si>
  <si>
    <t>双笙 (陈元汐)</t>
  </si>
  <si>
    <t>夜的第七章</t>
  </si>
  <si>
    <t>36.5°</t>
  </si>
  <si>
    <t>李佳思</t>
  </si>
  <si>
    <t>Honey</t>
  </si>
  <si>
    <t>TA</t>
  </si>
  <si>
    <t>不是花火呀</t>
  </si>
  <si>
    <t>阿嬷</t>
  </si>
  <si>
    <t>周林枫</t>
  </si>
  <si>
    <t>哎呀爱呀</t>
  </si>
  <si>
    <t>纳豆nado</t>
  </si>
  <si>
    <t>爱存在</t>
  </si>
  <si>
    <t>爱过的人</t>
  </si>
  <si>
    <t>爱啦啦</t>
  </si>
  <si>
    <t>海楠</t>
  </si>
  <si>
    <t>爱丫爱丫</t>
  </si>
  <si>
    <t>安河桥</t>
  </si>
  <si>
    <t>包师语</t>
  </si>
  <si>
    <t>黯然销魂</t>
  </si>
  <si>
    <t>玄觞</t>
  </si>
  <si>
    <t>刘亦心</t>
  </si>
  <si>
    <t>白露</t>
  </si>
  <si>
    <t>王梓钰</t>
  </si>
  <si>
    <t>白马入芦花</t>
  </si>
  <si>
    <t>白羊</t>
  </si>
  <si>
    <t>沈以诚</t>
  </si>
  <si>
    <t>白衣渡我</t>
  </si>
  <si>
    <t>司夏</t>
  </si>
  <si>
    <t>白衣少年</t>
  </si>
  <si>
    <t>许诗茵</t>
  </si>
  <si>
    <t>白月光与朱砂痣</t>
  </si>
  <si>
    <t>大籽</t>
  </si>
  <si>
    <t>百利甜</t>
  </si>
  <si>
    <t>魏晗（懋懋）</t>
  </si>
  <si>
    <t>拜无忧</t>
  </si>
  <si>
    <t>萧忆情Alex</t>
  </si>
  <si>
    <t>半壶纱</t>
  </si>
  <si>
    <t>刘珂矣</t>
  </si>
  <si>
    <t>伴我</t>
  </si>
  <si>
    <t>笔触</t>
  </si>
  <si>
    <t>别赋</t>
  </si>
  <si>
    <t>慕寒</t>
  </si>
  <si>
    <t>伯虎说</t>
  </si>
  <si>
    <t>伯爵Johnny、唐伯虎Annie</t>
  </si>
  <si>
    <t>不负人间</t>
  </si>
  <si>
    <t>不露声色</t>
  </si>
  <si>
    <t>Jam</t>
  </si>
  <si>
    <t>赤羽</t>
  </si>
  <si>
    <t>不晚</t>
  </si>
  <si>
    <t>不问别离</t>
  </si>
  <si>
    <t>指尖笑</t>
  </si>
  <si>
    <t>50SC</t>
  </si>
  <si>
    <t>不想懂得</t>
  </si>
  <si>
    <t>采薇</t>
  </si>
  <si>
    <t>赤鲸</t>
  </si>
  <si>
    <t>春分</t>
  </si>
  <si>
    <t>春归了</t>
  </si>
  <si>
    <t>苑舍</t>
  </si>
  <si>
    <t>春日呓语</t>
  </si>
  <si>
    <t>春庭雪</t>
  </si>
  <si>
    <t>辞九门回忆</t>
  </si>
  <si>
    <t>冰幽、解忧草</t>
  </si>
  <si>
    <t>此生与你不过相逢</t>
  </si>
  <si>
    <t>上古呐</t>
  </si>
  <si>
    <t>从前说</t>
  </si>
  <si>
    <t>小阿七</t>
  </si>
  <si>
    <t>大浪淘沙</t>
  </si>
  <si>
    <t>大笑江湖</t>
  </si>
  <si>
    <t>小沈阳</t>
  </si>
  <si>
    <t>带我去很远地方</t>
  </si>
  <si>
    <t>丹青客</t>
  </si>
  <si>
    <t>小曲儿、HITA</t>
  </si>
  <si>
    <t>盗将行</t>
  </si>
  <si>
    <t>花粥</t>
  </si>
  <si>
    <t>盗橘令</t>
  </si>
  <si>
    <t>不才、云の泣、银临、Aki阿杰</t>
  </si>
  <si>
    <t>等下一个他</t>
  </si>
  <si>
    <t>习谱予</t>
  </si>
  <si>
    <t>东风第一枝</t>
  </si>
  <si>
    <t>动心</t>
  </si>
  <si>
    <t>乔佳旭、王梓钰</t>
  </si>
  <si>
    <t>对玄机</t>
  </si>
  <si>
    <t>王梓钰、任然</t>
  </si>
  <si>
    <t>多幸运</t>
  </si>
  <si>
    <t>韩安旭</t>
  </si>
  <si>
    <t>恶人是我</t>
  </si>
  <si>
    <t>茶理理理子</t>
  </si>
  <si>
    <t>凡人</t>
  </si>
  <si>
    <t>段奥娟</t>
  </si>
  <si>
    <t>反方向的钟</t>
  </si>
  <si>
    <t>刘瑞琪</t>
  </si>
  <si>
    <t>放任荒凉</t>
  </si>
  <si>
    <t>飞机</t>
  </si>
  <si>
    <t>飞鸟与蝉</t>
  </si>
  <si>
    <t>风华燃尽指间沙</t>
  </si>
  <si>
    <t>少司命</t>
  </si>
  <si>
    <t>风烟之末</t>
  </si>
  <si>
    <t>叶里、河图</t>
  </si>
  <si>
    <t>佛系少女</t>
  </si>
  <si>
    <t>冯提莫</t>
  </si>
  <si>
    <t>拂世之剑</t>
  </si>
  <si>
    <t>拂雪</t>
  </si>
  <si>
    <t>赴鸿门</t>
  </si>
  <si>
    <t>排骨教主</t>
  </si>
  <si>
    <t>感官先生</t>
  </si>
  <si>
    <t>刘凤瑶</t>
  </si>
  <si>
    <t>高贵与丑</t>
  </si>
  <si>
    <t>歌行四方</t>
  </si>
  <si>
    <t>隔烟水</t>
  </si>
  <si>
    <t>公主病</t>
  </si>
  <si>
    <t>孤独颂歌</t>
  </si>
  <si>
    <t>陈文非</t>
  </si>
  <si>
    <t>古怪</t>
  </si>
  <si>
    <t>古画</t>
  </si>
  <si>
    <t>古龙群侠传</t>
  </si>
  <si>
    <t>故里逢春</t>
  </si>
  <si>
    <t>故人泪</t>
  </si>
  <si>
    <t>麦小兜</t>
  </si>
  <si>
    <t>故人邀月</t>
  </si>
  <si>
    <t>尹昔眠</t>
  </si>
  <si>
    <t>关山酒</t>
  </si>
  <si>
    <t>李袁杰</t>
  </si>
  <si>
    <t>光</t>
  </si>
  <si>
    <t>广寒谣</t>
  </si>
  <si>
    <t>不靠谱组合</t>
  </si>
  <si>
    <t>归潮</t>
  </si>
  <si>
    <t>归期</t>
  </si>
  <si>
    <t>钱润玉</t>
  </si>
  <si>
    <t>叶清炫</t>
  </si>
  <si>
    <t>归雪</t>
  </si>
  <si>
    <t>川儿、莉莎</t>
  </si>
  <si>
    <t>国境四方</t>
  </si>
  <si>
    <t>丁丁Rajor</t>
  </si>
  <si>
    <t>过江寒</t>
  </si>
  <si>
    <t>过客</t>
  </si>
  <si>
    <t>周思涵</t>
  </si>
  <si>
    <t>过期少女致幻录</t>
  </si>
  <si>
    <t>祁紫檀</t>
  </si>
  <si>
    <t>过云雨</t>
  </si>
  <si>
    <t>还是分开</t>
  </si>
  <si>
    <t>张叶蕾</t>
  </si>
  <si>
    <t>海藏</t>
  </si>
  <si>
    <t>海海海</t>
  </si>
  <si>
    <t>阿悄</t>
  </si>
  <si>
    <t>海绵宝宝</t>
  </si>
  <si>
    <t>回音哥</t>
  </si>
  <si>
    <t>好梦如旧</t>
  </si>
  <si>
    <t>林斜阳、HITA</t>
  </si>
  <si>
    <t>何处是天涯</t>
  </si>
  <si>
    <t>贺新婚</t>
  </si>
  <si>
    <t>清漪、小义</t>
  </si>
  <si>
    <t>红拂夜奔</t>
  </si>
  <si>
    <t>红梅白雪知</t>
  </si>
  <si>
    <t>云の泣</t>
  </si>
  <si>
    <t>红叶寺</t>
  </si>
  <si>
    <t>樂旅小残</t>
  </si>
  <si>
    <t>红与白</t>
  </si>
  <si>
    <t>ycccc</t>
  </si>
  <si>
    <t>后继者</t>
  </si>
  <si>
    <t>狐言</t>
  </si>
  <si>
    <t>河图、洛天依</t>
  </si>
  <si>
    <t>叶炫清、张碧晨</t>
  </si>
  <si>
    <t>花亦山</t>
  </si>
  <si>
    <t>赵方婧</t>
  </si>
  <si>
    <t>花雨落</t>
  </si>
  <si>
    <t>化鹤归</t>
  </si>
  <si>
    <t>画中仙</t>
  </si>
  <si>
    <t>幻想</t>
  </si>
  <si>
    <t>赖美云、黄霄雲</t>
  </si>
  <si>
    <t>回马枪</t>
  </si>
  <si>
    <t>吉时已到</t>
  </si>
  <si>
    <t>糯米Nomi</t>
  </si>
  <si>
    <t>记·念</t>
  </si>
  <si>
    <t>雷心雨</t>
  </si>
  <si>
    <t>寄明月</t>
  </si>
  <si>
    <t>SING女团</t>
  </si>
  <si>
    <t>霁夜茶</t>
  </si>
  <si>
    <t>小曲儿</t>
  </si>
  <si>
    <t>路飞文</t>
  </si>
  <si>
    <t>茧</t>
  </si>
  <si>
    <t>祖娅纳惜</t>
  </si>
  <si>
    <t>见过</t>
  </si>
  <si>
    <t>江山雪</t>
  </si>
  <si>
    <t>江上晚风吟</t>
  </si>
  <si>
    <t>皎然记</t>
  </si>
  <si>
    <t>劫</t>
  </si>
  <si>
    <t>戒你</t>
  </si>
  <si>
    <t>陶心瑶</t>
  </si>
  <si>
    <t>银临、云の泣</t>
  </si>
  <si>
    <t>锦衣飞鱼</t>
  </si>
  <si>
    <t>伦桑</t>
  </si>
  <si>
    <t>京都绮谭</t>
  </si>
  <si>
    <t>阴阳师</t>
  </si>
  <si>
    <t>鲸语</t>
  </si>
  <si>
    <t>刘至佳</t>
  </si>
  <si>
    <t>镜中渊</t>
  </si>
  <si>
    <t>九九八十一</t>
  </si>
  <si>
    <t>乐正绫、洛天依</t>
  </si>
  <si>
    <t>九张机</t>
  </si>
  <si>
    <t>酒家</t>
  </si>
  <si>
    <t>就让这大雨全都落下</t>
  </si>
  <si>
    <t>张晓涵</t>
  </si>
  <si>
    <t>开到荼蘼</t>
  </si>
  <si>
    <t>枯鱼之肆</t>
  </si>
  <si>
    <t>快意歌</t>
  </si>
  <si>
    <t>来都来了</t>
  </si>
  <si>
    <t>薛之谦、黄龄</t>
  </si>
  <si>
    <t>刘亦菲</t>
  </si>
  <si>
    <t>类少年爱情故事</t>
  </si>
  <si>
    <t>CANT太子</t>
  </si>
  <si>
    <t>莲动下渔舟</t>
  </si>
  <si>
    <t>谣君</t>
  </si>
  <si>
    <t>恋人心</t>
  </si>
  <si>
    <t>魏新雨</t>
  </si>
  <si>
    <t>良辰夜</t>
  </si>
  <si>
    <t>凉城</t>
  </si>
  <si>
    <t>杨宗纬、张碧晨</t>
  </si>
  <si>
    <t>两相欢</t>
  </si>
  <si>
    <t>昆玉</t>
  </si>
  <si>
    <t>临渊</t>
  </si>
  <si>
    <t>余又</t>
  </si>
  <si>
    <t>零落</t>
  </si>
  <si>
    <t>金天</t>
  </si>
  <si>
    <t>流虹引曦</t>
  </si>
  <si>
    <t>琉璃</t>
  </si>
  <si>
    <t>琉璃月</t>
  </si>
  <si>
    <t>杨幂、君君</t>
  </si>
  <si>
    <t>落霞云归</t>
  </si>
  <si>
    <t>马步谣</t>
  </si>
  <si>
    <t>满堂花</t>
  </si>
  <si>
    <t>满天星辰不及你</t>
  </si>
  <si>
    <t>慢冷</t>
  </si>
  <si>
    <t>眉南边</t>
  </si>
  <si>
    <t>梅花旧事</t>
  </si>
  <si>
    <t>每一句都很甜</t>
  </si>
  <si>
    <t>李思雨</t>
  </si>
  <si>
    <t>门没锁</t>
  </si>
  <si>
    <t>我是土豆</t>
  </si>
  <si>
    <t>朦胧</t>
  </si>
  <si>
    <t>平生不晚</t>
  </si>
  <si>
    <t>梦别离</t>
  </si>
  <si>
    <t>杨姣</t>
  </si>
  <si>
    <t>梦里梨花白</t>
  </si>
  <si>
    <t>明天，你好</t>
  </si>
  <si>
    <t>明月天涯</t>
  </si>
  <si>
    <t>五音Jw</t>
  </si>
  <si>
    <t>命理难说</t>
  </si>
  <si>
    <t>小曲儿、梦璟SAYA</t>
  </si>
  <si>
    <t>木桥小谣</t>
  </si>
  <si>
    <t>幕夏</t>
  </si>
  <si>
    <t>等什么君</t>
  </si>
  <si>
    <t>那年初夏</t>
  </si>
  <si>
    <t>南半球与北海道</t>
  </si>
  <si>
    <t>范倪Liu</t>
  </si>
  <si>
    <t>难却</t>
  </si>
  <si>
    <t>难生恨</t>
  </si>
  <si>
    <t>DAWN</t>
  </si>
  <si>
    <t>你，好不好</t>
  </si>
  <si>
    <t>你是我年少求剑时刻的舟</t>
  </si>
  <si>
    <t>你是我最愚蠢的一次浪漫</t>
  </si>
  <si>
    <t>你吻了我这件小事</t>
  </si>
  <si>
    <t>年少的你</t>
  </si>
  <si>
    <t>钟易轩</t>
  </si>
  <si>
    <t>泡沫美人鱼</t>
  </si>
  <si>
    <t>徐熙媛</t>
  </si>
  <si>
    <t>迫降</t>
  </si>
  <si>
    <t>张伊美Lyla</t>
  </si>
  <si>
    <t>破裂</t>
  </si>
  <si>
    <t>棋子</t>
  </si>
  <si>
    <t>起轿</t>
  </si>
  <si>
    <t>恰雪来故</t>
  </si>
  <si>
    <t>千梦</t>
  </si>
  <si>
    <t>玄觞、双笙 (陈元汐)</t>
  </si>
  <si>
    <t>芊芊</t>
  </si>
  <si>
    <t>银临、Aki阿杰</t>
  </si>
  <si>
    <t>窃窃</t>
  </si>
  <si>
    <t>兰音Reine</t>
  </si>
  <si>
    <t>琴瑟在御</t>
  </si>
  <si>
    <t>青白</t>
  </si>
  <si>
    <t>青柠</t>
  </si>
  <si>
    <t>徐秉龙、桃十五</t>
  </si>
  <si>
    <t>倾尽天下</t>
  </si>
  <si>
    <t>清平误</t>
  </si>
  <si>
    <t>情囚</t>
  </si>
  <si>
    <t>电视剧版</t>
  </si>
  <si>
    <t>请笃信一个梦</t>
  </si>
  <si>
    <t>娶+嫁</t>
  </si>
  <si>
    <t>去追一只鹿</t>
  </si>
  <si>
    <t>小时姑娘</t>
  </si>
  <si>
    <t>雀跃</t>
  </si>
  <si>
    <t>热气球</t>
  </si>
  <si>
    <t>黄淑惠</t>
  </si>
  <si>
    <t>人间惊鸿客</t>
  </si>
  <si>
    <t>叶里</t>
  </si>
  <si>
    <t>人美路子野</t>
  </si>
  <si>
    <t>日暮归途</t>
  </si>
  <si>
    <t>清漪、安久</t>
  </si>
  <si>
    <t>如词穷一般</t>
  </si>
  <si>
    <t>如一</t>
  </si>
  <si>
    <t>撒野</t>
  </si>
  <si>
    <t>林一卡</t>
  </si>
  <si>
    <t>三拜红尘凉</t>
  </si>
  <si>
    <t>三寸月光</t>
  </si>
  <si>
    <t>邹秋实</t>
  </si>
  <si>
    <t>三吋日光</t>
  </si>
  <si>
    <t>三个人的晚餐</t>
  </si>
  <si>
    <t>三苦生</t>
  </si>
  <si>
    <t>小小宣</t>
  </si>
  <si>
    <t>三行情诗</t>
  </si>
  <si>
    <t>三字言</t>
  </si>
  <si>
    <t>李想Evelyn</t>
  </si>
  <si>
    <t>杀伐</t>
  </si>
  <si>
    <t>NL不分、Smile_小千、流浪的蛙蛙、阿睿凌霓剑裳</t>
  </si>
  <si>
    <t>山花寻海树</t>
  </si>
  <si>
    <t>山上雪</t>
  </si>
  <si>
    <t>山外小楼夜听雨</t>
  </si>
  <si>
    <t>山有木兮</t>
  </si>
  <si>
    <t>山止川行</t>
  </si>
  <si>
    <t>姗姗</t>
  </si>
  <si>
    <t>周杰伦、Lara梁心颐</t>
  </si>
  <si>
    <t>珊瑚说</t>
  </si>
  <si>
    <t>扇子舞</t>
  </si>
  <si>
    <t>蓝沁</t>
  </si>
  <si>
    <t>善变</t>
  </si>
  <si>
    <t>王靖雯</t>
  </si>
  <si>
    <t>上春山</t>
  </si>
  <si>
    <t>魏晨、魏大勋、白敬亭</t>
  </si>
  <si>
    <t>少女作妖日记</t>
  </si>
  <si>
    <t>涉川</t>
  </si>
  <si>
    <t>谁家</t>
  </si>
  <si>
    <t>池鱼</t>
  </si>
  <si>
    <t>阿YueYue、戾格</t>
  </si>
  <si>
    <t>失恋俱乐部</t>
  </si>
  <si>
    <t>失重前幸福</t>
  </si>
  <si>
    <t>十世镜</t>
  </si>
  <si>
    <t>时间轴</t>
  </si>
  <si>
    <t>似平生</t>
  </si>
  <si>
    <t>是风动</t>
  </si>
  <si>
    <t>银临、河图</t>
  </si>
  <si>
    <t>蜀绣</t>
  </si>
  <si>
    <t>小曲儿、晃儿</t>
  </si>
  <si>
    <t>霜降</t>
  </si>
  <si>
    <t>洛天依、乐正绫</t>
  </si>
  <si>
    <t>水龙吟</t>
  </si>
  <si>
    <t>HOYO-MiX、优素</t>
  </si>
  <si>
    <t>水叙湖风</t>
  </si>
  <si>
    <t>瞬</t>
  </si>
  <si>
    <t>郑润泽</t>
  </si>
  <si>
    <t>说好不哭</t>
  </si>
  <si>
    <t>JC 陈咏桐</t>
  </si>
  <si>
    <t>四时与君</t>
  </si>
  <si>
    <t>四万秋</t>
  </si>
  <si>
    <t>松烟入墨</t>
  </si>
  <si>
    <t>Winky诗</t>
  </si>
  <si>
    <t>苏公堤</t>
  </si>
  <si>
    <t>杨一歌</t>
  </si>
  <si>
    <t>苏绣姑娘</t>
  </si>
  <si>
    <t>他不懂</t>
  </si>
  <si>
    <t>太阳</t>
  </si>
  <si>
    <t>曲肖冰</t>
  </si>
  <si>
    <t>贪欢</t>
  </si>
  <si>
    <t>檀烧、安久</t>
  </si>
  <si>
    <t>叹云兮</t>
  </si>
  <si>
    <t>棠红棣雪</t>
  </si>
  <si>
    <t>山猫</t>
  </si>
  <si>
    <t>汪睿</t>
  </si>
  <si>
    <t>桃夭</t>
  </si>
  <si>
    <t>肥皂菌</t>
  </si>
  <si>
    <t>天龙八部之宿敌</t>
  </si>
  <si>
    <t>天命风流</t>
  </si>
  <si>
    <t>绯村柯北</t>
  </si>
  <si>
    <t>天上掉下个林妹妹</t>
  </si>
  <si>
    <t>迢迢</t>
  </si>
  <si>
    <t>同归</t>
  </si>
  <si>
    <t>同心</t>
  </si>
  <si>
    <t>暗杠</t>
  </si>
  <si>
    <t>外婆桥</t>
  </si>
  <si>
    <t>晚来客</t>
  </si>
  <si>
    <t>晚夜微雨问海棠</t>
  </si>
  <si>
    <t>镜予歌、陈亦洺、喧笑</t>
  </si>
  <si>
    <t>万疆</t>
  </si>
  <si>
    <t>万梦星</t>
  </si>
  <si>
    <t>万象霜天</t>
  </si>
  <si>
    <t>王招君</t>
  </si>
  <si>
    <t>为龙</t>
  </si>
  <si>
    <t>闻到</t>
  </si>
  <si>
    <t>我多喜欢你你会知道</t>
  </si>
  <si>
    <t>王俊琪</t>
  </si>
  <si>
    <t>我好像掉进了爱情海里</t>
  </si>
  <si>
    <t>赵露思</t>
  </si>
  <si>
    <t>我很快乐</t>
  </si>
  <si>
    <t>刘惜君</t>
  </si>
  <si>
    <t>我会等</t>
  </si>
  <si>
    <t>承桓</t>
  </si>
  <si>
    <t>我喜欢你胜过削好的水果周末的零食延后的死线冰镇西瓜正中间的那一口肆无忌惮的赖床和空调房里盖棉被的感觉但我就是不敢告诉你</t>
  </si>
  <si>
    <t>蓬岛以左煮雪烧茶</t>
  </si>
  <si>
    <t>无垢</t>
  </si>
  <si>
    <t>NL不分</t>
  </si>
  <si>
    <t>无人之岛</t>
  </si>
  <si>
    <t>叫ぶ獣</t>
  </si>
  <si>
    <t>西厢寻他</t>
  </si>
  <si>
    <t>息兮</t>
  </si>
  <si>
    <t>紫沐言</t>
  </si>
  <si>
    <t>囍</t>
  </si>
  <si>
    <t>葛东琪</t>
  </si>
  <si>
    <t>下一站茶山刘</t>
  </si>
  <si>
    <t>仙凡恋</t>
  </si>
  <si>
    <t>小旭音乐</t>
  </si>
  <si>
    <t>仙瑶</t>
  </si>
  <si>
    <t>想念拟人化</t>
  </si>
  <si>
    <t>逍遥拜我</t>
  </si>
  <si>
    <t>小嫦娥</t>
  </si>
  <si>
    <t>小满</t>
  </si>
  <si>
    <t>小模样</t>
  </si>
  <si>
    <t>张小只ya</t>
  </si>
  <si>
    <t>小永远</t>
  </si>
  <si>
    <t>小宇</t>
  </si>
  <si>
    <t>小谪风月</t>
  </si>
  <si>
    <t>笑忘缘</t>
  </si>
  <si>
    <t>小潘潘(潘柚彤)</t>
  </si>
  <si>
    <t>心上秋</t>
  </si>
  <si>
    <t>心上诗</t>
  </si>
  <si>
    <t>星月落</t>
  </si>
  <si>
    <t>杏花弦外雨</t>
  </si>
  <si>
    <t>CRITTY、司夏</t>
  </si>
  <si>
    <t>虚拟</t>
  </si>
  <si>
    <t>学猫叫</t>
  </si>
  <si>
    <t>小潘潘</t>
  </si>
  <si>
    <t>雪落在先生肩上</t>
  </si>
  <si>
    <t>寻常歌</t>
  </si>
  <si>
    <t>烟雨行舟</t>
  </si>
  <si>
    <t>雁城雪</t>
  </si>
  <si>
    <t>杨花落尽子规啼</t>
  </si>
  <si>
    <t>G2er、黄诗扶</t>
  </si>
  <si>
    <t>遥不可及的你</t>
  </si>
  <si>
    <t>野火</t>
  </si>
  <si>
    <t>三无Marblue、不才</t>
  </si>
  <si>
    <t>夜奔</t>
  </si>
  <si>
    <t>夜宴风波</t>
  </si>
  <si>
    <t>一步之遥</t>
  </si>
  <si>
    <t>一剑轻安</t>
  </si>
  <si>
    <t>一介书生</t>
  </si>
  <si>
    <t>江潮</t>
  </si>
  <si>
    <t>一世妆</t>
  </si>
  <si>
    <t>依山观澜</t>
  </si>
  <si>
    <t>疑心病</t>
  </si>
  <si>
    <t>吟</t>
  </si>
  <si>
    <t>汪苏泷、BY2</t>
  </si>
  <si>
    <t>有鹿来</t>
  </si>
  <si>
    <t>有美人兮</t>
  </si>
  <si>
    <t>赵方婧、王梓钰</t>
  </si>
  <si>
    <t>余味</t>
  </si>
  <si>
    <t>鱼玄机</t>
  </si>
  <si>
    <t>兔裹煎蛋卷</t>
  </si>
  <si>
    <t>与这个世界相看两厌了</t>
  </si>
  <si>
    <t>遇萤</t>
  </si>
  <si>
    <t>Critty</t>
  </si>
  <si>
    <t>御龙吟</t>
  </si>
  <si>
    <t>鸳鸯戏</t>
  </si>
  <si>
    <t>Babystop_山竹、伊芙</t>
  </si>
  <si>
    <t>原来你也在这里</t>
  </si>
  <si>
    <t>月落春荒</t>
  </si>
  <si>
    <t>tacke竹桑</t>
  </si>
  <si>
    <t>月下逢</t>
  </si>
  <si>
    <t>阅春秋</t>
  </si>
  <si>
    <t>圈9</t>
  </si>
  <si>
    <t>云何往</t>
  </si>
  <si>
    <t>云何住</t>
  </si>
  <si>
    <t>云长</t>
  </si>
  <si>
    <t>赵珂</t>
  </si>
  <si>
    <t>再见前任</t>
  </si>
  <si>
    <t>在雕刻时光写的民谣</t>
  </si>
  <si>
    <t>樊博艺</t>
  </si>
  <si>
    <t>在加纳共和国离婚</t>
  </si>
  <si>
    <t>蔡恩雨</t>
  </si>
  <si>
    <t>葬仙</t>
  </si>
  <si>
    <t>早回身</t>
  </si>
  <si>
    <t>尘ah.</t>
  </si>
  <si>
    <t>造梦者</t>
  </si>
  <si>
    <t>怎叹</t>
  </si>
  <si>
    <t>郑鱼</t>
  </si>
  <si>
    <t>长歌行</t>
  </si>
  <si>
    <t>i2star</t>
  </si>
  <si>
    <t>长街烟火</t>
  </si>
  <si>
    <t>长相思</t>
  </si>
  <si>
    <t>招娣</t>
  </si>
  <si>
    <t>折枝花满衣</t>
  </si>
  <si>
    <t>折子戏</t>
  </si>
  <si>
    <t>黄阅</t>
  </si>
  <si>
    <t>谪仙</t>
  </si>
  <si>
    <t>傲七爷</t>
  </si>
  <si>
    <t>胡夏、郁可唯</t>
  </si>
  <si>
    <t>知我</t>
  </si>
  <si>
    <t>纸伞</t>
  </si>
  <si>
    <t>指纹</t>
  </si>
  <si>
    <t>yihuik苡慧</t>
  </si>
  <si>
    <t>朱砂</t>
  </si>
  <si>
    <t>任然、Xun</t>
  </si>
  <si>
    <t>陈壹千</t>
  </si>
  <si>
    <t>郭沁</t>
  </si>
  <si>
    <t>最人间</t>
  </si>
  <si>
    <t>封茗囧菌</t>
  </si>
  <si>
    <t>V家</t>
    <phoneticPr fontId="1" type="noConversion"/>
  </si>
  <si>
    <t>阳绫Themis</t>
  </si>
  <si>
    <t>爱的魔法</t>
  </si>
  <si>
    <t>半边山半边海</t>
  </si>
  <si>
    <t>被风吹散的人</t>
  </si>
  <si>
    <t>北平无雪</t>
  </si>
  <si>
    <t>春来发几枝</t>
  </si>
  <si>
    <t>春雷的十四行诗</t>
  </si>
  <si>
    <t>宠坏</t>
  </si>
  <si>
    <t>彩虹节拍</t>
  </si>
  <si>
    <t>长生诀</t>
  </si>
  <si>
    <t>长夜雨</t>
  </si>
  <si>
    <t>长安</t>
  </si>
  <si>
    <t>痴人说</t>
  </si>
  <si>
    <t>此处逢春</t>
  </si>
  <si>
    <t>大艺术家</t>
  </si>
  <si>
    <t>rap</t>
  </si>
  <si>
    <t>等风吹</t>
  </si>
  <si>
    <t>第三十八年夏至</t>
  </si>
  <si>
    <t>当时</t>
  </si>
  <si>
    <t>真相是假</t>
  </si>
  <si>
    <t>断桥残雪</t>
  </si>
  <si>
    <t>答应不爱你</t>
  </si>
  <si>
    <t>罚酒饮得</t>
  </si>
  <si>
    <t>风雪</t>
  </si>
  <si>
    <t>for you 写给你的歌</t>
  </si>
  <si>
    <t>繁花</t>
  </si>
  <si>
    <t>飞龙睡在瓦片上</t>
  </si>
  <si>
    <t>粉红色的回忆</t>
  </si>
  <si>
    <t>非鱼</t>
  </si>
  <si>
    <t>刚烈女子</t>
  </si>
  <si>
    <t>姑苏城</t>
  </si>
  <si>
    <t>古旧人间</t>
  </si>
  <si>
    <t>干物女</t>
  </si>
  <si>
    <t>何日重到苏澜桥</t>
  </si>
  <si>
    <t>坏童话</t>
  </si>
  <si>
    <t>画女</t>
  </si>
  <si>
    <t>华胥引</t>
  </si>
  <si>
    <t>混沌</t>
  </si>
  <si>
    <t>谎颜</t>
  </si>
  <si>
    <t>海市蜃楼</t>
  </si>
  <si>
    <t>既见山月</t>
  </si>
  <si>
    <t>九万里</t>
  </si>
  <si>
    <t>劫杀·恋爱狂欢</t>
  </si>
  <si>
    <t>今生如梦</t>
  </si>
  <si>
    <t>江湖写照</t>
  </si>
  <si>
    <t>惊蛰</t>
  </si>
  <si>
    <t>可能否</t>
  </si>
  <si>
    <t>可爱的一朵玫瑰花</t>
  </si>
  <si>
    <t>狂</t>
  </si>
  <si>
    <t>蓝色降落伞</t>
  </si>
  <si>
    <t>落梅笺</t>
  </si>
  <si>
    <t>绿豆糕般的童年</t>
  </si>
  <si>
    <t>练习曲</t>
  </si>
  <si>
    <t>狼</t>
  </si>
  <si>
    <t>来时山有雨</t>
  </si>
  <si>
    <t>流星雨</t>
  </si>
  <si>
    <t>满月已霜</t>
  </si>
  <si>
    <t>牡丹江</t>
  </si>
  <si>
    <t>玫瑰花的葬礼</t>
  </si>
  <si>
    <t>牧星者</t>
  </si>
  <si>
    <t>墨衣</t>
  </si>
  <si>
    <t>末日派热舞</t>
  </si>
  <si>
    <t>马马嘟嘟骑</t>
  </si>
  <si>
    <t>梦</t>
  </si>
  <si>
    <t>末日飞船</t>
  </si>
  <si>
    <t>摩登爱情</t>
  </si>
  <si>
    <t>蚂蚁蚂蚁</t>
  </si>
  <si>
    <t>你有没有见过他</t>
  </si>
  <si>
    <t>浓缩蓝鲸</t>
  </si>
  <si>
    <t>飘摇</t>
  </si>
  <si>
    <t>骑士精神</t>
  </si>
  <si>
    <t>奇妙能力物语</t>
  </si>
  <si>
    <t>情是何物</t>
  </si>
  <si>
    <t>妻书</t>
  </si>
  <si>
    <t>千山雪寂</t>
  </si>
  <si>
    <t>青衫隐</t>
  </si>
  <si>
    <t>千年食谱颂</t>
  </si>
  <si>
    <t>前尘如梦</t>
  </si>
  <si>
    <t>全世界</t>
  </si>
  <si>
    <t>亲爱的你怎么不在我身边</t>
  </si>
  <si>
    <t>如花</t>
  </si>
  <si>
    <t>让酒</t>
  </si>
  <si>
    <t>如果我变成回忆</t>
  </si>
  <si>
    <t>入梦</t>
  </si>
  <si>
    <t>如此大世界</t>
  </si>
  <si>
    <t>荣耀向我臣服</t>
  </si>
  <si>
    <t>若思念便思念</t>
  </si>
  <si>
    <t>水磨时光</t>
  </si>
  <si>
    <t>蜀月行歌</t>
  </si>
  <si>
    <t>说好的幸福呢</t>
  </si>
  <si>
    <t>双飞燕</t>
  </si>
  <si>
    <t>似曾</t>
  </si>
  <si>
    <t>上邪</t>
  </si>
  <si>
    <t>说不得</t>
  </si>
  <si>
    <t>三日静寂</t>
  </si>
  <si>
    <t>水中画</t>
  </si>
  <si>
    <t>思念一个荒废的名字</t>
  </si>
  <si>
    <t>生命的云彩</t>
  </si>
  <si>
    <t>盛夏</t>
  </si>
  <si>
    <t>水形物语</t>
  </si>
  <si>
    <t>身世</t>
  </si>
  <si>
    <t>四角游戏</t>
  </si>
  <si>
    <t>她和他</t>
  </si>
  <si>
    <t>太平年间忆某君</t>
  </si>
  <si>
    <t>陶然四季</t>
  </si>
  <si>
    <t>她真漂亮</t>
  </si>
  <si>
    <t>天后</t>
  </si>
  <si>
    <t>天使的翅膀</t>
  </si>
  <si>
    <t>提灯照河山</t>
  </si>
  <si>
    <t>棠花谢</t>
  </si>
  <si>
    <t>我与万花若初见</t>
  </si>
  <si>
    <t>他不爱我</t>
  </si>
  <si>
    <t>特别出逃</t>
  </si>
  <si>
    <t>天冷就回来</t>
  </si>
  <si>
    <t>我好像在哪见过你</t>
  </si>
  <si>
    <t>为什么我好想告诉她我是谁</t>
  </si>
  <si>
    <t>我爱的人</t>
  </si>
  <si>
    <t>我与自己唱相守</t>
  </si>
  <si>
    <t>勿忘我</t>
  </si>
  <si>
    <t>无数</t>
  </si>
  <si>
    <t>温暖</t>
  </si>
  <si>
    <t>我期待的不是雪</t>
  </si>
  <si>
    <t>小城夏天</t>
  </si>
  <si>
    <t>写给我第一次喜欢的女孩</t>
  </si>
  <si>
    <t>虚拟心脏</t>
  </si>
  <si>
    <t>寻人启事</t>
  </si>
  <si>
    <t>下雨了</t>
  </si>
  <si>
    <t>羞答答的玫瑰静悄悄的开</t>
  </si>
  <si>
    <t>叙世</t>
  </si>
  <si>
    <t>杏花落时茶幽香</t>
  </si>
  <si>
    <t>弦中歌</t>
  </si>
  <si>
    <t>一半一半</t>
  </si>
  <si>
    <t>下潜</t>
  </si>
  <si>
    <t>逍遥叹</t>
  </si>
  <si>
    <t>悬溺</t>
  </si>
  <si>
    <t>下山</t>
  </si>
  <si>
    <t>小楼山外夜听雨</t>
  </si>
  <si>
    <t>一处风雪两白头</t>
  </si>
  <si>
    <t>以父之名</t>
  </si>
  <si>
    <t>异想记</t>
  </si>
  <si>
    <t>友谊之歌</t>
  </si>
  <si>
    <t>有生之年</t>
  </si>
  <si>
    <t>一个人的北京</t>
  </si>
  <si>
    <t>应思量</t>
  </si>
  <si>
    <t>以剑之名血薇</t>
  </si>
  <si>
    <t>予你成歌</t>
  </si>
  <si>
    <t>衣柜歌手</t>
  </si>
  <si>
    <t>月白色倒影的少女</t>
  </si>
  <si>
    <t>御龙铭千古</t>
  </si>
  <si>
    <t>一身诗意千寻瀑</t>
  </si>
  <si>
    <t>伊人</t>
  </si>
  <si>
    <t>雅乐寻踪</t>
  </si>
  <si>
    <t>瘾</t>
  </si>
  <si>
    <t>原来的我</t>
  </si>
  <si>
    <t>再见吧喵小姐</t>
  </si>
  <si>
    <t>站在你前方</t>
  </si>
  <si>
    <t>子弹与钟摆</t>
  </si>
  <si>
    <t>左手右手</t>
  </si>
  <si>
    <t>转圈圈</t>
  </si>
  <si>
    <t>醉</t>
  </si>
  <si>
    <t>祝我生日快乐</t>
  </si>
  <si>
    <t>在你的身边</t>
  </si>
  <si>
    <t>愛し子よ</t>
  </si>
  <si>
    <t>胧月</t>
  </si>
  <si>
    <t>孑然妒火</t>
  </si>
  <si>
    <t>大迷惑星。</t>
  </si>
  <si>
    <t>僕が死のうと思ったのは</t>
  </si>
  <si>
    <t>bad apple</t>
  </si>
  <si>
    <t>紡唄 -つむぎうた</t>
  </si>
  <si>
    <t>明日世界が终わるなら</t>
  </si>
  <si>
    <t>もらい泣き</t>
  </si>
  <si>
    <t>活动小丑</t>
  </si>
  <si>
    <t>翡翠</t>
  </si>
  <si>
    <t>涌潮悲歌</t>
  </si>
  <si>
    <t>自造语</t>
  </si>
  <si>
    <t>A Letter</t>
  </si>
  <si>
    <t>The End of the world</t>
  </si>
  <si>
    <t>Magnet</t>
  </si>
  <si>
    <t>帮主夫人</t>
  </si>
  <si>
    <t>一次就好</t>
  </si>
  <si>
    <t>开门见山</t>
  </si>
  <si>
    <t>天下</t>
  </si>
  <si>
    <t>爱的初体验</t>
  </si>
  <si>
    <t>爱的天灵灵</t>
  </si>
  <si>
    <t>顶戴花翎</t>
  </si>
  <si>
    <t>未知</t>
  </si>
  <si>
    <t>最粗的恋人</t>
  </si>
  <si>
    <t>巴大雄</t>
  </si>
  <si>
    <t>SC50</t>
  </si>
  <si>
    <t>眼泪亮晶晶</t>
  </si>
  <si>
    <t>litterzy</t>
  </si>
  <si>
    <t>土嗨</t>
  </si>
  <si>
    <t>爱河</t>
  </si>
  <si>
    <t>蒋雪儿</t>
  </si>
  <si>
    <t>大学生活很浪漫</t>
  </si>
  <si>
    <t>蘑菇浓汤</t>
  </si>
  <si>
    <t>Dearest</t>
  </si>
  <si>
    <t>滨崎步</t>
  </si>
  <si>
    <t>离岛之歌</t>
  </si>
  <si>
    <t>东山奈央</t>
  </si>
  <si>
    <t>九十九次我爱他</t>
  </si>
  <si>
    <t>sc100</t>
  </si>
  <si>
    <t>洞若观心</t>
  </si>
  <si>
    <t>洛神赋</t>
  </si>
  <si>
    <t>张也</t>
  </si>
  <si>
    <t>麒麟</t>
  </si>
  <si>
    <t>早安</t>
  </si>
  <si>
    <t>sc50</t>
  </si>
  <si>
    <t>彩虹糖的梦</t>
  </si>
  <si>
    <t>金娃娃</t>
  </si>
  <si>
    <t>spade</t>
  </si>
  <si>
    <t>黑桃A</t>
  </si>
  <si>
    <t>罗曼蒂克乌托邦</t>
  </si>
  <si>
    <t>门尼</t>
  </si>
  <si>
    <t>菲道尔</t>
  </si>
  <si>
    <t>深深</t>
  </si>
  <si>
    <t>潘韵琪</t>
  </si>
  <si>
    <t>侬</t>
  </si>
  <si>
    <t>毛南乐队</t>
  </si>
  <si>
    <t>山歌</t>
  </si>
  <si>
    <t>依兰爱情故事</t>
  </si>
  <si>
    <t>涙そうそう</t>
  </si>
  <si>
    <t>夏川里美</t>
  </si>
  <si>
    <t>张楚</t>
  </si>
  <si>
    <t>摇滚</t>
  </si>
  <si>
    <t>伪善者</t>
  </si>
  <si>
    <t>金渔</t>
  </si>
  <si>
    <t>马兰开花</t>
  </si>
  <si>
    <t>b级鲨鱼</t>
  </si>
  <si>
    <t>裘德</t>
  </si>
  <si>
    <t>壁上观</t>
  </si>
  <si>
    <t>织云霞的神</t>
  </si>
  <si>
    <t>朱芾</t>
  </si>
  <si>
    <t>黄昏歌剧院</t>
  </si>
  <si>
    <t>许哲珮</t>
  </si>
  <si>
    <t>像鱼</t>
  </si>
  <si>
    <t>王贰浪</t>
  </si>
  <si>
    <t>by2</t>
  </si>
  <si>
    <t>新造的人</t>
  </si>
  <si>
    <t>新心灵舍</t>
  </si>
  <si>
    <t>爱的双重魔力</t>
  </si>
  <si>
    <t>dont go away</t>
  </si>
  <si>
    <t>可不可以放进去一下下就好</t>
  </si>
  <si>
    <t>飞羽</t>
  </si>
  <si>
    <t>卜卦</t>
  </si>
  <si>
    <t>dj</t>
  </si>
  <si>
    <t>好男人都死哪儿去了</t>
  </si>
  <si>
    <t>当归</t>
  </si>
  <si>
    <t>Assen捷</t>
  </si>
  <si>
    <t>critty</t>
  </si>
  <si>
    <t>广西步</t>
  </si>
  <si>
    <t>无限火力</t>
  </si>
  <si>
    <t>情非得已</t>
  </si>
  <si>
    <t>庾澄庆</t>
  </si>
  <si>
    <t>刘宇宁ver</t>
  </si>
  <si>
    <t>甜蜜蜜</t>
  </si>
  <si>
    <t>罂粟花冠</t>
  </si>
  <si>
    <t>贝贝</t>
  </si>
  <si>
    <t>北京市少年宫合唱</t>
  </si>
  <si>
    <t>独上C楼</t>
  </si>
  <si>
    <t>黄宣</t>
  </si>
  <si>
    <t>做个文明中国人</t>
  </si>
  <si>
    <t>林子祥</t>
  </si>
  <si>
    <t>七友</t>
  </si>
  <si>
    <t>梁汉文</t>
  </si>
  <si>
    <t>Lemon tree</t>
  </si>
  <si>
    <t>万圣街</t>
  </si>
  <si>
    <t>周杰伦&amp;费玉清</t>
  </si>
  <si>
    <t>世末歌者</t>
  </si>
  <si>
    <t>洗澡歌</t>
  </si>
  <si>
    <t>梦之雨</t>
  </si>
  <si>
    <t>无法原谅</t>
  </si>
  <si>
    <t>李佳璐</t>
  </si>
  <si>
    <t>伤不起</t>
  </si>
  <si>
    <t>王麟、老猫</t>
  </si>
  <si>
    <t>斯琴高丽、顾峰</t>
  </si>
  <si>
    <t>要爱爱</t>
  </si>
  <si>
    <t>王麟</t>
  </si>
  <si>
    <t>为自己代言</t>
  </si>
  <si>
    <t>猫猫静悄悄</t>
  </si>
  <si>
    <t>世上哪有树缠藤</t>
  </si>
  <si>
    <t>佚名</t>
  </si>
  <si>
    <t>水上灯</t>
  </si>
  <si>
    <t>braska</t>
  </si>
  <si>
    <t>马桑树儿打灯台</t>
  </si>
  <si>
    <t>阿朵</t>
  </si>
  <si>
    <t>家里不是我的天涯</t>
  </si>
  <si>
    <t>达拉崩吧</t>
  </si>
  <si>
    <t>上学威龙</t>
  </si>
  <si>
    <t>法老</t>
  </si>
  <si>
    <t>打歌妹</t>
  </si>
  <si>
    <t>林树豪</t>
  </si>
  <si>
    <t>火烧云</t>
  </si>
  <si>
    <t>暮色回响</t>
  </si>
  <si>
    <t>吉星出租</t>
  </si>
  <si>
    <t>麦乐鸡</t>
  </si>
  <si>
    <t>青花</t>
  </si>
  <si>
    <t>阿蕊娅Aria</t>
  </si>
  <si>
    <t>A.I.N.Y.爱你</t>
  </si>
  <si>
    <t>Ach ich fühl′s（我感到）</t>
  </si>
  <si>
    <t>德语</t>
  </si>
  <si>
    <t>SC100</t>
  </si>
  <si>
    <t>歌剧《魔笛》</t>
  </si>
  <si>
    <t>All of me</t>
  </si>
  <si>
    <t>ARIA</t>
  </si>
  <si>
    <t>kalfina</t>
  </si>
  <si>
    <t>SC30</t>
  </si>
  <si>
    <t>HOYO-MIX</t>
  </si>
  <si>
    <t>if~ひとり思う~ (If~孤思)</t>
  </si>
  <si>
    <t>森下弘生</t>
  </si>
  <si>
    <t>letting go</t>
  </si>
  <si>
    <t>Lydia</t>
  </si>
  <si>
    <t>Mein Herr Marquis</t>
  </si>
  <si>
    <t>Memory</t>
  </si>
  <si>
    <t>音乐剧</t>
  </si>
  <si>
    <t>《猫》</t>
  </si>
  <si>
    <t>Never enough</t>
  </si>
  <si>
    <t>Loren Allred</t>
  </si>
  <si>
    <t>《马戏之王》</t>
  </si>
  <si>
    <t>P.S.我爱你</t>
  </si>
  <si>
    <t>黄丽玲A-Lin</t>
  </si>
  <si>
    <t>Scarborough fair</t>
  </si>
  <si>
    <t>Simon</t>
  </si>
  <si>
    <t>Think of me</t>
  </si>
  <si>
    <t>《歌剧魅影》</t>
  </si>
  <si>
    <t>Time to say goodbye</t>
  </si>
  <si>
    <t>意大利语、英语</t>
  </si>
  <si>
    <t>Wonderful U</t>
  </si>
  <si>
    <t>young and beautiful</t>
  </si>
  <si>
    <t>Lana Del Rey</t>
  </si>
  <si>
    <t>β?ο?</t>
  </si>
  <si>
    <t>小林未郁</t>
  </si>
  <si>
    <t>爱囚</t>
  </si>
  <si>
    <t>庄心妍</t>
  </si>
  <si>
    <t>爱人错过</t>
  </si>
  <si>
    <t>告五人</t>
  </si>
  <si>
    <t>于文文/周深</t>
  </si>
  <si>
    <t>白鸽</t>
  </si>
  <si>
    <t>你的上好佳</t>
  </si>
  <si>
    <t>sc30</t>
  </si>
  <si>
    <t>魏晗</t>
  </si>
  <si>
    <t>少年霜</t>
  </si>
  <si>
    <t>别看我只是一只羊</t>
  </si>
  <si>
    <t>古倩敏、杨沛宜</t>
  </si>
  <si>
    <t>童年回忆</t>
  </si>
  <si>
    <t>不分手的恋爱</t>
  </si>
  <si>
    <t>徐良/汪苏泷</t>
  </si>
  <si>
    <t>不哭</t>
  </si>
  <si>
    <t>不怕</t>
  </si>
  <si>
    <t>赵蕾、赵蓓</t>
  </si>
  <si>
    <t>T.R.Y.</t>
  </si>
  <si>
    <t>不完美小孩</t>
  </si>
  <si>
    <t>CRITTY</t>
  </si>
  <si>
    <t>不再联系</t>
  </si>
  <si>
    <t>猜不透</t>
  </si>
  <si>
    <t>彩色的黑</t>
  </si>
  <si>
    <t>吉克隽逸</t>
  </si>
  <si>
    <t>赤壁~大江东去</t>
  </si>
  <si>
    <t>吴梦雪</t>
  </si>
  <si>
    <t>传说有个魔仙堡</t>
  </si>
  <si>
    <t>A2A</t>
  </si>
  <si>
    <t>大家一起喜羊羊</t>
  </si>
  <si>
    <t>大傻鱼</t>
  </si>
  <si>
    <t>王小帅</t>
  </si>
  <si>
    <t>大雾</t>
  </si>
  <si>
    <t>张一乔</t>
  </si>
  <si>
    <t>《金沙》</t>
  </si>
  <si>
    <t>挡我者是我</t>
  </si>
  <si>
    <t>到不了</t>
  </si>
  <si>
    <t>到此为止</t>
  </si>
  <si>
    <t>张也、周深</t>
  </si>
  <si>
    <t>动物世界</t>
  </si>
  <si>
    <t>韩红&amp;林俊杰</t>
  </si>
  <si>
    <t>风衣</t>
  </si>
  <si>
    <t>風之詠</t>
  </si>
  <si>
    <t>水曜日</t>
  </si>
  <si>
    <t>凤凰</t>
  </si>
  <si>
    <t>高尚</t>
  </si>
  <si>
    <t>SC</t>
  </si>
  <si>
    <t>给你一瓶魔法药水</t>
  </si>
  <si>
    <t>耿</t>
  </si>
  <si>
    <t>汪苏泷（宴深版）</t>
  </si>
  <si>
    <t>洛天依/ILEM</t>
  </si>
  <si>
    <t>还过得去</t>
  </si>
  <si>
    <t>杨幂</t>
  </si>
  <si>
    <t>还是你的笑容最可爱</t>
  </si>
  <si>
    <t>音阙诗听、泠鸢yousa</t>
  </si>
  <si>
    <t>好一点</t>
  </si>
  <si>
    <t>小蓝背心</t>
  </si>
  <si>
    <t>何必要在一起</t>
  </si>
  <si>
    <t>和你一样</t>
  </si>
  <si>
    <t>云泣</t>
  </si>
  <si>
    <t>呼唤</t>
  </si>
  <si>
    <t>音阙诗听、赵方婧</t>
  </si>
  <si>
    <t>画</t>
  </si>
  <si>
    <t>画骨成沙</t>
  </si>
  <si>
    <t>樱九</t>
  </si>
  <si>
    <t>苏见信</t>
  </si>
  <si>
    <t>讲真的</t>
  </si>
  <si>
    <t>曾惜</t>
  </si>
  <si>
    <t>借我</t>
  </si>
  <si>
    <t>谢春花</t>
  </si>
  <si>
    <t>金缕衣</t>
  </si>
  <si>
    <t>银临、云泣</t>
  </si>
  <si>
    <t>锦瑟</t>
  </si>
  <si>
    <t>惊鹊</t>
  </si>
  <si>
    <t>三无Marblue、hanser</t>
  </si>
  <si>
    <t>旧岛看月亮</t>
  </si>
  <si>
    <t>诀爱</t>
  </si>
  <si>
    <t>詹雯婷</t>
  </si>
  <si>
    <t>开心往前飞</t>
  </si>
  <si>
    <t>VIVI</t>
  </si>
  <si>
    <t>赵紫骅</t>
  </si>
  <si>
    <t>空港</t>
  </si>
  <si>
    <t>戴爱玲&amp;信</t>
  </si>
  <si>
    <t>快乐的扑满</t>
  </si>
  <si>
    <t>邵丽棠</t>
  </si>
  <si>
    <t>快乐女孩</t>
  </si>
  <si>
    <t>快乐星猫</t>
  </si>
  <si>
    <t>来自天堂的魔鬼</t>
  </si>
  <si>
    <t>周杰伦（周深版）</t>
  </si>
  <si>
    <t>流行 中国风</t>
  </si>
  <si>
    <t>徐佳莹版</t>
  </si>
  <si>
    <t>礼仪之邦</t>
  </si>
  <si>
    <t>HITA、叶里、安九</t>
  </si>
  <si>
    <t>恋爱告急</t>
  </si>
  <si>
    <t>流着泪说分手</t>
  </si>
  <si>
    <t>鹿be free</t>
  </si>
  <si>
    <t>旅の途中</t>
  </si>
  <si>
    <t>绿色的旋律</t>
  </si>
  <si>
    <t>陈洁丽</t>
  </si>
  <si>
    <t>绿洲</t>
  </si>
  <si>
    <t>没那么简单</t>
  </si>
  <si>
    <t>黄小琥</t>
  </si>
  <si>
    <t>梦醒时分</t>
  </si>
  <si>
    <t>明天我要嫁给你了</t>
  </si>
  <si>
    <t>命の别名</t>
  </si>
  <si>
    <t>中岛美雪</t>
  </si>
  <si>
    <t>命运</t>
  </si>
  <si>
    <t>木头的心</t>
  </si>
  <si>
    <t>左颜</t>
  </si>
  <si>
    <t>龚玥</t>
  </si>
  <si>
    <t>牧云谣</t>
  </si>
  <si>
    <t>拿走了什么</t>
  </si>
  <si>
    <t>你不是真正的快乐</t>
  </si>
  <si>
    <t>你是我的风景</t>
  </si>
  <si>
    <t>女人花</t>
  </si>
  <si>
    <t>骗</t>
  </si>
  <si>
    <t>周迅</t>
  </si>
  <si>
    <t>刘明湘</t>
  </si>
  <si>
    <t>买辣椒要用券</t>
  </si>
  <si>
    <t>亲人</t>
  </si>
  <si>
    <t>青玉案元夕</t>
  </si>
  <si>
    <t>邓垚</t>
  </si>
  <si>
    <t>轻涟</t>
  </si>
  <si>
    <t>Cécilia Cara</t>
  </si>
  <si>
    <t>法语</t>
  </si>
  <si>
    <t>情歌</t>
  </si>
  <si>
    <t>关诗敏</t>
  </si>
  <si>
    <t>秋风词</t>
  </si>
  <si>
    <t>全是爱</t>
  </si>
  <si>
    <t>缺氧</t>
  </si>
  <si>
    <t>（因为唱的烂所以不是很想唱）</t>
  </si>
  <si>
    <t>凯瑟喵</t>
  </si>
  <si>
    <t>张杰（苏运莹版）</t>
  </si>
  <si>
    <t>山川挽歌</t>
  </si>
  <si>
    <t>Tacke竹桑等</t>
  </si>
  <si>
    <t>山鬼</t>
  </si>
  <si>
    <t>张超</t>
  </si>
  <si>
    <t>奢香夫人</t>
  </si>
  <si>
    <t>舍不得</t>
  </si>
  <si>
    <t>身不由己</t>
  </si>
  <si>
    <t>徐瑶</t>
  </si>
  <si>
    <t>《聂小倩与宁采臣》</t>
  </si>
  <si>
    <t>绅士</t>
  </si>
  <si>
    <t>陈冰</t>
  </si>
  <si>
    <t>手掌心</t>
  </si>
  <si>
    <t>说谎</t>
  </si>
  <si>
    <t>太聪明</t>
  </si>
  <si>
    <t>太难唱了</t>
  </si>
  <si>
    <t>贪念</t>
  </si>
  <si>
    <t>黄龄、T?ng Duy Tan</t>
  </si>
  <si>
    <t>汐音社、浮生梦</t>
  </si>
  <si>
    <t>套马杆</t>
  </si>
  <si>
    <t>乌兰图雅</t>
  </si>
  <si>
    <t>天天想你</t>
  </si>
  <si>
    <t>天耀中华</t>
  </si>
  <si>
    <t>同桌的你</t>
  </si>
  <si>
    <t>老狼</t>
  </si>
  <si>
    <t>卓依婷</t>
  </si>
  <si>
    <t>晚安喵</t>
  </si>
  <si>
    <t>艾索</t>
  </si>
  <si>
    <t>赤羽、忘川风华录</t>
  </si>
  <si>
    <t>马良、孙茜茹</t>
  </si>
  <si>
    <t>唯一</t>
  </si>
  <si>
    <t>为爱</t>
  </si>
  <si>
    <t>我不难过</t>
  </si>
  <si>
    <t>我的鸡八岁了</t>
  </si>
  <si>
    <t>易泽禹</t>
  </si>
  <si>
    <t>我的天空</t>
  </si>
  <si>
    <t>南征北战</t>
  </si>
  <si>
    <t>我的未来式</t>
  </si>
  <si>
    <t>爱情公寓</t>
  </si>
  <si>
    <t>我的月光</t>
  </si>
  <si>
    <t>我要的飞翔</t>
  </si>
  <si>
    <t>许飞</t>
  </si>
  <si>
    <t>我以为</t>
  </si>
  <si>
    <t>龙门镖局</t>
  </si>
  <si>
    <t>我只剩下自己</t>
  </si>
  <si>
    <t>无与伦比</t>
  </si>
  <si>
    <t>要不要买菜</t>
  </si>
  <si>
    <t>旺仔小乔</t>
  </si>
  <si>
    <t>HIITA</t>
  </si>
  <si>
    <t>相逢是首歌</t>
  </si>
  <si>
    <t>俞静</t>
  </si>
  <si>
    <t>姚晓棠</t>
  </si>
  <si>
    <t>小城故事</t>
  </si>
  <si>
    <t>小狗乖乖</t>
  </si>
  <si>
    <t>小蓓蕾组合</t>
  </si>
  <si>
    <t>小红象</t>
  </si>
  <si>
    <t>杨超越</t>
  </si>
  <si>
    <t>小野猫</t>
  </si>
  <si>
    <t>笑柄</t>
  </si>
  <si>
    <t>陈小满</t>
  </si>
  <si>
    <t>心</t>
  </si>
  <si>
    <t>郭洁</t>
  </si>
  <si>
    <t>心愿</t>
  </si>
  <si>
    <t>四个女生</t>
  </si>
  <si>
    <t>张宇</t>
  </si>
  <si>
    <t>寻屿</t>
  </si>
  <si>
    <t>眼泪的名字</t>
  </si>
  <si>
    <t>夜昙</t>
  </si>
  <si>
    <t>冥月</t>
  </si>
  <si>
    <t>一半</t>
  </si>
  <si>
    <t>一个人不可能</t>
  </si>
  <si>
    <t>一路生花</t>
  </si>
  <si>
    <t>温奕心</t>
  </si>
  <si>
    <t>一命矣</t>
  </si>
  <si>
    <t>一千零一个愿望</t>
  </si>
  <si>
    <t>4 in love</t>
  </si>
  <si>
    <t>一如既往</t>
  </si>
  <si>
    <t>S.H.E.</t>
  </si>
  <si>
    <t>以后的以后</t>
  </si>
  <si>
    <t>咏心</t>
  </si>
  <si>
    <t>东篱、Assen捷</t>
  </si>
  <si>
    <t>贝乐虎、土豆王国小乐队</t>
  </si>
  <si>
    <t>用情</t>
  </si>
  <si>
    <t>余超颖版本</t>
  </si>
  <si>
    <t>有一封信</t>
  </si>
  <si>
    <t>愚人码头</t>
  </si>
  <si>
    <t>熊天平、齐秦</t>
  </si>
  <si>
    <t>与你有关</t>
  </si>
  <si>
    <t>遇到</t>
  </si>
  <si>
    <t>方雅贤</t>
  </si>
  <si>
    <t>橙光音乐、CRITTY</t>
  </si>
  <si>
    <t>缘尽世间</t>
  </si>
  <si>
    <t>王英姿</t>
  </si>
  <si>
    <t>越人歌</t>
  </si>
  <si>
    <t>昭君</t>
  </si>
  <si>
    <t>这条小鱼在乎</t>
  </si>
  <si>
    <t>王OK、洪佩瑜</t>
  </si>
  <si>
    <t>这样爱了</t>
  </si>
  <si>
    <t>张婧</t>
  </si>
  <si>
    <t>征服</t>
  </si>
  <si>
    <t>张杰张碧晨</t>
  </si>
  <si>
    <t>重返地球</t>
  </si>
  <si>
    <t>猪之歌</t>
  </si>
  <si>
    <t>香香</t>
  </si>
  <si>
    <t>猪猪侠</t>
  </si>
  <si>
    <t>走在冷风中</t>
  </si>
  <si>
    <t>刘思涵</t>
  </si>
  <si>
    <t>醉清风</t>
  </si>
  <si>
    <t>左半边翅膀</t>
  </si>
  <si>
    <t>杨沛宜</t>
  </si>
  <si>
    <t>Sis puella magica!</t>
  </si>
  <si>
    <t>梶浦由記/伊東恵里</t>
  </si>
  <si>
    <t>梶浦语</t>
  </si>
  <si>
    <t>/</t>
  </si>
  <si>
    <t>意大利语</t>
  </si>
  <si>
    <t>Lascia chio pianga</t>
  </si>
  <si>
    <t>菩萨蛮·小山重叠今明灭</t>
  </si>
  <si>
    <t>敢问路在何方</t>
  </si>
  <si>
    <t>蒋大为</t>
  </si>
  <si>
    <t>我怎样去爱你</t>
  </si>
  <si>
    <t>我的深情为你守候</t>
  </si>
  <si>
    <t>Tutte le fest al tempio</t>
  </si>
  <si>
    <t>最炫民族风</t>
  </si>
  <si>
    <t>郎的诱惑</t>
  </si>
  <si>
    <t>你来了</t>
  </si>
  <si>
    <t>幽兰操</t>
  </si>
  <si>
    <t>钗头凤·红酥手</t>
  </si>
  <si>
    <t>菲道尔&amp;dior大颖</t>
  </si>
  <si>
    <t>清浦夏実</t>
  </si>
  <si>
    <t>假行僧</t>
  </si>
  <si>
    <t>崔健</t>
  </si>
  <si>
    <t>寂寞沙洲冷</t>
  </si>
  <si>
    <t>璀璨冒险人</t>
  </si>
  <si>
    <t>雪人</t>
  </si>
  <si>
    <t>阴天</t>
  </si>
  <si>
    <t>张震岳</t>
  </si>
  <si>
    <t>笔记</t>
  </si>
  <si>
    <t>浮白</t>
  </si>
  <si>
    <t>鱼儿</t>
  </si>
  <si>
    <t>秋酿</t>
  </si>
  <si>
    <t>36.5℃</t>
  </si>
  <si>
    <t>爱呀</t>
  </si>
  <si>
    <t>腻味</t>
  </si>
  <si>
    <t>心雨</t>
  </si>
  <si>
    <t>心恋</t>
  </si>
  <si>
    <t>人间</t>
  </si>
  <si>
    <t>滴答</t>
  </si>
  <si>
    <t>侃侃</t>
  </si>
  <si>
    <t>眼泪</t>
  </si>
  <si>
    <t>倒数</t>
  </si>
  <si>
    <t>葬歌</t>
  </si>
  <si>
    <t>30sc</t>
  </si>
  <si>
    <t>微微</t>
  </si>
  <si>
    <t>傅如乔</t>
  </si>
  <si>
    <t>彭玲</t>
  </si>
  <si>
    <t>舍得</t>
  </si>
  <si>
    <t>王唯旖</t>
  </si>
  <si>
    <t>曹操</t>
  </si>
  <si>
    <t>杀手</t>
  </si>
  <si>
    <t>敬你</t>
  </si>
  <si>
    <t>短发</t>
  </si>
  <si>
    <t>梁咏琪</t>
  </si>
  <si>
    <t>我曾</t>
  </si>
  <si>
    <t>隔壁老樊</t>
  </si>
  <si>
    <t>指望</t>
  </si>
  <si>
    <t>Andy</t>
  </si>
  <si>
    <t>阿杜</t>
  </si>
  <si>
    <t>撕夜</t>
  </si>
  <si>
    <t>我可以</t>
  </si>
  <si>
    <t>蔡旻佑</t>
  </si>
  <si>
    <t>阿婆说</t>
  </si>
  <si>
    <t>爱转角</t>
  </si>
  <si>
    <t>罗志祥</t>
  </si>
  <si>
    <t>汪苏泷/by2</t>
  </si>
  <si>
    <t>静悄悄</t>
  </si>
  <si>
    <t>大泫</t>
  </si>
  <si>
    <t>歌颂者</t>
  </si>
  <si>
    <t>胆小鬼</t>
  </si>
  <si>
    <t>中意他</t>
  </si>
  <si>
    <t>迪丽热巴</t>
  </si>
  <si>
    <t>声声慢</t>
  </si>
  <si>
    <t>崔开潮</t>
  </si>
  <si>
    <t>木小雅</t>
  </si>
  <si>
    <t>李玲玉</t>
  </si>
  <si>
    <t>七月上</t>
  </si>
  <si>
    <t>jam</t>
  </si>
  <si>
    <t>任然/王梓钰</t>
  </si>
  <si>
    <t>小太阳</t>
  </si>
  <si>
    <t>一口甜</t>
  </si>
  <si>
    <t>陌生人</t>
  </si>
  <si>
    <t>爱爱爱</t>
  </si>
  <si>
    <t>不想睡</t>
  </si>
  <si>
    <t>来不及</t>
  </si>
  <si>
    <t>闹哄哄</t>
  </si>
  <si>
    <t>水中花</t>
  </si>
  <si>
    <t>向云端</t>
  </si>
  <si>
    <t>小霞</t>
  </si>
  <si>
    <t>100sc</t>
  </si>
  <si>
    <t>光字片</t>
  </si>
  <si>
    <t>new boy</t>
  </si>
  <si>
    <t>开始懂了</t>
  </si>
  <si>
    <t>第三人称</t>
  </si>
  <si>
    <t>纸短情长</t>
  </si>
  <si>
    <t>再见昨天</t>
  </si>
  <si>
    <t>明天你好</t>
  </si>
  <si>
    <t>豆浆油条</t>
  </si>
  <si>
    <t>林俊杰/韩红</t>
  </si>
  <si>
    <t>遥远的你</t>
  </si>
  <si>
    <t>花僮</t>
  </si>
  <si>
    <t>遥远的歌</t>
  </si>
  <si>
    <t>六月的雨</t>
  </si>
  <si>
    <t>简简单单</t>
  </si>
  <si>
    <t>和光同尘</t>
  </si>
  <si>
    <t>玲芽之旅</t>
  </si>
  <si>
    <t>郁可唯/胡夏</t>
  </si>
  <si>
    <t>环游星空</t>
  </si>
  <si>
    <t>Gifty</t>
  </si>
  <si>
    <t>陪我长大</t>
  </si>
  <si>
    <t>ilem/洛天依/言和</t>
  </si>
  <si>
    <t>锦心似玉</t>
  </si>
  <si>
    <t>郑少秋</t>
  </si>
  <si>
    <t>张晓涵/戚琦</t>
  </si>
  <si>
    <t>这就是爱</t>
  </si>
  <si>
    <t>遥望2020</t>
  </si>
  <si>
    <t>周迅/陈坤</t>
  </si>
  <si>
    <t>无处安放</t>
  </si>
  <si>
    <t>always online</t>
  </si>
  <si>
    <t>当爱来敲门</t>
  </si>
  <si>
    <t>知道不知道</t>
  </si>
  <si>
    <t>其实很爱你</t>
  </si>
  <si>
    <t>李雅微</t>
  </si>
  <si>
    <t>失忆的金鱼</t>
  </si>
  <si>
    <t>这就是爱吗</t>
  </si>
  <si>
    <t>街角的祝福</t>
  </si>
  <si>
    <t>越来越不懂</t>
  </si>
  <si>
    <t>丘比特点赞</t>
  </si>
  <si>
    <t>挪威的森林</t>
  </si>
  <si>
    <t>last dance</t>
  </si>
  <si>
    <t>听妈妈的话</t>
  </si>
  <si>
    <t>每一天都不同</t>
  </si>
  <si>
    <t>才华有限公司</t>
  </si>
  <si>
    <t>推开世界的门</t>
  </si>
  <si>
    <t>杨乃文</t>
  </si>
  <si>
    <t>张也/周深</t>
  </si>
  <si>
    <t>父亲写的散文诗</t>
  </si>
  <si>
    <t>原来爱情这么伤</t>
  </si>
  <si>
    <t>我行我素我爱你</t>
  </si>
  <si>
    <t>Tank</t>
  </si>
  <si>
    <t>我要我们在一起</t>
  </si>
  <si>
    <t>如果一切没发生过</t>
  </si>
  <si>
    <t>世界上的另一个我</t>
  </si>
  <si>
    <t>阿肆/郭采洁</t>
  </si>
  <si>
    <t>有多少爱可以重来</t>
  </si>
  <si>
    <t>迪克牛仔</t>
  </si>
  <si>
    <t>自己按门铃自己听</t>
  </si>
  <si>
    <t>我还年轻，我还年轻</t>
  </si>
  <si>
    <t>老王乐队</t>
  </si>
  <si>
    <t>多想在平庸的生活拥抱你</t>
  </si>
  <si>
    <t>等我们老了就定居在重庆</t>
  </si>
  <si>
    <t>在我成为井井有条的大人之前</t>
  </si>
  <si>
    <t>郭采洁</t>
  </si>
  <si>
    <t>遇见你的时候所有星星都落在我头上</t>
  </si>
  <si>
    <t>高珊</t>
  </si>
  <si>
    <t>中島美嘉</t>
  </si>
  <si>
    <t>高鈴</t>
  </si>
  <si>
    <t>Moon river</t>
  </si>
  <si>
    <t>City of stars</t>
  </si>
  <si>
    <t>Proud Of You</t>
  </si>
  <si>
    <t>冯曦妤</t>
  </si>
  <si>
    <t>外面的世界</t>
  </si>
  <si>
    <t>怎奈何</t>
  </si>
  <si>
    <t>上山岗</t>
  </si>
  <si>
    <t>城里的月光</t>
  </si>
  <si>
    <t>李宗盛</t>
  </si>
  <si>
    <t>你是我眼中的山川和海洋</t>
  </si>
  <si>
    <t>丁芙妮</t>
  </si>
  <si>
    <t>只是太爱你</t>
  </si>
  <si>
    <t>明明</t>
  </si>
  <si>
    <t>你不是第一个离开的人</t>
  </si>
  <si>
    <t>听你说</t>
  </si>
  <si>
    <t>眉间心上</t>
  </si>
  <si>
    <t>我以渺小爱你</t>
  </si>
  <si>
    <t>浮游</t>
  </si>
  <si>
    <t>给你给我</t>
  </si>
  <si>
    <t>舍不得 2</t>
  </si>
  <si>
    <t>玄子</t>
  </si>
  <si>
    <t>亲爱的旅人</t>
  </si>
  <si>
    <t>东方之珠</t>
  </si>
  <si>
    <t>沉香流年</t>
  </si>
  <si>
    <t>思美人兮</t>
  </si>
  <si>
    <t>白头吟</t>
  </si>
  <si>
    <t>随风</t>
  </si>
  <si>
    <t>红豆词</t>
  </si>
  <si>
    <t>万物温柔相依</t>
  </si>
  <si>
    <t>繁花依旧</t>
  </si>
  <si>
    <t>生活总该迎着光亮</t>
  </si>
  <si>
    <t>借梦</t>
  </si>
  <si>
    <t>when christmas comes to town</t>
  </si>
  <si>
    <t>当我想你的时候</t>
  </si>
  <si>
    <t>邱诗晗</t>
  </si>
  <si>
    <t>没时间</t>
  </si>
  <si>
    <t>圣诞星</t>
  </si>
  <si>
    <t>岁月</t>
  </si>
  <si>
    <t>王菲&amp;那英</t>
  </si>
  <si>
    <t>花火</t>
  </si>
  <si>
    <t>梦倾天下</t>
  </si>
  <si>
    <t>兰音reine</t>
  </si>
  <si>
    <t>那么骄傲</t>
  </si>
  <si>
    <t>冬天的秘密</t>
  </si>
  <si>
    <t>痕迹</t>
  </si>
  <si>
    <t>春雪</t>
  </si>
  <si>
    <t>蜃楼</t>
  </si>
  <si>
    <t>风中芭蕾</t>
  </si>
  <si>
    <t>借过一下</t>
  </si>
  <si>
    <t>沉默的羔羊</t>
  </si>
  <si>
    <t>消夏图</t>
  </si>
  <si>
    <t>明天会更好</t>
  </si>
  <si>
    <t>少管我</t>
  </si>
  <si>
    <t>嗨</t>
  </si>
  <si>
    <t>夏日友晴天</t>
  </si>
  <si>
    <t>负重一万斤长大</t>
  </si>
  <si>
    <t>太一</t>
  </si>
  <si>
    <t>rubia</t>
  </si>
  <si>
    <t>my only</t>
  </si>
  <si>
    <t>奇迹时刻</t>
  </si>
  <si>
    <t>三餐四季</t>
  </si>
  <si>
    <t>触不可及</t>
  </si>
  <si>
    <t>芽</t>
  </si>
  <si>
    <t>趁早</t>
  </si>
  <si>
    <t>千年泪</t>
  </si>
  <si>
    <t>tank</t>
  </si>
  <si>
    <t>听我说</t>
  </si>
  <si>
    <t>Andrea Ross</t>
  </si>
  <si>
    <t>Ryan Gosling/Emma Stone</t>
  </si>
  <si>
    <t>Ariel</t>
    <phoneticPr fontId="1" type="noConversion"/>
  </si>
  <si>
    <t>落花成泥</t>
  </si>
  <si>
    <t>芙蓉</t>
  </si>
  <si>
    <t>孤独与诗</t>
  </si>
  <si>
    <t>琢光曲</t>
  </si>
  <si>
    <t>听到请回答</t>
  </si>
  <si>
    <t>想你了</t>
  </si>
  <si>
    <t>lan</t>
  </si>
  <si>
    <t>style</t>
  </si>
  <si>
    <t>甜歌</t>
  </si>
  <si>
    <t>分裂时差</t>
  </si>
  <si>
    <t>等不到你</t>
  </si>
  <si>
    <t>都是夜风惹的祸</t>
  </si>
  <si>
    <t>过去完成时</t>
  </si>
  <si>
    <t>冬日</t>
  </si>
  <si>
    <t>花（Sakura）</t>
  </si>
  <si>
    <t>日系</t>
  </si>
  <si>
    <t>0.2s</t>
  </si>
  <si>
    <t>莫离</t>
  </si>
  <si>
    <t>念思雨</t>
  </si>
  <si>
    <t>鞠婧祎/曾舜晞</t>
  </si>
  <si>
    <t>Be my POI</t>
  </si>
  <si>
    <t>寒夜</t>
  </si>
  <si>
    <t>莫寒</t>
  </si>
  <si>
    <t>古风,戏腔</t>
  </si>
  <si>
    <t>沦陷</t>
  </si>
  <si>
    <t>虞兮叹</t>
  </si>
  <si>
    <t>闻人听書_</t>
  </si>
  <si>
    <t>那好吧</t>
  </si>
  <si>
    <t>李艺彤</t>
  </si>
  <si>
    <t>木偶</t>
  </si>
  <si>
    <t>靠近一点点</t>
  </si>
  <si>
    <t>梁心颐</t>
  </si>
  <si>
    <t>离别的车站</t>
  </si>
  <si>
    <t>飞轮海、田馥甄</t>
  </si>
  <si>
    <t>过敏源</t>
  </si>
  <si>
    <t>热爱105度的你</t>
  </si>
  <si>
    <t>做我老婆好不好</t>
  </si>
  <si>
    <t>徐誉滕</t>
  </si>
  <si>
    <t>生生世世爱</t>
  </si>
  <si>
    <t>吴雨霏</t>
  </si>
  <si>
    <t>看我72变</t>
  </si>
  <si>
    <t>蔡依林/陶喆</t>
  </si>
  <si>
    <t>元若蓝</t>
  </si>
  <si>
    <t>入海</t>
  </si>
  <si>
    <t>爱的供养</t>
  </si>
  <si>
    <t>幻纱之灵</t>
  </si>
  <si>
    <t>爱的华尔兹</t>
  </si>
  <si>
    <t>郑爽</t>
  </si>
  <si>
    <t>美酒加咖啡</t>
  </si>
  <si>
    <t>路过的野花不要采</t>
  </si>
  <si>
    <t>屯门儿童合唱团</t>
  </si>
  <si>
    <t>你曾是少年</t>
  </si>
  <si>
    <t>落花</t>
  </si>
  <si>
    <t>林心如</t>
  </si>
  <si>
    <t>你还没有女朋友</t>
  </si>
  <si>
    <t>爱朵女孩</t>
  </si>
  <si>
    <t>春夏秋冬</t>
  </si>
  <si>
    <t>SNH48</t>
  </si>
  <si>
    <t>化作樱花树</t>
  </si>
  <si>
    <t>给你</t>
  </si>
  <si>
    <t>易嘉爱</t>
  </si>
  <si>
    <t>就差一点点</t>
  </si>
  <si>
    <t>GNZ48</t>
  </si>
  <si>
    <t>时间的歌</t>
  </si>
  <si>
    <t>人间规则</t>
  </si>
  <si>
    <t>人鱼</t>
  </si>
  <si>
    <t>我的舞台</t>
  </si>
  <si>
    <t>虫之诗</t>
  </si>
  <si>
    <t>幻</t>
  </si>
  <si>
    <t>heart beat</t>
  </si>
  <si>
    <t>7SENSES</t>
  </si>
  <si>
    <t>Mad World</t>
  </si>
  <si>
    <t>合理失控</t>
  </si>
  <si>
    <t>月光下</t>
  </si>
  <si>
    <t>天黑日记</t>
  </si>
  <si>
    <t>张语格</t>
  </si>
  <si>
    <t>夜蝶</t>
  </si>
  <si>
    <t>心的旅程</t>
  </si>
  <si>
    <t>青春的花瓣</t>
  </si>
  <si>
    <t>神魂颠倒</t>
  </si>
  <si>
    <t>盛夏好声音</t>
  </si>
  <si>
    <t>梦之河</t>
  </si>
  <si>
    <t>降落伞</t>
  </si>
  <si>
    <t>心形病毒</t>
  </si>
  <si>
    <t>恋爱捉迷藏</t>
  </si>
  <si>
    <t>爱恨的泪</t>
  </si>
  <si>
    <t>流着泪的微笑</t>
  </si>
  <si>
    <t>天空信</t>
  </si>
  <si>
    <t>蒲公英的脚印</t>
  </si>
  <si>
    <t>银临/云之泣</t>
  </si>
  <si>
    <t>银临/Aki阿杰</t>
  </si>
  <si>
    <t>我的快乐</t>
  </si>
  <si>
    <t>锦绣二重唱</t>
  </si>
  <si>
    <t>疯子</t>
  </si>
  <si>
    <t>邢晗铭</t>
  </si>
  <si>
    <t>赵蓓、赵蕾</t>
  </si>
  <si>
    <t>梦太晚</t>
  </si>
  <si>
    <t>董贞</t>
  </si>
  <si>
    <t>郭妮</t>
  </si>
  <si>
    <t>泠鸢yousa、王梓钰</t>
  </si>
  <si>
    <t>神的随波逐流</t>
  </si>
  <si>
    <t>V家,日系</t>
  </si>
  <si>
    <t>吉祥话</t>
  </si>
  <si>
    <t>泠鸢yousa、hanser、祖娅纳惜、鹿乃</t>
  </si>
  <si>
    <t>远旅休憩中的邂逅</t>
  </si>
  <si>
    <t>航向你的海岛</t>
  </si>
  <si>
    <t>爷爷的故乡</t>
  </si>
  <si>
    <t>国风</t>
  </si>
  <si>
    <t>天文馆的猫</t>
  </si>
  <si>
    <t>一片柳叶响山坳</t>
  </si>
  <si>
    <t>夏日已所剩无几</t>
  </si>
  <si>
    <t>小丑的品格</t>
  </si>
  <si>
    <t>男孩子们的旅行</t>
  </si>
  <si>
    <t>乡情曲</t>
  </si>
  <si>
    <t>行于逆风的旅人</t>
  </si>
  <si>
    <t>悠哉日常~悠哉~悠哉~</t>
  </si>
  <si>
    <t>泠鸢yousa、hanser</t>
  </si>
  <si>
    <t>干物妹小埋</t>
  </si>
  <si>
    <t>黑猫</t>
  </si>
  <si>
    <t>小夜子</t>
  </si>
  <si>
    <t>小柳儿</t>
  </si>
  <si>
    <t>我的故事未写完</t>
  </si>
  <si>
    <t>Pemelo安妮</t>
  </si>
  <si>
    <t>杨杨</t>
  </si>
  <si>
    <t>Cinderella</t>
  </si>
  <si>
    <t>岚Aya</t>
  </si>
  <si>
    <t>小仙</t>
  </si>
  <si>
    <t>补雾曳筝の雏楚、阿芋不爱卷、冰棍、嘻嘻</t>
  </si>
  <si>
    <t>米白zzz</t>
  </si>
  <si>
    <t>纱依shayi</t>
  </si>
  <si>
    <t>幻舞玲珑</t>
  </si>
  <si>
    <t>祈inory</t>
  </si>
  <si>
    <t>双人行</t>
  </si>
  <si>
    <t>西二</t>
  </si>
  <si>
    <t>京华旧梦</t>
  </si>
  <si>
    <t>樱桃加冰</t>
  </si>
  <si>
    <t>穆小泠</t>
  </si>
  <si>
    <t>弹指醉</t>
  </si>
  <si>
    <t>海</t>
  </si>
  <si>
    <t>小缘</t>
  </si>
  <si>
    <t>蓝图章鱼</t>
  </si>
  <si>
    <t>樱花的告白</t>
  </si>
  <si>
    <t>橘子创作剂</t>
  </si>
  <si>
    <t>古风,日系</t>
  </si>
  <si>
    <t>思君赋</t>
  </si>
  <si>
    <t>时光盲盒</t>
  </si>
  <si>
    <t>ChiliChill</t>
  </si>
  <si>
    <t>小田音乐社、傲七爷</t>
  </si>
  <si>
    <t>定影听潮起</t>
  </si>
  <si>
    <t>一梦千宵</t>
  </si>
  <si>
    <t>V家,国风</t>
  </si>
  <si>
    <t>东京不太热</t>
  </si>
  <si>
    <t>V家,国风,日系</t>
  </si>
  <si>
    <t>V家,古风</t>
  </si>
  <si>
    <t>月光润色女孩</t>
  </si>
  <si>
    <t>岁月成碑</t>
  </si>
  <si>
    <t>少年诗</t>
  </si>
  <si>
    <t>海伊/星尘Minus</t>
  </si>
  <si>
    <t>洛天依/乐正绫</t>
  </si>
  <si>
    <t>闭眼，我触碰幻想的边界</t>
  </si>
  <si>
    <t>相对时间</t>
  </si>
  <si>
    <t>冰兔w</t>
  </si>
  <si>
    <t>月行</t>
  </si>
  <si>
    <t>春意红包</t>
  </si>
  <si>
    <t>洛萱、不才、泠鸢yousa、小缘、三无Marblue、祖娅纳惜</t>
  </si>
  <si>
    <t>新春小记</t>
  </si>
  <si>
    <t>小可学妹、阿梓从小就很可爱、早稻叽、绯赤艾莉欧</t>
  </si>
  <si>
    <t>星尘</t>
  </si>
  <si>
    <t>绝涮双娇</t>
  </si>
  <si>
    <t>祖娅纳惜、hanser</t>
  </si>
  <si>
    <t>烟火赴新年</t>
  </si>
  <si>
    <t>咻咻满、Bo Peep、ILEM</t>
  </si>
  <si>
    <t>行香子</t>
  </si>
  <si>
    <t>芊狸koi、千界、灵桃、熙扬Akane、忤音、芷小菡</t>
  </si>
  <si>
    <t>白鸟过河滩</t>
  </si>
  <si>
    <t>镜空</t>
  </si>
  <si>
    <t>嘻嘻了、芷小菡、虎子Icey、冰棍儿鸭</t>
  </si>
  <si>
    <t>与你最后的夏天</t>
  </si>
  <si>
    <t>张远、周深</t>
  </si>
  <si>
    <t>古倩敏</t>
  </si>
  <si>
    <t>微风徐徐夏日的记忆</t>
  </si>
  <si>
    <t>AAA</t>
  </si>
  <si>
    <t>日文</t>
  </si>
  <si>
    <t>風に薫る夏の記憶</t>
  </si>
  <si>
    <t>太阳和向日葵</t>
  </si>
  <si>
    <t>Flower</t>
  </si>
  <si>
    <t>太陽と向日葵</t>
  </si>
  <si>
    <t>金鱼花火</t>
  </si>
  <si>
    <t>大冢爱</t>
  </si>
  <si>
    <t>金魚花火</t>
  </si>
  <si>
    <t>一年2个月又20天</t>
  </si>
  <si>
    <t>BRIGHT</t>
  </si>
  <si>
    <t>1年2ヶ月20日</t>
  </si>
  <si>
    <t>毕业回忆～再见了 亲爱的你。～</t>
  </si>
  <si>
    <t>沢井美空</t>
  </si>
  <si>
    <t>卒業メモリーズ?サヨナラ、あなた。?</t>
  </si>
  <si>
    <t>MY ALL</t>
  </si>
  <si>
    <t>雪之花</t>
  </si>
  <si>
    <t>美丽之物</t>
  </si>
  <si>
    <t>吉田有希【yuuki】</t>
  </si>
  <si>
    <t>美しきもの</t>
  </si>
  <si>
    <t>JUJU</t>
  </si>
  <si>
    <t>桜雨</t>
  </si>
  <si>
    <t>今日如往昔</t>
  </si>
  <si>
    <t>熊木杏里</t>
  </si>
  <si>
    <t>今は昔</t>
  </si>
  <si>
    <t>candy candy</t>
  </si>
  <si>
    <t>きゃりーぱみゅぱみゅ</t>
  </si>
  <si>
    <t>因为变得好想见你</t>
  </si>
  <si>
    <t>西野加奈</t>
  </si>
  <si>
    <t>君に会いたくなるから</t>
  </si>
  <si>
    <t>单相思</t>
  </si>
  <si>
    <t>カタオモイ</t>
  </si>
  <si>
    <t>赌局</t>
  </si>
  <si>
    <t>土屋安娜</t>
  </si>
  <si>
    <t>BLUE</t>
  </si>
  <si>
    <t>紗羅マリー</t>
  </si>
  <si>
    <t>群青</t>
  </si>
  <si>
    <t>YOASOBI</t>
  </si>
  <si>
    <t>隔壁是谁呢</t>
  </si>
  <si>
    <t>浮森かや子</t>
  </si>
  <si>
    <t>お隣はだあれ</t>
  </si>
  <si>
    <t>干花</t>
  </si>
  <si>
    <t>优里</t>
  </si>
  <si>
    <t>等待春天</t>
  </si>
  <si>
    <t>lslet、倚水</t>
  </si>
  <si>
    <t>春を待つ</t>
  </si>
  <si>
    <t>Bye-Bye Lover</t>
  </si>
  <si>
    <t>Too Late To Tell</t>
  </si>
  <si>
    <t>拼凑的断音</t>
  </si>
  <si>
    <t>ツギハギスタッカート</t>
  </si>
  <si>
    <t>梦与叶樱</t>
  </si>
  <si>
    <t>夢と葉桜</t>
  </si>
  <si>
    <t>独りんぼエンヴィー</t>
  </si>
  <si>
    <t>からくりピエロ</t>
  </si>
  <si>
    <t>月兔回旋于空中</t>
  </si>
  <si>
    <t>回る空うさぎ</t>
  </si>
  <si>
    <t>夕阳下的坡道</t>
  </si>
  <si>
    <t>虽说歌声无形</t>
  </si>
  <si>
    <t>magnet</t>
  </si>
  <si>
    <t>巡音ルカ、初音ミク</t>
  </si>
  <si>
    <t>初音ミク、镜音リン、GUMI</t>
  </si>
  <si>
    <t>神のまにまに</t>
  </si>
  <si>
    <t>KING</t>
  </si>
  <si>
    <t>Envy baby</t>
  </si>
  <si>
    <t>エンヴィーベイビー</t>
  </si>
  <si>
    <t>无心</t>
  </si>
  <si>
    <t>calc.</t>
  </si>
  <si>
    <t>letter song</t>
  </si>
  <si>
    <t>mermaid</t>
  </si>
  <si>
    <t>glow</t>
  </si>
  <si>
    <t>Dear</t>
  </si>
  <si>
    <t>SPICE!</t>
  </si>
  <si>
    <t>别走</t>
  </si>
  <si>
    <t>愛ユキ</t>
  </si>
  <si>
    <t>牵牛花凋零之时</t>
  </si>
  <si>
    <t>アサガオの散る頃に</t>
  </si>
  <si>
    <t>孟姜女</t>
  </si>
  <si>
    <t>鏡音リン</t>
  </si>
  <si>
    <t>罗密欧与辛德瑞拉</t>
  </si>
  <si>
    <t>ロミオとシンデレラ</t>
  </si>
  <si>
    <t>天狼星的心脏</t>
  </si>
  <si>
    <t>异世界情绪</t>
  </si>
  <si>
    <t>シリウスの心臓</t>
  </si>
  <si>
    <t>星与你消失之日</t>
  </si>
  <si>
    <t>星と君が消えた日</t>
  </si>
  <si>
    <t>骤雨</t>
  </si>
  <si>
    <t>花たん</t>
  </si>
  <si>
    <t>ニワカアメ</t>
  </si>
  <si>
    <t>水葬</t>
  </si>
  <si>
    <t>綾音Aya</t>
  </si>
  <si>
    <t>极乐净土</t>
  </si>
  <si>
    <t>Lamb.</t>
  </si>
  <si>
    <t>Girls</t>
  </si>
  <si>
    <t>所以我放弃了音乐</t>
  </si>
  <si>
    <t>ヨルシカ</t>
  </si>
  <si>
    <t>だから僕は音楽を辞めた</t>
  </si>
  <si>
    <t>only my railgun</t>
  </si>
  <si>
    <t>fripSide</t>
  </si>
  <si>
    <t>日漫</t>
  </si>
  <si>
    <t>late in autumn</t>
  </si>
  <si>
    <t>Dear My Friend-朝向未知的未来-</t>
  </si>
  <si>
    <t>ELISA</t>
  </si>
  <si>
    <t>Dear My Friend -まだ見ぬ未来へ-</t>
  </si>
  <si>
    <t>sister's noise</t>
  </si>
  <si>
    <t>stand still</t>
  </si>
  <si>
    <t>future gazer</t>
  </si>
  <si>
    <t>LEVEL5 -judgelight-</t>
  </si>
  <si>
    <t>eternal reality</t>
  </si>
  <si>
    <t>雨</t>
  </si>
  <si>
    <t>川田麻美</t>
  </si>
  <si>
    <t>silky heart</t>
  </si>
  <si>
    <t>橙色少女心</t>
  </si>
  <si>
    <t>逢坂大河(CV钉宫理恵)?栉枝実乃梨(CV堀江由衣)?川岛亜美(</t>
  </si>
  <si>
    <t>オレンジ</t>
  </si>
  <si>
    <t>圣夜</t>
  </si>
  <si>
    <t>逢坂大河(CV钉宫理恵)/川岛亜美(CV喜多村英梨)</t>
  </si>
  <si>
    <t>ホーリーナイト</t>
  </si>
  <si>
    <t>赤泪</t>
  </si>
  <si>
    <t>赤い涙</t>
  </si>
  <si>
    <t>绯色之空</t>
  </si>
  <si>
    <t>绯色の空</t>
  </si>
  <si>
    <t>光芒</t>
  </si>
  <si>
    <t>在你身边</t>
  </si>
  <si>
    <t>ZAQ</t>
  </si>
  <si>
    <t>君のとなりに</t>
  </si>
  <si>
    <t>Every Heart</t>
  </si>
  <si>
    <t>BoA</t>
  </si>
  <si>
    <t>come</t>
  </si>
  <si>
    <t>安室奈美惠</t>
  </si>
  <si>
    <t>my sweet heart</t>
  </si>
  <si>
    <t>小松里歌</t>
  </si>
  <si>
    <t>生命的名字</t>
  </si>
  <si>
    <t>广桥真纪子</t>
  </si>
  <si>
    <t>いのちの名前</t>
  </si>
  <si>
    <t>与太阳相似</t>
  </si>
  <si>
    <t>水树奈奈</t>
  </si>
  <si>
    <t>太陽が似合うよ</t>
  </si>
  <si>
    <t>真诚之歌</t>
  </si>
  <si>
    <t>Heartful Song</t>
  </si>
  <si>
    <t>心灵之蛋</t>
  </si>
  <si>
    <t>BUONO!</t>
  </si>
  <si>
    <t>こころのたまご</t>
  </si>
  <si>
    <t>蓝色月亮</t>
  </si>
  <si>
    <t>Blue Moon</t>
  </si>
  <si>
    <t>endless memory ~refrain as Da Capo~</t>
  </si>
  <si>
    <t>endless memory ~refrain as D</t>
  </si>
  <si>
    <t>打开心扉</t>
  </si>
  <si>
    <t>心之星</t>
  </si>
  <si>
    <t>南条爱乃</t>
  </si>
  <si>
    <t>心の星</t>
  </si>
  <si>
    <t>鳥の詩</t>
  </si>
  <si>
    <t>Heaven is a Place On Earth</t>
  </si>
  <si>
    <t>Lost my music</t>
  </si>
  <si>
    <t>平野绫</t>
  </si>
  <si>
    <t>只有神知道</t>
  </si>
  <si>
    <t>God knows...</t>
  </si>
  <si>
    <t>ripple?my first love?</t>
  </si>
  <si>
    <t>小松未可子</t>
  </si>
  <si>
    <t>波浪的声音、大海的声音</t>
  </si>
  <si>
    <t>波の音、海の声</t>
  </si>
  <si>
    <t>如同那日一样</t>
  </si>
  <si>
    <t>茅野爱衣</t>
  </si>
  <si>
    <t>あの日のままで</t>
  </si>
  <si>
    <t>I wonder why…</t>
  </si>
  <si>
    <t>记忆</t>
  </si>
  <si>
    <t>やなぎなぎ</t>
  </si>
  <si>
    <t>mnemonic</t>
  </si>
  <si>
    <t>三叶结</t>
  </si>
  <si>
    <t>三つ葉の結びめ</t>
  </si>
  <si>
    <t>潮起潮落</t>
  </si>
  <si>
    <t>Ray</t>
  </si>
  <si>
    <t>ebb and flow</t>
  </si>
  <si>
    <t>水族箱</t>
  </si>
  <si>
    <t>アクアテラリウム</t>
  </si>
  <si>
    <t>Lull~于是我们~</t>
  </si>
  <si>
    <t>lull ～そして僕らは～</t>
  </si>
  <si>
    <t>凪</t>
  </si>
  <si>
    <t>凪-nagi-</t>
  </si>
  <si>
    <t>深爱</t>
  </si>
  <si>
    <t>深愛</t>
  </si>
  <si>
    <t>玻璃般的虚荣</t>
  </si>
  <si>
    <t>ガラスの華</t>
  </si>
  <si>
    <t>时之魔法</t>
  </si>
  <si>
    <t>米泽圆</t>
  </si>
  <si>
    <t>時の魔法</t>
  </si>
  <si>
    <t>想如现在这样心念你</t>
  </si>
  <si>
    <t>Suara</t>
  </si>
  <si>
    <t>あなたを想いたい</t>
  </si>
  <si>
    <t>犹如飘落的雪</t>
  </si>
  <si>
    <t>舞い落ちる雪のように</t>
  </si>
  <si>
    <t>传达不到的爱恋</t>
  </si>
  <si>
    <t>上原れな</t>
  </si>
  <si>
    <t>届かない恋</t>
  </si>
  <si>
    <t>星星雪</t>
  </si>
  <si>
    <t>津田朱里</t>
  </si>
  <si>
    <t>Twinkle Snow</t>
  </si>
  <si>
    <t>坏女人</t>
  </si>
  <si>
    <t>悪女</t>
  </si>
  <si>
    <t>点点细雪</t>
  </si>
  <si>
    <t>平野绫/水树奈奈</t>
  </si>
  <si>
    <t>POWDER SNOW</t>
  </si>
  <si>
    <t>白色相簿</t>
  </si>
  <si>
    <t>WHITE ALBUM</t>
  </si>
  <si>
    <t>命运之声</t>
  </si>
  <si>
    <t>SOUND OF DESTINY</t>
  </si>
  <si>
    <t>温柔的谎言</t>
  </si>
  <si>
    <t>優しい嘘</t>
  </si>
  <si>
    <t>宛如恋爱</t>
  </si>
  <si>
    <t>恋のような</t>
  </si>
  <si>
    <t>I call your name again</t>
  </si>
  <si>
    <t>中津真莉子</t>
  </si>
  <si>
    <t>你带着梦想而来</t>
  </si>
  <si>
    <t>茅野爱衣、中津真莉子、高森奈津美</t>
  </si>
  <si>
    <t>君が夢を連れてきた</t>
  </si>
  <si>
    <t>secret base ～你给我的所有～ (10 years after Ver.)</t>
  </si>
  <si>
    <t>茅野爱衣、户松遥、早见沙织</t>
  </si>
  <si>
    <t>secret base ～君がくれたもの～</t>
  </si>
  <si>
    <t>微睡的约定</t>
  </si>
  <si>
    <t>佐藤聡美、茅野爱衣</t>
  </si>
  <si>
    <t>まどろみの約束</t>
  </si>
  <si>
    <t>标志</t>
  </si>
  <si>
    <t>sign</t>
  </si>
  <si>
    <t>夏末光景</t>
  </si>
  <si>
    <t>ビードロ模様</t>
  </si>
  <si>
    <t>恋爱循环</t>
  </si>
  <si>
    <t>你不知道的故事</t>
  </si>
  <si>
    <t>Supercell</t>
  </si>
  <si>
    <t>君の知らない物語</t>
  </si>
  <si>
    <t>白金disco</t>
  </si>
  <si>
    <t>妄想列车</t>
  </si>
  <si>
    <t>もうそう?えくすぷれす</t>
  </si>
  <si>
    <t>明明超喜欢你</t>
  </si>
  <si>
    <t>Kylee</t>
  </si>
  <si>
    <t>大好きなのに</t>
  </si>
  <si>
    <t>happy endings</t>
  </si>
  <si>
    <t>团聚</t>
  </si>
  <si>
    <t>ClariS</t>
  </si>
  <si>
    <t>reunion</t>
  </si>
  <si>
    <t>讽刺</t>
  </si>
  <si>
    <t>irony</t>
  </si>
  <si>
    <t>Tik Tak</t>
  </si>
  <si>
    <t>My Treasure</t>
  </si>
  <si>
    <t>约定的羁绊</t>
  </si>
  <si>
    <t>栗山未来(CV.种田梨沙)、名濑美月(CV.茅原实里)、新堂爱(</t>
  </si>
  <si>
    <t>約束の絆</t>
  </si>
  <si>
    <t>over</t>
  </si>
  <si>
    <t>Riya</t>
  </si>
  <si>
    <t>オーバー</t>
  </si>
  <si>
    <t>小小的手心</t>
  </si>
  <si>
    <t>小さな手のひら</t>
  </si>
  <si>
    <t>铭记时间的歌</t>
  </si>
  <si>
    <t>時を刻む唄</t>
  </si>
  <si>
    <t>团子大家族</t>
  </si>
  <si>
    <t>茶太</t>
  </si>
  <si>
    <t>だんご大家族</t>
  </si>
  <si>
    <t>my soul your beats！</t>
  </si>
  <si>
    <t>最重要的宝物</t>
  </si>
  <si>
    <t>karuta</t>
  </si>
  <si>
    <t>一番の宝物 (Original Version)</t>
  </si>
  <si>
    <t>勇气之歌</t>
  </si>
  <si>
    <t>多田葵</t>
  </si>
  <si>
    <t>Brave Song</t>
  </si>
  <si>
    <t>My Song</t>
  </si>
  <si>
    <t>Girl Dead Monster（marina）</t>
  </si>
  <si>
    <t>Crow Song</t>
  </si>
  <si>
    <t>Alchemy</t>
  </si>
  <si>
    <t>orange</t>
  </si>
  <si>
    <t>7！！</t>
  </si>
  <si>
    <t>春拟</t>
  </si>
  <si>
    <t>春擬き</t>
  </si>
  <si>
    <t>Hello Alone</t>
  </si>
  <si>
    <t>雪之下雪乃(CV：早见沙织) 、由比滨结衣(CV：东山奈央)</t>
  </si>
  <si>
    <t>两人的季节</t>
  </si>
  <si>
    <t>井上麻里奈、伊藤加奈惠</t>
  </si>
  <si>
    <t>二人の季節</t>
  </si>
  <si>
    <t>奏</t>
  </si>
  <si>
    <t>雨宫天</t>
  </si>
  <si>
    <t>印记</t>
  </si>
  <si>
    <t>LiSA</t>
  </si>
  <si>
    <t>シルシ</t>
  </si>
  <si>
    <t>courage</t>
  </si>
  <si>
    <t>户松遥</t>
  </si>
  <si>
    <t>梦的世界</t>
  </si>
  <si>
    <t>ユメセカイ</t>
  </si>
  <si>
    <t>crossing field</t>
  </si>
  <si>
    <t>unravel</t>
  </si>
  <si>
    <t>TK from 凛として時雨</t>
  </si>
  <si>
    <t>海色</t>
  </si>
  <si>
    <t>Akino</t>
  </si>
  <si>
    <t>Our Steady Boy</t>
  </si>
  <si>
    <t>唯夏织</t>
  </si>
  <si>
    <t>冰冷的房间、一人</t>
  </si>
  <si>
    <t>冷たい部屋、一人</t>
  </si>
  <si>
    <t>尽管我们手中空无一物</t>
  </si>
  <si>
    <t>RAM WIRE</t>
  </si>
  <si>
    <t>僕らの手には何もないけど</t>
  </si>
  <si>
    <t>禁绝边境线</t>
  </si>
  <si>
    <t>ワルキューレ</t>
  </si>
  <si>
    <t>いけないボーダーライン</t>
  </si>
  <si>
    <t>我们的LIVE与你的LIFE</t>
  </si>
  <si>
    <t>μ's</t>
  </si>
  <si>
    <t>仆らのLIVE 君とのLIFE</t>
  </si>
  <si>
    <t>友情No Change</t>
  </si>
  <si>
    <t>友情ノーチェンジ</t>
  </si>
  <si>
    <t>Snow halation</t>
  </si>
  <si>
    <t>夏色笑容1,2,Jump!</t>
  </si>
  <si>
    <t>夏色えがおで1,2,Jump!</t>
  </si>
  <si>
    <t>人鱼狂欢节 vol. 1</t>
  </si>
  <si>
    <t>Mermaid festa vol.1</t>
  </si>
  <si>
    <t>爱上你万岁</t>
  </si>
  <si>
    <t>爱してるばんざーい！</t>
  </si>
  <si>
    <t>Wonderful Rush</t>
  </si>
  <si>
    <t>LOVELESS WORLD</t>
  </si>
  <si>
    <t>如今的我们</t>
  </si>
  <si>
    <t>仆らは今のなかで</t>
  </si>
  <si>
    <t>WILD STARS</t>
  </si>
  <si>
    <t>想在辉夜城起舞</t>
  </si>
  <si>
    <t>辉夜の城で踊りたい</t>
  </si>
  <si>
    <t>START:DASH!!</t>
  </si>
  <si>
    <t>No brand girls</t>
  </si>
  <si>
    <t>那就是我们的奇迹</t>
  </si>
  <si>
    <t>それは仆たちの奇迹</t>
  </si>
  <si>
    <t>正是因为太无情</t>
  </si>
  <si>
    <t>だってだって噫无情</t>
  </si>
  <si>
    <t>梦想之门</t>
  </si>
  <si>
    <t>ユメノトビラ</t>
  </si>
  <si>
    <t>闪耀的感觉！</t>
  </si>
  <si>
    <t>KiRa-KiRa Sensation!</t>
  </si>
  <si>
    <t>soldier game</t>
  </si>
  <si>
    <t>西木野真姬（CV：Pile）绚濑绘里（CV：南条爱乃）园田海未（</t>
  </si>
  <si>
    <t>Love marginal</t>
  </si>
  <si>
    <t>Printemps</t>
  </si>
  <si>
    <t>sweet&amp;sweet holiday</t>
  </si>
  <si>
    <t>小夜啼鸟恋诗</t>
  </si>
  <si>
    <t>NO EXIT ORION</t>
  </si>
  <si>
    <t>钻石公主的忧郁</t>
  </si>
  <si>
    <t>BiBi</t>
  </si>
  <si>
    <t>ダイヤモンドプリンセスの忧郁</t>
  </si>
  <si>
    <t>夏天、请不要结束</t>
  </si>
  <si>
    <t>夏、终わらないで。</t>
  </si>
  <si>
    <t>冬日带给我的预感</t>
  </si>
  <si>
    <t>冬がくれた予感</t>
  </si>
  <si>
    <t>错覚CROSSROADS</t>
  </si>
  <si>
    <t>微热からMystery</t>
  </si>
  <si>
    <t>Lily White</t>
  </si>
  <si>
    <t>秋日的你逐渐远去</t>
  </si>
  <si>
    <t>秋のあなたの空远く</t>
  </si>
  <si>
    <t>两个人的Happiness</t>
  </si>
  <si>
    <t>ふたりハピネス</t>
  </si>
  <si>
    <t>想成为回忆以上的存在</t>
  </si>
  <si>
    <t>思い出以上になりたくて</t>
  </si>
  <si>
    <t>春情罗曼蒂克</t>
  </si>
  <si>
    <t>春情ロマンティック</t>
  </si>
  <si>
    <t>寻常悲伤的尽头</t>
  </si>
  <si>
    <t>绚濑绘里（CV：南条爱乃）</t>
  </si>
  <si>
    <t>ありふれた悲しみの果て</t>
  </si>
  <si>
    <t>我们是未来之花</t>
  </si>
  <si>
    <t>园田海未（CV：三森铃子）</t>
  </si>
  <si>
    <t>私たちは未来の花</t>
  </si>
  <si>
    <t>跳绳</t>
  </si>
  <si>
    <t>小泉花阳（CV：久保由利香）</t>
  </si>
  <si>
    <t>なわとび</t>
  </si>
  <si>
    <t>风暴恋人</t>
  </si>
  <si>
    <t>绚濑绘里（CV：南条爱乃）园田海未（CV：三森铃子）</t>
  </si>
  <si>
    <t>Storm in Lover</t>
  </si>
  <si>
    <t>好狡猾哦 Magnetic today</t>
  </si>
  <si>
    <t>矢泽妮可（CV：德井青空）西木野真姬（CV：Pile）</t>
  </si>
  <si>
    <t>ずるいよMagnetic today</t>
  </si>
  <si>
    <t>Angelic Angel</t>
  </si>
  <si>
    <t>SUNNY DAY SONG</t>
  </si>
  <si>
    <t>仆たちはひとつの光</t>
  </si>
  <si>
    <t>玻璃花园</t>
  </si>
  <si>
    <t>绚濑绘里（CV：南条爱乃）东条希（CV：楠田亚衣奈）</t>
  </si>
  <si>
    <t>硝子の花园</t>
  </si>
  <si>
    <t>轻飘飘时间</t>
  </si>
  <si>
    <t>放课後ティータイム</t>
  </si>
  <si>
    <t>ふわふわ時間</t>
  </si>
  <si>
    <t>相遇天使</t>
  </si>
  <si>
    <t>天使にふれたよ!</t>
  </si>
  <si>
    <t>Singing!</t>
  </si>
  <si>
    <t>不，谢谢</t>
  </si>
  <si>
    <t>NO, Thank You!</t>
  </si>
  <si>
    <t>青鸟</t>
  </si>
  <si>
    <t>生物股长</t>
  </si>
  <si>
    <t>ブルーバード</t>
  </si>
  <si>
    <t>甜蜜游行</t>
  </si>
  <si>
    <t>sweets parade</t>
  </si>
  <si>
    <t>白鸟</t>
  </si>
  <si>
    <t>whitebird</t>
  </si>
  <si>
    <t>我心中的秘密</t>
  </si>
  <si>
    <t>Secret of my heart</t>
  </si>
  <si>
    <t>银色飞行船</t>
  </si>
  <si>
    <t>supercell</t>
  </si>
  <si>
    <t>銀色飛行船</t>
  </si>
  <si>
    <t>欧忒耳佩</t>
  </si>
  <si>
    <t>egoist(chelly)</t>
  </si>
  <si>
    <t>雪融</t>
  </si>
  <si>
    <t>ユキトキ</t>
  </si>
  <si>
    <t>钻石的纯度</t>
  </si>
  <si>
    <t>ダイヤモンドの纯度</t>
  </si>
  <si>
    <t>六等星之夜</t>
  </si>
  <si>
    <t>失恋之歌入耳良多 而我早已哭泣不止</t>
  </si>
  <si>
    <t>りりあ。</t>
  </si>
  <si>
    <t>失恋ソング沢山聴いて 泣いてばかりの私はも</t>
  </si>
  <si>
    <t>Oz.</t>
  </si>
  <si>
    <t>yama</t>
  </si>
  <si>
    <t>UNlasting</t>
  </si>
  <si>
    <t>sincerely</t>
  </si>
  <si>
    <t>旅途</t>
  </si>
  <si>
    <t>上田麗奈</t>
  </si>
  <si>
    <t>リテラチュア</t>
  </si>
  <si>
    <t>怪物</t>
  </si>
  <si>
    <t>Time after time～在落花纷飞的街道上～</t>
  </si>
  <si>
    <t>仓木麻衣</t>
  </si>
  <si>
    <t>Time after time ～花舞う街で～</t>
  </si>
  <si>
    <t>孤独天堂</t>
  </si>
  <si>
    <t>久保由利香</t>
  </si>
  <si>
    <t>Departures~赠于你的爱之歌~</t>
  </si>
  <si>
    <t>Departures ?あなたにおくるアイの歌</t>
  </si>
  <si>
    <t>若能化作星座</t>
  </si>
  <si>
    <t>結束バンド</t>
  </si>
  <si>
    <t>星座になれたら</t>
  </si>
  <si>
    <t>give it back</t>
  </si>
  <si>
    <t>C? shu Nie</t>
  </si>
  <si>
    <t>summer time</t>
  </si>
  <si>
    <t>cinnamons</t>
  </si>
  <si>
    <t>one last kiss</t>
  </si>
  <si>
    <t>宇多田光</t>
  </si>
  <si>
    <t>她踏上了旅程</t>
  </si>
  <si>
    <t>锁那</t>
  </si>
  <si>
    <t>彼女は旅に出る</t>
  </si>
  <si>
    <t>这么可爱真是抱歉</t>
  </si>
  <si>
    <t>早见沙织</t>
  </si>
  <si>
    <t>可愛くてごめん</t>
  </si>
  <si>
    <t>铃芽</t>
  </si>
  <si>
    <t>RADWIMPS、十明</t>
  </si>
  <si>
    <t>すずめ</t>
  </si>
  <si>
    <t>夜空是否知晓一切</t>
  </si>
  <si>
    <t>CYaRon!</t>
  </si>
  <si>
    <t>夜空はなんでも知ってるの?</t>
  </si>
  <si>
    <t>在眼泪成雪之前</t>
  </si>
  <si>
    <t>諏訪ななか、鈴木愛奈</t>
  </si>
  <si>
    <t>涙が雪になる前に</t>
  </si>
  <si>
    <t>cutie pahther</t>
  </si>
  <si>
    <t>茶汤</t>
  </si>
  <si>
    <t>香水百合</t>
  </si>
  <si>
    <t>潘多拉</t>
  </si>
  <si>
    <t>屋顶</t>
  </si>
  <si>
    <t>周杰伦、温岚</t>
  </si>
  <si>
    <t>姻缘签</t>
  </si>
  <si>
    <t>溯 (Reverse)</t>
  </si>
  <si>
    <t>CORSAK胡梦周、马吟吟</t>
  </si>
  <si>
    <t>说说Crystal、纱依shayi、妮莉安lily</t>
  </si>
  <si>
    <t>南部小城</t>
  </si>
  <si>
    <t>曹方</t>
  </si>
  <si>
    <t>風を食む</t>
  </si>
  <si>
    <t>蚕食清风</t>
  </si>
  <si>
    <t>もぎゅっと“love”で接近中!</t>
  </si>
  <si>
    <t>满怀爱意接近中！</t>
  </si>
  <si>
    <t>baby?maybe?恋のボタン</t>
  </si>
  <si>
    <t>baby?maybe?恋爱的纽扣</t>
  </si>
  <si>
    <t>Oh,Love&amp;Peace!</t>
  </si>
  <si>
    <t>Music?S.T.A.R.T!!</t>
  </si>
  <si>
    <t>Love?wing?bell</t>
  </si>
  <si>
    <t>LONELIEST?BABY</t>
  </si>
  <si>
    <t>どんなときもずっと</t>
  </si>
  <si>
    <t>无论何时一直</t>
  </si>
  <si>
    <t>最低で最高のParadiso</t>
  </si>
  <si>
    <t>最差、最好的Paradiso</t>
  </si>
  <si>
    <t>知らないLove*教えてLove</t>
  </si>
  <si>
    <t>不知道love,教给我love</t>
  </si>
  <si>
    <t>Daring!!</t>
  </si>
  <si>
    <t>西木野真姬（CV：Pile）</t>
  </si>
  <si>
    <t>Someday?of?my?life</t>
  </si>
  <si>
    <t>高坂穗乃果（CV：新田惠海）</t>
  </si>
  <si>
    <t>好きですが、好きですか?</t>
  </si>
  <si>
    <t>小泉花阳（CV：久保由利香）南小鸟（CV：内田彩）</t>
  </si>
  <si>
    <t>我喜欢你，你喜欢我吗？</t>
  </si>
  <si>
    <t>Anemone?heart</t>
  </si>
  <si>
    <t>园田海未（CV：三森铃子）南小鸟（CV：内田彩）</t>
  </si>
  <si>
    <t>Beat?in?Angel</t>
  </si>
  <si>
    <t>西木野真姬（CV：Pile）星空凛（CV：饭田里穗）</t>
  </si>
  <si>
    <t>Tiny stars</t>
  </si>
  <si>
    <t>伊達さゆり、Liyuu</t>
  </si>
  <si>
    <t>tiny stars</t>
  </si>
  <si>
    <t>guaino</t>
  </si>
  <si>
    <t>give it  back</t>
  </si>
  <si>
    <t xml:space="preserve"> 她踏上了旅程</t>
  </si>
  <si>
    <t>暁の車</t>
  </si>
  <si>
    <t>拂晓之车</t>
  </si>
  <si>
    <t>ham</t>
  </si>
  <si>
    <t>ずっと真夜中でいいのに。</t>
  </si>
  <si>
    <t>no name yet</t>
  </si>
  <si>
    <t>Double Face</t>
  </si>
  <si>
    <t>灰色と青</t>
  </si>
  <si>
    <t>菅田将晖、米津玄師</t>
  </si>
  <si>
    <t>灰色的青</t>
  </si>
  <si>
    <t>silly</t>
  </si>
  <si>
    <t>家入レオ</t>
  </si>
  <si>
    <t>アイドル</t>
  </si>
  <si>
    <t>偶像</t>
  </si>
  <si>
    <t>恋色折紙</t>
  </si>
  <si>
    <t>富樫美铃</t>
  </si>
  <si>
    <t>恋色折纸</t>
  </si>
  <si>
    <t>Hanbao</t>
    <phoneticPr fontId="1" type="noConversion"/>
  </si>
  <si>
    <t>99%旅人</t>
  </si>
  <si>
    <t>无形歌无形 feat.青溯</t>
  </si>
  <si>
    <t>A Little Love</t>
  </si>
  <si>
    <t>A.I.N.Y.</t>
  </si>
  <si>
    <t>again</t>
  </si>
  <si>
    <t>All I Want For Christmas Is You</t>
  </si>
  <si>
    <t>All Night</t>
  </si>
  <si>
    <t>Alone</t>
  </si>
  <si>
    <t>嘉滢</t>
  </si>
  <si>
    <t>Amen</t>
  </si>
  <si>
    <t>AWSL</t>
  </si>
  <si>
    <t>bb88</t>
  </si>
  <si>
    <t>Bling Bling Bling</t>
  </si>
  <si>
    <t>后海大鲨鱼</t>
  </si>
  <si>
    <t>Break Free</t>
  </si>
  <si>
    <t>Catch You Catch Me</t>
  </si>
  <si>
    <t>meg rock (日向めぐみ)</t>
  </si>
  <si>
    <t>Chandelier</t>
  </si>
  <si>
    <t>CORSAK</t>
  </si>
  <si>
    <t>Creep</t>
  </si>
  <si>
    <t>Dear John</t>
  </si>
  <si>
    <t>DINOSAUR</t>
  </si>
  <si>
    <t>Fine</t>
  </si>
  <si>
    <t>Leo1Bee</t>
  </si>
  <si>
    <t>Fly Away</t>
  </si>
  <si>
    <t>Fly Me To The Moon</t>
  </si>
  <si>
    <t>Focus</t>
  </si>
  <si>
    <t>follow</t>
  </si>
  <si>
    <t>for ya</t>
  </si>
  <si>
    <t>For フルーツバスケット</t>
  </si>
  <si>
    <t>Forever Love</t>
  </si>
  <si>
    <t>Gwiyomi song</t>
  </si>
  <si>
    <t>Happy Halloween</t>
  </si>
  <si>
    <t>Happy X'mas</t>
  </si>
  <si>
    <t>Hello</t>
  </si>
  <si>
    <t>Hey Jude</t>
  </si>
  <si>
    <t>honey honey</t>
  </si>
  <si>
    <t>i believe</t>
  </si>
  <si>
    <t>I Have Nothing</t>
  </si>
  <si>
    <t>i Love</t>
  </si>
  <si>
    <t>I Will Survive</t>
  </si>
  <si>
    <t>IN YOUR T-SHIRT</t>
  </si>
  <si>
    <t>INVOKE</t>
  </si>
  <si>
    <t>Letting Go</t>
  </si>
  <si>
    <t>蔡雅健</t>
  </si>
  <si>
    <t>love</t>
  </si>
  <si>
    <t>love can fly</t>
  </si>
  <si>
    <t>LOVE LOVE</t>
  </si>
  <si>
    <t>金润吉</t>
  </si>
  <si>
    <t>Love Love Love</t>
  </si>
  <si>
    <t>Love Me</t>
  </si>
  <si>
    <t>Love Me Harder</t>
  </si>
  <si>
    <t>Love Song</t>
  </si>
  <si>
    <t>love the way you lie</t>
  </si>
  <si>
    <t>Main Theme</t>
  </si>
  <si>
    <t>Mascara</t>
  </si>
  <si>
    <t>ZIV</t>
  </si>
  <si>
    <t>My Love</t>
  </si>
  <si>
    <t>No Tear Left To Cry</t>
  </si>
  <si>
    <t>One Last Kiss</t>
  </si>
  <si>
    <t>宇多田ヒカル</t>
  </si>
  <si>
    <t>One Last Time</t>
  </si>
  <si>
    <t>はじめてのチュウ</t>
  </si>
  <si>
    <t>ばかみたい</t>
  </si>
  <si>
    <t>桐生一馬(黒田崇矢)</t>
  </si>
  <si>
    <t>EGOIST</t>
  </si>
  <si>
    <t>コネクト</t>
  </si>
  <si>
    <t>ハピハピ</t>
  </si>
  <si>
    <t>ベッキー♪♯</t>
  </si>
  <si>
    <t>ヒャダインのカカカタ☆カタオモイ-C</t>
  </si>
  <si>
    <t>ミチノチモシーキミノキモチ</t>
  </si>
  <si>
    <t>暧</t>
  </si>
  <si>
    <t>孙盛希 / ØZI</t>
  </si>
  <si>
    <t>爱，存在</t>
  </si>
  <si>
    <t>爱不来</t>
  </si>
  <si>
    <t>爱错</t>
  </si>
  <si>
    <t>爱多点情多点</t>
  </si>
  <si>
    <t>爱即正义</t>
  </si>
  <si>
    <t>布偶乐队</t>
  </si>
  <si>
    <t>陈芳语</t>
  </si>
  <si>
    <t>爱你不是两三天</t>
  </si>
  <si>
    <t>爱人呢</t>
  </si>
  <si>
    <t>爱上你等于爱上寂寞</t>
  </si>
  <si>
    <t>爱上未来的你</t>
  </si>
  <si>
    <t>爱什么稀罕</t>
  </si>
  <si>
    <t>爱是怀疑</t>
  </si>
  <si>
    <t>爱我别走</t>
  </si>
  <si>
    <t>爱我不要丢下我</t>
  </si>
  <si>
    <t>爱我的请举手</t>
  </si>
  <si>
    <t>爱我的资格</t>
  </si>
  <si>
    <t>韦唯</t>
  </si>
  <si>
    <t>爱X无限大</t>
  </si>
  <si>
    <t>爱一点</t>
  </si>
  <si>
    <t>爱与不爱之间</t>
  </si>
  <si>
    <t>爱着爱着就永远</t>
  </si>
  <si>
    <t>爱之初体验</t>
  </si>
  <si>
    <t>凹造型</t>
  </si>
  <si>
    <t>爸爸妈妈听我说</t>
  </si>
  <si>
    <t>把耳朵叫醒</t>
  </si>
  <si>
    <t>巴啦啦小魔仙</t>
  </si>
  <si>
    <t>百变酒精</t>
  </si>
  <si>
    <t>半句再见</t>
  </si>
  <si>
    <t>暴风雨</t>
  </si>
  <si>
    <t>Higher Brothers / HARIKIRI</t>
  </si>
  <si>
    <t>薄荷与指甲剪</t>
  </si>
  <si>
    <t>梁文音</t>
  </si>
  <si>
    <t>爆刘继芬</t>
  </si>
  <si>
    <t>刘德华</t>
  </si>
  <si>
    <t>北京欢迎你</t>
  </si>
  <si>
    <t>北京一夜</t>
  </si>
  <si>
    <t>陈升 / 刘佳慧</t>
  </si>
  <si>
    <t>本草纲目</t>
  </si>
  <si>
    <t>本色</t>
  </si>
  <si>
    <t>边走边爱</t>
  </si>
  <si>
    <t>Zealot周星星</t>
  </si>
  <si>
    <t>表面的和平</t>
  </si>
  <si>
    <t>别看我小</t>
  </si>
  <si>
    <t>不得不爱</t>
  </si>
  <si>
    <t>潘玮柏 / 弦子</t>
  </si>
  <si>
    <t>周杰伦 / 张惠妹</t>
  </si>
  <si>
    <t>不够成熟</t>
  </si>
  <si>
    <t>布谷鸟</t>
  </si>
  <si>
    <t>不可言说</t>
  </si>
  <si>
    <t>刘美麟 / 王以太</t>
  </si>
  <si>
    <t>不同凡响</t>
  </si>
  <si>
    <t>林俊杰 / 徐佳莹</t>
  </si>
  <si>
    <t>不用去猜</t>
  </si>
  <si>
    <t>Jony J / 林凡 / NINEONE # / 王承渲 / 张楚寒</t>
  </si>
  <si>
    <t>彩虹糖</t>
  </si>
  <si>
    <t>采花贼</t>
  </si>
  <si>
    <t>残爱</t>
  </si>
  <si>
    <t>常回家看看</t>
  </si>
  <si>
    <t>长亭外</t>
  </si>
  <si>
    <t>超级玛丽</t>
  </si>
  <si>
    <t>超人不会飞</t>
  </si>
  <si>
    <t>成长之重量</t>
  </si>
  <si>
    <t>处处闻</t>
  </si>
  <si>
    <t>触电</t>
  </si>
  <si>
    <t>触动心触动爱</t>
  </si>
  <si>
    <t>除了春天爱情和烟花</t>
  </si>
  <si>
    <t>春风吹</t>
  </si>
  <si>
    <t>蠢货</t>
  </si>
  <si>
    <t>春水积木</t>
  </si>
  <si>
    <t>聪明的一休</t>
  </si>
  <si>
    <t>存在</t>
  </si>
  <si>
    <t>答案</t>
  </si>
  <si>
    <t>大城小爱</t>
  </si>
  <si>
    <t>打错了</t>
  </si>
  <si>
    <t>大风车</t>
  </si>
  <si>
    <t>大哥</t>
  </si>
  <si>
    <t>大哥大哥欢迎你</t>
  </si>
  <si>
    <t>大火</t>
  </si>
  <si>
    <t>大女人</t>
  </si>
  <si>
    <t>打上花火</t>
  </si>
  <si>
    <t>DAOKO / 米津玄師</t>
  </si>
  <si>
    <t>大舌头</t>
  </si>
  <si>
    <t>大叔不要跑</t>
  </si>
  <si>
    <t>大头儿子小头爸爸</t>
  </si>
  <si>
    <t>带我离开</t>
  </si>
  <si>
    <t>单眼皮女生</t>
  </si>
  <si>
    <t>当爱已成往事</t>
  </si>
  <si>
    <t>林忆莲 / 李宗盛</t>
  </si>
  <si>
    <t>当爱在靠近</t>
  </si>
  <si>
    <t>当冬夜渐暖</t>
  </si>
  <si>
    <t>李玟 / 周杰伦</t>
  </si>
  <si>
    <t>得意</t>
  </si>
  <si>
    <t>Departures ～あなたにおくるアイの歌～</t>
  </si>
  <si>
    <t>hush！</t>
  </si>
  <si>
    <t>地铁</t>
  </si>
  <si>
    <t>点水</t>
  </si>
  <si>
    <t>电台情歌</t>
  </si>
  <si>
    <t>東京不太熱</t>
  </si>
  <si>
    <t>Z新豪 feat. 洛天依</t>
  </si>
  <si>
    <t>都不懂</t>
  </si>
  <si>
    <t>独立</t>
  </si>
  <si>
    <t>渡情</t>
  </si>
  <si>
    <t>对不起</t>
  </si>
  <si>
    <t>阿姆斯特丹</t>
  </si>
  <si>
    <t>马思唯 / Higher Brothers / KnowKnow</t>
  </si>
  <si>
    <t>阿司匹林</t>
  </si>
  <si>
    <t>王以太</t>
  </si>
  <si>
    <t>恶之花</t>
  </si>
  <si>
    <t>儿歌串烧</t>
  </si>
  <si>
    <t>翻滚吧！我的宝贝</t>
  </si>
  <si>
    <t>纳兰寻风 feat.乐正绫</t>
  </si>
  <si>
    <t>放空</t>
  </si>
  <si>
    <t>韩红 / 林俊杰</t>
  </si>
  <si>
    <t>分分钟需要你</t>
  </si>
  <si>
    <t>分开旅行</t>
  </si>
  <si>
    <t>刘若英 / 黄立行</t>
  </si>
  <si>
    <t>風情萬種</t>
  </si>
  <si>
    <t>风一样的勇士</t>
  </si>
  <si>
    <t>风筝</t>
  </si>
  <si>
    <t>许哲佩</t>
  </si>
  <si>
    <t>浮夸</t>
  </si>
  <si>
    <t>感恩的心</t>
  </si>
  <si>
    <t>幹物女(WeiWei)</t>
  </si>
  <si>
    <t>Z新豪 feat. 洛天依 / 乐正绫</t>
  </si>
  <si>
    <t>感谢你曾来过</t>
  </si>
  <si>
    <t>Ayo97 / 周思涵</t>
  </si>
  <si>
    <t>刚刚好</t>
  </si>
  <si>
    <t>告白</t>
  </si>
  <si>
    <t>告别的时代</t>
  </si>
  <si>
    <t>高级爱情故事</t>
  </si>
  <si>
    <t>告诉我</t>
  </si>
  <si>
    <t>隔壁泰山</t>
  </si>
  <si>
    <t>歌唱祖国</t>
  </si>
  <si>
    <t>格斗宝贝</t>
  </si>
  <si>
    <t>歌剧2</t>
  </si>
  <si>
    <t>给小孩</t>
  </si>
  <si>
    <t>给自己的歌</t>
  </si>
  <si>
    <t>跟我在一起</t>
  </si>
  <si>
    <t>恭喜发财</t>
  </si>
  <si>
    <t>恭喜恭喜</t>
  </si>
  <si>
    <t>故长安</t>
  </si>
  <si>
    <t>古德奈先生</t>
  </si>
  <si>
    <t>孤独的牧羊人</t>
  </si>
  <si>
    <t>孤独她呀</t>
  </si>
  <si>
    <t>管他什么音乐</t>
  </si>
  <si>
    <t>过</t>
  </si>
  <si>
    <t>过不去</t>
  </si>
  <si>
    <t>哈尼</t>
  </si>
  <si>
    <t>还是会寂寞</t>
  </si>
  <si>
    <t>泠鸢yousa / 王梓钰</t>
  </si>
  <si>
    <t>还是劈开</t>
  </si>
  <si>
    <t>还是要幸福</t>
  </si>
  <si>
    <t>憨八龟的故事</t>
  </si>
  <si>
    <t>汉江恋</t>
  </si>
  <si>
    <t>好不容易</t>
  </si>
  <si>
    <t>好好爱</t>
  </si>
  <si>
    <t>好奇傻死猫</t>
  </si>
  <si>
    <t>好听</t>
  </si>
  <si>
    <t>谷嘉诚 / 赵露思</t>
  </si>
  <si>
    <t>好心分手</t>
  </si>
  <si>
    <t>卢巧音 / 王力宏</t>
  </si>
  <si>
    <t>喝了一口星光酒</t>
  </si>
  <si>
    <t>嘿嘿嘿嘿哈哈哈哈</t>
  </si>
  <si>
    <t>黑色月亮</t>
  </si>
  <si>
    <t>很爱很爱你</t>
  </si>
  <si>
    <t>很需要</t>
  </si>
  <si>
    <t>颜人中</t>
  </si>
  <si>
    <t>红磨坊</t>
  </si>
  <si>
    <t>红蔷薇</t>
  </si>
  <si>
    <t>红蔷薇白玫瑰</t>
  </si>
  <si>
    <t>TAEYANG</t>
  </si>
  <si>
    <t>红蜻蜓</t>
  </si>
  <si>
    <t>苏玮（小残）</t>
  </si>
  <si>
    <t>红妆</t>
  </si>
  <si>
    <t>猴哥</t>
  </si>
  <si>
    <t>狐狸精</t>
  </si>
  <si>
    <t>河图 / 纳兰寻风 feat.洛天依</t>
  </si>
  <si>
    <t>花，太阳，彩虹，你</t>
  </si>
  <si>
    <t>法老 / 肯迪仔 / NoLabelCrew</t>
  </si>
  <si>
    <t>花儿纳吉</t>
  </si>
  <si>
    <t>花好月圆夜</t>
  </si>
  <si>
    <t>花花公子</t>
  </si>
  <si>
    <t>马思唯 / Higher Brothers / step.jad依加</t>
  </si>
  <si>
    <t>花花世界</t>
  </si>
  <si>
    <t>华丽的冒险</t>
  </si>
  <si>
    <t>画皮</t>
  </si>
  <si>
    <t>纸砚zyan</t>
  </si>
  <si>
    <t>画沙</t>
  </si>
  <si>
    <t>袁咏琳 / 周杰伦</t>
  </si>
  <si>
    <t>花田错</t>
  </si>
  <si>
    <t>谎</t>
  </si>
  <si>
    <t>荒唐</t>
  </si>
  <si>
    <t>回到拉萨</t>
  </si>
  <si>
    <t>郑钧</t>
  </si>
  <si>
    <t>回家</t>
  </si>
  <si>
    <t>火红的萨日朗</t>
  </si>
  <si>
    <t>记得带走</t>
  </si>
  <si>
    <t>嫉妒</t>
  </si>
  <si>
    <t>S.I.N.G</t>
  </si>
  <si>
    <t>寂寞在唱歌</t>
  </si>
  <si>
    <t>家</t>
  </si>
  <si>
    <t>假面舞会</t>
  </si>
  <si>
    <t>侥幸者</t>
  </si>
  <si>
    <t>交织together</t>
  </si>
  <si>
    <t>戒LOL</t>
  </si>
  <si>
    <t>戒烟</t>
  </si>
  <si>
    <t>劲歌金曲2</t>
  </si>
  <si>
    <t>尽头</t>
  </si>
  <si>
    <t>许嵩 / 黄龄</t>
  </si>
  <si>
    <t>纠结</t>
  </si>
  <si>
    <t>庆庆</t>
  </si>
  <si>
    <t>纳兰寻风 feat.乐正绫/洛天依</t>
  </si>
  <si>
    <t>就是爱</t>
  </si>
  <si>
    <t>就是我</t>
  </si>
  <si>
    <t>绝对达令</t>
  </si>
  <si>
    <t>倔强</t>
  </si>
  <si>
    <t>张晓涵 / 戚琦</t>
  </si>
  <si>
    <t>军营飞来一只百灵</t>
  </si>
  <si>
    <t>卡路里</t>
  </si>
  <si>
    <t>火箭少女101</t>
  </si>
  <si>
    <t>开场表演</t>
  </si>
  <si>
    <t>开始和结束之间</t>
  </si>
  <si>
    <t>羽·泉</t>
  </si>
  <si>
    <t>看不见我</t>
  </si>
  <si>
    <t>可爱</t>
  </si>
  <si>
    <t>可不可以不勇敢</t>
  </si>
  <si>
    <t>徐良 / 小凌</t>
  </si>
  <si>
    <t>可惜没有如果</t>
  </si>
  <si>
    <t>戴爱玲</t>
  </si>
  <si>
    <t>空口言</t>
  </si>
  <si>
    <t>哭到天亮</t>
  </si>
  <si>
    <t>哭了</t>
  </si>
  <si>
    <t>夸张</t>
  </si>
  <si>
    <t>周品</t>
  </si>
  <si>
    <t>快乐崇拜</t>
  </si>
  <si>
    <t>张韶涵 / 潘玮柏</t>
  </si>
  <si>
    <t>快乐小孩</t>
  </si>
  <si>
    <t>困</t>
  </si>
  <si>
    <t>许巍</t>
  </si>
  <si>
    <t>蓝旗袍</t>
  </si>
  <si>
    <t>蓝色雨</t>
  </si>
  <si>
    <t>浪漫爱</t>
  </si>
  <si>
    <t>浪人琵琶</t>
  </si>
  <si>
    <t>老伴</t>
  </si>
  <si>
    <t>老鼠爱大米</t>
  </si>
  <si>
    <t>杨臣刚</t>
  </si>
  <si>
    <t>老子就爱呆到成都</t>
  </si>
  <si>
    <t>类似爱情</t>
  </si>
  <si>
    <t>离岛</t>
  </si>
  <si>
    <t>礼物</t>
  </si>
  <si>
    <t>恋</t>
  </si>
  <si>
    <t>恋爱吧☆魔法少女</t>
  </si>
  <si>
    <t>恋爱ING</t>
  </si>
  <si>
    <t>恋爱困难少女</t>
  </si>
  <si>
    <t>两个恰恰好</t>
  </si>
  <si>
    <t>杨宗纬 / 张碧晨</t>
  </si>
  <si>
    <t>凛冬将至</t>
  </si>
  <si>
    <t>铃舟</t>
  </si>
  <si>
    <t>六层楼</t>
  </si>
  <si>
    <t>流浪者之歌</t>
  </si>
  <si>
    <t>杨幂 / 君君</t>
  </si>
  <si>
    <t>路口</t>
  </si>
  <si>
    <t>伦敦大桥垮下来</t>
  </si>
  <si>
    <t>落金钗</t>
  </si>
  <si>
    <t>马德里不思议</t>
  </si>
  <si>
    <t>麻烦少女</t>
  </si>
  <si>
    <t>杨超越 / 陈意涵Estelle / 鹿小草 / 刘人语 / 丑丑 / 许诗茵</t>
  </si>
  <si>
    <t>卖火柴的小女孩</t>
  </si>
  <si>
    <t>盲点</t>
  </si>
  <si>
    <t>猫与毛线</t>
  </si>
  <si>
    <t>没法坠入爱河</t>
  </si>
  <si>
    <t>玫瑰</t>
  </si>
  <si>
    <t>美丽笨女人</t>
  </si>
  <si>
    <t>没取名的歌</t>
  </si>
  <si>
    <t>Ty.</t>
  </si>
  <si>
    <t>没有理由</t>
  </si>
  <si>
    <t>没有人不比我快乐</t>
  </si>
  <si>
    <t>没有如果</t>
  </si>
  <si>
    <t>闷</t>
  </si>
  <si>
    <t>黄品冠</t>
  </si>
  <si>
    <t>猛男日记</t>
  </si>
  <si>
    <t>梦醒了</t>
  </si>
  <si>
    <t>蜜蜂</t>
  </si>
  <si>
    <t>秘密</t>
  </si>
  <si>
    <t>免失志</t>
  </si>
  <si>
    <t>渺小而快乐</t>
  </si>
  <si>
    <t>默读</t>
  </si>
  <si>
    <t>莫名其妙爱上你</t>
  </si>
  <si>
    <t>四叶草（朱主爱）</t>
  </si>
  <si>
    <t>末日</t>
  </si>
  <si>
    <t>王菀之</t>
  </si>
  <si>
    <t>莫斯科没有眼泪</t>
  </si>
  <si>
    <t>摩天轮的眼泪</t>
  </si>
  <si>
    <t>张紫宁 / Sunnee杨芸晴 / 蒋申 / 陈意涵Estelle / 魏瑾 / 强东玥</t>
  </si>
  <si>
    <t>目不转睛</t>
  </si>
  <si>
    <t>母老虎</t>
  </si>
  <si>
    <t>Ty. / 谢帝</t>
  </si>
  <si>
    <t>范晓萱 / 100%乐团</t>
  </si>
  <si>
    <t>那个人</t>
  </si>
  <si>
    <t>那女孩对我说</t>
  </si>
  <si>
    <t>黄义达</t>
  </si>
  <si>
    <t>那时候的我</t>
  </si>
  <si>
    <t>那种女孩</t>
  </si>
  <si>
    <t>难得孤寂</t>
  </si>
  <si>
    <t>男孩</t>
  </si>
  <si>
    <t>男孩别哭</t>
  </si>
  <si>
    <t>南音</t>
  </si>
  <si>
    <t>黄大炜</t>
  </si>
  <si>
    <t>你别忘</t>
  </si>
  <si>
    <t>你不爱我</t>
  </si>
  <si>
    <t>你不知道</t>
  </si>
  <si>
    <t>你的答案</t>
  </si>
  <si>
    <t>你的轮廓</t>
  </si>
  <si>
    <t>马也_Crabbit</t>
  </si>
  <si>
    <t>你的猫咪</t>
  </si>
  <si>
    <t>你的甜蜜</t>
  </si>
  <si>
    <t>你敢不敢</t>
  </si>
  <si>
    <t>你敢我就敢</t>
  </si>
  <si>
    <t>你好前任</t>
  </si>
  <si>
    <t>你快乐所以我快乐</t>
  </si>
  <si>
    <t>你快乐未必我快乐</t>
  </si>
  <si>
    <t>你是爱我的</t>
  </si>
  <si>
    <t>你是我心内的一首歌</t>
  </si>
  <si>
    <t>王力宏 / 任家萱Selina</t>
  </si>
  <si>
    <t>你太猖狂</t>
  </si>
  <si>
    <t>你为什么说谎</t>
  </si>
  <si>
    <t>你朝我的方向走来</t>
  </si>
  <si>
    <t>你真的会来吗</t>
  </si>
  <si>
    <t>你知道我在等你们分手吗</t>
  </si>
  <si>
    <t>你最珍贵</t>
  </si>
  <si>
    <t>张学友 / 高慧君</t>
  </si>
  <si>
    <t>年轻的朋友来相会</t>
  </si>
  <si>
    <t>牛奶之歌</t>
  </si>
  <si>
    <t>PONPONPON</t>
  </si>
  <si>
    <t>Problem</t>
  </si>
  <si>
    <t>HARIKIRI / 马思唯 / 朴宰范</t>
  </si>
  <si>
    <t>Que Sera Sera</t>
  </si>
  <si>
    <t>R&amp;B All Night</t>
  </si>
  <si>
    <t>KnowKnow / Higher Brothers</t>
  </si>
  <si>
    <t>Silly</t>
  </si>
  <si>
    <t>So Crazy</t>
  </si>
  <si>
    <t>STARTDASH!!</t>
  </si>
  <si>
    <t>Stay</t>
  </si>
  <si>
    <t>Sunflower</t>
  </si>
  <si>
    <t>The Diva Dance</t>
  </si>
  <si>
    <t>To Hebe</t>
  </si>
  <si>
    <t>trust me</t>
  </si>
  <si>
    <t>unlasting</t>
  </si>
  <si>
    <t>We Don't Talk Anymore</t>
  </si>
  <si>
    <t>What Can I Do</t>
  </si>
  <si>
    <t>wishing</t>
  </si>
  <si>
    <t>You don't trust me at all</t>
  </si>
  <si>
    <t>Zzz</t>
  </si>
  <si>
    <t>サブリナ</t>
  </si>
  <si>
    <t>残酷な天使のテーゼ</t>
  </si>
  <si>
    <t>東京サマーセッション</t>
  </si>
  <si>
    <t>feat.瀬戸口優・榎本夏樹・望月蒼太・早坂あかり・芹沢春輝・合田美桜（CV：神谷浩史・戸松遥・梶裕貴・阿澄佳奈・鈴村健一・豊崎愛生）</t>
  </si>
  <si>
    <t>夢をかなえてドラえもん</t>
  </si>
  <si>
    <t>mao</t>
  </si>
  <si>
    <t>配不上你</t>
  </si>
  <si>
    <t>陪你度过漫长岁月</t>
  </si>
  <si>
    <t>陪我到以后</t>
  </si>
  <si>
    <t>陪我看日出</t>
  </si>
  <si>
    <t>骗赖</t>
  </si>
  <si>
    <t>飘向北方</t>
  </si>
  <si>
    <t>破茧成蝶</t>
  </si>
  <si>
    <t>阿梓</t>
  </si>
  <si>
    <t>漆黒に躍る弧濁覇王節</t>
  </si>
  <si>
    <t>奇妙的约会</t>
  </si>
  <si>
    <t>洪钟</t>
  </si>
  <si>
    <t>骑上我心爱的小摩托</t>
  </si>
  <si>
    <t>七月七日晴</t>
  </si>
  <si>
    <t>许慧欣</t>
  </si>
  <si>
    <t>潜蓝色</t>
  </si>
  <si>
    <t>周杰伦 / 费玉清</t>
  </si>
  <si>
    <t>银临 / Aki阿杰</t>
  </si>
  <si>
    <t>窃笑</t>
  </si>
  <si>
    <t>庄蕙茹</t>
  </si>
  <si>
    <t>陈珊妮</t>
  </si>
  <si>
    <t>情歌王</t>
  </si>
  <si>
    <t>请你给我好一点的情敌</t>
  </si>
  <si>
    <t>刀郎</t>
  </si>
  <si>
    <t>青蛇</t>
  </si>
  <si>
    <t>情绪挑拨</t>
  </si>
  <si>
    <t>庆祝</t>
  </si>
  <si>
    <t>全球变冷</t>
  </si>
  <si>
    <t>圈住你</t>
  </si>
  <si>
    <t>确定一定以及肯定</t>
  </si>
  <si>
    <t>曹雪</t>
  </si>
  <si>
    <t>让你走</t>
  </si>
  <si>
    <t>王极</t>
  </si>
  <si>
    <t>人间天堂</t>
  </si>
  <si>
    <t>人间指南</t>
  </si>
  <si>
    <t>陈婧霏</t>
  </si>
  <si>
    <t>任由爱</t>
  </si>
  <si>
    <t>忍者</t>
  </si>
  <si>
    <t>忍者棒棒</t>
  </si>
  <si>
    <t>如果的事</t>
  </si>
  <si>
    <t>如果呢</t>
  </si>
  <si>
    <t>入梦也</t>
  </si>
  <si>
    <t>三国恋</t>
  </si>
  <si>
    <t>三角题</t>
  </si>
  <si>
    <t>周二珂</t>
  </si>
  <si>
    <t>三天三夜</t>
  </si>
  <si>
    <t>三月</t>
  </si>
  <si>
    <t>Days幻夢年華樂團 feat.洛天依</t>
  </si>
  <si>
    <t>沙漠骆驼</t>
  </si>
  <si>
    <t>傻笑</t>
  </si>
  <si>
    <t>山歌好比春江水</t>
  </si>
  <si>
    <t>周杰伦 / Lara梁心颐</t>
  </si>
  <si>
    <t>珊瑚颂</t>
  </si>
  <si>
    <t>上海滩</t>
  </si>
  <si>
    <t>伤心的人别听慢歌</t>
  </si>
  <si>
    <t>少女</t>
  </si>
  <si>
    <t>少侠不用刀</t>
  </si>
  <si>
    <t>伸出圆手</t>
  </si>
  <si>
    <t>れるりり feat.ミク/リン/GUMI</t>
  </si>
  <si>
    <t>深海</t>
  </si>
  <si>
    <t>深海少女</t>
  </si>
  <si>
    <t>ゆうゆ feat.初音ミク</t>
  </si>
  <si>
    <t>神话</t>
  </si>
  <si>
    <t>深夜诗人</t>
  </si>
  <si>
    <t>生日快乐</t>
  </si>
  <si>
    <t>邓福如</t>
  </si>
  <si>
    <t>生死相依我苦恋着你</t>
  </si>
  <si>
    <t>朱桦</t>
  </si>
  <si>
    <t>盛夏的果实</t>
  </si>
  <si>
    <t>嘘</t>
  </si>
  <si>
    <t>十二楼</t>
  </si>
  <si>
    <t>时光洪流</t>
  </si>
  <si>
    <t>世界第一可爱</t>
  </si>
  <si>
    <t>失恋阵线联盟</t>
  </si>
  <si>
    <t>失眠飞行</t>
  </si>
  <si>
    <t>是我在做多情种</t>
  </si>
  <si>
    <t>手心的蔷薇</t>
  </si>
  <si>
    <t>林俊杰 / 邓紫棋</t>
  </si>
  <si>
    <t>疏远</t>
  </si>
  <si>
    <t>COP feat. 洛天依 / 乐正绫</t>
  </si>
  <si>
    <t>睡公主</t>
  </si>
  <si>
    <t>水手</t>
  </si>
  <si>
    <t>水仙</t>
  </si>
  <si>
    <t>睡在风里</t>
  </si>
  <si>
    <t>彭席彦</t>
  </si>
  <si>
    <t>陈泳彤</t>
  </si>
  <si>
    <t>私奔到月球</t>
  </si>
  <si>
    <t>四季予你</t>
  </si>
  <si>
    <t>思念是一种病</t>
  </si>
  <si>
    <t>CORSAK胡梦周 / 马吟吟</t>
  </si>
  <si>
    <t>算你狠</t>
  </si>
  <si>
    <t>酸酸甜甜就是我</t>
  </si>
  <si>
    <t>所有人都在玩手机</t>
  </si>
  <si>
    <t>马赛克乐队</t>
  </si>
  <si>
    <t>他爱我吗</t>
  </si>
  <si>
    <t>他不惯被爱</t>
  </si>
  <si>
    <t>他还是不懂</t>
  </si>
  <si>
    <t>她她她</t>
  </si>
  <si>
    <t>他一定很爱你</t>
  </si>
  <si>
    <t>台北夜空下</t>
  </si>
  <si>
    <t>吴卓源</t>
  </si>
  <si>
    <t>唐人</t>
  </si>
  <si>
    <t>躺在你的衣柜</t>
  </si>
  <si>
    <t>逃</t>
  </si>
  <si>
    <t>桃花朵朵开</t>
  </si>
  <si>
    <t>桃花旗袍</t>
  </si>
  <si>
    <t>纳兰寻风 feat.洛天依/言和/乐正绫</t>
  </si>
  <si>
    <t>芮恩</t>
  </si>
  <si>
    <t>陈势安</t>
  </si>
  <si>
    <t>天灰</t>
  </si>
  <si>
    <t>天空中划过一道星光</t>
  </si>
  <si>
    <t>天上掉下个猪八戒</t>
  </si>
  <si>
    <t>天使在唱歌</t>
  </si>
  <si>
    <t>Lizz Robinett</t>
  </si>
  <si>
    <t>听！是谁在唱歌</t>
  </si>
  <si>
    <t>刘若英 / 黄韵玲</t>
  </si>
  <si>
    <t>听爸爸的话</t>
  </si>
  <si>
    <t>听见</t>
  </si>
  <si>
    <t>听妈妈讲那过去的事情</t>
  </si>
  <si>
    <t>听袁惟仁弹吉他</t>
  </si>
  <si>
    <t>庭園にて</t>
  </si>
  <si>
    <t>听梓宝的话</t>
  </si>
  <si>
    <t>同类</t>
  </si>
  <si>
    <t>小桦啊小桦 feat. 洛天依</t>
  </si>
  <si>
    <t>娃娃脸</t>
  </si>
  <si>
    <t>后弦</t>
  </si>
  <si>
    <t>外滩十八号</t>
  </si>
  <si>
    <t>外星人爱我</t>
  </si>
  <si>
    <t>外愈</t>
  </si>
  <si>
    <t>晚安晚安</t>
  </si>
  <si>
    <t>玩乐</t>
  </si>
  <si>
    <t>玩泥巴</t>
  </si>
  <si>
    <t>忘我</t>
  </si>
  <si>
    <t>微凉的你</t>
  </si>
  <si>
    <t>为什么</t>
  </si>
  <si>
    <t>危险派对</t>
  </si>
  <si>
    <t>王以太 / 刘至佳</t>
  </si>
  <si>
    <t>吻得太逼真</t>
  </si>
  <si>
    <t>温泉</t>
  </si>
  <si>
    <t>温柔</t>
  </si>
  <si>
    <t>我爱洗澡</t>
  </si>
  <si>
    <t>我不需要</t>
  </si>
  <si>
    <t>握不住的沙</t>
  </si>
  <si>
    <t>我的爱</t>
  </si>
  <si>
    <t>我的悲伤</t>
  </si>
  <si>
    <t>我的果汁分你一半</t>
  </si>
  <si>
    <t>花儿乐队</t>
  </si>
  <si>
    <t>我的秘密</t>
  </si>
  <si>
    <t>我的名字</t>
  </si>
  <si>
    <t>我的新衣</t>
  </si>
  <si>
    <t>VaVa毛衍七 / 王倩倩 / Ty.</t>
  </si>
  <si>
    <t>我都记得</t>
  </si>
  <si>
    <t>我敢</t>
  </si>
  <si>
    <t>我害怕鬼</t>
  </si>
  <si>
    <t>我恨我爱你</t>
  </si>
  <si>
    <t>我可以忘记你</t>
  </si>
  <si>
    <t>我乐意</t>
  </si>
  <si>
    <t>我恋爱了</t>
  </si>
  <si>
    <t>我们好像在哪见过</t>
  </si>
  <si>
    <t>蜗牛</t>
  </si>
  <si>
    <t>我是来揍你的</t>
  </si>
  <si>
    <t>我是女生</t>
  </si>
  <si>
    <t>徐怀钰</t>
  </si>
  <si>
    <t>我是一只鱼</t>
  </si>
  <si>
    <t>任贤齐</t>
  </si>
  <si>
    <t>我为什么那么爱你</t>
  </si>
  <si>
    <t>我无法懂得</t>
  </si>
  <si>
    <t>安那</t>
  </si>
  <si>
    <t>我想对你说baby</t>
  </si>
  <si>
    <t>王绎龙</t>
  </si>
  <si>
    <t>我想和你看电影</t>
  </si>
  <si>
    <t>我想Part2</t>
  </si>
  <si>
    <t>法老 / 杨秋儒</t>
  </si>
  <si>
    <t>我想牵着你的手</t>
  </si>
  <si>
    <t>我想我不会爱你</t>
  </si>
  <si>
    <t>我像雪花天上来</t>
  </si>
  <si>
    <t>我要吃肉肉</t>
  </si>
  <si>
    <t>我要飞</t>
  </si>
  <si>
    <t>我又初恋了</t>
  </si>
  <si>
    <t>我愿意</t>
  </si>
  <si>
    <t>我真的受伤了</t>
  </si>
  <si>
    <t>无敌帅</t>
  </si>
  <si>
    <t>无法克制</t>
  </si>
  <si>
    <t>无法坠入爱河</t>
  </si>
  <si>
    <t>未来星B3Rich</t>
  </si>
  <si>
    <t>乌克丽丽</t>
  </si>
  <si>
    <t>Инээмсэглэл</t>
  </si>
  <si>
    <t>舞女泪</t>
  </si>
  <si>
    <t>无人知晓的我</t>
  </si>
  <si>
    <t>无伤大雅</t>
  </si>
  <si>
    <t>勿忘心安</t>
  </si>
  <si>
    <t>午夜伤心电台</t>
  </si>
  <si>
    <t>艾热 / 派克特</t>
  </si>
  <si>
    <t>无用</t>
  </si>
  <si>
    <t>喜欢两个人</t>
  </si>
  <si>
    <t>夏日倾情</t>
  </si>
  <si>
    <t>夏天</t>
  </si>
  <si>
    <t>夏夜最后的烟火</t>
  </si>
  <si>
    <t>下雨时候特别想你</t>
  </si>
  <si>
    <t>纤夫的爱</t>
  </si>
  <si>
    <t>现在不跳舞要干嘛</t>
  </si>
  <si>
    <t>想把我唱给你听</t>
  </si>
  <si>
    <t>香格里拉</t>
  </si>
  <si>
    <t>想和你</t>
  </si>
  <si>
    <t>香奈儿</t>
  </si>
  <si>
    <t>想你的夜</t>
  </si>
  <si>
    <t>想你零点零一分</t>
  </si>
  <si>
    <t>想要你在身边</t>
  </si>
  <si>
    <t>想要你知道</t>
  </si>
  <si>
    <t>想要在你身边</t>
  </si>
  <si>
    <t>相遇阿梓</t>
  </si>
  <si>
    <t>徐小凤</t>
  </si>
  <si>
    <t>小背篓</t>
  </si>
  <si>
    <t>小尘埃</t>
  </si>
  <si>
    <t>小船</t>
  </si>
  <si>
    <t>小孩梓找妈妈</t>
  </si>
  <si>
    <t>云南弥渡山歌</t>
  </si>
  <si>
    <t>林俊杰 / 蔡卓妍</t>
  </si>
  <si>
    <t>小清新</t>
  </si>
  <si>
    <t>Solpie feat.初音ミク</t>
  </si>
  <si>
    <t>小手牵大手</t>
  </si>
  <si>
    <t>小小虫</t>
  </si>
  <si>
    <t>小鱼</t>
  </si>
  <si>
    <t>小雨天气</t>
  </si>
  <si>
    <t>徐梦圆</t>
  </si>
  <si>
    <t>小冤家</t>
  </si>
  <si>
    <t>写不完的温柔</t>
  </si>
  <si>
    <t>血族</t>
  </si>
  <si>
    <t>辛德瑞拉</t>
  </si>
  <si>
    <t>新娘阿花</t>
  </si>
  <si>
    <t>心情预报</t>
  </si>
  <si>
    <t>新生</t>
  </si>
  <si>
    <t>新西部爱情</t>
  </si>
  <si>
    <t>心引力</t>
  </si>
  <si>
    <t>心战</t>
  </si>
  <si>
    <t>蝶々P feat. GUMI</t>
  </si>
  <si>
    <t>幸福合作社</t>
  </si>
  <si>
    <t>幸福了 然后呢</t>
  </si>
  <si>
    <t>醒过来</t>
  </si>
  <si>
    <t>星空剪影</t>
  </si>
  <si>
    <t>星期五见面</t>
  </si>
  <si>
    <t>星象仪</t>
  </si>
  <si>
    <t>大塚愛</t>
  </si>
  <si>
    <t>星星和雨的夜</t>
  </si>
  <si>
    <t>星夜加冕</t>
  </si>
  <si>
    <t>星之所在</t>
  </si>
  <si>
    <t>亚特兰提斯</t>
  </si>
  <si>
    <t>崖の上のポニョ</t>
  </si>
  <si>
    <t>洋葱</t>
  </si>
  <si>
    <t>阳光彩虹小白马</t>
  </si>
  <si>
    <t>阳光下的星星</t>
  </si>
  <si>
    <t>阳台上</t>
  </si>
  <si>
    <t>仰望</t>
  </si>
  <si>
    <t>羊腰子的传说</t>
  </si>
  <si>
    <t>幺妹儿冯宝宝</t>
  </si>
  <si>
    <t>要说什么</t>
  </si>
  <si>
    <t>AKB48</t>
  </si>
  <si>
    <t>夜访吸血鬼</t>
  </si>
  <si>
    <t>夜后咏叹调</t>
  </si>
  <si>
    <t>夜空中最亮的星</t>
  </si>
  <si>
    <t>夜晚</t>
  </si>
  <si>
    <t>夜莺</t>
  </si>
  <si>
    <t>一场烟火表演</t>
  </si>
  <si>
    <t>钟声</t>
  </si>
  <si>
    <t>一点点喜欢</t>
  </si>
  <si>
    <t>一个</t>
  </si>
  <si>
    <t>一格格</t>
  </si>
  <si>
    <t>卫兰</t>
  </si>
  <si>
    <t>黄铃凯</t>
  </si>
  <si>
    <t>叶琼琳</t>
  </si>
  <si>
    <t>周华健 / 蒋一侨</t>
  </si>
  <si>
    <t>一个人想你</t>
  </si>
  <si>
    <t>一个人想着一个人</t>
  </si>
  <si>
    <t>一路之下</t>
  </si>
  <si>
    <t>一起去巴黎</t>
  </si>
  <si>
    <t>一起向未来</t>
  </si>
  <si>
    <t>易烊千玺</t>
  </si>
  <si>
    <t>一想到你呀</t>
  </si>
  <si>
    <t>一眼瞬间</t>
  </si>
  <si>
    <t>一夜</t>
  </si>
  <si>
    <t>徐嘉蔚</t>
  </si>
  <si>
    <t>以梓之名</t>
  </si>
  <si>
    <t>因爱痴狂</t>
  </si>
  <si>
    <t>陈奕迅 / 王菲</t>
  </si>
  <si>
    <t>因为单身的缘故</t>
  </si>
  <si>
    <t>阴阳先生</t>
  </si>
  <si>
    <t>ilem feat.洛天依/言和</t>
  </si>
  <si>
    <t>蝇</t>
  </si>
  <si>
    <t>桜の花になろう</t>
  </si>
  <si>
    <t>拥抱</t>
  </si>
  <si>
    <t>拥抱你</t>
  </si>
  <si>
    <t>勇士战斗吧</t>
  </si>
  <si>
    <t>诱</t>
  </si>
  <si>
    <t>又唱浏阳河</t>
  </si>
  <si>
    <t>有你的快乐</t>
  </si>
  <si>
    <t>有你陪着我</t>
  </si>
  <si>
    <t>浜崎あゆみ</t>
  </si>
  <si>
    <t>有你我不怕</t>
  </si>
  <si>
    <t>有你真好</t>
  </si>
  <si>
    <t>有人</t>
  </si>
  <si>
    <t>有我呢</t>
  </si>
  <si>
    <t>郭一凡</t>
  </si>
  <si>
    <t>有一个姑娘</t>
  </si>
  <si>
    <t>犹豫</t>
  </si>
  <si>
    <t>悠哉日常 悠哉 悠哉</t>
  </si>
  <si>
    <t>宮内れんげ(小岩井ことり)/一条蛍(村川梨衣)/越谷夏海(佐倉綾音)/越谷小鞠(阿澄佳奈)</t>
  </si>
  <si>
    <t>遇见你</t>
  </si>
  <si>
    <t>遇见我</t>
  </si>
  <si>
    <t>娱乐天空</t>
  </si>
  <si>
    <t>玉生烟</t>
  </si>
  <si>
    <t>雨是甜的</t>
  </si>
  <si>
    <t>寓言</t>
  </si>
  <si>
    <t>寓言+引路的风筝</t>
  </si>
  <si>
    <t>缘分一道桥</t>
  </si>
  <si>
    <t>王力宏 / 谭维维</t>
  </si>
  <si>
    <t>原来你什么都不要</t>
  </si>
  <si>
    <t>金弦</t>
  </si>
  <si>
    <t>越来越好</t>
  </si>
  <si>
    <t>月亮忘了</t>
  </si>
  <si>
    <t>月亮之上</t>
  </si>
  <si>
    <t>月球风格爱情</t>
  </si>
  <si>
    <t>贼</t>
  </si>
  <si>
    <t>怎么说我不爱你</t>
  </si>
  <si>
    <t>朝汐</t>
  </si>
  <si>
    <t>泠鸢 / 双笙</t>
  </si>
  <si>
    <t>这个人已经与我无关</t>
  </si>
  <si>
    <t>这么近那么远</t>
  </si>
  <si>
    <t>真没睡</t>
  </si>
  <si>
    <t>证据</t>
  </si>
  <si>
    <t>飞轮海 / 田馥甄</t>
  </si>
  <si>
    <t>郁可唯 / 胡夏</t>
  </si>
  <si>
    <t>致姗姗来迟的你</t>
  </si>
  <si>
    <t>阿肆 / 林宥嘉</t>
  </si>
  <si>
    <t>知心爱人</t>
  </si>
  <si>
    <t>中毒</t>
  </si>
  <si>
    <t>重来</t>
  </si>
  <si>
    <t>终身大事</t>
  </si>
  <si>
    <t>周大侠</t>
  </si>
  <si>
    <t>主播泪</t>
  </si>
  <si>
    <t>祝福你</t>
  </si>
  <si>
    <t>祝你爱我到天荒地老</t>
  </si>
  <si>
    <t>追梦赤子心</t>
  </si>
  <si>
    <t>梓大侠（肥宅雪橇版）</t>
  </si>
  <si>
    <t>梓大侠（EX萌新版）</t>
  </si>
  <si>
    <t>自由</t>
  </si>
  <si>
    <t>自由飞翔</t>
  </si>
  <si>
    <t>走</t>
  </si>
  <si>
    <t>康姆士乐队</t>
  </si>
  <si>
    <t>走钢索的人</t>
  </si>
  <si>
    <t>走了</t>
  </si>
  <si>
    <t>钻石</t>
  </si>
  <si>
    <t>最好的爱煞人武器</t>
  </si>
  <si>
    <t>最好的我</t>
  </si>
  <si>
    <t>最好的我们</t>
  </si>
  <si>
    <t>最寂寞的时候</t>
  </si>
  <si>
    <t>最近比较烦</t>
  </si>
  <si>
    <t>最熟悉的陌生人</t>
  </si>
  <si>
    <t>最新西部爱情</t>
  </si>
  <si>
    <t>最幸运的人</t>
  </si>
  <si>
    <t>あんずの花</t>
  </si>
  <si>
    <t>おとなの掟</t>
  </si>
  <si>
    <t>가애송</t>
  </si>
  <si>
    <t>밤(보고 싶은 가 밤)</t>
  </si>
  <si>
    <t>우유쏭</t>
  </si>
  <si>
    <t>Azi</t>
    <phoneticPr fontId="1" type="noConversion"/>
  </si>
  <si>
    <t>ラブリーサマーちゃん feat. 泉まくら</t>
    <phoneticPr fontId="1" type="noConversion"/>
  </si>
  <si>
    <t>说唱</t>
  </si>
  <si>
    <t>戏曲</t>
  </si>
  <si>
    <t>歌剧</t>
  </si>
  <si>
    <t>安雯</t>
  </si>
  <si>
    <t>安雯</t>
    <phoneticPr fontId="1" type="noConversion"/>
  </si>
  <si>
    <t>张学友</t>
    <phoneticPr fontId="1" type="noConversion"/>
  </si>
  <si>
    <t>秋意浓</t>
    <phoneticPr fontId="1" type="noConversion"/>
  </si>
  <si>
    <t>张艾嘉</t>
  </si>
  <si>
    <t>b</t>
    <phoneticPr fontId="1" type="noConversion"/>
  </si>
  <si>
    <t>style</t>
    <phoneticPr fontId="1" type="noConversion"/>
  </si>
  <si>
    <t>lan</t>
    <phoneticPr fontId="1" type="noConversion"/>
  </si>
  <si>
    <t>国风</t>
    <phoneticPr fontId="1" type="noConversion"/>
  </si>
  <si>
    <t>谭维维、韩磊</t>
    <phoneticPr fontId="1" type="noConversion"/>
  </si>
  <si>
    <t>民族</t>
    <phoneticPr fontId="1" type="noConversion"/>
  </si>
  <si>
    <t>日系</t>
    <phoneticPr fontId="1" type="noConversion"/>
  </si>
  <si>
    <t>流行,音乐剧</t>
  </si>
  <si>
    <t>美声,流行</t>
  </si>
  <si>
    <t>流行,RAP</t>
  </si>
  <si>
    <t>美声,民族</t>
  </si>
  <si>
    <t>流行,古风</t>
  </si>
  <si>
    <t>流行,儿歌</t>
  </si>
  <si>
    <t>国语</t>
    <phoneticPr fontId="1" type="noConversion"/>
  </si>
  <si>
    <t>日语</t>
    <phoneticPr fontId="1" type="noConversion"/>
  </si>
  <si>
    <t>英语</t>
    <phoneticPr fontId="1" type="noConversion"/>
  </si>
  <si>
    <t>韩语</t>
    <phoneticPr fontId="1" type="noConversion"/>
  </si>
  <si>
    <t>俄语</t>
    <phoneticPr fontId="1" type="noConversion"/>
  </si>
  <si>
    <t>Turst me</t>
    <phoneticPr fontId="1" type="noConversion"/>
  </si>
  <si>
    <t>流行</t>
    <phoneticPr fontId="1" type="noConversion"/>
  </si>
  <si>
    <t>国风,戏腔</t>
  </si>
  <si>
    <t>儿歌</t>
    <phoneticPr fontId="1" type="noConversion"/>
  </si>
  <si>
    <t>意大利语</t>
    <phoneticPr fontId="1" type="noConversion"/>
  </si>
  <si>
    <t>歌剧</t>
    <phoneticPr fontId="1" type="noConversion"/>
  </si>
  <si>
    <t>Say So</t>
    <phoneticPr fontId="1" type="noConversion"/>
  </si>
  <si>
    <t>Intorno all'idol mio</t>
    <phoneticPr fontId="1" type="noConversion"/>
  </si>
  <si>
    <t>Teresa Berganza,Felix Lavilla</t>
    <phoneticPr fontId="1" type="noConversion"/>
  </si>
  <si>
    <t>毛宁</t>
  </si>
  <si>
    <t>毛宁</t>
    <phoneticPr fontId="1" type="noConversion"/>
  </si>
  <si>
    <t>一口/The Day You Left Me</t>
    <phoneticPr fontId="1" type="noConversion"/>
  </si>
  <si>
    <t>谢东风(恬淡悠然)</t>
  </si>
  <si>
    <t>外婆的澎湖灣</t>
    <phoneticPr fontId="1" type="noConversion"/>
  </si>
  <si>
    <t>童年</t>
    <phoneticPr fontId="1" type="noConversion"/>
  </si>
  <si>
    <t>童年回忆</t>
    <phoneticPr fontId="1" type="noConversion"/>
  </si>
  <si>
    <t>外婆的澎湖灣</t>
    <phoneticPr fontId="1" type="noConversion"/>
  </si>
  <si>
    <t>外婆的澎湖湾</t>
    <phoneticPr fontId="1" type="noConversion"/>
  </si>
  <si>
    <t>国风,戏腔,美声,民族,R&amp;B,歌剧</t>
    <phoneticPr fontId="1" type="noConversion"/>
  </si>
  <si>
    <t>修改</t>
    <phoneticPr fontId="1" type="noConversion"/>
  </si>
  <si>
    <t>谢东风</t>
    <phoneticPr fontId="1" type="noConversion"/>
  </si>
  <si>
    <t>说说Crystal</t>
    <phoneticPr fontId="1" type="noConversion"/>
  </si>
  <si>
    <t>国风</t>
    <phoneticPr fontId="16" type="noConversion"/>
  </si>
  <si>
    <t>美声</t>
    <phoneticPr fontId="16" type="noConversion"/>
  </si>
  <si>
    <t>这个是串烧，不止说说一人</t>
    <phoneticPr fontId="16" type="noConversion"/>
  </si>
  <si>
    <t>美声？</t>
    <phoneticPr fontId="16" type="noConversion"/>
  </si>
  <si>
    <t>民族</t>
    <phoneticPr fontId="16" type="noConversion"/>
  </si>
  <si>
    <t>民族？</t>
    <phoneticPr fontId="16" type="noConversion"/>
  </si>
  <si>
    <t>民谣？</t>
    <phoneticPr fontId="16" type="noConversion"/>
  </si>
  <si>
    <t>国风？</t>
    <phoneticPr fontId="16" type="noConversion"/>
  </si>
  <si>
    <t>童年回忆</t>
    <phoneticPr fontId="16" type="noConversion"/>
  </si>
  <si>
    <t>儿歌</t>
    <phoneticPr fontId="16" type="noConversion"/>
  </si>
  <si>
    <t>时代曲</t>
    <phoneticPr fontId="16" type="noConversion"/>
  </si>
  <si>
    <t>喊麦</t>
    <phoneticPr fontId="16" type="noConversion"/>
  </si>
  <si>
    <t>玛依拉</t>
    <phoneticPr fontId="16" type="noConversion"/>
  </si>
  <si>
    <t>玛依拉变奏曲</t>
    <phoneticPr fontId="16" type="noConversion"/>
  </si>
  <si>
    <t>应该是原创曲</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</si>
</sst>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7">
    <font>
      <sz val="11"/>
      <color theme="1"/>
      <name val="宋体"/>
      <family val="2"/>
      <scheme val="minor"/>
    </font>
    <font>
      <sz val="9"/>
      <name val="宋体"/>
      <family val="3"/>
      <charset val="134"/>
      <scheme val="minor"/>
    </font>
    <font>
      <u/>
      <sz val="11"/>
      <color theme="10"/>
      <name val="宋体"/>
      <family val="2"/>
      <scheme val="minor"/>
    </font>
    <font>
      <b/>
      <sz val="11"/>
      <name val="宋体"/>
      <family val="3"/>
      <charset val="134"/>
    </font>
    <font>
      <b/>
      <sz val="11"/>
      <color theme="1"/>
      <name val="宋体"/>
      <family val="3"/>
      <charset val="134"/>
      <scheme val="minor"/>
    </font>
    <font>
      <b/>
      <sz val="11"/>
      <name val="Microsoft YaHei UI"/>
      <family val="2"/>
      <charset val="134"/>
    </font>
    <font>
      <sz val="11"/>
      <color theme="1"/>
      <name val="Microsoft YaHei UI"/>
      <family val="2"/>
      <charset val="134"/>
    </font>
    <font>
      <sz val="9"/>
      <color rgb="FF333333"/>
      <name val="Arial"/>
      <family val="2"/>
    </font>
    <font>
      <sz val="10"/>
      <color theme="1"/>
      <name val="Arial"/>
      <family val="2"/>
    </font>
    <font>
      <sz val="11"/>
      <color rgb="FF000000"/>
      <name val="Microsoft YaHei UI"/>
      <family val="2"/>
      <charset val="134"/>
    </font>
    <font>
      <sz val="11"/>
      <name val="Microsoft YaHei UI"/>
      <family val="2"/>
      <charset val="134"/>
    </font>
    <font>
      <b/>
      <sz val="11"/>
      <color theme="1"/>
      <name val="Microsoft YaHei UI"/>
      <family val="2"/>
      <charset val="134"/>
    </font>
    <font>
      <b/>
      <sz val="11"/>
      <color rgb="FF0070C0"/>
      <name val="Microsoft YaHei UI"/>
      <family val="2"/>
      <charset val="134"/>
    </font>
    <font>
      <sz val="11"/>
      <color rgb="FF0070C0"/>
      <name val="Microsoft YaHei UI"/>
      <family val="2"/>
      <charset val="134"/>
    </font>
    <font>
      <sz val="8"/>
      <color rgb="FF111111"/>
      <name val="微软雅黑"/>
      <family val="2"/>
      <charset val="134"/>
    </font>
    <font>
      <sz val="11"/>
      <color theme="1"/>
      <name val="宋体"/>
      <family val="2"/>
      <charset val="134"/>
      <scheme val="minor"/>
    </font>
    <font>
      <sz val="9"/>
      <name val="宋体"/>
      <family val="2"/>
      <charset val="134"/>
      <scheme val="minor"/>
    </font>
    <font>
      <sz val="11"/>
      <color theme="1"/>
      <name val="宋体"/>
      <family val="3"/>
      <charset val="134"/>
      <scheme val="minor"/>
    </font>
    <font>
      <b/>
      <sz val="11"/>
      <color rgb="FFFF0000"/>
      <name val="宋体"/>
      <family val="3"/>
      <charset val="134"/>
      <scheme val="minor"/>
    </font>
    <font>
      <sz val="11"/>
      <color rgb="FFFF0000"/>
      <name val="宋体"/>
      <family val="3"/>
      <charset val="134"/>
      <scheme val="minor"/>
    </font>
    <font>
      <sz val="11"/>
      <color rgb="FF000000"/>
      <name val="等线"/>
      <family val="3"/>
      <charset val="134"/>
    </font>
    <font>
      <sz val="11"/>
      <color rgb="FF000000"/>
      <name val="宋体"/>
      <family val="3"/>
      <charset val="134"/>
      <scheme val="minor"/>
    </font>
    <font>
      <sz val="10"/>
      <color rgb="FF000000"/>
      <name val="宋体"/>
      <family val="3"/>
      <charset val="134"/>
      <scheme val="minor"/>
    </font>
    <font>
      <sz val="11"/>
      <color rgb="FFDE322C"/>
      <name val="等线"/>
      <family val="3"/>
      <charset val="134"/>
    </font>
    <font>
      <sz val="11"/>
      <color rgb="FF000000"/>
      <name val="Helvetica Neue"/>
      <family val="2"/>
    </font>
    <font>
      <b/>
      <sz val="11"/>
      <color rgb="FF000000"/>
      <name val="宋体"/>
      <family val="3"/>
      <charset val="134"/>
      <scheme val="minor"/>
    </font>
    <font>
      <sz val="11"/>
      <color theme="1"/>
      <name val="宋体"/>
      <family val="2"/>
      <scheme val="minor"/>
    </font>
  </fonts>
  <fills count="6">
    <fill>
      <patternFill patternType="none"/>
    </fill>
    <fill>
      <patternFill patternType="gray125"/>
    </fill>
    <fill>
      <patternFill patternType="solid">
        <fgColor theme="6" tint="0.39997558519241921"/>
        <bgColor indexed="64"/>
      </patternFill>
    </fill>
    <fill>
      <patternFill patternType="solid">
        <fgColor rgb="FFFFE9E8"/>
        <bgColor indexed="64"/>
      </patternFill>
    </fill>
    <fill>
      <patternFill patternType="solid">
        <fgColor theme="0" tint="-0.34998626667073579"/>
        <bgColor indexed="64"/>
      </patternFill>
    </fill>
    <fill>
      <patternFill patternType="solid">
        <fgColor rgb="FFA6A6A6"/>
        <bgColor rgb="FF000000"/>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bottom/>
      <diagonal/>
    </border>
    <border>
      <left/>
      <right style="thin">
        <color auto="1"/>
      </right>
      <top/>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s>
  <cellStyleXfs count="3">
    <xf numFmtId="0" fontId="0" fillId="0" borderId="0"/>
    <xf numFmtId="0" fontId="2" fillId="0" borderId="0"/>
    <xf numFmtId="0" fontId="15" fillId="0" borderId="0">
      <alignment vertical="center"/>
    </xf>
  </cellStyleXfs>
  <cellXfs count="77">
    <xf numFmtId="0" fontId="0" fillId="0" borderId="0" xfId="0"/>
    <xf numFmtId="0" fontId="0" fillId="0" borderId="0" xfId="0" applyAlignment="1">
      <alignment horizontal="center"/>
    </xf>
    <xf numFmtId="0" fontId="4" fillId="0" borderId="0" xfId="0" applyFont="1" applyAlignment="1">
      <alignment vertical="center"/>
    </xf>
    <xf numFmtId="0" fontId="5" fillId="0" borderId="1" xfId="0" applyFont="1" applyBorder="1" applyAlignment="1">
      <alignment horizontal="center" vertical="center"/>
    </xf>
    <xf numFmtId="0" fontId="6" fillId="0" borderId="0" xfId="0" applyFont="1"/>
    <xf numFmtId="0" fontId="6" fillId="0" borderId="0" xfId="0" applyFont="1" applyAlignment="1">
      <alignment horizontal="center"/>
    </xf>
    <xf numFmtId="0" fontId="5" fillId="0" borderId="2" xfId="0" applyFont="1" applyBorder="1" applyAlignment="1">
      <alignment horizontal="center" vertical="center"/>
    </xf>
    <xf numFmtId="0" fontId="2" fillId="0" borderId="0" xfId="1"/>
    <xf numFmtId="0" fontId="4" fillId="0" borderId="0" xfId="0" applyFont="1"/>
    <xf numFmtId="0" fontId="8" fillId="0" borderId="0" xfId="0" applyFont="1"/>
    <xf numFmtId="0" fontId="9" fillId="0" borderId="0" xfId="0" applyFont="1"/>
    <xf numFmtId="0" fontId="5" fillId="0" borderId="4" xfId="0" applyFont="1" applyBorder="1" applyAlignment="1">
      <alignment horizontal="center" vertical="top"/>
    </xf>
    <xf numFmtId="176" fontId="5" fillId="0" borderId="3" xfId="0" applyNumberFormat="1" applyFont="1" applyBorder="1" applyAlignment="1">
      <alignment horizontal="center" vertical="center"/>
    </xf>
    <xf numFmtId="0" fontId="6" fillId="0" borderId="0" xfId="0" applyFont="1" applyAlignment="1">
      <alignment horizontal="center" vertical="center"/>
    </xf>
    <xf numFmtId="0" fontId="10" fillId="0" borderId="1" xfId="0" applyFont="1" applyBorder="1" applyAlignment="1">
      <alignment horizontal="center" vertical="top"/>
    </xf>
    <xf numFmtId="0" fontId="5" fillId="0" borderId="1" xfId="0" applyFont="1" applyBorder="1" applyAlignment="1">
      <alignment horizontal="center" vertical="top"/>
    </xf>
    <xf numFmtId="176" fontId="6" fillId="0" borderId="0" xfId="0" applyNumberFormat="1" applyFont="1"/>
    <xf numFmtId="0" fontId="11" fillId="0" borderId="0" xfId="0" applyFont="1"/>
    <xf numFmtId="0" fontId="6" fillId="0" borderId="0" xfId="0" applyFont="1" applyAlignment="1">
      <alignment vertical="center"/>
    </xf>
    <xf numFmtId="0" fontId="0" fillId="0" borderId="0" xfId="0" applyAlignment="1">
      <alignment vertical="center"/>
    </xf>
    <xf numFmtId="0" fontId="7" fillId="0" borderId="0" xfId="0" applyFont="1" applyAlignment="1">
      <alignment vertical="center"/>
    </xf>
    <xf numFmtId="0" fontId="3" fillId="0" borderId="1" xfId="0" applyFont="1" applyBorder="1" applyAlignment="1">
      <alignment vertical="center"/>
    </xf>
    <xf numFmtId="0" fontId="5" fillId="0" borderId="1" xfId="0" applyFont="1" applyBorder="1" applyAlignment="1">
      <alignment vertical="center"/>
    </xf>
    <xf numFmtId="0" fontId="12" fillId="0" borderId="2" xfId="0" applyFont="1" applyBorder="1" applyAlignment="1">
      <alignment horizontal="center" vertical="center"/>
    </xf>
    <xf numFmtId="0" fontId="13" fillId="0" borderId="0" xfId="0" applyFont="1"/>
    <xf numFmtId="0" fontId="14" fillId="0" borderId="0" xfId="0" applyFont="1"/>
    <xf numFmtId="0" fontId="15" fillId="0" borderId="0" xfId="2">
      <alignment vertical="center"/>
    </xf>
    <xf numFmtId="0" fontId="4" fillId="0" borderId="0" xfId="0" quotePrefix="1" applyFont="1" applyAlignment="1">
      <alignment vertical="center"/>
    </xf>
    <xf numFmtId="0" fontId="17" fillId="0" borderId="0" xfId="0" applyFont="1" applyAlignment="1">
      <alignment vertical="center"/>
    </xf>
    <xf numFmtId="0" fontId="17" fillId="0" borderId="0" xfId="0" applyFont="1"/>
    <xf numFmtId="0" fontId="18" fillId="0" borderId="0" xfId="0" applyFont="1" applyAlignment="1">
      <alignment vertical="center"/>
    </xf>
    <xf numFmtId="0" fontId="19" fillId="0" borderId="0" xfId="0" applyFont="1" applyAlignment="1">
      <alignment vertical="center"/>
    </xf>
    <xf numFmtId="0" fontId="6" fillId="2" borderId="0" xfId="0" applyFont="1" applyFill="1"/>
    <xf numFmtId="0" fontId="4" fillId="2" borderId="0" xfId="0" applyFont="1" applyFill="1"/>
    <xf numFmtId="0" fontId="20" fillId="0" borderId="0" xfId="0" applyFont="1" applyAlignment="1">
      <alignment horizontal="left" vertical="center"/>
    </xf>
    <xf numFmtId="0" fontId="20" fillId="0" borderId="0" xfId="0" applyFont="1" applyAlignment="1">
      <alignment horizontal="right" vertical="center"/>
    </xf>
    <xf numFmtId="0" fontId="21" fillId="0" borderId="0" xfId="0" applyFont="1" applyAlignment="1">
      <alignment horizontal="left" vertical="center"/>
    </xf>
    <xf numFmtId="0" fontId="22" fillId="0" borderId="0" xfId="0" applyFont="1" applyAlignment="1">
      <alignment vertical="center"/>
    </xf>
    <xf numFmtId="0" fontId="21" fillId="0" borderId="0" xfId="0" applyFont="1" applyAlignment="1">
      <alignment vertical="center"/>
    </xf>
    <xf numFmtId="0" fontId="20" fillId="0" borderId="0" xfId="0" applyFont="1" applyAlignment="1">
      <alignment vertical="center"/>
    </xf>
    <xf numFmtId="0" fontId="23" fillId="3" borderId="0" xfId="0" applyFont="1" applyFill="1" applyAlignment="1">
      <alignment horizontal="left" vertical="center"/>
    </xf>
    <xf numFmtId="0" fontId="24" fillId="0" borderId="0" xfId="0" applyFont="1" applyAlignment="1">
      <alignment horizontal="left" vertical="center"/>
    </xf>
    <xf numFmtId="0" fontId="5" fillId="4" borderId="1" xfId="0" applyFont="1" applyFill="1" applyBorder="1" applyAlignment="1">
      <alignment horizontal="center" vertical="center"/>
    </xf>
    <xf numFmtId="0" fontId="3" fillId="4" borderId="1" xfId="0" applyFont="1" applyFill="1" applyBorder="1" applyAlignment="1">
      <alignment vertical="center"/>
    </xf>
    <xf numFmtId="0" fontId="5" fillId="4" borderId="1" xfId="0" applyFont="1" applyFill="1" applyBorder="1" applyAlignment="1">
      <alignment vertical="center"/>
    </xf>
    <xf numFmtId="0" fontId="4" fillId="4" borderId="0" xfId="0" applyFont="1" applyFill="1" applyAlignment="1">
      <alignment vertical="center"/>
    </xf>
    <xf numFmtId="0" fontId="6" fillId="4" borderId="0" xfId="0" applyFont="1" applyFill="1"/>
    <xf numFmtId="0" fontId="0" fillId="4" borderId="0" xfId="0" applyFill="1"/>
    <xf numFmtId="0" fontId="0" fillId="4" borderId="0" xfId="0" applyFill="1" applyAlignment="1">
      <alignment vertical="center"/>
    </xf>
    <xf numFmtId="0" fontId="4" fillId="4" borderId="0" xfId="0" applyFont="1" applyFill="1"/>
    <xf numFmtId="0" fontId="8" fillId="4" borderId="0" xfId="0" applyFont="1" applyFill="1"/>
    <xf numFmtId="0" fontId="14" fillId="4" borderId="0" xfId="0" applyFont="1" applyFill="1"/>
    <xf numFmtId="0" fontId="9" fillId="4" borderId="0" xfId="0" applyFont="1" applyFill="1"/>
    <xf numFmtId="0" fontId="17" fillId="4" borderId="0" xfId="0" applyFont="1" applyFill="1"/>
    <xf numFmtId="0" fontId="0" fillId="4" borderId="0" xfId="0" applyFill="1" applyAlignment="1">
      <alignment horizontal="center"/>
    </xf>
    <xf numFmtId="0" fontId="5" fillId="4" borderId="5" xfId="0" applyFont="1" applyFill="1" applyBorder="1" applyAlignment="1">
      <alignment horizontal="center" vertical="center"/>
    </xf>
    <xf numFmtId="0" fontId="17" fillId="4" borderId="1" xfId="0" applyFont="1" applyFill="1" applyBorder="1" applyAlignment="1">
      <alignment vertical="center"/>
    </xf>
    <xf numFmtId="0" fontId="4" fillId="4" borderId="1" xfId="0" quotePrefix="1" applyFont="1" applyFill="1" applyBorder="1" applyAlignment="1">
      <alignment vertical="center"/>
    </xf>
    <xf numFmtId="0" fontId="4" fillId="4" borderId="1" xfId="0" applyFont="1" applyFill="1" applyBorder="1" applyAlignment="1">
      <alignment vertical="center"/>
    </xf>
    <xf numFmtId="0" fontId="6" fillId="4" borderId="1" xfId="0" applyFont="1" applyFill="1" applyBorder="1" applyAlignment="1">
      <alignment vertical="center"/>
    </xf>
    <xf numFmtId="0" fontId="6" fillId="4" borderId="1" xfId="0" applyFont="1" applyFill="1" applyBorder="1"/>
    <xf numFmtId="0" fontId="6" fillId="4" borderId="1" xfId="0" applyFont="1" applyFill="1" applyBorder="1" applyAlignment="1">
      <alignment horizontal="center"/>
    </xf>
    <xf numFmtId="0" fontId="0" fillId="4" borderId="1" xfId="0" applyFill="1" applyBorder="1"/>
    <xf numFmtId="0" fontId="18" fillId="4" borderId="1" xfId="0" applyFont="1" applyFill="1" applyBorder="1" applyAlignment="1">
      <alignment vertical="center"/>
    </xf>
    <xf numFmtId="0" fontId="0" fillId="4" borderId="1" xfId="0" applyFill="1" applyBorder="1" applyAlignment="1">
      <alignment vertical="center"/>
    </xf>
    <xf numFmtId="0" fontId="4" fillId="4" borderId="1" xfId="0" applyFont="1" applyFill="1" applyBorder="1"/>
    <xf numFmtId="0" fontId="7" fillId="4" borderId="1" xfId="0" applyFont="1" applyFill="1" applyBorder="1" applyAlignment="1">
      <alignment vertical="center"/>
    </xf>
    <xf numFmtId="0" fontId="2" fillId="4" borderId="1" xfId="1" applyFill="1" applyBorder="1"/>
    <xf numFmtId="0" fontId="19" fillId="4" borderId="1" xfId="0" applyFont="1" applyFill="1" applyBorder="1" applyAlignment="1">
      <alignment vertical="center"/>
    </xf>
    <xf numFmtId="0" fontId="17" fillId="4" borderId="1" xfId="0" applyFont="1" applyFill="1" applyBorder="1"/>
    <xf numFmtId="0" fontId="21" fillId="5" borderId="1" xfId="0" applyFont="1" applyFill="1" applyBorder="1"/>
    <xf numFmtId="0" fontId="25" fillId="5" borderId="6" xfId="0" applyFont="1" applyFill="1" applyBorder="1" applyAlignment="1">
      <alignment vertical="center"/>
    </xf>
    <xf numFmtId="0" fontId="15" fillId="0" borderId="0" xfId="2" applyAlignment="1"/>
    <xf numFmtId="0" fontId="6" fillId="4" borderId="0" xfId="2" applyFont="1" applyFill="1" applyAlignment="1"/>
    <xf numFmtId="0" fontId="6" fillId="0" borderId="0" xfId="2" applyFont="1" applyAlignment="1"/>
    <xf numFmtId="0" fontId="11" fillId="0" borderId="0" xfId="2" applyFont="1" applyAlignment="1"/>
    <xf numFmtId="0" fontId="26" fillId="0" borderId="0" xfId="2" applyFont="1" applyAlignment="1"/>
  </cellXfs>
  <cellStyles count="3">
    <cellStyle name="常规" xfId="0" builtinId="0"/>
    <cellStyle name="常规 2" xfId="2" xr:uid="{170C0B58-1134-4B37-9905-56A63C6490CC}"/>
    <cellStyle name="超链接" xfId="1" builtinId="8"/>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582630</xdr:colOff>
      <xdr:row>0</xdr:row>
      <xdr:rowOff>0</xdr:rowOff>
    </xdr:from>
    <xdr:to>
      <xdr:col>24</xdr:col>
      <xdr:colOff>390039</xdr:colOff>
      <xdr:row>38</xdr:row>
      <xdr:rowOff>78657</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468830" y="0"/>
          <a:ext cx="11466009" cy="6593757"/>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0.hdslb.com/bfs/station_src/music_metadata/657c63920e8cf9a7db4753eb939d1dce.jpg" TargetMode="External"/><Relationship Id="rId7" Type="http://schemas.openxmlformats.org/officeDocument/2006/relationships/hyperlink" Target="http://i0.hdslb.com/bfs/station_src/music_metadata/cc9d25959002c83353dc8136c2546bf3" TargetMode="External"/><Relationship Id="rId2" Type="http://schemas.openxmlformats.org/officeDocument/2006/relationships/hyperlink" Target="http://i0.hdslb.com/bfs/station_src/music_metadata/118b3cbdbc9aeb5dc89685ab0f853a01.jpg" TargetMode="External"/><Relationship Id="rId1" Type="http://schemas.openxmlformats.org/officeDocument/2006/relationships/hyperlink" Target="https://baike.baidu.com/item/HOYO-MiX/15441055?fromModule=lemma_inlink" TargetMode="External"/><Relationship Id="rId6" Type="http://schemas.openxmlformats.org/officeDocument/2006/relationships/hyperlink" Target="http://i0.hdslb.com/bfs/station_src/music_metadata/cb5f3d6bbcd195b306547344a594afc5.jpg" TargetMode="External"/><Relationship Id="rId5" Type="http://schemas.openxmlformats.org/officeDocument/2006/relationships/hyperlink" Target="https://i0.hdslb.com/bfs/station_src/music_metadata/4acca364560014e7b3320315db233f6e.jpg" TargetMode="External"/><Relationship Id="rId4" Type="http://schemas.openxmlformats.org/officeDocument/2006/relationships/hyperlink" Target="https://i0.hdslb.com/bfs/station_src/music_metadata/4a792467b412816853c15cf3351db857.jpg"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i0.hdslb.com/bfs/station_src/music_metadata/657c63920e8cf9a7db4753eb939d1dce.jpg" TargetMode="External"/><Relationship Id="rId7" Type="http://schemas.openxmlformats.org/officeDocument/2006/relationships/hyperlink" Target="http://i0.hdslb.com/bfs/station_src/music_metadata/cc9d25959002c83353dc8136c2546bf3" TargetMode="External"/><Relationship Id="rId2" Type="http://schemas.openxmlformats.org/officeDocument/2006/relationships/hyperlink" Target="http://i0.hdslb.com/bfs/station_src/music_metadata/118b3cbdbc9aeb5dc89685ab0f853a01.jpg" TargetMode="External"/><Relationship Id="rId1" Type="http://schemas.openxmlformats.org/officeDocument/2006/relationships/hyperlink" Target="https://baike.baidu.com/item/HOYO-MiX/15441055?fromModule=lemma_inlink" TargetMode="External"/><Relationship Id="rId6" Type="http://schemas.openxmlformats.org/officeDocument/2006/relationships/hyperlink" Target="http://i0.hdslb.com/bfs/station_src/music_metadata/cb5f3d6bbcd195b306547344a594afc5.jpg" TargetMode="External"/><Relationship Id="rId5" Type="http://schemas.openxmlformats.org/officeDocument/2006/relationships/hyperlink" Target="https://i0.hdslb.com/bfs/station_src/music_metadata/4acca364560014e7b3320315db233f6e.jpg" TargetMode="External"/><Relationship Id="rId4" Type="http://schemas.openxmlformats.org/officeDocument/2006/relationships/hyperlink" Target="https://i0.hdslb.com/bfs/station_src/music_metadata/4a792467b412816853c15cf3351db857.jp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i0.hdslb.com/bfs/station_src/music_metadata/657c63920e8cf9a7db4753eb939d1dce.jpg" TargetMode="External"/><Relationship Id="rId7" Type="http://schemas.openxmlformats.org/officeDocument/2006/relationships/hyperlink" Target="http://i0.hdslb.com/bfs/station_src/music_metadata/cc9d25959002c83353dc8136c2546bf3" TargetMode="External"/><Relationship Id="rId2" Type="http://schemas.openxmlformats.org/officeDocument/2006/relationships/hyperlink" Target="http://i0.hdslb.com/bfs/station_src/music_metadata/118b3cbdbc9aeb5dc89685ab0f853a01.jpg" TargetMode="External"/><Relationship Id="rId1" Type="http://schemas.openxmlformats.org/officeDocument/2006/relationships/hyperlink" Target="https://baike.baidu.com/item/HOYO-MiX/15441055?fromModule=lemma_inlink" TargetMode="External"/><Relationship Id="rId6" Type="http://schemas.openxmlformats.org/officeDocument/2006/relationships/hyperlink" Target="http://i0.hdslb.com/bfs/station_src/music_metadata/cb5f3d6bbcd195b306547344a594afc5.jpg" TargetMode="External"/><Relationship Id="rId5" Type="http://schemas.openxmlformats.org/officeDocument/2006/relationships/hyperlink" Target="https://i0.hdslb.com/bfs/station_src/music_metadata/4acca364560014e7b3320315db233f6e.jpg" TargetMode="External"/><Relationship Id="rId4" Type="http://schemas.openxmlformats.org/officeDocument/2006/relationships/hyperlink" Target="https://i0.hdslb.com/bfs/station_src/music_metadata/4a792467b412816853c15cf3351db857.jp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3ws.kugou.com/kuHao/article.html?type=1&amp;changeFrame=1&amp;id=121741"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space.bilibili.com/316443021/video?tid=0&amp;pn=21&amp;keyword=&amp;order=pubdate"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01FD3-0509-441A-B8BE-A7A11A01F327}">
  <sheetPr codeName="Sheet7" filterMode="1"/>
  <dimension ref="A1:V753"/>
  <sheetViews>
    <sheetView zoomScale="85" zoomScaleNormal="85" workbookViewId="0">
      <pane ySplit="1" topLeftCell="A2" activePane="bottomLeft" state="frozen"/>
      <selection pane="bottomLeft" activeCell="N35" sqref="N35"/>
    </sheetView>
  </sheetViews>
  <sheetFormatPr defaultRowHeight="13.5"/>
  <cols>
    <col min="1" max="1" width="11.86328125" customWidth="1"/>
    <col min="2" max="2" width="31.33203125" style="47" customWidth="1"/>
    <col min="3" max="3" width="12.73046875" style="47" customWidth="1"/>
    <col min="4" max="4" width="12.73046875" style="48" customWidth="1"/>
    <col min="5" max="5" width="12.19921875" style="48" customWidth="1"/>
    <col min="6" max="6" width="10.73046875" style="48" customWidth="1"/>
    <col min="7" max="7" width="12.53125" style="47" customWidth="1"/>
    <col min="8" max="8" width="9.73046875" style="47" customWidth="1"/>
    <col min="9" max="9" width="10.9296875" style="54" customWidth="1"/>
    <col min="10" max="10" width="20.33203125" style="47" customWidth="1"/>
    <col min="11" max="11" width="9.06640625" style="47"/>
    <col min="12" max="12" width="12.59765625" style="47" customWidth="1"/>
    <col min="13" max="13" width="15" style="47" customWidth="1"/>
    <col min="14" max="14" width="14.46484375" style="53" customWidth="1"/>
    <col min="15" max="21" width="9.06640625" style="47"/>
    <col min="22" max="22" width="29.796875" style="47" customWidth="1"/>
  </cols>
  <sheetData>
    <row r="1" spans="1:22" s="2" customFormat="1" ht="15.75" customHeight="1">
      <c r="A1" s="3" t="s">
        <v>0</v>
      </c>
      <c r="B1" s="42" t="s">
        <v>1</v>
      </c>
      <c r="C1" s="55" t="s">
        <v>2</v>
      </c>
      <c r="D1" s="43" t="s">
        <v>3</v>
      </c>
      <c r="E1" s="44" t="s">
        <v>4</v>
      </c>
      <c r="F1" s="44" t="s">
        <v>5</v>
      </c>
      <c r="G1" s="42" t="s">
        <v>6</v>
      </c>
      <c r="H1" s="42" t="s">
        <v>7</v>
      </c>
      <c r="I1" s="42" t="s">
        <v>8</v>
      </c>
      <c r="J1" s="42" t="s">
        <v>9</v>
      </c>
      <c r="K1" s="42" t="s">
        <v>10</v>
      </c>
      <c r="L1" s="42" t="s">
        <v>11</v>
      </c>
      <c r="M1" s="42" t="s">
        <v>12</v>
      </c>
      <c r="N1" s="56" t="s">
        <v>7397</v>
      </c>
      <c r="O1" s="57" t="s">
        <v>7398</v>
      </c>
      <c r="P1" s="58" t="s">
        <v>10235</v>
      </c>
      <c r="Q1" s="58" t="s">
        <v>10234</v>
      </c>
      <c r="R1" s="58"/>
      <c r="S1" s="45"/>
      <c r="T1" s="45"/>
      <c r="U1" s="45"/>
      <c r="V1" s="45"/>
    </row>
    <row r="2" spans="1:22" s="2" customFormat="1" ht="15" customHeight="1">
      <c r="A2" s="4" t="s">
        <v>13</v>
      </c>
      <c r="B2" s="46" t="s">
        <v>14</v>
      </c>
      <c r="C2" s="46" t="s">
        <v>15</v>
      </c>
      <c r="D2" s="59"/>
      <c r="E2" s="59">
        <v>0</v>
      </c>
      <c r="F2" s="59">
        <v>0</v>
      </c>
      <c r="G2" s="60" t="s">
        <v>16</v>
      </c>
      <c r="H2" s="60" t="s">
        <v>17</v>
      </c>
      <c r="I2" s="61">
        <v>129</v>
      </c>
      <c r="J2" s="60"/>
      <c r="K2" s="60" t="s">
        <v>18</v>
      </c>
      <c r="L2" s="60">
        <v>122109069</v>
      </c>
      <c r="M2" s="60"/>
      <c r="N2" s="58" t="e">
        <f>VLOOKUP(B2,歌单!B:C,2,0)</f>
        <v>#N/A</v>
      </c>
      <c r="O2" s="58">
        <f>_xlfn.IFNA(IF(IFERROR(SEARCH(N2,C2),0)&gt;0,0,1),0)</f>
        <v>1</v>
      </c>
      <c r="P2" s="62" t="s">
        <v>10246</v>
      </c>
      <c r="Q2" s="58" t="s">
        <v>10252</v>
      </c>
      <c r="R2" s="58"/>
      <c r="S2" s="45"/>
      <c r="T2" s="45"/>
      <c r="U2" s="45"/>
      <c r="V2" s="45"/>
    </row>
    <row r="3" spans="1:22" ht="15" hidden="1" customHeight="1">
      <c r="A3" s="32" t="s">
        <v>19</v>
      </c>
      <c r="B3" s="46" t="s">
        <v>20</v>
      </c>
      <c r="C3" s="46" t="s">
        <v>21</v>
      </c>
      <c r="D3" s="59"/>
      <c r="E3" s="59">
        <v>0</v>
      </c>
      <c r="F3" s="59">
        <v>0</v>
      </c>
      <c r="G3" s="60" t="s">
        <v>22</v>
      </c>
      <c r="H3" s="60" t="s">
        <v>23</v>
      </c>
      <c r="I3" s="61">
        <v>16</v>
      </c>
      <c r="J3" s="60"/>
      <c r="K3" s="60" t="s">
        <v>24</v>
      </c>
      <c r="L3" s="60">
        <v>3227968</v>
      </c>
      <c r="M3" s="60"/>
      <c r="N3" s="63" t="str">
        <f>VLOOKUP(B3,歌单!B:C,2,0)</f>
        <v>徐佳莹</v>
      </c>
      <c r="O3" s="58">
        <f t="shared" ref="O3:O66" si="0">_xlfn.IFNA(IF(IFERROR(SEARCH(N3,C3),0)&gt;0,0,1),0)</f>
        <v>1</v>
      </c>
      <c r="P3" s="62" t="str">
        <f>VLOOKUP(B3,歌单!B:E,3,0)</f>
        <v>国语</v>
      </c>
      <c r="Q3" s="58" t="str">
        <f>VLOOKUP(B3,歌单!B:E,4,0)</f>
        <v>流行</v>
      </c>
      <c r="R3" s="62"/>
    </row>
    <row r="4" spans="1:22" ht="15" hidden="1" customHeight="1">
      <c r="A4" s="4" t="s">
        <v>25</v>
      </c>
      <c r="B4" s="46" t="s">
        <v>26</v>
      </c>
      <c r="C4" s="46" t="s">
        <v>27</v>
      </c>
      <c r="D4" s="59"/>
      <c r="E4" s="59">
        <v>72</v>
      </c>
      <c r="F4" s="59">
        <v>18</v>
      </c>
      <c r="G4" s="60" t="s">
        <v>28</v>
      </c>
      <c r="H4" s="60"/>
      <c r="I4" s="61">
        <v>51</v>
      </c>
      <c r="J4" s="60"/>
      <c r="K4" s="60" t="s">
        <v>26</v>
      </c>
      <c r="L4" s="60">
        <v>13227275</v>
      </c>
      <c r="M4" s="60"/>
      <c r="N4" s="58" t="str">
        <f>VLOOKUP(B4,歌单!B:C,2,0)</f>
        <v>徐佳莹</v>
      </c>
      <c r="O4" s="58">
        <f>_xlfn.IFNA(IF(IFERROR(SEARCH(N4,C4),0)&gt;0,0,1),0)</f>
        <v>0</v>
      </c>
      <c r="P4" s="62" t="str">
        <f>VLOOKUP(B4,歌单!B:E,3,0)</f>
        <v>国语</v>
      </c>
      <c r="Q4" s="58" t="str">
        <f>VLOOKUP(B4,歌单!B:E,4,0)</f>
        <v>流行</v>
      </c>
      <c r="R4" s="62"/>
    </row>
    <row r="5" spans="1:22" ht="15" hidden="1" customHeight="1">
      <c r="A5" s="4" t="s">
        <v>29</v>
      </c>
      <c r="B5" s="46" t="s">
        <v>30</v>
      </c>
      <c r="C5" s="46" t="s">
        <v>15</v>
      </c>
      <c r="D5" s="59"/>
      <c r="E5" s="59">
        <v>0</v>
      </c>
      <c r="F5" s="59">
        <v>0</v>
      </c>
      <c r="G5" s="60" t="s">
        <v>31</v>
      </c>
      <c r="H5" s="60" t="s">
        <v>32</v>
      </c>
      <c r="I5" s="61">
        <v>1858</v>
      </c>
      <c r="J5" s="60"/>
      <c r="K5" s="60" t="s">
        <v>33</v>
      </c>
      <c r="L5" s="60">
        <v>282780877</v>
      </c>
      <c r="M5" s="60" t="s">
        <v>34</v>
      </c>
      <c r="N5" s="58" t="str">
        <f>VLOOKUP(B5,歌单!B:C,2,0)</f>
        <v>南拳妈妈</v>
      </c>
      <c r="O5" s="58">
        <f>_xlfn.IFNA(IF(IFERROR(SEARCH(N5,C5),0)&gt;0,0,1),0)</f>
        <v>0</v>
      </c>
      <c r="P5" s="62" t="str">
        <f>VLOOKUP(B5,歌单!B:E,3,0)</f>
        <v>国语</v>
      </c>
      <c r="Q5" s="58" t="str">
        <f>VLOOKUP(B5,歌单!B:E,4,0)</f>
        <v>流行</v>
      </c>
      <c r="R5" s="62"/>
    </row>
    <row r="6" spans="1:22" ht="15" hidden="1" customHeight="1">
      <c r="A6" s="4" t="s">
        <v>35</v>
      </c>
      <c r="B6" s="46" t="s">
        <v>36</v>
      </c>
      <c r="C6" s="46" t="s">
        <v>37</v>
      </c>
      <c r="D6" s="59"/>
      <c r="E6" s="59">
        <v>0</v>
      </c>
      <c r="F6" s="59">
        <v>0</v>
      </c>
      <c r="G6" s="60" t="s">
        <v>38</v>
      </c>
      <c r="H6" s="60" t="s">
        <v>39</v>
      </c>
      <c r="I6" s="61">
        <v>938</v>
      </c>
      <c r="J6" s="60"/>
      <c r="K6" s="60" t="s">
        <v>36</v>
      </c>
      <c r="L6" s="60">
        <v>127569700</v>
      </c>
      <c r="M6" s="60"/>
      <c r="N6" s="58" t="str">
        <f>VLOOKUP(B6,歌单!B:C,2,0)</f>
        <v>卢广仲</v>
      </c>
      <c r="O6" s="58">
        <f t="shared" si="0"/>
        <v>0</v>
      </c>
      <c r="P6" s="62" t="str">
        <f>VLOOKUP(B6,歌单!B:E,3,0)</f>
        <v>国语</v>
      </c>
      <c r="Q6" s="58" t="str">
        <f>VLOOKUP(B6,歌单!B:E,4,0)</f>
        <v>流行</v>
      </c>
      <c r="R6" s="62"/>
    </row>
    <row r="7" spans="1:22" ht="15" hidden="1" customHeight="1">
      <c r="A7" s="4" t="s">
        <v>40</v>
      </c>
      <c r="B7" s="46" t="s">
        <v>41</v>
      </c>
      <c r="C7" s="46" t="s">
        <v>42</v>
      </c>
      <c r="D7" s="59"/>
      <c r="E7" s="59">
        <v>0</v>
      </c>
      <c r="F7" s="59">
        <v>0</v>
      </c>
      <c r="G7" s="60" t="s">
        <v>43</v>
      </c>
      <c r="H7" s="60" t="s">
        <v>44</v>
      </c>
      <c r="I7" s="61">
        <v>436</v>
      </c>
      <c r="J7" s="60"/>
      <c r="K7" s="60" t="s">
        <v>45</v>
      </c>
      <c r="L7" s="60">
        <v>54926711</v>
      </c>
      <c r="M7" s="60"/>
      <c r="N7" s="58" t="str">
        <f>VLOOKUP(B7,歌单!B:C,2,0)</f>
        <v>黄龄</v>
      </c>
      <c r="O7" s="58">
        <f t="shared" si="0"/>
        <v>0</v>
      </c>
      <c r="P7" s="62" t="str">
        <f>VLOOKUP(B7,歌单!B:E,3,0)</f>
        <v>国语</v>
      </c>
      <c r="Q7" s="58" t="str">
        <f>VLOOKUP(B7,歌单!B:E,4,0)</f>
        <v>流行</v>
      </c>
      <c r="R7" s="62"/>
    </row>
    <row r="8" spans="1:22" ht="15" hidden="1" customHeight="1">
      <c r="A8" s="4" t="s">
        <v>46</v>
      </c>
      <c r="B8" s="46" t="s">
        <v>47</v>
      </c>
      <c r="C8" s="46" t="s">
        <v>21</v>
      </c>
      <c r="D8" s="59"/>
      <c r="E8" s="59">
        <v>0</v>
      </c>
      <c r="F8" s="59">
        <v>0</v>
      </c>
      <c r="G8" s="60" t="s">
        <v>48</v>
      </c>
      <c r="H8" s="60" t="s">
        <v>49</v>
      </c>
      <c r="I8" s="61">
        <v>298</v>
      </c>
      <c r="J8" s="60"/>
      <c r="K8" s="60" t="s">
        <v>47</v>
      </c>
      <c r="L8" s="60">
        <v>21106106</v>
      </c>
      <c r="M8" s="60"/>
      <c r="N8" s="58" t="str">
        <f>VLOOKUP(B8,歌单!B:C,2,0)</f>
        <v>单依纯</v>
      </c>
      <c r="O8" s="58">
        <f t="shared" si="0"/>
        <v>0</v>
      </c>
      <c r="P8" s="62" t="str">
        <f>VLOOKUP(B8,歌单!B:E,3,0)</f>
        <v>国语</v>
      </c>
      <c r="Q8" s="58" t="str">
        <f>VLOOKUP(B8,歌单!B:E,4,0)</f>
        <v>流行</v>
      </c>
      <c r="R8" s="62"/>
    </row>
    <row r="9" spans="1:22" ht="15" customHeight="1">
      <c r="A9" s="8" t="s">
        <v>50</v>
      </c>
      <c r="B9" s="46" t="s">
        <v>50</v>
      </c>
      <c r="C9" s="46" t="s">
        <v>51</v>
      </c>
      <c r="D9" s="64" t="s">
        <v>52</v>
      </c>
      <c r="E9" s="64"/>
      <c r="F9" s="58"/>
      <c r="G9" s="65"/>
      <c r="H9" s="65"/>
      <c r="I9" s="65"/>
      <c r="J9" s="65"/>
      <c r="K9" s="65"/>
      <c r="L9" s="65"/>
      <c r="M9" s="65"/>
      <c r="N9" s="58" t="e">
        <f>VLOOKUP(B9,歌单!B:C,2,0)</f>
        <v>#N/A</v>
      </c>
      <c r="O9" s="58">
        <f>_xlfn.IFNA(IF(IFERROR(SEARCH(N9,C9),0)&gt;0,0,1),0)</f>
        <v>1</v>
      </c>
      <c r="P9" s="62" t="s">
        <v>10246</v>
      </c>
      <c r="Q9" s="58" t="s">
        <v>10252</v>
      </c>
      <c r="R9" s="62"/>
    </row>
    <row r="10" spans="1:22" ht="15" customHeight="1">
      <c r="A10" s="8" t="s">
        <v>53</v>
      </c>
      <c r="B10" s="46" t="s">
        <v>53</v>
      </c>
      <c r="C10" s="46" t="s">
        <v>51</v>
      </c>
      <c r="D10" s="64" t="s">
        <v>54</v>
      </c>
      <c r="E10" s="64"/>
      <c r="F10" s="58"/>
      <c r="G10" s="65"/>
      <c r="H10" s="65"/>
      <c r="I10" s="65"/>
      <c r="J10" s="65"/>
      <c r="K10" s="65"/>
      <c r="L10" s="65"/>
      <c r="M10" s="65"/>
      <c r="N10" s="58" t="e">
        <f>VLOOKUP(B10,歌单!B:C,2,0)</f>
        <v>#N/A</v>
      </c>
      <c r="O10" s="58">
        <f t="shared" si="0"/>
        <v>1</v>
      </c>
      <c r="P10" s="62" t="s">
        <v>10246</v>
      </c>
      <c r="Q10" s="58" t="s">
        <v>10252</v>
      </c>
      <c r="R10" s="62"/>
    </row>
    <row r="11" spans="1:22" ht="15" hidden="1" customHeight="1">
      <c r="A11" s="33" t="s">
        <v>55</v>
      </c>
      <c r="B11" s="46" t="s">
        <v>55</v>
      </c>
      <c r="C11" s="46" t="s">
        <v>51</v>
      </c>
      <c r="D11" s="64" t="s">
        <v>56</v>
      </c>
      <c r="E11" s="64"/>
      <c r="F11" s="58"/>
      <c r="G11" s="65"/>
      <c r="H11" s="65"/>
      <c r="I11" s="65"/>
      <c r="J11" s="65"/>
      <c r="K11" s="65"/>
      <c r="L11" s="65"/>
      <c r="M11" s="65"/>
      <c r="N11" s="56" t="str">
        <f>VLOOKUP(B11,歌单!B:C,2,0)</f>
        <v>妮莉安/说说/纱依</v>
      </c>
      <c r="O11" s="58">
        <f>_xlfn.IFNA(IF(IFERROR(SEARCH(N11,C11),0)&gt;0,0,1),0)</f>
        <v>1</v>
      </c>
      <c r="P11" s="62" t="str">
        <f>VLOOKUP(B11,歌单!B:E,3,0)</f>
        <v>国语</v>
      </c>
      <c r="Q11" s="58" t="str">
        <f>VLOOKUP(B11,歌单!B:E,4,0)</f>
        <v>流行</v>
      </c>
      <c r="R11" s="62"/>
    </row>
    <row r="12" spans="1:22" ht="15" customHeight="1">
      <c r="A12" s="8" t="s">
        <v>57</v>
      </c>
      <c r="B12" s="46" t="s">
        <v>57</v>
      </c>
      <c r="C12" s="46" t="s">
        <v>51</v>
      </c>
      <c r="D12" s="64" t="s">
        <v>58</v>
      </c>
      <c r="E12" s="64"/>
      <c r="F12" s="58"/>
      <c r="G12" s="65"/>
      <c r="H12" s="65"/>
      <c r="I12" s="65"/>
      <c r="J12" s="65"/>
      <c r="K12" s="65"/>
      <c r="L12" s="65"/>
      <c r="M12" s="65"/>
      <c r="N12" s="58" t="e">
        <f>VLOOKUP(B12,歌单!B:C,2,0)</f>
        <v>#N/A</v>
      </c>
      <c r="O12" s="58">
        <f t="shared" si="0"/>
        <v>1</v>
      </c>
      <c r="P12" s="62" t="s">
        <v>10246</v>
      </c>
      <c r="Q12" s="58" t="s">
        <v>10252</v>
      </c>
      <c r="R12" s="62"/>
    </row>
    <row r="13" spans="1:22" ht="15" hidden="1" customHeight="1">
      <c r="A13" s="8" t="s">
        <v>59</v>
      </c>
      <c r="B13" s="46" t="s">
        <v>59</v>
      </c>
      <c r="C13" s="46" t="s">
        <v>51</v>
      </c>
      <c r="D13" s="64" t="s">
        <v>60</v>
      </c>
      <c r="E13" s="64"/>
      <c r="F13" s="58"/>
      <c r="G13" s="65"/>
      <c r="H13" s="65"/>
      <c r="I13" s="65"/>
      <c r="J13" s="65"/>
      <c r="K13" s="65"/>
      <c r="L13" s="65"/>
      <c r="M13" s="65"/>
      <c r="N13" s="58" t="str">
        <f>VLOOKUP(B13,歌单!B:C,2,0)</f>
        <v>说说Crystal</v>
      </c>
      <c r="O13" s="58">
        <f t="shared" si="0"/>
        <v>0</v>
      </c>
      <c r="P13" s="62" t="str">
        <f>VLOOKUP(B13,歌单!B:E,3,0)</f>
        <v>国语</v>
      </c>
      <c r="Q13" s="58" t="str">
        <f>VLOOKUP(B13,歌单!B:E,4,0)</f>
        <v>古风</v>
      </c>
      <c r="R13" s="62"/>
    </row>
    <row r="14" spans="1:22" ht="15" customHeight="1">
      <c r="A14" s="8" t="s">
        <v>61</v>
      </c>
      <c r="B14" s="46" t="s">
        <v>61</v>
      </c>
      <c r="C14" s="46" t="s">
        <v>51</v>
      </c>
      <c r="D14" s="64" t="s">
        <v>62</v>
      </c>
      <c r="E14" s="64"/>
      <c r="F14" s="58"/>
      <c r="G14" s="65"/>
      <c r="H14" s="65"/>
      <c r="I14" s="65"/>
      <c r="J14" s="65"/>
      <c r="K14" s="65"/>
      <c r="L14" s="65"/>
      <c r="M14" s="65"/>
      <c r="N14" s="58" t="e">
        <f>VLOOKUP(B14,歌单!B:C,2,0)</f>
        <v>#N/A</v>
      </c>
      <c r="O14" s="58">
        <f t="shared" si="0"/>
        <v>1</v>
      </c>
      <c r="P14" s="62" t="s">
        <v>10246</v>
      </c>
      <c r="Q14" s="58" t="s">
        <v>10252</v>
      </c>
      <c r="R14" s="62"/>
    </row>
    <row r="15" spans="1:22" ht="15" customHeight="1">
      <c r="A15" s="8" t="s">
        <v>63</v>
      </c>
      <c r="B15" s="46" t="s">
        <v>63</v>
      </c>
      <c r="C15" s="46" t="s">
        <v>51</v>
      </c>
      <c r="D15" s="64" t="s">
        <v>64</v>
      </c>
      <c r="E15" s="64"/>
      <c r="F15" s="58"/>
      <c r="G15" s="65"/>
      <c r="H15" s="65"/>
      <c r="I15" s="65"/>
      <c r="J15" s="65"/>
      <c r="K15" s="65"/>
      <c r="L15" s="65"/>
      <c r="M15" s="65"/>
      <c r="N15" s="58" t="e">
        <f>VLOOKUP(B15,歌单!B:C,2,0)</f>
        <v>#N/A</v>
      </c>
      <c r="O15" s="58">
        <f t="shared" si="0"/>
        <v>1</v>
      </c>
      <c r="P15" s="62" t="s">
        <v>10246</v>
      </c>
      <c r="Q15" s="58" t="s">
        <v>10252</v>
      </c>
      <c r="R15" s="62"/>
    </row>
    <row r="16" spans="1:22" ht="15" hidden="1" customHeight="1">
      <c r="A16" s="8" t="s">
        <v>65</v>
      </c>
      <c r="B16" s="46" t="s">
        <v>65</v>
      </c>
      <c r="C16" s="46" t="s">
        <v>51</v>
      </c>
      <c r="D16" s="64" t="s">
        <v>66</v>
      </c>
      <c r="E16" s="64"/>
      <c r="F16" s="58"/>
      <c r="G16" s="65"/>
      <c r="H16" s="65"/>
      <c r="I16" s="65"/>
      <c r="J16" s="65"/>
      <c r="K16" s="65"/>
      <c r="L16" s="65"/>
      <c r="M16" s="65"/>
      <c r="N16" s="58" t="str">
        <f>VLOOKUP(B16,歌单!B:C,2,0)</f>
        <v>说说</v>
      </c>
      <c r="O16" s="58">
        <f>_xlfn.IFNA(IF(IFERROR(SEARCH(N16,C16),0)&gt;0,0,1),0)</f>
        <v>0</v>
      </c>
      <c r="P16" s="62" t="str">
        <f>VLOOKUP(B16,歌单!B:E,3,0)</f>
        <v>国语</v>
      </c>
      <c r="Q16" s="58" t="str">
        <f>VLOOKUP(B16,歌单!B:E,4,0)</f>
        <v>流行</v>
      </c>
      <c r="R16" s="62"/>
    </row>
    <row r="17" spans="1:18" ht="15" customHeight="1">
      <c r="A17" s="8" t="s">
        <v>67</v>
      </c>
      <c r="B17" s="46" t="s">
        <v>67</v>
      </c>
      <c r="C17" s="46" t="s">
        <v>51</v>
      </c>
      <c r="D17" s="64" t="s">
        <v>68</v>
      </c>
      <c r="E17" s="64"/>
      <c r="F17" s="58"/>
      <c r="G17" s="65"/>
      <c r="H17" s="65"/>
      <c r="I17" s="65"/>
      <c r="J17" s="65"/>
      <c r="K17" s="65"/>
      <c r="L17" s="65"/>
      <c r="M17" s="65"/>
      <c r="N17" s="58" t="e">
        <f>VLOOKUP(B17,歌单!B:C,2,0)</f>
        <v>#N/A</v>
      </c>
      <c r="O17" s="58">
        <f t="shared" si="0"/>
        <v>1</v>
      </c>
      <c r="P17" s="62" t="s">
        <v>10246</v>
      </c>
      <c r="Q17" s="58" t="s">
        <v>10252</v>
      </c>
      <c r="R17" s="62"/>
    </row>
    <row r="18" spans="1:18" ht="15" customHeight="1">
      <c r="A18" s="8" t="s">
        <v>69</v>
      </c>
      <c r="B18" s="46" t="s">
        <v>69</v>
      </c>
      <c r="C18" s="46" t="s">
        <v>51</v>
      </c>
      <c r="D18" s="64" t="s">
        <v>70</v>
      </c>
      <c r="E18" s="64"/>
      <c r="F18" s="58"/>
      <c r="G18" s="65"/>
      <c r="H18" s="65"/>
      <c r="I18" s="65"/>
      <c r="J18" s="65"/>
      <c r="K18" s="65"/>
      <c r="L18" s="65"/>
      <c r="M18" s="65"/>
      <c r="N18" s="58" t="e">
        <f>VLOOKUP(B18,歌单!B:C,2,0)</f>
        <v>#N/A</v>
      </c>
      <c r="O18" s="58">
        <f t="shared" si="0"/>
        <v>1</v>
      </c>
      <c r="P18" s="62" t="s">
        <v>10246</v>
      </c>
      <c r="Q18" s="58" t="s">
        <v>10252</v>
      </c>
      <c r="R18" s="62"/>
    </row>
    <row r="19" spans="1:18" ht="15" customHeight="1">
      <c r="A19" s="8" t="s">
        <v>71</v>
      </c>
      <c r="B19" s="46" t="s">
        <v>71</v>
      </c>
      <c r="C19" s="46" t="s">
        <v>51</v>
      </c>
      <c r="D19" s="64" t="s">
        <v>72</v>
      </c>
      <c r="E19" s="64"/>
      <c r="F19" s="58"/>
      <c r="G19" s="65"/>
      <c r="H19" s="65"/>
      <c r="I19" s="65"/>
      <c r="J19" s="65"/>
      <c r="K19" s="65"/>
      <c r="L19" s="65"/>
      <c r="M19" s="65"/>
      <c r="N19" s="58" t="e">
        <f>VLOOKUP(B19,歌单!B:C,2,0)</f>
        <v>#N/A</v>
      </c>
      <c r="O19" s="58">
        <f t="shared" si="0"/>
        <v>1</v>
      </c>
      <c r="P19" s="62" t="s">
        <v>10246</v>
      </c>
      <c r="Q19" s="58" t="s">
        <v>10252</v>
      </c>
      <c r="R19" s="62"/>
    </row>
    <row r="20" spans="1:18" ht="15" customHeight="1">
      <c r="A20" s="8" t="s">
        <v>73</v>
      </c>
      <c r="B20" s="46" t="s">
        <v>73</v>
      </c>
      <c r="C20" s="46" t="s">
        <v>51</v>
      </c>
      <c r="D20" s="64" t="s">
        <v>74</v>
      </c>
      <c r="E20" s="64"/>
      <c r="F20" s="58"/>
      <c r="G20" s="65"/>
      <c r="H20" s="65"/>
      <c r="I20" s="65"/>
      <c r="J20" s="65"/>
      <c r="K20" s="65"/>
      <c r="L20" s="65"/>
      <c r="M20" s="65"/>
      <c r="N20" s="58" t="e">
        <f>VLOOKUP(B20,歌单!B:C,2,0)</f>
        <v>#N/A</v>
      </c>
      <c r="O20" s="58">
        <f t="shared" si="0"/>
        <v>1</v>
      </c>
      <c r="P20" s="62" t="s">
        <v>10246</v>
      </c>
      <c r="Q20" s="58" t="s">
        <v>10252</v>
      </c>
      <c r="R20" s="62"/>
    </row>
    <row r="21" spans="1:18" ht="15" hidden="1" customHeight="1">
      <c r="A21" s="8" t="s">
        <v>75</v>
      </c>
      <c r="B21" s="46" t="s">
        <v>75</v>
      </c>
      <c r="C21" s="46" t="s">
        <v>51</v>
      </c>
      <c r="D21" s="64" t="s">
        <v>76</v>
      </c>
      <c r="E21" s="64"/>
      <c r="F21" s="58"/>
      <c r="G21" s="65"/>
      <c r="H21" s="65"/>
      <c r="I21" s="65"/>
      <c r="J21" s="65"/>
      <c r="K21" s="65"/>
      <c r="L21" s="65"/>
      <c r="M21" s="65"/>
      <c r="N21" s="58" t="str">
        <f>VLOOKUP(B21,歌单!B:C,2,0)</f>
        <v>说说Crystal</v>
      </c>
      <c r="O21" s="58">
        <f>_xlfn.IFNA(IF(IFERROR(SEARCH(N21,C21),0)&gt;0,0,1),0)</f>
        <v>0</v>
      </c>
      <c r="P21" s="62" t="str">
        <f>VLOOKUP(B21,歌单!B:E,3,0)</f>
        <v>国语</v>
      </c>
      <c r="Q21" s="58" t="str">
        <f>VLOOKUP(B21,歌单!B:E,4,0)</f>
        <v>古风</v>
      </c>
      <c r="R21" s="62"/>
    </row>
    <row r="22" spans="1:18" ht="15" customHeight="1">
      <c r="A22" s="8" t="s">
        <v>77</v>
      </c>
      <c r="B22" s="46" t="s">
        <v>77</v>
      </c>
      <c r="C22" s="46" t="s">
        <v>51</v>
      </c>
      <c r="D22" s="64" t="s">
        <v>78</v>
      </c>
      <c r="E22" s="64"/>
      <c r="F22" s="58"/>
      <c r="G22" s="65"/>
      <c r="H22" s="65"/>
      <c r="I22" s="65"/>
      <c r="J22" s="65"/>
      <c r="K22" s="65"/>
      <c r="L22" s="65"/>
      <c r="M22" s="65"/>
      <c r="N22" s="58" t="e">
        <f>VLOOKUP(B22,歌单!B:C,2,0)</f>
        <v>#N/A</v>
      </c>
      <c r="O22" s="58">
        <f t="shared" si="0"/>
        <v>1</v>
      </c>
      <c r="P22" s="62" t="s">
        <v>10246</v>
      </c>
      <c r="Q22" s="58" t="s">
        <v>10252</v>
      </c>
      <c r="R22" s="62"/>
    </row>
    <row r="23" spans="1:18" ht="15" customHeight="1">
      <c r="A23" s="8" t="s">
        <v>79</v>
      </c>
      <c r="B23" s="46" t="s">
        <v>79</v>
      </c>
      <c r="C23" s="46" t="s">
        <v>51</v>
      </c>
      <c r="D23" s="64" t="s">
        <v>80</v>
      </c>
      <c r="E23" s="64"/>
      <c r="F23" s="58"/>
      <c r="G23" s="65"/>
      <c r="H23" s="65"/>
      <c r="I23" s="65"/>
      <c r="J23" s="65"/>
      <c r="K23" s="65"/>
      <c r="L23" s="65"/>
      <c r="M23" s="65"/>
      <c r="N23" s="58" t="e">
        <f>VLOOKUP(B23,歌单!B:C,2,0)</f>
        <v>#N/A</v>
      </c>
      <c r="O23" s="58">
        <f t="shared" si="0"/>
        <v>1</v>
      </c>
      <c r="P23" s="62" t="s">
        <v>10246</v>
      </c>
      <c r="Q23" s="58" t="s">
        <v>10252</v>
      </c>
      <c r="R23" s="62"/>
    </row>
    <row r="24" spans="1:18" ht="15" customHeight="1">
      <c r="A24" s="8" t="s">
        <v>81</v>
      </c>
      <c r="B24" s="46" t="s">
        <v>81</v>
      </c>
      <c r="C24" s="46" t="s">
        <v>51</v>
      </c>
      <c r="D24" s="64" t="s">
        <v>82</v>
      </c>
      <c r="E24" s="64"/>
      <c r="F24" s="58"/>
      <c r="G24" s="65"/>
      <c r="H24" s="65"/>
      <c r="I24" s="65"/>
      <c r="J24" s="65"/>
      <c r="K24" s="65"/>
      <c r="L24" s="65"/>
      <c r="M24" s="65"/>
      <c r="N24" s="58" t="e">
        <f>VLOOKUP(B24,歌单!B:C,2,0)</f>
        <v>#N/A</v>
      </c>
      <c r="O24" s="58">
        <f t="shared" si="0"/>
        <v>1</v>
      </c>
      <c r="P24" s="62" t="s">
        <v>10246</v>
      </c>
      <c r="Q24" s="58" t="s">
        <v>10252</v>
      </c>
      <c r="R24" s="62"/>
    </row>
    <row r="25" spans="1:18" ht="15" customHeight="1">
      <c r="A25" s="8" t="s">
        <v>83</v>
      </c>
      <c r="B25" s="46" t="s">
        <v>83</v>
      </c>
      <c r="C25" s="46" t="s">
        <v>51</v>
      </c>
      <c r="D25" s="64" t="s">
        <v>84</v>
      </c>
      <c r="E25" s="64"/>
      <c r="F25" s="58"/>
      <c r="G25" s="65"/>
      <c r="H25" s="65"/>
      <c r="I25" s="65"/>
      <c r="J25" s="65"/>
      <c r="K25" s="65"/>
      <c r="L25" s="65"/>
      <c r="M25" s="65"/>
      <c r="N25" s="58" t="e">
        <f>VLOOKUP(B25,歌单!B:C,2,0)</f>
        <v>#N/A</v>
      </c>
      <c r="O25" s="58">
        <f t="shared" si="0"/>
        <v>1</v>
      </c>
      <c r="P25" s="62" t="s">
        <v>10246</v>
      </c>
      <c r="Q25" s="58" t="s">
        <v>10252</v>
      </c>
      <c r="R25" s="62"/>
    </row>
    <row r="26" spans="1:18" ht="15" customHeight="1">
      <c r="A26" s="8" t="s">
        <v>85</v>
      </c>
      <c r="B26" s="46" t="s">
        <v>85</v>
      </c>
      <c r="C26" s="46" t="s">
        <v>51</v>
      </c>
      <c r="D26" s="64" t="s">
        <v>86</v>
      </c>
      <c r="E26" s="64"/>
      <c r="F26" s="58"/>
      <c r="G26" s="65"/>
      <c r="H26" s="65"/>
      <c r="I26" s="65"/>
      <c r="J26" s="65"/>
      <c r="K26" s="65"/>
      <c r="L26" s="65"/>
      <c r="M26" s="65"/>
      <c r="N26" s="58" t="e">
        <f>VLOOKUP(B26,歌单!B:C,2,0)</f>
        <v>#N/A</v>
      </c>
      <c r="O26" s="58">
        <f t="shared" si="0"/>
        <v>1</v>
      </c>
      <c r="P26" s="62" t="s">
        <v>10246</v>
      </c>
      <c r="Q26" s="58" t="s">
        <v>10252</v>
      </c>
      <c r="R26" s="62"/>
    </row>
    <row r="27" spans="1:18" ht="15" customHeight="1">
      <c r="A27" s="8" t="s">
        <v>87</v>
      </c>
      <c r="B27" s="46" t="s">
        <v>87</v>
      </c>
      <c r="C27" s="46" t="s">
        <v>51</v>
      </c>
      <c r="D27" s="64" t="s">
        <v>88</v>
      </c>
      <c r="E27" s="64"/>
      <c r="F27" s="58"/>
      <c r="G27" s="65"/>
      <c r="H27" s="65"/>
      <c r="I27" s="65"/>
      <c r="J27" s="65"/>
      <c r="K27" s="65"/>
      <c r="L27" s="65"/>
      <c r="M27" s="65"/>
      <c r="N27" s="58" t="e">
        <f>VLOOKUP(B27,歌单!B:C,2,0)</f>
        <v>#N/A</v>
      </c>
      <c r="O27" s="58">
        <f t="shared" si="0"/>
        <v>1</v>
      </c>
      <c r="P27" s="62" t="s">
        <v>10246</v>
      </c>
      <c r="Q27" s="58" t="s">
        <v>10252</v>
      </c>
      <c r="R27" s="62"/>
    </row>
    <row r="28" spans="1:18" ht="15" customHeight="1">
      <c r="A28" s="8" t="s">
        <v>89</v>
      </c>
      <c r="B28" s="46" t="s">
        <v>89</v>
      </c>
      <c r="C28" s="46" t="s">
        <v>51</v>
      </c>
      <c r="D28" s="64" t="s">
        <v>90</v>
      </c>
      <c r="E28" s="64"/>
      <c r="F28" s="58"/>
      <c r="G28" s="65"/>
      <c r="H28" s="65"/>
      <c r="I28" s="65"/>
      <c r="J28" s="65"/>
      <c r="K28" s="65"/>
      <c r="L28" s="65"/>
      <c r="M28" s="65"/>
      <c r="N28" s="58" t="e">
        <f>VLOOKUP(B28,歌单!B:C,2,0)</f>
        <v>#N/A</v>
      </c>
      <c r="O28" s="58">
        <f t="shared" si="0"/>
        <v>1</v>
      </c>
      <c r="P28" s="62" t="s">
        <v>10246</v>
      </c>
      <c r="Q28" s="58" t="s">
        <v>10252</v>
      </c>
      <c r="R28" s="62"/>
    </row>
    <row r="29" spans="1:18" ht="15" customHeight="1">
      <c r="A29" s="8" t="s">
        <v>91</v>
      </c>
      <c r="B29" s="46" t="s">
        <v>91</v>
      </c>
      <c r="C29" s="46" t="s">
        <v>51</v>
      </c>
      <c r="D29" s="64" t="s">
        <v>92</v>
      </c>
      <c r="E29" s="64"/>
      <c r="F29" s="58"/>
      <c r="G29" s="65"/>
      <c r="H29" s="65"/>
      <c r="I29" s="65"/>
      <c r="J29" s="65"/>
      <c r="K29" s="65"/>
      <c r="L29" s="65"/>
      <c r="M29" s="65"/>
      <c r="N29" s="58" t="e">
        <f>VLOOKUP(B29,歌单!B:C,2,0)</f>
        <v>#N/A</v>
      </c>
      <c r="O29" s="58">
        <f t="shared" si="0"/>
        <v>1</v>
      </c>
      <c r="P29" s="62" t="s">
        <v>10246</v>
      </c>
      <c r="Q29" s="58" t="s">
        <v>10252</v>
      </c>
      <c r="R29" s="62"/>
    </row>
    <row r="30" spans="1:18" ht="15" hidden="1" customHeight="1">
      <c r="A30" s="8" t="s">
        <v>93</v>
      </c>
      <c r="B30" s="46" t="s">
        <v>93</v>
      </c>
      <c r="C30" s="46" t="s">
        <v>51</v>
      </c>
      <c r="D30" s="64" t="s">
        <v>94</v>
      </c>
      <c r="E30" s="64"/>
      <c r="F30" s="58"/>
      <c r="G30" s="65"/>
      <c r="H30" s="65"/>
      <c r="I30" s="65"/>
      <c r="J30" s="65"/>
      <c r="K30" s="65"/>
      <c r="L30" s="65"/>
      <c r="M30" s="65"/>
      <c r="N30" s="58" t="str">
        <f>VLOOKUP(B30,歌单!B:C,2,0)</f>
        <v>说说Crystal</v>
      </c>
      <c r="O30" s="58">
        <f t="shared" si="0"/>
        <v>0</v>
      </c>
      <c r="P30" s="62" t="str">
        <f>VLOOKUP(B30,歌单!B:E,3,0)</f>
        <v>国语</v>
      </c>
      <c r="Q30" s="58" t="str">
        <f>VLOOKUP(B30,歌单!B:E,4,0)</f>
        <v>国风</v>
      </c>
      <c r="R30" s="62"/>
    </row>
    <row r="31" spans="1:18" ht="15" hidden="1" customHeight="1">
      <c r="A31" s="8" t="s">
        <v>95</v>
      </c>
      <c r="B31" s="46" t="s">
        <v>95</v>
      </c>
      <c r="C31" s="46" t="s">
        <v>51</v>
      </c>
      <c r="D31" s="64" t="s">
        <v>96</v>
      </c>
      <c r="E31" s="64"/>
      <c r="F31" s="58"/>
      <c r="G31" s="65"/>
      <c r="H31" s="65"/>
      <c r="I31" s="65"/>
      <c r="J31" s="65"/>
      <c r="K31" s="65"/>
      <c r="L31" s="65"/>
      <c r="M31" s="65"/>
      <c r="N31" s="58" t="str">
        <f>VLOOKUP(B31,歌单!B:C,2,0)</f>
        <v>说说</v>
      </c>
      <c r="O31" s="58">
        <f t="shared" si="0"/>
        <v>0</v>
      </c>
      <c r="P31" s="62" t="str">
        <f>VLOOKUP(B31,歌单!B:E,3,0)</f>
        <v>国语</v>
      </c>
      <c r="Q31" s="58" t="str">
        <f>VLOOKUP(B31,歌单!B:E,4,0)</f>
        <v>古风</v>
      </c>
      <c r="R31" s="62"/>
    </row>
    <row r="32" spans="1:18" ht="15" customHeight="1">
      <c r="A32" s="8" t="s">
        <v>97</v>
      </c>
      <c r="B32" s="46" t="s">
        <v>97</v>
      </c>
      <c r="C32" s="46" t="s">
        <v>51</v>
      </c>
      <c r="D32" s="64" t="s">
        <v>98</v>
      </c>
      <c r="E32" s="64"/>
      <c r="F32" s="58"/>
      <c r="G32" s="65"/>
      <c r="H32" s="65"/>
      <c r="I32" s="65"/>
      <c r="J32" s="65"/>
      <c r="K32" s="65"/>
      <c r="L32" s="65"/>
      <c r="M32" s="65"/>
      <c r="N32" s="58" t="e">
        <f>VLOOKUP(B32,歌单!B:C,2,0)</f>
        <v>#N/A</v>
      </c>
      <c r="O32" s="58">
        <f t="shared" si="0"/>
        <v>1</v>
      </c>
      <c r="P32" s="62" t="s">
        <v>10246</v>
      </c>
      <c r="Q32" s="58" t="s">
        <v>10252</v>
      </c>
      <c r="R32" s="62"/>
    </row>
    <row r="33" spans="1:18" ht="15" customHeight="1">
      <c r="A33" s="8" t="s">
        <v>99</v>
      </c>
      <c r="B33" s="46" t="s">
        <v>99</v>
      </c>
      <c r="C33" s="46" t="s">
        <v>51</v>
      </c>
      <c r="D33" s="64" t="s">
        <v>100</v>
      </c>
      <c r="E33" s="64"/>
      <c r="F33" s="58"/>
      <c r="G33" s="65"/>
      <c r="H33" s="65"/>
      <c r="I33" s="65"/>
      <c r="J33" s="65"/>
      <c r="K33" s="65"/>
      <c r="L33" s="65"/>
      <c r="M33" s="65"/>
      <c r="N33" s="58" t="e">
        <f>VLOOKUP(B33,歌单!B:C,2,0)</f>
        <v>#N/A</v>
      </c>
      <c r="O33" s="58">
        <f t="shared" si="0"/>
        <v>1</v>
      </c>
      <c r="P33" s="62" t="s">
        <v>10246</v>
      </c>
      <c r="Q33" s="58" t="s">
        <v>10252</v>
      </c>
      <c r="R33" s="62"/>
    </row>
    <row r="34" spans="1:18" ht="15" customHeight="1">
      <c r="A34" s="8" t="s">
        <v>101</v>
      </c>
      <c r="B34" s="46" t="s">
        <v>101</v>
      </c>
      <c r="C34" s="46" t="s">
        <v>51</v>
      </c>
      <c r="D34" s="64" t="s">
        <v>102</v>
      </c>
      <c r="E34" s="64"/>
      <c r="F34" s="58"/>
      <c r="G34" s="65"/>
      <c r="H34" s="65"/>
      <c r="I34" s="65"/>
      <c r="J34" s="65"/>
      <c r="K34" s="65"/>
      <c r="L34" s="65"/>
      <c r="M34" s="65"/>
      <c r="N34" s="58" t="e">
        <f>VLOOKUP(B34,歌单!B:C,2,0)</f>
        <v>#N/A</v>
      </c>
      <c r="O34" s="58">
        <f t="shared" si="0"/>
        <v>1</v>
      </c>
      <c r="P34" s="62" t="s">
        <v>10246</v>
      </c>
      <c r="Q34" s="58" t="s">
        <v>10252</v>
      </c>
      <c r="R34" s="62"/>
    </row>
    <row r="35" spans="1:18" ht="15" customHeight="1">
      <c r="A35" s="8" t="s">
        <v>103</v>
      </c>
      <c r="B35" s="46" t="s">
        <v>103</v>
      </c>
      <c r="C35" s="46" t="s">
        <v>51</v>
      </c>
      <c r="D35" s="64" t="s">
        <v>104</v>
      </c>
      <c r="E35" s="64"/>
      <c r="F35" s="58"/>
      <c r="G35" s="65"/>
      <c r="H35" s="65"/>
      <c r="I35" s="65"/>
      <c r="J35" s="65"/>
      <c r="K35" s="65"/>
      <c r="L35" s="65"/>
      <c r="M35" s="65"/>
      <c r="N35" s="58" t="e">
        <f>VLOOKUP(B35,歌单!B:C,2,0)</f>
        <v>#N/A</v>
      </c>
      <c r="O35" s="58">
        <f t="shared" si="0"/>
        <v>1</v>
      </c>
      <c r="P35" s="62" t="s">
        <v>10246</v>
      </c>
      <c r="Q35" s="58" t="s">
        <v>10252</v>
      </c>
      <c r="R35" s="62"/>
    </row>
    <row r="36" spans="1:18" ht="15" customHeight="1">
      <c r="A36" s="8" t="s">
        <v>105</v>
      </c>
      <c r="B36" s="46" t="s">
        <v>105</v>
      </c>
      <c r="C36" s="46" t="s">
        <v>51</v>
      </c>
      <c r="D36" s="64" t="s">
        <v>106</v>
      </c>
      <c r="E36" s="64"/>
      <c r="F36" s="58"/>
      <c r="G36" s="65"/>
      <c r="H36" s="65"/>
      <c r="I36" s="65"/>
      <c r="J36" s="65"/>
      <c r="K36" s="65"/>
      <c r="L36" s="65"/>
      <c r="M36" s="65"/>
      <c r="N36" s="58" t="e">
        <f>VLOOKUP(B36,歌单!B:C,2,0)</f>
        <v>#N/A</v>
      </c>
      <c r="O36" s="58">
        <f t="shared" si="0"/>
        <v>1</v>
      </c>
      <c r="P36" s="62" t="s">
        <v>10246</v>
      </c>
      <c r="Q36" s="58" t="s">
        <v>10252</v>
      </c>
      <c r="R36" s="62"/>
    </row>
    <row r="37" spans="1:18" ht="15" customHeight="1">
      <c r="A37" s="8" t="s">
        <v>107</v>
      </c>
      <c r="B37" s="46" t="s">
        <v>107</v>
      </c>
      <c r="C37" s="46" t="s">
        <v>51</v>
      </c>
      <c r="D37" s="64" t="s">
        <v>108</v>
      </c>
      <c r="E37" s="64"/>
      <c r="F37" s="58"/>
      <c r="G37" s="65"/>
      <c r="H37" s="65"/>
      <c r="I37" s="65"/>
      <c r="J37" s="65"/>
      <c r="K37" s="65"/>
      <c r="L37" s="65"/>
      <c r="M37" s="65"/>
      <c r="N37" s="58" t="e">
        <f>VLOOKUP(B37,歌单!B:C,2,0)</f>
        <v>#N/A</v>
      </c>
      <c r="O37" s="58">
        <f t="shared" si="0"/>
        <v>1</v>
      </c>
      <c r="P37" s="62" t="s">
        <v>10246</v>
      </c>
      <c r="Q37" s="58" t="s">
        <v>10252</v>
      </c>
      <c r="R37" s="62"/>
    </row>
    <row r="38" spans="1:18" ht="15" customHeight="1">
      <c r="A38" s="8" t="s">
        <v>109</v>
      </c>
      <c r="B38" s="46" t="s">
        <v>109</v>
      </c>
      <c r="C38" s="46" t="s">
        <v>51</v>
      </c>
      <c r="D38" s="64" t="s">
        <v>110</v>
      </c>
      <c r="E38" s="64"/>
      <c r="F38" s="58"/>
      <c r="G38" s="65"/>
      <c r="H38" s="65"/>
      <c r="I38" s="65"/>
      <c r="J38" s="65"/>
      <c r="K38" s="65"/>
      <c r="L38" s="65"/>
      <c r="M38" s="65"/>
      <c r="N38" s="58" t="e">
        <f>VLOOKUP(B38,歌单!B:C,2,0)</f>
        <v>#N/A</v>
      </c>
      <c r="O38" s="58">
        <f t="shared" si="0"/>
        <v>1</v>
      </c>
      <c r="P38" s="62" t="s">
        <v>10246</v>
      </c>
      <c r="Q38" s="58" t="s">
        <v>10252</v>
      </c>
      <c r="R38" s="62"/>
    </row>
    <row r="39" spans="1:18" ht="15" customHeight="1">
      <c r="A39" s="8" t="s">
        <v>111</v>
      </c>
      <c r="B39" s="46" t="s">
        <v>111</v>
      </c>
      <c r="C39" s="46" t="s">
        <v>51</v>
      </c>
      <c r="D39" s="64" t="s">
        <v>112</v>
      </c>
      <c r="E39" s="64"/>
      <c r="F39" s="58"/>
      <c r="G39" s="65"/>
      <c r="H39" s="65"/>
      <c r="I39" s="65"/>
      <c r="J39" s="65"/>
      <c r="K39" s="65"/>
      <c r="L39" s="65"/>
      <c r="M39" s="65"/>
      <c r="N39" s="58" t="e">
        <f>VLOOKUP(B39,歌单!B:C,2,0)</f>
        <v>#N/A</v>
      </c>
      <c r="O39" s="58">
        <f t="shared" si="0"/>
        <v>1</v>
      </c>
      <c r="P39" s="62" t="s">
        <v>10246</v>
      </c>
      <c r="Q39" s="58" t="s">
        <v>10252</v>
      </c>
      <c r="R39" s="62"/>
    </row>
    <row r="40" spans="1:18" ht="15" customHeight="1">
      <c r="A40" s="8" t="s">
        <v>113</v>
      </c>
      <c r="B40" s="46" t="s">
        <v>113</v>
      </c>
      <c r="C40" s="46" t="s">
        <v>51</v>
      </c>
      <c r="D40" s="64" t="s">
        <v>114</v>
      </c>
      <c r="E40" s="64"/>
      <c r="F40" s="58"/>
      <c r="G40" s="65"/>
      <c r="H40" s="65"/>
      <c r="I40" s="65"/>
      <c r="J40" s="65"/>
      <c r="K40" s="65"/>
      <c r="L40" s="65"/>
      <c r="M40" s="65"/>
      <c r="N40" s="58" t="e">
        <f>VLOOKUP(B40,歌单!B:C,2,0)</f>
        <v>#N/A</v>
      </c>
      <c r="O40" s="58">
        <f t="shared" si="0"/>
        <v>1</v>
      </c>
      <c r="P40" s="62" t="s">
        <v>10246</v>
      </c>
      <c r="Q40" s="58" t="s">
        <v>10252</v>
      </c>
      <c r="R40" s="62"/>
    </row>
    <row r="41" spans="1:18" ht="15" customHeight="1">
      <c r="A41" s="4" t="s">
        <v>115</v>
      </c>
      <c r="B41" s="46" t="s">
        <v>115</v>
      </c>
      <c r="C41" s="46" t="s">
        <v>116</v>
      </c>
      <c r="D41" s="64" t="s">
        <v>117</v>
      </c>
      <c r="E41" s="64"/>
      <c r="F41" s="58"/>
      <c r="G41" s="65"/>
      <c r="H41" s="65"/>
      <c r="I41" s="65"/>
      <c r="J41" s="65"/>
      <c r="K41" s="65"/>
      <c r="L41" s="65"/>
      <c r="M41" s="65"/>
      <c r="N41" s="58" t="e">
        <f>VLOOKUP(B41,歌单!B:C,2,0)</f>
        <v>#N/A</v>
      </c>
      <c r="O41" s="58">
        <f t="shared" si="0"/>
        <v>1</v>
      </c>
      <c r="P41" s="62" t="s">
        <v>10246</v>
      </c>
      <c r="Q41" s="58" t="s">
        <v>10252</v>
      </c>
      <c r="R41" s="62"/>
    </row>
    <row r="42" spans="1:18" ht="15" hidden="1" customHeight="1">
      <c r="A42" s="33" t="s">
        <v>118</v>
      </c>
      <c r="B42" s="46" t="s">
        <v>118</v>
      </c>
      <c r="C42" s="46" t="s">
        <v>119</v>
      </c>
      <c r="D42" s="64"/>
      <c r="E42" s="64"/>
      <c r="F42" s="58"/>
      <c r="G42" s="65"/>
      <c r="H42" s="65"/>
      <c r="I42" s="65"/>
      <c r="J42" s="65"/>
      <c r="K42" s="65"/>
      <c r="L42" s="65"/>
      <c r="M42" s="65"/>
      <c r="N42" s="56" t="str">
        <f>VLOOKUP(B42,歌单!B:C,2,0)</f>
        <v>杨扬</v>
      </c>
      <c r="O42" s="58">
        <f t="shared" si="0"/>
        <v>1</v>
      </c>
      <c r="P42" s="62" t="str">
        <f>VLOOKUP(B42,歌单!B:E,3,0)</f>
        <v>国语</v>
      </c>
      <c r="Q42" s="58" t="str">
        <f>VLOOKUP(B42,歌单!B:E,4,0)</f>
        <v>流行</v>
      </c>
      <c r="R42" s="62"/>
    </row>
    <row r="43" spans="1:18">
      <c r="A43" s="8" t="s">
        <v>120</v>
      </c>
      <c r="B43" s="49" t="s">
        <v>120</v>
      </c>
      <c r="C43" s="49" t="s">
        <v>121</v>
      </c>
      <c r="D43" s="64" t="s">
        <v>122</v>
      </c>
      <c r="E43" s="64"/>
      <c r="F43" s="58"/>
      <c r="G43" s="65"/>
      <c r="H43" s="65"/>
      <c r="I43" s="65"/>
      <c r="J43" s="65"/>
      <c r="K43" s="65"/>
      <c r="L43" s="65"/>
      <c r="M43" s="65"/>
      <c r="N43" s="58" t="e">
        <f>VLOOKUP(B43,歌单!B:C,2,0)</f>
        <v>#N/A</v>
      </c>
      <c r="O43" s="58">
        <f t="shared" si="0"/>
        <v>1</v>
      </c>
      <c r="P43" s="62" t="s">
        <v>10246</v>
      </c>
      <c r="Q43" s="58" t="s">
        <v>10252</v>
      </c>
      <c r="R43" s="62"/>
    </row>
    <row r="44" spans="1:18">
      <c r="A44" s="8" t="s">
        <v>123</v>
      </c>
      <c r="B44" s="49" t="s">
        <v>123</v>
      </c>
      <c r="C44" s="49" t="s">
        <v>124</v>
      </c>
      <c r="D44" s="64" t="s">
        <v>125</v>
      </c>
      <c r="E44" s="64"/>
      <c r="F44" s="58"/>
      <c r="G44" s="65"/>
      <c r="H44" s="65"/>
      <c r="I44" s="65"/>
      <c r="J44" s="65"/>
      <c r="K44" s="65"/>
      <c r="L44" s="65"/>
      <c r="M44" s="65"/>
      <c r="N44" s="58" t="e">
        <f>VLOOKUP(B44,歌单!B:C,2,0)</f>
        <v>#N/A</v>
      </c>
      <c r="O44" s="58">
        <f t="shared" si="0"/>
        <v>1</v>
      </c>
      <c r="P44" s="62" t="s">
        <v>10246</v>
      </c>
      <c r="Q44" s="58" t="s">
        <v>10252</v>
      </c>
      <c r="R44" s="62"/>
    </row>
    <row r="45" spans="1:18" hidden="1">
      <c r="A45" s="8" t="s">
        <v>126</v>
      </c>
      <c r="B45" s="49" t="s">
        <v>126</v>
      </c>
      <c r="C45" s="49" t="s">
        <v>127</v>
      </c>
      <c r="D45" s="64"/>
      <c r="E45" s="64"/>
      <c r="F45" s="58"/>
      <c r="G45" s="65"/>
      <c r="H45" s="65"/>
      <c r="I45" s="65"/>
      <c r="J45" s="65"/>
      <c r="K45" s="65"/>
      <c r="L45" s="65"/>
      <c r="M45" s="65"/>
      <c r="N45" s="58" t="str">
        <f>VLOOKUP(B45,歌单!B:C,2,0)</f>
        <v>江语晨</v>
      </c>
      <c r="O45" s="58">
        <f t="shared" si="0"/>
        <v>0</v>
      </c>
      <c r="P45" s="62" t="str">
        <f>VLOOKUP(B45,歌单!B:E,3,0)</f>
        <v>国语</v>
      </c>
      <c r="Q45" s="58" t="str">
        <f>VLOOKUP(B45,歌单!B:E,4,0)</f>
        <v>流行</v>
      </c>
      <c r="R45" s="62"/>
    </row>
    <row r="46" spans="1:18">
      <c r="A46" s="8" t="s">
        <v>128</v>
      </c>
      <c r="B46" s="49" t="s">
        <v>128</v>
      </c>
      <c r="C46" s="49" t="s">
        <v>129</v>
      </c>
      <c r="D46" s="64"/>
      <c r="E46" s="64"/>
      <c r="F46" s="58"/>
      <c r="G46" s="65"/>
      <c r="H46" s="65"/>
      <c r="I46" s="65"/>
      <c r="J46" s="65"/>
      <c r="K46" s="65"/>
      <c r="L46" s="65"/>
      <c r="M46" s="65"/>
      <c r="N46" s="58" t="e">
        <f>VLOOKUP(B46,歌单!B:C,2,0)</f>
        <v>#N/A</v>
      </c>
      <c r="O46" s="58">
        <f t="shared" si="0"/>
        <v>1</v>
      </c>
      <c r="P46" s="62" t="s">
        <v>10246</v>
      </c>
      <c r="Q46" s="58" t="s">
        <v>10252</v>
      </c>
      <c r="R46" s="62"/>
    </row>
    <row r="47" spans="1:18">
      <c r="A47" s="8" t="s">
        <v>130</v>
      </c>
      <c r="B47" s="49" t="s">
        <v>130</v>
      </c>
      <c r="C47" s="49" t="s">
        <v>131</v>
      </c>
      <c r="D47" s="64"/>
      <c r="E47" s="64"/>
      <c r="F47" s="58"/>
      <c r="G47" s="65"/>
      <c r="H47" s="65"/>
      <c r="I47" s="65"/>
      <c r="J47" s="65"/>
      <c r="K47" s="65"/>
      <c r="L47" s="65"/>
      <c r="M47" s="65"/>
      <c r="N47" s="58" t="e">
        <f>VLOOKUP(B47,歌单!B:C,2,0)</f>
        <v>#N/A</v>
      </c>
      <c r="O47" s="58">
        <f t="shared" si="0"/>
        <v>1</v>
      </c>
      <c r="P47" s="62" t="s">
        <v>10246</v>
      </c>
      <c r="Q47" s="58" t="s">
        <v>10252</v>
      </c>
      <c r="R47" s="62"/>
    </row>
    <row r="48" spans="1:18" ht="13.9" customHeight="1">
      <c r="A48" s="8" t="s">
        <v>132</v>
      </c>
      <c r="B48" s="49" t="s">
        <v>132</v>
      </c>
      <c r="C48" s="49" t="s">
        <v>133</v>
      </c>
      <c r="D48" s="66"/>
      <c r="E48" s="64"/>
      <c r="F48" s="58"/>
      <c r="G48" s="65"/>
      <c r="H48" s="65"/>
      <c r="I48" s="65"/>
      <c r="J48" s="65"/>
      <c r="K48" s="65"/>
      <c r="L48" s="65"/>
      <c r="M48" s="65"/>
      <c r="N48" s="58" t="e">
        <f>VLOOKUP(B48,歌单!B:C,2,0)</f>
        <v>#N/A</v>
      </c>
      <c r="O48" s="58">
        <f t="shared" si="0"/>
        <v>1</v>
      </c>
      <c r="P48" s="62" t="s">
        <v>10246</v>
      </c>
      <c r="Q48" s="58" t="s">
        <v>10252</v>
      </c>
      <c r="R48" s="62"/>
    </row>
    <row r="49" spans="1:18" ht="13.9" hidden="1" customHeight="1">
      <c r="A49" s="33" t="s">
        <v>3428</v>
      </c>
      <c r="B49" s="49" t="s">
        <v>134</v>
      </c>
      <c r="C49" s="49" t="s">
        <v>135</v>
      </c>
      <c r="D49" s="66"/>
      <c r="E49" s="64"/>
      <c r="F49" s="58"/>
      <c r="G49" s="65"/>
      <c r="H49" s="65"/>
      <c r="I49" s="65"/>
      <c r="J49" s="65"/>
      <c r="K49" s="65"/>
      <c r="L49" s="65"/>
      <c r="M49" s="65"/>
      <c r="N49" s="56" t="str">
        <f>VLOOKUP(B49,歌单!B:C,2,0)</f>
        <v>邓紫棋/张靓颖</v>
      </c>
      <c r="O49" s="58">
        <f t="shared" si="0"/>
        <v>1</v>
      </c>
      <c r="P49" s="62" t="str">
        <f>VLOOKUP(B49,歌单!B:E,3,0)</f>
        <v>国语</v>
      </c>
      <c r="Q49" s="58" t="str">
        <f>VLOOKUP(B49,歌单!B:E,4,0)</f>
        <v>流行</v>
      </c>
      <c r="R49" s="62"/>
    </row>
    <row r="50" spans="1:18" hidden="1">
      <c r="A50" s="8" t="s">
        <v>136</v>
      </c>
      <c r="B50" s="49" t="s">
        <v>136</v>
      </c>
      <c r="C50" s="49" t="s">
        <v>21</v>
      </c>
      <c r="D50" s="64"/>
      <c r="E50" s="64"/>
      <c r="F50" s="58"/>
      <c r="G50" s="65"/>
      <c r="H50" s="65"/>
      <c r="I50" s="65"/>
      <c r="J50" s="65"/>
      <c r="K50" s="65"/>
      <c r="L50" s="65"/>
      <c r="M50" s="65"/>
      <c r="N50" s="58" t="str">
        <f>VLOOKUP(B50,歌单!B:C,2,0)</f>
        <v>单依纯</v>
      </c>
      <c r="O50" s="58">
        <f t="shared" si="0"/>
        <v>0</v>
      </c>
      <c r="P50" s="62" t="str">
        <f>VLOOKUP(B50,歌单!B:E,3,0)</f>
        <v>国语</v>
      </c>
      <c r="Q50" s="58" t="str">
        <f>VLOOKUP(B50,歌单!B:E,4,0)</f>
        <v>流行</v>
      </c>
      <c r="R50" s="62"/>
    </row>
    <row r="51" spans="1:18">
      <c r="A51" s="8" t="s">
        <v>137</v>
      </c>
      <c r="B51" s="49" t="s">
        <v>137</v>
      </c>
      <c r="C51" s="49" t="s">
        <v>138</v>
      </c>
      <c r="D51" s="64"/>
      <c r="E51" s="64"/>
      <c r="F51" s="58"/>
      <c r="G51" s="65"/>
      <c r="H51" s="65"/>
      <c r="I51" s="65"/>
      <c r="J51" s="65"/>
      <c r="K51" s="65"/>
      <c r="L51" s="65"/>
      <c r="M51" s="65"/>
      <c r="N51" s="58" t="e">
        <f>VLOOKUP(B51,歌单!B:C,2,0)</f>
        <v>#N/A</v>
      </c>
      <c r="O51" s="58">
        <f t="shared" si="0"/>
        <v>1</v>
      </c>
      <c r="P51" s="62" t="s">
        <v>10246</v>
      </c>
      <c r="Q51" s="58" t="s">
        <v>10252</v>
      </c>
      <c r="R51" s="62"/>
    </row>
    <row r="52" spans="1:18">
      <c r="A52" s="8" t="s">
        <v>139</v>
      </c>
      <c r="B52" s="49" t="s">
        <v>139</v>
      </c>
      <c r="C52" s="49" t="s">
        <v>140</v>
      </c>
      <c r="D52" s="64"/>
      <c r="E52" s="64"/>
      <c r="F52" s="58"/>
      <c r="G52" s="65"/>
      <c r="H52" s="65"/>
      <c r="I52" s="65"/>
      <c r="J52" s="65"/>
      <c r="K52" s="65"/>
      <c r="L52" s="65"/>
      <c r="M52" s="65"/>
      <c r="N52" s="58" t="e">
        <f>VLOOKUP(B52,歌单!B:C,2,0)</f>
        <v>#N/A</v>
      </c>
      <c r="O52" s="58">
        <f t="shared" si="0"/>
        <v>1</v>
      </c>
      <c r="P52" s="62" t="s">
        <v>10246</v>
      </c>
      <c r="Q52" s="58" t="s">
        <v>10252</v>
      </c>
      <c r="R52" s="62"/>
    </row>
    <row r="53" spans="1:18">
      <c r="A53" s="8" t="s">
        <v>141</v>
      </c>
      <c r="B53" s="49" t="s">
        <v>141</v>
      </c>
      <c r="C53" s="49" t="s">
        <v>142</v>
      </c>
      <c r="D53" s="64"/>
      <c r="E53" s="64"/>
      <c r="F53" s="58"/>
      <c r="G53" s="65"/>
      <c r="H53" s="65"/>
      <c r="I53" s="65"/>
      <c r="J53" s="65"/>
      <c r="K53" s="65"/>
      <c r="L53" s="65"/>
      <c r="M53" s="65"/>
      <c r="N53" s="58" t="e">
        <f>VLOOKUP(B53,歌单!B:C,2,0)</f>
        <v>#N/A</v>
      </c>
      <c r="O53" s="58">
        <f t="shared" si="0"/>
        <v>1</v>
      </c>
      <c r="P53" s="62" t="s">
        <v>10246</v>
      </c>
      <c r="Q53" s="58" t="s">
        <v>10252</v>
      </c>
      <c r="R53" s="62"/>
    </row>
    <row r="54" spans="1:18">
      <c r="A54" s="8" t="s">
        <v>143</v>
      </c>
      <c r="B54" s="49" t="s">
        <v>143</v>
      </c>
      <c r="C54" s="49" t="s">
        <v>144</v>
      </c>
      <c r="D54" s="64"/>
      <c r="E54" s="64"/>
      <c r="F54" s="58"/>
      <c r="G54" s="65"/>
      <c r="H54" s="65"/>
      <c r="I54" s="65"/>
      <c r="J54" s="65"/>
      <c r="K54" s="65"/>
      <c r="L54" s="65"/>
      <c r="M54" s="65"/>
      <c r="N54" s="58" t="e">
        <f>VLOOKUP(B54,歌单!B:C,2,0)</f>
        <v>#N/A</v>
      </c>
      <c r="O54" s="58">
        <f t="shared" si="0"/>
        <v>1</v>
      </c>
      <c r="P54" s="70" t="s">
        <v>8520</v>
      </c>
      <c r="Q54" s="71" t="s">
        <v>10227</v>
      </c>
      <c r="R54" s="62"/>
    </row>
    <row r="55" spans="1:18">
      <c r="A55" s="8" t="s">
        <v>145</v>
      </c>
      <c r="B55" s="49" t="s">
        <v>145</v>
      </c>
      <c r="C55" s="49" t="s">
        <v>146</v>
      </c>
      <c r="D55" s="64"/>
      <c r="E55" s="64"/>
      <c r="F55" s="58"/>
      <c r="G55" s="65"/>
      <c r="H55" s="65"/>
      <c r="I55" s="65"/>
      <c r="J55" s="65"/>
      <c r="K55" s="65"/>
      <c r="L55" s="65"/>
      <c r="M55" s="65"/>
      <c r="N55" s="58" t="e">
        <f>VLOOKUP(B55,歌单!B:C,2,0)</f>
        <v>#N/A</v>
      </c>
      <c r="O55" s="58">
        <f t="shared" si="0"/>
        <v>1</v>
      </c>
      <c r="P55" s="62" t="s">
        <v>10246</v>
      </c>
      <c r="Q55" s="58" t="s">
        <v>10252</v>
      </c>
      <c r="R55" s="62"/>
    </row>
    <row r="56" spans="1:18" hidden="1">
      <c r="A56" s="8" t="s">
        <v>147</v>
      </c>
      <c r="B56" s="49" t="s">
        <v>147</v>
      </c>
      <c r="C56" s="49" t="s">
        <v>148</v>
      </c>
      <c r="D56" s="64"/>
      <c r="E56" s="64"/>
      <c r="F56" s="58"/>
      <c r="G56" s="65"/>
      <c r="H56" s="65"/>
      <c r="I56" s="65"/>
      <c r="J56" s="65"/>
      <c r="K56" s="65"/>
      <c r="L56" s="65"/>
      <c r="M56" s="65"/>
      <c r="N56" s="58" t="str">
        <f>VLOOKUP(B56,歌单!B:C,2,0)</f>
        <v>艾薇</v>
      </c>
      <c r="O56" s="58">
        <f t="shared" si="0"/>
        <v>0</v>
      </c>
      <c r="P56" s="62" t="str">
        <f>VLOOKUP(B56,歌单!B:E,3,0)</f>
        <v>国语</v>
      </c>
      <c r="Q56" s="58" t="str">
        <f>VLOOKUP(B56,歌单!B:E,4,0)</f>
        <v>流行</v>
      </c>
      <c r="R56" s="62"/>
    </row>
    <row r="57" spans="1:18" ht="15" hidden="1" customHeight="1">
      <c r="A57" s="4" t="s">
        <v>149</v>
      </c>
      <c r="B57" s="46" t="s">
        <v>150</v>
      </c>
      <c r="C57" s="46" t="s">
        <v>151</v>
      </c>
      <c r="D57" s="59"/>
      <c r="E57" s="59">
        <v>277</v>
      </c>
      <c r="F57" s="59">
        <v>2</v>
      </c>
      <c r="G57" s="60"/>
      <c r="H57" s="60"/>
      <c r="I57" s="61">
        <v>156</v>
      </c>
      <c r="J57" s="60"/>
      <c r="K57" s="60"/>
      <c r="L57" s="60">
        <v>71832236</v>
      </c>
      <c r="M57" s="60"/>
      <c r="N57" s="58" t="str">
        <f>VLOOKUP(B57,歌单!B:C,2,0)</f>
        <v>泠鸢yousa</v>
      </c>
      <c r="O57" s="58">
        <f t="shared" si="0"/>
        <v>1</v>
      </c>
      <c r="P57" s="62" t="str">
        <f>VLOOKUP(B57,歌单!B:E,3,0)</f>
        <v>国语</v>
      </c>
      <c r="Q57" s="58" t="str">
        <f>VLOOKUP(B57,歌单!B:E,4,0)</f>
        <v>国风,戏腔</v>
      </c>
      <c r="R57" s="62"/>
    </row>
    <row r="58" spans="1:18" ht="15" hidden="1" customHeight="1">
      <c r="A58" s="32" t="s">
        <v>152</v>
      </c>
      <c r="B58" s="46" t="s">
        <v>153</v>
      </c>
      <c r="C58" s="46" t="s">
        <v>154</v>
      </c>
      <c r="D58" s="59"/>
      <c r="E58" s="59">
        <v>0</v>
      </c>
      <c r="F58" s="59">
        <v>0</v>
      </c>
      <c r="G58" s="60" t="s">
        <v>155</v>
      </c>
      <c r="H58" s="60" t="s">
        <v>156</v>
      </c>
      <c r="I58" s="61">
        <v>689</v>
      </c>
      <c r="J58" s="60" t="s">
        <v>157</v>
      </c>
      <c r="K58" s="60" t="s">
        <v>158</v>
      </c>
      <c r="L58" s="60">
        <v>220057953</v>
      </c>
      <c r="M58" s="60"/>
      <c r="N58" s="56" t="str">
        <f>VLOOKUP(B58,歌单!B:C,2,0)</f>
        <v>林宥嘉</v>
      </c>
      <c r="O58" s="58">
        <f t="shared" si="0"/>
        <v>1</v>
      </c>
      <c r="P58" s="62" t="str">
        <f>VLOOKUP(B58,歌单!B:E,3,0)</f>
        <v>国语</v>
      </c>
      <c r="Q58" s="58" t="str">
        <f>VLOOKUP(B58,歌单!B:E,4,0)</f>
        <v>流行</v>
      </c>
      <c r="R58" s="62"/>
    </row>
    <row r="59" spans="1:18" ht="15" customHeight="1">
      <c r="A59" s="4" t="s">
        <v>159</v>
      </c>
      <c r="B59" s="46" t="s">
        <v>160</v>
      </c>
      <c r="C59" s="46" t="s">
        <v>161</v>
      </c>
      <c r="D59" s="59"/>
      <c r="E59" s="59">
        <v>0</v>
      </c>
      <c r="F59" s="59">
        <v>0</v>
      </c>
      <c r="G59" s="60" t="s">
        <v>162</v>
      </c>
      <c r="H59" s="60" t="s">
        <v>163</v>
      </c>
      <c r="I59" s="61">
        <v>75</v>
      </c>
      <c r="J59" s="60" t="s">
        <v>164</v>
      </c>
      <c r="K59" s="60" t="s">
        <v>165</v>
      </c>
      <c r="L59" s="60">
        <v>19576567</v>
      </c>
      <c r="M59" s="60"/>
      <c r="N59" s="58" t="e">
        <f>VLOOKUP(B59,歌单!B:C,2,0)</f>
        <v>#N/A</v>
      </c>
      <c r="O59" s="58">
        <f t="shared" si="0"/>
        <v>1</v>
      </c>
      <c r="P59" s="62" t="s">
        <v>10246</v>
      </c>
      <c r="Q59" s="58" t="s">
        <v>10252</v>
      </c>
      <c r="R59" s="62"/>
    </row>
    <row r="60" spans="1:18" ht="15" hidden="1" customHeight="1">
      <c r="A60" s="4" t="s">
        <v>166</v>
      </c>
      <c r="B60" s="46" t="s">
        <v>167</v>
      </c>
      <c r="C60" s="46" t="s">
        <v>168</v>
      </c>
      <c r="D60" s="59"/>
      <c r="E60" s="59">
        <v>0</v>
      </c>
      <c r="F60" s="59">
        <v>0</v>
      </c>
      <c r="G60" s="60" t="s">
        <v>169</v>
      </c>
      <c r="H60" s="60" t="s">
        <v>170</v>
      </c>
      <c r="I60" s="61">
        <v>224</v>
      </c>
      <c r="J60" s="60" t="s">
        <v>171</v>
      </c>
      <c r="K60" s="60" t="s">
        <v>172</v>
      </c>
      <c r="L60" s="60">
        <v>116853011</v>
      </c>
      <c r="M60" s="60"/>
      <c r="N60" s="58" t="str">
        <f>VLOOKUP(B60,歌单!B:C,2,0)</f>
        <v>吴碧霞</v>
      </c>
      <c r="O60" s="58">
        <f t="shared" si="0"/>
        <v>1</v>
      </c>
      <c r="P60" s="62" t="str">
        <f>VLOOKUP(B60,歌单!B:E,3,0)</f>
        <v>国语</v>
      </c>
      <c r="Q60" s="58" t="str">
        <f>VLOOKUP(B60,歌单!B:E,4,0)</f>
        <v>国风</v>
      </c>
      <c r="R60" s="62"/>
    </row>
    <row r="61" spans="1:18" ht="15" hidden="1" customHeight="1">
      <c r="A61" s="4" t="s">
        <v>173</v>
      </c>
      <c r="B61" s="46" t="s">
        <v>174</v>
      </c>
      <c r="C61" s="46" t="s">
        <v>175</v>
      </c>
      <c r="D61" s="59"/>
      <c r="E61" s="59">
        <v>0</v>
      </c>
      <c r="F61" s="59">
        <v>0</v>
      </c>
      <c r="G61" s="60" t="s">
        <v>176</v>
      </c>
      <c r="H61" s="60" t="s">
        <v>177</v>
      </c>
      <c r="I61" s="61">
        <v>379</v>
      </c>
      <c r="J61" s="60"/>
      <c r="K61" s="60" t="s">
        <v>178</v>
      </c>
      <c r="L61" s="60">
        <v>64254104</v>
      </c>
      <c r="M61" s="60"/>
      <c r="N61" s="58" t="str">
        <f>VLOOKUP(B61,歌单!B:C,2,0)</f>
        <v>刘欢</v>
      </c>
      <c r="O61" s="58">
        <f t="shared" si="0"/>
        <v>0</v>
      </c>
      <c r="P61" s="62" t="str">
        <f>VLOOKUP(B61,歌单!B:E,3,0)</f>
        <v>国语</v>
      </c>
      <c r="Q61" s="58" t="str">
        <f>VLOOKUP(B61,歌单!B:E,4,0)</f>
        <v>流行</v>
      </c>
      <c r="R61" s="62"/>
    </row>
    <row r="62" spans="1:18" ht="15" hidden="1" customHeight="1">
      <c r="A62" s="32" t="s">
        <v>179</v>
      </c>
      <c r="B62" s="46" t="s">
        <v>180</v>
      </c>
      <c r="C62" s="46" t="s">
        <v>181</v>
      </c>
      <c r="D62" s="59"/>
      <c r="E62" s="59">
        <v>0</v>
      </c>
      <c r="F62" s="59">
        <v>0</v>
      </c>
      <c r="G62" s="60" t="s">
        <v>182</v>
      </c>
      <c r="H62" s="60" t="s">
        <v>183</v>
      </c>
      <c r="I62" s="61">
        <v>1394</v>
      </c>
      <c r="J62" s="60" t="s">
        <v>184</v>
      </c>
      <c r="K62" s="60" t="s">
        <v>185</v>
      </c>
      <c r="L62" s="60">
        <v>365899290</v>
      </c>
      <c r="M62" s="60"/>
      <c r="N62" s="56" t="str">
        <f>VLOOKUP(B62,歌单!B:C,2,0)</f>
        <v>周深</v>
      </c>
      <c r="O62" s="58">
        <f t="shared" si="0"/>
        <v>1</v>
      </c>
      <c r="P62" s="62" t="str">
        <f>VLOOKUP(B62,歌单!B:E,3,0)</f>
        <v>国语</v>
      </c>
      <c r="Q62" s="58" t="str">
        <f>VLOOKUP(B62,歌单!B:E,4,0)</f>
        <v>流行</v>
      </c>
      <c r="R62" s="62"/>
    </row>
    <row r="63" spans="1:18" ht="15" customHeight="1">
      <c r="A63" s="4" t="s">
        <v>186</v>
      </c>
      <c r="B63" s="46" t="s">
        <v>187</v>
      </c>
      <c r="C63" s="46" t="s">
        <v>188</v>
      </c>
      <c r="D63" s="59"/>
      <c r="E63" s="59">
        <v>516030</v>
      </c>
      <c r="F63" s="59">
        <v>96155</v>
      </c>
      <c r="G63" s="60" t="s">
        <v>189</v>
      </c>
      <c r="H63" s="60" t="s">
        <v>190</v>
      </c>
      <c r="I63" s="61">
        <v>4410</v>
      </c>
      <c r="J63" s="60"/>
      <c r="K63" s="60" t="s">
        <v>187</v>
      </c>
      <c r="L63" s="60">
        <v>217211932</v>
      </c>
      <c r="M63" s="60"/>
      <c r="N63" s="58">
        <f>VLOOKUP(B63,歌单!B:C,2,0)</f>
        <v>0</v>
      </c>
      <c r="O63" s="58">
        <f t="shared" si="0"/>
        <v>1</v>
      </c>
      <c r="P63" s="62" t="str">
        <f>VLOOKUP(B63,歌单!B:E,3,0)</f>
        <v>英语</v>
      </c>
      <c r="Q63" s="58" t="str">
        <f>VLOOKUP(B63,歌单!B:E,4,0)</f>
        <v>流行</v>
      </c>
      <c r="R63" s="62"/>
    </row>
    <row r="64" spans="1:18" ht="15" hidden="1" customHeight="1">
      <c r="A64" s="4" t="s">
        <v>191</v>
      </c>
      <c r="B64" s="46" t="s">
        <v>192</v>
      </c>
      <c r="C64" s="46" t="s">
        <v>193</v>
      </c>
      <c r="D64" s="59"/>
      <c r="E64" s="59">
        <v>0</v>
      </c>
      <c r="F64" s="59">
        <v>0</v>
      </c>
      <c r="G64" s="60" t="s">
        <v>194</v>
      </c>
      <c r="H64" s="60" t="s">
        <v>195</v>
      </c>
      <c r="I64" s="61">
        <v>68</v>
      </c>
      <c r="J64" s="60"/>
      <c r="K64" s="60" t="s">
        <v>196</v>
      </c>
      <c r="L64" s="60">
        <v>14971574</v>
      </c>
      <c r="M64" s="60"/>
      <c r="N64" s="58" t="str">
        <f>VLOOKUP(B64,歌单!B:C,2,0)</f>
        <v>泠鸢yousa</v>
      </c>
      <c r="O64" s="58">
        <f t="shared" si="0"/>
        <v>1</v>
      </c>
      <c r="P64" s="62" t="str">
        <f>VLOOKUP(B64,歌单!B:E,3,0)</f>
        <v>国语</v>
      </c>
      <c r="Q64" s="58" t="str">
        <f>VLOOKUP(B64,歌单!B:E,4,0)</f>
        <v>V家</v>
      </c>
      <c r="R64" s="62"/>
    </row>
    <row r="65" spans="1:18" ht="15" hidden="1" customHeight="1">
      <c r="A65" s="4" t="s">
        <v>197</v>
      </c>
      <c r="B65" s="46" t="s">
        <v>198</v>
      </c>
      <c r="C65" s="46" t="s">
        <v>199</v>
      </c>
      <c r="D65" s="59"/>
      <c r="E65" s="59">
        <v>0</v>
      </c>
      <c r="F65" s="59">
        <v>0</v>
      </c>
      <c r="G65" s="60" t="s">
        <v>200</v>
      </c>
      <c r="H65" s="60" t="s">
        <v>201</v>
      </c>
      <c r="I65" s="61">
        <v>2851</v>
      </c>
      <c r="J65" s="60"/>
      <c r="K65" s="60" t="s">
        <v>198</v>
      </c>
      <c r="L65" s="60">
        <v>1563883536</v>
      </c>
      <c r="M65" s="60" t="s">
        <v>202</v>
      </c>
      <c r="N65" s="58" t="str">
        <f>VLOOKUP(B65,歌单!B:C,2,0)</f>
        <v>祖海</v>
      </c>
      <c r="O65" s="58">
        <f t="shared" si="0"/>
        <v>0</v>
      </c>
      <c r="P65" s="62" t="str">
        <f>VLOOKUP(B65,歌单!B:E,3,0)</f>
        <v>国语</v>
      </c>
      <c r="Q65" s="58" t="str">
        <f>VLOOKUP(B65,歌单!B:E,4,0)</f>
        <v>民族</v>
      </c>
      <c r="R65" s="62"/>
    </row>
    <row r="66" spans="1:18" ht="15" hidden="1" customHeight="1">
      <c r="A66" s="4" t="s">
        <v>203</v>
      </c>
      <c r="B66" s="46" t="s">
        <v>95</v>
      </c>
      <c r="C66" s="46" t="s">
        <v>51</v>
      </c>
      <c r="D66" s="59"/>
      <c r="E66" s="59">
        <v>0</v>
      </c>
      <c r="F66" s="59">
        <v>0</v>
      </c>
      <c r="G66" s="60" t="s">
        <v>204</v>
      </c>
      <c r="H66" s="60" t="s">
        <v>205</v>
      </c>
      <c r="I66" s="61">
        <v>149</v>
      </c>
      <c r="J66" s="60"/>
      <c r="K66" s="60" t="s">
        <v>206</v>
      </c>
      <c r="L66" s="60">
        <v>33137051</v>
      </c>
      <c r="M66" s="60"/>
      <c r="N66" s="58" t="str">
        <f>VLOOKUP(B66,歌单!B:C,2,0)</f>
        <v>说说</v>
      </c>
      <c r="O66" s="58">
        <f t="shared" si="0"/>
        <v>0</v>
      </c>
      <c r="P66" s="62" t="str">
        <f>VLOOKUP(B66,歌单!B:E,3,0)</f>
        <v>国语</v>
      </c>
      <c r="Q66" s="58" t="str">
        <f>VLOOKUP(B66,歌单!B:E,4,0)</f>
        <v>古风</v>
      </c>
      <c r="R66" s="62"/>
    </row>
    <row r="67" spans="1:18" ht="15" hidden="1" customHeight="1">
      <c r="A67" s="4" t="s">
        <v>207</v>
      </c>
      <c r="B67" s="46" t="s">
        <v>208</v>
      </c>
      <c r="C67" s="46" t="s">
        <v>209</v>
      </c>
      <c r="D67" s="59"/>
      <c r="E67" s="59">
        <v>0</v>
      </c>
      <c r="F67" s="59">
        <v>0</v>
      </c>
      <c r="G67" s="60" t="s">
        <v>210</v>
      </c>
      <c r="H67" s="60" t="s">
        <v>211</v>
      </c>
      <c r="I67" s="61">
        <v>1270</v>
      </c>
      <c r="J67" s="60"/>
      <c r="K67" s="60" t="s">
        <v>212</v>
      </c>
      <c r="L67" s="60">
        <v>256686027</v>
      </c>
      <c r="M67" s="60"/>
      <c r="N67" s="58" t="str">
        <f>VLOOKUP(B67,歌单!B:C,2,0)</f>
        <v>黄诗扶</v>
      </c>
      <c r="O67" s="58">
        <f t="shared" ref="O67:O130" si="1">_xlfn.IFNA(IF(IFERROR(SEARCH(N67,C67),0)&gt;0,0,1),0)</f>
        <v>0</v>
      </c>
      <c r="P67" s="62" t="str">
        <f>VLOOKUP(B67,歌单!B:E,3,0)</f>
        <v>国语</v>
      </c>
      <c r="Q67" s="58" t="str">
        <f>VLOOKUP(B67,歌单!B:E,4,0)</f>
        <v>流行</v>
      </c>
      <c r="R67" s="62"/>
    </row>
    <row r="68" spans="1:18" ht="15" hidden="1" customHeight="1">
      <c r="A68" s="4" t="s">
        <v>213</v>
      </c>
      <c r="B68" s="46" t="s">
        <v>214</v>
      </c>
      <c r="C68" s="46" t="s">
        <v>215</v>
      </c>
      <c r="D68" s="59"/>
      <c r="E68" s="59">
        <v>0</v>
      </c>
      <c r="F68" s="59">
        <v>0</v>
      </c>
      <c r="G68" s="60" t="s">
        <v>216</v>
      </c>
      <c r="H68" s="60" t="s">
        <v>217</v>
      </c>
      <c r="I68" s="61">
        <v>554</v>
      </c>
      <c r="J68" s="60"/>
      <c r="K68" s="60" t="s">
        <v>218</v>
      </c>
      <c r="L68" s="60">
        <v>217626434</v>
      </c>
      <c r="M68" s="60"/>
      <c r="N68" s="58" t="str">
        <f>VLOOKUP(B68,歌单!B:C,2,0)</f>
        <v>毛阿敏</v>
      </c>
      <c r="O68" s="58">
        <f t="shared" si="1"/>
        <v>0</v>
      </c>
      <c r="P68" s="62" t="str">
        <f>VLOOKUP(B68,歌单!B:E,3,0)</f>
        <v>国语</v>
      </c>
      <c r="Q68" s="58" t="str">
        <f>VLOOKUP(B68,歌单!B:E,4,0)</f>
        <v>流行</v>
      </c>
      <c r="R68" s="62"/>
    </row>
    <row r="69" spans="1:18" ht="15" hidden="1" customHeight="1">
      <c r="A69" s="4" t="s">
        <v>219</v>
      </c>
      <c r="B69" s="46" t="s">
        <v>220</v>
      </c>
      <c r="C69" s="46" t="s">
        <v>221</v>
      </c>
      <c r="D69" s="59"/>
      <c r="E69" s="59">
        <v>1071</v>
      </c>
      <c r="F69" s="59">
        <v>194</v>
      </c>
      <c r="G69" s="60" t="s">
        <v>222</v>
      </c>
      <c r="H69" s="60" t="s">
        <v>223</v>
      </c>
      <c r="I69" s="61">
        <v>905</v>
      </c>
      <c r="J69" s="60"/>
      <c r="K69" s="60" t="s">
        <v>224</v>
      </c>
      <c r="L69" s="60">
        <v>132554728</v>
      </c>
      <c r="M69" s="60"/>
      <c r="N69" s="58" t="str">
        <f>VLOOKUP(B69,歌单!B:C,2,0)</f>
        <v>毛不易</v>
      </c>
      <c r="O69" s="58">
        <f t="shared" si="1"/>
        <v>0</v>
      </c>
      <c r="P69" s="62" t="str">
        <f>VLOOKUP(B69,歌单!B:E,3,0)</f>
        <v>国语</v>
      </c>
      <c r="Q69" s="58" t="str">
        <f>VLOOKUP(B69,歌单!B:E,4,0)</f>
        <v>流行</v>
      </c>
      <c r="R69" s="62"/>
    </row>
    <row r="70" spans="1:18" ht="15" hidden="1" customHeight="1">
      <c r="A70" s="4" t="s">
        <v>225</v>
      </c>
      <c r="B70" s="46" t="s">
        <v>226</v>
      </c>
      <c r="C70" s="46" t="s">
        <v>227</v>
      </c>
      <c r="D70" s="59"/>
      <c r="E70" s="59">
        <v>0</v>
      </c>
      <c r="F70" s="59">
        <v>0</v>
      </c>
      <c r="G70" s="60" t="s">
        <v>228</v>
      </c>
      <c r="H70" s="60" t="s">
        <v>229</v>
      </c>
      <c r="I70" s="61">
        <v>8985</v>
      </c>
      <c r="J70" s="60" t="s">
        <v>230</v>
      </c>
      <c r="K70" s="60" t="s">
        <v>226</v>
      </c>
      <c r="L70" s="60">
        <v>520502983</v>
      </c>
      <c r="M70" s="60"/>
      <c r="N70" s="58" t="str">
        <f>VLOOKUP(B70,歌单!B:C,2,0)</f>
        <v>王菲</v>
      </c>
      <c r="O70" s="58">
        <f t="shared" si="1"/>
        <v>0</v>
      </c>
      <c r="P70" s="62" t="str">
        <f>VLOOKUP(B70,歌单!B:E,3,0)</f>
        <v>国语</v>
      </c>
      <c r="Q70" s="58" t="str">
        <f>VLOOKUP(B70,歌单!B:E,4,0)</f>
        <v>流行</v>
      </c>
      <c r="R70" s="62"/>
    </row>
    <row r="71" spans="1:18" ht="15" hidden="1" customHeight="1">
      <c r="A71" s="4" t="s">
        <v>231</v>
      </c>
      <c r="B71" s="46" t="s">
        <v>232</v>
      </c>
      <c r="C71" s="46" t="s">
        <v>233</v>
      </c>
      <c r="D71" s="59"/>
      <c r="E71" s="59">
        <v>43546</v>
      </c>
      <c r="F71" s="59">
        <v>6440</v>
      </c>
      <c r="G71" s="60" t="s">
        <v>234</v>
      </c>
      <c r="H71" s="60"/>
      <c r="I71" s="61">
        <v>2370</v>
      </c>
      <c r="J71" s="60"/>
      <c r="K71" s="60" t="s">
        <v>232</v>
      </c>
      <c r="L71" s="60">
        <v>316650487</v>
      </c>
      <c r="M71" s="60" t="s">
        <v>235</v>
      </c>
      <c r="N71" s="58" t="str">
        <f>VLOOKUP(B71,歌单!B:C,2,0)</f>
        <v>刘瑾睿</v>
      </c>
      <c r="O71" s="58">
        <f t="shared" si="1"/>
        <v>0</v>
      </c>
      <c r="P71" s="62" t="str">
        <f>VLOOKUP(B71,歌单!B:E,3,0)</f>
        <v>国语</v>
      </c>
      <c r="Q71" s="58" t="str">
        <f>VLOOKUP(B71,歌单!B:E,4,0)</f>
        <v>流行</v>
      </c>
      <c r="R71" s="62"/>
    </row>
    <row r="72" spans="1:18" ht="15" hidden="1" customHeight="1">
      <c r="A72" s="4" t="s">
        <v>236</v>
      </c>
      <c r="B72" s="46" t="s">
        <v>237</v>
      </c>
      <c r="C72" s="46" t="s">
        <v>238</v>
      </c>
      <c r="D72" s="59"/>
      <c r="E72" s="59">
        <v>0</v>
      </c>
      <c r="F72" s="59">
        <v>0</v>
      </c>
      <c r="G72" s="60" t="s">
        <v>239</v>
      </c>
      <c r="H72" s="60" t="s">
        <v>240</v>
      </c>
      <c r="I72" s="61">
        <v>95</v>
      </c>
      <c r="J72" s="60" t="s">
        <v>241</v>
      </c>
      <c r="K72" s="60" t="s">
        <v>242</v>
      </c>
      <c r="L72" s="60">
        <v>40070424</v>
      </c>
      <c r="M72" s="60"/>
      <c r="N72" s="58" t="str">
        <f>VLOOKUP(B72,歌单!B:C,2,0)</f>
        <v>姚贝娜</v>
      </c>
      <c r="O72" s="58">
        <f t="shared" si="1"/>
        <v>0</v>
      </c>
      <c r="P72" s="62" t="str">
        <f>VLOOKUP(B72,歌单!B:E,3,0)</f>
        <v>国语</v>
      </c>
      <c r="Q72" s="58" t="str">
        <f>VLOOKUP(B72,歌单!B:E,4,0)</f>
        <v>古风</v>
      </c>
      <c r="R72" s="62"/>
    </row>
    <row r="73" spans="1:18" ht="15" hidden="1" customHeight="1">
      <c r="A73" s="32" t="s">
        <v>243</v>
      </c>
      <c r="B73" s="46" t="s">
        <v>244</v>
      </c>
      <c r="C73" s="46" t="s">
        <v>245</v>
      </c>
      <c r="D73" s="59"/>
      <c r="E73" s="59">
        <v>0</v>
      </c>
      <c r="F73" s="59">
        <v>0</v>
      </c>
      <c r="G73" s="60" t="s">
        <v>246</v>
      </c>
      <c r="H73" s="60" t="s">
        <v>247</v>
      </c>
      <c r="I73" s="61">
        <v>4856</v>
      </c>
      <c r="J73" s="60" t="s">
        <v>248</v>
      </c>
      <c r="K73" s="60" t="s">
        <v>244</v>
      </c>
      <c r="L73" s="60">
        <v>508621070</v>
      </c>
      <c r="M73" s="60"/>
      <c r="N73" s="56" t="str">
        <f>VLOOKUP(B73,歌单!B:C,2,0)</f>
        <v>alin</v>
      </c>
      <c r="O73" s="58">
        <f t="shared" si="1"/>
        <v>1</v>
      </c>
      <c r="P73" s="62" t="str">
        <f>VLOOKUP(B73,歌单!B:E,3,0)</f>
        <v>国语</v>
      </c>
      <c r="Q73" s="58" t="str">
        <f>VLOOKUP(B73,歌单!B:E,4,0)</f>
        <v>流行</v>
      </c>
      <c r="R73" s="62"/>
    </row>
    <row r="74" spans="1:18" ht="15" hidden="1" customHeight="1">
      <c r="A74" s="4" t="s">
        <v>249</v>
      </c>
      <c r="B74" s="46" t="s">
        <v>250</v>
      </c>
      <c r="C74" s="46" t="s">
        <v>42</v>
      </c>
      <c r="D74" s="59"/>
      <c r="E74" s="59">
        <v>0</v>
      </c>
      <c r="F74" s="59">
        <v>0</v>
      </c>
      <c r="G74" s="60" t="s">
        <v>251</v>
      </c>
      <c r="H74" s="60" t="s">
        <v>252</v>
      </c>
      <c r="I74" s="61">
        <v>2739</v>
      </c>
      <c r="J74" s="60" t="s">
        <v>253</v>
      </c>
      <c r="K74" s="60" t="s">
        <v>250</v>
      </c>
      <c r="L74" s="60">
        <v>119060924</v>
      </c>
      <c r="M74" s="60"/>
      <c r="N74" s="58" t="str">
        <f>VLOOKUP(B74,歌单!B:C,2,0)</f>
        <v>黄龄</v>
      </c>
      <c r="O74" s="58">
        <f t="shared" si="1"/>
        <v>0</v>
      </c>
      <c r="P74" s="62" t="str">
        <f>VLOOKUP(B74,歌单!B:E,3,0)</f>
        <v>国语</v>
      </c>
      <c r="Q74" s="58" t="str">
        <f>VLOOKUP(B74,歌单!B:E,4,0)</f>
        <v>古风</v>
      </c>
      <c r="R74" s="62"/>
    </row>
    <row r="75" spans="1:18" ht="15" hidden="1" customHeight="1">
      <c r="A75" s="4" t="s">
        <v>254</v>
      </c>
      <c r="B75" s="46" t="s">
        <v>255</v>
      </c>
      <c r="C75" s="46" t="s">
        <v>154</v>
      </c>
      <c r="D75" s="59"/>
      <c r="E75" s="59">
        <v>0</v>
      </c>
      <c r="F75" s="59">
        <v>0</v>
      </c>
      <c r="G75" s="60" t="s">
        <v>256</v>
      </c>
      <c r="H75" s="60"/>
      <c r="I75" s="61">
        <v>1261</v>
      </c>
      <c r="J75" s="60"/>
      <c r="K75" s="60" t="s">
        <v>257</v>
      </c>
      <c r="L75" s="60">
        <v>396368679</v>
      </c>
      <c r="M75" s="60"/>
      <c r="N75" s="58" t="str">
        <f>VLOOKUP(B75,歌单!B:C,2,0)</f>
        <v>周杰伦</v>
      </c>
      <c r="O75" s="58">
        <f t="shared" si="1"/>
        <v>0</v>
      </c>
      <c r="P75" s="62" t="str">
        <f>VLOOKUP(B75,歌单!B:E,3,0)</f>
        <v>国语</v>
      </c>
      <c r="Q75" s="58" t="str">
        <f>VLOOKUP(B75,歌单!B:E,4,0)</f>
        <v>流行</v>
      </c>
      <c r="R75" s="62"/>
    </row>
    <row r="76" spans="1:18" ht="15" hidden="1" customHeight="1">
      <c r="A76" s="4" t="s">
        <v>258</v>
      </c>
      <c r="B76" s="46" t="s">
        <v>259</v>
      </c>
      <c r="C76" s="46" t="s">
        <v>154</v>
      </c>
      <c r="D76" s="59"/>
      <c r="E76" s="59">
        <v>0</v>
      </c>
      <c r="F76" s="59">
        <v>0</v>
      </c>
      <c r="G76" s="60" t="s">
        <v>260</v>
      </c>
      <c r="H76" s="60" t="s">
        <v>261</v>
      </c>
      <c r="I76" s="61">
        <v>6002</v>
      </c>
      <c r="J76" s="60"/>
      <c r="K76" s="60" t="s">
        <v>262</v>
      </c>
      <c r="L76" s="60">
        <v>560749777</v>
      </c>
      <c r="M76" s="60"/>
      <c r="N76" s="58" t="str">
        <f>VLOOKUP(B76,歌单!B:C,2,0)</f>
        <v>周杰伦</v>
      </c>
      <c r="O76" s="58">
        <f t="shared" si="1"/>
        <v>0</v>
      </c>
      <c r="P76" s="62" t="str">
        <f>VLOOKUP(B76,歌单!B:E,3,0)</f>
        <v>国语</v>
      </c>
      <c r="Q76" s="58" t="str">
        <f>VLOOKUP(B76,歌单!B:E,4,0)</f>
        <v>流行</v>
      </c>
      <c r="R76" s="62"/>
    </row>
    <row r="77" spans="1:18" ht="15" hidden="1" customHeight="1">
      <c r="A77" s="4" t="s">
        <v>263</v>
      </c>
      <c r="B77" s="46" t="s">
        <v>264</v>
      </c>
      <c r="C77" s="46" t="s">
        <v>265</v>
      </c>
      <c r="D77" s="59"/>
      <c r="E77" s="59">
        <v>0</v>
      </c>
      <c r="F77" s="59">
        <v>0</v>
      </c>
      <c r="G77" s="60" t="s">
        <v>266</v>
      </c>
      <c r="H77" s="60" t="s">
        <v>267</v>
      </c>
      <c r="I77" s="61">
        <v>396</v>
      </c>
      <c r="J77" s="60"/>
      <c r="K77" s="60" t="s">
        <v>268</v>
      </c>
      <c r="L77" s="60">
        <v>134528215</v>
      </c>
      <c r="M77" s="60"/>
      <c r="N77" s="58" t="str">
        <f>VLOOKUP(B77,歌单!B:C,2,0)</f>
        <v>蔡依林</v>
      </c>
      <c r="O77" s="58">
        <f t="shared" si="1"/>
        <v>0</v>
      </c>
      <c r="P77" s="62" t="str">
        <f>VLOOKUP(B77,歌单!B:E,3,0)</f>
        <v>国语</v>
      </c>
      <c r="Q77" s="58" t="str">
        <f>VLOOKUP(B77,歌单!B:E,4,0)</f>
        <v>流行</v>
      </c>
      <c r="R77" s="62"/>
    </row>
    <row r="78" spans="1:18" ht="15" customHeight="1">
      <c r="A78" s="4" t="s">
        <v>269</v>
      </c>
      <c r="B78" s="46" t="s">
        <v>270</v>
      </c>
      <c r="C78" s="46" t="s">
        <v>265</v>
      </c>
      <c r="D78" s="59"/>
      <c r="E78" s="59">
        <v>0</v>
      </c>
      <c r="F78" s="59">
        <v>0</v>
      </c>
      <c r="G78" s="60" t="s">
        <v>271</v>
      </c>
      <c r="H78" s="60" t="s">
        <v>272</v>
      </c>
      <c r="I78" s="61">
        <v>13</v>
      </c>
      <c r="J78" s="60"/>
      <c r="K78" s="60" t="s">
        <v>264</v>
      </c>
      <c r="L78" s="60">
        <v>6717554</v>
      </c>
      <c r="M78" s="60"/>
      <c r="N78" s="58" t="e">
        <f>VLOOKUP(B78,歌单!B:C,2,0)</f>
        <v>#N/A</v>
      </c>
      <c r="O78" s="58">
        <f t="shared" si="1"/>
        <v>1</v>
      </c>
      <c r="P78" s="62" t="s">
        <v>10246</v>
      </c>
      <c r="Q78" s="58" t="s">
        <v>10252</v>
      </c>
      <c r="R78" s="62"/>
    </row>
    <row r="79" spans="1:18" ht="15" hidden="1" customHeight="1">
      <c r="A79" s="4" t="s">
        <v>273</v>
      </c>
      <c r="B79" s="46" t="s">
        <v>93</v>
      </c>
      <c r="C79" s="46" t="s">
        <v>51</v>
      </c>
      <c r="D79" s="59"/>
      <c r="E79" s="59">
        <v>0</v>
      </c>
      <c r="F79" s="59">
        <v>0</v>
      </c>
      <c r="G79" s="60" t="s">
        <v>274</v>
      </c>
      <c r="H79" s="60"/>
      <c r="I79" s="61">
        <v>0</v>
      </c>
      <c r="J79" s="60"/>
      <c r="K79" s="60" t="s">
        <v>275</v>
      </c>
      <c r="L79" s="60">
        <v>323164</v>
      </c>
      <c r="M79" s="60"/>
      <c r="N79" s="58" t="str">
        <f>VLOOKUP(B79,歌单!B:C,2,0)</f>
        <v>说说Crystal</v>
      </c>
      <c r="O79" s="58">
        <f t="shared" si="1"/>
        <v>0</v>
      </c>
      <c r="P79" s="62" t="str">
        <f>VLOOKUP(B79,歌单!B:E,3,0)</f>
        <v>国语</v>
      </c>
      <c r="Q79" s="58" t="str">
        <f>VLOOKUP(B79,歌单!B:E,4,0)</f>
        <v>国风</v>
      </c>
      <c r="R79" s="62"/>
    </row>
    <row r="80" spans="1:18" ht="15" customHeight="1">
      <c r="A80" s="4" t="s">
        <v>276</v>
      </c>
      <c r="B80" s="46" t="s">
        <v>277</v>
      </c>
      <c r="C80" s="46" t="s">
        <v>278</v>
      </c>
      <c r="D80" s="59"/>
      <c r="E80" s="59">
        <v>112849</v>
      </c>
      <c r="F80" s="59">
        <v>9885</v>
      </c>
      <c r="G80" s="60" t="s">
        <v>279</v>
      </c>
      <c r="H80" s="60" t="s">
        <v>280</v>
      </c>
      <c r="I80" s="61">
        <v>5582</v>
      </c>
      <c r="J80" s="60"/>
      <c r="K80" s="60" t="s">
        <v>281</v>
      </c>
      <c r="L80" s="60">
        <v>101589317</v>
      </c>
      <c r="M80" s="60"/>
      <c r="N80" s="58" t="e">
        <f>VLOOKUP(B80,歌单!B:C,2,0)</f>
        <v>#N/A</v>
      </c>
      <c r="O80" s="58">
        <f t="shared" si="1"/>
        <v>1</v>
      </c>
      <c r="P80" s="62" t="s">
        <v>10247</v>
      </c>
      <c r="Q80" s="58" t="s">
        <v>10252</v>
      </c>
      <c r="R80" s="62"/>
    </row>
    <row r="81" spans="1:18" ht="15" customHeight="1">
      <c r="A81" s="4" t="s">
        <v>282</v>
      </c>
      <c r="B81" s="46" t="s">
        <v>283</v>
      </c>
      <c r="C81" s="46" t="s">
        <v>284</v>
      </c>
      <c r="D81" s="59"/>
      <c r="E81" s="59">
        <v>0</v>
      </c>
      <c r="F81" s="59">
        <v>0</v>
      </c>
      <c r="G81" s="60" t="s">
        <v>285</v>
      </c>
      <c r="H81" s="60" t="s">
        <v>286</v>
      </c>
      <c r="I81" s="61">
        <v>0</v>
      </c>
      <c r="J81" s="60"/>
      <c r="K81" s="60" t="s">
        <v>287</v>
      </c>
      <c r="L81" s="60">
        <v>275248</v>
      </c>
      <c r="M81" s="60"/>
      <c r="N81" s="58" t="e">
        <f>VLOOKUP(B81,歌单!B:C,2,0)</f>
        <v>#N/A</v>
      </c>
      <c r="O81" s="58">
        <f t="shared" si="1"/>
        <v>1</v>
      </c>
      <c r="P81" s="62" t="s">
        <v>6480</v>
      </c>
      <c r="Q81" s="58" t="s">
        <v>10239</v>
      </c>
      <c r="R81" s="62"/>
    </row>
    <row r="82" spans="1:18" ht="15" hidden="1" customHeight="1">
      <c r="A82" s="4" t="s">
        <v>288</v>
      </c>
      <c r="B82" s="46" t="s">
        <v>289</v>
      </c>
      <c r="C82" s="46" t="s">
        <v>154</v>
      </c>
      <c r="D82" s="59"/>
      <c r="E82" s="59">
        <v>0</v>
      </c>
      <c r="F82" s="59">
        <v>0</v>
      </c>
      <c r="G82" s="60" t="s">
        <v>290</v>
      </c>
      <c r="H82" s="60" t="s">
        <v>291</v>
      </c>
      <c r="I82" s="61">
        <v>3451</v>
      </c>
      <c r="J82" s="60" t="s">
        <v>289</v>
      </c>
      <c r="K82" s="60" t="s">
        <v>292</v>
      </c>
      <c r="L82" s="60">
        <v>424774252</v>
      </c>
      <c r="M82" s="60" t="s">
        <v>293</v>
      </c>
      <c r="N82" s="58" t="str">
        <f>VLOOKUP(B82,歌单!B:C,2,0)</f>
        <v>周杰伦</v>
      </c>
      <c r="O82" s="58">
        <f t="shared" si="1"/>
        <v>0</v>
      </c>
      <c r="P82" s="62" t="str">
        <f>VLOOKUP(B82,歌单!B:E,3,0)</f>
        <v>国语</v>
      </c>
      <c r="Q82" s="58" t="str">
        <f>VLOOKUP(B82,歌单!B:E,4,0)</f>
        <v>流行</v>
      </c>
      <c r="R82" s="62"/>
    </row>
    <row r="83" spans="1:18" ht="15" hidden="1" customHeight="1">
      <c r="A83" s="4" t="s">
        <v>294</v>
      </c>
      <c r="B83" s="46" t="s">
        <v>295</v>
      </c>
      <c r="C83" s="46" t="s">
        <v>154</v>
      </c>
      <c r="D83" s="59"/>
      <c r="E83" s="59">
        <v>10838</v>
      </c>
      <c r="F83" s="59">
        <v>384</v>
      </c>
      <c r="G83" s="60" t="s">
        <v>296</v>
      </c>
      <c r="H83" s="60" t="s">
        <v>297</v>
      </c>
      <c r="I83" s="61">
        <v>2938</v>
      </c>
      <c r="J83" s="60" t="s">
        <v>298</v>
      </c>
      <c r="K83" s="60" t="s">
        <v>299</v>
      </c>
      <c r="L83" s="60">
        <v>525140241</v>
      </c>
      <c r="M83" s="60"/>
      <c r="N83" s="58" t="str">
        <f>VLOOKUP(B83,歌单!B:C,2,0)</f>
        <v>周杰伦</v>
      </c>
      <c r="O83" s="58">
        <f t="shared" si="1"/>
        <v>0</v>
      </c>
      <c r="P83" s="62" t="str">
        <f>VLOOKUP(B83,歌单!B:E,3,0)</f>
        <v>国语</v>
      </c>
      <c r="Q83" s="58" t="str">
        <f>VLOOKUP(B83,歌单!B:E,4,0)</f>
        <v>流行</v>
      </c>
      <c r="R83" s="62"/>
    </row>
    <row r="84" spans="1:18" ht="15" hidden="1" customHeight="1">
      <c r="A84" s="4" t="s">
        <v>300</v>
      </c>
      <c r="B84" s="46" t="s">
        <v>301</v>
      </c>
      <c r="C84" s="46" t="s">
        <v>302</v>
      </c>
      <c r="D84" s="59"/>
      <c r="E84" s="59">
        <v>0</v>
      </c>
      <c r="F84" s="59">
        <v>0</v>
      </c>
      <c r="G84" s="60" t="s">
        <v>303</v>
      </c>
      <c r="H84" s="60" t="s">
        <v>304</v>
      </c>
      <c r="I84" s="61">
        <v>3601</v>
      </c>
      <c r="J84" s="60"/>
      <c r="K84" s="60" t="s">
        <v>301</v>
      </c>
      <c r="L84" s="60">
        <v>1067845676</v>
      </c>
      <c r="M84" s="60"/>
      <c r="N84" s="58" t="str">
        <f>VLOOKUP(B84,歌单!B:C,2,0)</f>
        <v>汪睿</v>
      </c>
      <c r="O84" s="58">
        <f t="shared" si="1"/>
        <v>1</v>
      </c>
      <c r="P84" s="62" t="str">
        <f>VLOOKUP(B84,歌单!B:E,3,0)</f>
        <v>国语</v>
      </c>
      <c r="Q84" s="58" t="str">
        <f>VLOOKUP(B84,歌单!B:E,4,0)</f>
        <v>古风</v>
      </c>
      <c r="R84" s="62"/>
    </row>
    <row r="85" spans="1:18" ht="15" hidden="1" customHeight="1">
      <c r="A85" s="4" t="s">
        <v>305</v>
      </c>
      <c r="B85" s="46" t="s">
        <v>306</v>
      </c>
      <c r="C85" s="46" t="s">
        <v>307</v>
      </c>
      <c r="D85" s="59"/>
      <c r="E85" s="59">
        <v>0</v>
      </c>
      <c r="F85" s="59">
        <v>0</v>
      </c>
      <c r="G85" s="60" t="s">
        <v>308</v>
      </c>
      <c r="H85" s="60" t="s">
        <v>309</v>
      </c>
      <c r="I85" s="61">
        <v>225</v>
      </c>
      <c r="J85" s="60" t="s">
        <v>310</v>
      </c>
      <c r="K85" s="60" t="s">
        <v>311</v>
      </c>
      <c r="L85" s="60">
        <v>116322553</v>
      </c>
      <c r="M85" s="60"/>
      <c r="N85" s="58" t="str">
        <f>VLOOKUP(B85,歌单!B:C,2,0)</f>
        <v>鹿先森乐队</v>
      </c>
      <c r="O85" s="58">
        <f t="shared" si="1"/>
        <v>0</v>
      </c>
      <c r="P85" s="62" t="str">
        <f>VLOOKUP(B85,歌单!B:E,3,0)</f>
        <v>国语</v>
      </c>
      <c r="Q85" s="58" t="str">
        <f>VLOOKUP(B85,歌单!B:E,4,0)</f>
        <v>流行</v>
      </c>
      <c r="R85" s="62"/>
    </row>
    <row r="86" spans="1:18" ht="15" hidden="1" customHeight="1">
      <c r="A86" s="32" t="s">
        <v>312</v>
      </c>
      <c r="B86" s="46" t="s">
        <v>313</v>
      </c>
      <c r="C86" s="46" t="s">
        <v>314</v>
      </c>
      <c r="D86" s="59"/>
      <c r="E86" s="59">
        <v>0</v>
      </c>
      <c r="F86" s="59">
        <v>0</v>
      </c>
      <c r="G86" s="60" t="s">
        <v>315</v>
      </c>
      <c r="H86" s="60" t="s">
        <v>316</v>
      </c>
      <c r="I86" s="61">
        <v>1717</v>
      </c>
      <c r="J86" s="60"/>
      <c r="K86" s="60" t="s">
        <v>317</v>
      </c>
      <c r="L86" s="60">
        <v>79378829</v>
      </c>
      <c r="M86" s="60"/>
      <c r="N86" s="56" t="str">
        <f>VLOOKUP(B86,歌单!B:C,2,0)</f>
        <v>降央卓玛</v>
      </c>
      <c r="O86" s="58">
        <f t="shared" si="1"/>
        <v>1</v>
      </c>
      <c r="P86" s="62" t="str">
        <f>VLOOKUP(B86,歌单!B:E,3,0)</f>
        <v>国语</v>
      </c>
      <c r="Q86" s="58" t="str">
        <f>VLOOKUP(B86,歌单!B:E,4,0)</f>
        <v>民族</v>
      </c>
      <c r="R86" s="62"/>
    </row>
    <row r="87" spans="1:18" ht="15" hidden="1" customHeight="1">
      <c r="A87" s="4" t="s">
        <v>318</v>
      </c>
      <c r="B87" s="46" t="s">
        <v>319</v>
      </c>
      <c r="C87" s="46" t="s">
        <v>154</v>
      </c>
      <c r="D87" s="59"/>
      <c r="E87" s="59">
        <v>5048</v>
      </c>
      <c r="F87" s="59">
        <v>135</v>
      </c>
      <c r="G87" s="60" t="s">
        <v>320</v>
      </c>
      <c r="H87" s="60"/>
      <c r="I87" s="61">
        <v>15983</v>
      </c>
      <c r="J87" s="60"/>
      <c r="K87" s="60" t="s">
        <v>321</v>
      </c>
      <c r="L87" s="60">
        <v>1497162616</v>
      </c>
      <c r="M87" s="60" t="s">
        <v>322</v>
      </c>
      <c r="N87" s="58" t="str">
        <f>VLOOKUP(B87,歌单!B:C,2,0)</f>
        <v>周杰伦</v>
      </c>
      <c r="O87" s="58">
        <f t="shared" si="1"/>
        <v>0</v>
      </c>
      <c r="P87" s="62" t="str">
        <f>VLOOKUP(B87,歌单!B:E,3,0)</f>
        <v>国语</v>
      </c>
      <c r="Q87" s="58" t="str">
        <f>VLOOKUP(B87,歌单!B:E,4,0)</f>
        <v>流行</v>
      </c>
      <c r="R87" s="62"/>
    </row>
    <row r="88" spans="1:18" ht="15" hidden="1" customHeight="1">
      <c r="A88" s="4" t="s">
        <v>323</v>
      </c>
      <c r="B88" s="46" t="s">
        <v>324</v>
      </c>
      <c r="C88" s="46" t="s">
        <v>325</v>
      </c>
      <c r="D88" s="59"/>
      <c r="E88" s="59">
        <v>0</v>
      </c>
      <c r="F88" s="59">
        <v>0</v>
      </c>
      <c r="G88" s="60" t="s">
        <v>326</v>
      </c>
      <c r="H88" s="60"/>
      <c r="I88" s="61">
        <v>3362</v>
      </c>
      <c r="J88" s="60"/>
      <c r="K88" s="60" t="s">
        <v>324</v>
      </c>
      <c r="L88" s="60">
        <v>258996748</v>
      </c>
      <c r="M88" s="60"/>
      <c r="N88" s="58" t="str">
        <f>VLOOKUP(B88,歌单!B:C,2,0)</f>
        <v>yihuik苡慧</v>
      </c>
      <c r="O88" s="58">
        <f t="shared" si="1"/>
        <v>1</v>
      </c>
      <c r="P88" s="62" t="str">
        <f>VLOOKUP(B88,歌单!B:E,3,0)</f>
        <v>国语</v>
      </c>
      <c r="Q88" s="58" t="str">
        <f>VLOOKUP(B88,歌单!B:E,4,0)</f>
        <v>流行</v>
      </c>
      <c r="R88" s="62"/>
    </row>
    <row r="89" spans="1:18" ht="15" customHeight="1">
      <c r="A89" s="4" t="s">
        <v>327</v>
      </c>
      <c r="B89" s="46" t="s">
        <v>328</v>
      </c>
      <c r="C89" s="46" t="s">
        <v>154</v>
      </c>
      <c r="D89" s="59"/>
      <c r="E89" s="59">
        <v>0</v>
      </c>
      <c r="F89" s="59">
        <v>0</v>
      </c>
      <c r="G89" s="60" t="s">
        <v>329</v>
      </c>
      <c r="H89" s="60" t="s">
        <v>330</v>
      </c>
      <c r="I89" s="61">
        <v>757</v>
      </c>
      <c r="J89" s="60"/>
      <c r="K89" s="60" t="s">
        <v>262</v>
      </c>
      <c r="L89" s="60">
        <v>267490941</v>
      </c>
      <c r="M89" s="60"/>
      <c r="N89" s="58" t="e">
        <f>VLOOKUP(B89,歌单!B:C,2,0)</f>
        <v>#N/A</v>
      </c>
      <c r="O89" s="58">
        <f t="shared" si="1"/>
        <v>1</v>
      </c>
      <c r="P89" s="62" t="s">
        <v>10246</v>
      </c>
      <c r="Q89" s="58" t="s">
        <v>10252</v>
      </c>
      <c r="R89" s="62"/>
    </row>
    <row r="90" spans="1:18" ht="15" hidden="1" customHeight="1">
      <c r="A90" s="4" t="s">
        <v>331</v>
      </c>
      <c r="B90" s="46" t="s">
        <v>332</v>
      </c>
      <c r="C90" s="46" t="s">
        <v>333</v>
      </c>
      <c r="D90" s="59"/>
      <c r="E90" s="59">
        <v>0</v>
      </c>
      <c r="F90" s="59">
        <v>0</v>
      </c>
      <c r="G90" s="60" t="s">
        <v>334</v>
      </c>
      <c r="H90" s="60" t="s">
        <v>335</v>
      </c>
      <c r="I90" s="61">
        <v>173</v>
      </c>
      <c r="J90" s="60"/>
      <c r="K90" s="60"/>
      <c r="L90" s="60">
        <v>25997684</v>
      </c>
      <c r="M90" s="60"/>
      <c r="N90" s="58" t="str">
        <f>VLOOKUP(B90,歌单!B:C,2,0)</f>
        <v>常思思</v>
      </c>
      <c r="O90" s="58">
        <f t="shared" si="1"/>
        <v>0</v>
      </c>
      <c r="P90" s="62" t="str">
        <f>VLOOKUP(B90,歌单!B:E,3,0)</f>
        <v>国语</v>
      </c>
      <c r="Q90" s="58" t="str">
        <f>VLOOKUP(B90,歌单!B:E,4,0)</f>
        <v>美声</v>
      </c>
      <c r="R90" s="62"/>
    </row>
    <row r="91" spans="1:18" ht="15" hidden="1" customHeight="1">
      <c r="A91" s="4" t="s">
        <v>336</v>
      </c>
      <c r="B91" s="46" t="s">
        <v>337</v>
      </c>
      <c r="C91" s="46" t="s">
        <v>333</v>
      </c>
      <c r="D91" s="59"/>
      <c r="E91" s="59">
        <v>0</v>
      </c>
      <c r="F91" s="59">
        <v>0</v>
      </c>
      <c r="G91" s="60" t="s">
        <v>338</v>
      </c>
      <c r="H91" s="60" t="s">
        <v>339</v>
      </c>
      <c r="I91" s="61">
        <v>6</v>
      </c>
      <c r="J91" s="60"/>
      <c r="K91" s="60" t="s">
        <v>340</v>
      </c>
      <c r="L91" s="60">
        <v>3469898</v>
      </c>
      <c r="M91" s="60"/>
      <c r="N91" s="58" t="str">
        <f>VLOOKUP(B91,歌单!B:C,2,0)</f>
        <v>常思思</v>
      </c>
      <c r="O91" s="58">
        <f t="shared" si="1"/>
        <v>0</v>
      </c>
      <c r="P91" s="62" t="str">
        <f>VLOOKUP(B91,歌单!B:E,3,0)</f>
        <v>国语</v>
      </c>
      <c r="Q91" s="58" t="str">
        <f>VLOOKUP(B91,歌单!B:E,4,0)</f>
        <v>美声</v>
      </c>
      <c r="R91" s="62"/>
    </row>
    <row r="92" spans="1:18" ht="15" hidden="1" customHeight="1">
      <c r="A92" s="4" t="s">
        <v>341</v>
      </c>
      <c r="B92" s="46" t="s">
        <v>342</v>
      </c>
      <c r="C92" s="46" t="s">
        <v>343</v>
      </c>
      <c r="D92" s="59"/>
      <c r="E92" s="59">
        <v>0</v>
      </c>
      <c r="F92" s="59">
        <v>0</v>
      </c>
      <c r="G92" s="60" t="s">
        <v>344</v>
      </c>
      <c r="H92" s="60" t="s">
        <v>345</v>
      </c>
      <c r="I92" s="61">
        <v>620</v>
      </c>
      <c r="J92" s="60"/>
      <c r="K92" s="60"/>
      <c r="L92" s="60">
        <v>86381272</v>
      </c>
      <c r="M92" s="60"/>
      <c r="N92" s="58" t="str">
        <f>VLOOKUP(B92,歌单!B:C,2,0)</f>
        <v>周深</v>
      </c>
      <c r="O92" s="58">
        <f t="shared" si="1"/>
        <v>0</v>
      </c>
      <c r="P92" s="62" t="str">
        <f>VLOOKUP(B92,歌单!B:E,3,0)</f>
        <v>国语</v>
      </c>
      <c r="Q92" s="58" t="str">
        <f>VLOOKUP(B92,歌单!B:E,4,0)</f>
        <v>流行</v>
      </c>
      <c r="R92" s="62"/>
    </row>
    <row r="93" spans="1:18" ht="15" customHeight="1">
      <c r="A93" s="4" t="s">
        <v>346</v>
      </c>
      <c r="B93" s="46" t="s">
        <v>347</v>
      </c>
      <c r="C93" s="46" t="s">
        <v>348</v>
      </c>
      <c r="D93" s="59"/>
      <c r="E93" s="59">
        <v>0</v>
      </c>
      <c r="F93" s="59">
        <v>0</v>
      </c>
      <c r="G93" s="60" t="s">
        <v>349</v>
      </c>
      <c r="H93" s="60" t="s">
        <v>350</v>
      </c>
      <c r="I93" s="61">
        <v>39</v>
      </c>
      <c r="J93" s="60"/>
      <c r="K93" s="60" t="s">
        <v>351</v>
      </c>
      <c r="L93" s="60">
        <v>13683214</v>
      </c>
      <c r="M93" s="60"/>
      <c r="N93" s="58">
        <f>VLOOKUP(B93,歌单!B:C,2,0)</f>
        <v>0</v>
      </c>
      <c r="O93" s="58">
        <f t="shared" si="1"/>
        <v>1</v>
      </c>
      <c r="P93" s="62" t="str">
        <f>VLOOKUP(B93,歌单!B:E,3,0)</f>
        <v>国语</v>
      </c>
      <c r="Q93" s="58" t="str">
        <f>VLOOKUP(B93,歌单!B:E,4,0)</f>
        <v>流行</v>
      </c>
      <c r="R93" s="62"/>
    </row>
    <row r="94" spans="1:18" ht="15" hidden="1" customHeight="1">
      <c r="A94" s="4" t="s">
        <v>352</v>
      </c>
      <c r="B94" s="46" t="s">
        <v>353</v>
      </c>
      <c r="C94" s="46" t="s">
        <v>354</v>
      </c>
      <c r="D94" s="59"/>
      <c r="E94" s="59">
        <v>0</v>
      </c>
      <c r="F94" s="59">
        <v>0</v>
      </c>
      <c r="G94" s="60" t="s">
        <v>355</v>
      </c>
      <c r="H94" s="60" t="s">
        <v>356</v>
      </c>
      <c r="I94" s="61">
        <v>1423</v>
      </c>
      <c r="J94" s="60"/>
      <c r="K94" s="60" t="s">
        <v>357</v>
      </c>
      <c r="L94" s="60">
        <v>184930045</v>
      </c>
      <c r="M94" s="60"/>
      <c r="N94" s="58" t="str">
        <f>VLOOKUP(B94,歌单!B:C,2,0)</f>
        <v>李玟 / 周杰伦</v>
      </c>
      <c r="O94" s="58">
        <f t="shared" si="1"/>
        <v>1</v>
      </c>
      <c r="P94" s="62" t="str">
        <f>VLOOKUP(B94,歌单!B:E,3,0)</f>
        <v>国语</v>
      </c>
      <c r="Q94" s="58" t="str">
        <f>VLOOKUP(B94,歌单!B:E,4,0)</f>
        <v>流行</v>
      </c>
      <c r="R94" s="62"/>
    </row>
    <row r="95" spans="1:18" ht="15" hidden="1" customHeight="1">
      <c r="A95" s="4" t="s">
        <v>358</v>
      </c>
      <c r="B95" s="46" t="s">
        <v>359</v>
      </c>
      <c r="C95" s="46" t="s">
        <v>360</v>
      </c>
      <c r="D95" s="59"/>
      <c r="E95" s="59">
        <v>0</v>
      </c>
      <c r="F95" s="59">
        <v>0</v>
      </c>
      <c r="G95" s="60" t="s">
        <v>361</v>
      </c>
      <c r="H95" s="60" t="s">
        <v>362</v>
      </c>
      <c r="I95" s="61">
        <v>314</v>
      </c>
      <c r="J95" s="60" t="s">
        <v>363</v>
      </c>
      <c r="K95" s="60" t="s">
        <v>364</v>
      </c>
      <c r="L95" s="60">
        <v>93242865</v>
      </c>
      <c r="M95" s="60"/>
      <c r="N95" s="58" t="str">
        <f>VLOOKUP(B95,歌单!B:C,2,0)</f>
        <v>张碧晨</v>
      </c>
      <c r="O95" s="58">
        <f t="shared" si="1"/>
        <v>0</v>
      </c>
      <c r="P95" s="62" t="str">
        <f>VLOOKUP(B95,歌单!B:E,3,0)</f>
        <v>国语</v>
      </c>
      <c r="Q95" s="58" t="str">
        <f>VLOOKUP(B95,歌单!B:E,4,0)</f>
        <v>流行</v>
      </c>
      <c r="R95" s="62"/>
    </row>
    <row r="96" spans="1:18" ht="15" customHeight="1">
      <c r="A96" s="4" t="s">
        <v>365</v>
      </c>
      <c r="B96" s="46" t="s">
        <v>366</v>
      </c>
      <c r="C96" s="46" t="s">
        <v>367</v>
      </c>
      <c r="D96" s="59"/>
      <c r="E96" s="59">
        <v>0</v>
      </c>
      <c r="F96" s="59">
        <v>0</v>
      </c>
      <c r="G96" s="60" t="s">
        <v>368</v>
      </c>
      <c r="H96" s="60"/>
      <c r="I96" s="61">
        <v>4</v>
      </c>
      <c r="J96" s="60"/>
      <c r="K96" s="60"/>
      <c r="L96" s="60">
        <v>5415807</v>
      </c>
      <c r="M96" s="60"/>
      <c r="N96" s="58">
        <f>VLOOKUP(B96,歌单!B:C,2,0)</f>
        <v>0</v>
      </c>
      <c r="O96" s="58">
        <f t="shared" si="1"/>
        <v>1</v>
      </c>
      <c r="P96" s="62" t="str">
        <f>VLOOKUP(B96,歌单!B:E,3,0)</f>
        <v>国语</v>
      </c>
      <c r="Q96" s="58" t="str">
        <f>VLOOKUP(B96,歌单!B:E,4,0)</f>
        <v>流行</v>
      </c>
      <c r="R96" s="62"/>
    </row>
    <row r="97" spans="1:18" ht="15" customHeight="1">
      <c r="A97" s="4" t="s">
        <v>369</v>
      </c>
      <c r="B97" s="46" t="s">
        <v>370</v>
      </c>
      <c r="C97" s="46" t="s">
        <v>154</v>
      </c>
      <c r="D97" s="59"/>
      <c r="E97" s="59">
        <v>0</v>
      </c>
      <c r="F97" s="59">
        <v>0</v>
      </c>
      <c r="G97" s="60" t="s">
        <v>371</v>
      </c>
      <c r="H97" s="60" t="s">
        <v>372</v>
      </c>
      <c r="I97" s="61">
        <v>1203</v>
      </c>
      <c r="J97" s="60"/>
      <c r="K97" s="60" t="s">
        <v>373</v>
      </c>
      <c r="L97" s="60">
        <v>318249236</v>
      </c>
      <c r="M97" s="60"/>
      <c r="N97" s="58">
        <f>VLOOKUP(B97,歌单!B:C,2,0)</f>
        <v>0</v>
      </c>
      <c r="O97" s="58">
        <f t="shared" si="1"/>
        <v>1</v>
      </c>
      <c r="P97" s="62" t="str">
        <f>VLOOKUP(B97,歌单!B:E,3,0)</f>
        <v>国语</v>
      </c>
      <c r="Q97" s="58" t="str">
        <f>VLOOKUP(B97,歌单!B:E,4,0)</f>
        <v>流行</v>
      </c>
      <c r="R97" s="62"/>
    </row>
    <row r="98" spans="1:18" ht="15" hidden="1" customHeight="1">
      <c r="A98" s="4" t="s">
        <v>374</v>
      </c>
      <c r="B98" s="46" t="s">
        <v>375</v>
      </c>
      <c r="C98" s="46" t="s">
        <v>154</v>
      </c>
      <c r="D98" s="59"/>
      <c r="E98" s="59">
        <v>0</v>
      </c>
      <c r="F98" s="59">
        <v>0</v>
      </c>
      <c r="G98" s="60" t="s">
        <v>376</v>
      </c>
      <c r="H98" s="60"/>
      <c r="I98" s="61">
        <v>1340</v>
      </c>
      <c r="J98" s="60" t="s">
        <v>377</v>
      </c>
      <c r="K98" s="60" t="s">
        <v>378</v>
      </c>
      <c r="L98" s="60">
        <v>394249952</v>
      </c>
      <c r="M98" s="60"/>
      <c r="N98" s="58" t="str">
        <f>VLOOKUP(B98,歌单!B:C,2,0)</f>
        <v>周杰伦</v>
      </c>
      <c r="O98" s="58">
        <f t="shared" si="1"/>
        <v>0</v>
      </c>
      <c r="P98" s="62" t="str">
        <f>VLOOKUP(B98,歌单!B:E,3,0)</f>
        <v>国语</v>
      </c>
      <c r="Q98" s="58" t="str">
        <f>VLOOKUP(B98,歌单!B:E,4,0)</f>
        <v>流行</v>
      </c>
      <c r="R98" s="62"/>
    </row>
    <row r="99" spans="1:18" ht="15" hidden="1" customHeight="1">
      <c r="A99" s="4" t="s">
        <v>379</v>
      </c>
      <c r="B99" s="46" t="s">
        <v>380</v>
      </c>
      <c r="C99" s="46" t="s">
        <v>154</v>
      </c>
      <c r="D99" s="59"/>
      <c r="E99" s="59">
        <v>80914</v>
      </c>
      <c r="F99" s="59">
        <v>13096</v>
      </c>
      <c r="G99" s="60" t="s">
        <v>381</v>
      </c>
      <c r="H99" s="60" t="s">
        <v>382</v>
      </c>
      <c r="I99" s="61">
        <v>2038</v>
      </c>
      <c r="J99" s="60"/>
      <c r="K99" s="60" t="s">
        <v>380</v>
      </c>
      <c r="L99" s="60">
        <v>419569575</v>
      </c>
      <c r="M99" s="60"/>
      <c r="N99" s="58" t="str">
        <f>VLOOKUP(B99,歌单!B:C,2,0)</f>
        <v>周杰伦</v>
      </c>
      <c r="O99" s="58">
        <f t="shared" si="1"/>
        <v>0</v>
      </c>
      <c r="P99" s="62" t="str">
        <f>VLOOKUP(B99,歌单!B:E,3,0)</f>
        <v>国语</v>
      </c>
      <c r="Q99" s="58" t="str">
        <f>VLOOKUP(B99,歌单!B:E,4,0)</f>
        <v>流行</v>
      </c>
      <c r="R99" s="62"/>
    </row>
    <row r="100" spans="1:18" ht="15" hidden="1" customHeight="1">
      <c r="A100" s="4" t="s">
        <v>383</v>
      </c>
      <c r="B100" s="46" t="s">
        <v>384</v>
      </c>
      <c r="C100" s="46" t="s">
        <v>385</v>
      </c>
      <c r="D100" s="59"/>
      <c r="E100" s="59">
        <v>0</v>
      </c>
      <c r="F100" s="59">
        <v>0</v>
      </c>
      <c r="G100" s="60" t="s">
        <v>386</v>
      </c>
      <c r="H100" s="60" t="s">
        <v>387</v>
      </c>
      <c r="I100" s="61">
        <v>0</v>
      </c>
      <c r="J100" s="60"/>
      <c r="K100" s="60" t="s">
        <v>388</v>
      </c>
      <c r="L100" s="60">
        <v>436159</v>
      </c>
      <c r="M100" s="60"/>
      <c r="N100" s="58" t="str">
        <f>VLOOKUP(B100,歌单!B:C,2,0)</f>
        <v>黄龄</v>
      </c>
      <c r="O100" s="58">
        <f t="shared" si="1"/>
        <v>0</v>
      </c>
      <c r="P100" s="62" t="str">
        <f>VLOOKUP(B100,歌单!B:E,3,0)</f>
        <v>国语</v>
      </c>
      <c r="Q100" s="58" t="str">
        <f>VLOOKUP(B100,歌单!B:E,4,0)</f>
        <v>流行</v>
      </c>
      <c r="R100" s="62"/>
    </row>
    <row r="101" spans="1:18" ht="15" hidden="1" customHeight="1">
      <c r="A101" s="4" t="s">
        <v>389</v>
      </c>
      <c r="B101" s="46" t="s">
        <v>390</v>
      </c>
      <c r="C101" s="46" t="s">
        <v>154</v>
      </c>
      <c r="D101" s="59"/>
      <c r="E101" s="59">
        <v>0</v>
      </c>
      <c r="F101" s="59">
        <v>0</v>
      </c>
      <c r="G101" s="60" t="s">
        <v>391</v>
      </c>
      <c r="H101" s="60" t="s">
        <v>392</v>
      </c>
      <c r="I101" s="61">
        <v>4083</v>
      </c>
      <c r="J101" s="60"/>
      <c r="K101" s="60" t="s">
        <v>373</v>
      </c>
      <c r="L101" s="60">
        <v>457122858</v>
      </c>
      <c r="M101" s="60"/>
      <c r="N101" s="58" t="str">
        <f>VLOOKUP(B101,歌单!B:C,2,0)</f>
        <v>周杰伦</v>
      </c>
      <c r="O101" s="58">
        <f t="shared" si="1"/>
        <v>0</v>
      </c>
      <c r="P101" s="62" t="str">
        <f>VLOOKUP(B101,歌单!B:E,3,0)</f>
        <v>国语</v>
      </c>
      <c r="Q101" s="58" t="str">
        <f>VLOOKUP(B101,歌单!B:E,4,0)</f>
        <v>流行</v>
      </c>
      <c r="R101" s="62"/>
    </row>
    <row r="102" spans="1:18" ht="15" hidden="1" customHeight="1">
      <c r="A102" s="4" t="s">
        <v>393</v>
      </c>
      <c r="B102" s="46" t="s">
        <v>394</v>
      </c>
      <c r="C102" s="46" t="s">
        <v>395</v>
      </c>
      <c r="D102" s="59"/>
      <c r="E102" s="59">
        <v>0</v>
      </c>
      <c r="F102" s="59">
        <v>0</v>
      </c>
      <c r="G102" s="67" t="s">
        <v>396</v>
      </c>
      <c r="H102" s="60"/>
      <c r="I102" s="61">
        <v>2174</v>
      </c>
      <c r="J102" s="60"/>
      <c r="K102" s="60" t="s">
        <v>397</v>
      </c>
      <c r="L102" s="60">
        <v>383197673</v>
      </c>
      <c r="M102" s="60" t="s">
        <v>293</v>
      </c>
      <c r="N102" s="58" t="str">
        <f>VLOOKUP(B102,歌单!B:C,2,0)</f>
        <v>S.H.E</v>
      </c>
      <c r="O102" s="58">
        <f t="shared" si="1"/>
        <v>0</v>
      </c>
      <c r="P102" s="62" t="str">
        <f>VLOOKUP(B102,歌单!B:E,3,0)</f>
        <v>国语</v>
      </c>
      <c r="Q102" s="58" t="str">
        <f>VLOOKUP(B102,歌单!B:E,4,0)</f>
        <v>流行</v>
      </c>
      <c r="R102" s="62"/>
    </row>
    <row r="103" spans="1:18" ht="15" customHeight="1">
      <c r="A103" s="4" t="s">
        <v>398</v>
      </c>
      <c r="B103" s="46" t="s">
        <v>399</v>
      </c>
      <c r="C103" s="46" t="s">
        <v>400</v>
      </c>
      <c r="D103" s="59"/>
      <c r="E103" s="59">
        <v>0</v>
      </c>
      <c r="F103" s="59">
        <v>0</v>
      </c>
      <c r="G103" s="60" t="s">
        <v>401</v>
      </c>
      <c r="H103" s="60"/>
      <c r="I103" s="61">
        <v>65</v>
      </c>
      <c r="J103" s="60"/>
      <c r="K103" s="60" t="s">
        <v>402</v>
      </c>
      <c r="L103" s="60">
        <v>14743388</v>
      </c>
      <c r="M103" s="60"/>
      <c r="N103" s="58" t="e">
        <f>VLOOKUP(B103,歌单!B:C,2,0)</f>
        <v>#N/A</v>
      </c>
      <c r="O103" s="58">
        <f t="shared" si="1"/>
        <v>1</v>
      </c>
      <c r="P103" s="62" t="s">
        <v>10248</v>
      </c>
      <c r="Q103" s="58" t="s">
        <v>10252</v>
      </c>
      <c r="R103" s="62"/>
    </row>
    <row r="104" spans="1:18" ht="15" customHeight="1">
      <c r="A104" s="4" t="s">
        <v>403</v>
      </c>
      <c r="B104" s="46" t="s">
        <v>404</v>
      </c>
      <c r="C104" s="46" t="s">
        <v>131</v>
      </c>
      <c r="D104" s="59"/>
      <c r="E104" s="59">
        <v>0</v>
      </c>
      <c r="F104" s="59">
        <v>0</v>
      </c>
      <c r="G104" s="60" t="s">
        <v>405</v>
      </c>
      <c r="H104" s="60" t="s">
        <v>406</v>
      </c>
      <c r="I104" s="61">
        <v>29</v>
      </c>
      <c r="J104" s="60"/>
      <c r="K104" s="60" t="s">
        <v>407</v>
      </c>
      <c r="L104" s="60">
        <v>4935297</v>
      </c>
      <c r="M104" s="60"/>
      <c r="N104" s="58" t="e">
        <f>VLOOKUP(B104,歌单!B:C,2,0)</f>
        <v>#N/A</v>
      </c>
      <c r="O104" s="58">
        <f t="shared" si="1"/>
        <v>1</v>
      </c>
      <c r="P104" s="62" t="s">
        <v>10246</v>
      </c>
      <c r="Q104" s="58" t="s">
        <v>10252</v>
      </c>
      <c r="R104" s="62"/>
    </row>
    <row r="105" spans="1:18" ht="15" hidden="1" customHeight="1">
      <c r="A105" s="4" t="s">
        <v>408</v>
      </c>
      <c r="B105" s="46" t="s">
        <v>409</v>
      </c>
      <c r="C105" s="46" t="s">
        <v>410</v>
      </c>
      <c r="D105" s="59"/>
      <c r="E105" s="59">
        <v>0</v>
      </c>
      <c r="F105" s="59">
        <v>0</v>
      </c>
      <c r="G105" s="60" t="s">
        <v>411</v>
      </c>
      <c r="H105" s="60" t="s">
        <v>412</v>
      </c>
      <c r="I105" s="61">
        <v>838</v>
      </c>
      <c r="J105" s="60"/>
      <c r="K105" s="60"/>
      <c r="L105" s="60">
        <v>100019249</v>
      </c>
      <c r="M105" s="60"/>
      <c r="N105" s="58" t="str">
        <f>VLOOKUP(B105,歌单!B:C,2,0)</f>
        <v>Fine乐团</v>
      </c>
      <c r="O105" s="58">
        <f t="shared" si="1"/>
        <v>0</v>
      </c>
      <c r="P105" s="62" t="str">
        <f>VLOOKUP(B105,歌单!B:E,3,0)</f>
        <v>国语</v>
      </c>
      <c r="Q105" s="58" t="str">
        <f>VLOOKUP(B105,歌单!B:E,4,0)</f>
        <v>流行</v>
      </c>
      <c r="R105" s="62"/>
    </row>
    <row r="106" spans="1:18" ht="15" hidden="1" customHeight="1">
      <c r="A106" s="4" t="s">
        <v>413</v>
      </c>
      <c r="B106" s="46" t="s">
        <v>414</v>
      </c>
      <c r="C106" s="46" t="s">
        <v>154</v>
      </c>
      <c r="D106" s="59"/>
      <c r="E106" s="59">
        <v>0</v>
      </c>
      <c r="F106" s="59">
        <v>0</v>
      </c>
      <c r="G106" s="60" t="s">
        <v>415</v>
      </c>
      <c r="H106" s="60"/>
      <c r="I106" s="61">
        <v>2791</v>
      </c>
      <c r="J106" s="60"/>
      <c r="K106" s="60" t="s">
        <v>416</v>
      </c>
      <c r="L106" s="60">
        <v>787100295</v>
      </c>
      <c r="M106" s="60"/>
      <c r="N106" s="58" t="str">
        <f>VLOOKUP(B106,歌单!B:C,2,0)</f>
        <v>周杰伦</v>
      </c>
      <c r="O106" s="58">
        <f t="shared" si="1"/>
        <v>0</v>
      </c>
      <c r="P106" s="62" t="str">
        <f>VLOOKUP(B106,歌单!B:E,3,0)</f>
        <v>国语</v>
      </c>
      <c r="Q106" s="58" t="str">
        <f>VLOOKUP(B106,歌单!B:E,4,0)</f>
        <v>流行</v>
      </c>
      <c r="R106" s="62"/>
    </row>
    <row r="107" spans="1:18" ht="15" customHeight="1">
      <c r="A107" s="4" t="s">
        <v>417</v>
      </c>
      <c r="B107" s="46" t="s">
        <v>418</v>
      </c>
      <c r="C107" s="46" t="s">
        <v>154</v>
      </c>
      <c r="D107" s="59"/>
      <c r="E107" s="59">
        <v>0</v>
      </c>
      <c r="F107" s="59">
        <v>0</v>
      </c>
      <c r="G107" s="60" t="s">
        <v>419</v>
      </c>
      <c r="H107" s="60" t="s">
        <v>420</v>
      </c>
      <c r="I107" s="61">
        <v>1115</v>
      </c>
      <c r="J107" s="60"/>
      <c r="K107" s="60" t="s">
        <v>378</v>
      </c>
      <c r="L107" s="60">
        <v>514709406</v>
      </c>
      <c r="M107" s="60"/>
      <c r="N107" s="58">
        <f>VLOOKUP(B107,歌单!B:C,2,0)</f>
        <v>0</v>
      </c>
      <c r="O107" s="58">
        <f t="shared" si="1"/>
        <v>1</v>
      </c>
      <c r="P107" s="62" t="str">
        <f>VLOOKUP(B107,歌单!B:E,3,0)</f>
        <v>国语</v>
      </c>
      <c r="Q107" s="58" t="str">
        <f>VLOOKUP(B107,歌单!B:E,4,0)</f>
        <v>流行</v>
      </c>
      <c r="R107" s="62"/>
    </row>
    <row r="108" spans="1:18" ht="15" hidden="1" customHeight="1">
      <c r="A108" s="4" t="s">
        <v>421</v>
      </c>
      <c r="B108" s="46" t="s">
        <v>422</v>
      </c>
      <c r="C108" s="46" t="s">
        <v>154</v>
      </c>
      <c r="D108" s="59"/>
      <c r="E108" s="59">
        <v>0</v>
      </c>
      <c r="F108" s="59">
        <v>0</v>
      </c>
      <c r="G108" s="60" t="s">
        <v>423</v>
      </c>
      <c r="H108" s="60" t="s">
        <v>424</v>
      </c>
      <c r="I108" s="61">
        <v>984</v>
      </c>
      <c r="J108" s="60" t="s">
        <v>422</v>
      </c>
      <c r="K108" s="60" t="s">
        <v>416</v>
      </c>
      <c r="L108" s="60">
        <v>226606662</v>
      </c>
      <c r="M108" s="60"/>
      <c r="N108" s="58" t="str">
        <f>VLOOKUP(B108,歌单!B:C,2,0)</f>
        <v>周杰伦</v>
      </c>
      <c r="O108" s="58">
        <f t="shared" si="1"/>
        <v>0</v>
      </c>
      <c r="P108" s="62" t="str">
        <f>VLOOKUP(B108,歌单!B:E,3,0)</f>
        <v>国语</v>
      </c>
      <c r="Q108" s="58" t="str">
        <f>VLOOKUP(B108,歌单!B:E,4,0)</f>
        <v>流行</v>
      </c>
      <c r="R108" s="62"/>
    </row>
    <row r="109" spans="1:18" ht="15" hidden="1" customHeight="1">
      <c r="A109" s="4" t="s">
        <v>425</v>
      </c>
      <c r="B109" s="46" t="s">
        <v>426</v>
      </c>
      <c r="C109" s="46" t="s">
        <v>427</v>
      </c>
      <c r="D109" s="59"/>
      <c r="E109" s="59">
        <v>0</v>
      </c>
      <c r="F109" s="59">
        <v>0</v>
      </c>
      <c r="G109" s="60" t="s">
        <v>428</v>
      </c>
      <c r="H109" s="60" t="s">
        <v>429</v>
      </c>
      <c r="I109" s="61">
        <v>876</v>
      </c>
      <c r="J109" s="60" t="s">
        <v>430</v>
      </c>
      <c r="K109" s="60" t="s">
        <v>426</v>
      </c>
      <c r="L109" s="60">
        <v>263880895</v>
      </c>
      <c r="M109" s="60" t="s">
        <v>431</v>
      </c>
      <c r="N109" s="58" t="str">
        <f>VLOOKUP(B109,歌单!B:C,2,0)</f>
        <v>袁娅维</v>
      </c>
      <c r="O109" s="58">
        <f t="shared" si="1"/>
        <v>0</v>
      </c>
      <c r="P109" s="62" t="str">
        <f>VLOOKUP(B109,歌单!B:E,3,0)</f>
        <v>国语</v>
      </c>
      <c r="Q109" s="58" t="str">
        <f>VLOOKUP(B109,歌单!B:E,4,0)</f>
        <v>流行</v>
      </c>
      <c r="R109" s="62"/>
    </row>
    <row r="110" spans="1:18" ht="15" hidden="1" customHeight="1">
      <c r="A110" s="32" t="s">
        <v>432</v>
      </c>
      <c r="B110" s="46" t="s">
        <v>433</v>
      </c>
      <c r="C110" s="46" t="s">
        <v>434</v>
      </c>
      <c r="D110" s="59"/>
      <c r="E110" s="59">
        <v>0</v>
      </c>
      <c r="F110" s="59">
        <v>0</v>
      </c>
      <c r="G110" s="67" t="s">
        <v>435</v>
      </c>
      <c r="H110" s="60" t="s">
        <v>436</v>
      </c>
      <c r="I110" s="61">
        <v>587</v>
      </c>
      <c r="J110" s="60"/>
      <c r="K110" s="60" t="s">
        <v>437</v>
      </c>
      <c r="L110" s="60">
        <v>163210062</v>
      </c>
      <c r="M110" s="60"/>
      <c r="N110" s="56" t="str">
        <f>VLOOKUP(B110,歌单!B:C,2,0)</f>
        <v>Beyond</v>
      </c>
      <c r="O110" s="58">
        <f t="shared" si="1"/>
        <v>1</v>
      </c>
      <c r="P110" s="62" t="str">
        <f>VLOOKUP(B110,歌单!B:E,3,0)</f>
        <v>粤语</v>
      </c>
      <c r="Q110" s="58" t="str">
        <f>VLOOKUP(B110,歌单!B:E,4,0)</f>
        <v>流行</v>
      </c>
      <c r="R110" s="62"/>
    </row>
    <row r="111" spans="1:18" ht="15" customHeight="1">
      <c r="A111" s="4" t="s">
        <v>438</v>
      </c>
      <c r="B111" s="46" t="s">
        <v>439</v>
      </c>
      <c r="C111" s="46" t="s">
        <v>440</v>
      </c>
      <c r="D111" s="59"/>
      <c r="E111" s="59">
        <v>0</v>
      </c>
      <c r="F111" s="59">
        <v>0</v>
      </c>
      <c r="G111" s="60" t="s">
        <v>441</v>
      </c>
      <c r="H111" s="60" t="s">
        <v>442</v>
      </c>
      <c r="I111" s="61">
        <v>4479</v>
      </c>
      <c r="J111" s="60"/>
      <c r="K111" s="60" t="s">
        <v>443</v>
      </c>
      <c r="L111" s="60">
        <v>273561007</v>
      </c>
      <c r="M111" s="60"/>
      <c r="N111" s="58">
        <f>VLOOKUP(B111,歌单!B:C,2,0)</f>
        <v>0</v>
      </c>
      <c r="O111" s="58">
        <f t="shared" si="1"/>
        <v>1</v>
      </c>
      <c r="P111" s="62" t="str">
        <f>VLOOKUP(B111,歌单!B:E,3,0)</f>
        <v>英语</v>
      </c>
      <c r="Q111" s="58" t="str">
        <f>VLOOKUP(B111,歌单!B:E,4,0)</f>
        <v>流行</v>
      </c>
      <c r="R111" s="62"/>
    </row>
    <row r="112" spans="1:18" ht="15" hidden="1" customHeight="1">
      <c r="A112" s="4" t="s">
        <v>444</v>
      </c>
      <c r="B112" s="46" t="s">
        <v>445</v>
      </c>
      <c r="C112" s="46" t="s">
        <v>446</v>
      </c>
      <c r="D112" s="59"/>
      <c r="E112" s="59">
        <v>0</v>
      </c>
      <c r="F112" s="59">
        <v>0</v>
      </c>
      <c r="G112" s="60" t="s">
        <v>447</v>
      </c>
      <c r="H112" s="60" t="s">
        <v>448</v>
      </c>
      <c r="I112" s="61">
        <v>181</v>
      </c>
      <c r="J112" s="60"/>
      <c r="K112" s="60" t="s">
        <v>449</v>
      </c>
      <c r="L112" s="60">
        <v>44513923</v>
      </c>
      <c r="M112" s="60"/>
      <c r="N112" s="58" t="str">
        <f>VLOOKUP(B112,歌单!B:C,2,0)</f>
        <v>萱萱</v>
      </c>
      <c r="O112" s="58">
        <f t="shared" si="1"/>
        <v>1</v>
      </c>
      <c r="P112" s="62" t="str">
        <f>VLOOKUP(B112,歌单!B:E,3,0)</f>
        <v>国语</v>
      </c>
      <c r="Q112" s="58" t="str">
        <f>VLOOKUP(B112,歌单!B:E,4,0)</f>
        <v>流行</v>
      </c>
      <c r="R112" s="62"/>
    </row>
    <row r="113" spans="1:18" ht="15" hidden="1" customHeight="1">
      <c r="A113" s="4" t="s">
        <v>450</v>
      </c>
      <c r="B113" s="46" t="s">
        <v>451</v>
      </c>
      <c r="C113" s="46" t="s">
        <v>446</v>
      </c>
      <c r="D113" s="59"/>
      <c r="E113" s="59">
        <v>0</v>
      </c>
      <c r="F113" s="59">
        <v>0</v>
      </c>
      <c r="G113" s="60" t="s">
        <v>452</v>
      </c>
      <c r="H113" s="60" t="s">
        <v>453</v>
      </c>
      <c r="I113" s="61">
        <v>87</v>
      </c>
      <c r="J113" s="60"/>
      <c r="K113" s="60" t="s">
        <v>454</v>
      </c>
      <c r="L113" s="60">
        <v>47590404</v>
      </c>
      <c r="M113" s="60"/>
      <c r="N113" s="58" t="str">
        <f>VLOOKUP(B113,歌单!B:C,2,0)</f>
        <v>林宥嘉</v>
      </c>
      <c r="O113" s="58">
        <f t="shared" si="1"/>
        <v>0</v>
      </c>
      <c r="P113" s="62" t="str">
        <f>VLOOKUP(B113,歌单!B:E,3,0)</f>
        <v>国语</v>
      </c>
      <c r="Q113" s="58" t="str">
        <f>VLOOKUP(B113,歌单!B:E,4,0)</f>
        <v>流行</v>
      </c>
      <c r="R113" s="62"/>
    </row>
    <row r="114" spans="1:18" ht="15" hidden="1" customHeight="1">
      <c r="A114" s="4" t="s">
        <v>455</v>
      </c>
      <c r="B114" s="46" t="s">
        <v>456</v>
      </c>
      <c r="C114" s="46" t="s">
        <v>457</v>
      </c>
      <c r="D114" s="59"/>
      <c r="E114" s="59">
        <v>0</v>
      </c>
      <c r="F114" s="59">
        <v>0</v>
      </c>
      <c r="G114" s="60" t="s">
        <v>458</v>
      </c>
      <c r="H114" s="60" t="s">
        <v>459</v>
      </c>
      <c r="I114" s="61">
        <v>189</v>
      </c>
      <c r="J114" s="60"/>
      <c r="K114" s="60" t="s">
        <v>460</v>
      </c>
      <c r="L114" s="60">
        <v>61806044</v>
      </c>
      <c r="M114" s="60"/>
      <c r="N114" s="58" t="str">
        <f>VLOOKUP(B114,歌单!B:C,2,0)</f>
        <v>曾轶可</v>
      </c>
      <c r="O114" s="58">
        <f t="shared" si="1"/>
        <v>0</v>
      </c>
      <c r="P114" s="62" t="str">
        <f>VLOOKUP(B114,歌单!B:E,3,0)</f>
        <v>国语</v>
      </c>
      <c r="Q114" s="58" t="str">
        <f>VLOOKUP(B114,歌单!B:E,4,0)</f>
        <v>流行</v>
      </c>
      <c r="R114" s="62"/>
    </row>
    <row r="115" spans="1:18" ht="15" hidden="1" customHeight="1">
      <c r="A115" s="4" t="s">
        <v>461</v>
      </c>
      <c r="B115" s="46" t="s">
        <v>462</v>
      </c>
      <c r="C115" s="46" t="s">
        <v>188</v>
      </c>
      <c r="D115" s="59"/>
      <c r="E115" s="59">
        <v>315938</v>
      </c>
      <c r="F115" s="59">
        <v>67117</v>
      </c>
      <c r="G115" s="60" t="s">
        <v>463</v>
      </c>
      <c r="H115" s="60"/>
      <c r="I115" s="61">
        <v>831</v>
      </c>
      <c r="J115" s="60"/>
      <c r="K115" s="60" t="s">
        <v>462</v>
      </c>
      <c r="L115" s="60">
        <v>80359568</v>
      </c>
      <c r="M115" s="60" t="s">
        <v>322</v>
      </c>
      <c r="N115" s="58" t="str">
        <f>VLOOKUP(B115,歌单!B:C,2,0)</f>
        <v>周深</v>
      </c>
      <c r="O115" s="58">
        <f t="shared" si="1"/>
        <v>0</v>
      </c>
      <c r="P115" s="62" t="str">
        <f>VLOOKUP(B115,歌单!B:E,3,0)</f>
        <v>国语</v>
      </c>
      <c r="Q115" s="58" t="str">
        <f>VLOOKUP(B115,歌单!B:E,4,0)</f>
        <v>流行</v>
      </c>
      <c r="R115" s="62"/>
    </row>
    <row r="116" spans="1:18" ht="15" hidden="1" customHeight="1">
      <c r="A116" s="4" t="s">
        <v>464</v>
      </c>
      <c r="B116" s="46" t="s">
        <v>465</v>
      </c>
      <c r="C116" s="46" t="s">
        <v>466</v>
      </c>
      <c r="D116" s="59"/>
      <c r="E116" s="59">
        <v>0</v>
      </c>
      <c r="F116" s="59">
        <v>0</v>
      </c>
      <c r="G116" s="60" t="s">
        <v>467</v>
      </c>
      <c r="H116" s="60"/>
      <c r="I116" s="61">
        <v>1229</v>
      </c>
      <c r="J116" s="60"/>
      <c r="K116" s="60" t="s">
        <v>465</v>
      </c>
      <c r="L116" s="60">
        <v>77607898</v>
      </c>
      <c r="M116" s="60" t="s">
        <v>468</v>
      </c>
      <c r="N116" s="58" t="str">
        <f>VLOOKUP(B116,歌单!B:C,2,0)</f>
        <v>郁可唯</v>
      </c>
      <c r="O116" s="58">
        <f t="shared" si="1"/>
        <v>0</v>
      </c>
      <c r="P116" s="62" t="str">
        <f>VLOOKUP(B116,歌单!B:E,3,0)</f>
        <v>国语</v>
      </c>
      <c r="Q116" s="58" t="str">
        <f>VLOOKUP(B116,歌单!B:E,4,0)</f>
        <v>流行</v>
      </c>
      <c r="R116" s="62"/>
    </row>
    <row r="117" spans="1:18" ht="15" hidden="1" customHeight="1">
      <c r="A117" s="4" t="s">
        <v>469</v>
      </c>
      <c r="B117" s="46" t="s">
        <v>470</v>
      </c>
      <c r="C117" s="46" t="s">
        <v>471</v>
      </c>
      <c r="D117" s="59"/>
      <c r="E117" s="59">
        <v>0</v>
      </c>
      <c r="F117" s="59">
        <v>0</v>
      </c>
      <c r="G117" s="60" t="s">
        <v>472</v>
      </c>
      <c r="H117" s="60" t="s">
        <v>473</v>
      </c>
      <c r="I117" s="61">
        <v>319</v>
      </c>
      <c r="J117" s="60" t="s">
        <v>474</v>
      </c>
      <c r="K117" s="60" t="s">
        <v>475</v>
      </c>
      <c r="L117" s="60">
        <v>55140884</v>
      </c>
      <c r="M117" s="60"/>
      <c r="N117" s="58" t="str">
        <f>VLOOKUP(B117,歌单!B:C,2,0)</f>
        <v>古巨基</v>
      </c>
      <c r="O117" s="58">
        <f t="shared" si="1"/>
        <v>0</v>
      </c>
      <c r="P117" s="62" t="str">
        <f>VLOOKUP(B117,歌单!B:E,3,0)</f>
        <v>国语</v>
      </c>
      <c r="Q117" s="58" t="str">
        <f>VLOOKUP(B117,歌单!B:E,4,0)</f>
        <v>流行</v>
      </c>
      <c r="R117" s="62"/>
    </row>
    <row r="118" spans="1:18" ht="15" hidden="1" customHeight="1">
      <c r="A118" s="4" t="s">
        <v>476</v>
      </c>
      <c r="B118" s="46" t="s">
        <v>477</v>
      </c>
      <c r="C118" s="46" t="s">
        <v>478</v>
      </c>
      <c r="D118" s="59"/>
      <c r="E118" s="59">
        <v>0</v>
      </c>
      <c r="F118" s="59">
        <v>0</v>
      </c>
      <c r="G118" s="60" t="s">
        <v>479</v>
      </c>
      <c r="H118" s="60" t="s">
        <v>480</v>
      </c>
      <c r="I118" s="61">
        <v>486</v>
      </c>
      <c r="J118" s="60"/>
      <c r="K118" s="60" t="s">
        <v>481</v>
      </c>
      <c r="L118" s="60">
        <v>196147959</v>
      </c>
      <c r="M118" s="60"/>
      <c r="N118" s="58" t="str">
        <f>VLOOKUP(B118,歌单!B:C,2,0)</f>
        <v>邓丽君</v>
      </c>
      <c r="O118" s="58">
        <f t="shared" si="1"/>
        <v>0</v>
      </c>
      <c r="P118" s="62" t="str">
        <f>VLOOKUP(B118,歌单!B:E,3,0)</f>
        <v>国语</v>
      </c>
      <c r="Q118" s="58" t="str">
        <f>VLOOKUP(B118,歌单!B:E,4,0)</f>
        <v>流行</v>
      </c>
      <c r="R118" s="62"/>
    </row>
    <row r="119" spans="1:18" ht="15" hidden="1" customHeight="1">
      <c r="A119" s="4" t="s">
        <v>482</v>
      </c>
      <c r="B119" s="46" t="s">
        <v>483</v>
      </c>
      <c r="C119" s="46" t="s">
        <v>484</v>
      </c>
      <c r="D119" s="59"/>
      <c r="E119" s="59">
        <v>0</v>
      </c>
      <c r="F119" s="59">
        <v>0</v>
      </c>
      <c r="G119" s="60" t="s">
        <v>485</v>
      </c>
      <c r="H119" s="60"/>
      <c r="I119" s="61">
        <v>73</v>
      </c>
      <c r="J119" s="60"/>
      <c r="K119" s="60" t="s">
        <v>486</v>
      </c>
      <c r="L119" s="60">
        <v>22973704</v>
      </c>
      <c r="M119" s="60"/>
      <c r="N119" s="58" t="str">
        <f>VLOOKUP(B119,歌单!B:C,2,0)</f>
        <v>洛天依</v>
      </c>
      <c r="O119" s="58">
        <f t="shared" si="1"/>
        <v>0</v>
      </c>
      <c r="P119" s="62" t="str">
        <f>VLOOKUP(B119,歌单!B:E,3,0)</f>
        <v>国语</v>
      </c>
      <c r="Q119" s="58" t="str">
        <f>VLOOKUP(B119,歌单!B:E,4,0)</f>
        <v>古风</v>
      </c>
      <c r="R119" s="62"/>
    </row>
    <row r="120" spans="1:18" ht="15" hidden="1" customHeight="1">
      <c r="A120" s="32" t="s">
        <v>487</v>
      </c>
      <c r="B120" s="46" t="s">
        <v>488</v>
      </c>
      <c r="C120" s="46" t="s">
        <v>21</v>
      </c>
      <c r="D120" s="59"/>
      <c r="E120" s="59">
        <v>0</v>
      </c>
      <c r="F120" s="59">
        <v>0</v>
      </c>
      <c r="G120" s="60" t="s">
        <v>489</v>
      </c>
      <c r="H120" s="60"/>
      <c r="I120" s="61">
        <v>32</v>
      </c>
      <c r="J120" s="60"/>
      <c r="K120" s="60" t="s">
        <v>490</v>
      </c>
      <c r="L120" s="60">
        <v>13362616</v>
      </c>
      <c r="M120" s="60"/>
      <c r="N120" s="68" t="str">
        <f>VLOOKUP(B120,歌单!B:C,2,0)</f>
        <v>何佳乐</v>
      </c>
      <c r="O120" s="58">
        <f t="shared" si="1"/>
        <v>1</v>
      </c>
      <c r="P120" s="62" t="str">
        <f>VLOOKUP(B120,歌单!B:E,3,0)</f>
        <v>国语</v>
      </c>
      <c r="Q120" s="58" t="str">
        <f>VLOOKUP(B120,歌单!B:E,4,0)</f>
        <v>流行</v>
      </c>
      <c r="R120" s="62"/>
    </row>
    <row r="121" spans="1:18" ht="15" hidden="1" customHeight="1">
      <c r="A121" s="4" t="s">
        <v>491</v>
      </c>
      <c r="B121" s="46" t="s">
        <v>492</v>
      </c>
      <c r="C121" s="46" t="s">
        <v>493</v>
      </c>
      <c r="D121" s="59"/>
      <c r="E121" s="59">
        <v>658</v>
      </c>
      <c r="F121" s="59">
        <v>85</v>
      </c>
      <c r="G121" s="60" t="s">
        <v>494</v>
      </c>
      <c r="H121" s="60"/>
      <c r="I121" s="61">
        <v>125</v>
      </c>
      <c r="J121" s="60" t="s">
        <v>492</v>
      </c>
      <c r="K121" s="60" t="s">
        <v>495</v>
      </c>
      <c r="L121" s="60">
        <v>87463982</v>
      </c>
      <c r="M121" s="60"/>
      <c r="N121" s="58" t="str">
        <f>VLOOKUP(B121,歌单!B:C,2,0)</f>
        <v>薛之谦</v>
      </c>
      <c r="O121" s="58">
        <f t="shared" si="1"/>
        <v>0</v>
      </c>
      <c r="P121" s="62" t="str">
        <f>VLOOKUP(B121,歌单!B:E,3,0)</f>
        <v>国语</v>
      </c>
      <c r="Q121" s="58" t="str">
        <f>VLOOKUP(B121,歌单!B:E,4,0)</f>
        <v>流行</v>
      </c>
      <c r="R121" s="62"/>
    </row>
    <row r="122" spans="1:18" ht="15" hidden="1" customHeight="1">
      <c r="A122" s="4" t="s">
        <v>496</v>
      </c>
      <c r="B122" s="46" t="s">
        <v>497</v>
      </c>
      <c r="C122" s="46" t="s">
        <v>498</v>
      </c>
      <c r="D122" s="59"/>
      <c r="E122" s="59">
        <v>0</v>
      </c>
      <c r="F122" s="59">
        <v>0</v>
      </c>
      <c r="G122" s="60" t="s">
        <v>499</v>
      </c>
      <c r="H122" s="60" t="s">
        <v>500</v>
      </c>
      <c r="I122" s="61">
        <v>192</v>
      </c>
      <c r="J122" s="60"/>
      <c r="K122" s="60" t="s">
        <v>501</v>
      </c>
      <c r="L122" s="60">
        <v>47527216</v>
      </c>
      <c r="M122" s="60"/>
      <c r="N122" s="58" t="str">
        <f>VLOOKUP(B122,歌单!B:C,2,0)</f>
        <v>蔡琴</v>
      </c>
      <c r="O122" s="58">
        <f t="shared" si="1"/>
        <v>0</v>
      </c>
      <c r="P122" s="62" t="str">
        <f>VLOOKUP(B122,歌单!B:E,3,0)</f>
        <v>国语</v>
      </c>
      <c r="Q122" s="58" t="str">
        <f>VLOOKUP(B122,歌单!B:E,4,0)</f>
        <v>流行</v>
      </c>
      <c r="R122" s="62"/>
    </row>
    <row r="123" spans="1:18" ht="15" customHeight="1">
      <c r="A123" s="4" t="s">
        <v>502</v>
      </c>
      <c r="B123" s="46" t="s">
        <v>503</v>
      </c>
      <c r="C123" s="46" t="s">
        <v>131</v>
      </c>
      <c r="D123" s="59"/>
      <c r="E123" s="59">
        <v>0</v>
      </c>
      <c r="F123" s="59">
        <v>0</v>
      </c>
      <c r="G123" s="60" t="s">
        <v>504</v>
      </c>
      <c r="H123" s="60" t="s">
        <v>505</v>
      </c>
      <c r="I123" s="61">
        <v>2</v>
      </c>
      <c r="J123" s="60"/>
      <c r="K123" s="60" t="s">
        <v>506</v>
      </c>
      <c r="L123" s="60">
        <v>1885829</v>
      </c>
      <c r="M123" s="60"/>
      <c r="N123" s="58" t="e">
        <f>VLOOKUP(B123,歌单!B:C,2,0)</f>
        <v>#N/A</v>
      </c>
      <c r="O123" s="58">
        <f t="shared" si="1"/>
        <v>1</v>
      </c>
      <c r="P123" s="62" t="s">
        <v>10246</v>
      </c>
      <c r="Q123" s="58" t="s">
        <v>10252</v>
      </c>
      <c r="R123" s="62"/>
    </row>
    <row r="124" spans="1:18" ht="15" hidden="1" customHeight="1">
      <c r="A124" s="4" t="s">
        <v>507</v>
      </c>
      <c r="B124" s="46" t="s">
        <v>508</v>
      </c>
      <c r="C124" s="46" t="s">
        <v>509</v>
      </c>
      <c r="D124" s="59"/>
      <c r="E124" s="59">
        <v>0</v>
      </c>
      <c r="F124" s="59">
        <v>0</v>
      </c>
      <c r="G124" s="60" t="s">
        <v>510</v>
      </c>
      <c r="H124" s="60" t="s">
        <v>511</v>
      </c>
      <c r="I124" s="61">
        <v>346</v>
      </c>
      <c r="J124" s="60"/>
      <c r="K124" s="60" t="s">
        <v>508</v>
      </c>
      <c r="L124" s="60">
        <v>81243338</v>
      </c>
      <c r="M124" s="60" t="s">
        <v>512</v>
      </c>
      <c r="N124" s="58" t="str">
        <f>VLOOKUP(B124,歌单!B:C,2,0)</f>
        <v>张韶涵</v>
      </c>
      <c r="O124" s="58">
        <f t="shared" si="1"/>
        <v>0</v>
      </c>
      <c r="P124" s="62" t="str">
        <f>VLOOKUP(B124,歌单!B:E,3,0)</f>
        <v>国语</v>
      </c>
      <c r="Q124" s="58" t="str">
        <f>VLOOKUP(B124,歌单!B:E,4,0)</f>
        <v>流行</v>
      </c>
      <c r="R124" s="62"/>
    </row>
    <row r="125" spans="1:18" ht="15" hidden="1" customHeight="1">
      <c r="A125" s="4" t="s">
        <v>513</v>
      </c>
      <c r="B125" s="46" t="s">
        <v>65</v>
      </c>
      <c r="C125" s="46" t="s">
        <v>51</v>
      </c>
      <c r="D125" s="59"/>
      <c r="E125" s="59">
        <v>63471</v>
      </c>
      <c r="F125" s="59">
        <v>19895</v>
      </c>
      <c r="G125" s="60" t="s">
        <v>514</v>
      </c>
      <c r="H125" s="60"/>
      <c r="I125" s="61">
        <v>106</v>
      </c>
      <c r="J125" s="60"/>
      <c r="K125" s="60" t="s">
        <v>65</v>
      </c>
      <c r="L125" s="60">
        <v>3294592</v>
      </c>
      <c r="M125" s="60"/>
      <c r="N125" s="58" t="str">
        <f>VLOOKUP(B125,歌单!B:C,2,0)</f>
        <v>说说</v>
      </c>
      <c r="O125" s="58">
        <f t="shared" si="1"/>
        <v>0</v>
      </c>
      <c r="P125" s="62" t="str">
        <f>VLOOKUP(B125,歌单!B:E,3,0)</f>
        <v>国语</v>
      </c>
      <c r="Q125" s="58" t="str">
        <f>VLOOKUP(B125,歌单!B:E,4,0)</f>
        <v>流行</v>
      </c>
      <c r="R125" s="62"/>
    </row>
    <row r="126" spans="1:18" ht="15" hidden="1" customHeight="1">
      <c r="A126" s="4" t="s">
        <v>515</v>
      </c>
      <c r="B126" s="46" t="s">
        <v>516</v>
      </c>
      <c r="C126" s="46" t="s">
        <v>517</v>
      </c>
      <c r="D126" s="59"/>
      <c r="E126" s="59">
        <v>0</v>
      </c>
      <c r="F126" s="59">
        <v>0</v>
      </c>
      <c r="G126" s="60" t="s">
        <v>518</v>
      </c>
      <c r="H126" s="60" t="s">
        <v>519</v>
      </c>
      <c r="I126" s="61">
        <v>210</v>
      </c>
      <c r="J126" s="60" t="s">
        <v>520</v>
      </c>
      <c r="K126" s="60" t="s">
        <v>521</v>
      </c>
      <c r="L126" s="60">
        <v>33115292</v>
      </c>
      <c r="M126" s="60"/>
      <c r="N126" s="58" t="str">
        <f>VLOOKUP(B126,歌单!B:C,2,0)</f>
        <v>方大同</v>
      </c>
      <c r="O126" s="58">
        <f t="shared" si="1"/>
        <v>0</v>
      </c>
      <c r="P126" s="62" t="str">
        <f>VLOOKUP(B126,歌单!B:E,3,0)</f>
        <v>国语</v>
      </c>
      <c r="Q126" s="58" t="str">
        <f>VLOOKUP(B126,歌单!B:E,4,0)</f>
        <v>流行</v>
      </c>
      <c r="R126" s="62"/>
    </row>
    <row r="127" spans="1:18" ht="15" hidden="1" customHeight="1">
      <c r="A127" s="32" t="s">
        <v>522</v>
      </c>
      <c r="B127" s="46" t="s">
        <v>523</v>
      </c>
      <c r="C127" s="46" t="s">
        <v>524</v>
      </c>
      <c r="D127" s="59"/>
      <c r="E127" s="59">
        <v>0</v>
      </c>
      <c r="F127" s="59">
        <v>0</v>
      </c>
      <c r="G127" s="60" t="s">
        <v>525</v>
      </c>
      <c r="H127" s="60" t="s">
        <v>526</v>
      </c>
      <c r="I127" s="61">
        <v>46</v>
      </c>
      <c r="J127" s="60" t="s">
        <v>527</v>
      </c>
      <c r="K127" s="60" t="s">
        <v>528</v>
      </c>
      <c r="L127" s="60">
        <v>22119844</v>
      </c>
      <c r="M127" s="60"/>
      <c r="N127" s="56" t="str">
        <f>VLOOKUP(B127,歌单!B:C,2,0)</f>
        <v>徐佳莹</v>
      </c>
      <c r="O127" s="58">
        <f t="shared" si="1"/>
        <v>1</v>
      </c>
      <c r="P127" s="62" t="str">
        <f>VLOOKUP(B127,歌单!B:E,3,0)</f>
        <v>国语</v>
      </c>
      <c r="Q127" s="58" t="str">
        <f>VLOOKUP(B127,歌单!B:E,4,0)</f>
        <v>流行</v>
      </c>
      <c r="R127" s="62"/>
    </row>
    <row r="128" spans="1:18" ht="15" hidden="1" customHeight="1">
      <c r="A128" s="4" t="s">
        <v>529</v>
      </c>
      <c r="B128" s="46" t="s">
        <v>530</v>
      </c>
      <c r="C128" s="46" t="s">
        <v>27</v>
      </c>
      <c r="D128" s="59"/>
      <c r="E128" s="59">
        <v>0</v>
      </c>
      <c r="F128" s="59">
        <v>0</v>
      </c>
      <c r="G128" s="60" t="s">
        <v>531</v>
      </c>
      <c r="H128" s="60" t="s">
        <v>532</v>
      </c>
      <c r="I128" s="61">
        <v>1245</v>
      </c>
      <c r="J128" s="60"/>
      <c r="K128" s="60" t="s">
        <v>533</v>
      </c>
      <c r="L128" s="60">
        <v>198103765</v>
      </c>
      <c r="M128" s="60" t="s">
        <v>534</v>
      </c>
      <c r="N128" s="58" t="str">
        <f>VLOOKUP(B128,歌单!B:C,2,0)</f>
        <v>徐佳莹</v>
      </c>
      <c r="O128" s="58">
        <f t="shared" si="1"/>
        <v>0</v>
      </c>
      <c r="P128" s="62" t="str">
        <f>VLOOKUP(B128,歌单!B:E,3,0)</f>
        <v>国语</v>
      </c>
      <c r="Q128" s="58" t="str">
        <f>VLOOKUP(B128,歌单!B:E,4,0)</f>
        <v>流行</v>
      </c>
      <c r="R128" s="62"/>
    </row>
    <row r="129" spans="1:18" ht="15" hidden="1" customHeight="1">
      <c r="A129" s="4" t="s">
        <v>535</v>
      </c>
      <c r="B129" s="46" t="s">
        <v>536</v>
      </c>
      <c r="C129" s="46" t="s">
        <v>154</v>
      </c>
      <c r="D129" s="59"/>
      <c r="E129" s="59">
        <v>179425</v>
      </c>
      <c r="F129" s="59">
        <v>61254</v>
      </c>
      <c r="G129" s="60" t="s">
        <v>537</v>
      </c>
      <c r="H129" s="60"/>
      <c r="I129" s="61">
        <v>17510</v>
      </c>
      <c r="J129" s="60"/>
      <c r="K129" s="60" t="s">
        <v>538</v>
      </c>
      <c r="L129" s="60">
        <v>237302125</v>
      </c>
      <c r="M129" s="60" t="s">
        <v>202</v>
      </c>
      <c r="N129" s="58" t="str">
        <f>VLOOKUP(B129,歌单!B:C,2,0)</f>
        <v>周杰伦</v>
      </c>
      <c r="O129" s="58">
        <f t="shared" si="1"/>
        <v>0</v>
      </c>
      <c r="P129" s="62" t="str">
        <f>VLOOKUP(B129,歌单!B:E,3,0)</f>
        <v>国语</v>
      </c>
      <c r="Q129" s="58" t="str">
        <f>VLOOKUP(B129,歌单!B:E,4,0)</f>
        <v>流行</v>
      </c>
      <c r="R129" s="62"/>
    </row>
    <row r="130" spans="1:18" ht="15" hidden="1" customHeight="1">
      <c r="A130" s="4" t="s">
        <v>539</v>
      </c>
      <c r="B130" s="46" t="s">
        <v>540</v>
      </c>
      <c r="C130" s="46" t="s">
        <v>541</v>
      </c>
      <c r="D130" s="59"/>
      <c r="E130" s="59">
        <v>0</v>
      </c>
      <c r="F130" s="59">
        <v>0</v>
      </c>
      <c r="G130" s="60" t="s">
        <v>542</v>
      </c>
      <c r="H130" s="60" t="s">
        <v>543</v>
      </c>
      <c r="I130" s="61">
        <v>131</v>
      </c>
      <c r="J130" s="60"/>
      <c r="K130" s="60" t="s">
        <v>544</v>
      </c>
      <c r="L130" s="60">
        <v>70228527</v>
      </c>
      <c r="M130" s="60"/>
      <c r="N130" s="58" t="str">
        <f>VLOOKUP(B130,歌单!B:C,2,0)</f>
        <v>张惠妹</v>
      </c>
      <c r="O130" s="58">
        <f t="shared" si="1"/>
        <v>0</v>
      </c>
      <c r="P130" s="62" t="str">
        <f>VLOOKUP(B130,歌单!B:E,3,0)</f>
        <v>国语</v>
      </c>
      <c r="Q130" s="58" t="str">
        <f>VLOOKUP(B130,歌单!B:E,4,0)</f>
        <v>流行</v>
      </c>
      <c r="R130" s="62"/>
    </row>
    <row r="131" spans="1:18" ht="15" hidden="1" customHeight="1">
      <c r="A131" s="4" t="s">
        <v>545</v>
      </c>
      <c r="B131" s="46" t="s">
        <v>546</v>
      </c>
      <c r="C131" s="46" t="s">
        <v>427</v>
      </c>
      <c r="D131" s="59"/>
      <c r="E131" s="59">
        <v>0</v>
      </c>
      <c r="F131" s="59">
        <v>0</v>
      </c>
      <c r="G131" s="60" t="s">
        <v>547</v>
      </c>
      <c r="H131" s="60" t="s">
        <v>548</v>
      </c>
      <c r="I131" s="61">
        <v>139</v>
      </c>
      <c r="J131" s="60"/>
      <c r="K131" s="60" t="s">
        <v>546</v>
      </c>
      <c r="L131" s="60">
        <v>27303668</v>
      </c>
      <c r="M131" s="60"/>
      <c r="N131" s="58" t="str">
        <f>VLOOKUP(B131,歌单!B:C,2,0)</f>
        <v>袁娅维</v>
      </c>
      <c r="O131" s="58">
        <f t="shared" ref="O131:O194" si="2">_xlfn.IFNA(IF(IFERROR(SEARCH(N131,C131),0)&gt;0,0,1),0)</f>
        <v>0</v>
      </c>
      <c r="P131" s="62" t="str">
        <f>VLOOKUP(B131,歌单!B:E,3,0)</f>
        <v>国语</v>
      </c>
      <c r="Q131" s="58" t="str">
        <f>VLOOKUP(B131,歌单!B:E,4,0)</f>
        <v>流行</v>
      </c>
      <c r="R131" s="62"/>
    </row>
    <row r="132" spans="1:18" ht="15" hidden="1" customHeight="1">
      <c r="A132" s="32" t="s">
        <v>549</v>
      </c>
      <c r="B132" s="46" t="s">
        <v>550</v>
      </c>
      <c r="C132" s="46" t="s">
        <v>551</v>
      </c>
      <c r="D132" s="59"/>
      <c r="E132" s="59">
        <v>0</v>
      </c>
      <c r="F132" s="59">
        <v>0</v>
      </c>
      <c r="G132" s="60" t="s">
        <v>552</v>
      </c>
      <c r="H132" s="60" t="s">
        <v>553</v>
      </c>
      <c r="I132" s="61">
        <v>1651</v>
      </c>
      <c r="J132" s="60" t="s">
        <v>554</v>
      </c>
      <c r="K132" s="60" t="s">
        <v>555</v>
      </c>
      <c r="L132" s="60">
        <v>197851447</v>
      </c>
      <c r="M132" s="60"/>
      <c r="N132" s="56" t="str">
        <f>VLOOKUP(B132,歌单!B:C,2,0)</f>
        <v>袁娅维</v>
      </c>
      <c r="O132" s="58">
        <f t="shared" si="2"/>
        <v>1</v>
      </c>
      <c r="P132" s="62" t="str">
        <f>VLOOKUP(B132,歌单!B:E,3,0)</f>
        <v>国语</v>
      </c>
      <c r="Q132" s="58" t="str">
        <f>VLOOKUP(B132,歌单!B:E,4,0)</f>
        <v>流行</v>
      </c>
      <c r="R132" s="62"/>
    </row>
    <row r="133" spans="1:18" ht="15" customHeight="1">
      <c r="A133" s="4" t="s">
        <v>556</v>
      </c>
      <c r="B133" s="46" t="s">
        <v>557</v>
      </c>
      <c r="C133" s="46" t="s">
        <v>558</v>
      </c>
      <c r="D133" s="59"/>
      <c r="E133" s="59">
        <v>0</v>
      </c>
      <c r="F133" s="59">
        <v>0</v>
      </c>
      <c r="G133" s="60" t="s">
        <v>559</v>
      </c>
      <c r="H133" s="60" t="s">
        <v>560</v>
      </c>
      <c r="I133" s="61">
        <v>6</v>
      </c>
      <c r="J133" s="60"/>
      <c r="K133" s="60" t="s">
        <v>561</v>
      </c>
      <c r="L133" s="60">
        <v>6950668</v>
      </c>
      <c r="M133" s="60"/>
      <c r="N133" s="58" t="e">
        <f>VLOOKUP(B133,歌单!B:C,2,0)</f>
        <v>#N/A</v>
      </c>
      <c r="O133" s="58">
        <f t="shared" si="2"/>
        <v>1</v>
      </c>
      <c r="P133" s="62" t="s">
        <v>10246</v>
      </c>
      <c r="Q133" s="58" t="s">
        <v>10252</v>
      </c>
      <c r="R133" s="62"/>
    </row>
    <row r="134" spans="1:18" ht="15" hidden="1" customHeight="1">
      <c r="A134" s="4" t="s">
        <v>562</v>
      </c>
      <c r="B134" s="46" t="s">
        <v>563</v>
      </c>
      <c r="C134" s="46" t="s">
        <v>558</v>
      </c>
      <c r="D134" s="59"/>
      <c r="E134" s="59">
        <v>0</v>
      </c>
      <c r="F134" s="59">
        <v>0</v>
      </c>
      <c r="G134" s="60" t="s">
        <v>564</v>
      </c>
      <c r="H134" s="60" t="s">
        <v>565</v>
      </c>
      <c r="I134" s="61">
        <v>3</v>
      </c>
      <c r="J134" s="60"/>
      <c r="K134" s="60" t="s">
        <v>566</v>
      </c>
      <c r="L134" s="60">
        <v>4837871</v>
      </c>
      <c r="M134" s="60"/>
      <c r="N134" s="58" t="str">
        <f>VLOOKUP(B134,歌单!B:C,2,0)</f>
        <v>谭晶</v>
      </c>
      <c r="O134" s="58">
        <f t="shared" si="2"/>
        <v>0</v>
      </c>
      <c r="P134" s="62" t="str">
        <f>VLOOKUP(B134,歌单!B:E,3,0)</f>
        <v>国语</v>
      </c>
      <c r="Q134" s="58" t="str">
        <f>VLOOKUP(B134,歌单!B:E,4,0)</f>
        <v>民族</v>
      </c>
      <c r="R134" s="62"/>
    </row>
    <row r="135" spans="1:18" ht="15" hidden="1" customHeight="1">
      <c r="A135" s="4" t="s">
        <v>567</v>
      </c>
      <c r="B135" s="46" t="s">
        <v>568</v>
      </c>
      <c r="C135" s="46" t="s">
        <v>569</v>
      </c>
      <c r="D135" s="59"/>
      <c r="E135" s="59">
        <v>0</v>
      </c>
      <c r="F135" s="59">
        <v>0</v>
      </c>
      <c r="G135" s="60" t="s">
        <v>570</v>
      </c>
      <c r="H135" s="60"/>
      <c r="I135" s="61">
        <v>1</v>
      </c>
      <c r="J135" s="60"/>
      <c r="K135" s="60" t="s">
        <v>571</v>
      </c>
      <c r="L135" s="60">
        <v>3736054</v>
      </c>
      <c r="M135" s="60"/>
      <c r="N135" s="58" t="str">
        <f>VLOOKUP(B135,歌单!B:C,2,0)</f>
        <v>李荣浩</v>
      </c>
      <c r="O135" s="58">
        <f t="shared" si="2"/>
        <v>1</v>
      </c>
      <c r="P135" s="62" t="str">
        <f>VLOOKUP(B135,歌单!B:E,3,0)</f>
        <v>国语</v>
      </c>
      <c r="Q135" s="58" t="str">
        <f>VLOOKUP(B135,歌单!B:E,4,0)</f>
        <v>流行</v>
      </c>
      <c r="R135" s="62"/>
    </row>
    <row r="136" spans="1:18" ht="15" hidden="1" customHeight="1">
      <c r="A136" s="4" t="s">
        <v>572</v>
      </c>
      <c r="B136" s="46" t="s">
        <v>573</v>
      </c>
      <c r="C136" s="46" t="s">
        <v>574</v>
      </c>
      <c r="D136" s="59"/>
      <c r="E136" s="59">
        <v>0</v>
      </c>
      <c r="F136" s="59">
        <v>0</v>
      </c>
      <c r="G136" s="60" t="s">
        <v>575</v>
      </c>
      <c r="H136" s="60" t="s">
        <v>576</v>
      </c>
      <c r="I136" s="61">
        <v>662</v>
      </c>
      <c r="J136" s="60"/>
      <c r="K136" s="60" t="s">
        <v>577</v>
      </c>
      <c r="L136" s="60">
        <v>297394501</v>
      </c>
      <c r="M136" s="60"/>
      <c r="N136" s="58" t="str">
        <f>VLOOKUP(B136,歌单!B:C,2,0)</f>
        <v>陈奕迅</v>
      </c>
      <c r="O136" s="58">
        <f t="shared" si="2"/>
        <v>0</v>
      </c>
      <c r="P136" s="62" t="str">
        <f>VLOOKUP(B136,歌单!B:E,3,0)</f>
        <v>国语</v>
      </c>
      <c r="Q136" s="58" t="str">
        <f>VLOOKUP(B136,歌单!B:E,4,0)</f>
        <v>流行</v>
      </c>
      <c r="R136" s="62"/>
    </row>
    <row r="137" spans="1:18" ht="15" hidden="1" customHeight="1">
      <c r="A137" s="4" t="s">
        <v>578</v>
      </c>
      <c r="B137" s="46" t="s">
        <v>579</v>
      </c>
      <c r="C137" s="46" t="s">
        <v>580</v>
      </c>
      <c r="D137" s="59"/>
      <c r="E137" s="59">
        <v>0</v>
      </c>
      <c r="F137" s="59">
        <v>0</v>
      </c>
      <c r="G137" s="60" t="s">
        <v>581</v>
      </c>
      <c r="H137" s="60" t="s">
        <v>582</v>
      </c>
      <c r="I137" s="61">
        <v>3207</v>
      </c>
      <c r="J137" s="60" t="s">
        <v>583</v>
      </c>
      <c r="K137" s="60" t="s">
        <v>584</v>
      </c>
      <c r="L137" s="60">
        <v>276993628</v>
      </c>
      <c r="M137" s="60"/>
      <c r="N137" s="58" t="str">
        <f>VLOOKUP(B137,歌单!B:C,2,0)</f>
        <v>胡彦斌</v>
      </c>
      <c r="O137" s="58">
        <f t="shared" si="2"/>
        <v>0</v>
      </c>
      <c r="P137" s="62" t="str">
        <f>VLOOKUP(B137,歌单!B:E,3,0)</f>
        <v>国语</v>
      </c>
      <c r="Q137" s="58" t="str">
        <f>VLOOKUP(B137,歌单!B:E,4,0)</f>
        <v>流行</v>
      </c>
      <c r="R137" s="62"/>
    </row>
    <row r="138" spans="1:18" ht="15" customHeight="1">
      <c r="A138" s="4" t="s">
        <v>585</v>
      </c>
      <c r="B138" s="46" t="s">
        <v>586</v>
      </c>
      <c r="C138" s="46" t="s">
        <v>587</v>
      </c>
      <c r="D138" s="59"/>
      <c r="E138" s="59">
        <v>0</v>
      </c>
      <c r="F138" s="59">
        <v>0</v>
      </c>
      <c r="G138" s="60" t="s">
        <v>588</v>
      </c>
      <c r="H138" s="60" t="s">
        <v>589</v>
      </c>
      <c r="I138" s="61">
        <v>64</v>
      </c>
      <c r="J138" s="60"/>
      <c r="K138" s="60"/>
      <c r="L138" s="60">
        <v>16563722</v>
      </c>
      <c r="M138" s="60"/>
      <c r="N138" s="58">
        <f>VLOOKUP(B138,歌单!B:C,2,0)</f>
        <v>0</v>
      </c>
      <c r="O138" s="58">
        <f t="shared" si="2"/>
        <v>1</v>
      </c>
      <c r="P138" s="62" t="str">
        <f>VLOOKUP(B138,歌单!B:E,3,0)</f>
        <v>国语</v>
      </c>
      <c r="Q138" s="58" t="str">
        <f>VLOOKUP(B138,歌单!B:E,4,0)</f>
        <v>流行</v>
      </c>
      <c r="R138" s="62"/>
    </row>
    <row r="139" spans="1:18" ht="15" hidden="1" customHeight="1">
      <c r="A139" s="4" t="s">
        <v>590</v>
      </c>
      <c r="B139" s="46" t="s">
        <v>591</v>
      </c>
      <c r="C139" s="46" t="s">
        <v>592</v>
      </c>
      <c r="D139" s="59"/>
      <c r="E139" s="59">
        <v>0</v>
      </c>
      <c r="F139" s="59">
        <v>0</v>
      </c>
      <c r="G139" s="60" t="s">
        <v>593</v>
      </c>
      <c r="H139" s="60" t="s">
        <v>594</v>
      </c>
      <c r="I139" s="61">
        <v>142</v>
      </c>
      <c r="J139" s="60"/>
      <c r="K139" s="60" t="s">
        <v>595</v>
      </c>
      <c r="L139" s="60">
        <v>66377472</v>
      </c>
      <c r="M139" s="60"/>
      <c r="N139" s="58" t="str">
        <f>VLOOKUP(B139,歌单!B:C,2,0)</f>
        <v>蔡健雅</v>
      </c>
      <c r="O139" s="58">
        <f t="shared" si="2"/>
        <v>0</v>
      </c>
      <c r="P139" s="62" t="str">
        <f>VLOOKUP(B139,歌单!B:E,3,0)</f>
        <v>国语</v>
      </c>
      <c r="Q139" s="58" t="str">
        <f>VLOOKUP(B139,歌单!B:E,4,0)</f>
        <v>流行</v>
      </c>
      <c r="R139" s="62"/>
    </row>
    <row r="140" spans="1:18" ht="15" hidden="1" customHeight="1">
      <c r="A140" s="4" t="s">
        <v>596</v>
      </c>
      <c r="B140" s="46" t="s">
        <v>597</v>
      </c>
      <c r="C140" s="46" t="s">
        <v>592</v>
      </c>
      <c r="D140" s="59"/>
      <c r="E140" s="59">
        <v>0</v>
      </c>
      <c r="F140" s="59">
        <v>0</v>
      </c>
      <c r="G140" s="60" t="s">
        <v>598</v>
      </c>
      <c r="H140" s="60" t="s">
        <v>599</v>
      </c>
      <c r="I140" s="61">
        <v>6</v>
      </c>
      <c r="J140" s="60" t="s">
        <v>600</v>
      </c>
      <c r="K140" s="60" t="s">
        <v>597</v>
      </c>
      <c r="L140" s="60">
        <v>7862640</v>
      </c>
      <c r="M140" s="60"/>
      <c r="N140" s="58" t="str">
        <f>VLOOKUP(B140,歌单!B:C,2,0)</f>
        <v>蔡健雅</v>
      </c>
      <c r="O140" s="58">
        <f t="shared" si="2"/>
        <v>0</v>
      </c>
      <c r="P140" s="62" t="str">
        <f>VLOOKUP(B140,歌单!B:E,3,0)</f>
        <v>国语</v>
      </c>
      <c r="Q140" s="58" t="str">
        <f>VLOOKUP(B140,歌单!B:E,4,0)</f>
        <v>流行</v>
      </c>
      <c r="R140" s="62"/>
    </row>
    <row r="141" spans="1:18" ht="15" customHeight="1">
      <c r="A141" s="4" t="s">
        <v>601</v>
      </c>
      <c r="B141" s="46" t="s">
        <v>602</v>
      </c>
      <c r="C141" s="46" t="s">
        <v>592</v>
      </c>
      <c r="D141" s="59"/>
      <c r="E141" s="59">
        <v>0</v>
      </c>
      <c r="F141" s="59">
        <v>0</v>
      </c>
      <c r="G141" s="60" t="s">
        <v>603</v>
      </c>
      <c r="H141" s="60" t="s">
        <v>604</v>
      </c>
      <c r="I141" s="61">
        <v>0</v>
      </c>
      <c r="J141" s="60"/>
      <c r="K141" s="60" t="s">
        <v>605</v>
      </c>
      <c r="L141" s="60">
        <v>1605044</v>
      </c>
      <c r="M141" s="60"/>
      <c r="N141" s="58" t="e">
        <f>VLOOKUP(B141,歌单!B:C,2,0)</f>
        <v>#N/A</v>
      </c>
      <c r="O141" s="58">
        <f t="shared" si="2"/>
        <v>1</v>
      </c>
      <c r="P141" s="62" t="s">
        <v>10246</v>
      </c>
      <c r="Q141" s="58" t="s">
        <v>10252</v>
      </c>
      <c r="R141" s="62"/>
    </row>
    <row r="142" spans="1:18" ht="15" hidden="1" customHeight="1">
      <c r="A142" s="4" t="s">
        <v>606</v>
      </c>
      <c r="B142" s="46" t="s">
        <v>607</v>
      </c>
      <c r="C142" s="46" t="s">
        <v>592</v>
      </c>
      <c r="D142" s="59"/>
      <c r="E142" s="59">
        <v>0</v>
      </c>
      <c r="F142" s="59">
        <v>0</v>
      </c>
      <c r="G142" s="60" t="s">
        <v>608</v>
      </c>
      <c r="H142" s="60" t="s">
        <v>609</v>
      </c>
      <c r="I142" s="61">
        <v>1051</v>
      </c>
      <c r="J142" s="60" t="s">
        <v>610</v>
      </c>
      <c r="K142" s="60" t="s">
        <v>611</v>
      </c>
      <c r="L142" s="60">
        <v>114809007</v>
      </c>
      <c r="M142" s="60"/>
      <c r="N142" s="58" t="str">
        <f>VLOOKUP(B142,歌单!B:C,2,0)</f>
        <v>蔡健雅</v>
      </c>
      <c r="O142" s="58">
        <f t="shared" si="2"/>
        <v>0</v>
      </c>
      <c r="P142" s="62" t="str">
        <f>VLOOKUP(B142,歌单!B:E,3,0)</f>
        <v>国语</v>
      </c>
      <c r="Q142" s="58" t="str">
        <f>VLOOKUP(B142,歌单!B:E,4,0)</f>
        <v>流行</v>
      </c>
      <c r="R142" s="62"/>
    </row>
    <row r="143" spans="1:18" ht="15" hidden="1" customHeight="1">
      <c r="A143" s="4" t="s">
        <v>612</v>
      </c>
      <c r="B143" s="46" t="s">
        <v>613</v>
      </c>
      <c r="C143" s="46" t="s">
        <v>614</v>
      </c>
      <c r="D143" s="59"/>
      <c r="E143" s="59">
        <v>0</v>
      </c>
      <c r="F143" s="59">
        <v>0</v>
      </c>
      <c r="G143" s="60" t="s">
        <v>615</v>
      </c>
      <c r="H143" s="60" t="s">
        <v>616</v>
      </c>
      <c r="I143" s="61">
        <v>3780</v>
      </c>
      <c r="J143" s="60" t="s">
        <v>617</v>
      </c>
      <c r="K143" s="60" t="s">
        <v>618</v>
      </c>
      <c r="L143" s="60">
        <v>702290705</v>
      </c>
      <c r="M143" s="60"/>
      <c r="N143" s="58" t="str">
        <f>VLOOKUP(B143,歌单!B:C,2,0)</f>
        <v>韩红</v>
      </c>
      <c r="O143" s="58">
        <f t="shared" si="2"/>
        <v>0</v>
      </c>
      <c r="P143" s="62" t="str">
        <f>VLOOKUP(B143,歌单!B:E,3,0)</f>
        <v>国语</v>
      </c>
      <c r="Q143" s="58" t="str">
        <f>VLOOKUP(B143,歌单!B:E,4,0)</f>
        <v>流行</v>
      </c>
      <c r="R143" s="62"/>
    </row>
    <row r="144" spans="1:18" ht="15" hidden="1" customHeight="1">
      <c r="A144" s="4" t="s">
        <v>619</v>
      </c>
      <c r="B144" s="46" t="s">
        <v>620</v>
      </c>
      <c r="C144" s="46" t="s">
        <v>621</v>
      </c>
      <c r="D144" s="59"/>
      <c r="E144" s="59">
        <v>0</v>
      </c>
      <c r="F144" s="59">
        <v>0</v>
      </c>
      <c r="G144" s="60" t="s">
        <v>622</v>
      </c>
      <c r="H144" s="60" t="s">
        <v>623</v>
      </c>
      <c r="I144" s="61">
        <v>1717</v>
      </c>
      <c r="J144" s="60"/>
      <c r="K144" s="60" t="s">
        <v>620</v>
      </c>
      <c r="L144" s="60">
        <v>176570518</v>
      </c>
      <c r="M144" s="60"/>
      <c r="N144" s="58" t="str">
        <f>VLOOKUP(B144,歌单!B:C,2,0)</f>
        <v>司南</v>
      </c>
      <c r="O144" s="58">
        <f t="shared" si="2"/>
        <v>0</v>
      </c>
      <c r="P144" s="62" t="str">
        <f>VLOOKUP(B144,歌单!B:E,3,0)</f>
        <v>国语</v>
      </c>
      <c r="Q144" s="58" t="str">
        <f>VLOOKUP(B144,歌单!B:E,4,0)</f>
        <v>古风</v>
      </c>
      <c r="R144" s="62"/>
    </row>
    <row r="145" spans="1:18" ht="15" hidden="1" customHeight="1">
      <c r="A145" s="4" t="s">
        <v>624</v>
      </c>
      <c r="B145" s="46" t="s">
        <v>625</v>
      </c>
      <c r="C145" s="46" t="s">
        <v>626</v>
      </c>
      <c r="D145" s="59"/>
      <c r="E145" s="59">
        <v>0</v>
      </c>
      <c r="F145" s="59">
        <v>0</v>
      </c>
      <c r="G145" s="60" t="s">
        <v>627</v>
      </c>
      <c r="H145" s="60" t="s">
        <v>628</v>
      </c>
      <c r="I145" s="61">
        <v>24523</v>
      </c>
      <c r="J145" s="60" t="s">
        <v>629</v>
      </c>
      <c r="K145" s="60" t="s">
        <v>630</v>
      </c>
      <c r="L145" s="60">
        <v>7050600351</v>
      </c>
      <c r="M145" s="60" t="s">
        <v>631</v>
      </c>
      <c r="N145" s="58" t="str">
        <f>VLOOKUP(B145,歌单!B:C,2,0)</f>
        <v>买辣椒</v>
      </c>
      <c r="O145" s="58">
        <f t="shared" si="2"/>
        <v>0</v>
      </c>
      <c r="P145" s="62" t="str">
        <f>VLOOKUP(B145,歌单!B:E,3,0)</f>
        <v>国语</v>
      </c>
      <c r="Q145" s="58" t="str">
        <f>VLOOKUP(B145,歌单!B:E,4,0)</f>
        <v>流行</v>
      </c>
      <c r="R145" s="62"/>
    </row>
    <row r="146" spans="1:18" ht="15" hidden="1" customHeight="1">
      <c r="A146" s="4" t="s">
        <v>632</v>
      </c>
      <c r="B146" s="46" t="s">
        <v>633</v>
      </c>
      <c r="C146" s="46" t="s">
        <v>154</v>
      </c>
      <c r="D146" s="59"/>
      <c r="E146" s="59">
        <v>2979</v>
      </c>
      <c r="F146" s="59">
        <v>36</v>
      </c>
      <c r="G146" s="60" t="s">
        <v>634</v>
      </c>
      <c r="H146" s="60" t="s">
        <v>635</v>
      </c>
      <c r="I146" s="61">
        <v>976</v>
      </c>
      <c r="J146" s="60" t="s">
        <v>633</v>
      </c>
      <c r="K146" s="60" t="s">
        <v>636</v>
      </c>
      <c r="L146" s="60">
        <v>335567107</v>
      </c>
      <c r="M146" s="60" t="s">
        <v>34</v>
      </c>
      <c r="N146" s="58" t="str">
        <f>VLOOKUP(B146,歌单!B:C,2,0)</f>
        <v>周杰伦</v>
      </c>
      <c r="O146" s="58">
        <f t="shared" si="2"/>
        <v>0</v>
      </c>
      <c r="P146" s="62" t="str">
        <f>VLOOKUP(B146,歌单!B:E,3,0)</f>
        <v>国语</v>
      </c>
      <c r="Q146" s="58" t="str">
        <f>VLOOKUP(B146,歌单!B:E,4,0)</f>
        <v>流行</v>
      </c>
      <c r="R146" s="62"/>
    </row>
    <row r="147" spans="1:18" ht="15" hidden="1" customHeight="1">
      <c r="A147" s="4" t="s">
        <v>637</v>
      </c>
      <c r="B147" s="46" t="s">
        <v>638</v>
      </c>
      <c r="C147" s="46" t="s">
        <v>154</v>
      </c>
      <c r="D147" s="59"/>
      <c r="E147" s="59">
        <v>0</v>
      </c>
      <c r="F147" s="59">
        <v>0</v>
      </c>
      <c r="G147" s="60" t="s">
        <v>639</v>
      </c>
      <c r="H147" s="60"/>
      <c r="I147" s="61">
        <v>4120</v>
      </c>
      <c r="J147" s="60"/>
      <c r="K147" s="60" t="s">
        <v>640</v>
      </c>
      <c r="L147" s="60">
        <v>593603418</v>
      </c>
      <c r="M147" s="60"/>
      <c r="N147" s="58" t="str">
        <f>VLOOKUP(B147,歌单!B:C,2,0)</f>
        <v>周杰伦</v>
      </c>
      <c r="O147" s="58">
        <f t="shared" si="2"/>
        <v>0</v>
      </c>
      <c r="P147" s="62" t="str">
        <f>VLOOKUP(B147,歌单!B:E,3,0)</f>
        <v>国语</v>
      </c>
      <c r="Q147" s="58" t="str">
        <f>VLOOKUP(B147,歌单!B:E,4,0)</f>
        <v>流行</v>
      </c>
      <c r="R147" s="62"/>
    </row>
    <row r="148" spans="1:18" ht="15" hidden="1" customHeight="1">
      <c r="A148" s="4" t="s">
        <v>641</v>
      </c>
      <c r="B148" s="46" t="s">
        <v>642</v>
      </c>
      <c r="C148" s="46" t="s">
        <v>643</v>
      </c>
      <c r="D148" s="59"/>
      <c r="E148" s="59">
        <v>0</v>
      </c>
      <c r="F148" s="59">
        <v>0</v>
      </c>
      <c r="G148" s="60" t="s">
        <v>644</v>
      </c>
      <c r="H148" s="60" t="s">
        <v>645</v>
      </c>
      <c r="I148" s="61">
        <v>44</v>
      </c>
      <c r="J148" s="60" t="s">
        <v>646</v>
      </c>
      <c r="K148" s="60" t="s">
        <v>647</v>
      </c>
      <c r="L148" s="60">
        <v>28182657</v>
      </c>
      <c r="M148" s="60"/>
      <c r="N148" s="58" t="str">
        <f>VLOOKUP(B148,歌单!B:C,2,0)</f>
        <v>杨丞琳</v>
      </c>
      <c r="O148" s="58">
        <f t="shared" si="2"/>
        <v>0</v>
      </c>
      <c r="P148" s="62" t="str">
        <f>VLOOKUP(B148,歌单!B:E,3,0)</f>
        <v>国语</v>
      </c>
      <c r="Q148" s="58" t="str">
        <f>VLOOKUP(B148,歌单!B:E,4,0)</f>
        <v>流行</v>
      </c>
      <c r="R148" s="62"/>
    </row>
    <row r="149" spans="1:18" ht="15" hidden="1" customHeight="1">
      <c r="A149" s="4" t="s">
        <v>648</v>
      </c>
      <c r="B149" s="46" t="s">
        <v>649</v>
      </c>
      <c r="C149" s="46" t="s">
        <v>650</v>
      </c>
      <c r="D149" s="59"/>
      <c r="E149" s="59">
        <v>0</v>
      </c>
      <c r="F149" s="59">
        <v>0</v>
      </c>
      <c r="G149" s="60" t="s">
        <v>651</v>
      </c>
      <c r="H149" s="60" t="s">
        <v>652</v>
      </c>
      <c r="I149" s="61">
        <v>410</v>
      </c>
      <c r="J149" s="60" t="s">
        <v>653</v>
      </c>
      <c r="K149" s="60" t="s">
        <v>650</v>
      </c>
      <c r="L149" s="60">
        <v>92493052</v>
      </c>
      <c r="M149" s="60"/>
      <c r="N149" s="58" t="str">
        <f>VLOOKUP(B149,歌单!B:C,2,0)</f>
        <v>李健</v>
      </c>
      <c r="O149" s="58">
        <f t="shared" si="2"/>
        <v>0</v>
      </c>
      <c r="P149" s="62" t="str">
        <f>VLOOKUP(B149,歌单!B:E,3,0)</f>
        <v>国语</v>
      </c>
      <c r="Q149" s="58" t="str">
        <f>VLOOKUP(B149,歌单!B:E,4,0)</f>
        <v>流行</v>
      </c>
      <c r="R149" s="62"/>
    </row>
    <row r="150" spans="1:18" ht="15" hidden="1" customHeight="1">
      <c r="A150" s="4" t="s">
        <v>654</v>
      </c>
      <c r="B150" s="46" t="s">
        <v>655</v>
      </c>
      <c r="C150" s="46" t="s">
        <v>466</v>
      </c>
      <c r="D150" s="59"/>
      <c r="E150" s="59">
        <v>17966</v>
      </c>
      <c r="F150" s="59">
        <v>8458</v>
      </c>
      <c r="G150" s="60" t="s">
        <v>656</v>
      </c>
      <c r="H150" s="60" t="s">
        <v>657</v>
      </c>
      <c r="I150" s="61">
        <v>1296</v>
      </c>
      <c r="J150" s="60"/>
      <c r="K150" s="60" t="s">
        <v>655</v>
      </c>
      <c r="L150" s="60">
        <v>218547878</v>
      </c>
      <c r="M150" s="60" t="s">
        <v>534</v>
      </c>
      <c r="N150" s="58" t="str">
        <f>VLOOKUP(B150,歌单!B:C,2,0)</f>
        <v>郁可唯</v>
      </c>
      <c r="O150" s="58">
        <f t="shared" si="2"/>
        <v>0</v>
      </c>
      <c r="P150" s="62" t="str">
        <f>VLOOKUP(B150,歌单!B:E,3,0)</f>
        <v>国语</v>
      </c>
      <c r="Q150" s="58" t="str">
        <f>VLOOKUP(B150,歌单!B:E,4,0)</f>
        <v>流行</v>
      </c>
      <c r="R150" s="62"/>
    </row>
    <row r="151" spans="1:18" ht="15" hidden="1" customHeight="1">
      <c r="A151" s="4" t="s">
        <v>658</v>
      </c>
      <c r="B151" s="46" t="s">
        <v>659</v>
      </c>
      <c r="C151" s="46" t="s">
        <v>660</v>
      </c>
      <c r="D151" s="59"/>
      <c r="E151" s="59">
        <v>0</v>
      </c>
      <c r="F151" s="59">
        <v>0</v>
      </c>
      <c r="G151" s="60" t="s">
        <v>661</v>
      </c>
      <c r="H151" s="60" t="s">
        <v>662</v>
      </c>
      <c r="I151" s="61">
        <v>737</v>
      </c>
      <c r="J151" s="60"/>
      <c r="K151" s="60" t="s">
        <v>663</v>
      </c>
      <c r="L151" s="60">
        <v>223366660</v>
      </c>
      <c r="M151" s="60"/>
      <c r="N151" s="58" t="str">
        <f>VLOOKUP(B151,歌单!B:C,2,0)</f>
        <v>张信哲</v>
      </c>
      <c r="O151" s="58">
        <f t="shared" si="2"/>
        <v>0</v>
      </c>
      <c r="P151" s="62" t="str">
        <f>VLOOKUP(B151,歌单!B:E,3,0)</f>
        <v>国语</v>
      </c>
      <c r="Q151" s="58" t="str">
        <f>VLOOKUP(B151,歌单!B:E,4,0)</f>
        <v>流行</v>
      </c>
      <c r="R151" s="62"/>
    </row>
    <row r="152" spans="1:18" ht="15" customHeight="1">
      <c r="A152" s="4" t="s">
        <v>664</v>
      </c>
      <c r="B152" s="46" t="s">
        <v>665</v>
      </c>
      <c r="C152" s="46" t="s">
        <v>666</v>
      </c>
      <c r="D152" s="59"/>
      <c r="E152" s="59">
        <v>0</v>
      </c>
      <c r="F152" s="59">
        <v>0</v>
      </c>
      <c r="G152" s="60" t="s">
        <v>667</v>
      </c>
      <c r="H152" s="60"/>
      <c r="I152" s="61">
        <v>20</v>
      </c>
      <c r="J152" s="60"/>
      <c r="K152" s="60" t="s">
        <v>666</v>
      </c>
      <c r="L152" s="60">
        <v>1073991</v>
      </c>
      <c r="M152" s="60"/>
      <c r="N152" s="58" t="str">
        <f>VLOOKUP(B152,歌单!B:C,2,0)</f>
        <v>/</v>
      </c>
      <c r="O152" s="58">
        <f t="shared" si="2"/>
        <v>1</v>
      </c>
      <c r="P152" s="62" t="str">
        <f>VLOOKUP(B152,歌单!B:E,3,0)</f>
        <v>意大利语</v>
      </c>
      <c r="Q152" s="58" t="str">
        <f>VLOOKUP(B152,歌单!B:E,4,0)</f>
        <v>美声</v>
      </c>
      <c r="R152" s="62"/>
    </row>
    <row r="153" spans="1:18" ht="15" customHeight="1">
      <c r="A153" s="4" t="s">
        <v>668</v>
      </c>
      <c r="B153" s="46" t="s">
        <v>669</v>
      </c>
      <c r="C153" s="46" t="s">
        <v>670</v>
      </c>
      <c r="D153" s="59"/>
      <c r="E153" s="59">
        <v>0</v>
      </c>
      <c r="F153" s="59">
        <v>0</v>
      </c>
      <c r="G153" s="60" t="s">
        <v>671</v>
      </c>
      <c r="H153" s="60"/>
      <c r="I153" s="61">
        <v>4</v>
      </c>
      <c r="J153" s="60"/>
      <c r="K153" s="60" t="s">
        <v>672</v>
      </c>
      <c r="L153" s="60">
        <v>789902</v>
      </c>
      <c r="M153" s="60"/>
      <c r="N153" s="58" t="str">
        <f>VLOOKUP(B153,歌单!B:C,2,0)</f>
        <v>/</v>
      </c>
      <c r="O153" s="58">
        <f t="shared" si="2"/>
        <v>1</v>
      </c>
      <c r="P153" s="62" t="str">
        <f>VLOOKUP(B153,歌单!B:E,3,0)</f>
        <v>意大利语</v>
      </c>
      <c r="Q153" s="58" t="str">
        <f>VLOOKUP(B153,歌单!B:E,4,0)</f>
        <v>美声</v>
      </c>
      <c r="R153" s="62"/>
    </row>
    <row r="154" spans="1:18" ht="15" hidden="1" customHeight="1">
      <c r="A154" s="4" t="s">
        <v>673</v>
      </c>
      <c r="B154" s="46" t="s">
        <v>674</v>
      </c>
      <c r="C154" s="46" t="s">
        <v>675</v>
      </c>
      <c r="D154" s="59"/>
      <c r="E154" s="59">
        <v>54575</v>
      </c>
      <c r="F154" s="59">
        <v>8902</v>
      </c>
      <c r="G154" s="60" t="s">
        <v>676</v>
      </c>
      <c r="H154" s="60"/>
      <c r="I154" s="61">
        <v>22</v>
      </c>
      <c r="J154" s="60"/>
      <c r="K154" s="60" t="s">
        <v>674</v>
      </c>
      <c r="L154" s="60">
        <v>2354363</v>
      </c>
      <c r="M154" s="60"/>
      <c r="N154" s="58" t="str">
        <f>VLOOKUP(B154,歌单!B:C,2,0)</f>
        <v>Pomelo安妮</v>
      </c>
      <c r="O154" s="58">
        <f t="shared" si="2"/>
        <v>0</v>
      </c>
      <c r="P154" s="62" t="str">
        <f>VLOOKUP(B154,歌单!B:E,3,0)</f>
        <v>国语</v>
      </c>
      <c r="Q154" s="58" t="str">
        <f>VLOOKUP(B154,歌单!B:E,4,0)</f>
        <v>流行</v>
      </c>
      <c r="R154" s="62"/>
    </row>
    <row r="155" spans="1:18" ht="15" customHeight="1">
      <c r="A155" s="4" t="s">
        <v>677</v>
      </c>
      <c r="B155" s="46" t="s">
        <v>678</v>
      </c>
      <c r="C155" s="46" t="s">
        <v>679</v>
      </c>
      <c r="D155" s="59"/>
      <c r="E155" s="59">
        <v>1032</v>
      </c>
      <c r="F155" s="59">
        <v>165</v>
      </c>
      <c r="G155" s="60" t="s">
        <v>680</v>
      </c>
      <c r="H155" s="60" t="s">
        <v>681</v>
      </c>
      <c r="I155" s="61">
        <v>138</v>
      </c>
      <c r="J155" s="60"/>
      <c r="K155" s="60" t="s">
        <v>678</v>
      </c>
      <c r="L155" s="60">
        <v>64920351</v>
      </c>
      <c r="M155" s="60"/>
      <c r="N155" s="58" t="e">
        <f>VLOOKUP(B155,歌单!B:C,2,0)</f>
        <v>#N/A</v>
      </c>
      <c r="O155" s="58">
        <f t="shared" si="2"/>
        <v>1</v>
      </c>
      <c r="P155" s="62" t="s">
        <v>10246</v>
      </c>
      <c r="Q155" s="58" t="s">
        <v>10252</v>
      </c>
      <c r="R155" s="62"/>
    </row>
    <row r="156" spans="1:18" ht="15" customHeight="1">
      <c r="A156" s="4" t="s">
        <v>682</v>
      </c>
      <c r="B156" s="46" t="s">
        <v>683</v>
      </c>
      <c r="C156" s="46" t="s">
        <v>679</v>
      </c>
      <c r="D156" s="59"/>
      <c r="E156" s="59">
        <v>0</v>
      </c>
      <c r="F156" s="59">
        <v>0</v>
      </c>
      <c r="G156" s="60" t="s">
        <v>684</v>
      </c>
      <c r="H156" s="60" t="s">
        <v>685</v>
      </c>
      <c r="I156" s="61">
        <v>17</v>
      </c>
      <c r="J156" s="60"/>
      <c r="K156" s="60" t="s">
        <v>686</v>
      </c>
      <c r="L156" s="60">
        <v>30870161</v>
      </c>
      <c r="M156" s="60"/>
      <c r="N156" s="58" t="e">
        <f>VLOOKUP(B156,歌单!B:C,2,0)</f>
        <v>#N/A</v>
      </c>
      <c r="O156" s="58">
        <f t="shared" si="2"/>
        <v>1</v>
      </c>
      <c r="P156" s="62" t="s">
        <v>10246</v>
      </c>
      <c r="Q156" s="58" t="s">
        <v>10252</v>
      </c>
      <c r="R156" s="62"/>
    </row>
    <row r="157" spans="1:18" ht="15" hidden="1" customHeight="1">
      <c r="A157" s="4" t="s">
        <v>687</v>
      </c>
      <c r="B157" s="46" t="s">
        <v>688</v>
      </c>
      <c r="C157" s="46" t="s">
        <v>679</v>
      </c>
      <c r="D157" s="59"/>
      <c r="E157" s="59">
        <v>314</v>
      </c>
      <c r="F157" s="59">
        <v>49</v>
      </c>
      <c r="G157" s="60" t="s">
        <v>689</v>
      </c>
      <c r="H157" s="60" t="s">
        <v>690</v>
      </c>
      <c r="I157" s="61">
        <v>765</v>
      </c>
      <c r="J157" s="60"/>
      <c r="K157" s="60" t="s">
        <v>691</v>
      </c>
      <c r="L157" s="60">
        <v>287090873</v>
      </c>
      <c r="M157" s="60"/>
      <c r="N157" s="58" t="str">
        <f>VLOOKUP(B157,歌单!B:C,2,0)</f>
        <v>林俊杰</v>
      </c>
      <c r="O157" s="58">
        <f t="shared" si="2"/>
        <v>0</v>
      </c>
      <c r="P157" s="62" t="str">
        <f>VLOOKUP(B157,歌单!B:E,3,0)</f>
        <v>国语</v>
      </c>
      <c r="Q157" s="58" t="str">
        <f>VLOOKUP(B157,歌单!B:E,4,0)</f>
        <v>流行</v>
      </c>
      <c r="R157" s="62"/>
    </row>
    <row r="158" spans="1:18" ht="15" customHeight="1">
      <c r="A158" s="4" t="s">
        <v>692</v>
      </c>
      <c r="B158" s="46" t="s">
        <v>693</v>
      </c>
      <c r="C158" s="46" t="s">
        <v>154</v>
      </c>
      <c r="D158" s="59"/>
      <c r="E158" s="59">
        <v>0</v>
      </c>
      <c r="F158" s="59">
        <v>0</v>
      </c>
      <c r="G158" s="60" t="s">
        <v>694</v>
      </c>
      <c r="H158" s="60"/>
      <c r="I158" s="61">
        <v>265</v>
      </c>
      <c r="J158" s="60"/>
      <c r="K158" s="60" t="s">
        <v>321</v>
      </c>
      <c r="L158" s="60">
        <v>186750231</v>
      </c>
      <c r="M158" s="60"/>
      <c r="N158" s="58">
        <f>VLOOKUP(B158,歌单!B:C,2,0)</f>
        <v>0</v>
      </c>
      <c r="O158" s="58">
        <f t="shared" si="2"/>
        <v>1</v>
      </c>
      <c r="P158" s="62" t="str">
        <f>VLOOKUP(B158,歌单!B:E,3,0)</f>
        <v>国语</v>
      </c>
      <c r="Q158" s="58" t="str">
        <f>VLOOKUP(B158,歌单!B:E,4,0)</f>
        <v>流行</v>
      </c>
      <c r="R158" s="62"/>
    </row>
    <row r="159" spans="1:18" ht="15" hidden="1" customHeight="1">
      <c r="A159" s="4" t="s">
        <v>695</v>
      </c>
      <c r="B159" s="46" t="s">
        <v>696</v>
      </c>
      <c r="C159" s="46" t="s">
        <v>21</v>
      </c>
      <c r="D159" s="59"/>
      <c r="E159" s="59">
        <v>0</v>
      </c>
      <c r="F159" s="59">
        <v>0</v>
      </c>
      <c r="G159" s="60" t="s">
        <v>697</v>
      </c>
      <c r="H159" s="60"/>
      <c r="I159" s="61">
        <v>13</v>
      </c>
      <c r="J159" s="60"/>
      <c r="K159" s="60" t="s">
        <v>696</v>
      </c>
      <c r="L159" s="60">
        <v>3245965</v>
      </c>
      <c r="M159" s="60"/>
      <c r="N159" s="58" t="str">
        <f>VLOOKUP(B159,歌单!B:C,2,0)</f>
        <v>单依纯</v>
      </c>
      <c r="O159" s="58">
        <f t="shared" si="2"/>
        <v>0</v>
      </c>
      <c r="P159" s="62" t="str">
        <f>VLOOKUP(B159,歌单!B:E,3,0)</f>
        <v>国语</v>
      </c>
      <c r="Q159" s="58" t="str">
        <f>VLOOKUP(B159,歌单!B:E,4,0)</f>
        <v>流行</v>
      </c>
      <c r="R159" s="62"/>
    </row>
    <row r="160" spans="1:18" ht="15" hidden="1" customHeight="1">
      <c r="A160" s="4" t="s">
        <v>698</v>
      </c>
      <c r="B160" s="46" t="s">
        <v>699</v>
      </c>
      <c r="C160" s="46" t="s">
        <v>700</v>
      </c>
      <c r="D160" s="59"/>
      <c r="E160" s="59">
        <v>100657</v>
      </c>
      <c r="F160" s="59">
        <v>21121</v>
      </c>
      <c r="G160" s="60" t="s">
        <v>701</v>
      </c>
      <c r="H160" s="60" t="s">
        <v>702</v>
      </c>
      <c r="I160" s="61">
        <v>18948</v>
      </c>
      <c r="J160" s="60"/>
      <c r="K160" s="60" t="s">
        <v>703</v>
      </c>
      <c r="L160" s="60">
        <v>1973644689</v>
      </c>
      <c r="M160" s="60" t="s">
        <v>704</v>
      </c>
      <c r="N160" s="58" t="str">
        <f>VLOOKUP(B160,歌单!B:C,2,0)</f>
        <v>郭顶</v>
      </c>
      <c r="O160" s="58">
        <f t="shared" si="2"/>
        <v>0</v>
      </c>
      <c r="P160" s="62" t="str">
        <f>VLOOKUP(B160,歌单!B:E,3,0)</f>
        <v>国语</v>
      </c>
      <c r="Q160" s="58" t="str">
        <f>VLOOKUP(B160,歌单!B:E,4,0)</f>
        <v>流行</v>
      </c>
      <c r="R160" s="62"/>
    </row>
    <row r="161" spans="1:18" ht="15" hidden="1" customHeight="1">
      <c r="A161" s="4" t="s">
        <v>705</v>
      </c>
      <c r="B161" s="46" t="s">
        <v>706</v>
      </c>
      <c r="C161" s="46" t="s">
        <v>707</v>
      </c>
      <c r="D161" s="59"/>
      <c r="E161" s="59">
        <v>0</v>
      </c>
      <c r="F161" s="59">
        <v>0</v>
      </c>
      <c r="G161" s="60" t="s">
        <v>708</v>
      </c>
      <c r="H161" s="60"/>
      <c r="I161" s="61">
        <v>1656</v>
      </c>
      <c r="J161" s="60"/>
      <c r="K161" s="60" t="s">
        <v>709</v>
      </c>
      <c r="L161" s="60">
        <v>409143030</v>
      </c>
      <c r="M161" s="60"/>
      <c r="N161" s="58" t="str">
        <f>VLOOKUP(B161,歌单!B:C,2,0)</f>
        <v>陈粒</v>
      </c>
      <c r="O161" s="58">
        <f t="shared" si="2"/>
        <v>0</v>
      </c>
      <c r="P161" s="62" t="str">
        <f>VLOOKUP(B161,歌单!B:E,3,0)</f>
        <v>国语</v>
      </c>
      <c r="Q161" s="58" t="str">
        <f>VLOOKUP(B161,歌单!B:E,4,0)</f>
        <v>流行</v>
      </c>
      <c r="R161" s="62"/>
    </row>
    <row r="162" spans="1:18" ht="15" hidden="1" customHeight="1">
      <c r="A162" s="4" t="s">
        <v>710</v>
      </c>
      <c r="B162" s="46" t="s">
        <v>711</v>
      </c>
      <c r="C162" s="46" t="s">
        <v>509</v>
      </c>
      <c r="D162" s="59"/>
      <c r="E162" s="59">
        <v>0</v>
      </c>
      <c r="F162" s="59">
        <v>0</v>
      </c>
      <c r="G162" s="60" t="s">
        <v>712</v>
      </c>
      <c r="H162" s="60" t="s">
        <v>713</v>
      </c>
      <c r="I162" s="61">
        <v>0</v>
      </c>
      <c r="J162" s="60"/>
      <c r="K162" s="60" t="s">
        <v>714</v>
      </c>
      <c r="L162" s="60">
        <v>190631</v>
      </c>
      <c r="M162" s="60"/>
      <c r="N162" s="58" t="str">
        <f>VLOOKUP(B162,歌单!B:C,2,0)</f>
        <v>张韶涵</v>
      </c>
      <c r="O162" s="58">
        <f t="shared" si="2"/>
        <v>0</v>
      </c>
      <c r="P162" s="62" t="str">
        <f>VLOOKUP(B162,歌单!B:E,3,0)</f>
        <v>国语</v>
      </c>
      <c r="Q162" s="58" t="str">
        <f>VLOOKUP(B162,歌单!B:E,4,0)</f>
        <v>流行</v>
      </c>
      <c r="R162" s="62"/>
    </row>
    <row r="163" spans="1:18" ht="15" hidden="1" customHeight="1">
      <c r="A163" s="4" t="s">
        <v>715</v>
      </c>
      <c r="B163" s="46" t="s">
        <v>716</v>
      </c>
      <c r="C163" s="46" t="s">
        <v>509</v>
      </c>
      <c r="D163" s="59"/>
      <c r="E163" s="59">
        <v>0</v>
      </c>
      <c r="F163" s="59">
        <v>0</v>
      </c>
      <c r="G163" s="60" t="s">
        <v>717</v>
      </c>
      <c r="H163" s="60" t="s">
        <v>718</v>
      </c>
      <c r="I163" s="61">
        <v>2669</v>
      </c>
      <c r="J163" s="60"/>
      <c r="K163" s="60" t="s">
        <v>716</v>
      </c>
      <c r="L163" s="60">
        <v>157739697</v>
      </c>
      <c r="M163" s="60"/>
      <c r="N163" s="58" t="str">
        <f>VLOOKUP(B163,歌单!B:C,2,0)</f>
        <v>张韶涵</v>
      </c>
      <c r="O163" s="58">
        <f t="shared" si="2"/>
        <v>0</v>
      </c>
      <c r="P163" s="62" t="str">
        <f>VLOOKUP(B163,歌单!B:E,3,0)</f>
        <v>国语</v>
      </c>
      <c r="Q163" s="58" t="str">
        <f>VLOOKUP(B163,歌单!B:E,4,0)</f>
        <v>流行</v>
      </c>
      <c r="R163" s="62"/>
    </row>
    <row r="164" spans="1:18" ht="15" customHeight="1">
      <c r="A164" s="4" t="s">
        <v>719</v>
      </c>
      <c r="B164" s="46" t="s">
        <v>720</v>
      </c>
      <c r="C164" s="46" t="s">
        <v>721</v>
      </c>
      <c r="D164" s="59"/>
      <c r="E164" s="59">
        <v>3387</v>
      </c>
      <c r="F164" s="59">
        <v>845</v>
      </c>
      <c r="G164" s="60" t="s">
        <v>722</v>
      </c>
      <c r="H164" s="60" t="s">
        <v>723</v>
      </c>
      <c r="I164" s="61">
        <v>60</v>
      </c>
      <c r="J164" s="60"/>
      <c r="K164" s="60" t="s">
        <v>724</v>
      </c>
      <c r="L164" s="60">
        <v>41008288</v>
      </c>
      <c r="M164" s="60"/>
      <c r="N164" s="58">
        <f>VLOOKUP(B164,歌单!B:C,2,0)</f>
        <v>0</v>
      </c>
      <c r="O164" s="58">
        <f t="shared" si="2"/>
        <v>1</v>
      </c>
      <c r="P164" s="62" t="str">
        <f>VLOOKUP(B164,歌单!B:E,3,0)</f>
        <v>国语</v>
      </c>
      <c r="Q164" s="58" t="str">
        <f>VLOOKUP(B164,歌单!B:E,4,0)</f>
        <v>流行</v>
      </c>
      <c r="R164" s="62"/>
    </row>
    <row r="165" spans="1:18" ht="15" customHeight="1">
      <c r="A165" s="4" t="s">
        <v>725</v>
      </c>
      <c r="B165" s="46" t="s">
        <v>726</v>
      </c>
      <c r="C165" s="46" t="s">
        <v>727</v>
      </c>
      <c r="D165" s="59"/>
      <c r="E165" s="59">
        <v>0</v>
      </c>
      <c r="F165" s="59">
        <v>0</v>
      </c>
      <c r="G165" s="60" t="s">
        <v>728</v>
      </c>
      <c r="H165" s="60" t="s">
        <v>729</v>
      </c>
      <c r="I165" s="61">
        <v>39</v>
      </c>
      <c r="J165" s="60"/>
      <c r="K165" s="60" t="s">
        <v>730</v>
      </c>
      <c r="L165" s="60">
        <v>14230993</v>
      </c>
      <c r="M165" s="60"/>
      <c r="N165" s="58">
        <f>VLOOKUP(B165,歌单!B:C,2,0)</f>
        <v>0</v>
      </c>
      <c r="O165" s="58">
        <f t="shared" si="2"/>
        <v>1</v>
      </c>
      <c r="P165" s="62" t="str">
        <f>VLOOKUP(B165,歌单!B:E,3,0)</f>
        <v>国语</v>
      </c>
      <c r="Q165" s="58" t="str">
        <f>VLOOKUP(B165,歌单!B:E,4,0)</f>
        <v>民族</v>
      </c>
      <c r="R165" s="62"/>
    </row>
    <row r="166" spans="1:18" ht="15" hidden="1" customHeight="1">
      <c r="A166" s="4" t="s">
        <v>731</v>
      </c>
      <c r="B166" s="46" t="s">
        <v>732</v>
      </c>
      <c r="C166" s="46" t="s">
        <v>154</v>
      </c>
      <c r="D166" s="59"/>
      <c r="E166" s="59">
        <v>0</v>
      </c>
      <c r="F166" s="59">
        <v>0</v>
      </c>
      <c r="G166" s="60" t="s">
        <v>733</v>
      </c>
      <c r="H166" s="60"/>
      <c r="I166" s="61">
        <v>2471</v>
      </c>
      <c r="J166" s="60"/>
      <c r="K166" s="60" t="s">
        <v>640</v>
      </c>
      <c r="L166" s="60">
        <v>492310935</v>
      </c>
      <c r="M166" s="60" t="s">
        <v>734</v>
      </c>
      <c r="N166" s="58" t="str">
        <f>VLOOKUP(B166,歌单!B:C,2,0)</f>
        <v>周杰伦</v>
      </c>
      <c r="O166" s="58">
        <f t="shared" si="2"/>
        <v>0</v>
      </c>
      <c r="P166" s="62" t="str">
        <f>VLOOKUP(B166,歌单!B:E,3,0)</f>
        <v>国语</v>
      </c>
      <c r="Q166" s="58" t="str">
        <f>VLOOKUP(B166,歌单!B:E,4,0)</f>
        <v>甜歌</v>
      </c>
      <c r="R166" s="62"/>
    </row>
    <row r="167" spans="1:18" ht="15" customHeight="1">
      <c r="A167" s="4" t="s">
        <v>735</v>
      </c>
      <c r="B167" s="46" t="s">
        <v>736</v>
      </c>
      <c r="C167" s="46" t="s">
        <v>737</v>
      </c>
      <c r="D167" s="59"/>
      <c r="E167" s="59">
        <v>0</v>
      </c>
      <c r="F167" s="59">
        <v>0</v>
      </c>
      <c r="G167" s="60" t="s">
        <v>738</v>
      </c>
      <c r="H167" s="60"/>
      <c r="I167" s="61">
        <v>2</v>
      </c>
      <c r="J167" s="60"/>
      <c r="K167" s="60" t="s">
        <v>739</v>
      </c>
      <c r="L167" s="60">
        <v>4126537</v>
      </c>
      <c r="M167" s="60"/>
      <c r="N167" s="58" t="e">
        <f>VLOOKUP(B167,歌单!B:C,2,0)</f>
        <v>#N/A</v>
      </c>
      <c r="O167" s="58">
        <f t="shared" si="2"/>
        <v>1</v>
      </c>
      <c r="P167" s="62" t="s">
        <v>10246</v>
      </c>
      <c r="Q167" s="58" t="s">
        <v>10252</v>
      </c>
      <c r="R167" s="62"/>
    </row>
    <row r="168" spans="1:18" ht="15" hidden="1" customHeight="1">
      <c r="A168" s="4" t="s">
        <v>740</v>
      </c>
      <c r="B168" s="46" t="s">
        <v>741</v>
      </c>
      <c r="C168" s="46" t="s">
        <v>742</v>
      </c>
      <c r="D168" s="59"/>
      <c r="E168" s="59">
        <v>0</v>
      </c>
      <c r="F168" s="59">
        <v>0</v>
      </c>
      <c r="G168" s="60" t="s">
        <v>743</v>
      </c>
      <c r="H168" s="60" t="s">
        <v>744</v>
      </c>
      <c r="I168" s="61">
        <v>1290</v>
      </c>
      <c r="J168" s="60" t="s">
        <v>745</v>
      </c>
      <c r="K168" s="60" t="s">
        <v>746</v>
      </c>
      <c r="L168" s="60">
        <v>486888927</v>
      </c>
      <c r="M168" s="60" t="s">
        <v>747</v>
      </c>
      <c r="N168" s="58" t="str">
        <f>VLOOKUP(B168,歌单!B:C,2,0)</f>
        <v>孙燕姿</v>
      </c>
      <c r="O168" s="58">
        <f t="shared" si="2"/>
        <v>0</v>
      </c>
      <c r="P168" s="62" t="str">
        <f>VLOOKUP(B168,歌单!B:E,3,0)</f>
        <v>国语</v>
      </c>
      <c r="Q168" s="58" t="str">
        <f>VLOOKUP(B168,歌单!B:E,4,0)</f>
        <v>流行</v>
      </c>
      <c r="R168" s="62"/>
    </row>
    <row r="169" spans="1:18" ht="15" hidden="1" customHeight="1">
      <c r="A169" s="4" t="s">
        <v>748</v>
      </c>
      <c r="B169" s="46" t="s">
        <v>749</v>
      </c>
      <c r="C169" s="46" t="s">
        <v>131</v>
      </c>
      <c r="D169" s="59"/>
      <c r="E169" s="59">
        <v>0</v>
      </c>
      <c r="F169" s="59">
        <v>0</v>
      </c>
      <c r="G169" s="60" t="s">
        <v>750</v>
      </c>
      <c r="H169" s="60" t="s">
        <v>751</v>
      </c>
      <c r="I169" s="61">
        <v>6140</v>
      </c>
      <c r="J169" s="60"/>
      <c r="K169" s="60" t="s">
        <v>752</v>
      </c>
      <c r="L169" s="60">
        <v>400198699</v>
      </c>
      <c r="M169" s="60" t="s">
        <v>235</v>
      </c>
      <c r="N169" s="58" t="str">
        <f>VLOOKUP(B169,歌单!B:C,2,0)</f>
        <v>苏打绿</v>
      </c>
      <c r="O169" s="58">
        <f t="shared" si="2"/>
        <v>0</v>
      </c>
      <c r="P169" s="62" t="str">
        <f>VLOOKUP(B169,歌单!B:E,3,0)</f>
        <v>国语</v>
      </c>
      <c r="Q169" s="58" t="str">
        <f>VLOOKUP(B169,歌单!B:E,4,0)</f>
        <v>流行</v>
      </c>
      <c r="R169" s="62"/>
    </row>
    <row r="170" spans="1:18" ht="15" hidden="1" customHeight="1">
      <c r="A170" s="4" t="s">
        <v>753</v>
      </c>
      <c r="B170" s="46" t="s">
        <v>754</v>
      </c>
      <c r="C170" s="46" t="s">
        <v>755</v>
      </c>
      <c r="D170" s="59"/>
      <c r="E170" s="59">
        <v>0</v>
      </c>
      <c r="F170" s="59">
        <v>0</v>
      </c>
      <c r="G170" s="60" t="s">
        <v>756</v>
      </c>
      <c r="H170" s="60" t="s">
        <v>757</v>
      </c>
      <c r="I170" s="61">
        <v>18</v>
      </c>
      <c r="J170" s="60"/>
      <c r="K170" s="60" t="s">
        <v>758</v>
      </c>
      <c r="L170" s="60">
        <v>11454087</v>
      </c>
      <c r="M170" s="60"/>
      <c r="N170" s="58" t="str">
        <f>VLOOKUP(B170,歌单!B:C,2,0)</f>
        <v>郁一凡</v>
      </c>
      <c r="O170" s="58">
        <f t="shared" si="2"/>
        <v>0</v>
      </c>
      <c r="P170" s="62" t="str">
        <f>VLOOKUP(B170,歌单!B:E,3,0)</f>
        <v>国语</v>
      </c>
      <c r="Q170" s="58" t="str">
        <f>VLOOKUP(B170,歌单!B:E,4,0)</f>
        <v>甜歌</v>
      </c>
      <c r="R170" s="62"/>
    </row>
    <row r="171" spans="1:18" ht="15" hidden="1" customHeight="1">
      <c r="A171" s="4" t="s">
        <v>759</v>
      </c>
      <c r="B171" s="46" t="s">
        <v>760</v>
      </c>
      <c r="C171" s="46" t="s">
        <v>154</v>
      </c>
      <c r="D171" s="59"/>
      <c r="E171" s="59">
        <v>0</v>
      </c>
      <c r="F171" s="59">
        <v>0</v>
      </c>
      <c r="G171" s="60" t="s">
        <v>761</v>
      </c>
      <c r="H171" s="60"/>
      <c r="I171" s="61">
        <v>724</v>
      </c>
      <c r="J171" s="60"/>
      <c r="K171" s="60" t="s">
        <v>292</v>
      </c>
      <c r="L171" s="60">
        <v>252697838</v>
      </c>
      <c r="M171" s="60"/>
      <c r="N171" s="58" t="str">
        <f>VLOOKUP(B171,歌单!B:C,2,0)</f>
        <v>周杰伦</v>
      </c>
      <c r="O171" s="58">
        <f t="shared" si="2"/>
        <v>0</v>
      </c>
      <c r="P171" s="62" t="str">
        <f>VLOOKUP(B171,歌单!B:E,3,0)</f>
        <v>国语</v>
      </c>
      <c r="Q171" s="58" t="str">
        <f>VLOOKUP(B171,歌单!B:E,4,0)</f>
        <v>流行</v>
      </c>
      <c r="R171" s="62"/>
    </row>
    <row r="172" spans="1:18" ht="15" hidden="1" customHeight="1">
      <c r="A172" s="4" t="s">
        <v>762</v>
      </c>
      <c r="B172" s="46" t="s">
        <v>763</v>
      </c>
      <c r="C172" s="46" t="s">
        <v>21</v>
      </c>
      <c r="D172" s="59"/>
      <c r="E172" s="59">
        <v>0</v>
      </c>
      <c r="F172" s="59">
        <v>0</v>
      </c>
      <c r="G172" s="60" t="s">
        <v>764</v>
      </c>
      <c r="H172" s="60" t="s">
        <v>765</v>
      </c>
      <c r="I172" s="61">
        <v>90</v>
      </c>
      <c r="J172" s="60"/>
      <c r="K172" s="60" t="s">
        <v>763</v>
      </c>
      <c r="L172" s="60">
        <v>9314230</v>
      </c>
      <c r="M172" s="60"/>
      <c r="N172" s="58" t="str">
        <f>VLOOKUP(B172,歌单!B:C,2,0)</f>
        <v>单依纯</v>
      </c>
      <c r="O172" s="58">
        <f t="shared" si="2"/>
        <v>0</v>
      </c>
      <c r="P172" s="62" t="str">
        <f>VLOOKUP(B172,歌单!B:E,3,0)</f>
        <v>国语</v>
      </c>
      <c r="Q172" s="58" t="str">
        <f>VLOOKUP(B172,歌单!B:E,4,0)</f>
        <v>R&amp;B</v>
      </c>
      <c r="R172" s="62"/>
    </row>
    <row r="173" spans="1:18" ht="15" hidden="1" customHeight="1">
      <c r="A173" s="4" t="s">
        <v>766</v>
      </c>
      <c r="B173" s="46" t="s">
        <v>767</v>
      </c>
      <c r="C173" s="46" t="s">
        <v>660</v>
      </c>
      <c r="D173" s="59"/>
      <c r="E173" s="59">
        <v>0</v>
      </c>
      <c r="F173" s="59">
        <v>0</v>
      </c>
      <c r="G173" s="60" t="s">
        <v>768</v>
      </c>
      <c r="H173" s="60" t="s">
        <v>769</v>
      </c>
      <c r="I173" s="61">
        <v>421</v>
      </c>
      <c r="J173" s="60"/>
      <c r="K173" s="60" t="s">
        <v>770</v>
      </c>
      <c r="L173" s="60">
        <v>159595948</v>
      </c>
      <c r="M173" s="60"/>
      <c r="N173" s="58" t="str">
        <f>VLOOKUP(B173,歌单!B:C,2,0)</f>
        <v>张信哲</v>
      </c>
      <c r="O173" s="58">
        <f t="shared" si="2"/>
        <v>0</v>
      </c>
      <c r="P173" s="62" t="str">
        <f>VLOOKUP(B173,歌单!B:E,3,0)</f>
        <v>国语</v>
      </c>
      <c r="Q173" s="58" t="str">
        <f>VLOOKUP(B173,歌单!B:E,4,0)</f>
        <v>流行</v>
      </c>
      <c r="R173" s="62"/>
    </row>
    <row r="174" spans="1:18" ht="15" hidden="1" customHeight="1">
      <c r="A174" s="4" t="s">
        <v>771</v>
      </c>
      <c r="B174" s="46" t="s">
        <v>772</v>
      </c>
      <c r="C174" s="46" t="s">
        <v>119</v>
      </c>
      <c r="D174" s="59"/>
      <c r="E174" s="59">
        <v>371028</v>
      </c>
      <c r="F174" s="59">
        <v>46827</v>
      </c>
      <c r="G174" s="60" t="s">
        <v>773</v>
      </c>
      <c r="H174" s="60"/>
      <c r="I174" s="61">
        <v>6426</v>
      </c>
      <c r="J174" s="60"/>
      <c r="K174" s="60" t="s">
        <v>772</v>
      </c>
      <c r="L174" s="60">
        <v>127070294</v>
      </c>
      <c r="M174" s="60" t="s">
        <v>704</v>
      </c>
      <c r="N174" s="58" t="str">
        <f>VLOOKUP(B174,歌单!B:C,2,0)</f>
        <v>HOYO-MIX</v>
      </c>
      <c r="O174" s="58">
        <f t="shared" si="2"/>
        <v>0</v>
      </c>
      <c r="P174" s="62" t="str">
        <f>VLOOKUP(B174,歌单!B:E,3,0)</f>
        <v>英语</v>
      </c>
      <c r="Q174" s="58" t="str">
        <f>VLOOKUP(B174,歌单!B:E,4,0)</f>
        <v>流行</v>
      </c>
      <c r="R174" s="62"/>
    </row>
    <row r="175" spans="1:18" ht="15" hidden="1" customHeight="1">
      <c r="A175" s="4" t="s">
        <v>774</v>
      </c>
      <c r="B175" s="46" t="s">
        <v>775</v>
      </c>
      <c r="C175" s="46" t="s">
        <v>776</v>
      </c>
      <c r="D175" s="59"/>
      <c r="E175" s="59">
        <v>0</v>
      </c>
      <c r="F175" s="59">
        <v>0</v>
      </c>
      <c r="G175" s="60" t="s">
        <v>777</v>
      </c>
      <c r="H175" s="60" t="s">
        <v>778</v>
      </c>
      <c r="I175" s="61">
        <v>227</v>
      </c>
      <c r="J175" s="60" t="s">
        <v>779</v>
      </c>
      <c r="K175" s="60" t="s">
        <v>775</v>
      </c>
      <c r="L175" s="60">
        <v>55474043</v>
      </c>
      <c r="M175" s="60"/>
      <c r="N175" s="58" t="str">
        <f>VLOOKUP(B175,歌单!B:C,2,0)</f>
        <v>张靓颖</v>
      </c>
      <c r="O175" s="58">
        <f t="shared" si="2"/>
        <v>0</v>
      </c>
      <c r="P175" s="62" t="str">
        <f>VLOOKUP(B175,歌单!B:E,3,0)</f>
        <v>国语</v>
      </c>
      <c r="Q175" s="58" t="str">
        <f>VLOOKUP(B175,歌单!B:E,4,0)</f>
        <v>流行</v>
      </c>
      <c r="R175" s="62"/>
    </row>
    <row r="176" spans="1:18" ht="15" hidden="1" customHeight="1">
      <c r="A176" s="4" t="s">
        <v>780</v>
      </c>
      <c r="B176" s="46" t="s">
        <v>781</v>
      </c>
      <c r="C176" s="46" t="s">
        <v>782</v>
      </c>
      <c r="D176" s="59"/>
      <c r="E176" s="59">
        <v>0</v>
      </c>
      <c r="F176" s="59">
        <v>0</v>
      </c>
      <c r="G176" s="60" t="s">
        <v>783</v>
      </c>
      <c r="H176" s="60" t="s">
        <v>784</v>
      </c>
      <c r="I176" s="61">
        <v>668</v>
      </c>
      <c r="J176" s="60"/>
      <c r="K176" s="60" t="s">
        <v>781</v>
      </c>
      <c r="L176" s="60">
        <v>101119426</v>
      </c>
      <c r="M176" s="60"/>
      <c r="N176" s="58" t="str">
        <f>VLOOKUP(B176,歌单!B:C,2,0)</f>
        <v>容祖儿</v>
      </c>
      <c r="O176" s="58">
        <f t="shared" si="2"/>
        <v>0</v>
      </c>
      <c r="P176" s="62" t="str">
        <f>VLOOKUP(B176,歌单!B:E,3,0)</f>
        <v>国语</v>
      </c>
      <c r="Q176" s="58" t="str">
        <f>VLOOKUP(B176,歌单!B:E,4,0)</f>
        <v>流行</v>
      </c>
      <c r="R176" s="62"/>
    </row>
    <row r="177" spans="1:18" ht="15" customHeight="1">
      <c r="A177" s="4" t="s">
        <v>785</v>
      </c>
      <c r="B177" s="46" t="s">
        <v>786</v>
      </c>
      <c r="C177" s="46" t="s">
        <v>679</v>
      </c>
      <c r="D177" s="59"/>
      <c r="E177" s="59">
        <v>0</v>
      </c>
      <c r="F177" s="59">
        <v>0</v>
      </c>
      <c r="G177" s="60" t="s">
        <v>787</v>
      </c>
      <c r="H177" s="60" t="s">
        <v>788</v>
      </c>
      <c r="I177" s="61">
        <v>1583</v>
      </c>
      <c r="J177" s="60"/>
      <c r="K177" s="60" t="s">
        <v>789</v>
      </c>
      <c r="L177" s="60">
        <v>140930479</v>
      </c>
      <c r="M177" s="60"/>
      <c r="N177" s="58" t="e">
        <f>VLOOKUP(B177,歌单!B:C,2,0)</f>
        <v>#N/A</v>
      </c>
      <c r="O177" s="58">
        <f t="shared" si="2"/>
        <v>1</v>
      </c>
      <c r="P177" s="62" t="s">
        <v>10246</v>
      </c>
      <c r="Q177" s="58" t="s">
        <v>10252</v>
      </c>
      <c r="R177" s="62"/>
    </row>
    <row r="178" spans="1:18" ht="15" hidden="1" customHeight="1">
      <c r="A178" s="32" t="s">
        <v>790</v>
      </c>
      <c r="B178" s="46" t="s">
        <v>791</v>
      </c>
      <c r="C178" s="46" t="s">
        <v>792</v>
      </c>
      <c r="D178" s="59"/>
      <c r="E178" s="59">
        <v>0</v>
      </c>
      <c r="F178" s="59">
        <v>0</v>
      </c>
      <c r="G178" s="60" t="s">
        <v>793</v>
      </c>
      <c r="H178" s="60" t="s">
        <v>794</v>
      </c>
      <c r="I178" s="61">
        <v>411</v>
      </c>
      <c r="J178" s="60" t="s">
        <v>795</v>
      </c>
      <c r="K178" s="60" t="s">
        <v>796</v>
      </c>
      <c r="L178" s="60">
        <v>32102012</v>
      </c>
      <c r="M178" s="60"/>
      <c r="N178" s="56" t="str">
        <f>VLOOKUP(B178,歌单!B:C,2,0)</f>
        <v>袁娅维</v>
      </c>
      <c r="O178" s="58">
        <f t="shared" si="2"/>
        <v>1</v>
      </c>
      <c r="P178" s="62" t="str">
        <f>VLOOKUP(B178,歌单!B:E,3,0)</f>
        <v>国语</v>
      </c>
      <c r="Q178" s="58" t="str">
        <f>VLOOKUP(B178,歌单!B:E,4,0)</f>
        <v>流行</v>
      </c>
      <c r="R178" s="62"/>
    </row>
    <row r="179" spans="1:18" ht="15" hidden="1" customHeight="1">
      <c r="A179" s="32" t="s">
        <v>797</v>
      </c>
      <c r="B179" s="46" t="s">
        <v>798</v>
      </c>
      <c r="C179" s="46" t="s">
        <v>799</v>
      </c>
      <c r="D179" s="59"/>
      <c r="E179" s="59">
        <v>0</v>
      </c>
      <c r="F179" s="59">
        <v>0</v>
      </c>
      <c r="G179" s="60" t="s">
        <v>800</v>
      </c>
      <c r="H179" s="60" t="s">
        <v>801</v>
      </c>
      <c r="I179" s="61">
        <v>850</v>
      </c>
      <c r="J179" s="60"/>
      <c r="K179" s="60" t="s">
        <v>798</v>
      </c>
      <c r="L179" s="60">
        <v>168699816</v>
      </c>
      <c r="M179" s="60"/>
      <c r="N179" s="56" t="str">
        <f>VLOOKUP(B179,歌单!B:C,2,0)</f>
        <v>潘虹</v>
      </c>
      <c r="O179" s="58">
        <f t="shared" si="2"/>
        <v>1</v>
      </c>
      <c r="P179" s="62" t="str">
        <f>VLOOKUP(B179,歌单!B:E,3,0)</f>
        <v>国语</v>
      </c>
      <c r="Q179" s="58" t="str">
        <f>VLOOKUP(B179,歌单!B:E,4,0)</f>
        <v>流行</v>
      </c>
      <c r="R179" s="62"/>
    </row>
    <row r="180" spans="1:18" ht="15" customHeight="1">
      <c r="A180" s="4" t="s">
        <v>802</v>
      </c>
      <c r="B180" s="46" t="s">
        <v>803</v>
      </c>
      <c r="C180" s="46" t="s">
        <v>804</v>
      </c>
      <c r="D180" s="59"/>
      <c r="E180" s="59">
        <v>0</v>
      </c>
      <c r="F180" s="59">
        <v>0</v>
      </c>
      <c r="G180" s="60" t="s">
        <v>805</v>
      </c>
      <c r="H180" s="60" t="s">
        <v>806</v>
      </c>
      <c r="I180" s="61">
        <v>46</v>
      </c>
      <c r="J180" s="60" t="s">
        <v>803</v>
      </c>
      <c r="K180" s="60" t="s">
        <v>804</v>
      </c>
      <c r="L180" s="60">
        <v>11174372</v>
      </c>
      <c r="M180" s="60"/>
      <c r="N180" s="58" t="e">
        <f>VLOOKUP(B180,歌单!B:C,2,0)</f>
        <v>#N/A</v>
      </c>
      <c r="O180" s="58">
        <f t="shared" si="2"/>
        <v>1</v>
      </c>
      <c r="P180" s="62" t="s">
        <v>10246</v>
      </c>
      <c r="Q180" s="58" t="s">
        <v>10252</v>
      </c>
      <c r="R180" s="62"/>
    </row>
    <row r="181" spans="1:18" ht="15" customHeight="1">
      <c r="A181" s="4" t="s">
        <v>807</v>
      </c>
      <c r="B181" s="46" t="s">
        <v>808</v>
      </c>
      <c r="C181" s="46" t="s">
        <v>154</v>
      </c>
      <c r="D181" s="59"/>
      <c r="E181" s="59">
        <v>0</v>
      </c>
      <c r="F181" s="59">
        <v>0</v>
      </c>
      <c r="G181" s="60" t="s">
        <v>809</v>
      </c>
      <c r="H181" s="60" t="s">
        <v>810</v>
      </c>
      <c r="I181" s="61">
        <v>529</v>
      </c>
      <c r="J181" s="60"/>
      <c r="K181" s="60" t="s">
        <v>257</v>
      </c>
      <c r="L181" s="60">
        <v>224985389</v>
      </c>
      <c r="M181" s="60"/>
      <c r="N181" s="58" t="e">
        <f>VLOOKUP(B181,歌单!B:C,2,0)</f>
        <v>#N/A</v>
      </c>
      <c r="O181" s="58">
        <f t="shared" si="2"/>
        <v>1</v>
      </c>
      <c r="P181" s="62" t="s">
        <v>10246</v>
      </c>
      <c r="Q181" s="58" t="s">
        <v>10252</v>
      </c>
      <c r="R181" s="62"/>
    </row>
    <row r="182" spans="1:18" ht="15" customHeight="1">
      <c r="A182" s="4" t="s">
        <v>811</v>
      </c>
      <c r="B182" s="46" t="s">
        <v>812</v>
      </c>
      <c r="C182" s="46" t="s">
        <v>131</v>
      </c>
      <c r="D182" s="59"/>
      <c r="E182" s="59">
        <v>0</v>
      </c>
      <c r="F182" s="59">
        <v>0</v>
      </c>
      <c r="G182" s="60" t="s">
        <v>813</v>
      </c>
      <c r="H182" s="60"/>
      <c r="I182" s="61">
        <v>14</v>
      </c>
      <c r="J182" s="60"/>
      <c r="K182" s="60" t="s">
        <v>814</v>
      </c>
      <c r="L182" s="60">
        <v>3649724</v>
      </c>
      <c r="M182" s="60"/>
      <c r="N182" s="58" t="e">
        <f>VLOOKUP(B182,歌单!B:C,2,0)</f>
        <v>#N/A</v>
      </c>
      <c r="O182" s="58">
        <f t="shared" si="2"/>
        <v>1</v>
      </c>
      <c r="P182" s="62" t="s">
        <v>10246</v>
      </c>
      <c r="Q182" s="58" t="s">
        <v>10252</v>
      </c>
      <c r="R182" s="62"/>
    </row>
    <row r="183" spans="1:18" ht="15" hidden="1" customHeight="1">
      <c r="A183" s="4" t="s">
        <v>815</v>
      </c>
      <c r="B183" s="46" t="s">
        <v>816</v>
      </c>
      <c r="C183" s="46" t="s">
        <v>154</v>
      </c>
      <c r="D183" s="59"/>
      <c r="E183" s="59">
        <v>0</v>
      </c>
      <c r="F183" s="59">
        <v>0</v>
      </c>
      <c r="G183" s="60" t="s">
        <v>817</v>
      </c>
      <c r="H183" s="60" t="s">
        <v>818</v>
      </c>
      <c r="I183" s="61">
        <v>1670</v>
      </c>
      <c r="J183" s="60"/>
      <c r="K183" s="60" t="s">
        <v>257</v>
      </c>
      <c r="L183" s="60">
        <v>374265212</v>
      </c>
      <c r="M183" s="60"/>
      <c r="N183" s="58" t="str">
        <f>VLOOKUP(B183,歌单!B:C,2,0)</f>
        <v>周杰伦</v>
      </c>
      <c r="O183" s="58">
        <f t="shared" si="2"/>
        <v>0</v>
      </c>
      <c r="P183" s="62" t="str">
        <f>VLOOKUP(B183,歌单!B:E,3,0)</f>
        <v>国语</v>
      </c>
      <c r="Q183" s="58" t="str">
        <f>VLOOKUP(B183,歌单!B:E,4,0)</f>
        <v>流行</v>
      </c>
      <c r="R183" s="62"/>
    </row>
    <row r="184" spans="1:18" ht="15" hidden="1" customHeight="1">
      <c r="A184" s="4" t="s">
        <v>819</v>
      </c>
      <c r="B184" s="46" t="s">
        <v>820</v>
      </c>
      <c r="C184" s="46" t="s">
        <v>821</v>
      </c>
      <c r="D184" s="59"/>
      <c r="E184" s="59">
        <v>0</v>
      </c>
      <c r="F184" s="59">
        <v>0</v>
      </c>
      <c r="G184" s="60" t="s">
        <v>822</v>
      </c>
      <c r="H184" s="60" t="s">
        <v>823</v>
      </c>
      <c r="I184" s="61">
        <v>3108</v>
      </c>
      <c r="J184" s="60" t="s">
        <v>824</v>
      </c>
      <c r="K184" s="60" t="s">
        <v>825</v>
      </c>
      <c r="L184" s="60">
        <v>860841206</v>
      </c>
      <c r="M184" s="60" t="s">
        <v>826</v>
      </c>
      <c r="N184" s="58" t="str">
        <f>VLOOKUP(B184,歌单!B:C,2,0)</f>
        <v>邓紫棋</v>
      </c>
      <c r="O184" s="58">
        <f t="shared" si="2"/>
        <v>0</v>
      </c>
      <c r="P184" s="62" t="str">
        <f>VLOOKUP(B184,歌单!B:E,3,0)</f>
        <v>国语</v>
      </c>
      <c r="Q184" s="58" t="str">
        <f>VLOOKUP(B184,歌单!B:E,4,0)</f>
        <v>流行</v>
      </c>
      <c r="R184" s="62"/>
    </row>
    <row r="185" spans="1:18" ht="15" hidden="1" customHeight="1">
      <c r="A185" s="32" t="s">
        <v>827</v>
      </c>
      <c r="B185" s="46" t="s">
        <v>828</v>
      </c>
      <c r="C185" s="46" t="s">
        <v>829</v>
      </c>
      <c r="D185" s="59"/>
      <c r="E185" s="59">
        <v>0</v>
      </c>
      <c r="F185" s="59">
        <v>0</v>
      </c>
      <c r="G185" s="60" t="s">
        <v>830</v>
      </c>
      <c r="H185" s="60" t="s">
        <v>831</v>
      </c>
      <c r="I185" s="61">
        <v>41</v>
      </c>
      <c r="J185" s="60"/>
      <c r="K185" s="60" t="s">
        <v>832</v>
      </c>
      <c r="L185" s="60">
        <v>29260153</v>
      </c>
      <c r="M185" s="60"/>
      <c r="N185" s="68" t="s">
        <v>7401</v>
      </c>
      <c r="O185" s="58">
        <f t="shared" si="2"/>
        <v>1</v>
      </c>
      <c r="P185" s="62" t="str">
        <f>VLOOKUP(B185,歌单!B:E,3,0)</f>
        <v>国语</v>
      </c>
      <c r="Q185" s="58" t="str">
        <f>VLOOKUP(B185,歌单!B:E,4,0)</f>
        <v>流行</v>
      </c>
      <c r="R185" s="62"/>
    </row>
    <row r="186" spans="1:18" ht="15" hidden="1" customHeight="1">
      <c r="A186" s="4" t="s">
        <v>833</v>
      </c>
      <c r="B186" s="46" t="s">
        <v>834</v>
      </c>
      <c r="C186" s="46" t="s">
        <v>835</v>
      </c>
      <c r="D186" s="59"/>
      <c r="E186" s="59">
        <v>0</v>
      </c>
      <c r="F186" s="59">
        <v>0</v>
      </c>
      <c r="G186" s="60" t="s">
        <v>836</v>
      </c>
      <c r="H186" s="60" t="s">
        <v>837</v>
      </c>
      <c r="I186" s="61">
        <v>766</v>
      </c>
      <c r="J186" s="60"/>
      <c r="K186" s="60" t="s">
        <v>834</v>
      </c>
      <c r="L186" s="60">
        <v>198812540</v>
      </c>
      <c r="M186" s="60"/>
      <c r="N186" s="58" t="str">
        <f>VLOOKUP(B186,歌单!B:C,2,0)</f>
        <v>银临</v>
      </c>
      <c r="O186" s="58">
        <f t="shared" si="2"/>
        <v>0</v>
      </c>
      <c r="P186" s="62" t="str">
        <f>VLOOKUP(B186,歌单!B:E,3,0)</f>
        <v>国语</v>
      </c>
      <c r="Q186" s="58" t="str">
        <f>VLOOKUP(B186,歌单!B:E,4,0)</f>
        <v>古风</v>
      </c>
      <c r="R186" s="62"/>
    </row>
    <row r="187" spans="1:18" ht="15" hidden="1" customHeight="1">
      <c r="A187" s="4" t="s">
        <v>838</v>
      </c>
      <c r="B187" s="46" t="s">
        <v>640</v>
      </c>
      <c r="C187" s="46" t="s">
        <v>154</v>
      </c>
      <c r="D187" s="59"/>
      <c r="E187" s="59">
        <v>6714</v>
      </c>
      <c r="F187" s="59">
        <v>200</v>
      </c>
      <c r="G187" s="60" t="s">
        <v>839</v>
      </c>
      <c r="H187" s="60"/>
      <c r="I187" s="61">
        <v>13878</v>
      </c>
      <c r="J187" s="60"/>
      <c r="K187" s="60" t="s">
        <v>640</v>
      </c>
      <c r="L187" s="60">
        <v>1124988076</v>
      </c>
      <c r="M187" s="60" t="s">
        <v>431</v>
      </c>
      <c r="N187" s="58" t="str">
        <f>VLOOKUP(B187,歌单!B:C,2,0)</f>
        <v>周杰伦</v>
      </c>
      <c r="O187" s="58">
        <f t="shared" si="2"/>
        <v>0</v>
      </c>
      <c r="P187" s="62" t="str">
        <f>VLOOKUP(B187,歌单!B:E,3,0)</f>
        <v>国语</v>
      </c>
      <c r="Q187" s="58" t="str">
        <f>VLOOKUP(B187,歌单!B:E,4,0)</f>
        <v>流行</v>
      </c>
      <c r="R187" s="62"/>
    </row>
    <row r="188" spans="1:18" ht="15" hidden="1" customHeight="1">
      <c r="A188" s="4" t="s">
        <v>840</v>
      </c>
      <c r="B188" s="46" t="s">
        <v>841</v>
      </c>
      <c r="C188" s="46" t="s">
        <v>333</v>
      </c>
      <c r="D188" s="59"/>
      <c r="E188" s="59">
        <v>0</v>
      </c>
      <c r="F188" s="59">
        <v>0</v>
      </c>
      <c r="G188" s="60" t="s">
        <v>842</v>
      </c>
      <c r="H188" s="60" t="s">
        <v>843</v>
      </c>
      <c r="I188" s="61">
        <v>10</v>
      </c>
      <c r="J188" s="60"/>
      <c r="K188" s="60" t="s">
        <v>844</v>
      </c>
      <c r="L188" s="60">
        <v>13953335</v>
      </c>
      <c r="M188" s="60"/>
      <c r="N188" s="58" t="str">
        <f>VLOOKUP(B188,歌单!B:C,2,0)</f>
        <v>常思思</v>
      </c>
      <c r="O188" s="58">
        <f t="shared" si="2"/>
        <v>0</v>
      </c>
      <c r="P188" s="62" t="str">
        <f>VLOOKUP(B188,歌单!B:E,3,0)</f>
        <v>国语</v>
      </c>
      <c r="Q188" s="58" t="str">
        <f>VLOOKUP(B188,歌单!B:E,4,0)</f>
        <v>美声</v>
      </c>
      <c r="R188" s="62"/>
    </row>
    <row r="189" spans="1:18" ht="15" hidden="1" customHeight="1">
      <c r="A189" s="4" t="s">
        <v>845</v>
      </c>
      <c r="B189" s="46" t="s">
        <v>846</v>
      </c>
      <c r="C189" s="46" t="s">
        <v>847</v>
      </c>
      <c r="D189" s="59"/>
      <c r="E189" s="59">
        <v>0</v>
      </c>
      <c r="F189" s="59">
        <v>0</v>
      </c>
      <c r="G189" s="60" t="s">
        <v>848</v>
      </c>
      <c r="H189" s="60" t="s">
        <v>849</v>
      </c>
      <c r="I189" s="61">
        <v>1334</v>
      </c>
      <c r="J189" s="60" t="s">
        <v>850</v>
      </c>
      <c r="K189" s="60" t="s">
        <v>851</v>
      </c>
      <c r="L189" s="60">
        <v>594956132</v>
      </c>
      <c r="M189" s="60" t="s">
        <v>852</v>
      </c>
      <c r="N189" s="58" t="str">
        <f>VLOOKUP(B189,歌单!B:C,2,0)</f>
        <v>萨顶顶</v>
      </c>
      <c r="O189" s="58">
        <f t="shared" si="2"/>
        <v>0</v>
      </c>
      <c r="P189" s="62" t="str">
        <f>VLOOKUP(B189,歌单!B:E,3,0)</f>
        <v>国语</v>
      </c>
      <c r="Q189" s="58" t="str">
        <f>VLOOKUP(B189,歌单!B:E,4,0)</f>
        <v>流行</v>
      </c>
      <c r="R189" s="62"/>
    </row>
    <row r="190" spans="1:18" ht="15" hidden="1" customHeight="1">
      <c r="A190" s="32" t="s">
        <v>853</v>
      </c>
      <c r="B190" s="46" t="s">
        <v>854</v>
      </c>
      <c r="C190" s="46" t="s">
        <v>146</v>
      </c>
      <c r="D190" s="59"/>
      <c r="E190" s="59">
        <v>0</v>
      </c>
      <c r="F190" s="59">
        <v>0</v>
      </c>
      <c r="G190" s="60" t="s">
        <v>855</v>
      </c>
      <c r="H190" s="60" t="s">
        <v>856</v>
      </c>
      <c r="I190" s="61">
        <v>357</v>
      </c>
      <c r="J190" s="60" t="s">
        <v>857</v>
      </c>
      <c r="K190" s="60" t="s">
        <v>858</v>
      </c>
      <c r="L190" s="60">
        <v>173322581</v>
      </c>
      <c r="M190" s="60"/>
      <c r="N190" s="56" t="str">
        <f>VLOOKUP(B190,歌单!B:C,2,0)</f>
        <v>胡莎莎</v>
      </c>
      <c r="O190" s="58">
        <f t="shared" si="2"/>
        <v>1</v>
      </c>
      <c r="P190" s="62" t="str">
        <f>VLOOKUP(B190,歌单!B:E,3,0)</f>
        <v>国语</v>
      </c>
      <c r="Q190" s="58" t="str">
        <f>VLOOKUP(B190,歌单!B:E,4,0)</f>
        <v>流行</v>
      </c>
      <c r="R190" s="62"/>
    </row>
    <row r="191" spans="1:18" ht="15" hidden="1" customHeight="1">
      <c r="A191" s="4" t="s">
        <v>859</v>
      </c>
      <c r="B191" s="46" t="s">
        <v>860</v>
      </c>
      <c r="C191" s="46" t="s">
        <v>333</v>
      </c>
      <c r="D191" s="59"/>
      <c r="E191" s="59">
        <v>0</v>
      </c>
      <c r="F191" s="59">
        <v>0</v>
      </c>
      <c r="G191" s="60" t="s">
        <v>861</v>
      </c>
      <c r="H191" s="60" t="s">
        <v>862</v>
      </c>
      <c r="I191" s="61">
        <v>1</v>
      </c>
      <c r="J191" s="60"/>
      <c r="K191" s="60" t="s">
        <v>863</v>
      </c>
      <c r="L191" s="60">
        <v>1335190</v>
      </c>
      <c r="M191" s="60"/>
      <c r="N191" s="58" t="str">
        <f>VLOOKUP(B191,歌单!B:C,2,0)</f>
        <v>常思思</v>
      </c>
      <c r="O191" s="58">
        <f t="shared" si="2"/>
        <v>0</v>
      </c>
      <c r="P191" s="62" t="str">
        <f>VLOOKUP(B191,歌单!B:E,3,0)</f>
        <v>国语</v>
      </c>
      <c r="Q191" s="58" t="str">
        <f>VLOOKUP(B191,歌单!B:E,4,0)</f>
        <v>美声</v>
      </c>
      <c r="R191" s="62"/>
    </row>
    <row r="192" spans="1:18" ht="15" hidden="1" customHeight="1">
      <c r="A192" s="4" t="s">
        <v>864</v>
      </c>
      <c r="B192" s="46" t="s">
        <v>568</v>
      </c>
      <c r="C192" s="46" t="s">
        <v>865</v>
      </c>
      <c r="D192" s="59"/>
      <c r="E192" s="59">
        <v>0</v>
      </c>
      <c r="F192" s="59">
        <v>0</v>
      </c>
      <c r="G192" s="60" t="s">
        <v>866</v>
      </c>
      <c r="H192" s="60" t="s">
        <v>867</v>
      </c>
      <c r="I192" s="61">
        <v>6745</v>
      </c>
      <c r="J192" s="60"/>
      <c r="K192" s="60" t="s">
        <v>568</v>
      </c>
      <c r="L192" s="60">
        <v>215251902</v>
      </c>
      <c r="M192" s="60" t="s">
        <v>704</v>
      </c>
      <c r="N192" s="58" t="str">
        <f>VLOOKUP(B192,歌单!B:C,2,0)</f>
        <v>李荣浩</v>
      </c>
      <c r="O192" s="58">
        <f t="shared" si="2"/>
        <v>0</v>
      </c>
      <c r="P192" s="62" t="str">
        <f>VLOOKUP(B192,歌单!B:E,3,0)</f>
        <v>国语</v>
      </c>
      <c r="Q192" s="58" t="str">
        <f>VLOOKUP(B192,歌单!B:E,4,0)</f>
        <v>流行</v>
      </c>
      <c r="R192" s="62"/>
    </row>
    <row r="193" spans="1:18" ht="15" hidden="1" customHeight="1">
      <c r="A193" s="4" t="s">
        <v>868</v>
      </c>
      <c r="B193" s="46" t="s">
        <v>869</v>
      </c>
      <c r="C193" s="46" t="s">
        <v>154</v>
      </c>
      <c r="D193" s="59"/>
      <c r="E193" s="59">
        <v>0</v>
      </c>
      <c r="F193" s="59">
        <v>0</v>
      </c>
      <c r="G193" s="60" t="s">
        <v>870</v>
      </c>
      <c r="H193" s="60"/>
      <c r="I193" s="61">
        <v>9226</v>
      </c>
      <c r="J193" s="60"/>
      <c r="K193" s="60" t="s">
        <v>378</v>
      </c>
      <c r="L193" s="60">
        <v>1341173223</v>
      </c>
      <c r="M193" s="60" t="s">
        <v>322</v>
      </c>
      <c r="N193" s="58" t="str">
        <f>VLOOKUP(B193,歌单!B:C,2,0)</f>
        <v>周杰伦</v>
      </c>
      <c r="O193" s="58">
        <f t="shared" si="2"/>
        <v>0</v>
      </c>
      <c r="P193" s="62" t="str">
        <f>VLOOKUP(B193,歌单!B:E,3,0)</f>
        <v>国语</v>
      </c>
      <c r="Q193" s="58" t="str">
        <f>VLOOKUP(B193,歌单!B:E,4,0)</f>
        <v>流行</v>
      </c>
      <c r="R193" s="62"/>
    </row>
    <row r="194" spans="1:18" ht="15" hidden="1" customHeight="1">
      <c r="A194" s="4" t="s">
        <v>871</v>
      </c>
      <c r="B194" s="46" t="s">
        <v>872</v>
      </c>
      <c r="C194" s="46" t="s">
        <v>27</v>
      </c>
      <c r="D194" s="59"/>
      <c r="E194" s="59">
        <v>0</v>
      </c>
      <c r="F194" s="59">
        <v>0</v>
      </c>
      <c r="G194" s="60" t="s">
        <v>873</v>
      </c>
      <c r="H194" s="60" t="s">
        <v>874</v>
      </c>
      <c r="I194" s="61">
        <v>1830</v>
      </c>
      <c r="J194" s="60"/>
      <c r="K194" s="60" t="s">
        <v>533</v>
      </c>
      <c r="L194" s="60">
        <v>312017425</v>
      </c>
      <c r="M194" s="60"/>
      <c r="N194" s="58" t="str">
        <f>VLOOKUP(B194,歌单!B:C,2,0)</f>
        <v>徐佳莹</v>
      </c>
      <c r="O194" s="58">
        <f t="shared" si="2"/>
        <v>0</v>
      </c>
      <c r="P194" s="62" t="str">
        <f>VLOOKUP(B194,歌单!B:E,3,0)</f>
        <v>国语</v>
      </c>
      <c r="Q194" s="58" t="str">
        <f>VLOOKUP(B194,歌单!B:E,4,0)</f>
        <v>流行</v>
      </c>
      <c r="R194" s="62"/>
    </row>
    <row r="195" spans="1:18" ht="15" hidden="1" customHeight="1">
      <c r="A195" s="32" t="s">
        <v>875</v>
      </c>
      <c r="B195" s="46" t="s">
        <v>791</v>
      </c>
      <c r="C195" s="46" t="s">
        <v>792</v>
      </c>
      <c r="D195" s="59"/>
      <c r="E195" s="59">
        <v>0</v>
      </c>
      <c r="F195" s="59">
        <v>0</v>
      </c>
      <c r="G195" s="60" t="s">
        <v>876</v>
      </c>
      <c r="H195" s="60" t="s">
        <v>877</v>
      </c>
      <c r="I195" s="61">
        <v>0</v>
      </c>
      <c r="J195" s="60"/>
      <c r="K195" s="60" t="s">
        <v>791</v>
      </c>
      <c r="L195" s="60">
        <v>631131</v>
      </c>
      <c r="M195" s="60"/>
      <c r="N195" s="56" t="str">
        <f>VLOOKUP(B195,歌单!B:C,2,0)</f>
        <v>袁娅维</v>
      </c>
      <c r="O195" s="58">
        <f t="shared" ref="O195:O258" si="3">_xlfn.IFNA(IF(IFERROR(SEARCH(N195,C195),0)&gt;0,0,1),0)</f>
        <v>1</v>
      </c>
      <c r="P195" s="62" t="str">
        <f>VLOOKUP(B195,歌单!B:E,3,0)</f>
        <v>国语</v>
      </c>
      <c r="Q195" s="58" t="str">
        <f>VLOOKUP(B195,歌单!B:E,4,0)</f>
        <v>流行</v>
      </c>
      <c r="R195" s="62"/>
    </row>
    <row r="196" spans="1:18" ht="15" hidden="1" customHeight="1">
      <c r="A196" s="4" t="s">
        <v>878</v>
      </c>
      <c r="B196" s="46" t="s">
        <v>879</v>
      </c>
      <c r="C196" s="46" t="s">
        <v>154</v>
      </c>
      <c r="D196" s="59"/>
      <c r="E196" s="59">
        <v>0</v>
      </c>
      <c r="F196" s="59">
        <v>0</v>
      </c>
      <c r="G196" s="60" t="s">
        <v>880</v>
      </c>
      <c r="H196" s="60" t="s">
        <v>881</v>
      </c>
      <c r="I196" s="61">
        <v>5236</v>
      </c>
      <c r="J196" s="60"/>
      <c r="K196" s="60" t="s">
        <v>262</v>
      </c>
      <c r="L196" s="60">
        <v>561545897</v>
      </c>
      <c r="M196" s="60"/>
      <c r="N196" s="58" t="str">
        <f>VLOOKUP(B196,歌单!B:C,2,0)</f>
        <v>周杰伦</v>
      </c>
      <c r="O196" s="58">
        <f t="shared" si="3"/>
        <v>0</v>
      </c>
      <c r="P196" s="62" t="str">
        <f>VLOOKUP(B196,歌单!B:E,3,0)</f>
        <v>国语</v>
      </c>
      <c r="Q196" s="58" t="str">
        <f>VLOOKUP(B196,歌单!B:E,4,0)</f>
        <v>流行</v>
      </c>
      <c r="R196" s="62"/>
    </row>
    <row r="197" spans="1:18" ht="15" hidden="1" customHeight="1">
      <c r="A197" s="4" t="s">
        <v>882</v>
      </c>
      <c r="B197" s="46" t="s">
        <v>883</v>
      </c>
      <c r="C197" s="46" t="s">
        <v>884</v>
      </c>
      <c r="D197" s="59"/>
      <c r="E197" s="59">
        <v>0</v>
      </c>
      <c r="F197" s="59">
        <v>0</v>
      </c>
      <c r="G197" s="60" t="s">
        <v>885</v>
      </c>
      <c r="H197" s="60" t="s">
        <v>886</v>
      </c>
      <c r="I197" s="61">
        <v>1078</v>
      </c>
      <c r="J197" s="60"/>
      <c r="K197" s="60" t="s">
        <v>887</v>
      </c>
      <c r="L197" s="60">
        <v>152298390</v>
      </c>
      <c r="M197" s="60"/>
      <c r="N197" s="58" t="str">
        <f>VLOOKUP(B197,歌单!B:C,2,0)</f>
        <v>王心凌</v>
      </c>
      <c r="O197" s="58">
        <f t="shared" si="3"/>
        <v>0</v>
      </c>
      <c r="P197" s="62" t="str">
        <f>VLOOKUP(B197,歌单!B:E,3,0)</f>
        <v>国语</v>
      </c>
      <c r="Q197" s="58" t="str">
        <f>VLOOKUP(B197,歌单!B:E,4,0)</f>
        <v>流行</v>
      </c>
      <c r="R197" s="62"/>
    </row>
    <row r="198" spans="1:18" ht="15" hidden="1" customHeight="1">
      <c r="A198" s="4" t="s">
        <v>888</v>
      </c>
      <c r="B198" s="46" t="s">
        <v>889</v>
      </c>
      <c r="C198" s="46" t="s">
        <v>890</v>
      </c>
      <c r="D198" s="59"/>
      <c r="E198" s="59">
        <v>0</v>
      </c>
      <c r="F198" s="59">
        <v>0</v>
      </c>
      <c r="G198" s="60" t="s">
        <v>891</v>
      </c>
      <c r="H198" s="60" t="s">
        <v>892</v>
      </c>
      <c r="I198" s="61">
        <v>5373</v>
      </c>
      <c r="J198" s="60"/>
      <c r="K198" s="60" t="s">
        <v>889</v>
      </c>
      <c r="L198" s="60">
        <v>1130927274</v>
      </c>
      <c r="M198" s="60"/>
      <c r="N198" s="58" t="str">
        <f>VLOOKUP(B198,歌单!B:C,2,0)</f>
        <v>银临</v>
      </c>
      <c r="O198" s="58">
        <f t="shared" si="3"/>
        <v>0</v>
      </c>
      <c r="P198" s="62" t="str">
        <f>VLOOKUP(B198,歌单!B:E,3,0)</f>
        <v>国语</v>
      </c>
      <c r="Q198" s="58" t="str">
        <f>VLOOKUP(B198,歌单!B:E,4,0)</f>
        <v>流行</v>
      </c>
      <c r="R198" s="62"/>
    </row>
    <row r="199" spans="1:18" ht="15" hidden="1" customHeight="1">
      <c r="A199" s="4" t="s">
        <v>893</v>
      </c>
      <c r="B199" s="46" t="s">
        <v>894</v>
      </c>
      <c r="C199" s="46" t="s">
        <v>42</v>
      </c>
      <c r="D199" s="59"/>
      <c r="E199" s="59">
        <v>0</v>
      </c>
      <c r="F199" s="59">
        <v>0</v>
      </c>
      <c r="G199" s="60" t="s">
        <v>895</v>
      </c>
      <c r="H199" s="60" t="s">
        <v>896</v>
      </c>
      <c r="I199" s="61">
        <v>3174</v>
      </c>
      <c r="J199" s="60" t="s">
        <v>897</v>
      </c>
      <c r="K199" s="60" t="s">
        <v>894</v>
      </c>
      <c r="L199" s="60">
        <v>152096732</v>
      </c>
      <c r="M199" s="60"/>
      <c r="N199" s="58" t="str">
        <f>VLOOKUP(B199,歌单!B:C,2,0)</f>
        <v>黄龄</v>
      </c>
      <c r="O199" s="58">
        <f t="shared" si="3"/>
        <v>0</v>
      </c>
      <c r="P199" s="62" t="str">
        <f>VLOOKUP(B199,歌单!B:E,3,0)</f>
        <v>国语</v>
      </c>
      <c r="Q199" s="58" t="str">
        <f>VLOOKUP(B199,歌单!B:E,4,0)</f>
        <v>古风</v>
      </c>
      <c r="R199" s="62"/>
    </row>
    <row r="200" spans="1:18" ht="15" customHeight="1">
      <c r="A200" s="4" t="s">
        <v>898</v>
      </c>
      <c r="B200" s="46" t="s">
        <v>899</v>
      </c>
      <c r="C200" s="46" t="s">
        <v>580</v>
      </c>
      <c r="D200" s="59"/>
      <c r="E200" s="59">
        <v>0</v>
      </c>
      <c r="F200" s="59">
        <v>0</v>
      </c>
      <c r="G200" s="60" t="s">
        <v>900</v>
      </c>
      <c r="H200" s="60" t="s">
        <v>901</v>
      </c>
      <c r="I200" s="61">
        <v>8</v>
      </c>
      <c r="J200" s="60"/>
      <c r="K200" s="60" t="s">
        <v>902</v>
      </c>
      <c r="L200" s="60">
        <v>3422991</v>
      </c>
      <c r="M200" s="60"/>
      <c r="N200" s="58" t="e">
        <f>VLOOKUP(B200,歌单!B:C,2,0)</f>
        <v>#N/A</v>
      </c>
      <c r="O200" s="58">
        <f t="shared" si="3"/>
        <v>1</v>
      </c>
      <c r="P200" s="62" t="s">
        <v>10246</v>
      </c>
      <c r="Q200" s="58" t="s">
        <v>10252</v>
      </c>
      <c r="R200" s="62"/>
    </row>
    <row r="201" spans="1:18" ht="15" customHeight="1">
      <c r="A201" s="4" t="s">
        <v>903</v>
      </c>
      <c r="B201" s="46" t="s">
        <v>904</v>
      </c>
      <c r="C201" s="46" t="s">
        <v>154</v>
      </c>
      <c r="D201" s="59"/>
      <c r="E201" s="59">
        <v>0</v>
      </c>
      <c r="F201" s="59">
        <v>0</v>
      </c>
      <c r="G201" s="60" t="s">
        <v>905</v>
      </c>
      <c r="H201" s="60" t="s">
        <v>906</v>
      </c>
      <c r="I201" s="61">
        <v>2850</v>
      </c>
      <c r="J201" s="60" t="s">
        <v>904</v>
      </c>
      <c r="K201" s="60" t="s">
        <v>907</v>
      </c>
      <c r="L201" s="60">
        <v>416774055</v>
      </c>
      <c r="M201" s="60"/>
      <c r="N201" s="58" t="e">
        <f>VLOOKUP(B201,歌单!B:C,2,0)</f>
        <v>#N/A</v>
      </c>
      <c r="O201" s="58">
        <f t="shared" si="3"/>
        <v>1</v>
      </c>
      <c r="P201" s="62" t="s">
        <v>10246</v>
      </c>
      <c r="Q201" s="58" t="s">
        <v>10252</v>
      </c>
      <c r="R201" s="62"/>
    </row>
    <row r="202" spans="1:18" ht="15" hidden="1" customHeight="1">
      <c r="A202" s="4" t="s">
        <v>908</v>
      </c>
      <c r="B202" s="46" t="s">
        <v>909</v>
      </c>
      <c r="C202" s="46" t="s">
        <v>910</v>
      </c>
      <c r="D202" s="59"/>
      <c r="E202" s="59">
        <v>36024</v>
      </c>
      <c r="F202" s="59">
        <v>5360</v>
      </c>
      <c r="G202" s="60" t="s">
        <v>911</v>
      </c>
      <c r="H202" s="60"/>
      <c r="I202" s="61">
        <v>1337</v>
      </c>
      <c r="J202" s="60"/>
      <c r="K202" s="60" t="s">
        <v>912</v>
      </c>
      <c r="L202" s="60">
        <v>106771637</v>
      </c>
      <c r="M202" s="60" t="s">
        <v>293</v>
      </c>
      <c r="N202" s="58" t="str">
        <f>VLOOKUP(B202,歌单!B:C,2,0)</f>
        <v>唐汉霄</v>
      </c>
      <c r="O202" s="58">
        <f t="shared" si="3"/>
        <v>0</v>
      </c>
      <c r="P202" s="62" t="str">
        <f>VLOOKUP(B202,歌单!B:E,3,0)</f>
        <v>国语</v>
      </c>
      <c r="Q202" s="58" t="str">
        <f>VLOOKUP(B202,歌单!B:E,4,0)</f>
        <v>流行</v>
      </c>
      <c r="R202" s="62"/>
    </row>
    <row r="203" spans="1:18" ht="15" customHeight="1">
      <c r="A203" s="4" t="s">
        <v>913</v>
      </c>
      <c r="B203" s="46" t="s">
        <v>914</v>
      </c>
      <c r="C203" s="46" t="s">
        <v>915</v>
      </c>
      <c r="D203" s="59"/>
      <c r="E203" s="59">
        <v>0</v>
      </c>
      <c r="F203" s="59">
        <v>0</v>
      </c>
      <c r="G203" s="60" t="s">
        <v>916</v>
      </c>
      <c r="H203" s="60"/>
      <c r="I203" s="61">
        <v>1552</v>
      </c>
      <c r="J203" s="60"/>
      <c r="K203" s="60" t="s">
        <v>914</v>
      </c>
      <c r="L203" s="60">
        <v>219738813</v>
      </c>
      <c r="M203" s="60"/>
      <c r="N203" s="58">
        <f>VLOOKUP(B203,歌单!B:C,2,0)</f>
        <v>0</v>
      </c>
      <c r="O203" s="58">
        <f t="shared" si="3"/>
        <v>1</v>
      </c>
      <c r="P203" s="62" t="str">
        <f>VLOOKUP(B203,歌单!B:E,3,0)</f>
        <v>国语</v>
      </c>
      <c r="Q203" s="58" t="str">
        <f>VLOOKUP(B203,歌单!B:E,4,0)</f>
        <v>流行</v>
      </c>
      <c r="R203" s="62"/>
    </row>
    <row r="204" spans="1:18" ht="15" hidden="1" customHeight="1">
      <c r="A204" s="4" t="s">
        <v>917</v>
      </c>
      <c r="B204" s="46" t="s">
        <v>918</v>
      </c>
      <c r="C204" s="46" t="s">
        <v>154</v>
      </c>
      <c r="D204" s="59"/>
      <c r="E204" s="59">
        <v>0</v>
      </c>
      <c r="F204" s="59">
        <v>0</v>
      </c>
      <c r="G204" s="60" t="s">
        <v>919</v>
      </c>
      <c r="H204" s="60"/>
      <c r="I204" s="61">
        <v>8346</v>
      </c>
      <c r="J204" s="60"/>
      <c r="K204" s="60" t="s">
        <v>920</v>
      </c>
      <c r="L204" s="60">
        <v>445692889</v>
      </c>
      <c r="M204" s="60"/>
      <c r="N204" s="58" t="str">
        <f>VLOOKUP(B204,歌单!B:C,2,0)</f>
        <v>周杰伦</v>
      </c>
      <c r="O204" s="58">
        <f t="shared" si="3"/>
        <v>0</v>
      </c>
      <c r="P204" s="62" t="str">
        <f>VLOOKUP(B204,歌单!B:E,3,0)</f>
        <v>国语</v>
      </c>
      <c r="Q204" s="58" t="str">
        <f>VLOOKUP(B204,歌单!B:E,4,0)</f>
        <v>流行</v>
      </c>
      <c r="R204" s="62"/>
    </row>
    <row r="205" spans="1:18" ht="15" hidden="1" customHeight="1">
      <c r="A205" s="4" t="s">
        <v>921</v>
      </c>
      <c r="B205" s="46" t="s">
        <v>922</v>
      </c>
      <c r="C205" s="46" t="s">
        <v>478</v>
      </c>
      <c r="D205" s="59"/>
      <c r="E205" s="59">
        <v>0</v>
      </c>
      <c r="F205" s="59">
        <v>0</v>
      </c>
      <c r="G205" s="60" t="s">
        <v>923</v>
      </c>
      <c r="H205" s="60" t="s">
        <v>924</v>
      </c>
      <c r="I205" s="61">
        <v>233</v>
      </c>
      <c r="J205" s="60"/>
      <c r="K205" s="60"/>
      <c r="L205" s="60">
        <v>131757764</v>
      </c>
      <c r="M205" s="60"/>
      <c r="N205" s="58" t="str">
        <f>VLOOKUP(B205,歌单!B:C,2,0)</f>
        <v>邓丽君</v>
      </c>
      <c r="O205" s="58">
        <f t="shared" si="3"/>
        <v>0</v>
      </c>
      <c r="P205" s="62" t="str">
        <f>VLOOKUP(B205,歌单!B:E,3,0)</f>
        <v>国语</v>
      </c>
      <c r="Q205" s="58" t="str">
        <f>VLOOKUP(B205,歌单!B:E,4,0)</f>
        <v>流行</v>
      </c>
      <c r="R205" s="62"/>
    </row>
    <row r="206" spans="1:18" ht="15" hidden="1" customHeight="1">
      <c r="A206" s="32" t="s">
        <v>925</v>
      </c>
      <c r="B206" s="46" t="s">
        <v>118</v>
      </c>
      <c r="C206" s="46" t="s">
        <v>119</v>
      </c>
      <c r="D206" s="59"/>
      <c r="E206" s="59">
        <v>2103209</v>
      </c>
      <c r="F206" s="59">
        <v>767801</v>
      </c>
      <c r="G206" s="60" t="s">
        <v>926</v>
      </c>
      <c r="H206" s="60" t="s">
        <v>927</v>
      </c>
      <c r="I206" s="61">
        <v>11361</v>
      </c>
      <c r="J206" s="60"/>
      <c r="K206" s="60" t="s">
        <v>928</v>
      </c>
      <c r="L206" s="60">
        <v>345148142</v>
      </c>
      <c r="M206" s="60"/>
      <c r="N206" s="56" t="str">
        <f>VLOOKUP(B206,歌单!B:C,2,0)</f>
        <v>杨扬</v>
      </c>
      <c r="O206" s="58">
        <f t="shared" si="3"/>
        <v>1</v>
      </c>
      <c r="P206" s="62" t="str">
        <f>VLOOKUP(B206,歌单!B:E,3,0)</f>
        <v>国语</v>
      </c>
      <c r="Q206" s="58" t="str">
        <f>VLOOKUP(B206,歌单!B:E,4,0)</f>
        <v>流行</v>
      </c>
      <c r="R206" s="62"/>
    </row>
    <row r="207" spans="1:18" ht="15" hidden="1" customHeight="1">
      <c r="A207" s="32" t="s">
        <v>929</v>
      </c>
      <c r="B207" s="46" t="s">
        <v>930</v>
      </c>
      <c r="C207" s="46" t="s">
        <v>51</v>
      </c>
      <c r="D207" s="59"/>
      <c r="E207" s="59">
        <v>0</v>
      </c>
      <c r="F207" s="59">
        <v>0</v>
      </c>
      <c r="G207" s="60" t="s">
        <v>931</v>
      </c>
      <c r="H207" s="60" t="s">
        <v>932</v>
      </c>
      <c r="I207" s="61">
        <v>1</v>
      </c>
      <c r="J207" s="60"/>
      <c r="K207" s="60" t="s">
        <v>930</v>
      </c>
      <c r="L207" s="60">
        <v>514547</v>
      </c>
      <c r="M207" s="60"/>
      <c r="N207" s="56" t="str">
        <f>VLOOKUP(B207,歌单!B:C,2,0)</f>
        <v>牛奶咖啡</v>
      </c>
      <c r="O207" s="58">
        <f t="shared" si="3"/>
        <v>1</v>
      </c>
      <c r="P207" s="62" t="str">
        <f>VLOOKUP(B207,歌单!B:E,3,0)</f>
        <v>国语</v>
      </c>
      <c r="Q207" s="58" t="str">
        <f>VLOOKUP(B207,歌单!B:E,4,0)</f>
        <v>流行</v>
      </c>
      <c r="R207" s="62"/>
    </row>
    <row r="208" spans="1:18" ht="15" hidden="1" customHeight="1">
      <c r="A208" s="4" t="s">
        <v>933</v>
      </c>
      <c r="B208" s="46" t="s">
        <v>934</v>
      </c>
      <c r="C208" s="46" t="s">
        <v>935</v>
      </c>
      <c r="D208" s="59"/>
      <c r="E208" s="59">
        <v>0</v>
      </c>
      <c r="F208" s="59">
        <v>0</v>
      </c>
      <c r="G208" s="60" t="s">
        <v>936</v>
      </c>
      <c r="H208" s="60" t="s">
        <v>937</v>
      </c>
      <c r="I208" s="61">
        <v>382</v>
      </c>
      <c r="J208" s="60"/>
      <c r="K208" s="60" t="s">
        <v>938</v>
      </c>
      <c r="L208" s="60">
        <v>19549830</v>
      </c>
      <c r="M208" s="60"/>
      <c r="N208" s="58" t="str">
        <f>VLOOKUP(B208,歌单!B:C,2,0)</f>
        <v>谭维维</v>
      </c>
      <c r="O208" s="58">
        <f t="shared" si="3"/>
        <v>0</v>
      </c>
      <c r="P208" s="62" t="str">
        <f>VLOOKUP(B208,歌单!B:E,3,0)</f>
        <v>国语</v>
      </c>
      <c r="Q208" s="58" t="str">
        <f>VLOOKUP(B208,歌单!B:E,4,0)</f>
        <v>民族</v>
      </c>
      <c r="R208" s="62"/>
    </row>
    <row r="209" spans="1:18" ht="15" hidden="1" customHeight="1">
      <c r="A209" s="4" t="s">
        <v>939</v>
      </c>
      <c r="B209" s="46" t="s">
        <v>940</v>
      </c>
      <c r="C209" s="46" t="s">
        <v>941</v>
      </c>
      <c r="D209" s="59"/>
      <c r="E209" s="59">
        <v>0</v>
      </c>
      <c r="F209" s="59">
        <v>0</v>
      </c>
      <c r="G209" s="60" t="s">
        <v>942</v>
      </c>
      <c r="H209" s="60" t="s">
        <v>943</v>
      </c>
      <c r="I209" s="61">
        <v>0</v>
      </c>
      <c r="J209" s="60"/>
      <c r="K209" s="60" t="s">
        <v>944</v>
      </c>
      <c r="L209" s="60">
        <v>83682</v>
      </c>
      <c r="M209" s="60"/>
      <c r="N209" s="58" t="str">
        <f>VLOOKUP(B209,歌单!B:C,2,0)</f>
        <v>黄宣</v>
      </c>
      <c r="O209" s="58">
        <f t="shared" si="3"/>
        <v>1</v>
      </c>
      <c r="P209" s="62" t="str">
        <f>VLOOKUP(B209,歌单!B:E,3,0)</f>
        <v>国语</v>
      </c>
      <c r="Q209" s="58" t="str">
        <f>VLOOKUP(B209,歌单!B:E,4,0)</f>
        <v>流行</v>
      </c>
      <c r="R209" s="62"/>
    </row>
    <row r="210" spans="1:18" ht="15" customHeight="1">
      <c r="A210" s="4" t="s">
        <v>945</v>
      </c>
      <c r="B210" s="46" t="s">
        <v>946</v>
      </c>
      <c r="C210" s="46" t="s">
        <v>154</v>
      </c>
      <c r="D210" s="59"/>
      <c r="E210" s="59">
        <v>0</v>
      </c>
      <c r="F210" s="59">
        <v>0</v>
      </c>
      <c r="G210" s="60" t="s">
        <v>947</v>
      </c>
      <c r="H210" s="60"/>
      <c r="I210" s="61">
        <v>6537</v>
      </c>
      <c r="J210" s="60"/>
      <c r="K210" s="60" t="s">
        <v>920</v>
      </c>
      <c r="L210" s="60">
        <v>569248560</v>
      </c>
      <c r="M210" s="60"/>
      <c r="N210" s="58">
        <f>VLOOKUP(B210,歌单!B:C,2,0)</f>
        <v>0</v>
      </c>
      <c r="O210" s="58">
        <f t="shared" si="3"/>
        <v>1</v>
      </c>
      <c r="P210" s="62" t="str">
        <f>VLOOKUP(B210,歌单!B:E,3,0)</f>
        <v>国语</v>
      </c>
      <c r="Q210" s="58" t="str">
        <f>VLOOKUP(B210,歌单!B:E,4,0)</f>
        <v>流行</v>
      </c>
      <c r="R210" s="62"/>
    </row>
    <row r="211" spans="1:18" ht="15" hidden="1" customHeight="1">
      <c r="A211" s="4" t="s">
        <v>948</v>
      </c>
      <c r="B211" s="46" t="s">
        <v>949</v>
      </c>
      <c r="C211" s="46" t="s">
        <v>950</v>
      </c>
      <c r="D211" s="59"/>
      <c r="E211" s="59">
        <v>0</v>
      </c>
      <c r="F211" s="59">
        <v>0</v>
      </c>
      <c r="G211" s="60" t="s">
        <v>951</v>
      </c>
      <c r="H211" s="60" t="s">
        <v>952</v>
      </c>
      <c r="I211" s="61">
        <v>363</v>
      </c>
      <c r="J211" s="60"/>
      <c r="K211" s="60" t="s">
        <v>949</v>
      </c>
      <c r="L211" s="60">
        <v>68722656</v>
      </c>
      <c r="M211" s="60"/>
      <c r="N211" s="58" t="str">
        <f>VLOOKUP(B211,歌单!B:C,2,0)</f>
        <v>郭静</v>
      </c>
      <c r="O211" s="58">
        <f t="shared" si="3"/>
        <v>0</v>
      </c>
      <c r="P211" s="62" t="str">
        <f>VLOOKUP(B211,歌单!B:E,3,0)</f>
        <v>国语</v>
      </c>
      <c r="Q211" s="58" t="str">
        <f>VLOOKUP(B211,歌单!B:E,4,0)</f>
        <v>流行</v>
      </c>
      <c r="R211" s="62"/>
    </row>
    <row r="212" spans="1:18" ht="15" customHeight="1">
      <c r="A212" s="4" t="s">
        <v>953</v>
      </c>
      <c r="B212" s="46" t="s">
        <v>954</v>
      </c>
      <c r="C212" s="46" t="s">
        <v>955</v>
      </c>
      <c r="D212" s="59"/>
      <c r="E212" s="59">
        <v>0</v>
      </c>
      <c r="F212" s="59">
        <v>0</v>
      </c>
      <c r="G212" s="60" t="s">
        <v>956</v>
      </c>
      <c r="H212" s="60" t="s">
        <v>957</v>
      </c>
      <c r="I212" s="61">
        <v>41</v>
      </c>
      <c r="J212" s="60"/>
      <c r="K212" s="60" t="s">
        <v>958</v>
      </c>
      <c r="L212" s="60">
        <v>24033103</v>
      </c>
      <c r="M212" s="60"/>
      <c r="N212" s="58" t="e">
        <f>VLOOKUP(B212,歌单!B:C,2,0)</f>
        <v>#N/A</v>
      </c>
      <c r="O212" s="58">
        <f t="shared" si="3"/>
        <v>1</v>
      </c>
      <c r="P212" s="62" t="s">
        <v>10246</v>
      </c>
      <c r="Q212" s="58" t="s">
        <v>10252</v>
      </c>
      <c r="R212" s="62"/>
    </row>
    <row r="213" spans="1:18" ht="15" hidden="1" customHeight="1">
      <c r="A213" s="4" t="s">
        <v>959</v>
      </c>
      <c r="B213" s="46" t="s">
        <v>960</v>
      </c>
      <c r="C213" s="46" t="s">
        <v>961</v>
      </c>
      <c r="D213" s="59"/>
      <c r="E213" s="59">
        <v>518</v>
      </c>
      <c r="F213" s="59">
        <v>145</v>
      </c>
      <c r="G213" s="60" t="s">
        <v>962</v>
      </c>
      <c r="H213" s="60" t="s">
        <v>963</v>
      </c>
      <c r="I213" s="61">
        <v>473</v>
      </c>
      <c r="J213" s="60"/>
      <c r="K213" s="60" t="s">
        <v>964</v>
      </c>
      <c r="L213" s="60">
        <v>115959006</v>
      </c>
      <c r="M213" s="60"/>
      <c r="N213" s="58" t="str">
        <f>VLOOKUP(B213,歌单!B:C,2,0)</f>
        <v>杨丞琳</v>
      </c>
      <c r="O213" s="58">
        <f t="shared" si="3"/>
        <v>0</v>
      </c>
      <c r="P213" s="62" t="str">
        <f>VLOOKUP(B213,歌单!B:E,3,0)</f>
        <v>国语</v>
      </c>
      <c r="Q213" s="58" t="str">
        <f>VLOOKUP(B213,歌单!B:E,4,0)</f>
        <v>流行</v>
      </c>
      <c r="R213" s="62"/>
    </row>
    <row r="214" spans="1:18" ht="15" hidden="1" customHeight="1">
      <c r="A214" s="4" t="s">
        <v>965</v>
      </c>
      <c r="B214" s="46" t="s">
        <v>6391</v>
      </c>
      <c r="C214" s="46" t="s">
        <v>6392</v>
      </c>
      <c r="D214" s="59"/>
      <c r="E214" s="59">
        <v>0</v>
      </c>
      <c r="F214" s="59">
        <v>0</v>
      </c>
      <c r="G214" s="60"/>
      <c r="H214" s="60"/>
      <c r="I214" s="61"/>
      <c r="J214" s="60"/>
      <c r="K214" s="60"/>
      <c r="L214" s="60"/>
      <c r="M214" s="60"/>
      <c r="N214" s="58" t="str">
        <f>VLOOKUP(B214,歌单!B:C,2,0)</f>
        <v>刘瑞琦</v>
      </c>
      <c r="O214" s="58">
        <f t="shared" si="3"/>
        <v>0</v>
      </c>
      <c r="P214" s="62" t="str">
        <f>VLOOKUP(B214,歌单!B:E,3,0)</f>
        <v>国语</v>
      </c>
      <c r="Q214" s="58" t="str">
        <f>VLOOKUP(B214,歌单!B:E,4,0)</f>
        <v>流行</v>
      </c>
      <c r="R214" s="62"/>
    </row>
    <row r="215" spans="1:18" ht="15" hidden="1" customHeight="1">
      <c r="A215" s="4" t="s">
        <v>966</v>
      </c>
      <c r="B215" s="46" t="s">
        <v>967</v>
      </c>
      <c r="C215" s="46" t="s">
        <v>42</v>
      </c>
      <c r="D215" s="59"/>
      <c r="E215" s="59">
        <v>0</v>
      </c>
      <c r="F215" s="59">
        <v>0</v>
      </c>
      <c r="G215" s="60" t="s">
        <v>968</v>
      </c>
      <c r="H215" s="60" t="s">
        <v>969</v>
      </c>
      <c r="I215" s="61">
        <v>2250</v>
      </c>
      <c r="J215" s="60"/>
      <c r="K215" s="60" t="s">
        <v>967</v>
      </c>
      <c r="L215" s="60">
        <v>63947645</v>
      </c>
      <c r="M215" s="60"/>
      <c r="N215" s="58" t="str">
        <f>VLOOKUP(B215,歌单!B:C,2,0)</f>
        <v>黄龄</v>
      </c>
      <c r="O215" s="58">
        <f t="shared" si="3"/>
        <v>0</v>
      </c>
      <c r="P215" s="62" t="str">
        <f>VLOOKUP(B215,歌单!B:E,3,0)</f>
        <v>国语</v>
      </c>
      <c r="Q215" s="58" t="str">
        <f>VLOOKUP(B215,歌单!B:E,4,0)</f>
        <v>流行</v>
      </c>
      <c r="R215" s="62"/>
    </row>
    <row r="216" spans="1:18" ht="15" hidden="1" customHeight="1">
      <c r="A216" s="4" t="s">
        <v>970</v>
      </c>
      <c r="B216" s="46" t="s">
        <v>971</v>
      </c>
      <c r="C216" s="46" t="s">
        <v>950</v>
      </c>
      <c r="D216" s="59"/>
      <c r="E216" s="59">
        <v>0</v>
      </c>
      <c r="F216" s="59">
        <v>0</v>
      </c>
      <c r="G216" s="60" t="s">
        <v>972</v>
      </c>
      <c r="H216" s="60" t="s">
        <v>973</v>
      </c>
      <c r="I216" s="61">
        <v>4204</v>
      </c>
      <c r="J216" s="60"/>
      <c r="K216" s="60" t="s">
        <v>949</v>
      </c>
      <c r="L216" s="60">
        <v>446507354</v>
      </c>
      <c r="M216" s="60"/>
      <c r="N216" s="58" t="str">
        <f>VLOOKUP(B216,歌单!B:C,2,0)</f>
        <v>郭静</v>
      </c>
      <c r="O216" s="58">
        <f t="shared" si="3"/>
        <v>0</v>
      </c>
      <c r="P216" s="62" t="str">
        <f>VLOOKUP(B216,歌单!B:E,3,0)</f>
        <v>国语</v>
      </c>
      <c r="Q216" s="58" t="str">
        <f>VLOOKUP(B216,歌单!B:E,4,0)</f>
        <v>流行</v>
      </c>
      <c r="R216" s="62"/>
    </row>
    <row r="217" spans="1:18" ht="15" hidden="1" customHeight="1">
      <c r="A217" s="32" t="s">
        <v>974</v>
      </c>
      <c r="B217" s="46" t="s">
        <v>975</v>
      </c>
      <c r="C217" s="46" t="s">
        <v>976</v>
      </c>
      <c r="D217" s="59"/>
      <c r="E217" s="59">
        <v>0</v>
      </c>
      <c r="F217" s="59">
        <v>0</v>
      </c>
      <c r="G217" s="60" t="s">
        <v>977</v>
      </c>
      <c r="H217" s="60" t="s">
        <v>978</v>
      </c>
      <c r="I217" s="61">
        <v>35</v>
      </c>
      <c r="J217" s="60"/>
      <c r="K217" s="60" t="s">
        <v>975</v>
      </c>
      <c r="L217" s="60">
        <v>16660903</v>
      </c>
      <c r="M217" s="60"/>
      <c r="N217" s="56" t="str">
        <f>VLOOKUP(B217,歌单!B:C,2,0)</f>
        <v>郁可唯</v>
      </c>
      <c r="O217" s="58">
        <f t="shared" si="3"/>
        <v>1</v>
      </c>
      <c r="P217" s="62" t="str">
        <f>VLOOKUP(B217,歌单!B:E,3,0)</f>
        <v>国语</v>
      </c>
      <c r="Q217" s="58" t="str">
        <f>VLOOKUP(B217,歌单!B:E,4,0)</f>
        <v>流行</v>
      </c>
      <c r="R217" s="62"/>
    </row>
    <row r="218" spans="1:18" ht="15" customHeight="1">
      <c r="A218" s="4" t="s">
        <v>979</v>
      </c>
      <c r="B218" s="46" t="s">
        <v>980</v>
      </c>
      <c r="C218" s="46" t="s">
        <v>21</v>
      </c>
      <c r="D218" s="59"/>
      <c r="E218" s="59">
        <v>0</v>
      </c>
      <c r="F218" s="59">
        <v>0</v>
      </c>
      <c r="G218" s="60" t="s">
        <v>981</v>
      </c>
      <c r="H218" s="60" t="s">
        <v>982</v>
      </c>
      <c r="I218" s="61">
        <v>3</v>
      </c>
      <c r="J218" s="60"/>
      <c r="K218" s="60" t="s">
        <v>983</v>
      </c>
      <c r="L218" s="60">
        <v>1875423</v>
      </c>
      <c r="M218" s="60"/>
      <c r="N218" s="58" t="e">
        <f>VLOOKUP(B218,歌单!B:C,2,0)</f>
        <v>#N/A</v>
      </c>
      <c r="O218" s="58">
        <f t="shared" si="3"/>
        <v>1</v>
      </c>
      <c r="P218" s="62" t="s">
        <v>10246</v>
      </c>
      <c r="Q218" s="58" t="s">
        <v>10252</v>
      </c>
      <c r="R218" s="62"/>
    </row>
    <row r="219" spans="1:18" ht="15" hidden="1" customHeight="1">
      <c r="A219" s="4" t="s">
        <v>984</v>
      </c>
      <c r="B219" s="46" t="s">
        <v>985</v>
      </c>
      <c r="C219" s="46" t="s">
        <v>154</v>
      </c>
      <c r="D219" s="59"/>
      <c r="E219" s="59">
        <v>0</v>
      </c>
      <c r="F219" s="59">
        <v>0</v>
      </c>
      <c r="G219" s="60" t="s">
        <v>986</v>
      </c>
      <c r="H219" s="60" t="s">
        <v>987</v>
      </c>
      <c r="I219" s="61">
        <v>1040</v>
      </c>
      <c r="J219" s="60"/>
      <c r="K219" s="60" t="s">
        <v>373</v>
      </c>
      <c r="L219" s="60">
        <v>294619498</v>
      </c>
      <c r="M219" s="60"/>
      <c r="N219" s="58" t="str">
        <f>VLOOKUP(B219,歌单!B:C,2,0)</f>
        <v>周杰伦</v>
      </c>
      <c r="O219" s="58">
        <f t="shared" si="3"/>
        <v>0</v>
      </c>
      <c r="P219" s="62" t="str">
        <f>VLOOKUP(B219,歌单!B:E,3,0)</f>
        <v>国语</v>
      </c>
      <c r="Q219" s="58" t="str">
        <f>VLOOKUP(B219,歌单!B:E,4,0)</f>
        <v>流行</v>
      </c>
      <c r="R219" s="62"/>
    </row>
    <row r="220" spans="1:18" ht="15" customHeight="1">
      <c r="A220" s="4" t="s">
        <v>988</v>
      </c>
      <c r="B220" s="46" t="s">
        <v>989</v>
      </c>
      <c r="C220" s="46" t="s">
        <v>154</v>
      </c>
      <c r="D220" s="59"/>
      <c r="E220" s="59">
        <v>0</v>
      </c>
      <c r="F220" s="59">
        <v>0</v>
      </c>
      <c r="G220" s="60" t="s">
        <v>990</v>
      </c>
      <c r="H220" s="60" t="s">
        <v>991</v>
      </c>
      <c r="I220" s="61">
        <v>6076</v>
      </c>
      <c r="J220" s="60"/>
      <c r="K220" s="60" t="s">
        <v>992</v>
      </c>
      <c r="L220" s="60">
        <v>448639596</v>
      </c>
      <c r="M220" s="60"/>
      <c r="N220" s="58" t="e">
        <f>VLOOKUP(B220,歌单!B:C,2,0)</f>
        <v>#N/A</v>
      </c>
      <c r="O220" s="58">
        <f t="shared" si="3"/>
        <v>1</v>
      </c>
      <c r="P220" s="62" t="s">
        <v>10246</v>
      </c>
      <c r="Q220" s="58" t="s">
        <v>10252</v>
      </c>
      <c r="R220" s="62"/>
    </row>
    <row r="221" spans="1:18" ht="15" hidden="1" customHeight="1">
      <c r="A221" s="4" t="s">
        <v>993</v>
      </c>
      <c r="B221" s="46" t="s">
        <v>994</v>
      </c>
      <c r="C221" s="46" t="s">
        <v>995</v>
      </c>
      <c r="D221" s="59"/>
      <c r="E221" s="59">
        <v>0</v>
      </c>
      <c r="F221" s="59">
        <v>0</v>
      </c>
      <c r="G221" s="60" t="s">
        <v>996</v>
      </c>
      <c r="H221" s="60" t="s">
        <v>997</v>
      </c>
      <c r="I221" s="61">
        <v>1217</v>
      </c>
      <c r="J221" s="60"/>
      <c r="K221" s="60" t="s">
        <v>636</v>
      </c>
      <c r="L221" s="60">
        <v>391200362</v>
      </c>
      <c r="M221" s="60"/>
      <c r="N221" s="58" t="str">
        <f>VLOOKUP(B221,歌单!B:C,2,0)</f>
        <v>费玉清</v>
      </c>
      <c r="O221" s="58">
        <f t="shared" si="3"/>
        <v>0</v>
      </c>
      <c r="P221" s="62" t="str">
        <f>VLOOKUP(B221,歌单!B:E,3,0)</f>
        <v>国语</v>
      </c>
      <c r="Q221" s="58" t="str">
        <f>VLOOKUP(B221,歌单!B:E,4,0)</f>
        <v>流行</v>
      </c>
      <c r="R221" s="62"/>
    </row>
    <row r="222" spans="1:18" ht="15" customHeight="1">
      <c r="A222" s="4" t="s">
        <v>998</v>
      </c>
      <c r="B222" s="46" t="s">
        <v>999</v>
      </c>
      <c r="C222" s="46" t="s">
        <v>1000</v>
      </c>
      <c r="D222" s="59"/>
      <c r="E222" s="59">
        <v>0</v>
      </c>
      <c r="F222" s="59">
        <v>0</v>
      </c>
      <c r="G222" s="60" t="s">
        <v>1001</v>
      </c>
      <c r="H222" s="60" t="s">
        <v>1002</v>
      </c>
      <c r="I222" s="61">
        <v>1</v>
      </c>
      <c r="J222" s="60"/>
      <c r="K222" s="60" t="s">
        <v>1003</v>
      </c>
      <c r="L222" s="60">
        <v>230857</v>
      </c>
      <c r="M222" s="60"/>
      <c r="N222" s="58">
        <f>VLOOKUP(B222,歌单!B:C,2,0)</f>
        <v>0</v>
      </c>
      <c r="O222" s="58">
        <f t="shared" si="3"/>
        <v>1</v>
      </c>
      <c r="P222" s="62" t="str">
        <f>VLOOKUP(B222,歌单!B:E,3,0)</f>
        <v>国语</v>
      </c>
      <c r="Q222" s="58" t="str">
        <f>VLOOKUP(B222,歌单!B:E,4,0)</f>
        <v>流行</v>
      </c>
      <c r="R222" s="62"/>
    </row>
    <row r="223" spans="1:18" ht="15" hidden="1" customHeight="1">
      <c r="A223" s="4" t="s">
        <v>1004</v>
      </c>
      <c r="B223" s="46" t="s">
        <v>1005</v>
      </c>
      <c r="C223" s="46" t="s">
        <v>935</v>
      </c>
      <c r="D223" s="59"/>
      <c r="E223" s="59">
        <v>0</v>
      </c>
      <c r="F223" s="59">
        <v>0</v>
      </c>
      <c r="G223" s="60" t="s">
        <v>1006</v>
      </c>
      <c r="H223" s="60" t="s">
        <v>1007</v>
      </c>
      <c r="I223" s="61">
        <v>251</v>
      </c>
      <c r="J223" s="60"/>
      <c r="K223" s="60" t="s">
        <v>1008</v>
      </c>
      <c r="L223" s="60">
        <v>55662569</v>
      </c>
      <c r="M223" s="60"/>
      <c r="N223" s="58" t="str">
        <f>VLOOKUP(B223,歌单!B:C,2,0)</f>
        <v>谭维维</v>
      </c>
      <c r="O223" s="58">
        <f t="shared" si="3"/>
        <v>0</v>
      </c>
      <c r="P223" s="62" t="str">
        <f>VLOOKUP(B223,歌单!B:E,3,0)</f>
        <v>国语</v>
      </c>
      <c r="Q223" s="58" t="str">
        <f>VLOOKUP(B223,歌单!B:E,4,0)</f>
        <v>流行</v>
      </c>
      <c r="R223" s="62"/>
    </row>
    <row r="224" spans="1:18" ht="15" hidden="1" customHeight="1">
      <c r="A224" s="4" t="s">
        <v>1009</v>
      </c>
      <c r="B224" s="46" t="s">
        <v>1010</v>
      </c>
      <c r="C224" s="46" t="s">
        <v>154</v>
      </c>
      <c r="D224" s="59"/>
      <c r="E224" s="59">
        <v>0</v>
      </c>
      <c r="F224" s="59">
        <v>0</v>
      </c>
      <c r="G224" s="60" t="s">
        <v>1011</v>
      </c>
      <c r="H224" s="60" t="s">
        <v>1012</v>
      </c>
      <c r="I224" s="61">
        <v>900</v>
      </c>
      <c r="J224" s="60"/>
      <c r="K224" s="60" t="s">
        <v>262</v>
      </c>
      <c r="L224" s="60">
        <v>294942325</v>
      </c>
      <c r="M224" s="60"/>
      <c r="N224" s="58" t="str">
        <f>VLOOKUP(B224,歌单!B:C,2,0)</f>
        <v>周杰伦</v>
      </c>
      <c r="O224" s="58">
        <f t="shared" si="3"/>
        <v>0</v>
      </c>
      <c r="P224" s="62" t="str">
        <f>VLOOKUP(B224,歌单!B:E,3,0)</f>
        <v>国语</v>
      </c>
      <c r="Q224" s="58" t="str">
        <f>VLOOKUP(B224,歌单!B:E,4,0)</f>
        <v>流行</v>
      </c>
      <c r="R224" s="62"/>
    </row>
    <row r="225" spans="1:18" ht="15" hidden="1" customHeight="1">
      <c r="A225" s="4" t="s">
        <v>1013</v>
      </c>
      <c r="B225" s="46" t="s">
        <v>1014</v>
      </c>
      <c r="C225" s="46" t="s">
        <v>154</v>
      </c>
      <c r="D225" s="59"/>
      <c r="E225" s="59">
        <v>0</v>
      </c>
      <c r="F225" s="59">
        <v>0</v>
      </c>
      <c r="G225" s="60" t="s">
        <v>1015</v>
      </c>
      <c r="H225" s="60" t="s">
        <v>1016</v>
      </c>
      <c r="I225" s="61">
        <v>1135</v>
      </c>
      <c r="J225" s="60" t="s">
        <v>1014</v>
      </c>
      <c r="K225" s="60" t="s">
        <v>636</v>
      </c>
      <c r="L225" s="60">
        <v>327291034</v>
      </c>
      <c r="M225" s="60" t="s">
        <v>468</v>
      </c>
      <c r="N225" s="58" t="str">
        <f>VLOOKUP(B225,歌单!B:C,2,0)</f>
        <v>周杰伦</v>
      </c>
      <c r="O225" s="58">
        <f t="shared" si="3"/>
        <v>0</v>
      </c>
      <c r="P225" s="62" t="str">
        <f>VLOOKUP(B225,歌单!B:E,3,0)</f>
        <v>国语</v>
      </c>
      <c r="Q225" s="58" t="str">
        <f>VLOOKUP(B225,歌单!B:E,4,0)</f>
        <v>流行</v>
      </c>
      <c r="R225" s="62"/>
    </row>
    <row r="226" spans="1:18" ht="15" hidden="1" customHeight="1">
      <c r="A226" s="4" t="s">
        <v>1017</v>
      </c>
      <c r="B226" s="46" t="s">
        <v>1018</v>
      </c>
      <c r="C226" s="46" t="s">
        <v>1019</v>
      </c>
      <c r="D226" s="59"/>
      <c r="E226" s="59">
        <v>0</v>
      </c>
      <c r="F226" s="59">
        <v>0</v>
      </c>
      <c r="G226" s="60" t="s">
        <v>1020</v>
      </c>
      <c r="H226" s="60" t="s">
        <v>1021</v>
      </c>
      <c r="I226" s="61">
        <v>13</v>
      </c>
      <c r="J226" s="60"/>
      <c r="K226" s="60" t="s">
        <v>1022</v>
      </c>
      <c r="L226" s="60">
        <v>4061048</v>
      </c>
      <c r="M226" s="60"/>
      <c r="N226" s="58" t="str">
        <f>VLOOKUP(B226,歌单!B:C,2,0)</f>
        <v>邓丽君</v>
      </c>
      <c r="O226" s="58">
        <f t="shared" si="3"/>
        <v>1</v>
      </c>
      <c r="P226" s="62" t="str">
        <f>VLOOKUP(B226,歌单!B:E,3,0)</f>
        <v>国语</v>
      </c>
      <c r="Q226" s="58" t="str">
        <f>VLOOKUP(B226,歌单!B:E,4,0)</f>
        <v>流行</v>
      </c>
      <c r="R226" s="62"/>
    </row>
    <row r="227" spans="1:18" ht="15" hidden="1" customHeight="1">
      <c r="A227" s="4" t="s">
        <v>1023</v>
      </c>
      <c r="B227" s="46" t="s">
        <v>1024</v>
      </c>
      <c r="C227" s="46" t="s">
        <v>154</v>
      </c>
      <c r="D227" s="59"/>
      <c r="E227" s="59">
        <v>0</v>
      </c>
      <c r="F227" s="59">
        <v>0</v>
      </c>
      <c r="G227" s="60" t="s">
        <v>1025</v>
      </c>
      <c r="H227" s="60"/>
      <c r="I227" s="61">
        <v>28515</v>
      </c>
      <c r="J227" s="60"/>
      <c r="K227" s="60" t="s">
        <v>1026</v>
      </c>
      <c r="L227" s="60">
        <v>2546158396</v>
      </c>
      <c r="M227" s="60" t="s">
        <v>1027</v>
      </c>
      <c r="N227" s="58" t="str">
        <f>VLOOKUP(B227,歌单!B:C,2,0)</f>
        <v>周杰伦</v>
      </c>
      <c r="O227" s="58">
        <f t="shared" si="3"/>
        <v>0</v>
      </c>
      <c r="P227" s="62" t="str">
        <f>VLOOKUP(B227,歌单!B:E,3,0)</f>
        <v>国语</v>
      </c>
      <c r="Q227" s="58" t="str">
        <f>VLOOKUP(B227,歌单!B:E,4,0)</f>
        <v>流行</v>
      </c>
      <c r="R227" s="62"/>
    </row>
    <row r="228" spans="1:18" ht="15" hidden="1" customHeight="1">
      <c r="A228" s="4" t="s">
        <v>1028</v>
      </c>
      <c r="B228" s="46" t="s">
        <v>1029</v>
      </c>
      <c r="C228" s="46" t="s">
        <v>1030</v>
      </c>
      <c r="D228" s="59"/>
      <c r="E228" s="59">
        <v>0</v>
      </c>
      <c r="F228" s="59">
        <v>0</v>
      </c>
      <c r="G228" s="60" t="s">
        <v>1031</v>
      </c>
      <c r="H228" s="60" t="s">
        <v>1032</v>
      </c>
      <c r="I228" s="61">
        <v>67</v>
      </c>
      <c r="J228" s="60" t="s">
        <v>1033</v>
      </c>
      <c r="K228" s="60" t="s">
        <v>1034</v>
      </c>
      <c r="L228" s="60">
        <v>40740970</v>
      </c>
      <c r="M228" s="60"/>
      <c r="N228" s="58" t="str">
        <f>VLOOKUP(B228,歌单!B:C,2,0)</f>
        <v>那英</v>
      </c>
      <c r="O228" s="58">
        <f t="shared" si="3"/>
        <v>0</v>
      </c>
      <c r="P228" s="62" t="str">
        <f>VLOOKUP(B228,歌单!B:E,3,0)</f>
        <v>国语</v>
      </c>
      <c r="Q228" s="58" t="str">
        <f>VLOOKUP(B228,歌单!B:E,4,0)</f>
        <v>流行</v>
      </c>
      <c r="R228" s="62"/>
    </row>
    <row r="229" spans="1:18" ht="15" customHeight="1">
      <c r="A229" s="4" t="s">
        <v>1035</v>
      </c>
      <c r="B229" s="46" t="s">
        <v>1036</v>
      </c>
      <c r="C229" s="46" t="s">
        <v>154</v>
      </c>
      <c r="D229" s="59"/>
      <c r="E229" s="59">
        <v>0</v>
      </c>
      <c r="F229" s="59">
        <v>0</v>
      </c>
      <c r="G229" s="60" t="s">
        <v>1037</v>
      </c>
      <c r="H229" s="60" t="s">
        <v>1038</v>
      </c>
      <c r="I229" s="61">
        <v>599</v>
      </c>
      <c r="J229" s="60" t="s">
        <v>1036</v>
      </c>
      <c r="K229" s="60" t="s">
        <v>920</v>
      </c>
      <c r="L229" s="60">
        <v>198909539</v>
      </c>
      <c r="M229" s="60"/>
      <c r="N229" s="58" t="e">
        <f>VLOOKUP(B229,歌单!B:C,2,0)</f>
        <v>#N/A</v>
      </c>
      <c r="O229" s="58">
        <f t="shared" si="3"/>
        <v>1</v>
      </c>
      <c r="P229" s="62" t="s">
        <v>10246</v>
      </c>
      <c r="Q229" s="58" t="s">
        <v>10252</v>
      </c>
      <c r="R229" s="62"/>
    </row>
    <row r="230" spans="1:18" ht="15" customHeight="1">
      <c r="A230" s="4" t="s">
        <v>1039</v>
      </c>
      <c r="B230" s="46" t="s">
        <v>1040</v>
      </c>
      <c r="C230" s="46" t="s">
        <v>154</v>
      </c>
      <c r="D230" s="59"/>
      <c r="E230" s="59">
        <v>0</v>
      </c>
      <c r="F230" s="59">
        <v>0</v>
      </c>
      <c r="G230" s="60" t="s">
        <v>1041</v>
      </c>
      <c r="H230" s="60"/>
      <c r="I230" s="61">
        <v>1532</v>
      </c>
      <c r="J230" s="60" t="s">
        <v>1042</v>
      </c>
      <c r="K230" s="60" t="s">
        <v>907</v>
      </c>
      <c r="L230" s="60">
        <v>336737849</v>
      </c>
      <c r="M230" s="60"/>
      <c r="N230" s="58" t="e">
        <f>VLOOKUP(B230,歌单!B:C,2,0)</f>
        <v>#N/A</v>
      </c>
      <c r="O230" s="58">
        <f t="shared" si="3"/>
        <v>1</v>
      </c>
      <c r="P230" s="62" t="s">
        <v>10246</v>
      </c>
      <c r="Q230" s="58" t="s">
        <v>10252</v>
      </c>
      <c r="R230" s="62"/>
    </row>
    <row r="231" spans="1:18" ht="15" hidden="1" customHeight="1">
      <c r="A231" s="4" t="s">
        <v>1043</v>
      </c>
      <c r="B231" s="46" t="s">
        <v>1044</v>
      </c>
      <c r="C231" s="46" t="s">
        <v>154</v>
      </c>
      <c r="D231" s="59"/>
      <c r="E231" s="59">
        <v>0</v>
      </c>
      <c r="F231" s="59">
        <v>0</v>
      </c>
      <c r="G231" s="60" t="s">
        <v>1045</v>
      </c>
      <c r="H231" s="60" t="s">
        <v>1046</v>
      </c>
      <c r="I231" s="61">
        <v>9979</v>
      </c>
      <c r="J231" s="60"/>
      <c r="K231" s="60" t="s">
        <v>1026</v>
      </c>
      <c r="L231" s="60">
        <v>933132694</v>
      </c>
      <c r="M231" s="60" t="s">
        <v>631</v>
      </c>
      <c r="N231" s="58" t="str">
        <f>VLOOKUP(B231,歌单!B:C,2,0)</f>
        <v>周杰伦</v>
      </c>
      <c r="O231" s="58">
        <f t="shared" si="3"/>
        <v>0</v>
      </c>
      <c r="P231" s="62" t="str">
        <f>VLOOKUP(B231,歌单!B:E,3,0)</f>
        <v>国语</v>
      </c>
      <c r="Q231" s="58" t="str">
        <f>VLOOKUP(B231,歌单!B:E,4,0)</f>
        <v>流行</v>
      </c>
      <c r="R231" s="62"/>
    </row>
    <row r="232" spans="1:18" ht="15" hidden="1" customHeight="1">
      <c r="A232" s="4" t="s">
        <v>1047</v>
      </c>
      <c r="B232" s="46" t="s">
        <v>1048</v>
      </c>
      <c r="C232" s="46" t="s">
        <v>154</v>
      </c>
      <c r="D232" s="59"/>
      <c r="E232" s="59">
        <v>0</v>
      </c>
      <c r="F232" s="59">
        <v>0</v>
      </c>
      <c r="G232" s="60" t="s">
        <v>1049</v>
      </c>
      <c r="H232" s="60" t="s">
        <v>1050</v>
      </c>
      <c r="I232" s="61">
        <v>2220</v>
      </c>
      <c r="J232" s="60" t="s">
        <v>1048</v>
      </c>
      <c r="K232" s="60" t="s">
        <v>992</v>
      </c>
      <c r="L232" s="60">
        <v>288931916</v>
      </c>
      <c r="M232" s="60"/>
      <c r="N232" s="58" t="str">
        <f>VLOOKUP(B232,歌单!B:C,2,0)</f>
        <v>周杰伦</v>
      </c>
      <c r="O232" s="58">
        <f t="shared" si="3"/>
        <v>0</v>
      </c>
      <c r="P232" s="62" t="str">
        <f>VLOOKUP(B232,歌单!B:E,3,0)</f>
        <v>国语</v>
      </c>
      <c r="Q232" s="58" t="str">
        <f>VLOOKUP(B232,歌单!B:E,4,0)</f>
        <v>流行</v>
      </c>
      <c r="R232" s="62"/>
    </row>
    <row r="233" spans="1:18" ht="15" customHeight="1">
      <c r="A233" s="4" t="s">
        <v>1051</v>
      </c>
      <c r="B233" s="46" t="s">
        <v>1052</v>
      </c>
      <c r="C233" s="46" t="s">
        <v>51</v>
      </c>
      <c r="D233" s="59"/>
      <c r="E233" s="59">
        <v>0</v>
      </c>
      <c r="F233" s="59">
        <v>0</v>
      </c>
      <c r="G233" s="60" t="s">
        <v>1053</v>
      </c>
      <c r="H233" s="60" t="s">
        <v>1054</v>
      </c>
      <c r="I233" s="61">
        <v>0</v>
      </c>
      <c r="J233" s="60"/>
      <c r="K233" s="60" t="s">
        <v>1055</v>
      </c>
      <c r="L233" s="60">
        <v>264744</v>
      </c>
      <c r="M233" s="60"/>
      <c r="N233" s="58" t="e">
        <f>VLOOKUP(B233,歌单!B:C,2,0)</f>
        <v>#N/A</v>
      </c>
      <c r="O233" s="58">
        <f t="shared" si="3"/>
        <v>1</v>
      </c>
      <c r="P233" s="62" t="s">
        <v>10246</v>
      </c>
      <c r="Q233" s="58" t="s">
        <v>10252</v>
      </c>
      <c r="R233" s="62"/>
    </row>
    <row r="234" spans="1:18" ht="15" hidden="1" customHeight="1">
      <c r="A234" s="4" t="s">
        <v>1056</v>
      </c>
      <c r="B234" s="46" t="s">
        <v>75</v>
      </c>
      <c r="C234" s="46" t="s">
        <v>1057</v>
      </c>
      <c r="D234" s="59"/>
      <c r="E234" s="59">
        <v>0</v>
      </c>
      <c r="F234" s="59">
        <v>0</v>
      </c>
      <c r="G234" s="60" t="s">
        <v>1058</v>
      </c>
      <c r="H234" s="60"/>
      <c r="I234" s="61">
        <v>0</v>
      </c>
      <c r="J234" s="60"/>
      <c r="K234" s="60" t="s">
        <v>1059</v>
      </c>
      <c r="L234" s="60">
        <v>1512793</v>
      </c>
      <c r="M234" s="60"/>
      <c r="N234" s="58" t="str">
        <f>VLOOKUP(B234,歌单!B:C,2,0)</f>
        <v>说说Crystal</v>
      </c>
      <c r="O234" s="58">
        <f t="shared" si="3"/>
        <v>1</v>
      </c>
      <c r="P234" s="62" t="str">
        <f>VLOOKUP(B234,歌单!B:E,3,0)</f>
        <v>国语</v>
      </c>
      <c r="Q234" s="58" t="str">
        <f>VLOOKUP(B234,歌单!B:E,4,0)</f>
        <v>古风</v>
      </c>
      <c r="R234" s="62"/>
    </row>
    <row r="235" spans="1:18" ht="15" customHeight="1">
      <c r="A235" s="4" t="s">
        <v>1060</v>
      </c>
      <c r="B235" s="46" t="s">
        <v>1061</v>
      </c>
      <c r="C235" s="46" t="s">
        <v>1062</v>
      </c>
      <c r="D235" s="59"/>
      <c r="E235" s="59">
        <v>0</v>
      </c>
      <c r="F235" s="59">
        <v>0</v>
      </c>
      <c r="G235" s="60" t="s">
        <v>1063</v>
      </c>
      <c r="H235" s="60" t="s">
        <v>1064</v>
      </c>
      <c r="I235" s="61">
        <v>200</v>
      </c>
      <c r="J235" s="60"/>
      <c r="K235" s="60" t="s">
        <v>1065</v>
      </c>
      <c r="L235" s="60">
        <v>12824406</v>
      </c>
      <c r="M235" s="60"/>
      <c r="N235" s="58" t="e">
        <f>VLOOKUP(B235,歌单!B:C,2,0)</f>
        <v>#N/A</v>
      </c>
      <c r="O235" s="58">
        <f t="shared" si="3"/>
        <v>1</v>
      </c>
      <c r="P235" s="62" t="s">
        <v>10246</v>
      </c>
      <c r="Q235" s="58" t="s">
        <v>10252</v>
      </c>
      <c r="R235" s="62"/>
    </row>
    <row r="236" spans="1:18" ht="15" hidden="1" customHeight="1">
      <c r="A236" s="4" t="s">
        <v>1066</v>
      </c>
      <c r="B236" s="46" t="s">
        <v>1067</v>
      </c>
      <c r="C236" s="46" t="s">
        <v>1068</v>
      </c>
      <c r="D236" s="59"/>
      <c r="E236" s="59">
        <v>0</v>
      </c>
      <c r="F236" s="59">
        <v>0</v>
      </c>
      <c r="G236" s="60" t="s">
        <v>1069</v>
      </c>
      <c r="H236" s="60" t="s">
        <v>1070</v>
      </c>
      <c r="I236" s="61">
        <v>1013</v>
      </c>
      <c r="J236" s="60"/>
      <c r="K236" s="60" t="s">
        <v>1071</v>
      </c>
      <c r="L236" s="60">
        <v>291250605</v>
      </c>
      <c r="M236" s="60"/>
      <c r="N236" s="58" t="str">
        <f>VLOOKUP(B236,歌单!B:C,2,0)</f>
        <v>周兴哲</v>
      </c>
      <c r="O236" s="58">
        <f t="shared" si="3"/>
        <v>0</v>
      </c>
      <c r="P236" s="62" t="str">
        <f>VLOOKUP(B236,歌单!B:E,3,0)</f>
        <v>国语</v>
      </c>
      <c r="Q236" s="58" t="str">
        <f>VLOOKUP(B236,歌单!B:E,4,0)</f>
        <v>流行</v>
      </c>
      <c r="R236" s="62"/>
    </row>
    <row r="237" spans="1:18" ht="15" customHeight="1">
      <c r="A237" s="4" t="s">
        <v>1072</v>
      </c>
      <c r="B237" s="46" t="s">
        <v>1073</v>
      </c>
      <c r="C237" s="46" t="s">
        <v>265</v>
      </c>
      <c r="D237" s="59"/>
      <c r="E237" s="59">
        <v>0</v>
      </c>
      <c r="F237" s="59">
        <v>0</v>
      </c>
      <c r="G237" s="60" t="s">
        <v>1074</v>
      </c>
      <c r="H237" s="60" t="s">
        <v>1075</v>
      </c>
      <c r="I237" s="61">
        <v>2</v>
      </c>
      <c r="J237" s="60"/>
      <c r="K237" s="60" t="s">
        <v>1076</v>
      </c>
      <c r="L237" s="60">
        <v>3494554</v>
      </c>
      <c r="M237" s="60"/>
      <c r="N237" s="58" t="e">
        <f>VLOOKUP(B237,歌单!B:C,2,0)</f>
        <v>#N/A</v>
      </c>
      <c r="O237" s="58">
        <f t="shared" si="3"/>
        <v>1</v>
      </c>
      <c r="P237" s="62" t="s">
        <v>10246</v>
      </c>
      <c r="Q237" s="58" t="s">
        <v>10252</v>
      </c>
      <c r="R237" s="62"/>
    </row>
    <row r="238" spans="1:18" ht="15" hidden="1" customHeight="1">
      <c r="A238" s="4" t="s">
        <v>1077</v>
      </c>
      <c r="B238" s="46" t="s">
        <v>1078</v>
      </c>
      <c r="C238" s="46" t="s">
        <v>154</v>
      </c>
      <c r="D238" s="59"/>
      <c r="E238" s="59">
        <v>0</v>
      </c>
      <c r="F238" s="59">
        <v>0</v>
      </c>
      <c r="G238" s="60" t="s">
        <v>1079</v>
      </c>
      <c r="H238" s="60" t="s">
        <v>1080</v>
      </c>
      <c r="I238" s="61">
        <v>2026</v>
      </c>
      <c r="J238" s="60"/>
      <c r="K238" s="60" t="s">
        <v>378</v>
      </c>
      <c r="L238" s="60">
        <v>437092203</v>
      </c>
      <c r="M238" s="60"/>
      <c r="N238" s="58" t="str">
        <f>VLOOKUP(B238,歌单!B:C,2,0)</f>
        <v>周杰伦</v>
      </c>
      <c r="O238" s="58">
        <f t="shared" si="3"/>
        <v>0</v>
      </c>
      <c r="P238" s="62" t="str">
        <f>VLOOKUP(B238,歌单!B:E,3,0)</f>
        <v>国语</v>
      </c>
      <c r="Q238" s="58" t="str">
        <f>VLOOKUP(B238,歌单!B:E,4,0)</f>
        <v>流行</v>
      </c>
      <c r="R238" s="62"/>
    </row>
    <row r="239" spans="1:18" ht="15" hidden="1" customHeight="1">
      <c r="A239" s="4" t="s">
        <v>1081</v>
      </c>
      <c r="B239" s="46" t="s">
        <v>1082</v>
      </c>
      <c r="C239" s="46" t="s">
        <v>1083</v>
      </c>
      <c r="D239" s="59"/>
      <c r="E239" s="59">
        <v>0</v>
      </c>
      <c r="F239" s="59">
        <v>0</v>
      </c>
      <c r="G239" s="60" t="s">
        <v>1084</v>
      </c>
      <c r="H239" s="60" t="s">
        <v>1085</v>
      </c>
      <c r="I239" s="61">
        <v>43</v>
      </c>
      <c r="J239" s="60"/>
      <c r="K239" s="60" t="s">
        <v>1086</v>
      </c>
      <c r="L239" s="60">
        <v>20951606</v>
      </c>
      <c r="M239" s="60"/>
      <c r="N239" s="58" t="str">
        <f>VLOOKUP(B239,歌单!B:C,2,0)</f>
        <v>张玉华</v>
      </c>
      <c r="O239" s="58">
        <f t="shared" si="3"/>
        <v>0</v>
      </c>
      <c r="P239" s="62" t="str">
        <f>VLOOKUP(B239,歌单!B:E,3,0)</f>
        <v>国语</v>
      </c>
      <c r="Q239" s="58" t="str">
        <f>VLOOKUP(B239,歌单!B:E,4,0)</f>
        <v>流行</v>
      </c>
      <c r="R239" s="62"/>
    </row>
    <row r="240" spans="1:18" ht="15" hidden="1" customHeight="1">
      <c r="A240" s="4" t="s">
        <v>1087</v>
      </c>
      <c r="B240" s="46" t="s">
        <v>1088</v>
      </c>
      <c r="C240" s="46" t="s">
        <v>466</v>
      </c>
      <c r="D240" s="59"/>
      <c r="E240" s="59">
        <v>0</v>
      </c>
      <c r="F240" s="59">
        <v>0</v>
      </c>
      <c r="G240" s="60" t="s">
        <v>1089</v>
      </c>
      <c r="H240" s="60" t="s">
        <v>1090</v>
      </c>
      <c r="I240" s="61">
        <v>0</v>
      </c>
      <c r="J240" s="60" t="s">
        <v>1091</v>
      </c>
      <c r="K240" s="60" t="s">
        <v>1088</v>
      </c>
      <c r="L240" s="60">
        <v>2086840</v>
      </c>
      <c r="M240" s="60"/>
      <c r="N240" s="58" t="str">
        <f>VLOOKUP(B240,歌单!B:C,2,0)</f>
        <v>郁可唯</v>
      </c>
      <c r="O240" s="58">
        <f t="shared" si="3"/>
        <v>0</v>
      </c>
      <c r="P240" s="62" t="str">
        <f>VLOOKUP(B240,歌单!B:E,3,0)</f>
        <v>国语</v>
      </c>
      <c r="Q240" s="58" t="str">
        <f>VLOOKUP(B240,歌单!B:E,4,0)</f>
        <v>流行</v>
      </c>
      <c r="R240" s="62"/>
    </row>
    <row r="241" spans="1:18" ht="15" customHeight="1">
      <c r="A241" s="4" t="s">
        <v>1092</v>
      </c>
      <c r="B241" s="46" t="s">
        <v>1093</v>
      </c>
      <c r="C241" s="46" t="s">
        <v>1094</v>
      </c>
      <c r="D241" s="59"/>
      <c r="E241" s="59">
        <v>0</v>
      </c>
      <c r="F241" s="59">
        <v>0</v>
      </c>
      <c r="G241" s="60" t="s">
        <v>1095</v>
      </c>
      <c r="H241" s="60" t="s">
        <v>1096</v>
      </c>
      <c r="I241" s="61">
        <v>565</v>
      </c>
      <c r="J241" s="60"/>
      <c r="K241" s="60" t="s">
        <v>1093</v>
      </c>
      <c r="L241" s="60">
        <v>52168799</v>
      </c>
      <c r="M241" s="60"/>
      <c r="N241" s="58" t="e">
        <f>VLOOKUP(B241,歌单!B:C,2,0)</f>
        <v>#N/A</v>
      </c>
      <c r="O241" s="58">
        <f t="shared" si="3"/>
        <v>1</v>
      </c>
      <c r="P241" s="62" t="s">
        <v>10246</v>
      </c>
      <c r="Q241" s="58" t="s">
        <v>10252</v>
      </c>
      <c r="R241" s="62"/>
    </row>
    <row r="242" spans="1:18" ht="15" customHeight="1">
      <c r="A242" s="4" t="s">
        <v>1097</v>
      </c>
      <c r="B242" s="46" t="s">
        <v>1098</v>
      </c>
      <c r="C242" s="46" t="s">
        <v>154</v>
      </c>
      <c r="D242" s="59"/>
      <c r="E242" s="59">
        <v>0</v>
      </c>
      <c r="F242" s="59">
        <v>0</v>
      </c>
      <c r="G242" s="60" t="s">
        <v>1099</v>
      </c>
      <c r="H242" s="60" t="s">
        <v>1100</v>
      </c>
      <c r="I242" s="61">
        <v>2198</v>
      </c>
      <c r="J242" s="60" t="s">
        <v>1098</v>
      </c>
      <c r="K242" s="60" t="s">
        <v>321</v>
      </c>
      <c r="L242" s="60">
        <v>280199234</v>
      </c>
      <c r="M242" s="60"/>
      <c r="N242" s="58" t="e">
        <f>VLOOKUP(B242,歌单!B:C,2,0)</f>
        <v>#N/A</v>
      </c>
      <c r="O242" s="58">
        <f t="shared" si="3"/>
        <v>1</v>
      </c>
      <c r="P242" s="62" t="s">
        <v>10246</v>
      </c>
      <c r="Q242" s="58" t="s">
        <v>10252</v>
      </c>
      <c r="R242" s="62"/>
    </row>
    <row r="243" spans="1:18" ht="15" hidden="1" customHeight="1">
      <c r="A243" s="4" t="s">
        <v>1101</v>
      </c>
      <c r="B243" s="46" t="s">
        <v>1102</v>
      </c>
      <c r="C243" s="46" t="s">
        <v>427</v>
      </c>
      <c r="D243" s="59"/>
      <c r="E243" s="59">
        <v>0</v>
      </c>
      <c r="F243" s="59">
        <v>0</v>
      </c>
      <c r="G243" s="60" t="s">
        <v>1103</v>
      </c>
      <c r="H243" s="60"/>
      <c r="I243" s="61">
        <v>541</v>
      </c>
      <c r="J243" s="60" t="s">
        <v>1104</v>
      </c>
      <c r="K243" s="60" t="s">
        <v>1105</v>
      </c>
      <c r="L243" s="60">
        <v>100001088</v>
      </c>
      <c r="M243" s="60"/>
      <c r="N243" s="58" t="str">
        <f>VLOOKUP(B243,歌单!B:C,2,0)</f>
        <v>袁娅维</v>
      </c>
      <c r="O243" s="58">
        <f t="shared" si="3"/>
        <v>0</v>
      </c>
      <c r="P243" s="62" t="str">
        <f>VLOOKUP(B243,歌单!B:E,3,0)</f>
        <v>国语</v>
      </c>
      <c r="Q243" s="58" t="str">
        <f>VLOOKUP(B243,歌单!B:E,4,0)</f>
        <v>流行</v>
      </c>
      <c r="R243" s="62"/>
    </row>
    <row r="244" spans="1:18" ht="15" hidden="1" customHeight="1">
      <c r="A244" s="4" t="s">
        <v>1106</v>
      </c>
      <c r="B244" s="46" t="s">
        <v>1107</v>
      </c>
      <c r="C244" s="46" t="s">
        <v>679</v>
      </c>
      <c r="D244" s="59"/>
      <c r="E244" s="59">
        <v>0</v>
      </c>
      <c r="F244" s="59">
        <v>0</v>
      </c>
      <c r="G244" s="60" t="s">
        <v>1108</v>
      </c>
      <c r="H244" s="60" t="s">
        <v>1109</v>
      </c>
      <c r="I244" s="61">
        <v>412</v>
      </c>
      <c r="J244" s="60"/>
      <c r="K244" s="60" t="s">
        <v>1110</v>
      </c>
      <c r="L244" s="60">
        <v>192890831</v>
      </c>
      <c r="M244" s="60"/>
      <c r="N244" s="58" t="str">
        <f>VLOOKUP(B244,歌单!B:C,2,0)</f>
        <v>林俊杰</v>
      </c>
      <c r="O244" s="58">
        <f t="shared" si="3"/>
        <v>0</v>
      </c>
      <c r="P244" s="62" t="str">
        <f>VLOOKUP(B244,歌单!B:E,3,0)</f>
        <v>国语</v>
      </c>
      <c r="Q244" s="58" t="str">
        <f>VLOOKUP(B244,歌单!B:E,4,0)</f>
        <v>流行</v>
      </c>
      <c r="R244" s="62"/>
    </row>
    <row r="245" spans="1:18" ht="15" customHeight="1">
      <c r="A245" s="4" t="s">
        <v>1111</v>
      </c>
      <c r="B245" s="46" t="s">
        <v>1112</v>
      </c>
      <c r="C245" s="46" t="s">
        <v>670</v>
      </c>
      <c r="D245" s="59"/>
      <c r="E245" s="59">
        <v>0</v>
      </c>
      <c r="F245" s="59">
        <v>0</v>
      </c>
      <c r="G245" s="60" t="s">
        <v>1113</v>
      </c>
      <c r="H245" s="60" t="s">
        <v>1114</v>
      </c>
      <c r="I245" s="61">
        <v>0</v>
      </c>
      <c r="J245" s="60"/>
      <c r="K245" s="60" t="s">
        <v>672</v>
      </c>
      <c r="L245" s="60">
        <v>206797</v>
      </c>
      <c r="M245" s="60"/>
      <c r="N245" s="58" t="e">
        <f>VLOOKUP(B245,歌单!B:C,2,0)</f>
        <v>#N/A</v>
      </c>
      <c r="O245" s="58">
        <f t="shared" si="3"/>
        <v>1</v>
      </c>
      <c r="P245" s="62" t="s">
        <v>8520</v>
      </c>
      <c r="Q245" s="58" t="s">
        <v>10227</v>
      </c>
      <c r="R245" s="62"/>
    </row>
    <row r="246" spans="1:18" ht="15" customHeight="1">
      <c r="A246" s="4" t="s">
        <v>1115</v>
      </c>
      <c r="B246" s="46" t="s">
        <v>1116</v>
      </c>
      <c r="C246" s="46" t="s">
        <v>1117</v>
      </c>
      <c r="D246" s="59"/>
      <c r="E246" s="59">
        <v>0</v>
      </c>
      <c r="F246" s="59">
        <v>0</v>
      </c>
      <c r="G246" s="60" t="s">
        <v>1118</v>
      </c>
      <c r="H246" s="60" t="s">
        <v>1119</v>
      </c>
      <c r="I246" s="61">
        <v>0</v>
      </c>
      <c r="J246" s="60"/>
      <c r="K246" s="60" t="s">
        <v>1120</v>
      </c>
      <c r="L246" s="60">
        <v>574539</v>
      </c>
      <c r="M246" s="60"/>
      <c r="N246" s="58" t="e">
        <f>VLOOKUP(B246,歌单!B:C,2,0)</f>
        <v>#N/A</v>
      </c>
      <c r="O246" s="58">
        <f t="shared" si="3"/>
        <v>1</v>
      </c>
      <c r="P246" s="62" t="s">
        <v>6480</v>
      </c>
      <c r="Q246" s="58" t="s">
        <v>10256</v>
      </c>
      <c r="R246" s="62"/>
    </row>
    <row r="247" spans="1:18" ht="15" customHeight="1">
      <c r="A247" s="4" t="s">
        <v>1121</v>
      </c>
      <c r="B247" s="46" t="s">
        <v>1122</v>
      </c>
      <c r="C247" s="46" t="s">
        <v>1123</v>
      </c>
      <c r="D247" s="59"/>
      <c r="E247" s="59">
        <v>0</v>
      </c>
      <c r="F247" s="59">
        <v>0</v>
      </c>
      <c r="G247" s="60" t="s">
        <v>1124</v>
      </c>
      <c r="H247" s="60"/>
      <c r="I247" s="61">
        <v>0</v>
      </c>
      <c r="J247" s="60" t="s">
        <v>1125</v>
      </c>
      <c r="K247" s="60" t="s">
        <v>1126</v>
      </c>
      <c r="L247" s="60">
        <v>214685</v>
      </c>
      <c r="M247" s="60"/>
      <c r="N247" s="58" t="e">
        <f>VLOOKUP(B247,歌单!B:C,2,0)</f>
        <v>#N/A</v>
      </c>
      <c r="O247" s="58">
        <f t="shared" si="3"/>
        <v>1</v>
      </c>
      <c r="P247" s="62" t="s">
        <v>8520</v>
      </c>
      <c r="Q247" s="58" t="s">
        <v>10227</v>
      </c>
      <c r="R247" s="62"/>
    </row>
    <row r="248" spans="1:18" ht="15" customHeight="1">
      <c r="A248" s="4" t="s">
        <v>1127</v>
      </c>
      <c r="B248" s="46" t="s">
        <v>1128</v>
      </c>
      <c r="C248" s="46" t="s">
        <v>1129</v>
      </c>
      <c r="D248" s="59"/>
      <c r="E248" s="59">
        <v>0</v>
      </c>
      <c r="F248" s="59">
        <v>0</v>
      </c>
      <c r="G248" s="60" t="s">
        <v>1130</v>
      </c>
      <c r="H248" s="60"/>
      <c r="I248" s="61">
        <v>1</v>
      </c>
      <c r="J248" s="60"/>
      <c r="K248" s="60" t="s">
        <v>1131</v>
      </c>
      <c r="L248" s="60">
        <v>185415</v>
      </c>
      <c r="M248" s="60"/>
      <c r="N248" s="58" t="e">
        <f>VLOOKUP(B248,歌单!B:C,2,0)</f>
        <v>#N/A</v>
      </c>
      <c r="O248" s="58">
        <f t="shared" si="3"/>
        <v>1</v>
      </c>
      <c r="P248" s="62" t="s">
        <v>10255</v>
      </c>
      <c r="Q248" s="58" t="s">
        <v>10256</v>
      </c>
      <c r="R248" s="62"/>
    </row>
    <row r="249" spans="1:18" ht="15" hidden="1" customHeight="1">
      <c r="A249" s="4" t="s">
        <v>1132</v>
      </c>
      <c r="B249" s="46" t="s">
        <v>1133</v>
      </c>
      <c r="C249" s="46" t="s">
        <v>541</v>
      </c>
      <c r="D249" s="59"/>
      <c r="E249" s="59">
        <v>0</v>
      </c>
      <c r="F249" s="59">
        <v>0</v>
      </c>
      <c r="G249" s="60" t="s">
        <v>1134</v>
      </c>
      <c r="H249" s="60" t="s">
        <v>1135</v>
      </c>
      <c r="I249" s="61">
        <v>50</v>
      </c>
      <c r="J249" s="60"/>
      <c r="K249" s="60" t="s">
        <v>1136</v>
      </c>
      <c r="L249" s="60">
        <v>32238564</v>
      </c>
      <c r="M249" s="60" t="s">
        <v>747</v>
      </c>
      <c r="N249" s="58" t="str">
        <f>VLOOKUP(B249,歌单!B:C,2,0)</f>
        <v>张惠妹</v>
      </c>
      <c r="O249" s="58">
        <f t="shared" si="3"/>
        <v>0</v>
      </c>
      <c r="P249" s="62" t="str">
        <f>VLOOKUP(B249,歌单!B:E,3,0)</f>
        <v>国语</v>
      </c>
      <c r="Q249" s="58" t="str">
        <f>VLOOKUP(B249,歌单!B:E,4,0)</f>
        <v>流行</v>
      </c>
      <c r="R249" s="62"/>
    </row>
    <row r="250" spans="1:18" ht="15" hidden="1" customHeight="1">
      <c r="A250" s="4" t="s">
        <v>1137</v>
      </c>
      <c r="B250" s="46" t="s">
        <v>1138</v>
      </c>
      <c r="C250" s="46" t="s">
        <v>541</v>
      </c>
      <c r="D250" s="59"/>
      <c r="E250" s="59">
        <v>0</v>
      </c>
      <c r="F250" s="59">
        <v>0</v>
      </c>
      <c r="G250" s="60" t="s">
        <v>1139</v>
      </c>
      <c r="H250" s="60" t="s">
        <v>1140</v>
      </c>
      <c r="I250" s="61">
        <v>39</v>
      </c>
      <c r="J250" s="60"/>
      <c r="K250" s="60" t="s">
        <v>1141</v>
      </c>
      <c r="L250" s="60">
        <v>25180382</v>
      </c>
      <c r="M250" s="60"/>
      <c r="N250" s="58" t="str">
        <f>VLOOKUP(B250,歌单!B:C,2,0)</f>
        <v>张惠妹</v>
      </c>
      <c r="O250" s="58">
        <f t="shared" si="3"/>
        <v>0</v>
      </c>
      <c r="P250" s="62" t="str">
        <f>VLOOKUP(B250,歌单!B:E,3,0)</f>
        <v>国语</v>
      </c>
      <c r="Q250" s="58" t="str">
        <f>VLOOKUP(B250,歌单!B:E,4,0)</f>
        <v>流行</v>
      </c>
      <c r="R250" s="62"/>
    </row>
    <row r="251" spans="1:18" ht="15" hidden="1" customHeight="1">
      <c r="A251" s="4" t="s">
        <v>1142</v>
      </c>
      <c r="B251" s="46" t="s">
        <v>1143</v>
      </c>
      <c r="C251" s="46" t="s">
        <v>154</v>
      </c>
      <c r="D251" s="59"/>
      <c r="E251" s="59">
        <v>82980</v>
      </c>
      <c r="F251" s="59">
        <v>5843</v>
      </c>
      <c r="G251" s="60" t="s">
        <v>1144</v>
      </c>
      <c r="H251" s="60"/>
      <c r="I251" s="61">
        <v>7881</v>
      </c>
      <c r="J251" s="60"/>
      <c r="K251" s="60" t="s">
        <v>1026</v>
      </c>
      <c r="L251" s="60">
        <v>2525440964</v>
      </c>
      <c r="M251" s="60" t="s">
        <v>631</v>
      </c>
      <c r="N251" s="58" t="str">
        <f>VLOOKUP(B251,歌单!B:C,2,0)</f>
        <v>周杰伦</v>
      </c>
      <c r="O251" s="58">
        <f t="shared" si="3"/>
        <v>0</v>
      </c>
      <c r="P251" s="62" t="str">
        <f>VLOOKUP(B251,歌单!B:E,3,0)</f>
        <v>国语</v>
      </c>
      <c r="Q251" s="58" t="str">
        <f>VLOOKUP(B251,歌单!B:E,4,0)</f>
        <v>流行</v>
      </c>
      <c r="R251" s="62"/>
    </row>
    <row r="252" spans="1:18" ht="15" customHeight="1">
      <c r="A252" s="4" t="s">
        <v>1145</v>
      </c>
      <c r="B252" s="46" t="s">
        <v>1146</v>
      </c>
      <c r="C252" s="46" t="s">
        <v>1147</v>
      </c>
      <c r="D252" s="59"/>
      <c r="E252" s="59">
        <v>0</v>
      </c>
      <c r="F252" s="59">
        <v>0</v>
      </c>
      <c r="G252" s="60" t="s">
        <v>1148</v>
      </c>
      <c r="H252" s="60" t="s">
        <v>1149</v>
      </c>
      <c r="I252" s="61">
        <v>2359</v>
      </c>
      <c r="J252" s="60" t="s">
        <v>1150</v>
      </c>
      <c r="K252" s="60" t="s">
        <v>1151</v>
      </c>
      <c r="L252" s="60">
        <v>377806178</v>
      </c>
      <c r="M252" s="60"/>
      <c r="N252" s="58">
        <f>VLOOKUP(B252,歌单!B:C,2,0)</f>
        <v>0</v>
      </c>
      <c r="O252" s="58">
        <f t="shared" si="3"/>
        <v>1</v>
      </c>
      <c r="P252" s="62" t="s">
        <v>10248</v>
      </c>
      <c r="Q252" s="58" t="str">
        <f>VLOOKUP(B252,歌单!B:E,4,0)</f>
        <v>流行</v>
      </c>
      <c r="R252" s="62"/>
    </row>
    <row r="253" spans="1:18" ht="15" customHeight="1">
      <c r="A253" s="4" t="s">
        <v>1152</v>
      </c>
      <c r="B253" s="46" t="s">
        <v>1153</v>
      </c>
      <c r="C253" s="46" t="s">
        <v>1154</v>
      </c>
      <c r="D253" s="59"/>
      <c r="E253" s="59">
        <v>0</v>
      </c>
      <c r="F253" s="59">
        <v>0</v>
      </c>
      <c r="G253" s="60" t="s">
        <v>1155</v>
      </c>
      <c r="H253" s="60" t="s">
        <v>1156</v>
      </c>
      <c r="I253" s="61">
        <v>0</v>
      </c>
      <c r="J253" s="60"/>
      <c r="K253" s="60" t="s">
        <v>1157</v>
      </c>
      <c r="L253" s="60">
        <v>88189</v>
      </c>
      <c r="M253" s="60"/>
      <c r="N253" s="58">
        <f>VLOOKUP(B253,歌单!B:C,2,0)</f>
        <v>0</v>
      </c>
      <c r="O253" s="58">
        <f t="shared" si="3"/>
        <v>1</v>
      </c>
      <c r="P253" s="62" t="str">
        <f>VLOOKUP(B253,歌单!B:E,3,0)</f>
        <v>国语</v>
      </c>
      <c r="Q253" s="58" t="str">
        <f>VLOOKUP(B253,歌单!B:E,4,0)</f>
        <v>儿歌</v>
      </c>
      <c r="R253" s="62"/>
    </row>
    <row r="254" spans="1:18" ht="15" hidden="1" customHeight="1">
      <c r="A254" s="4" t="s">
        <v>1158</v>
      </c>
      <c r="B254" s="46" t="s">
        <v>1159</v>
      </c>
      <c r="C254" s="46" t="s">
        <v>1160</v>
      </c>
      <c r="D254" s="59"/>
      <c r="E254" s="59">
        <v>0</v>
      </c>
      <c r="F254" s="59">
        <v>0</v>
      </c>
      <c r="G254" s="60" t="s">
        <v>1161</v>
      </c>
      <c r="H254" s="60" t="s">
        <v>1162</v>
      </c>
      <c r="I254" s="61">
        <v>642</v>
      </c>
      <c r="J254" s="60" t="s">
        <v>1163</v>
      </c>
      <c r="K254" s="60" t="s">
        <v>1159</v>
      </c>
      <c r="L254" s="60">
        <v>87672374</v>
      </c>
      <c r="M254" s="60"/>
      <c r="N254" s="58" t="str">
        <f>VLOOKUP(B254,歌单!B:C,2,0)</f>
        <v>曲锦楠</v>
      </c>
      <c r="O254" s="58">
        <f t="shared" si="3"/>
        <v>0</v>
      </c>
      <c r="P254" s="62" t="str">
        <f>VLOOKUP(B254,歌单!B:E,3,0)</f>
        <v>国语</v>
      </c>
      <c r="Q254" s="58" t="str">
        <f>VLOOKUP(B254,歌单!B:E,4,0)</f>
        <v>流行</v>
      </c>
      <c r="R254" s="62"/>
    </row>
    <row r="255" spans="1:18" ht="15" hidden="1" customHeight="1">
      <c r="A255" s="4" t="s">
        <v>1164</v>
      </c>
      <c r="B255" s="46" t="s">
        <v>1165</v>
      </c>
      <c r="C255" s="46" t="s">
        <v>227</v>
      </c>
      <c r="D255" s="59"/>
      <c r="E255" s="59">
        <v>0</v>
      </c>
      <c r="F255" s="59">
        <v>0</v>
      </c>
      <c r="G255" s="60" t="s">
        <v>1166</v>
      </c>
      <c r="H255" s="60" t="s">
        <v>1167</v>
      </c>
      <c r="I255" s="61">
        <v>1418</v>
      </c>
      <c r="J255" s="60"/>
      <c r="K255" s="60" t="s">
        <v>1168</v>
      </c>
      <c r="L255" s="60">
        <v>155681177</v>
      </c>
      <c r="M255" s="60" t="s">
        <v>852</v>
      </c>
      <c r="N255" s="58" t="str">
        <f>VLOOKUP(B255,歌单!B:C,2,0)</f>
        <v>王菲</v>
      </c>
      <c r="O255" s="58">
        <f t="shared" si="3"/>
        <v>0</v>
      </c>
      <c r="P255" s="62" t="str">
        <f>VLOOKUP(B255,歌单!B:E,3,0)</f>
        <v>国语</v>
      </c>
      <c r="Q255" s="58" t="str">
        <f>VLOOKUP(B255,歌单!B:E,4,0)</f>
        <v>流行</v>
      </c>
      <c r="R255" s="62"/>
    </row>
    <row r="256" spans="1:18" ht="15" hidden="1" customHeight="1">
      <c r="A256" s="4" t="s">
        <v>1169</v>
      </c>
      <c r="B256" s="46" t="s">
        <v>1170</v>
      </c>
      <c r="C256" s="46" t="s">
        <v>227</v>
      </c>
      <c r="D256" s="59"/>
      <c r="E256" s="59">
        <v>0</v>
      </c>
      <c r="F256" s="59">
        <v>0</v>
      </c>
      <c r="G256" s="60" t="s">
        <v>1171</v>
      </c>
      <c r="H256" s="60" t="s">
        <v>1172</v>
      </c>
      <c r="I256" s="61">
        <v>33</v>
      </c>
      <c r="J256" s="60"/>
      <c r="K256" s="60"/>
      <c r="L256" s="60">
        <v>17175894</v>
      </c>
      <c r="M256" s="60"/>
      <c r="N256" s="58" t="str">
        <f>VLOOKUP(B256,歌单!B:C,2,0)</f>
        <v>王菲</v>
      </c>
      <c r="O256" s="58">
        <f t="shared" si="3"/>
        <v>0</v>
      </c>
      <c r="P256" s="62" t="str">
        <f>VLOOKUP(B256,歌单!B:E,3,0)</f>
        <v>国语</v>
      </c>
      <c r="Q256" s="58" t="str">
        <f>VLOOKUP(B256,歌单!B:E,4,0)</f>
        <v>流行</v>
      </c>
      <c r="R256" s="62"/>
    </row>
    <row r="257" spans="1:18" ht="15" customHeight="1">
      <c r="A257" s="4" t="s">
        <v>1173</v>
      </c>
      <c r="B257" s="46" t="s">
        <v>1174</v>
      </c>
      <c r="C257" s="46" t="s">
        <v>1175</v>
      </c>
      <c r="D257" s="59"/>
      <c r="E257" s="59">
        <v>0</v>
      </c>
      <c r="F257" s="59">
        <v>0</v>
      </c>
      <c r="G257" s="60" t="s">
        <v>1176</v>
      </c>
      <c r="H257" s="60" t="s">
        <v>1177</v>
      </c>
      <c r="I257" s="61">
        <v>2</v>
      </c>
      <c r="J257" s="60"/>
      <c r="K257" s="60" t="s">
        <v>1178</v>
      </c>
      <c r="L257" s="60">
        <v>1631890</v>
      </c>
      <c r="M257" s="60"/>
      <c r="N257" s="58" t="e">
        <f>VLOOKUP(B257,歌单!B:C,2,0)</f>
        <v>#N/A</v>
      </c>
      <c r="O257" s="58">
        <f t="shared" si="3"/>
        <v>1</v>
      </c>
      <c r="P257" s="62" t="s">
        <v>10246</v>
      </c>
      <c r="Q257" s="58" t="s">
        <v>10252</v>
      </c>
      <c r="R257" s="62"/>
    </row>
    <row r="258" spans="1:18" ht="15" hidden="1" customHeight="1">
      <c r="A258" s="4" t="s">
        <v>1179</v>
      </c>
      <c r="B258" s="46" t="s">
        <v>1180</v>
      </c>
      <c r="C258" s="46" t="s">
        <v>541</v>
      </c>
      <c r="D258" s="59"/>
      <c r="E258" s="59">
        <v>0</v>
      </c>
      <c r="F258" s="59">
        <v>0</v>
      </c>
      <c r="G258" s="60" t="s">
        <v>1181</v>
      </c>
      <c r="H258" s="60" t="s">
        <v>1182</v>
      </c>
      <c r="I258" s="61">
        <v>17</v>
      </c>
      <c r="J258" s="60"/>
      <c r="K258" s="60" t="s">
        <v>1180</v>
      </c>
      <c r="L258" s="60">
        <v>6260891</v>
      </c>
      <c r="M258" s="60"/>
      <c r="N258" s="58" t="str">
        <f>VLOOKUP(B258,歌单!B:C,2,0)</f>
        <v>张惠妹</v>
      </c>
      <c r="O258" s="58">
        <f t="shared" si="3"/>
        <v>0</v>
      </c>
      <c r="P258" s="62" t="str">
        <f>VLOOKUP(B258,歌单!B:E,3,0)</f>
        <v>国语</v>
      </c>
      <c r="Q258" s="58" t="str">
        <f>VLOOKUP(B258,歌单!B:E,4,0)</f>
        <v>流行</v>
      </c>
      <c r="R258" s="62"/>
    </row>
    <row r="259" spans="1:18" ht="15" customHeight="1">
      <c r="A259" s="4" t="s">
        <v>1183</v>
      </c>
      <c r="B259" s="46" t="s">
        <v>1184</v>
      </c>
      <c r="C259" s="46" t="s">
        <v>131</v>
      </c>
      <c r="D259" s="59"/>
      <c r="E259" s="59">
        <v>0</v>
      </c>
      <c r="F259" s="59">
        <v>0</v>
      </c>
      <c r="G259" s="60" t="s">
        <v>1185</v>
      </c>
      <c r="H259" s="60" t="s">
        <v>1186</v>
      </c>
      <c r="I259" s="61">
        <v>13</v>
      </c>
      <c r="J259" s="60"/>
      <c r="K259" s="60" t="s">
        <v>1187</v>
      </c>
      <c r="L259" s="60">
        <v>6139411</v>
      </c>
      <c r="M259" s="60"/>
      <c r="N259" s="58" t="e">
        <f>VLOOKUP(B259,歌单!B:C,2,0)</f>
        <v>#N/A</v>
      </c>
      <c r="O259" s="58">
        <f t="shared" ref="O259:O322" si="4">_xlfn.IFNA(IF(IFERROR(SEARCH(N259,C259),0)&gt;0,0,1),0)</f>
        <v>1</v>
      </c>
      <c r="P259" s="62" t="s">
        <v>10246</v>
      </c>
      <c r="Q259" s="58" t="s">
        <v>10252</v>
      </c>
      <c r="R259" s="62"/>
    </row>
    <row r="260" spans="1:18" ht="15" hidden="1" customHeight="1">
      <c r="A260" s="4" t="s">
        <v>1188</v>
      </c>
      <c r="B260" s="46" t="s">
        <v>1189</v>
      </c>
      <c r="C260" s="46" t="s">
        <v>265</v>
      </c>
      <c r="D260" s="59"/>
      <c r="E260" s="59">
        <v>0</v>
      </c>
      <c r="F260" s="59">
        <v>0</v>
      </c>
      <c r="G260" s="60" t="s">
        <v>1190</v>
      </c>
      <c r="H260" s="60" t="s">
        <v>1191</v>
      </c>
      <c r="I260" s="61">
        <v>1269</v>
      </c>
      <c r="J260" s="60" t="s">
        <v>1192</v>
      </c>
      <c r="K260" s="60" t="s">
        <v>1193</v>
      </c>
      <c r="L260" s="60">
        <v>347528057</v>
      </c>
      <c r="M260" s="60"/>
      <c r="N260" s="58" t="str">
        <f>VLOOKUP(B260,歌单!B:C,2,0)</f>
        <v>蔡依林</v>
      </c>
      <c r="O260" s="58">
        <f t="shared" si="4"/>
        <v>0</v>
      </c>
      <c r="P260" s="62" t="str">
        <f>VLOOKUP(B260,歌单!B:E,3,0)</f>
        <v>国语</v>
      </c>
      <c r="Q260" s="58" t="str">
        <f>VLOOKUP(B260,歌单!B:E,4,0)</f>
        <v>流行</v>
      </c>
      <c r="R260" s="62"/>
    </row>
    <row r="261" spans="1:18" ht="15" customHeight="1">
      <c r="A261" s="4" t="s">
        <v>1194</v>
      </c>
      <c r="B261" s="46" t="s">
        <v>1195</v>
      </c>
      <c r="C261" s="46" t="s">
        <v>265</v>
      </c>
      <c r="D261" s="59"/>
      <c r="E261" s="59">
        <v>0</v>
      </c>
      <c r="F261" s="59">
        <v>0</v>
      </c>
      <c r="G261" s="60" t="s">
        <v>1196</v>
      </c>
      <c r="H261" s="60" t="s">
        <v>1197</v>
      </c>
      <c r="I261" s="61">
        <v>23031</v>
      </c>
      <c r="J261" s="60"/>
      <c r="K261" s="60" t="s">
        <v>1198</v>
      </c>
      <c r="L261" s="60">
        <v>1372935531</v>
      </c>
      <c r="M261" s="60" t="s">
        <v>631</v>
      </c>
      <c r="N261" s="58" t="e">
        <f>VLOOKUP(B261,歌单!B:C,2,0)</f>
        <v>#N/A</v>
      </c>
      <c r="O261" s="58">
        <f t="shared" si="4"/>
        <v>1</v>
      </c>
      <c r="P261" s="62" t="s">
        <v>10246</v>
      </c>
      <c r="Q261" s="58" t="s">
        <v>10252</v>
      </c>
      <c r="R261" s="62"/>
    </row>
    <row r="262" spans="1:18" ht="15" hidden="1" customHeight="1">
      <c r="A262" s="4" t="s">
        <v>1199</v>
      </c>
      <c r="B262" s="46" t="s">
        <v>1200</v>
      </c>
      <c r="C262" s="46" t="s">
        <v>265</v>
      </c>
      <c r="D262" s="59"/>
      <c r="E262" s="59">
        <v>0</v>
      </c>
      <c r="F262" s="59">
        <v>0</v>
      </c>
      <c r="G262" s="60" t="s">
        <v>1201</v>
      </c>
      <c r="H262" s="60" t="s">
        <v>1202</v>
      </c>
      <c r="I262" s="61">
        <v>320</v>
      </c>
      <c r="J262" s="60" t="s">
        <v>1203</v>
      </c>
      <c r="K262" s="60" t="s">
        <v>1204</v>
      </c>
      <c r="L262" s="60">
        <v>180093278</v>
      </c>
      <c r="M262" s="60"/>
      <c r="N262" s="58" t="str">
        <f>VLOOKUP(B262,歌单!B:C,2,0)</f>
        <v>蔡依林</v>
      </c>
      <c r="O262" s="58">
        <f t="shared" si="4"/>
        <v>0</v>
      </c>
      <c r="P262" s="62" t="str">
        <f>VLOOKUP(B262,歌单!B:E,3,0)</f>
        <v>国语</v>
      </c>
      <c r="Q262" s="58" t="str">
        <f>VLOOKUP(B262,歌单!B:E,4,0)</f>
        <v>流行</v>
      </c>
      <c r="R262" s="62"/>
    </row>
    <row r="263" spans="1:18" ht="15" hidden="1" customHeight="1">
      <c r="A263" s="32" t="s">
        <v>1205</v>
      </c>
      <c r="B263" s="46" t="s">
        <v>1206</v>
      </c>
      <c r="C263" s="46" t="s">
        <v>245</v>
      </c>
      <c r="D263" s="59"/>
      <c r="E263" s="59">
        <v>0</v>
      </c>
      <c r="F263" s="59">
        <v>0</v>
      </c>
      <c r="G263" s="60" t="s">
        <v>1207</v>
      </c>
      <c r="H263" s="60" t="s">
        <v>1208</v>
      </c>
      <c r="I263" s="61">
        <v>388</v>
      </c>
      <c r="J263" s="60"/>
      <c r="K263" s="60" t="s">
        <v>1209</v>
      </c>
      <c r="L263" s="60">
        <v>75022447</v>
      </c>
      <c r="M263" s="60"/>
      <c r="N263" s="56" t="str">
        <f>VLOOKUP(B263,歌单!B:C,2,0)</f>
        <v>alin</v>
      </c>
      <c r="O263" s="58">
        <f t="shared" si="4"/>
        <v>1</v>
      </c>
      <c r="P263" s="62" t="str">
        <f>VLOOKUP(B263,歌单!B:E,3,0)</f>
        <v>国语</v>
      </c>
      <c r="Q263" s="58" t="str">
        <f>VLOOKUP(B263,歌单!B:E,4,0)</f>
        <v>流行</v>
      </c>
      <c r="R263" s="62"/>
    </row>
    <row r="264" spans="1:18" ht="15" customHeight="1">
      <c r="A264" s="4" t="s">
        <v>1210</v>
      </c>
      <c r="B264" s="46" t="s">
        <v>378</v>
      </c>
      <c r="C264" s="46" t="s">
        <v>1211</v>
      </c>
      <c r="D264" s="59"/>
      <c r="E264" s="59">
        <v>0</v>
      </c>
      <c r="F264" s="59">
        <v>0</v>
      </c>
      <c r="G264" s="60" t="s">
        <v>1212</v>
      </c>
      <c r="H264" s="60" t="s">
        <v>1213</v>
      </c>
      <c r="I264" s="61">
        <v>2</v>
      </c>
      <c r="J264" s="60"/>
      <c r="K264" s="60" t="s">
        <v>1214</v>
      </c>
      <c r="L264" s="60">
        <v>2445092</v>
      </c>
      <c r="M264" s="60"/>
      <c r="N264" s="58" t="e">
        <f>VLOOKUP(B264,歌单!B:C,2,0)</f>
        <v>#N/A</v>
      </c>
      <c r="O264" s="58">
        <f t="shared" si="4"/>
        <v>1</v>
      </c>
      <c r="P264" s="62" t="s">
        <v>10246</v>
      </c>
      <c r="Q264" s="58" t="s">
        <v>10252</v>
      </c>
      <c r="R264" s="62"/>
    </row>
    <row r="265" spans="1:18" ht="15" hidden="1" customHeight="1">
      <c r="A265" s="4" t="s">
        <v>1215</v>
      </c>
      <c r="B265" s="46" t="s">
        <v>1216</v>
      </c>
      <c r="C265" s="46" t="s">
        <v>1217</v>
      </c>
      <c r="D265" s="59"/>
      <c r="E265" s="59">
        <v>0</v>
      </c>
      <c r="F265" s="59">
        <v>0</v>
      </c>
      <c r="G265" s="60" t="s">
        <v>1218</v>
      </c>
      <c r="H265" s="60" t="s">
        <v>1219</v>
      </c>
      <c r="I265" s="61">
        <v>4</v>
      </c>
      <c r="J265" s="60" t="s">
        <v>1220</v>
      </c>
      <c r="K265" s="60" t="s">
        <v>1216</v>
      </c>
      <c r="L265" s="60">
        <v>5997802</v>
      </c>
      <c r="M265" s="60"/>
      <c r="N265" s="58" t="str">
        <f>VLOOKUP(B265,歌单!B:C,2,0)</f>
        <v>雷雨心</v>
      </c>
      <c r="O265" s="58">
        <f t="shared" si="4"/>
        <v>0</v>
      </c>
      <c r="P265" s="62" t="str">
        <f>VLOOKUP(B265,歌单!B:E,3,0)</f>
        <v>国语</v>
      </c>
      <c r="Q265" s="58" t="str">
        <f>VLOOKUP(B265,歌单!B:E,4,0)</f>
        <v>流行</v>
      </c>
      <c r="R265" s="62"/>
    </row>
    <row r="266" spans="1:18" ht="15" customHeight="1">
      <c r="A266" s="4" t="s">
        <v>1221</v>
      </c>
      <c r="B266" s="46" t="s">
        <v>1222</v>
      </c>
      <c r="C266" s="46" t="s">
        <v>721</v>
      </c>
      <c r="D266" s="59"/>
      <c r="E266" s="59">
        <v>29709</v>
      </c>
      <c r="F266" s="59">
        <v>4401</v>
      </c>
      <c r="G266" s="60" t="s">
        <v>1223</v>
      </c>
      <c r="H266" s="60"/>
      <c r="I266" s="61">
        <v>1235</v>
      </c>
      <c r="J266" s="60"/>
      <c r="K266" s="60" t="s">
        <v>724</v>
      </c>
      <c r="L266" s="60">
        <v>249141822</v>
      </c>
      <c r="M266" s="60" t="s">
        <v>1224</v>
      </c>
      <c r="N266" s="58">
        <f>VLOOKUP(B266,歌单!B:C,2,0)</f>
        <v>0</v>
      </c>
      <c r="O266" s="58">
        <f t="shared" si="4"/>
        <v>1</v>
      </c>
      <c r="P266" s="62" t="str">
        <f>VLOOKUP(B266,歌单!B:E,3,0)</f>
        <v>国语</v>
      </c>
      <c r="Q266" s="58" t="str">
        <f>VLOOKUP(B266,歌单!B:E,4,0)</f>
        <v>流行</v>
      </c>
      <c r="R266" s="62"/>
    </row>
    <row r="267" spans="1:18" ht="15" hidden="1" customHeight="1">
      <c r="A267" s="4" t="s">
        <v>1225</v>
      </c>
      <c r="B267" s="46" t="s">
        <v>1226</v>
      </c>
      <c r="C267" s="46" t="s">
        <v>721</v>
      </c>
      <c r="D267" s="59"/>
      <c r="E267" s="59">
        <v>547</v>
      </c>
      <c r="F267" s="59">
        <v>47</v>
      </c>
      <c r="G267" s="60" t="s">
        <v>1227</v>
      </c>
      <c r="H267" s="60"/>
      <c r="I267" s="61">
        <v>157</v>
      </c>
      <c r="J267" s="60" t="s">
        <v>1226</v>
      </c>
      <c r="K267" s="60"/>
      <c r="L267" s="60">
        <v>96065912</v>
      </c>
      <c r="M267" s="60"/>
      <c r="N267" s="58" t="str">
        <f>VLOOKUP(B267,歌单!B:C,2,0)</f>
        <v>王力宏</v>
      </c>
      <c r="O267" s="58">
        <f t="shared" si="4"/>
        <v>0</v>
      </c>
      <c r="P267" s="62" t="str">
        <f>VLOOKUP(B267,歌单!B:E,3,0)</f>
        <v>国语</v>
      </c>
      <c r="Q267" s="58" t="str">
        <f>VLOOKUP(B267,歌单!B:E,4,0)</f>
        <v>流行</v>
      </c>
      <c r="R267" s="62"/>
    </row>
    <row r="268" spans="1:18" ht="15" hidden="1" customHeight="1">
      <c r="A268" s="4" t="s">
        <v>1228</v>
      </c>
      <c r="B268" s="46" t="s">
        <v>1229</v>
      </c>
      <c r="C268" s="46" t="s">
        <v>1230</v>
      </c>
      <c r="D268" s="59"/>
      <c r="E268" s="59">
        <v>0</v>
      </c>
      <c r="F268" s="59">
        <v>0</v>
      </c>
      <c r="G268" s="60" t="s">
        <v>1231</v>
      </c>
      <c r="H268" s="60" t="s">
        <v>1232</v>
      </c>
      <c r="I268" s="61">
        <v>558</v>
      </c>
      <c r="J268" s="60" t="s">
        <v>1233</v>
      </c>
      <c r="K268" s="60" t="s">
        <v>1229</v>
      </c>
      <c r="L268" s="60">
        <v>70470580</v>
      </c>
      <c r="M268" s="60"/>
      <c r="N268" s="58" t="str">
        <f>VLOOKUP(B268,歌单!B:C,2,0)</f>
        <v>尤长靖</v>
      </c>
      <c r="O268" s="58">
        <f t="shared" si="4"/>
        <v>0</v>
      </c>
      <c r="P268" s="62" t="str">
        <f>VLOOKUP(B268,歌单!B:E,3,0)</f>
        <v>国语</v>
      </c>
      <c r="Q268" s="58" t="str">
        <f>VLOOKUP(B268,歌单!B:E,4,0)</f>
        <v>流行</v>
      </c>
      <c r="R268" s="62"/>
    </row>
    <row r="269" spans="1:18" ht="15" hidden="1" customHeight="1">
      <c r="A269" s="4" t="s">
        <v>1234</v>
      </c>
      <c r="B269" s="46" t="s">
        <v>1235</v>
      </c>
      <c r="C269" s="46" t="s">
        <v>154</v>
      </c>
      <c r="D269" s="59"/>
      <c r="E269" s="59">
        <v>6709</v>
      </c>
      <c r="F269" s="59">
        <v>265</v>
      </c>
      <c r="G269" s="60" t="s">
        <v>1236</v>
      </c>
      <c r="H269" s="60"/>
      <c r="I269" s="61">
        <v>349</v>
      </c>
      <c r="J269" s="60" t="s">
        <v>1237</v>
      </c>
      <c r="K269" s="60" t="s">
        <v>292</v>
      </c>
      <c r="L269" s="60">
        <v>182820128</v>
      </c>
      <c r="M269" s="60"/>
      <c r="N269" s="58" t="str">
        <f>VLOOKUP(B269,歌单!B:C,2,0)</f>
        <v>队长</v>
      </c>
      <c r="O269" s="58">
        <f t="shared" si="4"/>
        <v>1</v>
      </c>
      <c r="P269" s="62" t="str">
        <f>VLOOKUP(B269,歌单!B:E,3,0)</f>
        <v>国语</v>
      </c>
      <c r="Q269" s="58" t="str">
        <f>VLOOKUP(B269,歌单!B:E,4,0)</f>
        <v>流行</v>
      </c>
      <c r="R269" s="62"/>
    </row>
    <row r="270" spans="1:18" ht="15" customHeight="1">
      <c r="A270" s="4" t="s">
        <v>1238</v>
      </c>
      <c r="B270" s="46" t="s">
        <v>1239</v>
      </c>
      <c r="C270" s="46" t="s">
        <v>1240</v>
      </c>
      <c r="D270" s="59"/>
      <c r="E270" s="59">
        <v>0</v>
      </c>
      <c r="F270" s="59">
        <v>0</v>
      </c>
      <c r="G270" s="60" t="s">
        <v>1241</v>
      </c>
      <c r="H270" s="60" t="s">
        <v>1242</v>
      </c>
      <c r="I270" s="61">
        <v>1014</v>
      </c>
      <c r="J270" s="60" t="s">
        <v>1243</v>
      </c>
      <c r="K270" s="60" t="s">
        <v>1239</v>
      </c>
      <c r="L270" s="60">
        <v>263295360</v>
      </c>
      <c r="M270" s="60"/>
      <c r="N270" s="58">
        <f>VLOOKUP(B270,歌单!B:C,2,0)</f>
        <v>0</v>
      </c>
      <c r="O270" s="58">
        <f t="shared" si="4"/>
        <v>1</v>
      </c>
      <c r="P270" s="62" t="str">
        <f>VLOOKUP(B270,歌单!B:E,3,0)</f>
        <v>国语</v>
      </c>
      <c r="Q270" s="58" t="str">
        <f>VLOOKUP(B270,歌单!B:E,4,0)</f>
        <v>流行</v>
      </c>
      <c r="R270" s="62"/>
    </row>
    <row r="271" spans="1:18" ht="15" hidden="1" customHeight="1">
      <c r="A271" s="4" t="s">
        <v>1244</v>
      </c>
      <c r="B271" s="46" t="s">
        <v>1245</v>
      </c>
      <c r="C271" s="46" t="s">
        <v>154</v>
      </c>
      <c r="D271" s="59"/>
      <c r="E271" s="59">
        <v>0</v>
      </c>
      <c r="F271" s="59">
        <v>0</v>
      </c>
      <c r="G271" s="60" t="s">
        <v>1246</v>
      </c>
      <c r="H271" s="60" t="s">
        <v>1247</v>
      </c>
      <c r="I271" s="61">
        <v>566</v>
      </c>
      <c r="J271" s="60"/>
      <c r="K271" s="60" t="s">
        <v>636</v>
      </c>
      <c r="L271" s="60">
        <v>295581552</v>
      </c>
      <c r="M271" s="60"/>
      <c r="N271" s="58" t="str">
        <f>VLOOKUP(B271,歌单!B:C,2,0)</f>
        <v>周杰伦</v>
      </c>
      <c r="O271" s="58">
        <f t="shared" si="4"/>
        <v>0</v>
      </c>
      <c r="P271" s="62" t="str">
        <f>VLOOKUP(B271,歌单!B:E,3,0)</f>
        <v>国语</v>
      </c>
      <c r="Q271" s="58" t="str">
        <f>VLOOKUP(B271,歌单!B:E,4,0)</f>
        <v>流行</v>
      </c>
      <c r="R271" s="62"/>
    </row>
    <row r="272" spans="1:18" ht="15" hidden="1" customHeight="1">
      <c r="A272" s="4" t="s">
        <v>1248</v>
      </c>
      <c r="B272" s="46" t="s">
        <v>1249</v>
      </c>
      <c r="C272" s="46" t="s">
        <v>1250</v>
      </c>
      <c r="D272" s="59"/>
      <c r="E272" s="59">
        <v>0</v>
      </c>
      <c r="F272" s="59">
        <v>0</v>
      </c>
      <c r="G272" s="60" t="s">
        <v>1251</v>
      </c>
      <c r="H272" s="60" t="s">
        <v>1252</v>
      </c>
      <c r="I272" s="61">
        <v>68</v>
      </c>
      <c r="J272" s="60"/>
      <c r="K272" s="60" t="s">
        <v>1253</v>
      </c>
      <c r="L272" s="60">
        <v>21952216</v>
      </c>
      <c r="M272" s="60"/>
      <c r="N272" s="58" t="str">
        <f>VLOOKUP(B272,歌单!B:C,2,0)</f>
        <v>阿桑</v>
      </c>
      <c r="O272" s="58">
        <f t="shared" si="4"/>
        <v>0</v>
      </c>
      <c r="P272" s="62" t="str">
        <f>VLOOKUP(B272,歌单!B:E,3,0)</f>
        <v>国语</v>
      </c>
      <c r="Q272" s="58" t="str">
        <f>VLOOKUP(B272,歌单!B:E,4,0)</f>
        <v>流行</v>
      </c>
      <c r="R272" s="62"/>
    </row>
    <row r="273" spans="1:18" ht="15" customHeight="1">
      <c r="A273" s="4" t="s">
        <v>1254</v>
      </c>
      <c r="B273" s="46" t="s">
        <v>1255</v>
      </c>
      <c r="C273" s="46" t="s">
        <v>131</v>
      </c>
      <c r="D273" s="59"/>
      <c r="E273" s="59">
        <v>0</v>
      </c>
      <c r="F273" s="59">
        <v>0</v>
      </c>
      <c r="G273" s="60" t="s">
        <v>1256</v>
      </c>
      <c r="H273" s="60" t="s">
        <v>1257</v>
      </c>
      <c r="I273" s="61">
        <v>11</v>
      </c>
      <c r="J273" s="60"/>
      <c r="K273" s="60"/>
      <c r="L273" s="60">
        <v>4994709</v>
      </c>
      <c r="M273" s="60"/>
      <c r="N273" s="58" t="e">
        <f>VLOOKUP(B273,歌单!B:C,2,0)</f>
        <v>#N/A</v>
      </c>
      <c r="O273" s="58">
        <f t="shared" si="4"/>
        <v>1</v>
      </c>
      <c r="P273" s="62" t="s">
        <v>10246</v>
      </c>
      <c r="Q273" s="58" t="s">
        <v>10252</v>
      </c>
      <c r="R273" s="62"/>
    </row>
    <row r="274" spans="1:18" ht="15" hidden="1" customHeight="1">
      <c r="A274" s="4" t="s">
        <v>1258</v>
      </c>
      <c r="B274" s="46" t="s">
        <v>1259</v>
      </c>
      <c r="C274" s="46" t="s">
        <v>1260</v>
      </c>
      <c r="D274" s="59"/>
      <c r="E274" s="59">
        <v>0</v>
      </c>
      <c r="F274" s="59">
        <v>0</v>
      </c>
      <c r="G274" s="60" t="s">
        <v>1261</v>
      </c>
      <c r="H274" s="60" t="s">
        <v>1262</v>
      </c>
      <c r="I274" s="61">
        <v>408</v>
      </c>
      <c r="J274" s="60"/>
      <c r="K274" s="60" t="s">
        <v>1263</v>
      </c>
      <c r="L274" s="60">
        <v>82776763</v>
      </c>
      <c r="M274" s="60" t="s">
        <v>1264</v>
      </c>
      <c r="N274" s="58" t="str">
        <f>VLOOKUP(B274,歌单!B:C,2,0)</f>
        <v>李玟</v>
      </c>
      <c r="O274" s="58">
        <f t="shared" si="4"/>
        <v>0</v>
      </c>
      <c r="P274" s="62" t="str">
        <f>VLOOKUP(B274,歌单!B:E,3,0)</f>
        <v>国语</v>
      </c>
      <c r="Q274" s="58" t="str">
        <f>VLOOKUP(B274,歌单!B:E,4,0)</f>
        <v>流行</v>
      </c>
      <c r="R274" s="62"/>
    </row>
    <row r="275" spans="1:18" ht="15" customHeight="1">
      <c r="A275" s="4" t="s">
        <v>1265</v>
      </c>
      <c r="B275" s="46" t="s">
        <v>1266</v>
      </c>
      <c r="C275" s="46" t="s">
        <v>1267</v>
      </c>
      <c r="D275" s="59"/>
      <c r="E275" s="59">
        <v>0</v>
      </c>
      <c r="F275" s="59">
        <v>0</v>
      </c>
      <c r="G275" s="60" t="s">
        <v>1268</v>
      </c>
      <c r="H275" s="60" t="s">
        <v>1269</v>
      </c>
      <c r="I275" s="61">
        <v>64</v>
      </c>
      <c r="J275" s="60" t="s">
        <v>1270</v>
      </c>
      <c r="K275" s="60" t="s">
        <v>1271</v>
      </c>
      <c r="L275" s="60">
        <v>15785405</v>
      </c>
      <c r="M275" s="60"/>
      <c r="N275" s="58" t="e">
        <f>VLOOKUP(B275,歌单!B:C,2,0)</f>
        <v>#N/A</v>
      </c>
      <c r="O275" s="58">
        <f t="shared" si="4"/>
        <v>1</v>
      </c>
      <c r="P275" s="62" t="s">
        <v>10248</v>
      </c>
      <c r="Q275" s="58" t="s">
        <v>10252</v>
      </c>
      <c r="R275" s="62"/>
    </row>
    <row r="276" spans="1:18" ht="15" hidden="1" customHeight="1">
      <c r="A276" s="4" t="s">
        <v>1272</v>
      </c>
      <c r="B276" s="46" t="s">
        <v>1273</v>
      </c>
      <c r="C276" s="46" t="s">
        <v>1274</v>
      </c>
      <c r="D276" s="59"/>
      <c r="E276" s="59">
        <v>0</v>
      </c>
      <c r="F276" s="59">
        <v>0</v>
      </c>
      <c r="G276" s="60" t="s">
        <v>1275</v>
      </c>
      <c r="H276" s="60" t="s">
        <v>1276</v>
      </c>
      <c r="I276" s="61">
        <v>2369</v>
      </c>
      <c r="J276" s="60" t="s">
        <v>1277</v>
      </c>
      <c r="K276" s="60" t="s">
        <v>1273</v>
      </c>
      <c r="L276" s="60">
        <v>672798547</v>
      </c>
      <c r="M276" s="60"/>
      <c r="N276" s="58" t="str">
        <f>VLOOKUP(B276,歌单!B:C,2,0)</f>
        <v>莫文蔚</v>
      </c>
      <c r="O276" s="58">
        <f t="shared" si="4"/>
        <v>0</v>
      </c>
      <c r="P276" s="62" t="str">
        <f>VLOOKUP(B276,歌单!B:E,3,0)</f>
        <v>国语</v>
      </c>
      <c r="Q276" s="58" t="str">
        <f>VLOOKUP(B276,歌单!B:E,4,0)</f>
        <v>流行</v>
      </c>
      <c r="R276" s="62"/>
    </row>
    <row r="277" spans="1:18" ht="15" customHeight="1">
      <c r="A277" s="4" t="s">
        <v>1278</v>
      </c>
      <c r="B277" s="46" t="s">
        <v>1279</v>
      </c>
      <c r="C277" s="46" t="s">
        <v>42</v>
      </c>
      <c r="D277" s="59"/>
      <c r="E277" s="59">
        <v>0</v>
      </c>
      <c r="F277" s="59">
        <v>0</v>
      </c>
      <c r="G277" s="60" t="s">
        <v>1280</v>
      </c>
      <c r="H277" s="60" t="s">
        <v>1281</v>
      </c>
      <c r="I277" s="61">
        <v>3</v>
      </c>
      <c r="J277" s="60" t="s">
        <v>1282</v>
      </c>
      <c r="K277" s="60" t="s">
        <v>1279</v>
      </c>
      <c r="L277" s="60">
        <v>4976715</v>
      </c>
      <c r="M277" s="60"/>
      <c r="N277" s="58" t="e">
        <f>VLOOKUP(B277,歌单!B:C,2,0)</f>
        <v>#N/A</v>
      </c>
      <c r="O277" s="58">
        <f t="shared" si="4"/>
        <v>1</v>
      </c>
      <c r="P277" s="62" t="s">
        <v>10246</v>
      </c>
      <c r="Q277" s="58" t="s">
        <v>10252</v>
      </c>
      <c r="R277" s="62"/>
    </row>
    <row r="278" spans="1:18" ht="15" customHeight="1">
      <c r="A278" s="4" t="s">
        <v>1283</v>
      </c>
      <c r="B278" s="46" t="s">
        <v>1284</v>
      </c>
      <c r="C278" s="46" t="s">
        <v>679</v>
      </c>
      <c r="D278" s="59"/>
      <c r="E278" s="59">
        <v>0</v>
      </c>
      <c r="F278" s="59">
        <v>0</v>
      </c>
      <c r="G278" s="60" t="s">
        <v>1285</v>
      </c>
      <c r="H278" s="60" t="s">
        <v>1286</v>
      </c>
      <c r="I278" s="61">
        <v>240</v>
      </c>
      <c r="J278" s="60"/>
      <c r="K278" s="60" t="s">
        <v>1287</v>
      </c>
      <c r="L278" s="60">
        <v>177898408</v>
      </c>
      <c r="M278" s="60"/>
      <c r="N278" s="58" t="e">
        <f>VLOOKUP(B278,歌单!B:C,2,0)</f>
        <v>#N/A</v>
      </c>
      <c r="O278" s="58">
        <f t="shared" si="4"/>
        <v>1</v>
      </c>
      <c r="P278" s="62" t="s">
        <v>10246</v>
      </c>
      <c r="Q278" s="58" t="s">
        <v>10252</v>
      </c>
      <c r="R278" s="62"/>
    </row>
    <row r="279" spans="1:18" ht="15" customHeight="1">
      <c r="A279" s="4" t="s">
        <v>1288</v>
      </c>
      <c r="B279" s="46" t="s">
        <v>1289</v>
      </c>
      <c r="C279" s="46" t="s">
        <v>679</v>
      </c>
      <c r="D279" s="59"/>
      <c r="E279" s="59">
        <v>0</v>
      </c>
      <c r="F279" s="59">
        <v>0</v>
      </c>
      <c r="G279" s="60" t="s">
        <v>1290</v>
      </c>
      <c r="H279" s="60"/>
      <c r="I279" s="61">
        <v>79</v>
      </c>
      <c r="J279" s="60"/>
      <c r="K279" s="60" t="s">
        <v>1291</v>
      </c>
      <c r="L279" s="60">
        <v>19753956</v>
      </c>
      <c r="M279" s="60"/>
      <c r="N279" s="58" t="e">
        <f>VLOOKUP(B279,歌单!B:C,2,0)</f>
        <v>#N/A</v>
      </c>
      <c r="O279" s="58">
        <f t="shared" si="4"/>
        <v>1</v>
      </c>
      <c r="P279" s="62" t="s">
        <v>10246</v>
      </c>
      <c r="Q279" s="58" t="s">
        <v>10252</v>
      </c>
      <c r="R279" s="62"/>
    </row>
    <row r="280" spans="1:18" ht="15" hidden="1" customHeight="1">
      <c r="A280" s="4" t="s">
        <v>1292</v>
      </c>
      <c r="B280" s="46" t="s">
        <v>1293</v>
      </c>
      <c r="C280" s="46" t="s">
        <v>360</v>
      </c>
      <c r="D280" s="59"/>
      <c r="E280" s="59">
        <v>73046</v>
      </c>
      <c r="F280" s="59">
        <v>13534</v>
      </c>
      <c r="G280" s="60" t="s">
        <v>1294</v>
      </c>
      <c r="H280" s="60"/>
      <c r="I280" s="61">
        <v>2627</v>
      </c>
      <c r="J280" s="60"/>
      <c r="K280" s="60" t="s">
        <v>1293</v>
      </c>
      <c r="L280" s="60">
        <v>313156503</v>
      </c>
      <c r="M280" s="60" t="s">
        <v>704</v>
      </c>
      <c r="N280" s="58" t="str">
        <f>VLOOKUP(B280,歌单!B:C,2,0)</f>
        <v>张碧晨</v>
      </c>
      <c r="O280" s="58">
        <f t="shared" si="4"/>
        <v>0</v>
      </c>
      <c r="P280" s="62" t="str">
        <f>VLOOKUP(B280,歌单!B:E,3,0)</f>
        <v>国语</v>
      </c>
      <c r="Q280" s="58" t="str">
        <f>VLOOKUP(B280,歌单!B:E,4,0)</f>
        <v>流行</v>
      </c>
      <c r="R280" s="62"/>
    </row>
    <row r="281" spans="1:18" ht="15" hidden="1" customHeight="1">
      <c r="A281" s="32" t="s">
        <v>1295</v>
      </c>
      <c r="B281" s="46" t="s">
        <v>1296</v>
      </c>
      <c r="C281" s="46" t="s">
        <v>188</v>
      </c>
      <c r="D281" s="59"/>
      <c r="E281" s="59">
        <v>0</v>
      </c>
      <c r="F281" s="59">
        <v>0</v>
      </c>
      <c r="G281" s="60" t="s">
        <v>1297</v>
      </c>
      <c r="H281" s="60"/>
      <c r="I281" s="61">
        <v>179</v>
      </c>
      <c r="J281" s="60"/>
      <c r="K281" s="60" t="s">
        <v>1298</v>
      </c>
      <c r="L281" s="60">
        <v>61503981</v>
      </c>
      <c r="M281" s="60"/>
      <c r="N281" s="68" t="str">
        <f>VLOOKUP(B281,歌单!B:C,2,0)</f>
        <v>霍尊</v>
      </c>
      <c r="O281" s="58">
        <f t="shared" si="4"/>
        <v>1</v>
      </c>
      <c r="P281" s="62" t="str">
        <f>VLOOKUP(B281,歌单!B:E,3,0)</f>
        <v>国语</v>
      </c>
      <c r="Q281" s="58" t="str">
        <f>VLOOKUP(B281,歌单!B:E,4,0)</f>
        <v>流行</v>
      </c>
      <c r="R281" s="62"/>
    </row>
    <row r="282" spans="1:18" ht="15" customHeight="1">
      <c r="A282" s="4" t="s">
        <v>1299</v>
      </c>
      <c r="B282" s="46" t="s">
        <v>99</v>
      </c>
      <c r="C282" s="46" t="s">
        <v>51</v>
      </c>
      <c r="D282" s="59"/>
      <c r="E282" s="59">
        <v>0</v>
      </c>
      <c r="F282" s="59">
        <v>0</v>
      </c>
      <c r="G282" s="60" t="s">
        <v>1300</v>
      </c>
      <c r="H282" s="60" t="s">
        <v>1301</v>
      </c>
      <c r="I282" s="61">
        <v>0</v>
      </c>
      <c r="J282" s="60"/>
      <c r="K282" s="60" t="s">
        <v>99</v>
      </c>
      <c r="L282" s="60">
        <v>94693</v>
      </c>
      <c r="M282" s="60"/>
      <c r="N282" s="58" t="e">
        <f>VLOOKUP(B282,歌单!B:C,2,0)</f>
        <v>#N/A</v>
      </c>
      <c r="O282" s="58">
        <f t="shared" si="4"/>
        <v>1</v>
      </c>
      <c r="P282" s="62" t="s">
        <v>10246</v>
      </c>
      <c r="Q282" s="58" t="s">
        <v>10252</v>
      </c>
      <c r="R282" s="62"/>
    </row>
    <row r="283" spans="1:18" ht="15" customHeight="1">
      <c r="A283" s="4" t="s">
        <v>1302</v>
      </c>
      <c r="B283" s="46" t="s">
        <v>103</v>
      </c>
      <c r="C283" s="46" t="s">
        <v>51</v>
      </c>
      <c r="D283" s="59"/>
      <c r="E283" s="59">
        <v>0</v>
      </c>
      <c r="F283" s="59">
        <v>0</v>
      </c>
      <c r="G283" s="60" t="s">
        <v>1303</v>
      </c>
      <c r="H283" s="60"/>
      <c r="I283" s="61">
        <v>0</v>
      </c>
      <c r="J283" s="60"/>
      <c r="K283" s="60" t="s">
        <v>103</v>
      </c>
      <c r="L283" s="60">
        <v>64479</v>
      </c>
      <c r="M283" s="60"/>
      <c r="N283" s="58" t="e">
        <f>VLOOKUP(B283,歌单!B:C,2,0)</f>
        <v>#N/A</v>
      </c>
      <c r="O283" s="58">
        <f t="shared" si="4"/>
        <v>1</v>
      </c>
      <c r="P283" s="62" t="s">
        <v>10246</v>
      </c>
      <c r="Q283" s="58" t="s">
        <v>10252</v>
      </c>
      <c r="R283" s="62"/>
    </row>
    <row r="284" spans="1:18" ht="15" hidden="1" customHeight="1">
      <c r="A284" s="4" t="s">
        <v>1304</v>
      </c>
      <c r="B284" s="46" t="s">
        <v>1305</v>
      </c>
      <c r="C284" s="46" t="s">
        <v>1306</v>
      </c>
      <c r="D284" s="59"/>
      <c r="E284" s="59">
        <v>0</v>
      </c>
      <c r="F284" s="59">
        <v>0</v>
      </c>
      <c r="G284" s="60" t="s">
        <v>1307</v>
      </c>
      <c r="H284" s="60" t="s">
        <v>1308</v>
      </c>
      <c r="I284" s="61">
        <v>1718</v>
      </c>
      <c r="J284" s="60" t="s">
        <v>1309</v>
      </c>
      <c r="K284" s="60" t="s">
        <v>1310</v>
      </c>
      <c r="L284" s="60">
        <v>544027498</v>
      </c>
      <c r="M284" s="60"/>
      <c r="N284" s="58" t="str">
        <f>VLOOKUP(B284,歌单!B:C,2,0)</f>
        <v>张小斐</v>
      </c>
      <c r="O284" s="58">
        <f t="shared" si="4"/>
        <v>0</v>
      </c>
      <c r="P284" s="62" t="str">
        <f>VLOOKUP(B284,歌单!B:E,3,0)</f>
        <v>国语</v>
      </c>
      <c r="Q284" s="58" t="str">
        <f>VLOOKUP(B284,歌单!B:E,4,0)</f>
        <v>流行</v>
      </c>
      <c r="R284" s="62"/>
    </row>
    <row r="285" spans="1:18" ht="15" customHeight="1">
      <c r="A285" s="4" t="s">
        <v>1311</v>
      </c>
      <c r="B285" s="46" t="s">
        <v>1312</v>
      </c>
      <c r="C285" s="46" t="s">
        <v>1313</v>
      </c>
      <c r="D285" s="59"/>
      <c r="E285" s="59">
        <v>0</v>
      </c>
      <c r="F285" s="59">
        <v>0</v>
      </c>
      <c r="G285" s="60" t="s">
        <v>1314</v>
      </c>
      <c r="H285" s="60" t="s">
        <v>1315</v>
      </c>
      <c r="I285" s="61">
        <v>23</v>
      </c>
      <c r="J285" s="60"/>
      <c r="K285" s="60" t="s">
        <v>1312</v>
      </c>
      <c r="L285" s="60">
        <v>2997679</v>
      </c>
      <c r="M285" s="60"/>
      <c r="N285" s="58" t="e">
        <f>VLOOKUP(B285,歌单!B:C,2,0)</f>
        <v>#N/A</v>
      </c>
      <c r="O285" s="58">
        <f t="shared" si="4"/>
        <v>1</v>
      </c>
      <c r="P285" s="62" t="s">
        <v>10246</v>
      </c>
      <c r="Q285" s="58" t="s">
        <v>10252</v>
      </c>
      <c r="R285" s="62"/>
    </row>
    <row r="286" spans="1:18" ht="15" hidden="1" customHeight="1">
      <c r="A286" s="4" t="s">
        <v>1316</v>
      </c>
      <c r="B286" s="46" t="s">
        <v>1317</v>
      </c>
      <c r="C286" s="46" t="s">
        <v>427</v>
      </c>
      <c r="D286" s="59"/>
      <c r="E286" s="59">
        <v>0</v>
      </c>
      <c r="F286" s="59">
        <v>0</v>
      </c>
      <c r="G286" s="60" t="s">
        <v>1318</v>
      </c>
      <c r="H286" s="60"/>
      <c r="I286" s="61">
        <v>79</v>
      </c>
      <c r="J286" s="60"/>
      <c r="K286" s="60" t="s">
        <v>1317</v>
      </c>
      <c r="L286" s="60">
        <v>12717948</v>
      </c>
      <c r="M286" s="60"/>
      <c r="N286" s="58" t="str">
        <f>VLOOKUP(B286,歌单!B:C,2,0)</f>
        <v>袁娅维</v>
      </c>
      <c r="O286" s="58">
        <f t="shared" si="4"/>
        <v>0</v>
      </c>
      <c r="P286" s="62" t="str">
        <f>VLOOKUP(B286,歌单!B:E,3,0)</f>
        <v>国语</v>
      </c>
      <c r="Q286" s="58" t="str">
        <f>VLOOKUP(B286,歌单!B:E,4,0)</f>
        <v>流行</v>
      </c>
      <c r="R286" s="62"/>
    </row>
    <row r="287" spans="1:18" ht="15" hidden="1" customHeight="1">
      <c r="A287" s="4" t="s">
        <v>1319</v>
      </c>
      <c r="B287" s="46" t="s">
        <v>1320</v>
      </c>
      <c r="C287" s="46" t="s">
        <v>1321</v>
      </c>
      <c r="D287" s="59"/>
      <c r="E287" s="59">
        <v>0</v>
      </c>
      <c r="F287" s="59">
        <v>0</v>
      </c>
      <c r="G287" s="60" t="s">
        <v>1322</v>
      </c>
      <c r="H287" s="60" t="s">
        <v>1323</v>
      </c>
      <c r="I287" s="61">
        <v>0</v>
      </c>
      <c r="J287" s="60"/>
      <c r="K287" s="60" t="s">
        <v>1324</v>
      </c>
      <c r="L287" s="60">
        <v>216487</v>
      </c>
      <c r="M287" s="60"/>
      <c r="N287" s="58" t="str">
        <f>VLOOKUP(B287,歌单!B:C,2,0)</f>
        <v>袁娅维</v>
      </c>
      <c r="O287" s="58">
        <f t="shared" si="4"/>
        <v>0</v>
      </c>
      <c r="P287" s="62" t="str">
        <f>VLOOKUP(B287,歌单!B:E,3,0)</f>
        <v>国语</v>
      </c>
      <c r="Q287" s="58" t="str">
        <f>VLOOKUP(B287,歌单!B:E,4,0)</f>
        <v>流行</v>
      </c>
      <c r="R287" s="62"/>
    </row>
    <row r="288" spans="1:18" ht="15" customHeight="1">
      <c r="A288" s="4" t="s">
        <v>1325</v>
      </c>
      <c r="B288" s="46" t="s">
        <v>1326</v>
      </c>
      <c r="C288" s="46" t="s">
        <v>154</v>
      </c>
      <c r="D288" s="59"/>
      <c r="E288" s="59">
        <v>0</v>
      </c>
      <c r="F288" s="59">
        <v>0</v>
      </c>
      <c r="G288" s="60" t="s">
        <v>1327</v>
      </c>
      <c r="H288" s="60" t="s">
        <v>1328</v>
      </c>
      <c r="I288" s="61">
        <v>1661</v>
      </c>
      <c r="J288" s="60" t="s">
        <v>1326</v>
      </c>
      <c r="K288" s="60" t="s">
        <v>321</v>
      </c>
      <c r="L288" s="60">
        <v>406111219</v>
      </c>
      <c r="M288" s="60"/>
      <c r="N288" s="58" t="e">
        <f>VLOOKUP(B288,歌单!B:C,2,0)</f>
        <v>#N/A</v>
      </c>
      <c r="O288" s="58">
        <f t="shared" si="4"/>
        <v>1</v>
      </c>
      <c r="P288" s="62" t="s">
        <v>10246</v>
      </c>
      <c r="Q288" s="58" t="s">
        <v>10236</v>
      </c>
      <c r="R288" s="62"/>
    </row>
    <row r="289" spans="1:18" ht="15" hidden="1" customHeight="1">
      <c r="A289" s="4" t="s">
        <v>1329</v>
      </c>
      <c r="B289" s="46" t="s">
        <v>1330</v>
      </c>
      <c r="C289" s="46" t="s">
        <v>1331</v>
      </c>
      <c r="D289" s="59"/>
      <c r="E289" s="59">
        <v>0</v>
      </c>
      <c r="F289" s="59">
        <v>0</v>
      </c>
      <c r="G289" s="60" t="s">
        <v>1332</v>
      </c>
      <c r="H289" s="60" t="s">
        <v>1333</v>
      </c>
      <c r="I289" s="61">
        <v>1120</v>
      </c>
      <c r="J289" s="60"/>
      <c r="K289" s="60" t="s">
        <v>1334</v>
      </c>
      <c r="L289" s="60">
        <v>113992875</v>
      </c>
      <c r="M289" s="60"/>
      <c r="N289" s="58" t="str">
        <f>VLOOKUP(B289,歌单!B:C,2,0)</f>
        <v>陶喆</v>
      </c>
      <c r="O289" s="58">
        <f t="shared" si="4"/>
        <v>0</v>
      </c>
      <c r="P289" s="62" t="str">
        <f>VLOOKUP(B289,歌单!B:E,3,0)</f>
        <v>国语</v>
      </c>
      <c r="Q289" s="58" t="str">
        <f>VLOOKUP(B289,歌单!B:E,4,0)</f>
        <v>R&amp;B</v>
      </c>
      <c r="R289" s="62"/>
    </row>
    <row r="290" spans="1:18" ht="15" hidden="1" customHeight="1">
      <c r="A290" s="4" t="s">
        <v>1335</v>
      </c>
      <c r="B290" s="46" t="s">
        <v>1336</v>
      </c>
      <c r="C290" s="46" t="s">
        <v>154</v>
      </c>
      <c r="D290" s="59"/>
      <c r="E290" s="59">
        <v>0</v>
      </c>
      <c r="F290" s="59">
        <v>0</v>
      </c>
      <c r="G290" s="60" t="s">
        <v>1337</v>
      </c>
      <c r="H290" s="60" t="s">
        <v>1338</v>
      </c>
      <c r="I290" s="61">
        <v>16922</v>
      </c>
      <c r="J290" s="60"/>
      <c r="K290" s="60" t="s">
        <v>992</v>
      </c>
      <c r="L290" s="60">
        <v>691447981</v>
      </c>
      <c r="M290" s="60"/>
      <c r="N290" s="58" t="str">
        <f>VLOOKUP(B290,歌单!B:C,2,0)</f>
        <v>周杰伦</v>
      </c>
      <c r="O290" s="58">
        <f t="shared" si="4"/>
        <v>0</v>
      </c>
      <c r="P290" s="62" t="str">
        <f>VLOOKUP(B290,歌单!B:E,3,0)</f>
        <v>国语</v>
      </c>
      <c r="Q290" s="58" t="str">
        <f>VLOOKUP(B290,歌单!B:E,4,0)</f>
        <v>流行</v>
      </c>
      <c r="R290" s="62"/>
    </row>
    <row r="291" spans="1:18" ht="15" hidden="1" customHeight="1">
      <c r="A291" s="4" t="s">
        <v>1339</v>
      </c>
      <c r="B291" s="46" t="s">
        <v>1340</v>
      </c>
      <c r="C291" s="46" t="s">
        <v>1331</v>
      </c>
      <c r="D291" s="59"/>
      <c r="E291" s="59">
        <v>0</v>
      </c>
      <c r="F291" s="59">
        <v>0</v>
      </c>
      <c r="G291" s="60" t="s">
        <v>1341</v>
      </c>
      <c r="H291" s="60" t="s">
        <v>1342</v>
      </c>
      <c r="I291" s="61">
        <v>535</v>
      </c>
      <c r="J291" s="60"/>
      <c r="K291" s="60" t="s">
        <v>1343</v>
      </c>
      <c r="L291" s="60">
        <v>82012532</v>
      </c>
      <c r="M291" s="60"/>
      <c r="N291" s="58" t="str">
        <f>VLOOKUP(B291,歌单!B:C,2,0)</f>
        <v>陶喆</v>
      </c>
      <c r="O291" s="58">
        <f t="shared" si="4"/>
        <v>0</v>
      </c>
      <c r="P291" s="62" t="str">
        <f>VLOOKUP(B291,歌单!B:E,3,0)</f>
        <v>国语</v>
      </c>
      <c r="Q291" s="58" t="str">
        <f>VLOOKUP(B291,歌单!B:E,4,0)</f>
        <v>R&amp;B</v>
      </c>
      <c r="R291" s="62"/>
    </row>
    <row r="292" spans="1:18" ht="15" customHeight="1">
      <c r="A292" s="4" t="s">
        <v>1344</v>
      </c>
      <c r="B292" s="46" t="s">
        <v>1345</v>
      </c>
      <c r="C292" s="46" t="s">
        <v>1346</v>
      </c>
      <c r="D292" s="59"/>
      <c r="E292" s="59">
        <v>0</v>
      </c>
      <c r="F292" s="59">
        <v>0</v>
      </c>
      <c r="G292" s="60" t="s">
        <v>1347</v>
      </c>
      <c r="H292" s="60" t="s">
        <v>1348</v>
      </c>
      <c r="I292" s="61">
        <v>293</v>
      </c>
      <c r="J292" s="60"/>
      <c r="K292" s="60"/>
      <c r="L292" s="60">
        <v>59748120</v>
      </c>
      <c r="M292" s="60"/>
      <c r="N292" s="58" t="e">
        <f>VLOOKUP(B292,歌单!B:C,2,0)</f>
        <v>#N/A</v>
      </c>
      <c r="O292" s="58">
        <f t="shared" si="4"/>
        <v>1</v>
      </c>
      <c r="P292" s="62" t="s">
        <v>10246</v>
      </c>
      <c r="Q292" s="58" t="s">
        <v>10252</v>
      </c>
      <c r="R292" s="62"/>
    </row>
    <row r="293" spans="1:18" ht="15" hidden="1" customHeight="1">
      <c r="A293" s="4" t="s">
        <v>1349</v>
      </c>
      <c r="B293" s="46" t="s">
        <v>1350</v>
      </c>
      <c r="C293" s="46" t="s">
        <v>1351</v>
      </c>
      <c r="D293" s="59"/>
      <c r="E293" s="59">
        <v>0</v>
      </c>
      <c r="F293" s="59">
        <v>0</v>
      </c>
      <c r="G293" s="60" t="s">
        <v>1352</v>
      </c>
      <c r="H293" s="60" t="s">
        <v>1353</v>
      </c>
      <c r="I293" s="61">
        <v>232</v>
      </c>
      <c r="J293" s="60" t="s">
        <v>1354</v>
      </c>
      <c r="K293" s="60"/>
      <c r="L293" s="60">
        <v>114183476</v>
      </c>
      <c r="M293" s="60"/>
      <c r="N293" s="58" t="str">
        <f>VLOOKUP(B293,歌单!B:C,2,0)</f>
        <v>任素汐</v>
      </c>
      <c r="O293" s="58">
        <f t="shared" si="4"/>
        <v>0</v>
      </c>
      <c r="P293" s="62" t="str">
        <f>VLOOKUP(B293,歌单!B:E,3,0)</f>
        <v>国语</v>
      </c>
      <c r="Q293" s="58" t="str">
        <f>VLOOKUP(B293,歌单!B:E,4,0)</f>
        <v>流行</v>
      </c>
      <c r="R293" s="62"/>
    </row>
    <row r="294" spans="1:18" ht="15" hidden="1" customHeight="1">
      <c r="A294" s="4" t="s">
        <v>1355</v>
      </c>
      <c r="B294" s="46" t="s">
        <v>1356</v>
      </c>
      <c r="C294" s="46" t="s">
        <v>1357</v>
      </c>
      <c r="D294" s="59"/>
      <c r="E294" s="59">
        <v>0</v>
      </c>
      <c r="F294" s="59">
        <v>0</v>
      </c>
      <c r="G294" s="60" t="s">
        <v>1358</v>
      </c>
      <c r="H294" s="60"/>
      <c r="I294" s="61">
        <v>15</v>
      </c>
      <c r="J294" s="60"/>
      <c r="K294" s="60" t="s">
        <v>1359</v>
      </c>
      <c r="L294" s="60">
        <v>35028061</v>
      </c>
      <c r="M294" s="60"/>
      <c r="N294" s="58" t="str">
        <f>VLOOKUP(B294,歌单!B:C,2,0)</f>
        <v>李香兰</v>
      </c>
      <c r="O294" s="58">
        <f t="shared" si="4"/>
        <v>0</v>
      </c>
      <c r="P294" s="62" t="str">
        <f>VLOOKUP(B294,歌单!B:E,3,0)</f>
        <v>国语</v>
      </c>
      <c r="Q294" s="58" t="str">
        <f>VLOOKUP(B294,歌单!B:E,4,0)</f>
        <v>流行</v>
      </c>
      <c r="R294" s="62"/>
    </row>
    <row r="295" spans="1:18" ht="15" customHeight="1">
      <c r="A295" s="4" t="s">
        <v>1360</v>
      </c>
      <c r="B295" s="46" t="s">
        <v>1361</v>
      </c>
      <c r="C295" s="46" t="s">
        <v>478</v>
      </c>
      <c r="D295" s="59"/>
      <c r="E295" s="59">
        <v>0</v>
      </c>
      <c r="F295" s="59">
        <v>0</v>
      </c>
      <c r="G295" s="60" t="s">
        <v>1362</v>
      </c>
      <c r="H295" s="60"/>
      <c r="I295" s="61">
        <v>21</v>
      </c>
      <c r="J295" s="60"/>
      <c r="K295" s="60" t="s">
        <v>1363</v>
      </c>
      <c r="L295" s="60">
        <v>36042656</v>
      </c>
      <c r="M295" s="60"/>
      <c r="N295" s="58" t="e">
        <f>VLOOKUP(B295,歌单!B:C,2,0)</f>
        <v>#N/A</v>
      </c>
      <c r="O295" s="58">
        <f t="shared" si="4"/>
        <v>1</v>
      </c>
      <c r="P295" s="62" t="s">
        <v>10246</v>
      </c>
      <c r="Q295" s="58" t="s">
        <v>10252</v>
      </c>
      <c r="R295" s="62"/>
    </row>
    <row r="296" spans="1:18" ht="15" customHeight="1">
      <c r="A296" s="4" t="s">
        <v>1364</v>
      </c>
      <c r="B296" s="46" t="s">
        <v>1365</v>
      </c>
      <c r="C296" s="46" t="s">
        <v>1366</v>
      </c>
      <c r="D296" s="59"/>
      <c r="E296" s="59">
        <v>0</v>
      </c>
      <c r="F296" s="59">
        <v>0</v>
      </c>
      <c r="G296" s="60" t="s">
        <v>1367</v>
      </c>
      <c r="H296" s="60" t="s">
        <v>1368</v>
      </c>
      <c r="I296" s="61">
        <v>7</v>
      </c>
      <c r="J296" s="60"/>
      <c r="K296" s="60" t="s">
        <v>1369</v>
      </c>
      <c r="L296" s="60">
        <v>2752773</v>
      </c>
      <c r="M296" s="60"/>
      <c r="N296" s="58" t="e">
        <f>VLOOKUP(B296,歌单!B:C,2,0)</f>
        <v>#N/A</v>
      </c>
      <c r="O296" s="58">
        <f t="shared" si="4"/>
        <v>1</v>
      </c>
      <c r="P296" s="62" t="s">
        <v>10246</v>
      </c>
      <c r="Q296" s="58" t="s">
        <v>10252</v>
      </c>
      <c r="R296" s="62"/>
    </row>
    <row r="297" spans="1:18" ht="15" customHeight="1">
      <c r="A297" s="4" t="s">
        <v>1370</v>
      </c>
      <c r="B297" s="46" t="s">
        <v>1371</v>
      </c>
      <c r="C297" s="46" t="s">
        <v>1372</v>
      </c>
      <c r="D297" s="59"/>
      <c r="E297" s="59">
        <v>0</v>
      </c>
      <c r="F297" s="59">
        <v>0</v>
      </c>
      <c r="G297" s="60" t="s">
        <v>1373</v>
      </c>
      <c r="H297" s="60" t="s">
        <v>1374</v>
      </c>
      <c r="I297" s="61">
        <v>218</v>
      </c>
      <c r="J297" s="60"/>
      <c r="K297" s="60" t="s">
        <v>1375</v>
      </c>
      <c r="L297" s="60">
        <v>79469412</v>
      </c>
      <c r="M297" s="60"/>
      <c r="N297" s="58">
        <f>VLOOKUP(B297,歌单!B:C,2,0)</f>
        <v>0</v>
      </c>
      <c r="O297" s="58">
        <f t="shared" si="4"/>
        <v>1</v>
      </c>
      <c r="P297" s="62" t="str">
        <f>VLOOKUP(B297,歌单!B:E,3,0)</f>
        <v>国语</v>
      </c>
      <c r="Q297" s="58" t="str">
        <f>VLOOKUP(B297,歌单!B:E,4,0)</f>
        <v>民族</v>
      </c>
      <c r="R297" s="62"/>
    </row>
    <row r="298" spans="1:18" ht="15" hidden="1" customHeight="1">
      <c r="A298" s="4" t="s">
        <v>1376</v>
      </c>
      <c r="B298" s="46" t="s">
        <v>1377</v>
      </c>
      <c r="C298" s="46" t="s">
        <v>1378</v>
      </c>
      <c r="D298" s="59"/>
      <c r="E298" s="59">
        <v>0</v>
      </c>
      <c r="F298" s="59">
        <v>0</v>
      </c>
      <c r="G298" s="60" t="s">
        <v>1379</v>
      </c>
      <c r="H298" s="60" t="s">
        <v>1380</v>
      </c>
      <c r="I298" s="61">
        <v>0</v>
      </c>
      <c r="J298" s="60"/>
      <c r="K298" s="60" t="s">
        <v>1381</v>
      </c>
      <c r="L298" s="60">
        <v>37994</v>
      </c>
      <c r="M298" s="60"/>
      <c r="N298" s="58" t="str">
        <f>VLOOKUP(B298,歌单!B:C,2,0)</f>
        <v>云南弥渡山歌</v>
      </c>
      <c r="O298" s="58">
        <f t="shared" si="4"/>
        <v>1</v>
      </c>
      <c r="P298" s="62" t="str">
        <f>VLOOKUP(B298,歌单!B:E,3,0)</f>
        <v>国语</v>
      </c>
      <c r="Q298" s="58" t="str">
        <f>VLOOKUP(B298,歌单!B:E,4,0)</f>
        <v>民族</v>
      </c>
      <c r="R298" s="62"/>
    </row>
    <row r="299" spans="1:18" ht="15" hidden="1" customHeight="1">
      <c r="A299" s="32" t="s">
        <v>1382</v>
      </c>
      <c r="B299" s="46" t="s">
        <v>1383</v>
      </c>
      <c r="C299" s="46" t="s">
        <v>1384</v>
      </c>
      <c r="D299" s="59"/>
      <c r="E299" s="59">
        <v>0</v>
      </c>
      <c r="F299" s="59">
        <v>0</v>
      </c>
      <c r="G299" s="60" t="s">
        <v>1385</v>
      </c>
      <c r="H299" s="60" t="s">
        <v>1386</v>
      </c>
      <c r="I299" s="61">
        <v>627</v>
      </c>
      <c r="J299" s="60"/>
      <c r="K299" s="60" t="s">
        <v>1383</v>
      </c>
      <c r="L299" s="60">
        <v>133126146</v>
      </c>
      <c r="M299" s="60"/>
      <c r="N299" s="56" t="str">
        <f>VLOOKUP(B299,歌单!B:C,2,0)</f>
        <v>林俊杰、韩红</v>
      </c>
      <c r="O299" s="58">
        <f t="shared" si="4"/>
        <v>1</v>
      </c>
      <c r="P299" s="62" t="str">
        <f>VLOOKUP(B299,歌单!B:E,3,0)</f>
        <v>国语</v>
      </c>
      <c r="Q299" s="58" t="str">
        <f>VLOOKUP(B299,歌单!B:E,4,0)</f>
        <v>流行</v>
      </c>
      <c r="R299" s="62"/>
    </row>
    <row r="300" spans="1:18" ht="15" hidden="1" customHeight="1">
      <c r="A300" s="32" t="s">
        <v>1387</v>
      </c>
      <c r="B300" s="46" t="s">
        <v>1388</v>
      </c>
      <c r="C300" s="46" t="s">
        <v>1389</v>
      </c>
      <c r="D300" s="59"/>
      <c r="E300" s="59">
        <v>0</v>
      </c>
      <c r="F300" s="59">
        <v>0</v>
      </c>
      <c r="G300" s="60" t="s">
        <v>1390</v>
      </c>
      <c r="H300" s="60" t="s">
        <v>1391</v>
      </c>
      <c r="I300" s="61">
        <v>35</v>
      </c>
      <c r="J300" s="60"/>
      <c r="K300" s="60" t="s">
        <v>1392</v>
      </c>
      <c r="L300" s="60">
        <v>6033596</v>
      </c>
      <c r="M300" s="60"/>
      <c r="N300" s="56" t="str">
        <f>VLOOKUP(B300,歌单!B:C,2,0)</f>
        <v>韩红</v>
      </c>
      <c r="O300" s="58">
        <f t="shared" si="4"/>
        <v>1</v>
      </c>
      <c r="P300" s="62" t="str">
        <f>VLOOKUP(B300,歌单!B:E,3,0)</f>
        <v>国语</v>
      </c>
      <c r="Q300" s="58" t="str">
        <f>VLOOKUP(B300,歌单!B:E,4,0)</f>
        <v>流行</v>
      </c>
      <c r="R300" s="62"/>
    </row>
    <row r="301" spans="1:18" ht="15" customHeight="1">
      <c r="A301" s="4" t="s">
        <v>1393</v>
      </c>
      <c r="B301" s="46" t="s">
        <v>1394</v>
      </c>
      <c r="C301" s="46" t="s">
        <v>679</v>
      </c>
      <c r="D301" s="59"/>
      <c r="E301" s="59">
        <v>0</v>
      </c>
      <c r="F301" s="59">
        <v>0</v>
      </c>
      <c r="G301" s="60"/>
      <c r="H301" s="60"/>
      <c r="I301" s="61">
        <v>0</v>
      </c>
      <c r="J301" s="60" t="s">
        <v>1394</v>
      </c>
      <c r="K301" s="60" t="s">
        <v>1394</v>
      </c>
      <c r="L301" s="60">
        <v>2204723</v>
      </c>
      <c r="M301" s="60"/>
      <c r="N301" s="58" t="e">
        <f>VLOOKUP(B301,歌单!B:C,2,0)</f>
        <v>#N/A</v>
      </c>
      <c r="O301" s="58">
        <f t="shared" si="4"/>
        <v>1</v>
      </c>
      <c r="P301" s="62" t="s">
        <v>10246</v>
      </c>
      <c r="Q301" s="58" t="s">
        <v>10252</v>
      </c>
      <c r="R301" s="62"/>
    </row>
    <row r="302" spans="1:18" ht="15" hidden="1" customHeight="1">
      <c r="A302" s="4" t="s">
        <v>1395</v>
      </c>
      <c r="B302" s="46" t="s">
        <v>1396</v>
      </c>
      <c r="C302" s="46" t="s">
        <v>146</v>
      </c>
      <c r="D302" s="59"/>
      <c r="E302" s="59">
        <v>0</v>
      </c>
      <c r="F302" s="59">
        <v>0</v>
      </c>
      <c r="G302" s="60" t="s">
        <v>1397</v>
      </c>
      <c r="H302" s="60" t="s">
        <v>1398</v>
      </c>
      <c r="I302" s="61">
        <v>20</v>
      </c>
      <c r="J302" s="60"/>
      <c r="K302" s="60" t="s">
        <v>1399</v>
      </c>
      <c r="L302" s="60">
        <v>29779114</v>
      </c>
      <c r="M302" s="60"/>
      <c r="N302" s="58" t="str">
        <f>VLOOKUP(B302,歌单!B:C,2,0)</f>
        <v>韩红</v>
      </c>
      <c r="O302" s="58">
        <f t="shared" si="4"/>
        <v>0</v>
      </c>
      <c r="P302" s="62" t="str">
        <f>VLOOKUP(B302,歌单!B:E,3,0)</f>
        <v>国语</v>
      </c>
      <c r="Q302" s="58" t="str">
        <f>VLOOKUP(B302,歌单!B:E,4,0)</f>
        <v>流行</v>
      </c>
      <c r="R302" s="62"/>
    </row>
    <row r="303" spans="1:18" ht="15" hidden="1" customHeight="1">
      <c r="A303" s="4" t="s">
        <v>1400</v>
      </c>
      <c r="B303" s="46" t="s">
        <v>1401</v>
      </c>
      <c r="C303" s="46" t="s">
        <v>1402</v>
      </c>
      <c r="D303" s="59"/>
      <c r="E303" s="59">
        <v>0</v>
      </c>
      <c r="F303" s="59">
        <v>0</v>
      </c>
      <c r="G303" s="60" t="s">
        <v>1403</v>
      </c>
      <c r="H303" s="60" t="s">
        <v>1404</v>
      </c>
      <c r="I303" s="61">
        <v>428</v>
      </c>
      <c r="J303" s="60"/>
      <c r="K303" s="60" t="s">
        <v>1401</v>
      </c>
      <c r="L303" s="60">
        <v>112923360</v>
      </c>
      <c r="M303" s="60"/>
      <c r="N303" s="58" t="str">
        <f>VLOOKUP(B303,歌单!B:C,2,0)</f>
        <v>李娜</v>
      </c>
      <c r="O303" s="58">
        <f t="shared" si="4"/>
        <v>0</v>
      </c>
      <c r="P303" s="62" t="str">
        <f>VLOOKUP(B303,歌单!B:E,3,0)</f>
        <v>国语</v>
      </c>
      <c r="Q303" s="58" t="str">
        <f>VLOOKUP(B303,歌单!B:E,4,0)</f>
        <v>流行</v>
      </c>
      <c r="R303" s="62"/>
    </row>
    <row r="304" spans="1:18" ht="15" hidden="1" customHeight="1">
      <c r="A304" s="4" t="s">
        <v>1405</v>
      </c>
      <c r="B304" s="46" t="s">
        <v>1406</v>
      </c>
      <c r="C304" s="46" t="s">
        <v>146</v>
      </c>
      <c r="D304" s="59"/>
      <c r="E304" s="59">
        <v>0</v>
      </c>
      <c r="F304" s="59">
        <v>0</v>
      </c>
      <c r="G304" s="60" t="s">
        <v>1407</v>
      </c>
      <c r="H304" s="60" t="s">
        <v>1408</v>
      </c>
      <c r="I304" s="61">
        <v>175</v>
      </c>
      <c r="J304" s="60"/>
      <c r="K304" s="60" t="s">
        <v>1399</v>
      </c>
      <c r="L304" s="60">
        <v>92788477</v>
      </c>
      <c r="M304" s="60"/>
      <c r="N304" s="58" t="str">
        <f>VLOOKUP(B304,歌单!B:C,2,0)</f>
        <v>韩红</v>
      </c>
      <c r="O304" s="58">
        <f t="shared" si="4"/>
        <v>0</v>
      </c>
      <c r="P304" s="62" t="str">
        <f>VLOOKUP(B304,歌单!B:E,3,0)</f>
        <v>国语</v>
      </c>
      <c r="Q304" s="58" t="str">
        <f>VLOOKUP(B304,歌单!B:E,4,0)</f>
        <v>流行</v>
      </c>
      <c r="R304" s="62"/>
    </row>
    <row r="305" spans="1:18" ht="15" hidden="1" customHeight="1">
      <c r="A305" s="4" t="s">
        <v>1409</v>
      </c>
      <c r="B305" s="46" t="s">
        <v>1410</v>
      </c>
      <c r="C305" s="46" t="s">
        <v>146</v>
      </c>
      <c r="D305" s="59"/>
      <c r="E305" s="59">
        <v>0</v>
      </c>
      <c r="F305" s="59">
        <v>0</v>
      </c>
      <c r="G305" s="60" t="s">
        <v>1411</v>
      </c>
      <c r="H305" s="60" t="s">
        <v>1412</v>
      </c>
      <c r="I305" s="61">
        <v>186</v>
      </c>
      <c r="J305" s="60"/>
      <c r="K305" s="60" t="s">
        <v>1413</v>
      </c>
      <c r="L305" s="60">
        <v>55710732</v>
      </c>
      <c r="M305" s="60"/>
      <c r="N305" s="58" t="str">
        <f>VLOOKUP(B305,歌单!B:C,2,0)</f>
        <v>韩红</v>
      </c>
      <c r="O305" s="58">
        <f t="shared" si="4"/>
        <v>0</v>
      </c>
      <c r="P305" s="62" t="str">
        <f>VLOOKUP(B305,歌单!B:E,3,0)</f>
        <v>国语</v>
      </c>
      <c r="Q305" s="58" t="str">
        <f>VLOOKUP(B305,歌单!B:E,4,0)</f>
        <v>流行</v>
      </c>
      <c r="R305" s="62"/>
    </row>
    <row r="306" spans="1:18" ht="15" customHeight="1">
      <c r="A306" s="4" t="s">
        <v>1414</v>
      </c>
      <c r="B306" s="46" t="s">
        <v>1415</v>
      </c>
      <c r="C306" s="46" t="s">
        <v>1331</v>
      </c>
      <c r="D306" s="59"/>
      <c r="E306" s="59">
        <v>0</v>
      </c>
      <c r="F306" s="59">
        <v>0</v>
      </c>
      <c r="G306" s="60" t="s">
        <v>1416</v>
      </c>
      <c r="H306" s="60" t="s">
        <v>1417</v>
      </c>
      <c r="I306" s="61">
        <v>343</v>
      </c>
      <c r="J306" s="60"/>
      <c r="K306" s="60" t="s">
        <v>1334</v>
      </c>
      <c r="L306" s="60">
        <v>50077794</v>
      </c>
      <c r="M306" s="60"/>
      <c r="N306" s="58" t="e">
        <f>VLOOKUP(B306,歌单!B:C,2,0)</f>
        <v>#N/A</v>
      </c>
      <c r="O306" s="58">
        <f t="shared" si="4"/>
        <v>1</v>
      </c>
      <c r="P306" s="62" t="s">
        <v>10246</v>
      </c>
      <c r="Q306" s="58" t="s">
        <v>6678</v>
      </c>
      <c r="R306" s="62"/>
    </row>
    <row r="307" spans="1:18" ht="15" hidden="1" customHeight="1">
      <c r="A307" s="4" t="s">
        <v>1418</v>
      </c>
      <c r="B307" s="46" t="s">
        <v>1419</v>
      </c>
      <c r="C307" s="46" t="s">
        <v>1420</v>
      </c>
      <c r="D307" s="59"/>
      <c r="E307" s="59">
        <v>0</v>
      </c>
      <c r="F307" s="59">
        <v>0</v>
      </c>
      <c r="G307" s="60" t="s">
        <v>1421</v>
      </c>
      <c r="H307" s="60"/>
      <c r="I307" s="61">
        <v>828</v>
      </c>
      <c r="J307" s="60"/>
      <c r="K307" s="60" t="s">
        <v>1343</v>
      </c>
      <c r="L307" s="60">
        <v>137417227</v>
      </c>
      <c r="M307" s="60"/>
      <c r="N307" s="58" t="str">
        <f>VLOOKUP(B307,歌单!B:C,2,0)</f>
        <v>陶喆</v>
      </c>
      <c r="O307" s="58">
        <f t="shared" si="4"/>
        <v>0</v>
      </c>
      <c r="P307" s="62" t="str">
        <f>VLOOKUP(B307,歌单!B:E,3,0)</f>
        <v>国语</v>
      </c>
      <c r="Q307" s="58" t="str">
        <f>VLOOKUP(B307,歌单!B:E,4,0)</f>
        <v>R&amp;B</v>
      </c>
      <c r="R307" s="62"/>
    </row>
    <row r="308" spans="1:18" ht="15" hidden="1" customHeight="1">
      <c r="A308" s="4" t="s">
        <v>1422</v>
      </c>
      <c r="B308" s="46" t="s">
        <v>1423</v>
      </c>
      <c r="C308" s="46" t="s">
        <v>679</v>
      </c>
      <c r="D308" s="59"/>
      <c r="E308" s="59">
        <v>0</v>
      </c>
      <c r="F308" s="59">
        <v>0</v>
      </c>
      <c r="G308" s="60" t="s">
        <v>1424</v>
      </c>
      <c r="H308" s="60" t="s">
        <v>1425</v>
      </c>
      <c r="I308" s="61">
        <v>1053</v>
      </c>
      <c r="J308" s="60"/>
      <c r="K308" s="60" t="s">
        <v>1426</v>
      </c>
      <c r="L308" s="60">
        <v>371141890</v>
      </c>
      <c r="M308" s="60" t="s">
        <v>1027</v>
      </c>
      <c r="N308" s="58" t="str">
        <f>VLOOKUP(B308,歌单!B:C,2,0)</f>
        <v>林俊杰</v>
      </c>
      <c r="O308" s="58">
        <f t="shared" si="4"/>
        <v>0</v>
      </c>
      <c r="P308" s="62" t="str">
        <f>VLOOKUP(B308,歌单!B:E,3,0)</f>
        <v>国语</v>
      </c>
      <c r="Q308" s="58" t="str">
        <f>VLOOKUP(B308,歌单!B:E,4,0)</f>
        <v>流行</v>
      </c>
      <c r="R308" s="62"/>
    </row>
    <row r="309" spans="1:18" ht="15" hidden="1" customHeight="1">
      <c r="A309" s="4" t="s">
        <v>1427</v>
      </c>
      <c r="B309" s="46" t="s">
        <v>1428</v>
      </c>
      <c r="C309" s="46" t="s">
        <v>1429</v>
      </c>
      <c r="D309" s="59"/>
      <c r="E309" s="59">
        <v>0</v>
      </c>
      <c r="F309" s="59">
        <v>0</v>
      </c>
      <c r="G309" s="60" t="s">
        <v>1430</v>
      </c>
      <c r="H309" s="60" t="s">
        <v>1431</v>
      </c>
      <c r="I309" s="61">
        <v>4</v>
      </c>
      <c r="J309" s="60"/>
      <c r="K309" s="60" t="s">
        <v>1432</v>
      </c>
      <c r="L309" s="60">
        <v>3929581</v>
      </c>
      <c r="M309" s="60"/>
      <c r="N309" s="58" t="str">
        <f>VLOOKUP(B309,歌单!B:C,2,0)</f>
        <v>韩红</v>
      </c>
      <c r="O309" s="58">
        <f t="shared" si="4"/>
        <v>1</v>
      </c>
      <c r="P309" s="62" t="str">
        <f>VLOOKUP(B309,歌单!B:E,3,0)</f>
        <v>国语</v>
      </c>
      <c r="Q309" s="58" t="str">
        <f>VLOOKUP(B309,歌单!B:E,4,0)</f>
        <v>流行</v>
      </c>
      <c r="R309" s="62"/>
    </row>
    <row r="310" spans="1:18" ht="15" hidden="1" customHeight="1">
      <c r="A310" s="4" t="s">
        <v>1433</v>
      </c>
      <c r="B310" s="46" t="s">
        <v>1434</v>
      </c>
      <c r="C310" s="46" t="s">
        <v>1435</v>
      </c>
      <c r="D310" s="59"/>
      <c r="E310" s="59">
        <v>0</v>
      </c>
      <c r="F310" s="59">
        <v>0</v>
      </c>
      <c r="G310" s="60" t="s">
        <v>1436</v>
      </c>
      <c r="H310" s="60" t="s">
        <v>1437</v>
      </c>
      <c r="I310" s="61">
        <v>576</v>
      </c>
      <c r="J310" s="60" t="s">
        <v>1438</v>
      </c>
      <c r="K310" s="60" t="s">
        <v>1439</v>
      </c>
      <c r="L310" s="60">
        <v>61646853</v>
      </c>
      <c r="M310" s="60"/>
      <c r="N310" s="58" t="str">
        <f>VLOOKUP(B310,歌单!B:C,2,0)</f>
        <v>魏如萱</v>
      </c>
      <c r="O310" s="58">
        <f t="shared" si="4"/>
        <v>0</v>
      </c>
      <c r="P310" s="62" t="str">
        <f>VLOOKUP(B310,歌单!B:E,3,0)</f>
        <v>国语</v>
      </c>
      <c r="Q310" s="58" t="str">
        <f>VLOOKUP(B310,歌单!B:E,4,0)</f>
        <v>流行</v>
      </c>
      <c r="R310" s="62"/>
    </row>
    <row r="311" spans="1:18" ht="15" hidden="1" customHeight="1">
      <c r="A311" s="4" t="s">
        <v>1440</v>
      </c>
      <c r="B311" s="46" t="s">
        <v>1441</v>
      </c>
      <c r="C311" s="46" t="s">
        <v>509</v>
      </c>
      <c r="D311" s="59"/>
      <c r="E311" s="59">
        <v>0</v>
      </c>
      <c r="F311" s="59">
        <v>0</v>
      </c>
      <c r="G311" s="60" t="s">
        <v>1442</v>
      </c>
      <c r="H311" s="60" t="s">
        <v>1443</v>
      </c>
      <c r="I311" s="61">
        <v>550</v>
      </c>
      <c r="J311" s="60" t="s">
        <v>1444</v>
      </c>
      <c r="K311" s="60" t="s">
        <v>1445</v>
      </c>
      <c r="L311" s="60">
        <v>168634997</v>
      </c>
      <c r="M311" s="60"/>
      <c r="N311" s="58" t="str">
        <f>VLOOKUP(B311,歌单!B:C,2,0)</f>
        <v>张韶涵</v>
      </c>
      <c r="O311" s="58">
        <f t="shared" si="4"/>
        <v>0</v>
      </c>
      <c r="P311" s="62" t="str">
        <f>VLOOKUP(B311,歌单!B:E,3,0)</f>
        <v>国语</v>
      </c>
      <c r="Q311" s="58" t="str">
        <f>VLOOKUP(B311,歌单!B:E,4,0)</f>
        <v>流行</v>
      </c>
      <c r="R311" s="62"/>
    </row>
    <row r="312" spans="1:18" ht="15" hidden="1" customHeight="1">
      <c r="A312" s="4" t="s">
        <v>1446</v>
      </c>
      <c r="B312" s="46" t="s">
        <v>1447</v>
      </c>
      <c r="C312" s="46" t="s">
        <v>509</v>
      </c>
      <c r="D312" s="59"/>
      <c r="E312" s="59">
        <v>0</v>
      </c>
      <c r="F312" s="59">
        <v>0</v>
      </c>
      <c r="G312" s="60" t="s">
        <v>1448</v>
      </c>
      <c r="H312" s="60" t="s">
        <v>1449</v>
      </c>
      <c r="I312" s="61">
        <v>1024</v>
      </c>
      <c r="J312" s="60"/>
      <c r="K312" s="60" t="s">
        <v>508</v>
      </c>
      <c r="L312" s="60">
        <v>184926363</v>
      </c>
      <c r="M312" s="60"/>
      <c r="N312" s="58" t="str">
        <f>VLOOKUP(B312,歌单!B:C,2,0)</f>
        <v>张韶涵</v>
      </c>
      <c r="O312" s="58">
        <f t="shared" si="4"/>
        <v>0</v>
      </c>
      <c r="P312" s="62" t="str">
        <f>VLOOKUP(B312,歌单!B:E,3,0)</f>
        <v>国语</v>
      </c>
      <c r="Q312" s="58" t="str">
        <f>VLOOKUP(B312,歌单!B:E,4,0)</f>
        <v>流行</v>
      </c>
      <c r="R312" s="62"/>
    </row>
    <row r="313" spans="1:18" ht="15" hidden="1" customHeight="1">
      <c r="A313" s="32" t="s">
        <v>1450</v>
      </c>
      <c r="B313" s="46" t="s">
        <v>1451</v>
      </c>
      <c r="C313" s="46" t="s">
        <v>1274</v>
      </c>
      <c r="D313" s="59"/>
      <c r="E313" s="59">
        <v>0</v>
      </c>
      <c r="F313" s="59">
        <v>0</v>
      </c>
      <c r="G313" s="60" t="s">
        <v>1452</v>
      </c>
      <c r="H313" s="60" t="s">
        <v>1453</v>
      </c>
      <c r="I313" s="61">
        <v>85</v>
      </c>
      <c r="J313" s="60"/>
      <c r="K313" s="60" t="s">
        <v>1454</v>
      </c>
      <c r="L313" s="60">
        <v>21188773</v>
      </c>
      <c r="M313" s="60"/>
      <c r="N313" s="56" t="str">
        <f>VLOOKUP(B313,歌单!B:C,2,0)</f>
        <v>小虎队</v>
      </c>
      <c r="O313" s="58">
        <f t="shared" si="4"/>
        <v>1</v>
      </c>
      <c r="P313" s="62" t="str">
        <f>VLOOKUP(B313,歌单!B:E,3,0)</f>
        <v>国语</v>
      </c>
      <c r="Q313" s="58" t="str">
        <f>VLOOKUP(B313,歌单!B:E,4,0)</f>
        <v>流行</v>
      </c>
      <c r="R313" s="62"/>
    </row>
    <row r="314" spans="1:18" ht="15" customHeight="1">
      <c r="A314" s="4" t="s">
        <v>1455</v>
      </c>
      <c r="B314" s="46" t="s">
        <v>1456</v>
      </c>
      <c r="C314" s="46" t="s">
        <v>1457</v>
      </c>
      <c r="D314" s="59"/>
      <c r="E314" s="59">
        <v>0</v>
      </c>
      <c r="F314" s="59">
        <v>0</v>
      </c>
      <c r="G314" s="60" t="s">
        <v>1458</v>
      </c>
      <c r="H314" s="60" t="s">
        <v>1459</v>
      </c>
      <c r="I314" s="61">
        <v>144</v>
      </c>
      <c r="J314" s="60"/>
      <c r="K314" s="60" t="s">
        <v>1460</v>
      </c>
      <c r="L314" s="60">
        <v>89378664</v>
      </c>
      <c r="M314" s="60"/>
      <c r="N314" s="58" t="e">
        <f>VLOOKUP(B314,歌单!B:C,2,0)</f>
        <v>#N/A</v>
      </c>
      <c r="O314" s="58">
        <f t="shared" si="4"/>
        <v>1</v>
      </c>
      <c r="P314" s="62" t="s">
        <v>10246</v>
      </c>
      <c r="Q314" s="58" t="s">
        <v>10252</v>
      </c>
      <c r="R314" s="62"/>
    </row>
    <row r="315" spans="1:18" ht="15" hidden="1" customHeight="1">
      <c r="A315" s="4" t="s">
        <v>1461</v>
      </c>
      <c r="B315" s="46" t="s">
        <v>879</v>
      </c>
      <c r="C315" s="46" t="s">
        <v>1462</v>
      </c>
      <c r="D315" s="59"/>
      <c r="E315" s="59">
        <v>0</v>
      </c>
      <c r="F315" s="59">
        <v>0</v>
      </c>
      <c r="G315" s="60" t="s">
        <v>1463</v>
      </c>
      <c r="H315" s="60"/>
      <c r="I315" s="61">
        <v>3</v>
      </c>
      <c r="J315" s="60"/>
      <c r="K315" s="60" t="s">
        <v>1462</v>
      </c>
      <c r="L315" s="60">
        <v>2589419</v>
      </c>
      <c r="M315" s="60"/>
      <c r="N315" s="58" t="str">
        <f>VLOOKUP(B315,歌单!B:C,2,0)</f>
        <v>周杰伦</v>
      </c>
      <c r="O315" s="58">
        <f t="shared" si="4"/>
        <v>0</v>
      </c>
      <c r="P315" s="62" t="str">
        <f>VLOOKUP(B315,歌单!B:E,3,0)</f>
        <v>国语</v>
      </c>
      <c r="Q315" s="58" t="str">
        <f>VLOOKUP(B315,歌单!B:E,4,0)</f>
        <v>流行</v>
      </c>
      <c r="R315" s="62"/>
    </row>
    <row r="316" spans="1:18" ht="15" hidden="1" customHeight="1">
      <c r="A316" s="4" t="s">
        <v>1464</v>
      </c>
      <c r="B316" s="46" t="s">
        <v>1465</v>
      </c>
      <c r="C316" s="46" t="s">
        <v>1466</v>
      </c>
      <c r="D316" s="59"/>
      <c r="E316" s="59">
        <v>0</v>
      </c>
      <c r="F316" s="59">
        <v>0</v>
      </c>
      <c r="G316" s="60" t="s">
        <v>1467</v>
      </c>
      <c r="H316" s="60"/>
      <c r="I316" s="61">
        <v>705</v>
      </c>
      <c r="J316" s="60"/>
      <c r="K316" s="60" t="s">
        <v>1468</v>
      </c>
      <c r="L316" s="60">
        <v>270809489</v>
      </c>
      <c r="M316" s="60"/>
      <c r="N316" s="58" t="str">
        <f>VLOOKUP(B316,歌单!B:C,2,0)</f>
        <v>金玟岐</v>
      </c>
      <c r="O316" s="58">
        <f t="shared" si="4"/>
        <v>0</v>
      </c>
      <c r="P316" s="62" t="str">
        <f>VLOOKUP(B316,歌单!B:E,3,0)</f>
        <v>国语</v>
      </c>
      <c r="Q316" s="58" t="str">
        <f>VLOOKUP(B316,歌单!B:E,4,0)</f>
        <v>流行</v>
      </c>
      <c r="R316" s="62"/>
    </row>
    <row r="317" spans="1:18" ht="15" customHeight="1">
      <c r="A317" s="4" t="s">
        <v>1469</v>
      </c>
      <c r="B317" s="46" t="s">
        <v>1470</v>
      </c>
      <c r="C317" s="46" t="s">
        <v>131</v>
      </c>
      <c r="D317" s="59"/>
      <c r="E317" s="59">
        <v>0</v>
      </c>
      <c r="F317" s="59">
        <v>0</v>
      </c>
      <c r="G317" s="60" t="s">
        <v>1471</v>
      </c>
      <c r="H317" s="60" t="s">
        <v>1472</v>
      </c>
      <c r="I317" s="61">
        <v>0</v>
      </c>
      <c r="J317" s="60"/>
      <c r="K317" s="60" t="s">
        <v>752</v>
      </c>
      <c r="L317" s="60">
        <v>1677928</v>
      </c>
      <c r="M317" s="60"/>
      <c r="N317" s="58" t="e">
        <f>VLOOKUP(B317,歌单!B:C,2,0)</f>
        <v>#N/A</v>
      </c>
      <c r="O317" s="58">
        <f t="shared" si="4"/>
        <v>1</v>
      </c>
      <c r="P317" s="62" t="s">
        <v>10246</v>
      </c>
      <c r="Q317" s="58" t="s">
        <v>10252</v>
      </c>
      <c r="R317" s="62"/>
    </row>
    <row r="318" spans="1:18" ht="15" customHeight="1">
      <c r="A318" s="4" t="s">
        <v>1473</v>
      </c>
      <c r="B318" s="46" t="s">
        <v>1474</v>
      </c>
      <c r="C318" s="46" t="s">
        <v>679</v>
      </c>
      <c r="D318" s="59"/>
      <c r="E318" s="59">
        <v>0</v>
      </c>
      <c r="F318" s="59">
        <v>0</v>
      </c>
      <c r="G318" s="60" t="s">
        <v>1475</v>
      </c>
      <c r="H318" s="60" t="s">
        <v>1476</v>
      </c>
      <c r="I318" s="61">
        <v>25</v>
      </c>
      <c r="J318" s="60"/>
      <c r="K318" s="60" t="s">
        <v>1110</v>
      </c>
      <c r="L318" s="60">
        <v>18991884</v>
      </c>
      <c r="M318" s="60"/>
      <c r="N318" s="58" t="e">
        <f>VLOOKUP(B318,歌单!B:C,2,0)</f>
        <v>#N/A</v>
      </c>
      <c r="O318" s="58">
        <f t="shared" si="4"/>
        <v>1</v>
      </c>
      <c r="P318" s="62" t="s">
        <v>10246</v>
      </c>
      <c r="Q318" s="58" t="s">
        <v>10252</v>
      </c>
      <c r="R318" s="62"/>
    </row>
    <row r="319" spans="1:18" ht="15" hidden="1" customHeight="1">
      <c r="A319" s="4" t="s">
        <v>1477</v>
      </c>
      <c r="B319" s="46" t="s">
        <v>1478</v>
      </c>
      <c r="C319" s="46" t="s">
        <v>21</v>
      </c>
      <c r="D319" s="59"/>
      <c r="E319" s="59">
        <v>0</v>
      </c>
      <c r="F319" s="59">
        <v>0</v>
      </c>
      <c r="G319" s="60" t="s">
        <v>1479</v>
      </c>
      <c r="H319" s="60"/>
      <c r="I319" s="61">
        <v>710</v>
      </c>
      <c r="J319" s="60"/>
      <c r="K319" s="60" t="s">
        <v>1478</v>
      </c>
      <c r="L319" s="60">
        <v>48566163</v>
      </c>
      <c r="M319" s="60"/>
      <c r="N319" s="58" t="str">
        <f>VLOOKUP(B319,歌单!B:C,2,0)</f>
        <v>单依纯</v>
      </c>
      <c r="O319" s="58">
        <f t="shared" si="4"/>
        <v>0</v>
      </c>
      <c r="P319" s="62" t="str">
        <f>VLOOKUP(B319,歌单!B:E,3,0)</f>
        <v>国语</v>
      </c>
      <c r="Q319" s="58" t="str">
        <f>VLOOKUP(B319,歌单!B:E,4,0)</f>
        <v>流行</v>
      </c>
      <c r="R319" s="62"/>
    </row>
    <row r="320" spans="1:18" ht="15" hidden="1" customHeight="1">
      <c r="A320" s="4" t="s">
        <v>1480</v>
      </c>
      <c r="B320" s="46" t="s">
        <v>1350</v>
      </c>
      <c r="C320" s="46" t="s">
        <v>1351</v>
      </c>
      <c r="D320" s="59"/>
      <c r="E320" s="59">
        <v>0</v>
      </c>
      <c r="F320" s="59">
        <v>0</v>
      </c>
      <c r="G320" s="60" t="s">
        <v>1481</v>
      </c>
      <c r="H320" s="60"/>
      <c r="I320" s="61">
        <v>6</v>
      </c>
      <c r="J320" s="60"/>
      <c r="K320" s="60" t="s">
        <v>1482</v>
      </c>
      <c r="L320" s="60">
        <v>2946170</v>
      </c>
      <c r="M320" s="60"/>
      <c r="N320" s="58" t="str">
        <f>VLOOKUP(B320,歌单!B:C,2,0)</f>
        <v>任素汐</v>
      </c>
      <c r="O320" s="58">
        <f t="shared" si="4"/>
        <v>0</v>
      </c>
      <c r="P320" s="62" t="str">
        <f>VLOOKUP(B320,歌单!B:E,3,0)</f>
        <v>国语</v>
      </c>
      <c r="Q320" s="58" t="str">
        <f>VLOOKUP(B320,歌单!B:E,4,0)</f>
        <v>流行</v>
      </c>
      <c r="R320" s="62"/>
    </row>
    <row r="321" spans="1:18" ht="15" hidden="1" customHeight="1">
      <c r="A321" s="4" t="s">
        <v>1483</v>
      </c>
      <c r="B321" s="46" t="s">
        <v>1484</v>
      </c>
      <c r="C321" s="46" t="s">
        <v>541</v>
      </c>
      <c r="D321" s="59"/>
      <c r="E321" s="59">
        <v>30</v>
      </c>
      <c r="F321" s="59">
        <v>12</v>
      </c>
      <c r="G321" s="60" t="s">
        <v>1485</v>
      </c>
      <c r="H321" s="60" t="s">
        <v>1486</v>
      </c>
      <c r="I321" s="61">
        <v>174</v>
      </c>
      <c r="J321" s="60"/>
      <c r="K321" s="60" t="s">
        <v>1487</v>
      </c>
      <c r="L321" s="60">
        <v>103633402</v>
      </c>
      <c r="M321" s="60"/>
      <c r="N321" s="58" t="str">
        <f>VLOOKUP(B321,歌单!B:C,2,0)</f>
        <v>张惠妹</v>
      </c>
      <c r="O321" s="58">
        <f t="shared" si="4"/>
        <v>0</v>
      </c>
      <c r="P321" s="62" t="str">
        <f>VLOOKUP(B321,歌单!B:E,3,0)</f>
        <v>国语</v>
      </c>
      <c r="Q321" s="58" t="str">
        <f>VLOOKUP(B321,歌单!B:E,4,0)</f>
        <v>流行</v>
      </c>
      <c r="R321" s="62"/>
    </row>
    <row r="322" spans="1:18" ht="15" hidden="1" customHeight="1">
      <c r="A322" s="4" t="s">
        <v>1488</v>
      </c>
      <c r="B322" s="46" t="s">
        <v>1489</v>
      </c>
      <c r="C322" s="46" t="s">
        <v>1490</v>
      </c>
      <c r="D322" s="59"/>
      <c r="E322" s="59">
        <v>0</v>
      </c>
      <c r="F322" s="59">
        <v>0</v>
      </c>
      <c r="G322" s="60" t="s">
        <v>1491</v>
      </c>
      <c r="H322" s="60" t="s">
        <v>1492</v>
      </c>
      <c r="I322" s="61">
        <v>319</v>
      </c>
      <c r="J322" s="60"/>
      <c r="K322" s="60" t="s">
        <v>1493</v>
      </c>
      <c r="L322" s="60">
        <v>101719428</v>
      </c>
      <c r="M322" s="60"/>
      <c r="N322" s="58" t="str">
        <f>VLOOKUP(B322,歌单!B:C,2,0)</f>
        <v>刘瑞琪</v>
      </c>
      <c r="O322" s="58">
        <f t="shared" si="4"/>
        <v>1</v>
      </c>
      <c r="P322" s="62" t="str">
        <f>VLOOKUP(B322,歌单!B:E,3,0)</f>
        <v>国语</v>
      </c>
      <c r="Q322" s="58" t="str">
        <f>VLOOKUP(B322,歌单!B:E,4,0)</f>
        <v>流行</v>
      </c>
      <c r="R322" s="62"/>
    </row>
    <row r="323" spans="1:18" ht="15" hidden="1" customHeight="1">
      <c r="A323" s="4" t="s">
        <v>1494</v>
      </c>
      <c r="B323" s="46" t="s">
        <v>1495</v>
      </c>
      <c r="C323" s="46" t="s">
        <v>446</v>
      </c>
      <c r="D323" s="59"/>
      <c r="E323" s="59">
        <v>0</v>
      </c>
      <c r="F323" s="59">
        <v>0</v>
      </c>
      <c r="G323" s="60" t="s">
        <v>1496</v>
      </c>
      <c r="H323" s="60" t="s">
        <v>1497</v>
      </c>
      <c r="I323" s="61">
        <v>421</v>
      </c>
      <c r="J323" s="60"/>
      <c r="K323" s="60"/>
      <c r="L323" s="60">
        <v>29390728</v>
      </c>
      <c r="M323" s="60"/>
      <c r="N323" s="58" t="str">
        <f>VLOOKUP(B323,歌单!B:C,2,0)</f>
        <v>林宥嘉</v>
      </c>
      <c r="O323" s="58">
        <f t="shared" ref="O323:O386" si="5">_xlfn.IFNA(IF(IFERROR(SEARCH(N323,C323),0)&gt;0,0,1),0)</f>
        <v>0</v>
      </c>
      <c r="P323" s="62" t="str">
        <f>VLOOKUP(B323,歌单!B:E,3,0)</f>
        <v>国语</v>
      </c>
      <c r="Q323" s="58" t="str">
        <f>VLOOKUP(B323,歌单!B:E,4,0)</f>
        <v>流行</v>
      </c>
      <c r="R323" s="62"/>
    </row>
    <row r="324" spans="1:18" ht="15" hidden="1" customHeight="1">
      <c r="A324" s="4" t="s">
        <v>1498</v>
      </c>
      <c r="B324" s="46" t="s">
        <v>1499</v>
      </c>
      <c r="C324" s="46" t="s">
        <v>446</v>
      </c>
      <c r="D324" s="59"/>
      <c r="E324" s="59">
        <v>0</v>
      </c>
      <c r="F324" s="59">
        <v>0</v>
      </c>
      <c r="G324" s="60" t="s">
        <v>1500</v>
      </c>
      <c r="H324" s="60" t="s">
        <v>1501</v>
      </c>
      <c r="I324" s="61">
        <v>729</v>
      </c>
      <c r="J324" s="60"/>
      <c r="K324" s="60" t="s">
        <v>1502</v>
      </c>
      <c r="L324" s="60">
        <v>114457691</v>
      </c>
      <c r="M324" s="60"/>
      <c r="N324" s="58" t="str">
        <f>VLOOKUP(B324,歌单!B:C,2,0)</f>
        <v>林宥嘉</v>
      </c>
      <c r="O324" s="58">
        <f t="shared" si="5"/>
        <v>0</v>
      </c>
      <c r="P324" s="62" t="str">
        <f>VLOOKUP(B324,歌单!B:E,3,0)</f>
        <v>国语</v>
      </c>
      <c r="Q324" s="58" t="str">
        <f>VLOOKUP(B324,歌单!B:E,4,0)</f>
        <v>流行</v>
      </c>
      <c r="R324" s="62"/>
    </row>
    <row r="325" spans="1:18" ht="15" hidden="1" customHeight="1">
      <c r="A325" s="4" t="s">
        <v>1503</v>
      </c>
      <c r="B325" s="46" t="s">
        <v>1504</v>
      </c>
      <c r="C325" s="46" t="s">
        <v>154</v>
      </c>
      <c r="D325" s="59"/>
      <c r="E325" s="59">
        <v>0</v>
      </c>
      <c r="F325" s="59">
        <v>0</v>
      </c>
      <c r="G325" s="60" t="s">
        <v>1505</v>
      </c>
      <c r="H325" s="60" t="s">
        <v>1506</v>
      </c>
      <c r="I325" s="61">
        <v>5783</v>
      </c>
      <c r="J325" s="60" t="s">
        <v>1504</v>
      </c>
      <c r="K325" s="60" t="s">
        <v>378</v>
      </c>
      <c r="L325" s="60">
        <v>746779605</v>
      </c>
      <c r="M325" s="60" t="s">
        <v>1507</v>
      </c>
      <c r="N325" s="58" t="str">
        <f>VLOOKUP(B325,歌单!B:C,2,0)</f>
        <v>周杰伦</v>
      </c>
      <c r="O325" s="58">
        <f t="shared" si="5"/>
        <v>0</v>
      </c>
      <c r="P325" s="62" t="str">
        <f>VLOOKUP(B325,歌单!B:E,3,0)</f>
        <v>国语</v>
      </c>
      <c r="Q325" s="58" t="str">
        <f>VLOOKUP(B325,歌单!B:E,4,0)</f>
        <v>流行</v>
      </c>
      <c r="R325" s="62"/>
    </row>
    <row r="326" spans="1:18" ht="15" hidden="1" customHeight="1">
      <c r="A326" s="4" t="s">
        <v>1508</v>
      </c>
      <c r="B326" s="46" t="s">
        <v>1509</v>
      </c>
      <c r="C326" s="46" t="s">
        <v>679</v>
      </c>
      <c r="D326" s="59"/>
      <c r="E326" s="59">
        <v>0</v>
      </c>
      <c r="F326" s="59">
        <v>0</v>
      </c>
      <c r="G326" s="60" t="s">
        <v>1510</v>
      </c>
      <c r="H326" s="60" t="s">
        <v>1511</v>
      </c>
      <c r="I326" s="61">
        <v>675</v>
      </c>
      <c r="J326" s="60"/>
      <c r="K326" s="60" t="s">
        <v>1512</v>
      </c>
      <c r="L326" s="60">
        <v>252890047</v>
      </c>
      <c r="M326" s="60"/>
      <c r="N326" s="58" t="str">
        <f>VLOOKUP(B326,歌单!B:C,2,0)</f>
        <v>林俊杰</v>
      </c>
      <c r="O326" s="58">
        <f t="shared" si="5"/>
        <v>0</v>
      </c>
      <c r="P326" s="62" t="str">
        <f>VLOOKUP(B326,歌单!B:E,3,0)</f>
        <v>国语</v>
      </c>
      <c r="Q326" s="58" t="str">
        <f>VLOOKUP(B326,歌单!B:E,4,0)</f>
        <v>流行</v>
      </c>
      <c r="R326" s="62"/>
    </row>
    <row r="327" spans="1:18" ht="15" customHeight="1">
      <c r="A327" s="4" t="s">
        <v>1513</v>
      </c>
      <c r="B327" s="46" t="s">
        <v>1514</v>
      </c>
      <c r="C327" s="46" t="s">
        <v>1515</v>
      </c>
      <c r="D327" s="59"/>
      <c r="E327" s="59">
        <v>0</v>
      </c>
      <c r="F327" s="59">
        <v>0</v>
      </c>
      <c r="G327" s="60" t="s">
        <v>1516</v>
      </c>
      <c r="H327" s="60" t="s">
        <v>1517</v>
      </c>
      <c r="I327" s="61">
        <v>5</v>
      </c>
      <c r="J327" s="60"/>
      <c r="K327" s="60" t="s">
        <v>1518</v>
      </c>
      <c r="L327" s="60">
        <v>3821199</v>
      </c>
      <c r="M327" s="60"/>
      <c r="N327" s="58" t="e">
        <f>VLOOKUP(B327,歌单!B:C,2,0)</f>
        <v>#N/A</v>
      </c>
      <c r="O327" s="58">
        <f t="shared" si="5"/>
        <v>1</v>
      </c>
      <c r="P327" s="62" t="s">
        <v>10246</v>
      </c>
      <c r="Q327" s="58" t="s">
        <v>10252</v>
      </c>
      <c r="R327" s="62"/>
    </row>
    <row r="328" spans="1:18" ht="15" hidden="1" customHeight="1">
      <c r="A328" s="4" t="s">
        <v>1519</v>
      </c>
      <c r="B328" s="46" t="s">
        <v>1520</v>
      </c>
      <c r="C328" s="46" t="s">
        <v>1372</v>
      </c>
      <c r="D328" s="59"/>
      <c r="E328" s="59">
        <v>0</v>
      </c>
      <c r="F328" s="59">
        <v>0</v>
      </c>
      <c r="G328" s="60" t="s">
        <v>1521</v>
      </c>
      <c r="H328" s="60" t="s">
        <v>1522</v>
      </c>
      <c r="I328" s="61">
        <v>3</v>
      </c>
      <c r="J328" s="60"/>
      <c r="K328" s="60" t="s">
        <v>1523</v>
      </c>
      <c r="L328" s="60">
        <v>1868068</v>
      </c>
      <c r="M328" s="60"/>
      <c r="N328" s="58" t="str">
        <f>VLOOKUP(B328,歌单!B:C,2,0)</f>
        <v>宋祖英</v>
      </c>
      <c r="O328" s="58">
        <f t="shared" si="5"/>
        <v>0</v>
      </c>
      <c r="P328" s="62" t="str">
        <f>VLOOKUP(B328,歌单!B:E,3,0)</f>
        <v>国语</v>
      </c>
      <c r="Q328" s="58" t="str">
        <f>VLOOKUP(B328,歌单!B:E,4,0)</f>
        <v>民族</v>
      </c>
      <c r="R328" s="62"/>
    </row>
    <row r="329" spans="1:18" ht="15" hidden="1" customHeight="1">
      <c r="A329" s="4" t="s">
        <v>1524</v>
      </c>
      <c r="B329" s="46" t="s">
        <v>1525</v>
      </c>
      <c r="C329" s="46" t="s">
        <v>154</v>
      </c>
      <c r="D329" s="59"/>
      <c r="E329" s="59">
        <v>0</v>
      </c>
      <c r="F329" s="59">
        <v>0</v>
      </c>
      <c r="G329" s="60" t="s">
        <v>1526</v>
      </c>
      <c r="H329" s="60"/>
      <c r="I329" s="61">
        <v>1923</v>
      </c>
      <c r="J329" s="60" t="s">
        <v>1527</v>
      </c>
      <c r="K329" s="60" t="s">
        <v>992</v>
      </c>
      <c r="L329" s="60">
        <v>325204982</v>
      </c>
      <c r="M329" s="60"/>
      <c r="N329" s="58" t="str">
        <f>VLOOKUP(B329,歌单!B:C,2,0)</f>
        <v>周杰伦</v>
      </c>
      <c r="O329" s="58">
        <f t="shared" si="5"/>
        <v>0</v>
      </c>
      <c r="P329" s="62" t="str">
        <f>VLOOKUP(B329,歌单!B:E,3,0)</f>
        <v>国语</v>
      </c>
      <c r="Q329" s="58" t="str">
        <f>VLOOKUP(B329,歌单!B:E,4,0)</f>
        <v>流行</v>
      </c>
      <c r="R329" s="62"/>
    </row>
    <row r="330" spans="1:18" ht="15" hidden="1" customHeight="1">
      <c r="A330" s="4" t="s">
        <v>1528</v>
      </c>
      <c r="B330" s="46" t="s">
        <v>1529</v>
      </c>
      <c r="C330" s="46" t="s">
        <v>188</v>
      </c>
      <c r="D330" s="59"/>
      <c r="E330" s="59">
        <v>0</v>
      </c>
      <c r="F330" s="59">
        <v>0</v>
      </c>
      <c r="G330" s="60" t="s">
        <v>1530</v>
      </c>
      <c r="H330" s="60" t="s">
        <v>1531</v>
      </c>
      <c r="I330" s="61">
        <v>2637</v>
      </c>
      <c r="J330" s="60" t="s">
        <v>1532</v>
      </c>
      <c r="K330" s="60" t="s">
        <v>1529</v>
      </c>
      <c r="L330" s="60">
        <v>1065218649</v>
      </c>
      <c r="M330" s="60"/>
      <c r="N330" s="58" t="str">
        <f>VLOOKUP(B330,歌单!B:C,2,0)</f>
        <v>周深</v>
      </c>
      <c r="O330" s="58">
        <f t="shared" si="5"/>
        <v>0</v>
      </c>
      <c r="P330" s="62" t="str">
        <f>VLOOKUP(B330,歌单!B:E,3,0)</f>
        <v>国语</v>
      </c>
      <c r="Q330" s="58" t="str">
        <f>VLOOKUP(B330,歌单!B:E,4,0)</f>
        <v>流行</v>
      </c>
      <c r="R330" s="62"/>
    </row>
    <row r="331" spans="1:18" ht="15" hidden="1" customHeight="1">
      <c r="A331" s="4" t="s">
        <v>1533</v>
      </c>
      <c r="B331" s="46" t="s">
        <v>1534</v>
      </c>
      <c r="C331" s="46" t="s">
        <v>1535</v>
      </c>
      <c r="D331" s="59"/>
      <c r="E331" s="59">
        <v>0</v>
      </c>
      <c r="F331" s="59">
        <v>0</v>
      </c>
      <c r="G331" s="60" t="s">
        <v>1536</v>
      </c>
      <c r="H331" s="60" t="s">
        <v>1537</v>
      </c>
      <c r="I331" s="61">
        <v>1370</v>
      </c>
      <c r="J331" s="60"/>
      <c r="K331" s="60" t="s">
        <v>1538</v>
      </c>
      <c r="L331" s="60">
        <v>529974853</v>
      </c>
      <c r="M331" s="60"/>
      <c r="N331" s="58" t="str">
        <f>VLOOKUP(B331,歌单!B:C,2,0)</f>
        <v>刘瑞琦</v>
      </c>
      <c r="O331" s="58">
        <f t="shared" si="5"/>
        <v>1</v>
      </c>
      <c r="P331" s="62" t="str">
        <f>VLOOKUP(B331,歌单!B:E,3,0)</f>
        <v>国语</v>
      </c>
      <c r="Q331" s="58" t="str">
        <f>VLOOKUP(B331,歌单!B:E,4,0)</f>
        <v>流行</v>
      </c>
      <c r="R331" s="62"/>
    </row>
    <row r="332" spans="1:18" ht="15" customHeight="1">
      <c r="A332" s="4" t="s">
        <v>1539</v>
      </c>
      <c r="B332" s="46" t="s">
        <v>1540</v>
      </c>
      <c r="C332" s="46" t="s">
        <v>131</v>
      </c>
      <c r="D332" s="59"/>
      <c r="E332" s="59">
        <v>0</v>
      </c>
      <c r="F332" s="59">
        <v>0</v>
      </c>
      <c r="G332" s="60" t="s">
        <v>1541</v>
      </c>
      <c r="H332" s="60"/>
      <c r="I332" s="61">
        <v>43</v>
      </c>
      <c r="J332" s="60"/>
      <c r="K332" s="60" t="s">
        <v>1542</v>
      </c>
      <c r="L332" s="60">
        <v>28766284</v>
      </c>
      <c r="M332" s="60"/>
      <c r="N332" s="58" t="e">
        <f>VLOOKUP(B332,歌单!B:C,2,0)</f>
        <v>#N/A</v>
      </c>
      <c r="O332" s="58">
        <f t="shared" si="5"/>
        <v>1</v>
      </c>
      <c r="P332" s="62" t="s">
        <v>10246</v>
      </c>
      <c r="Q332" s="58" t="s">
        <v>10252</v>
      </c>
      <c r="R332" s="62"/>
    </row>
    <row r="333" spans="1:18" ht="15" hidden="1" customHeight="1">
      <c r="A333" s="4" t="s">
        <v>1543</v>
      </c>
      <c r="B333" s="46" t="s">
        <v>1544</v>
      </c>
      <c r="C333" s="46" t="s">
        <v>1545</v>
      </c>
      <c r="D333" s="59"/>
      <c r="E333" s="59">
        <v>0</v>
      </c>
      <c r="F333" s="59">
        <v>0</v>
      </c>
      <c r="G333" s="60" t="s">
        <v>1546</v>
      </c>
      <c r="H333" s="60" t="s">
        <v>1547</v>
      </c>
      <c r="I333" s="61">
        <v>335</v>
      </c>
      <c r="J333" s="60"/>
      <c r="K333" s="60" t="s">
        <v>1548</v>
      </c>
      <c r="L333" s="60">
        <v>185332919</v>
      </c>
      <c r="M333" s="60"/>
      <c r="N333" s="58" t="str">
        <f>VLOOKUP(B333,歌单!B:C,2,0)</f>
        <v>梁静茹</v>
      </c>
      <c r="O333" s="58">
        <f t="shared" si="5"/>
        <v>0</v>
      </c>
      <c r="P333" s="62" t="str">
        <f>VLOOKUP(B333,歌单!B:E,3,0)</f>
        <v>国语</v>
      </c>
      <c r="Q333" s="58" t="str">
        <f>VLOOKUP(B333,歌单!B:E,4,0)</f>
        <v>流行</v>
      </c>
      <c r="R333" s="62"/>
    </row>
    <row r="334" spans="1:18" ht="15" hidden="1" customHeight="1">
      <c r="A334" s="32" t="s">
        <v>1549</v>
      </c>
      <c r="B334" s="46" t="s">
        <v>55</v>
      </c>
      <c r="C334" s="46" t="s">
        <v>1550</v>
      </c>
      <c r="D334" s="59"/>
      <c r="E334" s="59">
        <v>0</v>
      </c>
      <c r="F334" s="59">
        <v>0</v>
      </c>
      <c r="G334" s="60" t="s">
        <v>1551</v>
      </c>
      <c r="H334" s="60"/>
      <c r="I334" s="61">
        <v>16</v>
      </c>
      <c r="J334" s="60"/>
      <c r="K334" s="60" t="s">
        <v>55</v>
      </c>
      <c r="L334" s="60">
        <v>256261</v>
      </c>
      <c r="M334" s="60"/>
      <c r="N334" s="56" t="str">
        <f>VLOOKUP(B334,歌单!B:C,2,0)</f>
        <v>妮莉安/说说/纱依</v>
      </c>
      <c r="O334" s="58">
        <f t="shared" si="5"/>
        <v>1</v>
      </c>
      <c r="P334" s="62" t="str">
        <f>VLOOKUP(B334,歌单!B:E,3,0)</f>
        <v>国语</v>
      </c>
      <c r="Q334" s="58" t="str">
        <f>VLOOKUP(B334,歌单!B:E,4,0)</f>
        <v>流行</v>
      </c>
      <c r="R334" s="62"/>
    </row>
    <row r="335" spans="1:18" ht="15" hidden="1" customHeight="1">
      <c r="A335" s="4" t="s">
        <v>1552</v>
      </c>
      <c r="B335" s="46" t="s">
        <v>1553</v>
      </c>
      <c r="C335" s="46" t="s">
        <v>188</v>
      </c>
      <c r="D335" s="59"/>
      <c r="E335" s="59">
        <v>50129</v>
      </c>
      <c r="F335" s="59">
        <v>14164</v>
      </c>
      <c r="G335" s="60" t="s">
        <v>1554</v>
      </c>
      <c r="H335" s="60" t="s">
        <v>1555</v>
      </c>
      <c r="I335" s="61">
        <v>637</v>
      </c>
      <c r="J335" s="60" t="s">
        <v>1282</v>
      </c>
      <c r="K335" s="60" t="s">
        <v>1556</v>
      </c>
      <c r="L335" s="60">
        <v>165524997</v>
      </c>
      <c r="M335" s="60" t="s">
        <v>1264</v>
      </c>
      <c r="N335" s="58" t="str">
        <f>VLOOKUP(B335,歌单!B:C,2,0)</f>
        <v>周深</v>
      </c>
      <c r="O335" s="58">
        <f t="shared" si="5"/>
        <v>0</v>
      </c>
      <c r="P335" s="62" t="str">
        <f>VLOOKUP(B335,歌单!B:E,3,0)</f>
        <v>国语</v>
      </c>
      <c r="Q335" s="58" t="str">
        <f>VLOOKUP(B335,歌单!B:E,4,0)</f>
        <v>流行</v>
      </c>
      <c r="R335" s="62"/>
    </row>
    <row r="336" spans="1:18" ht="15" hidden="1" customHeight="1">
      <c r="A336" s="4" t="s">
        <v>1557</v>
      </c>
      <c r="B336" s="46" t="s">
        <v>1558</v>
      </c>
      <c r="C336" s="46" t="s">
        <v>1559</v>
      </c>
      <c r="D336" s="59"/>
      <c r="E336" s="59">
        <v>0</v>
      </c>
      <c r="F336" s="59">
        <v>0</v>
      </c>
      <c r="G336" s="60" t="s">
        <v>1560</v>
      </c>
      <c r="H336" s="60" t="s">
        <v>1561</v>
      </c>
      <c r="I336" s="61">
        <v>829</v>
      </c>
      <c r="J336" s="60"/>
      <c r="K336" s="60" t="s">
        <v>1558</v>
      </c>
      <c r="L336" s="60">
        <v>330373359</v>
      </c>
      <c r="M336" s="60"/>
      <c r="N336" s="58" t="str">
        <f>VLOOKUP(B336,歌单!B:C,2,0)</f>
        <v>光良</v>
      </c>
      <c r="O336" s="58">
        <f t="shared" si="5"/>
        <v>0</v>
      </c>
      <c r="P336" s="62" t="str">
        <f>VLOOKUP(B336,歌单!B:E,3,0)</f>
        <v>国语</v>
      </c>
      <c r="Q336" s="58" t="str">
        <f>VLOOKUP(B336,歌单!B:E,4,0)</f>
        <v>流行</v>
      </c>
      <c r="R336" s="62"/>
    </row>
    <row r="337" spans="1:18" ht="15" hidden="1" customHeight="1">
      <c r="A337" s="4" t="s">
        <v>1562</v>
      </c>
      <c r="B337" s="46" t="s">
        <v>1563</v>
      </c>
      <c r="C337" s="46" t="s">
        <v>1564</v>
      </c>
      <c r="D337" s="59"/>
      <c r="E337" s="59">
        <v>0</v>
      </c>
      <c r="F337" s="59">
        <v>0</v>
      </c>
      <c r="G337" s="60" t="s">
        <v>1565</v>
      </c>
      <c r="H337" s="60" t="s">
        <v>1566</v>
      </c>
      <c r="I337" s="61">
        <v>1984</v>
      </c>
      <c r="J337" s="60"/>
      <c r="K337" s="60" t="s">
        <v>1567</v>
      </c>
      <c r="L337" s="60">
        <v>812417214</v>
      </c>
      <c r="M337" s="60"/>
      <c r="N337" s="58" t="str">
        <f>VLOOKUP(B337,歌单!B:C,2,0)</f>
        <v>丸子呦</v>
      </c>
      <c r="O337" s="58">
        <f t="shared" si="5"/>
        <v>0</v>
      </c>
      <c r="P337" s="62" t="str">
        <f>VLOOKUP(B337,歌单!B:E,3,0)</f>
        <v>国语</v>
      </c>
      <c r="Q337" s="58" t="str">
        <f>VLOOKUP(B337,歌单!B:E,4,0)</f>
        <v>古风</v>
      </c>
      <c r="R337" s="62"/>
    </row>
    <row r="338" spans="1:18" ht="15" hidden="1" customHeight="1">
      <c r="A338" s="4" t="s">
        <v>1568</v>
      </c>
      <c r="B338" s="46" t="s">
        <v>1569</v>
      </c>
      <c r="C338" s="46" t="s">
        <v>42</v>
      </c>
      <c r="D338" s="59"/>
      <c r="E338" s="59">
        <v>0</v>
      </c>
      <c r="F338" s="59">
        <v>0</v>
      </c>
      <c r="G338" s="60" t="s">
        <v>1570</v>
      </c>
      <c r="H338" s="60"/>
      <c r="I338" s="61">
        <v>778</v>
      </c>
      <c r="J338" s="60"/>
      <c r="K338" s="60" t="s">
        <v>1571</v>
      </c>
      <c r="L338" s="60">
        <v>174632458</v>
      </c>
      <c r="M338" s="60"/>
      <c r="N338" s="58" t="str">
        <f>VLOOKUP(B338,歌单!B:C,2,0)</f>
        <v>黄龄</v>
      </c>
      <c r="O338" s="58">
        <f t="shared" si="5"/>
        <v>0</v>
      </c>
      <c r="P338" s="62" t="str">
        <f>VLOOKUP(B338,歌单!B:E,3,0)</f>
        <v>国语</v>
      </c>
      <c r="Q338" s="58" t="str">
        <f>VLOOKUP(B338,歌单!B:E,4,0)</f>
        <v>流行</v>
      </c>
      <c r="R338" s="62"/>
    </row>
    <row r="339" spans="1:18" ht="15" hidden="1" customHeight="1">
      <c r="A339" s="4" t="s">
        <v>1572</v>
      </c>
      <c r="B339" s="46" t="s">
        <v>1520</v>
      </c>
      <c r="C339" s="46" t="s">
        <v>1372</v>
      </c>
      <c r="D339" s="59"/>
      <c r="E339" s="59">
        <v>0</v>
      </c>
      <c r="F339" s="59">
        <v>0</v>
      </c>
      <c r="G339" s="60" t="s">
        <v>1573</v>
      </c>
      <c r="H339" s="60" t="s">
        <v>1574</v>
      </c>
      <c r="I339" s="61">
        <v>6</v>
      </c>
      <c r="J339" s="60"/>
      <c r="K339" s="60" t="s">
        <v>1520</v>
      </c>
      <c r="L339" s="60">
        <v>283638</v>
      </c>
      <c r="M339" s="60"/>
      <c r="N339" s="58" t="str">
        <f>VLOOKUP(B339,歌单!B:C,2,0)</f>
        <v>宋祖英</v>
      </c>
      <c r="O339" s="58">
        <f t="shared" si="5"/>
        <v>0</v>
      </c>
      <c r="P339" s="62" t="str">
        <f>VLOOKUP(B339,歌单!B:E,3,0)</f>
        <v>国语</v>
      </c>
      <c r="Q339" s="58" t="str">
        <f>VLOOKUP(B339,歌单!B:E,4,0)</f>
        <v>民族</v>
      </c>
      <c r="R339" s="62"/>
    </row>
    <row r="340" spans="1:18" ht="15" hidden="1" customHeight="1">
      <c r="A340" s="32" t="s">
        <v>1575</v>
      </c>
      <c r="B340" s="46" t="s">
        <v>1576</v>
      </c>
      <c r="C340" s="46" t="s">
        <v>478</v>
      </c>
      <c r="D340" s="59"/>
      <c r="E340" s="59">
        <v>0</v>
      </c>
      <c r="F340" s="59">
        <v>0</v>
      </c>
      <c r="G340" s="60" t="s">
        <v>1577</v>
      </c>
      <c r="H340" s="60" t="s">
        <v>1578</v>
      </c>
      <c r="I340" s="61">
        <v>372</v>
      </c>
      <c r="J340" s="60"/>
      <c r="K340" s="60" t="s">
        <v>1579</v>
      </c>
      <c r="L340" s="60">
        <v>91130644</v>
      </c>
      <c r="M340" s="60"/>
      <c r="N340" s="56" t="str">
        <f>VLOOKUP(B340,歌单!B:C,2,0)</f>
        <v>王菲</v>
      </c>
      <c r="O340" s="58">
        <f t="shared" si="5"/>
        <v>1</v>
      </c>
      <c r="P340" s="62" t="str">
        <f>VLOOKUP(B340,歌单!B:E,3,0)</f>
        <v>国语</v>
      </c>
      <c r="Q340" s="58" t="str">
        <f>VLOOKUP(B340,歌单!B:E,4,0)</f>
        <v>流行</v>
      </c>
      <c r="R340" s="62"/>
    </row>
    <row r="341" spans="1:18" ht="15" hidden="1" customHeight="1">
      <c r="A341" s="4" t="s">
        <v>1580</v>
      </c>
      <c r="B341" s="46" t="s">
        <v>1377</v>
      </c>
      <c r="C341" s="46" t="s">
        <v>1378</v>
      </c>
      <c r="D341" s="59"/>
      <c r="E341" s="59">
        <v>0</v>
      </c>
      <c r="F341" s="59">
        <v>0</v>
      </c>
      <c r="G341" s="60" t="s">
        <v>1581</v>
      </c>
      <c r="H341" s="60" t="s">
        <v>1582</v>
      </c>
      <c r="I341" s="61">
        <v>0</v>
      </c>
      <c r="J341" s="60"/>
      <c r="K341" s="60" t="s">
        <v>1583</v>
      </c>
      <c r="L341" s="60">
        <v>489616</v>
      </c>
      <c r="M341" s="60"/>
      <c r="N341" s="58" t="str">
        <f>VLOOKUP(B341,歌单!B:C,2,0)</f>
        <v>云南弥渡山歌</v>
      </c>
      <c r="O341" s="58">
        <f t="shared" si="5"/>
        <v>1</v>
      </c>
      <c r="P341" s="62" t="str">
        <f>VLOOKUP(B341,歌单!B:E,3,0)</f>
        <v>国语</v>
      </c>
      <c r="Q341" s="58" t="str">
        <f>VLOOKUP(B341,歌单!B:E,4,0)</f>
        <v>民族</v>
      </c>
      <c r="R341" s="62"/>
    </row>
    <row r="342" spans="1:18" ht="15" hidden="1" customHeight="1">
      <c r="A342" s="4" t="s">
        <v>1584</v>
      </c>
      <c r="B342" s="46" t="s">
        <v>1585</v>
      </c>
      <c r="C342" s="46" t="s">
        <v>1586</v>
      </c>
      <c r="D342" s="59"/>
      <c r="E342" s="59">
        <v>0</v>
      </c>
      <c r="F342" s="59">
        <v>0</v>
      </c>
      <c r="G342" s="60" t="s">
        <v>1587</v>
      </c>
      <c r="H342" s="60" t="s">
        <v>1588</v>
      </c>
      <c r="I342" s="61">
        <v>1119</v>
      </c>
      <c r="J342" s="60"/>
      <c r="K342" s="60" t="s">
        <v>1589</v>
      </c>
      <c r="L342" s="60">
        <v>217542753</v>
      </c>
      <c r="M342" s="60"/>
      <c r="N342" s="58" t="str">
        <f>VLOOKUP(B342,歌单!B:C,2,0)</f>
        <v>飞儿乐队</v>
      </c>
      <c r="O342" s="58">
        <f t="shared" si="5"/>
        <v>0</v>
      </c>
      <c r="P342" s="62" t="str">
        <f>VLOOKUP(B342,歌单!B:E,3,0)</f>
        <v>国语</v>
      </c>
      <c r="Q342" s="58" t="str">
        <f>VLOOKUP(B342,歌单!B:E,4,0)</f>
        <v>流行</v>
      </c>
      <c r="R342" s="62"/>
    </row>
    <row r="343" spans="1:18" ht="15" hidden="1" customHeight="1">
      <c r="A343" s="4" t="s">
        <v>1590</v>
      </c>
      <c r="B343" s="46" t="s">
        <v>1591</v>
      </c>
      <c r="C343" s="46" t="s">
        <v>221</v>
      </c>
      <c r="D343" s="59"/>
      <c r="E343" s="59">
        <v>0</v>
      </c>
      <c r="F343" s="59">
        <v>0</v>
      </c>
      <c r="G343" s="60" t="s">
        <v>1592</v>
      </c>
      <c r="H343" s="60" t="s">
        <v>1593</v>
      </c>
      <c r="I343" s="61">
        <v>1004</v>
      </c>
      <c r="J343" s="60"/>
      <c r="K343" s="60" t="s">
        <v>1594</v>
      </c>
      <c r="L343" s="60">
        <v>298090542</v>
      </c>
      <c r="M343" s="60"/>
      <c r="N343" s="58" t="str">
        <f>VLOOKUP(B343,歌单!B:C,2,0)</f>
        <v>毛不易</v>
      </c>
      <c r="O343" s="58">
        <f t="shared" si="5"/>
        <v>0</v>
      </c>
      <c r="P343" s="62" t="str">
        <f>VLOOKUP(B343,歌单!B:E,3,0)</f>
        <v>国语</v>
      </c>
      <c r="Q343" s="58" t="str">
        <f>VLOOKUP(B343,歌单!B:E,4,0)</f>
        <v>流行</v>
      </c>
      <c r="R343" s="62"/>
    </row>
    <row r="344" spans="1:18" ht="15" customHeight="1">
      <c r="A344" s="4" t="s">
        <v>1595</v>
      </c>
      <c r="B344" s="46" t="s">
        <v>1596</v>
      </c>
      <c r="C344" s="46" t="s">
        <v>131</v>
      </c>
      <c r="D344" s="59"/>
      <c r="E344" s="59">
        <v>0</v>
      </c>
      <c r="F344" s="59">
        <v>0</v>
      </c>
      <c r="G344" s="60" t="s">
        <v>1597</v>
      </c>
      <c r="H344" s="60" t="s">
        <v>1598</v>
      </c>
      <c r="I344" s="61">
        <v>12</v>
      </c>
      <c r="J344" s="60"/>
      <c r="K344" s="60" t="s">
        <v>752</v>
      </c>
      <c r="L344" s="60">
        <v>3135196</v>
      </c>
      <c r="M344" s="60"/>
      <c r="N344" s="58" t="e">
        <f>VLOOKUP(B344,歌单!B:C,2,0)</f>
        <v>#N/A</v>
      </c>
      <c r="O344" s="58">
        <f t="shared" si="5"/>
        <v>1</v>
      </c>
      <c r="P344" s="62" t="s">
        <v>10246</v>
      </c>
      <c r="Q344" s="58" t="s">
        <v>10252</v>
      </c>
      <c r="R344" s="62"/>
    </row>
    <row r="345" spans="1:18" ht="15" hidden="1" customHeight="1">
      <c r="A345" s="4" t="s">
        <v>1599</v>
      </c>
      <c r="B345" s="46" t="s">
        <v>1600</v>
      </c>
      <c r="C345" s="46" t="s">
        <v>1601</v>
      </c>
      <c r="D345" s="59"/>
      <c r="E345" s="59">
        <v>0</v>
      </c>
      <c r="F345" s="59">
        <v>0</v>
      </c>
      <c r="G345" s="60" t="s">
        <v>1602</v>
      </c>
      <c r="H345" s="60" t="s">
        <v>1603</v>
      </c>
      <c r="I345" s="61">
        <v>1457</v>
      </c>
      <c r="J345" s="60"/>
      <c r="K345" s="60" t="s">
        <v>1604</v>
      </c>
      <c r="L345" s="60">
        <v>219930613</v>
      </c>
      <c r="M345" s="60"/>
      <c r="N345" s="58" t="str">
        <f>VLOOKUP(B345,歌单!B:C,2,0)</f>
        <v>凤凰传奇</v>
      </c>
      <c r="O345" s="58">
        <f t="shared" si="5"/>
        <v>0</v>
      </c>
      <c r="P345" s="62" t="str">
        <f>VLOOKUP(B345,歌单!B:E,3,0)</f>
        <v>国语</v>
      </c>
      <c r="Q345" s="58" t="str">
        <f>VLOOKUP(B345,歌单!B:E,4,0)</f>
        <v>流行</v>
      </c>
      <c r="R345" s="62"/>
    </row>
    <row r="346" spans="1:18" ht="15" customHeight="1">
      <c r="A346" s="4" t="s">
        <v>1605</v>
      </c>
      <c r="B346" s="46" t="s">
        <v>1606</v>
      </c>
      <c r="C346" s="46" t="s">
        <v>679</v>
      </c>
      <c r="D346" s="59"/>
      <c r="E346" s="59">
        <v>0</v>
      </c>
      <c r="F346" s="59">
        <v>0</v>
      </c>
      <c r="G346" s="60" t="s">
        <v>1607</v>
      </c>
      <c r="H346" s="60" t="s">
        <v>1608</v>
      </c>
      <c r="I346" s="61">
        <v>28</v>
      </c>
      <c r="J346" s="60"/>
      <c r="K346" s="60" t="s">
        <v>1609</v>
      </c>
      <c r="L346" s="60">
        <v>28452133</v>
      </c>
      <c r="M346" s="60"/>
      <c r="N346" s="58" t="e">
        <f>VLOOKUP(B346,歌单!B:C,2,0)</f>
        <v>#N/A</v>
      </c>
      <c r="O346" s="58">
        <f t="shared" si="5"/>
        <v>1</v>
      </c>
      <c r="P346" s="62" t="s">
        <v>10246</v>
      </c>
      <c r="Q346" s="58" t="s">
        <v>10252</v>
      </c>
      <c r="R346" s="62"/>
    </row>
    <row r="347" spans="1:18" ht="15" customHeight="1">
      <c r="A347" s="4" t="s">
        <v>1610</v>
      </c>
      <c r="B347" s="46" t="s">
        <v>1611</v>
      </c>
      <c r="C347" s="46" t="s">
        <v>27</v>
      </c>
      <c r="D347" s="59"/>
      <c r="E347" s="59">
        <v>0</v>
      </c>
      <c r="F347" s="59">
        <v>0</v>
      </c>
      <c r="G347" s="60" t="s">
        <v>1612</v>
      </c>
      <c r="H347" s="60"/>
      <c r="I347" s="61">
        <v>0</v>
      </c>
      <c r="J347" s="60" t="s">
        <v>1613</v>
      </c>
      <c r="K347" s="60" t="s">
        <v>1614</v>
      </c>
      <c r="L347" s="60">
        <v>811754</v>
      </c>
      <c r="M347" s="60"/>
      <c r="N347" s="58">
        <f>VLOOKUP(B347,歌单!B:C,2,0)</f>
        <v>0</v>
      </c>
      <c r="O347" s="58">
        <f t="shared" si="5"/>
        <v>1</v>
      </c>
      <c r="P347" s="62" t="str">
        <f>VLOOKUP(B347,歌单!B:E,3,0)</f>
        <v>国语</v>
      </c>
      <c r="Q347" s="58" t="str">
        <f>VLOOKUP(B347,歌单!B:E,4,0)</f>
        <v>民谣</v>
      </c>
      <c r="R347" s="62"/>
    </row>
    <row r="348" spans="1:18" ht="15" customHeight="1">
      <c r="A348" s="4" t="s">
        <v>1615</v>
      </c>
      <c r="B348" s="46" t="s">
        <v>1616</v>
      </c>
      <c r="C348" s="46" t="s">
        <v>21</v>
      </c>
      <c r="D348" s="59"/>
      <c r="E348" s="59">
        <v>0</v>
      </c>
      <c r="F348" s="59">
        <v>0</v>
      </c>
      <c r="G348" s="60" t="s">
        <v>1617</v>
      </c>
      <c r="H348" s="60"/>
      <c r="I348" s="61">
        <v>15</v>
      </c>
      <c r="J348" s="60"/>
      <c r="K348" s="60" t="s">
        <v>1618</v>
      </c>
      <c r="L348" s="60">
        <v>5496354</v>
      </c>
      <c r="M348" s="60"/>
      <c r="N348" s="58" t="e">
        <f>VLOOKUP(B348,歌单!B:C,2,0)</f>
        <v>#N/A</v>
      </c>
      <c r="O348" s="58">
        <f t="shared" si="5"/>
        <v>1</v>
      </c>
      <c r="P348" s="62" t="s">
        <v>10246</v>
      </c>
      <c r="Q348" s="58" t="s">
        <v>10252</v>
      </c>
      <c r="R348" s="62"/>
    </row>
    <row r="349" spans="1:18" ht="15" hidden="1" customHeight="1">
      <c r="A349" s="4" t="s">
        <v>1619</v>
      </c>
      <c r="B349" s="46" t="s">
        <v>1620</v>
      </c>
      <c r="C349" s="46" t="s">
        <v>154</v>
      </c>
      <c r="D349" s="59"/>
      <c r="E349" s="59">
        <v>0</v>
      </c>
      <c r="F349" s="59">
        <v>0</v>
      </c>
      <c r="G349" s="60" t="s">
        <v>1621</v>
      </c>
      <c r="H349" s="60" t="s">
        <v>1622</v>
      </c>
      <c r="I349" s="61">
        <v>9903</v>
      </c>
      <c r="J349" s="60" t="s">
        <v>1623</v>
      </c>
      <c r="K349" s="60" t="s">
        <v>1624</v>
      </c>
      <c r="L349" s="60">
        <v>948949344</v>
      </c>
      <c r="M349" s="60" t="s">
        <v>852</v>
      </c>
      <c r="N349" s="58" t="str">
        <f>VLOOKUP(B349,歌单!B:C,2,0)</f>
        <v>周杰伦</v>
      </c>
      <c r="O349" s="58">
        <f t="shared" si="5"/>
        <v>0</v>
      </c>
      <c r="P349" s="62" t="str">
        <f>VLOOKUP(B349,歌单!B:E,3,0)</f>
        <v>国语</v>
      </c>
      <c r="Q349" s="58" t="str">
        <f>VLOOKUP(B349,歌单!B:E,4,0)</f>
        <v>流行</v>
      </c>
      <c r="R349" s="62"/>
    </row>
    <row r="350" spans="1:18" ht="15" hidden="1" customHeight="1">
      <c r="A350" s="4" t="s">
        <v>1625</v>
      </c>
      <c r="B350" s="46" t="s">
        <v>1626</v>
      </c>
      <c r="C350" s="46" t="s">
        <v>360</v>
      </c>
      <c r="D350" s="59"/>
      <c r="E350" s="59">
        <v>0</v>
      </c>
      <c r="F350" s="59">
        <v>0</v>
      </c>
      <c r="G350" s="60" t="s">
        <v>1627</v>
      </c>
      <c r="H350" s="60" t="s">
        <v>1628</v>
      </c>
      <c r="I350" s="61">
        <v>26</v>
      </c>
      <c r="J350" s="60" t="s">
        <v>1629</v>
      </c>
      <c r="K350" s="60" t="s">
        <v>1630</v>
      </c>
      <c r="L350" s="60">
        <v>19335728</v>
      </c>
      <c r="M350" s="60"/>
      <c r="N350" s="58" t="str">
        <f>VLOOKUP(B350,歌单!B:C,2,0)</f>
        <v>张碧晨</v>
      </c>
      <c r="O350" s="58">
        <f t="shared" si="5"/>
        <v>0</v>
      </c>
      <c r="P350" s="62" t="str">
        <f>VLOOKUP(B350,歌单!B:E,3,0)</f>
        <v>国语</v>
      </c>
      <c r="Q350" s="58" t="str">
        <f>VLOOKUP(B350,歌单!B:E,4,0)</f>
        <v>流行</v>
      </c>
      <c r="R350" s="62"/>
    </row>
    <row r="351" spans="1:18" ht="15" customHeight="1">
      <c r="A351" s="4" t="s">
        <v>1631</v>
      </c>
      <c r="B351" s="46" t="s">
        <v>1632</v>
      </c>
      <c r="C351" s="46" t="s">
        <v>1633</v>
      </c>
      <c r="D351" s="59"/>
      <c r="E351" s="59">
        <v>1121</v>
      </c>
      <c r="F351" s="59">
        <v>108</v>
      </c>
      <c r="G351" s="60" t="s">
        <v>1634</v>
      </c>
      <c r="H351" s="60" t="s">
        <v>1635</v>
      </c>
      <c r="I351" s="61">
        <v>243</v>
      </c>
      <c r="J351" s="60"/>
      <c r="K351" s="60" t="s">
        <v>1632</v>
      </c>
      <c r="L351" s="60">
        <v>21666407</v>
      </c>
      <c r="M351" s="60"/>
      <c r="N351" s="58">
        <f>VLOOKUP(B351,歌单!B:C,2,0)</f>
        <v>0</v>
      </c>
      <c r="O351" s="58">
        <f t="shared" si="5"/>
        <v>1</v>
      </c>
      <c r="P351" s="62" t="str">
        <f>VLOOKUP(B351,歌单!B:E,3,0)</f>
        <v>英语</v>
      </c>
      <c r="Q351" s="58" t="str">
        <f>VLOOKUP(B351,歌单!B:E,4,0)</f>
        <v>流行</v>
      </c>
      <c r="R351" s="62"/>
    </row>
    <row r="352" spans="1:18" ht="15" hidden="1" customHeight="1">
      <c r="A352" s="4" t="s">
        <v>1636</v>
      </c>
      <c r="B352" s="46" t="s">
        <v>1637</v>
      </c>
      <c r="C352" s="46" t="s">
        <v>360</v>
      </c>
      <c r="D352" s="59"/>
      <c r="E352" s="59">
        <v>0</v>
      </c>
      <c r="F352" s="59">
        <v>0</v>
      </c>
      <c r="G352" s="60" t="s">
        <v>1638</v>
      </c>
      <c r="H352" s="60" t="s">
        <v>1639</v>
      </c>
      <c r="I352" s="61">
        <v>2</v>
      </c>
      <c r="J352" s="60" t="s">
        <v>1640</v>
      </c>
      <c r="K352" s="60" t="s">
        <v>1641</v>
      </c>
      <c r="L352" s="60">
        <v>3055477</v>
      </c>
      <c r="M352" s="60"/>
      <c r="N352" s="58" t="str">
        <f>VLOOKUP(B352,歌单!B:C,2,0)</f>
        <v>张碧晨</v>
      </c>
      <c r="O352" s="58">
        <f t="shared" si="5"/>
        <v>0</v>
      </c>
      <c r="P352" s="62" t="str">
        <f>VLOOKUP(B352,歌单!B:E,3,0)</f>
        <v>国语</v>
      </c>
      <c r="Q352" s="58" t="str">
        <f>VLOOKUP(B352,歌单!B:E,4,0)</f>
        <v>流行</v>
      </c>
      <c r="R352" s="62"/>
    </row>
    <row r="353" spans="1:18" ht="15" hidden="1" customHeight="1">
      <c r="A353" s="32" t="s">
        <v>1642</v>
      </c>
      <c r="B353" s="46" t="s">
        <v>1643</v>
      </c>
      <c r="C353" s="46" t="s">
        <v>1644</v>
      </c>
      <c r="D353" s="59"/>
      <c r="E353" s="59">
        <v>0</v>
      </c>
      <c r="F353" s="59">
        <v>0</v>
      </c>
      <c r="G353" s="60" t="s">
        <v>1645</v>
      </c>
      <c r="H353" s="60" t="s">
        <v>1646</v>
      </c>
      <c r="I353" s="61">
        <v>0</v>
      </c>
      <c r="J353" s="60"/>
      <c r="K353" s="60" t="s">
        <v>1647</v>
      </c>
      <c r="L353" s="60">
        <v>2177494</v>
      </c>
      <c r="M353" s="60"/>
      <c r="N353" s="68" t="str">
        <f>VLOOKUP(B353,歌单!B:C,2,0)</f>
        <v>杨宗纬</v>
      </c>
      <c r="O353" s="58">
        <f t="shared" si="5"/>
        <v>1</v>
      </c>
      <c r="P353" s="62" t="str">
        <f>VLOOKUP(B353,歌单!B:E,3,0)</f>
        <v>国语</v>
      </c>
      <c r="Q353" s="58" t="str">
        <f>VLOOKUP(B353,歌单!B:E,4,0)</f>
        <v>流行</v>
      </c>
      <c r="R353" s="62"/>
    </row>
    <row r="354" spans="1:18" ht="15" hidden="1" customHeight="1">
      <c r="A354" s="4" t="s">
        <v>1648</v>
      </c>
      <c r="B354" s="46" t="s">
        <v>1649</v>
      </c>
      <c r="C354" s="46" t="s">
        <v>360</v>
      </c>
      <c r="D354" s="59"/>
      <c r="E354" s="59">
        <v>0</v>
      </c>
      <c r="F354" s="59">
        <v>0</v>
      </c>
      <c r="G354" s="60" t="s">
        <v>1650</v>
      </c>
      <c r="H354" s="60"/>
      <c r="I354" s="61">
        <v>3</v>
      </c>
      <c r="J354" s="60" t="s">
        <v>1649</v>
      </c>
      <c r="K354" s="60" t="s">
        <v>1651</v>
      </c>
      <c r="L354" s="60">
        <v>1807396</v>
      </c>
      <c r="M354" s="60"/>
      <c r="N354" s="58" t="str">
        <f>VLOOKUP(B354,歌单!B:C,2,0)</f>
        <v>张碧晨</v>
      </c>
      <c r="O354" s="58">
        <f t="shared" si="5"/>
        <v>0</v>
      </c>
      <c r="P354" s="62" t="str">
        <f>VLOOKUP(B354,歌单!B:E,3,0)</f>
        <v>国语</v>
      </c>
      <c r="Q354" s="58" t="str">
        <f>VLOOKUP(B354,歌单!B:E,4,0)</f>
        <v>流行</v>
      </c>
      <c r="R354" s="62"/>
    </row>
    <row r="355" spans="1:18" ht="15" hidden="1" customHeight="1">
      <c r="A355" s="4" t="s">
        <v>1652</v>
      </c>
      <c r="B355" s="46" t="s">
        <v>1653</v>
      </c>
      <c r="C355" s="46" t="s">
        <v>679</v>
      </c>
      <c r="D355" s="59"/>
      <c r="E355" s="59">
        <v>0</v>
      </c>
      <c r="F355" s="59">
        <v>0</v>
      </c>
      <c r="G355" s="60" t="s">
        <v>1654</v>
      </c>
      <c r="H355" s="60" t="s">
        <v>1655</v>
      </c>
      <c r="I355" s="61">
        <v>791</v>
      </c>
      <c r="J355" s="60"/>
      <c r="K355" s="60" t="s">
        <v>1656</v>
      </c>
      <c r="L355" s="60">
        <v>312647783</v>
      </c>
      <c r="M355" s="60"/>
      <c r="N355" s="58" t="str">
        <f>VLOOKUP(B355,歌单!B:C,2,0)</f>
        <v>林俊杰</v>
      </c>
      <c r="O355" s="58">
        <f t="shared" si="5"/>
        <v>0</v>
      </c>
      <c r="P355" s="62" t="str">
        <f>VLOOKUP(B355,歌单!B:E,3,0)</f>
        <v>国语</v>
      </c>
      <c r="Q355" s="58" t="str">
        <f>VLOOKUP(B355,歌单!B:E,4,0)</f>
        <v>流行</v>
      </c>
      <c r="R355" s="62"/>
    </row>
    <row r="356" spans="1:18" ht="15" hidden="1" customHeight="1">
      <c r="A356" s="4" t="s">
        <v>1657</v>
      </c>
      <c r="B356" s="46" t="s">
        <v>1658</v>
      </c>
      <c r="C356" s="46" t="s">
        <v>679</v>
      </c>
      <c r="D356" s="59"/>
      <c r="E356" s="59">
        <v>0</v>
      </c>
      <c r="F356" s="59">
        <v>0</v>
      </c>
      <c r="G356" s="60" t="s">
        <v>1659</v>
      </c>
      <c r="H356" s="60" t="s">
        <v>1660</v>
      </c>
      <c r="I356" s="61">
        <v>190</v>
      </c>
      <c r="J356" s="60" t="s">
        <v>1661</v>
      </c>
      <c r="K356" s="60" t="s">
        <v>1662</v>
      </c>
      <c r="L356" s="60">
        <v>105496599</v>
      </c>
      <c r="M356" s="60"/>
      <c r="N356" s="58" t="str">
        <f>VLOOKUP(B356,歌单!B:C,2,0)</f>
        <v>林俊杰</v>
      </c>
      <c r="O356" s="58">
        <f t="shared" si="5"/>
        <v>0</v>
      </c>
      <c r="P356" s="62" t="str">
        <f>VLOOKUP(B356,歌单!B:E,3,0)</f>
        <v>国语</v>
      </c>
      <c r="Q356" s="58" t="str">
        <f>VLOOKUP(B356,歌单!B:E,4,0)</f>
        <v>流行</v>
      </c>
      <c r="R356" s="62"/>
    </row>
    <row r="357" spans="1:18" ht="15" hidden="1" customHeight="1">
      <c r="A357" s="32" t="s">
        <v>1663</v>
      </c>
      <c r="B357" s="46" t="s">
        <v>7402</v>
      </c>
      <c r="C357" s="46" t="s">
        <v>1665</v>
      </c>
      <c r="D357" s="59"/>
      <c r="E357" s="59">
        <v>0</v>
      </c>
      <c r="F357" s="59">
        <v>0</v>
      </c>
      <c r="G357" s="60" t="s">
        <v>1666</v>
      </c>
      <c r="H357" s="60" t="s">
        <v>1667</v>
      </c>
      <c r="I357" s="61">
        <v>246</v>
      </c>
      <c r="J357" s="60"/>
      <c r="K357" s="60"/>
      <c r="L357" s="60">
        <v>37205613</v>
      </c>
      <c r="M357" s="60"/>
      <c r="N357" s="56" t="str">
        <f>VLOOKUP(B357,歌单!B:C,2,0)</f>
        <v>费玉清</v>
      </c>
      <c r="O357" s="58">
        <f t="shared" si="5"/>
        <v>1</v>
      </c>
      <c r="P357" s="62" t="str">
        <f>VLOOKUP(B357,歌单!B:E,3,0)</f>
        <v>国语</v>
      </c>
      <c r="Q357" s="58" t="str">
        <f>VLOOKUP(B357,歌单!B:E,4,0)</f>
        <v>流行</v>
      </c>
      <c r="R357" s="62"/>
    </row>
    <row r="358" spans="1:18" ht="15" customHeight="1">
      <c r="A358" s="4" t="s">
        <v>1668</v>
      </c>
      <c r="B358" s="46" t="s">
        <v>1669</v>
      </c>
      <c r="C358" s="46" t="s">
        <v>10261</v>
      </c>
      <c r="D358" s="59"/>
      <c r="E358" s="59">
        <v>0</v>
      </c>
      <c r="F358" s="59">
        <v>0</v>
      </c>
      <c r="G358" s="60" t="s">
        <v>1671</v>
      </c>
      <c r="H358" s="60" t="s">
        <v>1672</v>
      </c>
      <c r="I358" s="61">
        <v>20</v>
      </c>
      <c r="J358" s="60"/>
      <c r="K358" s="60"/>
      <c r="L358" s="60">
        <v>27149482</v>
      </c>
      <c r="M358" s="60"/>
      <c r="N358" s="58" t="e">
        <f>VLOOKUP(B358,歌单!B:C,2,0)</f>
        <v>#N/A</v>
      </c>
      <c r="O358" s="58">
        <f t="shared" si="5"/>
        <v>1</v>
      </c>
      <c r="P358" s="62" t="s">
        <v>10246</v>
      </c>
      <c r="Q358" s="58" t="s">
        <v>10252</v>
      </c>
      <c r="R358" s="62"/>
    </row>
    <row r="359" spans="1:18" ht="15" hidden="1" customHeight="1">
      <c r="A359" s="4" t="s">
        <v>1673</v>
      </c>
      <c r="B359" s="46" t="s">
        <v>1674</v>
      </c>
      <c r="C359" s="46" t="s">
        <v>1675</v>
      </c>
      <c r="D359" s="59"/>
      <c r="E359" s="59">
        <v>0</v>
      </c>
      <c r="F359" s="59">
        <v>0</v>
      </c>
      <c r="G359" s="60" t="s">
        <v>1676</v>
      </c>
      <c r="H359" s="60" t="s">
        <v>1677</v>
      </c>
      <c r="I359" s="61">
        <v>22</v>
      </c>
      <c r="J359" s="60"/>
      <c r="K359" s="60" t="s">
        <v>1678</v>
      </c>
      <c r="L359" s="60">
        <v>34220213</v>
      </c>
      <c r="M359" s="60"/>
      <c r="N359" s="58" t="str">
        <f>VLOOKUP(B359,歌单!B:C,2,0)</f>
        <v>齐豫</v>
      </c>
      <c r="O359" s="58">
        <f t="shared" si="5"/>
        <v>0</v>
      </c>
      <c r="P359" s="62" t="str">
        <f>VLOOKUP(B359,歌单!B:E,3,0)</f>
        <v>国语</v>
      </c>
      <c r="Q359" s="58" t="str">
        <f>VLOOKUP(B359,歌单!B:E,4,0)</f>
        <v>流行</v>
      </c>
      <c r="R359" s="62"/>
    </row>
    <row r="360" spans="1:18" ht="15" customHeight="1">
      <c r="A360" s="4" t="s">
        <v>1679</v>
      </c>
      <c r="B360" s="46" t="s">
        <v>1680</v>
      </c>
      <c r="C360" s="46" t="s">
        <v>188</v>
      </c>
      <c r="D360" s="59"/>
      <c r="E360" s="59">
        <v>0</v>
      </c>
      <c r="F360" s="59">
        <v>0</v>
      </c>
      <c r="G360" s="60" t="s">
        <v>1681</v>
      </c>
      <c r="H360" s="60" t="s">
        <v>1682</v>
      </c>
      <c r="I360" s="61">
        <v>104</v>
      </c>
      <c r="J360" s="60" t="s">
        <v>1683</v>
      </c>
      <c r="K360" s="60" t="s">
        <v>1684</v>
      </c>
      <c r="L360" s="60">
        <v>19283438</v>
      </c>
      <c r="M360" s="60"/>
      <c r="N360" s="58" t="e">
        <f>VLOOKUP(B360,歌单!B:C,2,0)</f>
        <v>#N/A</v>
      </c>
      <c r="O360" s="58">
        <f t="shared" si="5"/>
        <v>1</v>
      </c>
      <c r="P360" s="62" t="s">
        <v>10246</v>
      </c>
      <c r="Q360" s="58" t="s">
        <v>10252</v>
      </c>
      <c r="R360" s="62"/>
    </row>
    <row r="361" spans="1:18" ht="15" hidden="1" customHeight="1">
      <c r="A361" s="32" t="s">
        <v>1685</v>
      </c>
      <c r="B361" s="46" t="s">
        <v>1686</v>
      </c>
      <c r="C361" s="46" t="s">
        <v>541</v>
      </c>
      <c r="D361" s="59"/>
      <c r="E361" s="59">
        <v>0</v>
      </c>
      <c r="F361" s="59">
        <v>0</v>
      </c>
      <c r="G361" s="60" t="s">
        <v>1687</v>
      </c>
      <c r="H361" s="60" t="s">
        <v>1688</v>
      </c>
      <c r="I361" s="61">
        <v>4</v>
      </c>
      <c r="J361" s="60"/>
      <c r="K361" s="60" t="s">
        <v>1689</v>
      </c>
      <c r="L361" s="60">
        <v>23313180</v>
      </c>
      <c r="M361" s="60"/>
      <c r="N361" s="56" t="str">
        <f>VLOOKUP(B361,歌单!B:C,2,0)</f>
        <v>姚贝娜</v>
      </c>
      <c r="O361" s="58">
        <f t="shared" si="5"/>
        <v>1</v>
      </c>
      <c r="P361" s="62" t="str">
        <f>VLOOKUP(B361,歌单!B:E,3,0)</f>
        <v>国语</v>
      </c>
      <c r="Q361" s="58" t="str">
        <f>VLOOKUP(B361,歌单!B:E,4,0)</f>
        <v>流行</v>
      </c>
      <c r="R361" s="62"/>
    </row>
    <row r="362" spans="1:18" ht="15" customHeight="1">
      <c r="A362" s="4" t="s">
        <v>1690</v>
      </c>
      <c r="B362" s="46" t="s">
        <v>81</v>
      </c>
      <c r="C362" s="46" t="s">
        <v>51</v>
      </c>
      <c r="D362" s="59"/>
      <c r="E362" s="59">
        <v>0</v>
      </c>
      <c r="F362" s="59">
        <v>0</v>
      </c>
      <c r="G362" s="60" t="s">
        <v>1691</v>
      </c>
      <c r="H362" s="60"/>
      <c r="I362" s="61">
        <v>0</v>
      </c>
      <c r="J362" s="60"/>
      <c r="K362" s="60" t="s">
        <v>81</v>
      </c>
      <c r="L362" s="60">
        <v>152535</v>
      </c>
      <c r="M362" s="60"/>
      <c r="N362" s="58" t="e">
        <f>VLOOKUP(B362,歌单!B:C,2,0)</f>
        <v>#N/A</v>
      </c>
      <c r="O362" s="58">
        <f t="shared" si="5"/>
        <v>1</v>
      </c>
      <c r="P362" s="62" t="s">
        <v>10246</v>
      </c>
      <c r="Q362" s="58" t="s">
        <v>10252</v>
      </c>
      <c r="R362" s="62"/>
    </row>
    <row r="363" spans="1:18" ht="15" customHeight="1">
      <c r="A363" s="4" t="s">
        <v>1692</v>
      </c>
      <c r="B363" s="46" t="s">
        <v>83</v>
      </c>
      <c r="C363" s="46" t="s">
        <v>51</v>
      </c>
      <c r="D363" s="59"/>
      <c r="E363" s="59">
        <v>0</v>
      </c>
      <c r="F363" s="59">
        <v>0</v>
      </c>
      <c r="G363" s="60" t="s">
        <v>1693</v>
      </c>
      <c r="H363" s="60" t="s">
        <v>1694</v>
      </c>
      <c r="I363" s="61">
        <v>0</v>
      </c>
      <c r="J363" s="60" t="s">
        <v>1695</v>
      </c>
      <c r="K363" s="60" t="s">
        <v>1696</v>
      </c>
      <c r="L363" s="60">
        <v>403200</v>
      </c>
      <c r="M363" s="60"/>
      <c r="N363" s="58" t="e">
        <f>VLOOKUP(B363,歌单!B:C,2,0)</f>
        <v>#N/A</v>
      </c>
      <c r="O363" s="58">
        <f t="shared" si="5"/>
        <v>1</v>
      </c>
      <c r="P363" s="62" t="s">
        <v>10246</v>
      </c>
      <c r="Q363" s="58" t="s">
        <v>10252</v>
      </c>
      <c r="R363" s="62"/>
    </row>
    <row r="364" spans="1:18" ht="15" customHeight="1">
      <c r="A364" s="4" t="s">
        <v>1697</v>
      </c>
      <c r="B364" s="46" t="s">
        <v>1698</v>
      </c>
      <c r="C364" s="46" t="s">
        <v>131</v>
      </c>
      <c r="D364" s="59"/>
      <c r="E364" s="59">
        <v>0</v>
      </c>
      <c r="F364" s="59">
        <v>0</v>
      </c>
      <c r="G364" s="60" t="s">
        <v>1699</v>
      </c>
      <c r="H364" s="60" t="s">
        <v>1700</v>
      </c>
      <c r="I364" s="61">
        <v>32</v>
      </c>
      <c r="J364" s="60"/>
      <c r="K364" s="60" t="s">
        <v>1701</v>
      </c>
      <c r="L364" s="60">
        <v>8068421</v>
      </c>
      <c r="M364" s="60"/>
      <c r="N364" s="58" t="e">
        <f>VLOOKUP(B364,歌单!B:C,2,0)</f>
        <v>#N/A</v>
      </c>
      <c r="O364" s="58">
        <f t="shared" si="5"/>
        <v>1</v>
      </c>
      <c r="P364" s="62" t="s">
        <v>10246</v>
      </c>
      <c r="Q364" s="58" t="s">
        <v>10252</v>
      </c>
      <c r="R364" s="62"/>
    </row>
    <row r="365" spans="1:18" ht="15" hidden="1" customHeight="1">
      <c r="A365" s="4" t="s">
        <v>1702</v>
      </c>
      <c r="B365" s="46" t="s">
        <v>1703</v>
      </c>
      <c r="C365" s="46" t="s">
        <v>1704</v>
      </c>
      <c r="D365" s="59"/>
      <c r="E365" s="59">
        <v>0</v>
      </c>
      <c r="F365" s="59">
        <v>0</v>
      </c>
      <c r="G365" s="60" t="s">
        <v>1705</v>
      </c>
      <c r="H365" s="60" t="s">
        <v>1706</v>
      </c>
      <c r="I365" s="61">
        <v>68</v>
      </c>
      <c r="J365" s="60" t="s">
        <v>1707</v>
      </c>
      <c r="K365" s="60" t="s">
        <v>1703</v>
      </c>
      <c r="L365" s="60">
        <v>7299841</v>
      </c>
      <c r="M365" s="60"/>
      <c r="N365" s="58" t="str">
        <f>VLOOKUP(B365,歌单!B:C,2,0)</f>
        <v>田馥甄</v>
      </c>
      <c r="O365" s="58">
        <f t="shared" si="5"/>
        <v>0</v>
      </c>
      <c r="P365" s="62" t="str">
        <f>VLOOKUP(B365,歌单!B:E,3,0)</f>
        <v>国语</v>
      </c>
      <c r="Q365" s="58" t="str">
        <f>VLOOKUP(B365,歌单!B:E,4,0)</f>
        <v>流行</v>
      </c>
      <c r="R365" s="62"/>
    </row>
    <row r="366" spans="1:18" ht="15" customHeight="1">
      <c r="A366" s="4" t="s">
        <v>1708</v>
      </c>
      <c r="B366" s="46" t="s">
        <v>1709</v>
      </c>
      <c r="C366" s="46" t="s">
        <v>1710</v>
      </c>
      <c r="D366" s="59"/>
      <c r="E366" s="59">
        <v>0</v>
      </c>
      <c r="F366" s="59">
        <v>0</v>
      </c>
      <c r="G366" s="60" t="s">
        <v>1711</v>
      </c>
      <c r="H366" s="60" t="s">
        <v>1712</v>
      </c>
      <c r="I366" s="61">
        <v>3393</v>
      </c>
      <c r="J366" s="60"/>
      <c r="K366" s="60" t="s">
        <v>1709</v>
      </c>
      <c r="L366" s="60">
        <v>211699205</v>
      </c>
      <c r="M366" s="60"/>
      <c r="N366" s="58">
        <f>VLOOKUP(B366,歌单!B:C,2,0)</f>
        <v>0</v>
      </c>
      <c r="O366" s="58">
        <f t="shared" si="5"/>
        <v>1</v>
      </c>
      <c r="P366" s="62" t="str">
        <f>VLOOKUP(B366,歌单!B:E,3,0)</f>
        <v>国语</v>
      </c>
      <c r="Q366" s="58" t="str">
        <f>VLOOKUP(B366,歌单!B:E,4,0)</f>
        <v>流行</v>
      </c>
      <c r="R366" s="62"/>
    </row>
    <row r="367" spans="1:18" ht="15" hidden="1" customHeight="1">
      <c r="A367" s="4" t="s">
        <v>1713</v>
      </c>
      <c r="B367" s="46" t="s">
        <v>1714</v>
      </c>
      <c r="C367" s="46" t="s">
        <v>679</v>
      </c>
      <c r="D367" s="59"/>
      <c r="E367" s="59">
        <v>35</v>
      </c>
      <c r="F367" s="59">
        <v>4</v>
      </c>
      <c r="G367" s="60" t="s">
        <v>1715</v>
      </c>
      <c r="H367" s="60" t="s">
        <v>1716</v>
      </c>
      <c r="I367" s="61">
        <v>214</v>
      </c>
      <c r="J367" s="60"/>
      <c r="K367" s="60" t="s">
        <v>1717</v>
      </c>
      <c r="L367" s="60">
        <v>217880128</v>
      </c>
      <c r="M367" s="60"/>
      <c r="N367" s="58" t="str">
        <f>VLOOKUP(B367,歌单!B:C,2,0)</f>
        <v>林俊杰</v>
      </c>
      <c r="O367" s="58">
        <f t="shared" si="5"/>
        <v>0</v>
      </c>
      <c r="P367" s="62" t="str">
        <f>VLOOKUP(B367,歌单!B:E,3,0)</f>
        <v>国语</v>
      </c>
      <c r="Q367" s="58" t="str">
        <f>VLOOKUP(B367,歌单!B:E,4,0)</f>
        <v>流行</v>
      </c>
      <c r="R367" s="62"/>
    </row>
    <row r="368" spans="1:18" ht="15" hidden="1" customHeight="1">
      <c r="A368" s="4" t="s">
        <v>1718</v>
      </c>
      <c r="B368" s="46" t="s">
        <v>1719</v>
      </c>
      <c r="C368" s="46" t="s">
        <v>592</v>
      </c>
      <c r="D368" s="59"/>
      <c r="E368" s="59">
        <v>61</v>
      </c>
      <c r="F368" s="59">
        <v>23</v>
      </c>
      <c r="G368" s="60" t="s">
        <v>1720</v>
      </c>
      <c r="H368" s="60"/>
      <c r="I368" s="61">
        <v>275</v>
      </c>
      <c r="J368" s="60" t="s">
        <v>1719</v>
      </c>
      <c r="K368" s="60" t="s">
        <v>1719</v>
      </c>
      <c r="L368" s="60">
        <v>108423038</v>
      </c>
      <c r="M368" s="60"/>
      <c r="N368" s="58" t="str">
        <f>VLOOKUP(B368,歌单!B:C,2,0)</f>
        <v>蔡健雅</v>
      </c>
      <c r="O368" s="58">
        <f t="shared" si="5"/>
        <v>0</v>
      </c>
      <c r="P368" s="62" t="str">
        <f>VLOOKUP(B368,歌单!B:E,3,0)</f>
        <v>国语</v>
      </c>
      <c r="Q368" s="58" t="str">
        <f>VLOOKUP(B368,歌单!B:E,4,0)</f>
        <v>流行</v>
      </c>
      <c r="R368" s="62"/>
    </row>
    <row r="369" spans="1:18" ht="15" hidden="1" customHeight="1">
      <c r="A369" s="4" t="s">
        <v>1721</v>
      </c>
      <c r="B369" s="46" t="s">
        <v>1722</v>
      </c>
      <c r="C369" s="46" t="s">
        <v>592</v>
      </c>
      <c r="D369" s="59"/>
      <c r="E369" s="59">
        <v>508</v>
      </c>
      <c r="F369" s="59">
        <v>63</v>
      </c>
      <c r="G369" s="60" t="s">
        <v>1723</v>
      </c>
      <c r="H369" s="60" t="s">
        <v>1724</v>
      </c>
      <c r="I369" s="61">
        <v>2348</v>
      </c>
      <c r="J369" s="60" t="s">
        <v>1725</v>
      </c>
      <c r="K369" s="60" t="s">
        <v>605</v>
      </c>
      <c r="L369" s="60">
        <v>1361006319</v>
      </c>
      <c r="M369" s="60" t="s">
        <v>826</v>
      </c>
      <c r="N369" s="58" t="str">
        <f>VLOOKUP(B369,歌单!B:C,2,0)</f>
        <v>蔡健雅</v>
      </c>
      <c r="O369" s="58">
        <f t="shared" si="5"/>
        <v>0</v>
      </c>
      <c r="P369" s="62" t="str">
        <f>VLOOKUP(B369,歌单!B:E,3,0)</f>
        <v>国语</v>
      </c>
      <c r="Q369" s="58" t="str">
        <f>VLOOKUP(B369,歌单!B:E,4,0)</f>
        <v>流行</v>
      </c>
      <c r="R369" s="62"/>
    </row>
    <row r="370" spans="1:18" ht="15" customHeight="1">
      <c r="A370" s="4" t="s">
        <v>1726</v>
      </c>
      <c r="B370" s="46" t="s">
        <v>1727</v>
      </c>
      <c r="C370" s="46" t="s">
        <v>742</v>
      </c>
      <c r="D370" s="59"/>
      <c r="E370" s="59">
        <v>0</v>
      </c>
      <c r="F370" s="59">
        <v>0</v>
      </c>
      <c r="G370" s="60" t="s">
        <v>1728</v>
      </c>
      <c r="H370" s="60" t="s">
        <v>1729</v>
      </c>
      <c r="I370" s="61">
        <v>877</v>
      </c>
      <c r="J370" s="60"/>
      <c r="K370" s="60" t="s">
        <v>1730</v>
      </c>
      <c r="L370" s="60">
        <v>436354509</v>
      </c>
      <c r="M370" s="60"/>
      <c r="N370" s="58">
        <f>VLOOKUP(B370,歌单!B:C,2,0)</f>
        <v>0</v>
      </c>
      <c r="O370" s="58">
        <f t="shared" si="5"/>
        <v>1</v>
      </c>
      <c r="P370" s="62" t="str">
        <f>VLOOKUP(B370,歌单!B:E,3,0)</f>
        <v>国语</v>
      </c>
      <c r="Q370" s="58" t="str">
        <f>VLOOKUP(B370,歌单!B:E,4,0)</f>
        <v>流行</v>
      </c>
      <c r="R370" s="62"/>
    </row>
    <row r="371" spans="1:18" ht="15" hidden="1" customHeight="1">
      <c r="A371" s="4" t="s">
        <v>1731</v>
      </c>
      <c r="B371" s="46" t="s">
        <v>1732</v>
      </c>
      <c r="C371" s="46" t="s">
        <v>466</v>
      </c>
      <c r="D371" s="59"/>
      <c r="E371" s="59">
        <v>0</v>
      </c>
      <c r="F371" s="59">
        <v>0</v>
      </c>
      <c r="G371" s="60" t="s">
        <v>1733</v>
      </c>
      <c r="H371" s="60" t="s">
        <v>1734</v>
      </c>
      <c r="I371" s="61">
        <v>666</v>
      </c>
      <c r="J371" s="60" t="s">
        <v>1735</v>
      </c>
      <c r="K371" s="60" t="s">
        <v>1732</v>
      </c>
      <c r="L371" s="60">
        <v>215249573</v>
      </c>
      <c r="M371" s="60"/>
      <c r="N371" s="58" t="str">
        <f>VLOOKUP(B371,歌单!B:C,2,0)</f>
        <v>郁可唯</v>
      </c>
      <c r="O371" s="58">
        <f t="shared" si="5"/>
        <v>0</v>
      </c>
      <c r="P371" s="62" t="str">
        <f>VLOOKUP(B371,歌单!B:E,3,0)</f>
        <v>国语</v>
      </c>
      <c r="Q371" s="58" t="str">
        <f>VLOOKUP(B371,歌单!B:E,4,0)</f>
        <v>流行</v>
      </c>
      <c r="R371" s="62"/>
    </row>
    <row r="372" spans="1:18" ht="15" hidden="1" customHeight="1">
      <c r="A372" s="4" t="s">
        <v>1736</v>
      </c>
      <c r="B372" s="46" t="s">
        <v>1737</v>
      </c>
      <c r="C372" s="46" t="s">
        <v>742</v>
      </c>
      <c r="D372" s="59"/>
      <c r="E372" s="59">
        <v>0</v>
      </c>
      <c r="F372" s="59">
        <v>0</v>
      </c>
      <c r="G372" s="60" t="s">
        <v>1738</v>
      </c>
      <c r="H372" s="60" t="s">
        <v>1739</v>
      </c>
      <c r="I372" s="61">
        <v>1220</v>
      </c>
      <c r="J372" s="60" t="s">
        <v>1740</v>
      </c>
      <c r="K372" s="60" t="s">
        <v>1741</v>
      </c>
      <c r="L372" s="60">
        <v>311749521</v>
      </c>
      <c r="M372" s="60"/>
      <c r="N372" s="58" t="str">
        <f>VLOOKUP(B372,歌单!B:C,2,0)</f>
        <v>孙燕姿</v>
      </c>
      <c r="O372" s="58">
        <f t="shared" si="5"/>
        <v>0</v>
      </c>
      <c r="P372" s="62" t="str">
        <f>VLOOKUP(B372,歌单!B:E,3,0)</f>
        <v>国语</v>
      </c>
      <c r="Q372" s="58" t="str">
        <f>VLOOKUP(B372,歌单!B:E,4,0)</f>
        <v>流行</v>
      </c>
      <c r="R372" s="62"/>
    </row>
    <row r="373" spans="1:18" ht="15" hidden="1" customHeight="1">
      <c r="A373" s="4" t="s">
        <v>1742</v>
      </c>
      <c r="B373" s="46" t="s">
        <v>1743</v>
      </c>
      <c r="C373" s="46" t="s">
        <v>1744</v>
      </c>
      <c r="D373" s="59"/>
      <c r="E373" s="59">
        <v>3030</v>
      </c>
      <c r="F373" s="59">
        <v>1949</v>
      </c>
      <c r="G373" s="60" t="s">
        <v>1745</v>
      </c>
      <c r="H373" s="60" t="s">
        <v>1746</v>
      </c>
      <c r="I373" s="61">
        <v>556</v>
      </c>
      <c r="J373" s="60"/>
      <c r="K373" s="60" t="s">
        <v>1747</v>
      </c>
      <c r="L373" s="60">
        <v>243513643</v>
      </c>
      <c r="M373" s="60"/>
      <c r="N373" s="58" t="str">
        <f>VLOOKUP(B373,歌单!B:C,2,0)</f>
        <v>五月天</v>
      </c>
      <c r="O373" s="58">
        <f t="shared" si="5"/>
        <v>0</v>
      </c>
      <c r="P373" s="62" t="str">
        <f>VLOOKUP(B373,歌单!B:E,3,0)</f>
        <v>国语</v>
      </c>
      <c r="Q373" s="58" t="str">
        <f>VLOOKUP(B373,歌单!B:E,4,0)</f>
        <v>流行</v>
      </c>
      <c r="R373" s="62"/>
    </row>
    <row r="374" spans="1:18" ht="15" customHeight="1">
      <c r="A374" s="4" t="s">
        <v>1748</v>
      </c>
      <c r="B374" s="46" t="s">
        <v>1749</v>
      </c>
      <c r="C374" s="46" t="s">
        <v>679</v>
      </c>
      <c r="D374" s="59"/>
      <c r="E374" s="59">
        <v>0</v>
      </c>
      <c r="F374" s="59">
        <v>0</v>
      </c>
      <c r="G374" s="60" t="s">
        <v>1750</v>
      </c>
      <c r="H374" s="60"/>
      <c r="I374" s="61">
        <v>9</v>
      </c>
      <c r="J374" s="60"/>
      <c r="K374" s="60" t="s">
        <v>1291</v>
      </c>
      <c r="L374" s="60">
        <v>687618</v>
      </c>
      <c r="M374" s="60"/>
      <c r="N374" s="58" t="e">
        <f>VLOOKUP(B374,歌单!B:C,2,0)</f>
        <v>#N/A</v>
      </c>
      <c r="O374" s="58">
        <f t="shared" si="5"/>
        <v>1</v>
      </c>
      <c r="P374" s="62" t="s">
        <v>10246</v>
      </c>
      <c r="Q374" s="58" t="s">
        <v>10252</v>
      </c>
      <c r="R374" s="62"/>
    </row>
    <row r="375" spans="1:18" ht="15" customHeight="1">
      <c r="A375" s="4" t="s">
        <v>1751</v>
      </c>
      <c r="B375" s="46" t="s">
        <v>1752</v>
      </c>
      <c r="C375" s="46" t="s">
        <v>679</v>
      </c>
      <c r="D375" s="59"/>
      <c r="E375" s="59">
        <v>15</v>
      </c>
      <c r="F375" s="59">
        <v>5</v>
      </c>
      <c r="G375" s="60" t="s">
        <v>1753</v>
      </c>
      <c r="H375" s="60" t="s">
        <v>1754</v>
      </c>
      <c r="I375" s="61">
        <v>17</v>
      </c>
      <c r="J375" s="60"/>
      <c r="K375" s="60" t="s">
        <v>1755</v>
      </c>
      <c r="L375" s="60">
        <v>34946039</v>
      </c>
      <c r="M375" s="60"/>
      <c r="N375" s="58" t="e">
        <f>VLOOKUP(B375,歌单!B:C,2,0)</f>
        <v>#N/A</v>
      </c>
      <c r="O375" s="58">
        <f t="shared" si="5"/>
        <v>1</v>
      </c>
      <c r="P375" s="62" t="s">
        <v>10246</v>
      </c>
      <c r="Q375" s="58" t="s">
        <v>10252</v>
      </c>
      <c r="R375" s="62"/>
    </row>
    <row r="376" spans="1:18" ht="15" customHeight="1">
      <c r="A376" s="4" t="s">
        <v>1756</v>
      </c>
      <c r="B376" s="46" t="s">
        <v>1757</v>
      </c>
      <c r="C376" s="46" t="s">
        <v>650</v>
      </c>
      <c r="D376" s="59"/>
      <c r="E376" s="59">
        <v>0</v>
      </c>
      <c r="F376" s="59">
        <v>0</v>
      </c>
      <c r="G376" s="60" t="s">
        <v>1758</v>
      </c>
      <c r="H376" s="60"/>
      <c r="I376" s="61">
        <v>15</v>
      </c>
      <c r="J376" s="60"/>
      <c r="K376" s="60" t="s">
        <v>650</v>
      </c>
      <c r="L376" s="60">
        <v>4758200</v>
      </c>
      <c r="M376" s="60"/>
      <c r="N376" s="58" t="e">
        <f>VLOOKUP(B376,歌单!B:C,2,0)</f>
        <v>#N/A</v>
      </c>
      <c r="O376" s="58">
        <f t="shared" si="5"/>
        <v>1</v>
      </c>
      <c r="P376" s="62" t="s">
        <v>10246</v>
      </c>
      <c r="Q376" s="58" t="s">
        <v>10252</v>
      </c>
      <c r="R376" s="62"/>
    </row>
    <row r="377" spans="1:18" ht="15" hidden="1" customHeight="1">
      <c r="A377" s="4" t="s">
        <v>1759</v>
      </c>
      <c r="B377" s="46" t="s">
        <v>1760</v>
      </c>
      <c r="C377" s="46" t="s">
        <v>1331</v>
      </c>
      <c r="D377" s="59"/>
      <c r="E377" s="59">
        <v>118332</v>
      </c>
      <c r="F377" s="59">
        <v>39248</v>
      </c>
      <c r="G377" s="60" t="s">
        <v>1761</v>
      </c>
      <c r="H377" s="60" t="s">
        <v>1762</v>
      </c>
      <c r="I377" s="61">
        <v>740</v>
      </c>
      <c r="J377" s="60"/>
      <c r="K377" s="60" t="s">
        <v>1763</v>
      </c>
      <c r="L377" s="60">
        <v>127092149</v>
      </c>
      <c r="M377" s="60"/>
      <c r="N377" s="58" t="str">
        <f>VLOOKUP(B377,歌单!B:C,2,0)</f>
        <v>陶喆</v>
      </c>
      <c r="O377" s="58">
        <f t="shared" si="5"/>
        <v>0</v>
      </c>
      <c r="P377" s="62" t="str">
        <f>VLOOKUP(B377,歌单!B:E,3,0)</f>
        <v>国语</v>
      </c>
      <c r="Q377" s="58" t="str">
        <f>VLOOKUP(B377,歌单!B:E,4,0)</f>
        <v>R&amp;B</v>
      </c>
      <c r="R377" s="62"/>
    </row>
    <row r="378" spans="1:18" ht="15" customHeight="1">
      <c r="A378" s="4" t="s">
        <v>1764</v>
      </c>
      <c r="B378" s="46" t="s">
        <v>1765</v>
      </c>
      <c r="C378" s="46" t="s">
        <v>1766</v>
      </c>
      <c r="D378" s="59"/>
      <c r="E378" s="59">
        <v>0</v>
      </c>
      <c r="F378" s="59">
        <v>0</v>
      </c>
      <c r="G378" s="60" t="s">
        <v>1767</v>
      </c>
      <c r="H378" s="60"/>
      <c r="I378" s="61">
        <v>16</v>
      </c>
      <c r="J378" s="60"/>
      <c r="K378" s="60" t="s">
        <v>1768</v>
      </c>
      <c r="L378" s="60">
        <v>11978127</v>
      </c>
      <c r="M378" s="60"/>
      <c r="N378" s="58" t="e">
        <f>VLOOKUP(B378,歌单!B:C,2,0)</f>
        <v>#N/A</v>
      </c>
      <c r="O378" s="58">
        <f t="shared" si="5"/>
        <v>1</v>
      </c>
      <c r="P378" s="62" t="s">
        <v>10246</v>
      </c>
      <c r="Q378" s="58" t="s">
        <v>10252</v>
      </c>
      <c r="R378" s="62"/>
    </row>
    <row r="379" spans="1:18" ht="15" hidden="1" customHeight="1">
      <c r="A379" s="4" t="s">
        <v>1769</v>
      </c>
      <c r="B379" s="46" t="s">
        <v>1770</v>
      </c>
      <c r="C379" s="46" t="s">
        <v>1771</v>
      </c>
      <c r="D379" s="59"/>
      <c r="E379" s="59">
        <v>0</v>
      </c>
      <c r="F379" s="59">
        <v>0</v>
      </c>
      <c r="G379" s="60" t="s">
        <v>1772</v>
      </c>
      <c r="H379" s="60" t="s">
        <v>1773</v>
      </c>
      <c r="I379" s="61">
        <v>10</v>
      </c>
      <c r="J379" s="60"/>
      <c r="K379" s="60" t="s">
        <v>1770</v>
      </c>
      <c r="L379" s="60">
        <v>3252187</v>
      </c>
      <c r="M379" s="60"/>
      <c r="N379" s="58" t="str">
        <f>VLOOKUP(B379,歌单!B:C,2,0)</f>
        <v>赤羽</v>
      </c>
      <c r="O379" s="58">
        <f t="shared" si="5"/>
        <v>0</v>
      </c>
      <c r="P379" s="62" t="str">
        <f>VLOOKUP(B379,歌单!B:E,3,0)</f>
        <v>国语</v>
      </c>
      <c r="Q379" s="58" t="str">
        <f>VLOOKUP(B379,歌单!B:E,4,0)</f>
        <v>古风</v>
      </c>
      <c r="R379" s="62"/>
    </row>
    <row r="380" spans="1:18" ht="15" hidden="1" customHeight="1">
      <c r="A380" s="4" t="s">
        <v>1774</v>
      </c>
      <c r="B380" s="46" t="s">
        <v>1775</v>
      </c>
      <c r="C380" s="46" t="s">
        <v>1776</v>
      </c>
      <c r="D380" s="59"/>
      <c r="E380" s="59">
        <v>0</v>
      </c>
      <c r="F380" s="59">
        <v>0</v>
      </c>
      <c r="G380" s="60" t="s">
        <v>1777</v>
      </c>
      <c r="H380" s="60" t="s">
        <v>1778</v>
      </c>
      <c r="I380" s="61">
        <v>98</v>
      </c>
      <c r="J380" s="60" t="s">
        <v>1779</v>
      </c>
      <c r="K380" s="60" t="s">
        <v>1780</v>
      </c>
      <c r="L380" s="60">
        <v>30922488</v>
      </c>
      <c r="M380" s="60"/>
      <c r="N380" s="58" t="str">
        <f>VLOOKUP(B380,歌单!B:C,2,0)</f>
        <v>陈淑桦</v>
      </c>
      <c r="O380" s="58">
        <f t="shared" si="5"/>
        <v>0</v>
      </c>
      <c r="P380" s="62" t="str">
        <f>VLOOKUP(B380,歌单!B:E,3,0)</f>
        <v>国语</v>
      </c>
      <c r="Q380" s="58" t="str">
        <f>VLOOKUP(B380,歌单!B:E,4,0)</f>
        <v>流行</v>
      </c>
      <c r="R380" s="62"/>
    </row>
    <row r="381" spans="1:18" ht="15" hidden="1" customHeight="1">
      <c r="A381" s="4" t="s">
        <v>1781</v>
      </c>
      <c r="B381" s="46" t="s">
        <v>1782</v>
      </c>
      <c r="C381" s="46" t="s">
        <v>1783</v>
      </c>
      <c r="D381" s="59"/>
      <c r="E381" s="59">
        <v>0</v>
      </c>
      <c r="F381" s="59">
        <v>0</v>
      </c>
      <c r="G381" s="60" t="s">
        <v>1784</v>
      </c>
      <c r="H381" s="60" t="s">
        <v>1785</v>
      </c>
      <c r="I381" s="61">
        <v>4659</v>
      </c>
      <c r="J381" s="60"/>
      <c r="K381" s="60" t="s">
        <v>1782</v>
      </c>
      <c r="L381" s="60">
        <v>1664352916</v>
      </c>
      <c r="M381" s="60" t="s">
        <v>468</v>
      </c>
      <c r="N381" s="58" t="str">
        <f>VLOOKUP(B381,歌单!B:C,2,0)</f>
        <v>Hita</v>
      </c>
      <c r="O381" s="58">
        <f t="shared" si="5"/>
        <v>0</v>
      </c>
      <c r="P381" s="62" t="str">
        <f>VLOOKUP(B381,歌单!B:E,3,0)</f>
        <v>国语</v>
      </c>
      <c r="Q381" s="58" t="str">
        <f>VLOOKUP(B381,歌单!B:E,4,0)</f>
        <v>流行</v>
      </c>
      <c r="R381" s="62"/>
    </row>
    <row r="382" spans="1:18" ht="15" customHeight="1">
      <c r="A382" s="4" t="s">
        <v>1786</v>
      </c>
      <c r="B382" s="46" t="s">
        <v>1787</v>
      </c>
      <c r="C382" s="46" t="s">
        <v>1788</v>
      </c>
      <c r="D382" s="59"/>
      <c r="E382" s="59">
        <v>0</v>
      </c>
      <c r="F382" s="59">
        <v>0</v>
      </c>
      <c r="G382" s="60" t="s">
        <v>1789</v>
      </c>
      <c r="H382" s="60" t="s">
        <v>1790</v>
      </c>
      <c r="I382" s="61">
        <v>122</v>
      </c>
      <c r="J382" s="60"/>
      <c r="K382" s="60" t="s">
        <v>1791</v>
      </c>
      <c r="L382" s="60">
        <v>69445700</v>
      </c>
      <c r="M382" s="60"/>
      <c r="N382" s="58">
        <f>VLOOKUP(B382,歌单!B:C,2,0)</f>
        <v>0</v>
      </c>
      <c r="O382" s="58">
        <f t="shared" si="5"/>
        <v>1</v>
      </c>
      <c r="P382" s="62" t="str">
        <f>VLOOKUP(B382,歌单!B:E,3,0)</f>
        <v>国语</v>
      </c>
      <c r="Q382" s="58" t="str">
        <f>VLOOKUP(B382,歌单!B:E,4,0)</f>
        <v>儿歌</v>
      </c>
      <c r="R382" s="62"/>
    </row>
    <row r="383" spans="1:18" ht="15" hidden="1" customHeight="1">
      <c r="A383" s="4" t="s">
        <v>1792</v>
      </c>
      <c r="B383" s="46" t="s">
        <v>1793</v>
      </c>
      <c r="C383" s="46" t="s">
        <v>643</v>
      </c>
      <c r="D383" s="59"/>
      <c r="E383" s="59">
        <v>186</v>
      </c>
      <c r="F383" s="59">
        <v>17</v>
      </c>
      <c r="G383" s="60" t="s">
        <v>1794</v>
      </c>
      <c r="H383" s="60" t="s">
        <v>1795</v>
      </c>
      <c r="I383" s="61">
        <v>585</v>
      </c>
      <c r="J383" s="60" t="s">
        <v>1793</v>
      </c>
      <c r="K383" s="60"/>
      <c r="L383" s="60">
        <v>299586451</v>
      </c>
      <c r="M383" s="60"/>
      <c r="N383" s="58" t="str">
        <f>VLOOKUP(B383,歌单!B:C,2,0)</f>
        <v>杨丞琳</v>
      </c>
      <c r="O383" s="58">
        <f t="shared" si="5"/>
        <v>0</v>
      </c>
      <c r="P383" s="62" t="str">
        <f>VLOOKUP(B383,歌单!B:E,3,0)</f>
        <v>国语</v>
      </c>
      <c r="Q383" s="58" t="str">
        <f>VLOOKUP(B383,歌单!B:E,4,0)</f>
        <v>流行</v>
      </c>
      <c r="R383" s="62"/>
    </row>
    <row r="384" spans="1:18" ht="15" hidden="1" customHeight="1">
      <c r="A384" s="4" t="s">
        <v>1796</v>
      </c>
      <c r="B384" s="46" t="s">
        <v>1797</v>
      </c>
      <c r="C384" s="46" t="s">
        <v>42</v>
      </c>
      <c r="D384" s="59"/>
      <c r="E384" s="59">
        <v>0</v>
      </c>
      <c r="F384" s="59">
        <v>0</v>
      </c>
      <c r="G384" s="60" t="s">
        <v>1798</v>
      </c>
      <c r="H384" s="60" t="s">
        <v>1799</v>
      </c>
      <c r="I384" s="61">
        <v>568</v>
      </c>
      <c r="J384" s="60"/>
      <c r="K384" s="60" t="s">
        <v>1797</v>
      </c>
      <c r="L384" s="60">
        <v>367183468</v>
      </c>
      <c r="M384" s="60" t="s">
        <v>1264</v>
      </c>
      <c r="N384" s="58" t="str">
        <f>VLOOKUP(B384,歌单!B:C,2,0)</f>
        <v>黄龄</v>
      </c>
      <c r="O384" s="58">
        <f t="shared" si="5"/>
        <v>0</v>
      </c>
      <c r="P384" s="62" t="str">
        <f>VLOOKUP(B384,歌单!B:E,3,0)</f>
        <v>国语</v>
      </c>
      <c r="Q384" s="58" t="str">
        <f>VLOOKUP(B384,歌单!B:E,4,0)</f>
        <v>流行</v>
      </c>
      <c r="R384" s="62"/>
    </row>
    <row r="385" spans="1:18" ht="15" hidden="1" customHeight="1">
      <c r="A385" s="4" t="s">
        <v>1800</v>
      </c>
      <c r="B385" s="46" t="s">
        <v>1801</v>
      </c>
      <c r="C385" s="46" t="s">
        <v>1802</v>
      </c>
      <c r="D385" s="59"/>
      <c r="E385" s="59">
        <v>0</v>
      </c>
      <c r="F385" s="59">
        <v>0</v>
      </c>
      <c r="G385" s="60" t="s">
        <v>1803</v>
      </c>
      <c r="H385" s="60" t="s">
        <v>1804</v>
      </c>
      <c r="I385" s="61">
        <v>6</v>
      </c>
      <c r="J385" s="60"/>
      <c r="K385" s="60"/>
      <c r="L385" s="60">
        <v>4571226</v>
      </c>
      <c r="M385" s="60"/>
      <c r="N385" s="58" t="str">
        <f>VLOOKUP(B385,歌单!B:C,2,0)</f>
        <v>范晓萱</v>
      </c>
      <c r="O385" s="58">
        <f t="shared" si="5"/>
        <v>0</v>
      </c>
      <c r="P385" s="62" t="str">
        <f>VLOOKUP(B385,歌单!B:E,3,0)</f>
        <v>国语</v>
      </c>
      <c r="Q385" s="58" t="str">
        <f>VLOOKUP(B385,歌单!B:E,4,0)</f>
        <v>流行</v>
      </c>
      <c r="R385" s="62"/>
    </row>
    <row r="386" spans="1:18" ht="15" hidden="1" customHeight="1">
      <c r="A386" s="4" t="s">
        <v>1805</v>
      </c>
      <c r="B386" s="46" t="s">
        <v>1806</v>
      </c>
      <c r="C386" s="46" t="s">
        <v>1807</v>
      </c>
      <c r="D386" s="59"/>
      <c r="E386" s="59">
        <v>874</v>
      </c>
      <c r="F386" s="59">
        <v>65</v>
      </c>
      <c r="G386" s="60" t="s">
        <v>1808</v>
      </c>
      <c r="H386" s="60" t="s">
        <v>1809</v>
      </c>
      <c r="I386" s="61">
        <v>459</v>
      </c>
      <c r="J386" s="60"/>
      <c r="K386" s="60" t="s">
        <v>1810</v>
      </c>
      <c r="L386" s="60">
        <v>338924292</v>
      </c>
      <c r="M386" s="60"/>
      <c r="N386" s="58" t="str">
        <f>VLOOKUP(B386,歌单!B:C,2,0)</f>
        <v>许嵩</v>
      </c>
      <c r="O386" s="58">
        <f t="shared" si="5"/>
        <v>0</v>
      </c>
      <c r="P386" s="62" t="str">
        <f>VLOOKUP(B386,歌单!B:E,3,0)</f>
        <v>国语</v>
      </c>
      <c r="Q386" s="58" t="str">
        <f>VLOOKUP(B386,歌单!B:E,4,0)</f>
        <v>流行</v>
      </c>
      <c r="R386" s="62"/>
    </row>
    <row r="387" spans="1:18" ht="15" hidden="1" customHeight="1">
      <c r="A387" s="4" t="s">
        <v>1811</v>
      </c>
      <c r="B387" s="46" t="s">
        <v>1569</v>
      </c>
      <c r="C387" s="46" t="s">
        <v>42</v>
      </c>
      <c r="D387" s="59"/>
      <c r="E387" s="59">
        <v>0</v>
      </c>
      <c r="F387" s="59">
        <v>0</v>
      </c>
      <c r="G387" s="60" t="s">
        <v>1812</v>
      </c>
      <c r="H387" s="60" t="s">
        <v>1813</v>
      </c>
      <c r="I387" s="61">
        <v>1</v>
      </c>
      <c r="J387" s="60"/>
      <c r="K387" s="60" t="s">
        <v>1814</v>
      </c>
      <c r="L387" s="60">
        <v>334815</v>
      </c>
      <c r="M387" s="60"/>
      <c r="N387" s="58" t="str">
        <f>VLOOKUP(B387,歌单!B:C,2,0)</f>
        <v>黄龄</v>
      </c>
      <c r="O387" s="58">
        <f t="shared" ref="O387:O449" si="6">_xlfn.IFNA(IF(IFERROR(SEARCH(N387,C387),0)&gt;0,0,1),0)</f>
        <v>0</v>
      </c>
      <c r="P387" s="62" t="str">
        <f>VLOOKUP(B387,歌单!B:E,3,0)</f>
        <v>国语</v>
      </c>
      <c r="Q387" s="58" t="str">
        <f>VLOOKUP(B387,歌单!B:E,4,0)</f>
        <v>流行</v>
      </c>
      <c r="R387" s="62"/>
    </row>
    <row r="388" spans="1:18" ht="15" hidden="1" customHeight="1">
      <c r="A388" s="4" t="s">
        <v>1815</v>
      </c>
      <c r="B388" s="46" t="s">
        <v>1816</v>
      </c>
      <c r="C388" s="46" t="s">
        <v>679</v>
      </c>
      <c r="D388" s="59"/>
      <c r="E388" s="59">
        <v>0</v>
      </c>
      <c r="F388" s="59">
        <v>0</v>
      </c>
      <c r="G388" s="60" t="s">
        <v>1817</v>
      </c>
      <c r="H388" s="60" t="s">
        <v>1818</v>
      </c>
      <c r="I388" s="61">
        <v>2620</v>
      </c>
      <c r="J388" s="60"/>
      <c r="K388" s="60" t="s">
        <v>1816</v>
      </c>
      <c r="L388" s="60">
        <v>618344312</v>
      </c>
      <c r="M388" s="60"/>
      <c r="N388" s="58" t="str">
        <f>VLOOKUP(B388,歌单!B:C,2,0)</f>
        <v>林俊杰</v>
      </c>
      <c r="O388" s="58">
        <f t="shared" si="6"/>
        <v>0</v>
      </c>
      <c r="P388" s="62" t="str">
        <f>VLOOKUP(B388,歌单!B:E,3,0)</f>
        <v>国语</v>
      </c>
      <c r="Q388" s="58" t="str">
        <f>VLOOKUP(B388,歌单!B:E,4,0)</f>
        <v>流行</v>
      </c>
      <c r="R388" s="62"/>
    </row>
    <row r="389" spans="1:18" ht="15" hidden="1" customHeight="1">
      <c r="A389" s="4" t="s">
        <v>1819</v>
      </c>
      <c r="B389" s="46" t="s">
        <v>1820</v>
      </c>
      <c r="C389" s="50" t="s">
        <v>679</v>
      </c>
      <c r="D389" s="59"/>
      <c r="E389" s="59">
        <v>0</v>
      </c>
      <c r="F389" s="59">
        <v>0</v>
      </c>
      <c r="G389" s="60" t="s">
        <v>1821</v>
      </c>
      <c r="H389" s="60" t="s">
        <v>1822</v>
      </c>
      <c r="I389" s="61">
        <v>2</v>
      </c>
      <c r="J389" s="60"/>
      <c r="K389" s="60" t="s">
        <v>1291</v>
      </c>
      <c r="L389" s="60">
        <v>3053937</v>
      </c>
      <c r="M389" s="60"/>
      <c r="N389" s="58" t="str">
        <f>VLOOKUP(B389,歌单!B:C,2,0)</f>
        <v>林俊杰</v>
      </c>
      <c r="O389" s="58">
        <f t="shared" si="6"/>
        <v>0</v>
      </c>
      <c r="P389" s="62" t="str">
        <f>VLOOKUP(B389,歌单!B:E,3,0)</f>
        <v>国语</v>
      </c>
      <c r="Q389" s="58" t="str">
        <f>VLOOKUP(B389,歌单!B:E,4,0)</f>
        <v>流行</v>
      </c>
      <c r="R389" s="62"/>
    </row>
    <row r="390" spans="1:18" ht="15" hidden="1" customHeight="1">
      <c r="A390" s="4" t="s">
        <v>1823</v>
      </c>
      <c r="B390" s="46" t="s">
        <v>1824</v>
      </c>
      <c r="C390" s="46" t="s">
        <v>466</v>
      </c>
      <c r="D390" s="59"/>
      <c r="E390" s="59">
        <v>0</v>
      </c>
      <c r="F390" s="59">
        <v>0</v>
      </c>
      <c r="G390" s="60" t="s">
        <v>1825</v>
      </c>
      <c r="H390" s="60" t="s">
        <v>1826</v>
      </c>
      <c r="I390" s="61">
        <v>159</v>
      </c>
      <c r="J390" s="60"/>
      <c r="K390" s="60" t="s">
        <v>1824</v>
      </c>
      <c r="L390" s="60">
        <v>38638268</v>
      </c>
      <c r="M390" s="60"/>
      <c r="N390" s="58" t="str">
        <f>VLOOKUP(B390,歌单!B:C,2,0)</f>
        <v>郁可唯</v>
      </c>
      <c r="O390" s="58">
        <f t="shared" si="6"/>
        <v>0</v>
      </c>
      <c r="P390" s="62" t="str">
        <f>VLOOKUP(B390,歌单!B:E,3,0)</f>
        <v>国语</v>
      </c>
      <c r="Q390" s="58" t="str">
        <f>VLOOKUP(B390,歌单!B:E,4,0)</f>
        <v>流行</v>
      </c>
      <c r="R390" s="62"/>
    </row>
    <row r="391" spans="1:18" ht="15" customHeight="1">
      <c r="A391" s="4" t="s">
        <v>1827</v>
      </c>
      <c r="B391" s="46" t="s">
        <v>105</v>
      </c>
      <c r="C391" s="46" t="s">
        <v>51</v>
      </c>
      <c r="D391" s="59"/>
      <c r="E391" s="59">
        <v>0</v>
      </c>
      <c r="F391" s="59">
        <v>0</v>
      </c>
      <c r="G391" s="60" t="s">
        <v>1828</v>
      </c>
      <c r="H391" s="60" t="s">
        <v>1829</v>
      </c>
      <c r="I391" s="61">
        <v>8</v>
      </c>
      <c r="J391" s="60"/>
      <c r="K391" s="60" t="s">
        <v>105</v>
      </c>
      <c r="L391" s="60">
        <v>1163456</v>
      </c>
      <c r="M391" s="60"/>
      <c r="N391" s="58" t="e">
        <f>VLOOKUP(B391,歌单!B:C,2,0)</f>
        <v>#N/A</v>
      </c>
      <c r="O391" s="58">
        <f t="shared" si="6"/>
        <v>1</v>
      </c>
      <c r="P391" s="62" t="s">
        <v>10246</v>
      </c>
      <c r="Q391" s="58" t="s">
        <v>10252</v>
      </c>
      <c r="R391" s="62"/>
    </row>
    <row r="392" spans="1:18" ht="15" customHeight="1">
      <c r="A392" s="4" t="s">
        <v>1830</v>
      </c>
      <c r="B392" s="46" t="s">
        <v>79</v>
      </c>
      <c r="C392" s="46" t="s">
        <v>51</v>
      </c>
      <c r="D392" s="59"/>
      <c r="E392" s="59">
        <v>0</v>
      </c>
      <c r="F392" s="59">
        <v>0</v>
      </c>
      <c r="G392" s="60" t="s">
        <v>1831</v>
      </c>
      <c r="H392" s="60"/>
      <c r="I392" s="61">
        <v>0</v>
      </c>
      <c r="J392" s="60"/>
      <c r="K392" s="60" t="s">
        <v>1832</v>
      </c>
      <c r="L392" s="60">
        <v>263541</v>
      </c>
      <c r="M392" s="60"/>
      <c r="N392" s="58" t="e">
        <f>VLOOKUP(B392,歌单!B:C,2,0)</f>
        <v>#N/A</v>
      </c>
      <c r="O392" s="58">
        <f t="shared" si="6"/>
        <v>1</v>
      </c>
      <c r="P392" s="62" t="s">
        <v>10246</v>
      </c>
      <c r="Q392" s="58" t="s">
        <v>10252</v>
      </c>
      <c r="R392" s="62"/>
    </row>
    <row r="393" spans="1:18" ht="15" hidden="1" customHeight="1">
      <c r="A393" s="4" t="s">
        <v>1833</v>
      </c>
      <c r="B393" s="46" t="s">
        <v>1834</v>
      </c>
      <c r="C393" s="46" t="s">
        <v>574</v>
      </c>
      <c r="D393" s="59"/>
      <c r="E393" s="59">
        <v>0</v>
      </c>
      <c r="F393" s="59">
        <v>0</v>
      </c>
      <c r="G393" s="60" t="s">
        <v>1835</v>
      </c>
      <c r="H393" s="60" t="s">
        <v>1836</v>
      </c>
      <c r="I393" s="61">
        <v>642</v>
      </c>
      <c r="J393" s="60"/>
      <c r="K393" s="60" t="s">
        <v>577</v>
      </c>
      <c r="L393" s="60">
        <v>197318709</v>
      </c>
      <c r="M393" s="60"/>
      <c r="N393" s="58" t="str">
        <f>VLOOKUP(B393,歌单!B:C,2,0)</f>
        <v>陈奕迅</v>
      </c>
      <c r="O393" s="58">
        <f t="shared" si="6"/>
        <v>0</v>
      </c>
      <c r="P393" s="62" t="str">
        <f>VLOOKUP(B393,歌单!B:E,3,0)</f>
        <v>国语</v>
      </c>
      <c r="Q393" s="58" t="str">
        <f>VLOOKUP(B393,歌单!B:E,4,0)</f>
        <v>流行</v>
      </c>
      <c r="R393" s="62"/>
    </row>
    <row r="394" spans="1:18" ht="15" customHeight="1">
      <c r="A394" s="4" t="s">
        <v>1837</v>
      </c>
      <c r="B394" s="46" t="s">
        <v>1838</v>
      </c>
      <c r="C394" s="46" t="s">
        <v>1839</v>
      </c>
      <c r="D394" s="59"/>
      <c r="E394" s="59">
        <v>0</v>
      </c>
      <c r="F394" s="59">
        <v>0</v>
      </c>
      <c r="G394" s="60" t="s">
        <v>1840</v>
      </c>
      <c r="H394" s="60" t="s">
        <v>1841</v>
      </c>
      <c r="I394" s="61">
        <v>313</v>
      </c>
      <c r="J394" s="60" t="s">
        <v>1842</v>
      </c>
      <c r="K394" s="60" t="s">
        <v>1843</v>
      </c>
      <c r="L394" s="60">
        <v>63845647</v>
      </c>
      <c r="M394" s="60"/>
      <c r="N394" s="58" t="e">
        <f>VLOOKUP(B394,歌单!B:C,2,0)</f>
        <v>#N/A</v>
      </c>
      <c r="O394" s="58">
        <f t="shared" si="6"/>
        <v>1</v>
      </c>
      <c r="P394" s="62" t="s">
        <v>10246</v>
      </c>
      <c r="Q394" s="58" t="s">
        <v>10239</v>
      </c>
      <c r="R394" s="62"/>
    </row>
    <row r="395" spans="1:18" ht="15" hidden="1" customHeight="1">
      <c r="A395" s="4" t="s">
        <v>1844</v>
      </c>
      <c r="B395" s="46" t="s">
        <v>1845</v>
      </c>
      <c r="C395" s="46" t="s">
        <v>1545</v>
      </c>
      <c r="D395" s="59"/>
      <c r="E395" s="59">
        <v>0</v>
      </c>
      <c r="F395" s="59">
        <v>0</v>
      </c>
      <c r="G395" s="60" t="s">
        <v>1846</v>
      </c>
      <c r="H395" s="60" t="s">
        <v>1847</v>
      </c>
      <c r="I395" s="61">
        <v>6677</v>
      </c>
      <c r="J395" s="60"/>
      <c r="K395" s="60" t="s">
        <v>1848</v>
      </c>
      <c r="L395" s="60">
        <v>833926032</v>
      </c>
      <c r="M395" s="60"/>
      <c r="N395" s="58" t="str">
        <f>VLOOKUP(B395,歌单!B:C,2,0)</f>
        <v>梁静茹</v>
      </c>
      <c r="O395" s="58">
        <f t="shared" si="6"/>
        <v>0</v>
      </c>
      <c r="P395" s="62" t="str">
        <f>VLOOKUP(B395,歌单!B:E,3,0)</f>
        <v>国语</v>
      </c>
      <c r="Q395" s="58" t="str">
        <f>VLOOKUP(B395,歌单!B:E,4,0)</f>
        <v>流行</v>
      </c>
      <c r="R395" s="62"/>
    </row>
    <row r="396" spans="1:18" ht="15" hidden="1" customHeight="1">
      <c r="A396" s="4" t="s">
        <v>1849</v>
      </c>
      <c r="B396" s="46" t="s">
        <v>1850</v>
      </c>
      <c r="C396" s="46" t="s">
        <v>154</v>
      </c>
      <c r="D396" s="59"/>
      <c r="E396" s="59">
        <v>0</v>
      </c>
      <c r="F396" s="59">
        <v>0</v>
      </c>
      <c r="G396" s="60" t="s">
        <v>1851</v>
      </c>
      <c r="H396" s="60"/>
      <c r="I396" s="61">
        <v>2206</v>
      </c>
      <c r="J396" s="60"/>
      <c r="K396" s="60" t="s">
        <v>378</v>
      </c>
      <c r="L396" s="60">
        <v>358806634</v>
      </c>
      <c r="M396" s="60"/>
      <c r="N396" s="58" t="str">
        <f>VLOOKUP(B396,歌单!B:C,2,0)</f>
        <v>周杰伦</v>
      </c>
      <c r="O396" s="58">
        <f t="shared" si="6"/>
        <v>0</v>
      </c>
      <c r="P396" s="62" t="str">
        <f>VLOOKUP(B396,歌单!B:E,3,0)</f>
        <v>国语</v>
      </c>
      <c r="Q396" s="58" t="str">
        <f>VLOOKUP(B396,歌单!B:E,4,0)</f>
        <v>流行</v>
      </c>
      <c r="R396" s="62"/>
    </row>
    <row r="397" spans="1:18" ht="15" hidden="1" customHeight="1">
      <c r="A397" s="4" t="s">
        <v>1852</v>
      </c>
      <c r="B397" s="46" t="s">
        <v>1853</v>
      </c>
      <c r="C397" s="46" t="s">
        <v>1854</v>
      </c>
      <c r="D397" s="59"/>
      <c r="E397" s="59">
        <v>0</v>
      </c>
      <c r="F397" s="59">
        <v>0</v>
      </c>
      <c r="G397" s="60" t="s">
        <v>1855</v>
      </c>
      <c r="H397" s="60" t="s">
        <v>1856</v>
      </c>
      <c r="I397" s="61">
        <v>166</v>
      </c>
      <c r="J397" s="60"/>
      <c r="K397" s="60"/>
      <c r="L397" s="60">
        <v>141841699</v>
      </c>
      <c r="M397" s="60"/>
      <c r="N397" s="58" t="str">
        <f>VLOOKUP(B397,歌单!B:C,2,0)</f>
        <v>李佳薇</v>
      </c>
      <c r="O397" s="58">
        <f t="shared" si="6"/>
        <v>0</v>
      </c>
      <c r="P397" s="62" t="str">
        <f>VLOOKUP(B397,歌单!B:E,3,0)</f>
        <v>国语</v>
      </c>
      <c r="Q397" s="58" t="str">
        <f>VLOOKUP(B397,歌单!B:E,4,0)</f>
        <v>流行</v>
      </c>
      <c r="R397" s="62"/>
    </row>
    <row r="398" spans="1:18" ht="15" customHeight="1">
      <c r="A398" s="4" t="s">
        <v>1857</v>
      </c>
      <c r="B398" s="46" t="s">
        <v>1858</v>
      </c>
      <c r="C398" s="46" t="s">
        <v>679</v>
      </c>
      <c r="D398" s="59"/>
      <c r="E398" s="59">
        <v>0</v>
      </c>
      <c r="F398" s="59">
        <v>0</v>
      </c>
      <c r="G398" s="60" t="s">
        <v>1859</v>
      </c>
      <c r="H398" s="60" t="s">
        <v>1860</v>
      </c>
      <c r="I398" s="61">
        <v>114</v>
      </c>
      <c r="J398" s="60"/>
      <c r="K398" s="60" t="s">
        <v>789</v>
      </c>
      <c r="L398" s="60">
        <v>23763965</v>
      </c>
      <c r="M398" s="60"/>
      <c r="N398" s="58" t="e">
        <f>VLOOKUP(B398,歌单!B:C,2,0)</f>
        <v>#N/A</v>
      </c>
      <c r="O398" s="58">
        <f t="shared" si="6"/>
        <v>1</v>
      </c>
      <c r="P398" s="62" t="s">
        <v>10246</v>
      </c>
      <c r="Q398" s="58" t="s">
        <v>10252</v>
      </c>
      <c r="R398" s="62"/>
    </row>
    <row r="399" spans="1:18" ht="15" hidden="1" customHeight="1">
      <c r="A399" s="4" t="s">
        <v>1861</v>
      </c>
      <c r="B399" s="46" t="s">
        <v>1862</v>
      </c>
      <c r="C399" s="46" t="s">
        <v>679</v>
      </c>
      <c r="D399" s="59"/>
      <c r="E399" s="59">
        <v>0</v>
      </c>
      <c r="F399" s="59">
        <v>0</v>
      </c>
      <c r="G399" s="60" t="s">
        <v>1863</v>
      </c>
      <c r="H399" s="60" t="s">
        <v>1864</v>
      </c>
      <c r="I399" s="61">
        <v>255</v>
      </c>
      <c r="J399" s="60"/>
      <c r="K399" s="60" t="s">
        <v>1865</v>
      </c>
      <c r="L399" s="60">
        <v>96639417</v>
      </c>
      <c r="M399" s="60"/>
      <c r="N399" s="58" t="str">
        <f>VLOOKUP(B399,歌单!B:C,2,0)</f>
        <v>林俊杰</v>
      </c>
      <c r="O399" s="58">
        <f t="shared" si="6"/>
        <v>0</v>
      </c>
      <c r="P399" s="62" t="str">
        <f>VLOOKUP(B399,歌单!B:E,3,0)</f>
        <v>国语</v>
      </c>
      <c r="Q399" s="58" t="str">
        <f>VLOOKUP(B399,歌单!B:E,4,0)</f>
        <v>流行</v>
      </c>
      <c r="R399" s="62"/>
    </row>
    <row r="400" spans="1:18" ht="15" hidden="1" customHeight="1">
      <c r="A400" s="32" t="s">
        <v>1866</v>
      </c>
      <c r="B400" s="46" t="s">
        <v>1867</v>
      </c>
      <c r="C400" s="46" t="s">
        <v>621</v>
      </c>
      <c r="D400" s="59"/>
      <c r="E400" s="59">
        <v>0</v>
      </c>
      <c r="F400" s="59">
        <v>0</v>
      </c>
      <c r="G400" s="60" t="s">
        <v>1868</v>
      </c>
      <c r="H400" s="60" t="s">
        <v>1869</v>
      </c>
      <c r="I400" s="61">
        <v>1234</v>
      </c>
      <c r="J400" s="60"/>
      <c r="K400" s="60" t="s">
        <v>1867</v>
      </c>
      <c r="L400" s="60">
        <v>278158388</v>
      </c>
      <c r="M400" s="60"/>
      <c r="N400" s="56" t="str">
        <f>VLOOKUP(B400,歌单!B:C,2,0)</f>
        <v>思南</v>
      </c>
      <c r="O400" s="58">
        <f t="shared" si="6"/>
        <v>1</v>
      </c>
      <c r="P400" s="62" t="str">
        <f>VLOOKUP(B400,歌单!B:E,3,0)</f>
        <v>国语</v>
      </c>
      <c r="Q400" s="58" t="str">
        <f>VLOOKUP(B400,歌单!B:E,4,0)</f>
        <v>流行</v>
      </c>
      <c r="R400" s="62"/>
    </row>
    <row r="401" spans="1:18" ht="15" hidden="1" customHeight="1">
      <c r="A401" s="4" t="s">
        <v>1870</v>
      </c>
      <c r="B401" s="46" t="s">
        <v>1871</v>
      </c>
      <c r="C401" s="46" t="s">
        <v>1872</v>
      </c>
      <c r="D401" s="59"/>
      <c r="E401" s="59">
        <v>0</v>
      </c>
      <c r="F401" s="59">
        <v>0</v>
      </c>
      <c r="G401" s="60" t="s">
        <v>1873</v>
      </c>
      <c r="H401" s="60" t="s">
        <v>1874</v>
      </c>
      <c r="I401" s="61">
        <v>1513</v>
      </c>
      <c r="J401" s="60"/>
      <c r="K401" s="60" t="s">
        <v>1875</v>
      </c>
      <c r="L401" s="60">
        <v>971283646</v>
      </c>
      <c r="M401" s="60" t="s">
        <v>1507</v>
      </c>
      <c r="N401" s="58" t="str">
        <f>VLOOKUP(B401,歌单!B:C,2,0)</f>
        <v>费玉清</v>
      </c>
      <c r="O401" s="58">
        <f t="shared" si="6"/>
        <v>0</v>
      </c>
      <c r="P401" s="62" t="str">
        <f>VLOOKUP(B401,歌单!B:E,3,0)</f>
        <v>国语</v>
      </c>
      <c r="Q401" s="58" t="str">
        <f>VLOOKUP(B401,歌单!B:E,4,0)</f>
        <v>流行</v>
      </c>
      <c r="R401" s="62"/>
    </row>
    <row r="402" spans="1:18" ht="15" hidden="1" customHeight="1">
      <c r="A402" s="4" t="s">
        <v>1876</v>
      </c>
      <c r="B402" s="46" t="s">
        <v>1877</v>
      </c>
      <c r="C402" s="46" t="s">
        <v>395</v>
      </c>
      <c r="D402" s="59"/>
      <c r="E402" s="59">
        <v>0</v>
      </c>
      <c r="F402" s="59">
        <v>0</v>
      </c>
      <c r="G402" s="60" t="s">
        <v>1878</v>
      </c>
      <c r="H402" s="60" t="s">
        <v>1879</v>
      </c>
      <c r="I402" s="61">
        <v>149</v>
      </c>
      <c r="J402" s="60"/>
      <c r="K402" s="60" t="s">
        <v>397</v>
      </c>
      <c r="L402" s="60">
        <v>98709892</v>
      </c>
      <c r="M402" s="60"/>
      <c r="N402" s="58" t="str">
        <f>VLOOKUP(B402,歌单!B:C,2,0)</f>
        <v>S.H.E.</v>
      </c>
      <c r="O402" s="58">
        <f t="shared" si="6"/>
        <v>1</v>
      </c>
      <c r="P402" s="62" t="str">
        <f>VLOOKUP(B402,歌单!B:E,3,0)</f>
        <v>国语</v>
      </c>
      <c r="Q402" s="58" t="str">
        <f>VLOOKUP(B402,歌单!B:E,4,0)</f>
        <v>古风</v>
      </c>
      <c r="R402" s="62"/>
    </row>
    <row r="403" spans="1:18" ht="15" customHeight="1">
      <c r="A403" s="4" t="s">
        <v>1880</v>
      </c>
      <c r="B403" s="46" t="s">
        <v>1881</v>
      </c>
      <c r="C403" s="46" t="s">
        <v>1882</v>
      </c>
      <c r="D403" s="59"/>
      <c r="E403" s="59">
        <v>0</v>
      </c>
      <c r="F403" s="59">
        <v>0</v>
      </c>
      <c r="G403" s="60" t="s">
        <v>1883</v>
      </c>
      <c r="H403" s="60" t="s">
        <v>1884</v>
      </c>
      <c r="I403" s="61">
        <v>1281</v>
      </c>
      <c r="J403" s="60"/>
      <c r="K403" s="60" t="s">
        <v>1885</v>
      </c>
      <c r="L403" s="60">
        <v>53235047</v>
      </c>
      <c r="M403" s="60"/>
      <c r="N403" s="58" t="e">
        <f>VLOOKUP(B403,歌单!B:C,2,0)</f>
        <v>#N/A</v>
      </c>
      <c r="O403" s="58">
        <f t="shared" si="6"/>
        <v>1</v>
      </c>
      <c r="P403" s="62" t="s">
        <v>10248</v>
      </c>
      <c r="Q403" s="58" t="s">
        <v>10252</v>
      </c>
      <c r="R403" s="62"/>
    </row>
    <row r="404" spans="1:18" ht="15" customHeight="1">
      <c r="A404" s="4" t="s">
        <v>1886</v>
      </c>
      <c r="B404" s="46" t="s">
        <v>1887</v>
      </c>
      <c r="C404" s="46" t="s">
        <v>1888</v>
      </c>
      <c r="D404" s="59"/>
      <c r="E404" s="59">
        <v>0</v>
      </c>
      <c r="F404" s="59">
        <v>0</v>
      </c>
      <c r="G404" s="60" t="s">
        <v>1889</v>
      </c>
      <c r="H404" s="60"/>
      <c r="I404" s="61">
        <v>42</v>
      </c>
      <c r="J404" s="60"/>
      <c r="K404" s="60" t="s">
        <v>1887</v>
      </c>
      <c r="L404" s="60">
        <v>6085354</v>
      </c>
      <c r="M404" s="60"/>
      <c r="N404" s="58" t="e">
        <f>VLOOKUP(B404,歌单!B:C,2,0)</f>
        <v>#N/A</v>
      </c>
      <c r="O404" s="58">
        <f t="shared" si="6"/>
        <v>1</v>
      </c>
      <c r="P404" s="62" t="s">
        <v>10246</v>
      </c>
      <c r="Q404" s="58" t="s">
        <v>10252</v>
      </c>
      <c r="R404" s="62"/>
    </row>
    <row r="405" spans="1:18" ht="15" customHeight="1">
      <c r="A405" s="4" t="s">
        <v>1890</v>
      </c>
      <c r="B405" s="46" t="s">
        <v>283</v>
      </c>
      <c r="C405" s="46" t="s">
        <v>1891</v>
      </c>
      <c r="D405" s="59"/>
      <c r="E405" s="59">
        <v>0</v>
      </c>
      <c r="F405" s="59">
        <v>0</v>
      </c>
      <c r="G405" s="60" t="s">
        <v>1892</v>
      </c>
      <c r="H405" s="60" t="s">
        <v>1893</v>
      </c>
      <c r="I405" s="61">
        <v>15</v>
      </c>
      <c r="J405" s="60"/>
      <c r="K405" s="60" t="s">
        <v>1894</v>
      </c>
      <c r="L405" s="60">
        <v>34309022</v>
      </c>
      <c r="M405" s="60"/>
      <c r="N405" s="58" t="e">
        <f>VLOOKUP(B405,歌单!B:C,2,0)</f>
        <v>#N/A</v>
      </c>
      <c r="O405" s="58">
        <f t="shared" si="6"/>
        <v>1</v>
      </c>
      <c r="P405" s="62" t="s">
        <v>10247</v>
      </c>
      <c r="Q405" s="58" t="s">
        <v>10239</v>
      </c>
      <c r="R405" s="62"/>
    </row>
    <row r="406" spans="1:18" ht="15" customHeight="1">
      <c r="A406" s="4" t="s">
        <v>1895</v>
      </c>
      <c r="B406" s="46" t="s">
        <v>1896</v>
      </c>
      <c r="C406" s="51" t="s">
        <v>1897</v>
      </c>
      <c r="D406" s="59"/>
      <c r="E406" s="59">
        <v>0</v>
      </c>
      <c r="F406" s="59">
        <v>0</v>
      </c>
      <c r="G406" s="60" t="s">
        <v>1898</v>
      </c>
      <c r="H406" s="60" t="s">
        <v>1899</v>
      </c>
      <c r="I406" s="61">
        <v>0</v>
      </c>
      <c r="J406" s="60"/>
      <c r="K406" s="60"/>
      <c r="L406" s="60">
        <v>723571</v>
      </c>
      <c r="M406" s="60"/>
      <c r="N406" s="58" t="e">
        <f>VLOOKUP(B406,歌单!B:C,2,0)</f>
        <v>#N/A</v>
      </c>
      <c r="O406" s="58">
        <f t="shared" si="6"/>
        <v>1</v>
      </c>
      <c r="P406" s="62" t="s">
        <v>10246</v>
      </c>
      <c r="Q406" s="58" t="s">
        <v>10252</v>
      </c>
      <c r="R406" s="62"/>
    </row>
    <row r="407" spans="1:18" ht="15" customHeight="1">
      <c r="A407" s="4" t="s">
        <v>1900</v>
      </c>
      <c r="B407" s="46" t="s">
        <v>1901</v>
      </c>
      <c r="C407" s="46" t="s">
        <v>498</v>
      </c>
      <c r="D407" s="59"/>
      <c r="E407" s="59">
        <v>0</v>
      </c>
      <c r="F407" s="59">
        <v>0</v>
      </c>
      <c r="G407" s="60" t="s">
        <v>1902</v>
      </c>
      <c r="H407" s="60" t="s">
        <v>1903</v>
      </c>
      <c r="I407" s="61">
        <v>293</v>
      </c>
      <c r="J407" s="60"/>
      <c r="K407" s="60" t="s">
        <v>1904</v>
      </c>
      <c r="L407" s="60">
        <v>87009373</v>
      </c>
      <c r="M407" s="60"/>
      <c r="N407" s="58">
        <f>VLOOKUP(B407,歌单!B:C,2,0)</f>
        <v>0</v>
      </c>
      <c r="O407" s="58">
        <f t="shared" si="6"/>
        <v>1</v>
      </c>
      <c r="P407" s="62" t="str">
        <f>VLOOKUP(B407,歌单!B:E,3,0)</f>
        <v>国语</v>
      </c>
      <c r="Q407" s="58" t="str">
        <f>VLOOKUP(B407,歌单!B:E,4,0)</f>
        <v>流行</v>
      </c>
      <c r="R407" s="62"/>
    </row>
    <row r="408" spans="1:18" ht="15" customHeight="1">
      <c r="A408" s="4" t="s">
        <v>1905</v>
      </c>
      <c r="B408" s="46" t="s">
        <v>1906</v>
      </c>
      <c r="C408" s="46" t="s">
        <v>1907</v>
      </c>
      <c r="D408" s="59"/>
      <c r="E408" s="59">
        <v>0</v>
      </c>
      <c r="F408" s="59">
        <v>0</v>
      </c>
      <c r="G408" s="60" t="s">
        <v>1908</v>
      </c>
      <c r="H408" s="60" t="s">
        <v>1909</v>
      </c>
      <c r="I408" s="61">
        <v>25</v>
      </c>
      <c r="J408" s="60"/>
      <c r="K408" s="60" t="s">
        <v>1910</v>
      </c>
      <c r="L408" s="60">
        <v>801778</v>
      </c>
      <c r="M408" s="60"/>
      <c r="N408" s="58" t="e">
        <f>VLOOKUP(B408,歌单!B:C,2,0)</f>
        <v>#N/A</v>
      </c>
      <c r="O408" s="58">
        <f t="shared" si="6"/>
        <v>1</v>
      </c>
      <c r="P408" s="62" t="s">
        <v>10246</v>
      </c>
      <c r="Q408" s="58" t="s">
        <v>10252</v>
      </c>
      <c r="R408" s="62"/>
    </row>
    <row r="409" spans="1:18" ht="15" hidden="1" customHeight="1">
      <c r="A409" s="4" t="s">
        <v>1911</v>
      </c>
      <c r="B409" s="46" t="s">
        <v>1912</v>
      </c>
      <c r="C409" s="46" t="s">
        <v>650</v>
      </c>
      <c r="D409" s="59"/>
      <c r="E409" s="59">
        <v>0</v>
      </c>
      <c r="F409" s="59">
        <v>0</v>
      </c>
      <c r="G409" s="60" t="s">
        <v>1913</v>
      </c>
      <c r="H409" s="60" t="s">
        <v>1914</v>
      </c>
      <c r="I409" s="61">
        <v>1064</v>
      </c>
      <c r="J409" s="60" t="s">
        <v>1915</v>
      </c>
      <c r="K409" s="60" t="s">
        <v>1916</v>
      </c>
      <c r="L409" s="60">
        <v>179366306</v>
      </c>
      <c r="M409" s="60"/>
      <c r="N409" s="58" t="str">
        <f>VLOOKUP(B409,歌单!B:C,2,0)</f>
        <v>李健</v>
      </c>
      <c r="O409" s="58">
        <f t="shared" si="6"/>
        <v>0</v>
      </c>
      <c r="P409" s="62" t="str">
        <f>VLOOKUP(B409,歌单!B:E,3,0)</f>
        <v>国语</v>
      </c>
      <c r="Q409" s="58" t="str">
        <f>VLOOKUP(B409,歌单!B:E,4,0)</f>
        <v>流行</v>
      </c>
      <c r="R409" s="62"/>
    </row>
    <row r="410" spans="1:18" ht="15" hidden="1" customHeight="1">
      <c r="A410" s="32" t="s">
        <v>1917</v>
      </c>
      <c r="B410" s="46" t="s">
        <v>1918</v>
      </c>
      <c r="C410" s="46" t="s">
        <v>935</v>
      </c>
      <c r="D410" s="59"/>
      <c r="E410" s="59">
        <v>0</v>
      </c>
      <c r="F410" s="59">
        <v>0</v>
      </c>
      <c r="G410" s="60" t="s">
        <v>1919</v>
      </c>
      <c r="H410" s="60" t="s">
        <v>1920</v>
      </c>
      <c r="I410" s="61">
        <v>0</v>
      </c>
      <c r="J410" s="60"/>
      <c r="K410" s="60" t="s">
        <v>1921</v>
      </c>
      <c r="L410" s="60">
        <v>1785293</v>
      </c>
      <c r="M410" s="60"/>
      <c r="N410" s="68" t="str">
        <f>VLOOKUP(B410,歌单!B:C,2,0)</f>
        <v>黄绮珊</v>
      </c>
      <c r="O410" s="58">
        <f t="shared" si="6"/>
        <v>1</v>
      </c>
      <c r="P410" s="62" t="str">
        <f>VLOOKUP(B410,歌单!B:E,3,0)</f>
        <v>国语</v>
      </c>
      <c r="Q410" s="58" t="str">
        <f>VLOOKUP(B410,歌单!B:E,4,0)</f>
        <v>流行</v>
      </c>
      <c r="R410" s="62"/>
    </row>
    <row r="411" spans="1:18" ht="15" hidden="1" customHeight="1">
      <c r="A411" s="4" t="s">
        <v>1922</v>
      </c>
      <c r="B411" s="46" t="s">
        <v>1923</v>
      </c>
      <c r="C411" s="46" t="s">
        <v>478</v>
      </c>
      <c r="D411" s="59"/>
      <c r="E411" s="59">
        <v>0</v>
      </c>
      <c r="F411" s="59">
        <v>0</v>
      </c>
      <c r="G411" s="60" t="s">
        <v>1924</v>
      </c>
      <c r="H411" s="60" t="s">
        <v>1925</v>
      </c>
      <c r="I411" s="61">
        <v>777</v>
      </c>
      <c r="J411" s="60"/>
      <c r="K411" s="60" t="s">
        <v>1926</v>
      </c>
      <c r="L411" s="60">
        <v>131989323</v>
      </c>
      <c r="M411" s="60"/>
      <c r="N411" s="58" t="str">
        <f>VLOOKUP(B411,歌单!B:C,2,0)</f>
        <v>邓丽君</v>
      </c>
      <c r="O411" s="58">
        <f t="shared" si="6"/>
        <v>0</v>
      </c>
      <c r="P411" s="62" t="str">
        <f>VLOOKUP(B411,歌单!B:E,3,0)</f>
        <v>国语</v>
      </c>
      <c r="Q411" s="58" t="str">
        <f>VLOOKUP(B411,歌单!B:E,4,0)</f>
        <v>流行</v>
      </c>
      <c r="R411" s="62"/>
    </row>
    <row r="412" spans="1:18" ht="15" hidden="1" customHeight="1">
      <c r="A412" s="4" t="s">
        <v>1927</v>
      </c>
      <c r="B412" s="46" t="s">
        <v>1928</v>
      </c>
      <c r="C412" s="46" t="s">
        <v>1372</v>
      </c>
      <c r="D412" s="59"/>
      <c r="E412" s="59">
        <v>0</v>
      </c>
      <c r="F412" s="59">
        <v>0</v>
      </c>
      <c r="G412" s="60" t="s">
        <v>1929</v>
      </c>
      <c r="H412" s="60" t="s">
        <v>1930</v>
      </c>
      <c r="I412" s="61">
        <v>930</v>
      </c>
      <c r="J412" s="60"/>
      <c r="K412" s="60" t="s">
        <v>1928</v>
      </c>
      <c r="L412" s="60">
        <v>805636539</v>
      </c>
      <c r="M412" s="60"/>
      <c r="N412" s="58" t="str">
        <f>VLOOKUP(B412,歌单!B:C,2,0)</f>
        <v>宋祖英</v>
      </c>
      <c r="O412" s="58">
        <f t="shared" si="6"/>
        <v>0</v>
      </c>
      <c r="P412" s="62" t="str">
        <f>VLOOKUP(B412,歌单!B:E,3,0)</f>
        <v>国语</v>
      </c>
      <c r="Q412" s="58" t="str">
        <f>VLOOKUP(B412,歌单!B:E,4,0)</f>
        <v>民族</v>
      </c>
      <c r="R412" s="62"/>
    </row>
    <row r="413" spans="1:18" ht="15" customHeight="1">
      <c r="A413" s="4" t="s">
        <v>1931</v>
      </c>
      <c r="B413" s="46" t="s">
        <v>1932</v>
      </c>
      <c r="C413" s="46" t="s">
        <v>1933</v>
      </c>
      <c r="D413" s="59"/>
      <c r="E413" s="59">
        <v>0</v>
      </c>
      <c r="F413" s="59">
        <v>0</v>
      </c>
      <c r="G413" s="60" t="s">
        <v>1934</v>
      </c>
      <c r="H413" s="60" t="s">
        <v>1935</v>
      </c>
      <c r="I413" s="61">
        <v>665</v>
      </c>
      <c r="J413" s="60" t="s">
        <v>1936</v>
      </c>
      <c r="K413" s="60"/>
      <c r="L413" s="60">
        <v>88649267</v>
      </c>
      <c r="M413" s="60"/>
      <c r="N413" s="58" t="e">
        <f>VLOOKUP(B413,歌单!B:C,2,0)</f>
        <v>#N/A</v>
      </c>
      <c r="O413" s="58">
        <f t="shared" si="6"/>
        <v>1</v>
      </c>
      <c r="P413" s="62" t="s">
        <v>10246</v>
      </c>
      <c r="Q413" s="58" t="s">
        <v>10239</v>
      </c>
      <c r="R413" s="62"/>
    </row>
    <row r="414" spans="1:18" ht="15" customHeight="1">
      <c r="A414" s="4" t="s">
        <v>1937</v>
      </c>
      <c r="B414" s="46" t="s">
        <v>85</v>
      </c>
      <c r="C414" s="46" t="s">
        <v>51</v>
      </c>
      <c r="D414" s="59"/>
      <c r="E414" s="59">
        <v>0</v>
      </c>
      <c r="F414" s="59">
        <v>0</v>
      </c>
      <c r="G414" s="60" t="s">
        <v>1938</v>
      </c>
      <c r="H414" s="60"/>
      <c r="I414" s="61">
        <v>0</v>
      </c>
      <c r="J414" s="60"/>
      <c r="K414" s="60" t="s">
        <v>85</v>
      </c>
      <c r="L414" s="60">
        <v>538222</v>
      </c>
      <c r="M414" s="60"/>
      <c r="N414" s="58" t="e">
        <f>VLOOKUP(B414,歌单!B:C,2,0)</f>
        <v>#N/A</v>
      </c>
      <c r="O414" s="58">
        <f t="shared" si="6"/>
        <v>1</v>
      </c>
      <c r="P414" s="62" t="s">
        <v>10246</v>
      </c>
      <c r="Q414" s="58" t="s">
        <v>10252</v>
      </c>
      <c r="R414" s="62"/>
    </row>
    <row r="415" spans="1:18" ht="15" customHeight="1">
      <c r="A415" s="4" t="s">
        <v>1939</v>
      </c>
      <c r="B415" s="46" t="s">
        <v>1940</v>
      </c>
      <c r="C415" s="46" t="s">
        <v>1372</v>
      </c>
      <c r="D415" s="59"/>
      <c r="E415" s="59">
        <v>0</v>
      </c>
      <c r="F415" s="59">
        <v>0</v>
      </c>
      <c r="G415" s="60" t="s">
        <v>1941</v>
      </c>
      <c r="H415" s="60"/>
      <c r="I415" s="61">
        <v>4</v>
      </c>
      <c r="J415" s="60"/>
      <c r="K415" s="60" t="s">
        <v>1942</v>
      </c>
      <c r="L415" s="60">
        <v>786764</v>
      </c>
      <c r="M415" s="60"/>
      <c r="N415" s="58" t="str">
        <f>VLOOKUP(B415,歌单!B:C,2,0)</f>
        <v>/</v>
      </c>
      <c r="O415" s="58">
        <f t="shared" si="6"/>
        <v>1</v>
      </c>
      <c r="P415" s="62" t="str">
        <f>VLOOKUP(B415,歌单!B:E,3,0)</f>
        <v>国语</v>
      </c>
      <c r="Q415" s="58" t="str">
        <f>VLOOKUP(B415,歌单!B:E,4,0)</f>
        <v>美声</v>
      </c>
      <c r="R415" s="62"/>
    </row>
    <row r="416" spans="1:18" ht="15" hidden="1" customHeight="1">
      <c r="A416" s="4" t="s">
        <v>1943</v>
      </c>
      <c r="B416" s="46" t="s">
        <v>1944</v>
      </c>
      <c r="C416" s="46" t="s">
        <v>776</v>
      </c>
      <c r="D416" s="59"/>
      <c r="E416" s="59">
        <v>0</v>
      </c>
      <c r="F416" s="59">
        <v>0</v>
      </c>
      <c r="G416" s="60" t="s">
        <v>1945</v>
      </c>
      <c r="H416" s="60" t="s">
        <v>1946</v>
      </c>
      <c r="I416" s="61">
        <v>2</v>
      </c>
      <c r="J416" s="60"/>
      <c r="K416" s="60" t="s">
        <v>1947</v>
      </c>
      <c r="L416" s="60">
        <v>3606375</v>
      </c>
      <c r="M416" s="60"/>
      <c r="N416" s="58" t="str">
        <f>VLOOKUP(B416,歌单!B:C,2,0)</f>
        <v>玉置浩二</v>
      </c>
      <c r="O416" s="58">
        <f t="shared" si="6"/>
        <v>1</v>
      </c>
      <c r="P416" s="62" t="str">
        <f>VLOOKUP(B416,歌单!B:E,3,0)</f>
        <v>国语</v>
      </c>
      <c r="Q416" s="58" t="str">
        <f>VLOOKUP(B416,歌单!B:E,4,0)</f>
        <v>流行</v>
      </c>
      <c r="R416" s="62"/>
    </row>
    <row r="417" spans="1:18" ht="15" customHeight="1">
      <c r="A417" s="4" t="s">
        <v>1948</v>
      </c>
      <c r="B417" s="46" t="s">
        <v>1949</v>
      </c>
      <c r="C417" s="46" t="s">
        <v>1950</v>
      </c>
      <c r="D417" s="59"/>
      <c r="E417" s="59">
        <v>0</v>
      </c>
      <c r="F417" s="59">
        <v>0</v>
      </c>
      <c r="G417" s="60" t="s">
        <v>1951</v>
      </c>
      <c r="H417" s="60"/>
      <c r="I417" s="61">
        <v>0</v>
      </c>
      <c r="J417" s="60"/>
      <c r="K417" s="60" t="s">
        <v>1952</v>
      </c>
      <c r="L417" s="60">
        <v>150461</v>
      </c>
      <c r="M417" s="60"/>
      <c r="N417" s="58">
        <f>VLOOKUP(B417,歌单!B:C,2,0)</f>
        <v>0</v>
      </c>
      <c r="O417" s="58">
        <f t="shared" si="6"/>
        <v>1</v>
      </c>
      <c r="P417" s="62" t="str">
        <f>VLOOKUP(B417,歌单!B:E,3,0)</f>
        <v>国语</v>
      </c>
      <c r="Q417" s="58" t="str">
        <f>VLOOKUP(B417,歌单!B:E,4,0)</f>
        <v>民谣</v>
      </c>
      <c r="R417" s="62"/>
    </row>
    <row r="418" spans="1:18" ht="15" hidden="1" customHeight="1">
      <c r="A418" s="4" t="s">
        <v>1958</v>
      </c>
      <c r="B418" s="46" t="s">
        <v>1959</v>
      </c>
      <c r="C418" s="46" t="s">
        <v>348</v>
      </c>
      <c r="D418" s="59"/>
      <c r="E418" s="59">
        <v>0</v>
      </c>
      <c r="F418" s="59">
        <v>0</v>
      </c>
      <c r="G418" s="60" t="s">
        <v>1960</v>
      </c>
      <c r="H418" s="60" t="s">
        <v>1961</v>
      </c>
      <c r="I418" s="61">
        <v>657</v>
      </c>
      <c r="J418" s="60" t="s">
        <v>1962</v>
      </c>
      <c r="K418" s="60" t="s">
        <v>1963</v>
      </c>
      <c r="L418" s="60">
        <v>132933484</v>
      </c>
      <c r="M418" s="60"/>
      <c r="N418" s="58" t="str">
        <f>VLOOKUP(B418,歌单!B:C,2,0)</f>
        <v>F.I.R.飞儿乐团</v>
      </c>
      <c r="O418" s="58">
        <f t="shared" si="6"/>
        <v>0</v>
      </c>
      <c r="P418" s="62" t="str">
        <f>VLOOKUP(B418,歌单!B:E,3,0)</f>
        <v>国语</v>
      </c>
      <c r="Q418" s="58" t="str">
        <f>VLOOKUP(B418,歌单!B:E,4,0)</f>
        <v>流行</v>
      </c>
      <c r="R418" s="62"/>
    </row>
    <row r="419" spans="1:18" ht="15" customHeight="1">
      <c r="A419" s="4" t="s">
        <v>1964</v>
      </c>
      <c r="B419" s="46" t="s">
        <v>1965</v>
      </c>
      <c r="C419" s="46" t="s">
        <v>1966</v>
      </c>
      <c r="D419" s="59"/>
      <c r="E419" s="59">
        <v>0</v>
      </c>
      <c r="F419" s="59">
        <v>0</v>
      </c>
      <c r="G419" s="60" t="s">
        <v>1967</v>
      </c>
      <c r="H419" s="60"/>
      <c r="I419" s="61">
        <v>31</v>
      </c>
      <c r="J419" s="60"/>
      <c r="K419" s="60" t="s">
        <v>1968</v>
      </c>
      <c r="L419" s="60">
        <v>41691117</v>
      </c>
      <c r="M419" s="60"/>
      <c r="N419" s="58" t="e">
        <f>VLOOKUP(B419,歌单!B:C,2,0)</f>
        <v>#N/A</v>
      </c>
      <c r="O419" s="58">
        <f t="shared" si="6"/>
        <v>1</v>
      </c>
      <c r="P419" s="62" t="s">
        <v>10248</v>
      </c>
      <c r="Q419" s="58" t="s">
        <v>10252</v>
      </c>
      <c r="R419" s="62"/>
    </row>
    <row r="420" spans="1:18" ht="15" customHeight="1">
      <c r="A420" s="4" t="s">
        <v>1969</v>
      </c>
      <c r="B420" s="46" t="s">
        <v>1970</v>
      </c>
      <c r="C420" s="46" t="s">
        <v>1971</v>
      </c>
      <c r="D420" s="59"/>
      <c r="E420" s="59">
        <v>54</v>
      </c>
      <c r="F420" s="59">
        <v>16</v>
      </c>
      <c r="G420" s="60" t="s">
        <v>1972</v>
      </c>
      <c r="H420" s="60" t="s">
        <v>1973</v>
      </c>
      <c r="I420" s="61">
        <v>96</v>
      </c>
      <c r="J420" s="60" t="s">
        <v>1974</v>
      </c>
      <c r="K420" s="60" t="s">
        <v>1975</v>
      </c>
      <c r="L420" s="60">
        <v>105856229</v>
      </c>
      <c r="M420" s="60"/>
      <c r="N420" s="58" t="e">
        <f>VLOOKUP(B420,歌单!B:C,2,0)</f>
        <v>#N/A</v>
      </c>
      <c r="O420" s="58">
        <f t="shared" si="6"/>
        <v>1</v>
      </c>
      <c r="P420" s="62" t="s">
        <v>10246</v>
      </c>
      <c r="Q420" s="58" t="s">
        <v>10252</v>
      </c>
      <c r="R420" s="62"/>
    </row>
    <row r="421" spans="1:18" ht="15" hidden="1" customHeight="1">
      <c r="A421" s="32" t="s">
        <v>1976</v>
      </c>
      <c r="B421" s="46" t="s">
        <v>1977</v>
      </c>
      <c r="C421" s="46" t="s">
        <v>1978</v>
      </c>
      <c r="D421" s="59"/>
      <c r="E421" s="59">
        <v>0</v>
      </c>
      <c r="F421" s="59">
        <v>0</v>
      </c>
      <c r="G421" s="60" t="s">
        <v>1979</v>
      </c>
      <c r="H421" s="60" t="s">
        <v>1980</v>
      </c>
      <c r="I421" s="61">
        <v>14</v>
      </c>
      <c r="J421" s="60" t="s">
        <v>1981</v>
      </c>
      <c r="K421" s="60" t="s">
        <v>1982</v>
      </c>
      <c r="L421" s="60">
        <v>2915511</v>
      </c>
      <c r="M421" s="60"/>
      <c r="N421" s="56" t="str">
        <f>VLOOKUP(B421,歌单!B:C,2,0)</f>
        <v>OliviaOng</v>
      </c>
      <c r="O421" s="58">
        <f t="shared" si="6"/>
        <v>1</v>
      </c>
      <c r="P421" s="62" t="str">
        <f>VLOOKUP(B421,歌单!B:E,3,0)</f>
        <v>国语</v>
      </c>
      <c r="Q421" s="58" t="str">
        <f>VLOOKUP(B421,歌单!B:E,4,0)</f>
        <v>流行</v>
      </c>
      <c r="R421" s="62"/>
    </row>
    <row r="422" spans="1:18" ht="15" hidden="1" customHeight="1">
      <c r="A422" s="4" t="s">
        <v>1983</v>
      </c>
      <c r="B422" s="46" t="s">
        <v>1984</v>
      </c>
      <c r="C422" s="46" t="s">
        <v>541</v>
      </c>
      <c r="D422" s="59"/>
      <c r="E422" s="59">
        <v>265</v>
      </c>
      <c r="F422" s="59">
        <v>125</v>
      </c>
      <c r="G422" s="60" t="s">
        <v>1985</v>
      </c>
      <c r="H422" s="60" t="s">
        <v>1986</v>
      </c>
      <c r="I422" s="61">
        <v>11</v>
      </c>
      <c r="J422" s="60"/>
      <c r="K422" s="60" t="s">
        <v>1987</v>
      </c>
      <c r="L422" s="60">
        <v>10218385</v>
      </c>
      <c r="M422" s="60"/>
      <c r="N422" s="58" t="str">
        <f>VLOOKUP(B422,歌单!B:C,2,0)</f>
        <v>张惠妹</v>
      </c>
      <c r="O422" s="58">
        <f t="shared" si="6"/>
        <v>0</v>
      </c>
      <c r="P422" s="62" t="str">
        <f>VLOOKUP(B422,歌单!B:E,3,0)</f>
        <v>国语</v>
      </c>
      <c r="Q422" s="58" t="str">
        <f>VLOOKUP(B422,歌单!B:E,4,0)</f>
        <v>流行</v>
      </c>
      <c r="R422" s="62"/>
    </row>
    <row r="423" spans="1:18" ht="15" customHeight="1">
      <c r="A423" s="4" t="s">
        <v>1988</v>
      </c>
      <c r="B423" s="46" t="s">
        <v>1989</v>
      </c>
      <c r="C423" s="46" t="s">
        <v>1990</v>
      </c>
      <c r="D423" s="59"/>
      <c r="E423" s="59">
        <v>0</v>
      </c>
      <c r="F423" s="59">
        <v>0</v>
      </c>
      <c r="G423" s="60" t="s">
        <v>1991</v>
      </c>
      <c r="H423" s="60" t="s">
        <v>1992</v>
      </c>
      <c r="I423" s="61">
        <v>882</v>
      </c>
      <c r="J423" s="60"/>
      <c r="K423" s="60" t="s">
        <v>1989</v>
      </c>
      <c r="L423" s="60">
        <v>93183291</v>
      </c>
      <c r="M423" s="60"/>
      <c r="N423" s="58" t="e">
        <f>VLOOKUP(B423,歌单!B:C,2,0)</f>
        <v>#N/A</v>
      </c>
      <c r="O423" s="58">
        <f t="shared" si="6"/>
        <v>1</v>
      </c>
      <c r="P423" s="62" t="s">
        <v>10246</v>
      </c>
      <c r="Q423" s="58" t="s">
        <v>10252</v>
      </c>
      <c r="R423" s="62"/>
    </row>
    <row r="424" spans="1:18" ht="15" hidden="1" customHeight="1">
      <c r="A424" s="4" t="s">
        <v>1993</v>
      </c>
      <c r="B424" s="46" t="s">
        <v>1994</v>
      </c>
      <c r="C424" s="46" t="s">
        <v>1995</v>
      </c>
      <c r="D424" s="59"/>
      <c r="E424" s="59">
        <v>0</v>
      </c>
      <c r="F424" s="59">
        <v>0</v>
      </c>
      <c r="G424" s="60" t="s">
        <v>1996</v>
      </c>
      <c r="H424" s="60" t="s">
        <v>1997</v>
      </c>
      <c r="I424" s="61">
        <v>954</v>
      </c>
      <c r="J424" s="60" t="s">
        <v>1998</v>
      </c>
      <c r="K424" s="60" t="s">
        <v>1999</v>
      </c>
      <c r="L424" s="60">
        <v>187518496</v>
      </c>
      <c r="M424" s="60"/>
      <c r="N424" s="58" t="str">
        <f>VLOOKUP(B424,歌单!B:C,2,0)</f>
        <v>Sweety</v>
      </c>
      <c r="O424" s="58">
        <f t="shared" si="6"/>
        <v>0</v>
      </c>
      <c r="P424" s="62" t="str">
        <f>VLOOKUP(B424,歌单!B:E,3,0)</f>
        <v>国语</v>
      </c>
      <c r="Q424" s="58" t="str">
        <f>VLOOKUP(B424,歌单!B:E,4,0)</f>
        <v>流行</v>
      </c>
      <c r="R424" s="62"/>
    </row>
    <row r="425" spans="1:18" ht="15" customHeight="1">
      <c r="A425" s="4" t="s">
        <v>2000</v>
      </c>
      <c r="B425" s="46" t="s">
        <v>2001</v>
      </c>
      <c r="C425" s="46" t="s">
        <v>2002</v>
      </c>
      <c r="D425" s="59"/>
      <c r="E425" s="59">
        <v>0</v>
      </c>
      <c r="F425" s="59">
        <v>0</v>
      </c>
      <c r="G425" s="60" t="s">
        <v>2003</v>
      </c>
      <c r="H425" s="60" t="s">
        <v>2004</v>
      </c>
      <c r="I425" s="61">
        <v>1</v>
      </c>
      <c r="J425" s="60" t="s">
        <v>2005</v>
      </c>
      <c r="K425" s="60" t="s">
        <v>2006</v>
      </c>
      <c r="L425" s="60">
        <v>709617</v>
      </c>
      <c r="M425" s="60"/>
      <c r="N425" s="58" t="e">
        <f>VLOOKUP(B425,歌单!B:C,2,0)</f>
        <v>#N/A</v>
      </c>
      <c r="O425" s="58">
        <f t="shared" si="6"/>
        <v>1</v>
      </c>
      <c r="P425" s="62" t="s">
        <v>10246</v>
      </c>
      <c r="Q425" s="58" t="s">
        <v>10252</v>
      </c>
      <c r="R425" s="62"/>
    </row>
    <row r="426" spans="1:18" ht="15" hidden="1" customHeight="1">
      <c r="A426" s="4" t="s">
        <v>2007</v>
      </c>
      <c r="B426" s="46" t="s">
        <v>2008</v>
      </c>
      <c r="C426" s="46" t="s">
        <v>227</v>
      </c>
      <c r="D426" s="59"/>
      <c r="E426" s="59">
        <v>0</v>
      </c>
      <c r="F426" s="59">
        <v>0</v>
      </c>
      <c r="G426" s="60" t="s">
        <v>2009</v>
      </c>
      <c r="H426" s="60" t="s">
        <v>2010</v>
      </c>
      <c r="I426" s="61">
        <v>65</v>
      </c>
      <c r="J426" s="60"/>
      <c r="K426" s="60" t="s">
        <v>227</v>
      </c>
      <c r="L426" s="60">
        <v>35937366</v>
      </c>
      <c r="M426" s="60"/>
      <c r="N426" s="58" t="str">
        <f>VLOOKUP(B426,歌单!B:C,2,0)</f>
        <v>王菲</v>
      </c>
      <c r="O426" s="58">
        <f t="shared" si="6"/>
        <v>0</v>
      </c>
      <c r="P426" s="62" t="str">
        <f>VLOOKUP(B426,歌单!B:E,3,0)</f>
        <v>国语</v>
      </c>
      <c r="Q426" s="58" t="str">
        <f>VLOOKUP(B426,歌单!B:E,4,0)</f>
        <v>流行</v>
      </c>
      <c r="R426" s="62"/>
    </row>
    <row r="427" spans="1:18" ht="15" hidden="1" customHeight="1">
      <c r="A427" s="32" t="s">
        <v>2011</v>
      </c>
      <c r="B427" s="46" t="s">
        <v>2012</v>
      </c>
      <c r="C427" s="46" t="s">
        <v>2013</v>
      </c>
      <c r="D427" s="59"/>
      <c r="E427" s="59">
        <v>0</v>
      </c>
      <c r="F427" s="59">
        <v>0</v>
      </c>
      <c r="G427" s="60" t="s">
        <v>2014</v>
      </c>
      <c r="H427" s="60" t="s">
        <v>2015</v>
      </c>
      <c r="I427" s="61">
        <v>1499</v>
      </c>
      <c r="J427" s="60" t="s">
        <v>2016</v>
      </c>
      <c r="K427" s="60" t="s">
        <v>2017</v>
      </c>
      <c r="L427" s="60">
        <v>316782479</v>
      </c>
      <c r="M427" s="60"/>
      <c r="N427" s="56" t="str">
        <f>VLOOKUP(B427,歌单!B:C,2,0)</f>
        <v>胡夏/郁可唯</v>
      </c>
      <c r="O427" s="58">
        <f t="shared" si="6"/>
        <v>1</v>
      </c>
      <c r="P427" s="62" t="str">
        <f>VLOOKUP(B427,歌单!B:E,3,0)</f>
        <v>国语</v>
      </c>
      <c r="Q427" s="58" t="str">
        <f>VLOOKUP(B427,歌单!B:E,4,0)</f>
        <v>流行</v>
      </c>
      <c r="R427" s="62"/>
    </row>
    <row r="428" spans="1:18" ht="15" hidden="1" customHeight="1">
      <c r="A428" s="4" t="s">
        <v>2018</v>
      </c>
      <c r="B428" s="46" t="s">
        <v>2019</v>
      </c>
      <c r="C428" s="46" t="s">
        <v>2020</v>
      </c>
      <c r="D428" s="59"/>
      <c r="E428" s="59">
        <v>0</v>
      </c>
      <c r="F428" s="59">
        <v>0</v>
      </c>
      <c r="G428" s="60" t="s">
        <v>2021</v>
      </c>
      <c r="H428" s="60" t="s">
        <v>2022</v>
      </c>
      <c r="I428" s="61">
        <v>152</v>
      </c>
      <c r="J428" s="60"/>
      <c r="K428" s="60" t="s">
        <v>2019</v>
      </c>
      <c r="L428" s="60">
        <v>63639298</v>
      </c>
      <c r="M428" s="60"/>
      <c r="N428" s="58" t="str">
        <f>VLOOKUP(B428,歌单!B:C,2,0)</f>
        <v>陈绮贞</v>
      </c>
      <c r="O428" s="58">
        <f t="shared" si="6"/>
        <v>0</v>
      </c>
      <c r="P428" s="62" t="str">
        <f>VLOOKUP(B428,歌单!B:E,3,0)</f>
        <v>国语</v>
      </c>
      <c r="Q428" s="58" t="str">
        <f>VLOOKUP(B428,歌单!B:E,4,0)</f>
        <v>流行</v>
      </c>
      <c r="R428" s="62"/>
    </row>
    <row r="429" spans="1:18" ht="15" customHeight="1">
      <c r="A429" s="4" t="s">
        <v>2023</v>
      </c>
      <c r="B429" s="46" t="s">
        <v>10257</v>
      </c>
      <c r="C429" s="46" t="s">
        <v>2025</v>
      </c>
      <c r="D429" s="59"/>
      <c r="E429" s="59">
        <v>0</v>
      </c>
      <c r="F429" s="59">
        <v>0</v>
      </c>
      <c r="G429" s="60" t="s">
        <v>2026</v>
      </c>
      <c r="H429" s="60" t="s">
        <v>2027</v>
      </c>
      <c r="I429" s="61">
        <v>11672</v>
      </c>
      <c r="J429" s="60"/>
      <c r="K429" s="60" t="s">
        <v>2028</v>
      </c>
      <c r="L429" s="60">
        <v>685097488</v>
      </c>
      <c r="M429" s="60"/>
      <c r="N429" s="58" t="e">
        <f>VLOOKUP(B429,歌单!B:C,2,0)</f>
        <v>#N/A</v>
      </c>
      <c r="O429" s="58">
        <f t="shared" si="6"/>
        <v>1</v>
      </c>
      <c r="P429" s="62" t="s">
        <v>10248</v>
      </c>
      <c r="Q429" s="58" t="s">
        <v>10252</v>
      </c>
      <c r="R429" s="62"/>
    </row>
    <row r="430" spans="1:18" ht="15" customHeight="1">
      <c r="A430" s="4" t="s">
        <v>2029</v>
      </c>
      <c r="B430" s="46" t="s">
        <v>2030</v>
      </c>
      <c r="C430" s="46" t="s">
        <v>2031</v>
      </c>
      <c r="D430" s="59"/>
      <c r="E430" s="59">
        <v>0</v>
      </c>
      <c r="F430" s="59">
        <v>0</v>
      </c>
      <c r="G430" s="60" t="s">
        <v>2032</v>
      </c>
      <c r="H430" s="60" t="s">
        <v>2033</v>
      </c>
      <c r="I430" s="61">
        <v>131</v>
      </c>
      <c r="J430" s="60"/>
      <c r="K430" s="60" t="s">
        <v>2034</v>
      </c>
      <c r="L430" s="60">
        <v>46588974</v>
      </c>
      <c r="M430" s="60"/>
      <c r="N430" s="58">
        <f>VLOOKUP(B430,歌单!B:C,2,0)</f>
        <v>0</v>
      </c>
      <c r="O430" s="58">
        <f t="shared" si="6"/>
        <v>1</v>
      </c>
      <c r="P430" s="62" t="str">
        <f>VLOOKUP(B430,歌单!B:E,3,0)</f>
        <v>国语</v>
      </c>
      <c r="Q430" s="58" t="str">
        <f>VLOOKUP(B430,歌单!B:E,4,0)</f>
        <v>流行</v>
      </c>
      <c r="R430" s="62"/>
    </row>
    <row r="431" spans="1:18" ht="15" hidden="1" customHeight="1">
      <c r="A431" s="4" t="s">
        <v>2035</v>
      </c>
      <c r="B431" s="46" t="s">
        <v>2036</v>
      </c>
      <c r="C431" s="46" t="s">
        <v>574</v>
      </c>
      <c r="D431" s="59"/>
      <c r="E431" s="59">
        <v>1948052</v>
      </c>
      <c r="F431" s="59">
        <v>295694</v>
      </c>
      <c r="G431" s="60" t="s">
        <v>2037</v>
      </c>
      <c r="H431" s="60" t="s">
        <v>2038</v>
      </c>
      <c r="I431" s="61">
        <v>2054</v>
      </c>
      <c r="J431" s="60" t="s">
        <v>2039</v>
      </c>
      <c r="K431" s="60" t="s">
        <v>2036</v>
      </c>
      <c r="L431" s="60">
        <v>2817053025</v>
      </c>
      <c r="M431" s="60" t="s">
        <v>2040</v>
      </c>
      <c r="N431" s="58" t="str">
        <f>VLOOKUP(B431,歌单!B:C,2,0)</f>
        <v>陈奕迅</v>
      </c>
      <c r="O431" s="58">
        <f t="shared" si="6"/>
        <v>0</v>
      </c>
      <c r="P431" s="62" t="str">
        <f>VLOOKUP(B431,歌单!B:E,3,0)</f>
        <v>国语</v>
      </c>
      <c r="Q431" s="58" t="str">
        <f>VLOOKUP(B431,歌单!B:E,4,0)</f>
        <v>流行</v>
      </c>
      <c r="R431" s="62"/>
    </row>
    <row r="432" spans="1:18" ht="15" customHeight="1">
      <c r="A432" s="4" t="s">
        <v>2041</v>
      </c>
      <c r="B432" s="46" t="s">
        <v>2042</v>
      </c>
      <c r="C432" s="46" t="s">
        <v>2043</v>
      </c>
      <c r="D432" s="59"/>
      <c r="E432" s="59">
        <v>0</v>
      </c>
      <c r="F432" s="59">
        <v>0</v>
      </c>
      <c r="G432" s="60" t="s">
        <v>2044</v>
      </c>
      <c r="H432" s="60" t="s">
        <v>2045</v>
      </c>
      <c r="I432" s="61">
        <v>5878</v>
      </c>
      <c r="J432" s="60" t="s">
        <v>2042</v>
      </c>
      <c r="K432" s="60" t="s">
        <v>2042</v>
      </c>
      <c r="L432" s="60">
        <v>806381776</v>
      </c>
      <c r="M432" s="60" t="s">
        <v>235</v>
      </c>
      <c r="N432" s="58" t="e">
        <f>VLOOKUP(B432,歌单!B:C,2,0)</f>
        <v>#N/A</v>
      </c>
      <c r="O432" s="58">
        <f t="shared" si="6"/>
        <v>1</v>
      </c>
      <c r="P432" s="62" t="s">
        <v>10246</v>
      </c>
      <c r="Q432" s="58" t="s">
        <v>10252</v>
      </c>
      <c r="R432" s="62"/>
    </row>
    <row r="433" spans="1:18" ht="15" hidden="1" customHeight="1">
      <c r="A433" s="32" t="s">
        <v>2046</v>
      </c>
      <c r="B433" s="46" t="s">
        <v>2047</v>
      </c>
      <c r="C433" s="46" t="s">
        <v>2048</v>
      </c>
      <c r="D433" s="59"/>
      <c r="E433" s="59">
        <v>0</v>
      </c>
      <c r="F433" s="59">
        <v>0</v>
      </c>
      <c r="G433" s="60" t="s">
        <v>2049</v>
      </c>
      <c r="H433" s="60" t="s">
        <v>2050</v>
      </c>
      <c r="I433" s="61">
        <v>474</v>
      </c>
      <c r="J433" s="60"/>
      <c r="K433" s="60" t="s">
        <v>2047</v>
      </c>
      <c r="L433" s="60">
        <v>194456218</v>
      </c>
      <c r="M433" s="60" t="s">
        <v>235</v>
      </c>
      <c r="N433" s="56" t="str">
        <f>VLOOKUP(B433,歌单!B:C,2,0)</f>
        <v>蔡翊昇</v>
      </c>
      <c r="O433" s="58">
        <f t="shared" si="6"/>
        <v>1</v>
      </c>
      <c r="P433" s="62" t="str">
        <f>VLOOKUP(B433,歌单!B:E,3,0)</f>
        <v>国语</v>
      </c>
      <c r="Q433" s="58" t="str">
        <f>VLOOKUP(B433,歌单!B:E,4,0)</f>
        <v>流行</v>
      </c>
      <c r="R433" s="62"/>
    </row>
    <row r="434" spans="1:18" ht="15" hidden="1" customHeight="1">
      <c r="A434" s="4" t="s">
        <v>2051</v>
      </c>
      <c r="B434" s="46" t="s">
        <v>711</v>
      </c>
      <c r="C434" s="52" t="s">
        <v>509</v>
      </c>
      <c r="D434" s="59"/>
      <c r="E434" s="59">
        <v>0</v>
      </c>
      <c r="F434" s="59">
        <v>0</v>
      </c>
      <c r="G434" s="60" t="s">
        <v>2052</v>
      </c>
      <c r="H434" s="60" t="s">
        <v>2053</v>
      </c>
      <c r="I434" s="61">
        <v>13</v>
      </c>
      <c r="J434" s="60"/>
      <c r="K434" s="60" t="s">
        <v>2054</v>
      </c>
      <c r="L434" s="60">
        <v>69550159</v>
      </c>
      <c r="M434" s="60"/>
      <c r="N434" s="58" t="str">
        <f>VLOOKUP(B434,歌单!B:C,2,0)</f>
        <v>张韶涵</v>
      </c>
      <c r="O434" s="58">
        <f t="shared" si="6"/>
        <v>0</v>
      </c>
      <c r="P434" s="62" t="str">
        <f>VLOOKUP(B434,歌单!B:E,3,0)</f>
        <v>国语</v>
      </c>
      <c r="Q434" s="58" t="str">
        <f>VLOOKUP(B434,歌单!B:E,4,0)</f>
        <v>流行</v>
      </c>
      <c r="R434" s="62"/>
    </row>
    <row r="435" spans="1:18" ht="15" hidden="1" customHeight="1">
      <c r="A435" s="4" t="s">
        <v>2055</v>
      </c>
      <c r="B435" s="46" t="s">
        <v>2056</v>
      </c>
      <c r="C435" s="46" t="s">
        <v>2057</v>
      </c>
      <c r="D435" s="59"/>
      <c r="E435" s="59">
        <v>0</v>
      </c>
      <c r="F435" s="59">
        <v>0</v>
      </c>
      <c r="G435" s="60" t="s">
        <v>2058</v>
      </c>
      <c r="H435" s="60" t="s">
        <v>2059</v>
      </c>
      <c r="I435" s="61">
        <v>24</v>
      </c>
      <c r="J435" s="60"/>
      <c r="K435" s="60" t="s">
        <v>2060</v>
      </c>
      <c r="L435" s="60">
        <v>6915969</v>
      </c>
      <c r="M435" s="60"/>
      <c r="N435" s="58" t="str">
        <f>VLOOKUP(B435,歌单!B:C,2,0)</f>
        <v>泠鸢yousa</v>
      </c>
      <c r="O435" s="58">
        <f t="shared" si="6"/>
        <v>0</v>
      </c>
      <c r="P435" s="62" t="str">
        <f>VLOOKUP(B435,歌单!B:E,3,0)</f>
        <v>国语</v>
      </c>
      <c r="Q435" s="58" t="str">
        <f>VLOOKUP(B435,歌单!B:E,4,0)</f>
        <v>国风</v>
      </c>
      <c r="R435" s="62"/>
    </row>
    <row r="436" spans="1:18" ht="15" hidden="1" customHeight="1">
      <c r="A436" s="4" t="s">
        <v>2061</v>
      </c>
      <c r="B436" s="46" t="s">
        <v>2062</v>
      </c>
      <c r="C436" s="46" t="s">
        <v>2063</v>
      </c>
      <c r="D436" s="59"/>
      <c r="E436" s="59">
        <v>0</v>
      </c>
      <c r="F436" s="59">
        <v>0</v>
      </c>
      <c r="G436" s="60" t="s">
        <v>2064</v>
      </c>
      <c r="H436" s="60" t="s">
        <v>2065</v>
      </c>
      <c r="I436" s="61">
        <v>496</v>
      </c>
      <c r="J436" s="60"/>
      <c r="K436" s="60" t="s">
        <v>196</v>
      </c>
      <c r="L436" s="60">
        <v>51986972</v>
      </c>
      <c r="M436" s="60"/>
      <c r="N436" s="58" t="str">
        <f>VLOOKUP(B436,歌单!B:C,2,0)</f>
        <v>米白</v>
      </c>
      <c r="O436" s="58">
        <f t="shared" si="6"/>
        <v>0</v>
      </c>
      <c r="P436" s="62" t="str">
        <f>VLOOKUP(B436,歌单!B:E,3,0)</f>
        <v>国语</v>
      </c>
      <c r="Q436" s="58" t="str">
        <f>VLOOKUP(B436,歌单!B:E,4,0)</f>
        <v>流行</v>
      </c>
      <c r="R436" s="62"/>
    </row>
    <row r="437" spans="1:18" ht="15" hidden="1" customHeight="1">
      <c r="A437" s="4" t="s">
        <v>2066</v>
      </c>
      <c r="B437" s="46" t="s">
        <v>2067</v>
      </c>
      <c r="C437" s="46" t="s">
        <v>2068</v>
      </c>
      <c r="D437" s="59"/>
      <c r="E437" s="59">
        <v>0</v>
      </c>
      <c r="F437" s="59">
        <v>0</v>
      </c>
      <c r="G437" s="60" t="s">
        <v>2069</v>
      </c>
      <c r="H437" s="60"/>
      <c r="I437" s="61">
        <v>5625</v>
      </c>
      <c r="J437" s="60"/>
      <c r="K437" s="60" t="s">
        <v>2070</v>
      </c>
      <c r="L437" s="60">
        <v>733581386</v>
      </c>
      <c r="M437" s="60"/>
      <c r="N437" s="58" t="str">
        <f>VLOOKUP(B437,歌单!B:C,2,0)</f>
        <v>洛天依</v>
      </c>
      <c r="O437" s="58">
        <f t="shared" si="6"/>
        <v>0</v>
      </c>
      <c r="P437" s="62" t="str">
        <f>VLOOKUP(B437,歌单!B:E,3,0)</f>
        <v>国语</v>
      </c>
      <c r="Q437" s="58" t="str">
        <f>VLOOKUP(B437,歌单!B:E,4,0)</f>
        <v>甜歌</v>
      </c>
      <c r="R437" s="62"/>
    </row>
    <row r="438" spans="1:18" ht="15" hidden="1" customHeight="1">
      <c r="A438" s="4" t="s">
        <v>2071</v>
      </c>
      <c r="B438" s="46" t="s">
        <v>2072</v>
      </c>
      <c r="C438" s="46" t="s">
        <v>360</v>
      </c>
      <c r="D438" s="59"/>
      <c r="E438" s="59">
        <v>0</v>
      </c>
      <c r="F438" s="59">
        <v>0</v>
      </c>
      <c r="G438" s="60" t="s">
        <v>2073</v>
      </c>
      <c r="H438" s="60" t="s">
        <v>2074</v>
      </c>
      <c r="I438" s="61">
        <v>1908</v>
      </c>
      <c r="J438" s="60"/>
      <c r="K438" s="60" t="s">
        <v>2075</v>
      </c>
      <c r="L438" s="60">
        <v>346099555</v>
      </c>
      <c r="M438" s="60"/>
      <c r="N438" s="58" t="str">
        <f>VLOOKUP(B438,歌单!B:C,2,0)</f>
        <v>张碧晨</v>
      </c>
      <c r="O438" s="58">
        <f t="shared" si="6"/>
        <v>0</v>
      </c>
      <c r="P438" s="62" t="str">
        <f>VLOOKUP(B438,歌单!B:E,3,0)</f>
        <v>国语</v>
      </c>
      <c r="Q438" s="58" t="str">
        <f>VLOOKUP(B438,歌单!B:E,4,0)</f>
        <v>流行</v>
      </c>
      <c r="R438" s="62"/>
    </row>
    <row r="439" spans="1:18" ht="15" hidden="1" customHeight="1">
      <c r="A439" s="32" t="s">
        <v>2076</v>
      </c>
      <c r="B439" s="46" t="s">
        <v>2077</v>
      </c>
      <c r="C439" s="46" t="s">
        <v>541</v>
      </c>
      <c r="D439" s="59"/>
      <c r="E439" s="59">
        <v>0</v>
      </c>
      <c r="F439" s="59">
        <v>0</v>
      </c>
      <c r="G439" s="60" t="s">
        <v>2078</v>
      </c>
      <c r="H439" s="60" t="s">
        <v>2079</v>
      </c>
      <c r="I439" s="61">
        <v>10</v>
      </c>
      <c r="J439" s="60"/>
      <c r="K439" s="60" t="s">
        <v>2080</v>
      </c>
      <c r="L439" s="60">
        <v>8434119</v>
      </c>
      <c r="M439" s="60"/>
      <c r="N439" s="56" t="str">
        <f>VLOOKUP(B439,歌单!B:C,2,0)</f>
        <v>李佳薇</v>
      </c>
      <c r="O439" s="58">
        <f t="shared" si="6"/>
        <v>1</v>
      </c>
      <c r="P439" s="62" t="str">
        <f>VLOOKUP(B439,歌单!B:E,3,0)</f>
        <v>国语</v>
      </c>
      <c r="Q439" s="58" t="str">
        <f>VLOOKUP(B439,歌单!B:E,4,0)</f>
        <v>流行</v>
      </c>
      <c r="R439" s="62"/>
    </row>
    <row r="440" spans="1:18" ht="15" customHeight="1">
      <c r="A440" s="4" t="s">
        <v>2081</v>
      </c>
      <c r="B440" s="46" t="s">
        <v>2082</v>
      </c>
      <c r="C440" s="46" t="s">
        <v>2083</v>
      </c>
      <c r="D440" s="59"/>
      <c r="E440" s="59">
        <v>0</v>
      </c>
      <c r="F440" s="59">
        <v>0</v>
      </c>
      <c r="G440" s="60" t="s">
        <v>2084</v>
      </c>
      <c r="H440" s="60" t="s">
        <v>2085</v>
      </c>
      <c r="I440" s="61">
        <v>34</v>
      </c>
      <c r="J440" s="60"/>
      <c r="K440" s="60" t="s">
        <v>2086</v>
      </c>
      <c r="L440" s="60">
        <v>46570561</v>
      </c>
      <c r="M440" s="60"/>
      <c r="N440" s="58">
        <f>VLOOKUP(B440,歌单!B:C,2,0)</f>
        <v>0</v>
      </c>
      <c r="O440" s="58">
        <f t="shared" si="6"/>
        <v>1</v>
      </c>
      <c r="P440" s="62" t="str">
        <f>VLOOKUP(B440,歌单!B:E,3,0)</f>
        <v>国语</v>
      </c>
      <c r="Q440" s="58" t="str">
        <f>VLOOKUP(B440,歌单!B:E,4,0)</f>
        <v>流行</v>
      </c>
      <c r="R440" s="62"/>
    </row>
    <row r="441" spans="1:18" ht="15" hidden="1" customHeight="1">
      <c r="A441" s="4" t="s">
        <v>2087</v>
      </c>
      <c r="B441" s="46" t="s">
        <v>2088</v>
      </c>
      <c r="C441" s="46" t="s">
        <v>935</v>
      </c>
      <c r="D441" s="59"/>
      <c r="E441" s="59">
        <v>0</v>
      </c>
      <c r="F441" s="59">
        <v>0</v>
      </c>
      <c r="G441" s="60" t="s">
        <v>2089</v>
      </c>
      <c r="H441" s="60" t="s">
        <v>2090</v>
      </c>
      <c r="I441" s="61">
        <v>161</v>
      </c>
      <c r="J441" s="60"/>
      <c r="K441" s="60" t="s">
        <v>2091</v>
      </c>
      <c r="L441" s="60">
        <v>25274580</v>
      </c>
      <c r="M441" s="60"/>
      <c r="N441" s="58" t="str">
        <f>VLOOKUP(B441,歌单!B:C,2,0)</f>
        <v>谭维维</v>
      </c>
      <c r="O441" s="58">
        <f t="shared" si="6"/>
        <v>0</v>
      </c>
      <c r="P441" s="62" t="str">
        <f>VLOOKUP(B441,歌单!B:E,3,0)</f>
        <v>国语</v>
      </c>
      <c r="Q441" s="58" t="str">
        <f>VLOOKUP(B441,歌单!B:E,4,0)</f>
        <v>流行</v>
      </c>
      <c r="R441" s="62"/>
    </row>
    <row r="442" spans="1:18" ht="15" hidden="1" customHeight="1">
      <c r="A442" s="4" t="s">
        <v>2092</v>
      </c>
      <c r="B442" s="46" t="s">
        <v>2093</v>
      </c>
      <c r="C442" s="46" t="s">
        <v>2094</v>
      </c>
      <c r="D442" s="59"/>
      <c r="E442" s="59">
        <v>0</v>
      </c>
      <c r="F442" s="59">
        <v>0</v>
      </c>
      <c r="G442" s="60" t="s">
        <v>2095</v>
      </c>
      <c r="H442" s="60" t="s">
        <v>2096</v>
      </c>
      <c r="I442" s="61">
        <v>853</v>
      </c>
      <c r="J442" s="60" t="s">
        <v>2097</v>
      </c>
      <c r="K442" s="60" t="s">
        <v>2098</v>
      </c>
      <c r="L442" s="60">
        <v>299210152</v>
      </c>
      <c r="M442" s="60"/>
      <c r="N442" s="58" t="str">
        <f>VLOOKUP(B442,歌单!B:C,2,0)</f>
        <v>吴静</v>
      </c>
      <c r="O442" s="58">
        <f t="shared" si="6"/>
        <v>0</v>
      </c>
      <c r="P442" s="62" t="str">
        <f>VLOOKUP(B442,歌单!B:E,3,0)</f>
        <v>国语</v>
      </c>
      <c r="Q442" s="58" t="str">
        <f>VLOOKUP(B442,歌单!B:E,4,0)</f>
        <v>流行</v>
      </c>
      <c r="R442" s="62"/>
    </row>
    <row r="443" spans="1:18" ht="15" hidden="1" customHeight="1">
      <c r="A443" s="32" t="s">
        <v>2099</v>
      </c>
      <c r="B443" s="46" t="s">
        <v>2100</v>
      </c>
      <c r="C443" s="46" t="s">
        <v>427</v>
      </c>
      <c r="D443" s="59"/>
      <c r="E443" s="59">
        <v>0</v>
      </c>
      <c r="F443" s="59">
        <v>0</v>
      </c>
      <c r="G443" s="60" t="s">
        <v>2101</v>
      </c>
      <c r="H443" s="60" t="s">
        <v>2102</v>
      </c>
      <c r="I443" s="61">
        <v>595</v>
      </c>
      <c r="J443" s="60"/>
      <c r="K443" s="60" t="s">
        <v>2103</v>
      </c>
      <c r="L443" s="60">
        <v>47566028</v>
      </c>
      <c r="M443" s="60"/>
      <c r="N443" s="68" t="str">
        <f>VLOOKUP(B443,歌单!B:C,2,0)</f>
        <v>羽泉</v>
      </c>
      <c r="O443" s="58">
        <f t="shared" si="6"/>
        <v>1</v>
      </c>
      <c r="P443" s="62" t="str">
        <f>VLOOKUP(B443,歌单!B:E,3,0)</f>
        <v>国语</v>
      </c>
      <c r="Q443" s="58" t="str">
        <f>VLOOKUP(B443,歌单!B:E,4,0)</f>
        <v>流行</v>
      </c>
      <c r="R443" s="62"/>
    </row>
    <row r="444" spans="1:18" ht="15" hidden="1" customHeight="1">
      <c r="A444" s="4" t="s">
        <v>2104</v>
      </c>
      <c r="B444" s="46" t="s">
        <v>1377</v>
      </c>
      <c r="C444" s="46" t="s">
        <v>1378</v>
      </c>
      <c r="D444" s="59"/>
      <c r="E444" s="59">
        <v>0</v>
      </c>
      <c r="F444" s="59">
        <v>0</v>
      </c>
      <c r="G444" s="60" t="s">
        <v>2105</v>
      </c>
      <c r="H444" s="60" t="s">
        <v>2106</v>
      </c>
      <c r="I444" s="61">
        <v>109</v>
      </c>
      <c r="J444" s="60" t="s">
        <v>2107</v>
      </c>
      <c r="K444" s="60" t="s">
        <v>2108</v>
      </c>
      <c r="L444" s="60">
        <v>78622904</v>
      </c>
      <c r="M444" s="60"/>
      <c r="N444" s="58" t="str">
        <f>VLOOKUP(B444,歌单!B:C,2,0)</f>
        <v>云南弥渡山歌</v>
      </c>
      <c r="O444" s="58">
        <f t="shared" si="6"/>
        <v>1</v>
      </c>
      <c r="P444" s="62" t="str">
        <f>VLOOKUP(B444,歌单!B:E,3,0)</f>
        <v>国语</v>
      </c>
      <c r="Q444" s="58" t="str">
        <f>VLOOKUP(B444,歌单!B:E,4,0)</f>
        <v>民族</v>
      </c>
      <c r="R444" s="62"/>
    </row>
    <row r="445" spans="1:18" ht="15" customHeight="1">
      <c r="A445" s="4" t="s">
        <v>2109</v>
      </c>
      <c r="B445" s="47" t="s">
        <v>2110</v>
      </c>
      <c r="C445" s="46" t="s">
        <v>2111</v>
      </c>
      <c r="D445" s="59"/>
      <c r="E445" s="59">
        <v>0</v>
      </c>
      <c r="F445" s="59">
        <v>0</v>
      </c>
      <c r="G445" s="60" t="s">
        <v>2112</v>
      </c>
      <c r="H445" s="60" t="s">
        <v>2113</v>
      </c>
      <c r="I445" s="61">
        <v>191</v>
      </c>
      <c r="J445" s="60"/>
      <c r="K445" s="60" t="s">
        <v>2114</v>
      </c>
      <c r="L445" s="60">
        <v>105276091</v>
      </c>
      <c r="M445" s="60"/>
      <c r="N445" s="58">
        <f>VLOOKUP(B445,歌单!B:C,2,0)</f>
        <v>0</v>
      </c>
      <c r="O445" s="58">
        <f t="shared" si="6"/>
        <v>1</v>
      </c>
      <c r="P445" s="62" t="str">
        <f>VLOOKUP(B445,歌单!B:E,3,0)</f>
        <v>国语</v>
      </c>
      <c r="Q445" s="58" t="str">
        <f>VLOOKUP(B445,歌单!B:E,4,0)</f>
        <v>流行</v>
      </c>
      <c r="R445" s="62"/>
    </row>
    <row r="446" spans="1:18" ht="15" hidden="1" customHeight="1">
      <c r="A446" s="4" t="s">
        <v>2115</v>
      </c>
      <c r="B446" s="46" t="s">
        <v>2116</v>
      </c>
      <c r="C446" s="46" t="s">
        <v>776</v>
      </c>
      <c r="D446" s="59"/>
      <c r="E446" s="59">
        <v>0</v>
      </c>
      <c r="F446" s="59">
        <v>0</v>
      </c>
      <c r="G446" s="60" t="s">
        <v>2117</v>
      </c>
      <c r="H446" s="60" t="s">
        <v>2118</v>
      </c>
      <c r="I446" s="61">
        <v>889</v>
      </c>
      <c r="J446" s="60" t="s">
        <v>2119</v>
      </c>
      <c r="K446" s="60" t="s">
        <v>2116</v>
      </c>
      <c r="L446" s="60">
        <v>193133600</v>
      </c>
      <c r="M446" s="60"/>
      <c r="N446" s="58" t="str">
        <f>VLOOKUP(B446,歌单!B:C,2,0)</f>
        <v>张靓颖</v>
      </c>
      <c r="O446" s="58">
        <f t="shared" si="6"/>
        <v>0</v>
      </c>
      <c r="P446" s="62" t="str">
        <f>VLOOKUP(B446,歌单!B:E,3,0)</f>
        <v>国语</v>
      </c>
      <c r="Q446" s="58" t="str">
        <f>VLOOKUP(B446,歌单!B:E,4,0)</f>
        <v>流行</v>
      </c>
      <c r="R446" s="62"/>
    </row>
    <row r="447" spans="1:18" ht="15" hidden="1" customHeight="1">
      <c r="A447" s="4" t="s">
        <v>2120</v>
      </c>
      <c r="B447" s="46" t="s">
        <v>2121</v>
      </c>
      <c r="C447" s="46" t="s">
        <v>1545</v>
      </c>
      <c r="D447" s="59"/>
      <c r="E447" s="59">
        <v>0</v>
      </c>
      <c r="F447" s="59">
        <v>0</v>
      </c>
      <c r="G447" s="60" t="s">
        <v>2122</v>
      </c>
      <c r="H447" s="60" t="s">
        <v>2123</v>
      </c>
      <c r="I447" s="61">
        <v>131</v>
      </c>
      <c r="J447" s="60" t="s">
        <v>2124</v>
      </c>
      <c r="K447" s="60" t="s">
        <v>2121</v>
      </c>
      <c r="L447" s="60">
        <v>56720759</v>
      </c>
      <c r="M447" s="60"/>
      <c r="N447" s="58" t="str">
        <f>VLOOKUP(B447,歌单!B:C,2,0)</f>
        <v>梁静茹</v>
      </c>
      <c r="O447" s="58">
        <f t="shared" si="6"/>
        <v>0</v>
      </c>
      <c r="P447" s="62" t="str">
        <f>VLOOKUP(B447,歌单!B:E,3,0)</f>
        <v>国语</v>
      </c>
      <c r="Q447" s="58" t="str">
        <f>VLOOKUP(B447,歌单!B:E,4,0)</f>
        <v>流行</v>
      </c>
      <c r="R447" s="62"/>
    </row>
    <row r="448" spans="1:18" ht="15" customHeight="1">
      <c r="A448" s="4" t="s">
        <v>2125</v>
      </c>
      <c r="B448" s="46" t="s">
        <v>2126</v>
      </c>
      <c r="C448" s="46" t="s">
        <v>2127</v>
      </c>
      <c r="D448" s="59"/>
      <c r="E448" s="59">
        <v>0</v>
      </c>
      <c r="F448" s="59">
        <v>0</v>
      </c>
      <c r="G448" s="60" t="s">
        <v>2128</v>
      </c>
      <c r="H448" s="60"/>
      <c r="I448" s="61">
        <v>28</v>
      </c>
      <c r="J448" s="60"/>
      <c r="K448" s="60" t="s">
        <v>2129</v>
      </c>
      <c r="L448" s="60">
        <v>7951320</v>
      </c>
      <c r="M448" s="60"/>
      <c r="N448" s="58" t="e">
        <f>VLOOKUP(B448,歌单!B:C,2,0)</f>
        <v>#N/A</v>
      </c>
      <c r="O448" s="58">
        <f t="shared" si="6"/>
        <v>1</v>
      </c>
      <c r="P448" s="62" t="s">
        <v>6489</v>
      </c>
      <c r="Q448" s="58" t="s">
        <v>10252</v>
      </c>
      <c r="R448" s="62"/>
    </row>
    <row r="449" spans="1:18" ht="15" hidden="1" customHeight="1">
      <c r="A449" s="4" t="s">
        <v>2130</v>
      </c>
      <c r="B449" s="46" t="s">
        <v>2131</v>
      </c>
      <c r="C449" s="46" t="s">
        <v>2132</v>
      </c>
      <c r="D449" s="59"/>
      <c r="E449" s="59">
        <v>0</v>
      </c>
      <c r="F449" s="59">
        <v>0</v>
      </c>
      <c r="G449" s="60" t="s">
        <v>2133</v>
      </c>
      <c r="H449" s="60" t="s">
        <v>2134</v>
      </c>
      <c r="I449" s="61">
        <v>866</v>
      </c>
      <c r="J449" s="60"/>
      <c r="K449" s="60" t="s">
        <v>2135</v>
      </c>
      <c r="L449" s="60">
        <v>124839208</v>
      </c>
      <c r="M449" s="60"/>
      <c r="N449" s="58" t="str">
        <f>VLOOKUP(B449,歌单!B:C,2,0)</f>
        <v>屯门儿童合唱团</v>
      </c>
      <c r="O449" s="58">
        <f t="shared" si="6"/>
        <v>1</v>
      </c>
      <c r="P449" s="62" t="str">
        <f>VLOOKUP(B449,歌单!B:E,3,0)</f>
        <v>国语</v>
      </c>
      <c r="Q449" s="58" t="str">
        <f>VLOOKUP(B449,歌单!B:E,4,0)</f>
        <v>儿歌</v>
      </c>
      <c r="R449" s="62"/>
    </row>
    <row r="450" spans="1:18" ht="15" hidden="1" customHeight="1">
      <c r="A450" s="4" t="s">
        <v>2136</v>
      </c>
      <c r="B450" s="46" t="s">
        <v>2137</v>
      </c>
      <c r="C450" s="46" t="s">
        <v>1274</v>
      </c>
      <c r="D450" s="59"/>
      <c r="E450" s="59">
        <v>233</v>
      </c>
      <c r="F450" s="59">
        <v>120</v>
      </c>
      <c r="G450" s="60" t="s">
        <v>2138</v>
      </c>
      <c r="H450" s="60"/>
      <c r="I450" s="61">
        <v>2</v>
      </c>
      <c r="J450" s="60"/>
      <c r="K450" s="60" t="s">
        <v>2139</v>
      </c>
      <c r="L450" s="60">
        <v>8256998</v>
      </c>
      <c r="M450" s="60"/>
      <c r="N450" s="58" t="str">
        <f>VLOOKUP(B450,歌单!B:C,2,0)</f>
        <v>莫文蔚</v>
      </c>
      <c r="O450" s="58">
        <f t="shared" ref="O450:O512" si="7">_xlfn.IFNA(IF(IFERROR(SEARCH(N450,C450),0)&gt;0,0,1),0)</f>
        <v>0</v>
      </c>
      <c r="P450" s="62" t="str">
        <f>VLOOKUP(B450,歌单!B:E,3,0)</f>
        <v>国语</v>
      </c>
      <c r="Q450" s="58" t="str">
        <f>VLOOKUP(B450,歌单!B:E,4,0)</f>
        <v>流行</v>
      </c>
      <c r="R450" s="62"/>
    </row>
    <row r="451" spans="1:18" ht="15" hidden="1" customHeight="1">
      <c r="A451" s="4" t="s">
        <v>2140</v>
      </c>
      <c r="B451" s="46" t="s">
        <v>2141</v>
      </c>
      <c r="C451" s="46" t="s">
        <v>154</v>
      </c>
      <c r="D451" s="59"/>
      <c r="E451" s="59">
        <v>1116715</v>
      </c>
      <c r="F451" s="59">
        <v>297452</v>
      </c>
      <c r="G451" s="60" t="s">
        <v>2142</v>
      </c>
      <c r="H451" s="60" t="s">
        <v>2143</v>
      </c>
      <c r="I451" s="61">
        <v>384</v>
      </c>
      <c r="J451" s="60"/>
      <c r="K451" s="60" t="s">
        <v>2144</v>
      </c>
      <c r="L451" s="60">
        <v>309787938</v>
      </c>
      <c r="M451" s="60" t="s">
        <v>852</v>
      </c>
      <c r="N451" s="58" t="str">
        <f>VLOOKUP(B451,歌单!B:C,2,0)</f>
        <v>周杰伦</v>
      </c>
      <c r="O451" s="58">
        <f t="shared" si="7"/>
        <v>0</v>
      </c>
      <c r="P451" s="62" t="str">
        <f>VLOOKUP(B451,歌单!B:E,3,0)</f>
        <v>国语</v>
      </c>
      <c r="Q451" s="58" t="str">
        <f>VLOOKUP(B451,歌单!B:E,4,0)</f>
        <v>流行</v>
      </c>
      <c r="R451" s="62"/>
    </row>
    <row r="452" spans="1:18" ht="15" customHeight="1">
      <c r="A452" s="4" t="s">
        <v>2145</v>
      </c>
      <c r="B452" s="46" t="s">
        <v>2146</v>
      </c>
      <c r="C452" s="46" t="s">
        <v>2147</v>
      </c>
      <c r="D452" s="59"/>
      <c r="E452" s="59">
        <v>0</v>
      </c>
      <c r="F452" s="59">
        <v>0</v>
      </c>
      <c r="G452" s="60" t="s">
        <v>2148</v>
      </c>
      <c r="H452" s="60" t="s">
        <v>2149</v>
      </c>
      <c r="I452" s="61">
        <v>7910</v>
      </c>
      <c r="J452" s="60"/>
      <c r="K452" s="60" t="s">
        <v>2150</v>
      </c>
      <c r="L452" s="60">
        <v>339448567</v>
      </c>
      <c r="M452" s="60" t="s">
        <v>1507</v>
      </c>
      <c r="N452" s="58" t="e">
        <f>VLOOKUP(B452,歌单!B:C,2,0)</f>
        <v>#N/A</v>
      </c>
      <c r="O452" s="58">
        <f t="shared" si="7"/>
        <v>1</v>
      </c>
      <c r="P452" s="62" t="s">
        <v>10246</v>
      </c>
      <c r="Q452" s="58" t="s">
        <v>10252</v>
      </c>
      <c r="R452" s="62"/>
    </row>
    <row r="453" spans="1:18" ht="15" hidden="1" customHeight="1">
      <c r="A453" s="4" t="s">
        <v>2151</v>
      </c>
      <c r="B453" s="46" t="s">
        <v>2152</v>
      </c>
      <c r="C453" s="46" t="s">
        <v>42</v>
      </c>
      <c r="D453" s="59"/>
      <c r="E453" s="59">
        <v>0</v>
      </c>
      <c r="F453" s="59">
        <v>0</v>
      </c>
      <c r="G453" s="60" t="s">
        <v>2153</v>
      </c>
      <c r="H453" s="60"/>
      <c r="I453" s="61">
        <v>48</v>
      </c>
      <c r="J453" s="60"/>
      <c r="K453" s="60" t="s">
        <v>1797</v>
      </c>
      <c r="L453" s="60">
        <v>35231169</v>
      </c>
      <c r="M453" s="60"/>
      <c r="N453" s="58" t="str">
        <f>VLOOKUP(B453,歌单!B:C,2,0)</f>
        <v>黄龄</v>
      </c>
      <c r="O453" s="58">
        <f t="shared" si="7"/>
        <v>0</v>
      </c>
      <c r="P453" s="62" t="str">
        <f>VLOOKUP(B453,歌单!B:E,3,0)</f>
        <v>国语</v>
      </c>
      <c r="Q453" s="58" t="str">
        <f>VLOOKUP(B453,歌单!B:E,4,0)</f>
        <v>流行</v>
      </c>
      <c r="R453" s="62"/>
    </row>
    <row r="454" spans="1:18" ht="15" customHeight="1">
      <c r="A454" s="4" t="s">
        <v>2154</v>
      </c>
      <c r="B454" s="46" t="s">
        <v>2155</v>
      </c>
      <c r="C454" s="46" t="s">
        <v>2156</v>
      </c>
      <c r="D454" s="59"/>
      <c r="E454" s="59">
        <v>0</v>
      </c>
      <c r="F454" s="59">
        <v>0</v>
      </c>
      <c r="G454" s="60" t="s">
        <v>2157</v>
      </c>
      <c r="H454" s="60" t="s">
        <v>2158</v>
      </c>
      <c r="I454" s="61">
        <v>0</v>
      </c>
      <c r="J454" s="60"/>
      <c r="K454" s="60" t="s">
        <v>2159</v>
      </c>
      <c r="L454" s="60">
        <v>63813</v>
      </c>
      <c r="M454" s="60"/>
      <c r="N454" s="58" t="e">
        <f>VLOOKUP(B454,歌单!B:C,2,0)</f>
        <v>#N/A</v>
      </c>
      <c r="O454" s="58">
        <f t="shared" si="7"/>
        <v>1</v>
      </c>
      <c r="P454" s="62" t="s">
        <v>10246</v>
      </c>
      <c r="Q454" s="58" t="s">
        <v>10252</v>
      </c>
      <c r="R454" s="62"/>
    </row>
    <row r="455" spans="1:18" ht="15" hidden="1" customHeight="1">
      <c r="A455" s="32" t="s">
        <v>2160</v>
      </c>
      <c r="B455" s="46" t="s">
        <v>2161</v>
      </c>
      <c r="C455" s="46" t="s">
        <v>2162</v>
      </c>
      <c r="D455" s="59"/>
      <c r="E455" s="59">
        <v>0</v>
      </c>
      <c r="F455" s="59">
        <v>0</v>
      </c>
      <c r="G455" s="60" t="s">
        <v>2163</v>
      </c>
      <c r="H455" s="60" t="s">
        <v>2164</v>
      </c>
      <c r="I455" s="61">
        <v>695</v>
      </c>
      <c r="J455" s="60"/>
      <c r="K455" s="60"/>
      <c r="L455" s="60">
        <v>74927917</v>
      </c>
      <c r="M455" s="60"/>
      <c r="N455" s="56" t="str">
        <f>VLOOKUP(B455,歌单!B:C,2,0)</f>
        <v>周深</v>
      </c>
      <c r="O455" s="58">
        <f t="shared" si="7"/>
        <v>1</v>
      </c>
      <c r="P455" s="62" t="str">
        <f>VLOOKUP(B455,歌单!B:E,3,0)</f>
        <v>国语</v>
      </c>
      <c r="Q455" s="58" t="str">
        <f>VLOOKUP(B455,歌单!B:E,4,0)</f>
        <v>流行</v>
      </c>
      <c r="R455" s="62"/>
    </row>
    <row r="456" spans="1:18" ht="15" customHeight="1">
      <c r="A456" s="4" t="s">
        <v>2165</v>
      </c>
      <c r="B456" s="46" t="s">
        <v>73</v>
      </c>
      <c r="C456" s="46" t="s">
        <v>51</v>
      </c>
      <c r="D456" s="59"/>
      <c r="E456" s="59">
        <v>0</v>
      </c>
      <c r="F456" s="59">
        <v>0</v>
      </c>
      <c r="G456" s="60" t="s">
        <v>2166</v>
      </c>
      <c r="H456" s="60" t="s">
        <v>2167</v>
      </c>
      <c r="I456" s="61">
        <v>0</v>
      </c>
      <c r="J456" s="60"/>
      <c r="K456" s="60" t="s">
        <v>73</v>
      </c>
      <c r="L456" s="60">
        <v>109889</v>
      </c>
      <c r="M456" s="60"/>
      <c r="N456" s="58" t="e">
        <f>VLOOKUP(B456,歌单!B:C,2,0)</f>
        <v>#N/A</v>
      </c>
      <c r="O456" s="58">
        <f t="shared" si="7"/>
        <v>1</v>
      </c>
      <c r="P456" s="62" t="s">
        <v>10246</v>
      </c>
      <c r="Q456" s="58" t="s">
        <v>10252</v>
      </c>
      <c r="R456" s="62"/>
    </row>
    <row r="457" spans="1:18" ht="15" hidden="1" customHeight="1">
      <c r="A457" s="4" t="s">
        <v>2168</v>
      </c>
      <c r="B457" s="46" t="s">
        <v>2169</v>
      </c>
      <c r="C457" s="46" t="s">
        <v>27</v>
      </c>
      <c r="D457" s="59"/>
      <c r="E457" s="59">
        <v>0</v>
      </c>
      <c r="F457" s="59">
        <v>0</v>
      </c>
      <c r="G457" s="60" t="s">
        <v>2170</v>
      </c>
      <c r="H457" s="60" t="s">
        <v>2171</v>
      </c>
      <c r="I457" s="61">
        <v>6</v>
      </c>
      <c r="J457" s="60" t="s">
        <v>2169</v>
      </c>
      <c r="K457" s="60" t="s">
        <v>2172</v>
      </c>
      <c r="L457" s="60">
        <v>7489437</v>
      </c>
      <c r="M457" s="60"/>
      <c r="N457" s="58" t="str">
        <f>VLOOKUP(B457,歌单!B:C,2,0)</f>
        <v>徐佳莹</v>
      </c>
      <c r="O457" s="58">
        <f t="shared" si="7"/>
        <v>0</v>
      </c>
      <c r="P457" s="62" t="str">
        <f>VLOOKUP(B457,歌单!B:E,3,0)</f>
        <v>国语</v>
      </c>
      <c r="Q457" s="58" t="str">
        <f>VLOOKUP(B457,歌单!B:E,4,0)</f>
        <v>流行</v>
      </c>
      <c r="R457" s="62"/>
    </row>
    <row r="458" spans="1:18" ht="15" customHeight="1">
      <c r="A458" s="4" t="s">
        <v>2173</v>
      </c>
      <c r="B458" s="46" t="s">
        <v>2174</v>
      </c>
      <c r="C458" s="46" t="s">
        <v>360</v>
      </c>
      <c r="D458" s="59"/>
      <c r="E458" s="59">
        <v>0</v>
      </c>
      <c r="F458" s="59">
        <v>0</v>
      </c>
      <c r="G458" s="60" t="s">
        <v>2175</v>
      </c>
      <c r="H458" s="60" t="s">
        <v>2176</v>
      </c>
      <c r="I458" s="61">
        <v>448</v>
      </c>
      <c r="J458" s="60" t="s">
        <v>2177</v>
      </c>
      <c r="K458" s="60" t="s">
        <v>2178</v>
      </c>
      <c r="L458" s="60">
        <v>175752637</v>
      </c>
      <c r="M458" s="60"/>
      <c r="N458" s="58">
        <f>VLOOKUP(B458,歌单!B:C,2,0)</f>
        <v>0</v>
      </c>
      <c r="O458" s="58">
        <f t="shared" si="7"/>
        <v>1</v>
      </c>
      <c r="P458" s="62" t="str">
        <f>VLOOKUP(B458,歌单!B:E,3,0)</f>
        <v>国语</v>
      </c>
      <c r="Q458" s="58" t="str">
        <f>VLOOKUP(B458,歌单!B:E,4,0)</f>
        <v>流行</v>
      </c>
      <c r="R458" s="62"/>
    </row>
    <row r="459" spans="1:18" ht="15" hidden="1" customHeight="1">
      <c r="A459" s="4" t="s">
        <v>2179</v>
      </c>
      <c r="B459" s="46" t="s">
        <v>2180</v>
      </c>
      <c r="C459" s="46" t="s">
        <v>643</v>
      </c>
      <c r="D459" s="59"/>
      <c r="E459" s="59">
        <v>0</v>
      </c>
      <c r="F459" s="59">
        <v>0</v>
      </c>
      <c r="G459" s="60" t="s">
        <v>2181</v>
      </c>
      <c r="H459" s="60" t="s">
        <v>2182</v>
      </c>
      <c r="I459" s="61">
        <v>940</v>
      </c>
      <c r="J459" s="60"/>
      <c r="K459" s="60" t="s">
        <v>2180</v>
      </c>
      <c r="L459" s="60">
        <v>781788079</v>
      </c>
      <c r="M459" s="60"/>
      <c r="N459" s="58" t="str">
        <f>VLOOKUP(B459,歌单!B:C,2,0)</f>
        <v>杨丞琳</v>
      </c>
      <c r="O459" s="58">
        <f t="shared" si="7"/>
        <v>0</v>
      </c>
      <c r="P459" s="62" t="str">
        <f>VLOOKUP(B459,歌单!B:E,3,0)</f>
        <v>国语</v>
      </c>
      <c r="Q459" s="58" t="str">
        <f>VLOOKUP(B459,歌单!B:E,4,0)</f>
        <v>流行</v>
      </c>
      <c r="R459" s="62"/>
    </row>
    <row r="460" spans="1:18" ht="15" hidden="1" customHeight="1">
      <c r="A460" s="4" t="s">
        <v>2183</v>
      </c>
      <c r="B460" s="46" t="s">
        <v>2184</v>
      </c>
      <c r="C460" s="46" t="s">
        <v>2185</v>
      </c>
      <c r="D460" s="59"/>
      <c r="E460" s="59">
        <v>0</v>
      </c>
      <c r="F460" s="59">
        <v>0</v>
      </c>
      <c r="G460" s="60" t="s">
        <v>2186</v>
      </c>
      <c r="H460" s="60"/>
      <c r="I460" s="61">
        <v>327</v>
      </c>
      <c r="J460" s="60"/>
      <c r="K460" s="60" t="s">
        <v>2187</v>
      </c>
      <c r="L460" s="60">
        <v>60906696</v>
      </c>
      <c r="M460" s="60"/>
      <c r="N460" s="58" t="str">
        <f>VLOOKUP(B460,歌单!B:C,2,0)</f>
        <v>信乐团</v>
      </c>
      <c r="O460" s="58">
        <f t="shared" si="7"/>
        <v>0</v>
      </c>
      <c r="P460" s="62" t="str">
        <f>VLOOKUP(B460,歌单!B:E,3,0)</f>
        <v>国语</v>
      </c>
      <c r="Q460" s="58" t="str">
        <f>VLOOKUP(B460,歌单!B:E,4,0)</f>
        <v>流行</v>
      </c>
      <c r="R460" s="62"/>
    </row>
    <row r="461" spans="1:18" ht="15" hidden="1" customHeight="1">
      <c r="A461" s="4" t="s">
        <v>2188</v>
      </c>
      <c r="B461" s="46" t="s">
        <v>2189</v>
      </c>
      <c r="C461" s="46" t="s">
        <v>131</v>
      </c>
      <c r="D461" s="59"/>
      <c r="E461" s="59">
        <v>0</v>
      </c>
      <c r="F461" s="59">
        <v>0</v>
      </c>
      <c r="G461" s="60" t="s">
        <v>2190</v>
      </c>
      <c r="H461" s="60" t="s">
        <v>2191</v>
      </c>
      <c r="I461" s="61">
        <v>290</v>
      </c>
      <c r="J461" s="60"/>
      <c r="K461" s="60" t="s">
        <v>2034</v>
      </c>
      <c r="L461" s="60">
        <v>53246846</v>
      </c>
      <c r="M461" s="60"/>
      <c r="N461" s="58" t="str">
        <f>VLOOKUP(B461,歌单!B:C,2,0)</f>
        <v>苏打绿</v>
      </c>
      <c r="O461" s="58">
        <f t="shared" si="7"/>
        <v>0</v>
      </c>
      <c r="P461" s="62" t="str">
        <f>VLOOKUP(B461,歌单!B:E,3,0)</f>
        <v>国语</v>
      </c>
      <c r="Q461" s="58" t="str">
        <f>VLOOKUP(B461,歌单!B:E,4,0)</f>
        <v>流行</v>
      </c>
      <c r="R461" s="62"/>
    </row>
    <row r="462" spans="1:18" ht="15" hidden="1" customHeight="1">
      <c r="A462" s="4" t="s">
        <v>2192</v>
      </c>
      <c r="B462" s="46" t="s">
        <v>2193</v>
      </c>
      <c r="C462" s="46" t="s">
        <v>131</v>
      </c>
      <c r="D462" s="59"/>
      <c r="E462" s="59">
        <v>0</v>
      </c>
      <c r="F462" s="59">
        <v>0</v>
      </c>
      <c r="G462" s="60" t="s">
        <v>2194</v>
      </c>
      <c r="H462" s="60"/>
      <c r="I462" s="61">
        <v>712</v>
      </c>
      <c r="J462" s="60"/>
      <c r="K462" s="60" t="s">
        <v>2195</v>
      </c>
      <c r="L462" s="60">
        <v>278023474</v>
      </c>
      <c r="M462" s="60"/>
      <c r="N462" s="58" t="str">
        <f>VLOOKUP(B462,歌单!B:C,2,0)</f>
        <v>苏打绿</v>
      </c>
      <c r="O462" s="58">
        <f t="shared" si="7"/>
        <v>0</v>
      </c>
      <c r="P462" s="62" t="str">
        <f>VLOOKUP(B462,歌单!B:E,3,0)</f>
        <v>国语</v>
      </c>
      <c r="Q462" s="58" t="str">
        <f>VLOOKUP(B462,歌单!B:E,4,0)</f>
        <v>流行</v>
      </c>
      <c r="R462" s="62"/>
    </row>
    <row r="463" spans="1:18" ht="15" customHeight="1">
      <c r="A463" s="4" t="s">
        <v>2196</v>
      </c>
      <c r="B463" s="46" t="s">
        <v>2197</v>
      </c>
      <c r="C463" s="46" t="s">
        <v>2198</v>
      </c>
      <c r="D463" s="59"/>
      <c r="E463" s="59">
        <v>0</v>
      </c>
      <c r="F463" s="59">
        <v>0</v>
      </c>
      <c r="G463" s="60" t="s">
        <v>2199</v>
      </c>
      <c r="H463" s="60" t="s">
        <v>2200</v>
      </c>
      <c r="I463" s="61">
        <v>61</v>
      </c>
      <c r="J463" s="60"/>
      <c r="K463" s="60" t="s">
        <v>2201</v>
      </c>
      <c r="L463" s="60">
        <v>32825301</v>
      </c>
      <c r="M463" s="60"/>
      <c r="N463" s="58" t="e">
        <f>VLOOKUP(B463,歌单!B:C,2,0)</f>
        <v>#N/A</v>
      </c>
      <c r="O463" s="58">
        <f t="shared" si="7"/>
        <v>1</v>
      </c>
      <c r="P463" s="62" t="s">
        <v>10246</v>
      </c>
      <c r="Q463" s="58" t="s">
        <v>10252</v>
      </c>
      <c r="R463" s="62"/>
    </row>
    <row r="464" spans="1:18" ht="15" hidden="1" customHeight="1">
      <c r="A464" s="4" t="s">
        <v>2202</v>
      </c>
      <c r="B464" s="46" t="s">
        <v>2203</v>
      </c>
      <c r="C464" s="46" t="s">
        <v>1675</v>
      </c>
      <c r="D464" s="59"/>
      <c r="E464" s="59">
        <v>0</v>
      </c>
      <c r="F464" s="59">
        <v>0</v>
      </c>
      <c r="G464" s="60" t="s">
        <v>2204</v>
      </c>
      <c r="H464" s="60" t="s">
        <v>2205</v>
      </c>
      <c r="I464" s="61">
        <v>38</v>
      </c>
      <c r="J464" s="60"/>
      <c r="K464" s="60" t="s">
        <v>2203</v>
      </c>
      <c r="L464" s="60">
        <v>29358578</v>
      </c>
      <c r="M464" s="60"/>
      <c r="N464" s="58" t="str">
        <f>VLOOKUP(B464,歌单!B:C,2,0)</f>
        <v>齐豫</v>
      </c>
      <c r="O464" s="58">
        <f t="shared" si="7"/>
        <v>0</v>
      </c>
      <c r="P464" s="62" t="str">
        <f>VLOOKUP(B464,歌单!B:E,3,0)</f>
        <v>国语</v>
      </c>
      <c r="Q464" s="58" t="str">
        <f>VLOOKUP(B464,歌单!B:E,4,0)</f>
        <v>流行</v>
      </c>
      <c r="R464" s="62"/>
    </row>
    <row r="465" spans="1:18" ht="15" hidden="1" customHeight="1">
      <c r="A465" s="4" t="s">
        <v>2206</v>
      </c>
      <c r="B465" s="46" t="s">
        <v>2207</v>
      </c>
      <c r="C465" s="46" t="s">
        <v>2208</v>
      </c>
      <c r="D465" s="59"/>
      <c r="E465" s="59">
        <v>0</v>
      </c>
      <c r="F465" s="59">
        <v>0</v>
      </c>
      <c r="G465" s="60" t="s">
        <v>2209</v>
      </c>
      <c r="H465" s="60" t="s">
        <v>2210</v>
      </c>
      <c r="I465" s="61">
        <v>34</v>
      </c>
      <c r="J465" s="60"/>
      <c r="K465" s="60" t="s">
        <v>2207</v>
      </c>
      <c r="L465" s="60">
        <v>36546010</v>
      </c>
      <c r="M465" s="60"/>
      <c r="N465" s="58" t="str">
        <f>VLOOKUP(B465,歌单!B:C,2,0)</f>
        <v>叶炫清</v>
      </c>
      <c r="O465" s="58">
        <f t="shared" si="7"/>
        <v>0</v>
      </c>
      <c r="P465" s="62" t="str">
        <f>VLOOKUP(B465,歌单!B:E,3,0)</f>
        <v>国语</v>
      </c>
      <c r="Q465" s="58" t="str">
        <f>VLOOKUP(B465,歌单!B:E,4,0)</f>
        <v>流行</v>
      </c>
      <c r="R465" s="62"/>
    </row>
    <row r="466" spans="1:18" ht="15" hidden="1" customHeight="1">
      <c r="A466" s="32" t="s">
        <v>2211</v>
      </c>
      <c r="B466" s="46" t="s">
        <v>2212</v>
      </c>
      <c r="C466" s="46" t="s">
        <v>2213</v>
      </c>
      <c r="D466" s="59"/>
      <c r="E466" s="59">
        <v>0</v>
      </c>
      <c r="F466" s="59">
        <v>0</v>
      </c>
      <c r="G466" s="60" t="s">
        <v>2214</v>
      </c>
      <c r="H466" s="60" t="s">
        <v>2215</v>
      </c>
      <c r="I466" s="61">
        <v>113</v>
      </c>
      <c r="J466" s="60"/>
      <c r="K466" s="60" t="s">
        <v>2216</v>
      </c>
      <c r="L466" s="60">
        <v>33715343</v>
      </c>
      <c r="M466" s="60"/>
      <c r="N466" s="56" t="str">
        <f>VLOOKUP(B466,歌单!B:C,2,0)</f>
        <v>王若琳</v>
      </c>
      <c r="O466" s="58">
        <f t="shared" si="7"/>
        <v>1</v>
      </c>
      <c r="P466" s="62" t="str">
        <f>VLOOKUP(B466,歌单!B:E,3,0)</f>
        <v>国语</v>
      </c>
      <c r="Q466" s="58" t="str">
        <f>VLOOKUP(B466,歌单!B:E,4,0)</f>
        <v>流行</v>
      </c>
      <c r="R466" s="62"/>
    </row>
    <row r="467" spans="1:18" ht="15" customHeight="1">
      <c r="A467" s="4" t="s">
        <v>2217</v>
      </c>
      <c r="B467" s="46" t="s">
        <v>2218</v>
      </c>
      <c r="C467" s="46" t="s">
        <v>2219</v>
      </c>
      <c r="D467" s="59"/>
      <c r="E467" s="59">
        <v>0</v>
      </c>
      <c r="F467" s="59">
        <v>0</v>
      </c>
      <c r="G467" s="60" t="s">
        <v>2220</v>
      </c>
      <c r="H467" s="60" t="s">
        <v>2221</v>
      </c>
      <c r="I467" s="61">
        <v>12330</v>
      </c>
      <c r="J467" s="60"/>
      <c r="K467" s="60" t="s">
        <v>2222</v>
      </c>
      <c r="L467" s="60">
        <v>917329445</v>
      </c>
      <c r="M467" s="60" t="s">
        <v>2040</v>
      </c>
      <c r="N467" s="58" t="e">
        <f>VLOOKUP(B467,歌单!B:C,2,0)</f>
        <v>#N/A</v>
      </c>
      <c r="O467" s="58">
        <f t="shared" si="7"/>
        <v>1</v>
      </c>
      <c r="P467" s="62" t="s">
        <v>10247</v>
      </c>
      <c r="Q467" s="58" t="s">
        <v>10239</v>
      </c>
      <c r="R467" s="62"/>
    </row>
    <row r="468" spans="1:18" ht="15" hidden="1" customHeight="1">
      <c r="A468" s="4" t="s">
        <v>2223</v>
      </c>
      <c r="B468" s="46" t="s">
        <v>2224</v>
      </c>
      <c r="C468" s="46" t="s">
        <v>2225</v>
      </c>
      <c r="D468" s="59"/>
      <c r="E468" s="59">
        <v>0</v>
      </c>
      <c r="F468" s="59">
        <v>0</v>
      </c>
      <c r="G468" s="60" t="s">
        <v>2226</v>
      </c>
      <c r="H468" s="60" t="s">
        <v>2227</v>
      </c>
      <c r="I468" s="61">
        <v>635</v>
      </c>
      <c r="J468" s="60" t="s">
        <v>2228</v>
      </c>
      <c r="K468" s="60" t="s">
        <v>2224</v>
      </c>
      <c r="L468" s="60">
        <v>333836783</v>
      </c>
      <c r="M468" s="60"/>
      <c r="N468" s="58" t="str">
        <f>VLOOKUP(B468,歌单!B:C,2,0)</f>
        <v>周笔畅</v>
      </c>
      <c r="O468" s="58">
        <f t="shared" si="7"/>
        <v>0</v>
      </c>
      <c r="P468" s="62" t="str">
        <f>VLOOKUP(B468,歌单!B:E,3,0)</f>
        <v>国语</v>
      </c>
      <c r="Q468" s="58" t="str">
        <f>VLOOKUP(B468,歌单!B:E,4,0)</f>
        <v>流行</v>
      </c>
      <c r="R468" s="62"/>
    </row>
    <row r="469" spans="1:18" ht="15" hidden="1" customHeight="1">
      <c r="A469" s="4" t="s">
        <v>2229</v>
      </c>
      <c r="B469" s="46" t="s">
        <v>2230</v>
      </c>
      <c r="C469" s="46" t="s">
        <v>227</v>
      </c>
      <c r="D469" s="59"/>
      <c r="E469" s="59">
        <v>0</v>
      </c>
      <c r="F469" s="59">
        <v>0</v>
      </c>
      <c r="G469" s="60" t="s">
        <v>2231</v>
      </c>
      <c r="H469" s="60" t="s">
        <v>2232</v>
      </c>
      <c r="I469" s="61">
        <v>2705</v>
      </c>
      <c r="J469" s="60" t="s">
        <v>2233</v>
      </c>
      <c r="K469" s="60" t="s">
        <v>2230</v>
      </c>
      <c r="L469" s="60">
        <v>420865010</v>
      </c>
      <c r="M469" s="60" t="s">
        <v>2040</v>
      </c>
      <c r="N469" s="58" t="str">
        <f>VLOOKUP(B469,歌单!B:C,2,0)</f>
        <v>王菲</v>
      </c>
      <c r="O469" s="58">
        <f t="shared" si="7"/>
        <v>0</v>
      </c>
      <c r="P469" s="62" t="str">
        <f>VLOOKUP(B469,歌单!B:E,3,0)</f>
        <v>国语</v>
      </c>
      <c r="Q469" s="58" t="str">
        <f>VLOOKUP(B469,歌单!B:E,4,0)</f>
        <v>流行</v>
      </c>
      <c r="R469" s="62"/>
    </row>
    <row r="470" spans="1:18" ht="15" hidden="1" customHeight="1">
      <c r="A470" s="4" t="s">
        <v>2234</v>
      </c>
      <c r="B470" s="46" t="s">
        <v>2235</v>
      </c>
      <c r="C470" s="46" t="s">
        <v>2236</v>
      </c>
      <c r="D470" s="59"/>
      <c r="E470" s="59">
        <v>0</v>
      </c>
      <c r="F470" s="59">
        <v>0</v>
      </c>
      <c r="G470" s="60" t="s">
        <v>2237</v>
      </c>
      <c r="H470" s="60"/>
      <c r="I470" s="61">
        <v>74</v>
      </c>
      <c r="J470" s="60"/>
      <c r="K470" s="60" t="s">
        <v>2238</v>
      </c>
      <c r="L470" s="60">
        <v>49986800</v>
      </c>
      <c r="M470" s="60"/>
      <c r="N470" s="58" t="str">
        <f>VLOOKUP(B470,歌单!B:C,2,0)</f>
        <v>戴佩妮</v>
      </c>
      <c r="O470" s="58">
        <f t="shared" si="7"/>
        <v>0</v>
      </c>
      <c r="P470" s="62" t="str">
        <f>VLOOKUP(B470,歌单!B:E,3,0)</f>
        <v>国语</v>
      </c>
      <c r="Q470" s="58" t="str">
        <f>VLOOKUP(B470,歌单!B:E,4,0)</f>
        <v>流行</v>
      </c>
      <c r="R470" s="62"/>
    </row>
    <row r="471" spans="1:18" ht="15" customHeight="1">
      <c r="A471" s="4" t="s">
        <v>2239</v>
      </c>
      <c r="B471" s="46" t="s">
        <v>2240</v>
      </c>
      <c r="C471" s="46" t="s">
        <v>2241</v>
      </c>
      <c r="D471" s="59"/>
      <c r="E471" s="59">
        <v>0</v>
      </c>
      <c r="F471" s="59">
        <v>0</v>
      </c>
      <c r="G471" s="60" t="s">
        <v>2242</v>
      </c>
      <c r="H471" s="60" t="s">
        <v>2243</v>
      </c>
      <c r="I471" s="61">
        <v>2</v>
      </c>
      <c r="J471" s="60"/>
      <c r="K471" s="60" t="s">
        <v>2244</v>
      </c>
      <c r="L471" s="60">
        <v>397466</v>
      </c>
      <c r="M471" s="60"/>
      <c r="N471" s="58">
        <f>VLOOKUP(B471,歌单!B:C,2,0)</f>
        <v>0</v>
      </c>
      <c r="O471" s="58">
        <f t="shared" si="7"/>
        <v>1</v>
      </c>
      <c r="P471" s="62" t="str">
        <f>VLOOKUP(B471,歌单!B:E,3,0)</f>
        <v>国语</v>
      </c>
      <c r="Q471" s="58" t="str">
        <f>VLOOKUP(B471,歌单!B:E,4,0)</f>
        <v>美声</v>
      </c>
      <c r="R471" s="62"/>
    </row>
    <row r="472" spans="1:18" ht="15" hidden="1" customHeight="1">
      <c r="A472" s="4" t="s">
        <v>2245</v>
      </c>
      <c r="B472" s="46" t="s">
        <v>2246</v>
      </c>
      <c r="C472" s="46" t="s">
        <v>509</v>
      </c>
      <c r="D472" s="59"/>
      <c r="E472" s="59">
        <v>0</v>
      </c>
      <c r="F472" s="59">
        <v>0</v>
      </c>
      <c r="G472" s="60" t="s">
        <v>2247</v>
      </c>
      <c r="H472" s="60" t="s">
        <v>2248</v>
      </c>
      <c r="I472" s="61">
        <v>88</v>
      </c>
      <c r="J472" s="60" t="s">
        <v>2249</v>
      </c>
      <c r="K472" s="60" t="s">
        <v>2250</v>
      </c>
      <c r="L472" s="60">
        <v>71341082</v>
      </c>
      <c r="M472" s="60"/>
      <c r="N472" s="58" t="str">
        <f>VLOOKUP(B472,歌单!B:C,2,0)</f>
        <v>张韶涵</v>
      </c>
      <c r="O472" s="58">
        <f t="shared" si="7"/>
        <v>0</v>
      </c>
      <c r="P472" s="62" t="str">
        <f>VLOOKUP(B472,歌单!B:E,3,0)</f>
        <v>国语</v>
      </c>
      <c r="Q472" s="58" t="str">
        <f>VLOOKUP(B472,歌单!B:E,4,0)</f>
        <v>流行</v>
      </c>
      <c r="R472" s="62"/>
    </row>
    <row r="473" spans="1:18" ht="15" customHeight="1">
      <c r="A473" s="4" t="s">
        <v>2251</v>
      </c>
      <c r="B473" s="46" t="s">
        <v>2252</v>
      </c>
      <c r="C473" s="46" t="s">
        <v>2253</v>
      </c>
      <c r="D473" s="59"/>
      <c r="E473" s="59">
        <v>0</v>
      </c>
      <c r="F473" s="59">
        <v>0</v>
      </c>
      <c r="G473" s="60" t="s">
        <v>2254</v>
      </c>
      <c r="H473" s="60" t="s">
        <v>2255</v>
      </c>
      <c r="I473" s="61">
        <v>0</v>
      </c>
      <c r="J473" s="60"/>
      <c r="K473" s="60" t="s">
        <v>2256</v>
      </c>
      <c r="L473" s="60">
        <v>19888</v>
      </c>
      <c r="M473" s="60"/>
      <c r="N473" s="58" t="e">
        <f>VLOOKUP(B473,歌单!B:C,2,0)</f>
        <v>#N/A</v>
      </c>
      <c r="O473" s="58">
        <f t="shared" si="7"/>
        <v>1</v>
      </c>
      <c r="P473" s="62" t="s">
        <v>10246</v>
      </c>
      <c r="Q473" s="58" t="s">
        <v>10252</v>
      </c>
      <c r="R473" s="62"/>
    </row>
    <row r="474" spans="1:18" ht="15" hidden="1" customHeight="1">
      <c r="A474" s="4" t="s">
        <v>2257</v>
      </c>
      <c r="B474" s="46" t="s">
        <v>2258</v>
      </c>
      <c r="C474" s="46" t="s">
        <v>509</v>
      </c>
      <c r="D474" s="59"/>
      <c r="E474" s="59">
        <v>0</v>
      </c>
      <c r="F474" s="59">
        <v>0</v>
      </c>
      <c r="G474" s="60" t="s">
        <v>2259</v>
      </c>
      <c r="H474" s="60" t="s">
        <v>2260</v>
      </c>
      <c r="I474" s="61">
        <v>439</v>
      </c>
      <c r="J474" s="60" t="s">
        <v>2261</v>
      </c>
      <c r="K474" s="60" t="s">
        <v>2262</v>
      </c>
      <c r="L474" s="60">
        <v>189255789</v>
      </c>
      <c r="M474" s="60"/>
      <c r="N474" s="58" t="str">
        <f>VLOOKUP(B474,歌单!B:C,2,0)</f>
        <v>张韶涵</v>
      </c>
      <c r="O474" s="58">
        <f t="shared" si="7"/>
        <v>0</v>
      </c>
      <c r="P474" s="62" t="str">
        <f>VLOOKUP(B474,歌单!B:E,3,0)</f>
        <v>国语</v>
      </c>
      <c r="Q474" s="58" t="str">
        <f>VLOOKUP(B474,歌单!B:E,4,0)</f>
        <v>流行</v>
      </c>
      <c r="R474" s="62"/>
    </row>
    <row r="475" spans="1:18" ht="15" customHeight="1">
      <c r="A475" s="4" t="s">
        <v>2263</v>
      </c>
      <c r="B475" s="46" t="s">
        <v>2264</v>
      </c>
      <c r="C475" s="46" t="s">
        <v>2265</v>
      </c>
      <c r="D475" s="59"/>
      <c r="E475" s="59">
        <v>0</v>
      </c>
      <c r="F475" s="59">
        <v>0</v>
      </c>
      <c r="G475" s="60" t="s">
        <v>2266</v>
      </c>
      <c r="H475" s="60" t="s">
        <v>2267</v>
      </c>
      <c r="I475" s="61">
        <v>11</v>
      </c>
      <c r="J475" s="60" t="s">
        <v>2268</v>
      </c>
      <c r="K475" s="60" t="s">
        <v>2269</v>
      </c>
      <c r="L475" s="60">
        <v>2500283</v>
      </c>
      <c r="M475" s="60"/>
      <c r="N475" s="58" t="e">
        <f>VLOOKUP(B475,歌单!B:C,2,0)</f>
        <v>#N/A</v>
      </c>
      <c r="O475" s="58">
        <f t="shared" si="7"/>
        <v>1</v>
      </c>
      <c r="P475" s="62" t="s">
        <v>10246</v>
      </c>
      <c r="Q475" s="58" t="s">
        <v>10252</v>
      </c>
      <c r="R475" s="62"/>
    </row>
    <row r="476" spans="1:18" ht="15" customHeight="1">
      <c r="A476" s="4" t="s">
        <v>2270</v>
      </c>
      <c r="B476" s="46" t="s">
        <v>2271</v>
      </c>
      <c r="C476" s="46" t="s">
        <v>2272</v>
      </c>
      <c r="D476" s="59"/>
      <c r="E476" s="59">
        <v>0</v>
      </c>
      <c r="F476" s="59">
        <v>0</v>
      </c>
      <c r="G476" s="60" t="s">
        <v>2273</v>
      </c>
      <c r="H476" s="60" t="s">
        <v>2274</v>
      </c>
      <c r="I476" s="61">
        <v>22</v>
      </c>
      <c r="J476" s="60"/>
      <c r="K476" s="60" t="s">
        <v>2275</v>
      </c>
      <c r="L476" s="60">
        <v>19192935</v>
      </c>
      <c r="M476" s="60"/>
      <c r="N476" s="58">
        <f>VLOOKUP(B476,歌单!B:C,2,0)</f>
        <v>0</v>
      </c>
      <c r="O476" s="58">
        <f t="shared" si="7"/>
        <v>1</v>
      </c>
      <c r="P476" s="62" t="str">
        <f>VLOOKUP(B476,歌单!B:E,3,0)</f>
        <v>国语</v>
      </c>
      <c r="Q476" s="58" t="str">
        <f>VLOOKUP(B476,歌单!B:E,4,0)</f>
        <v>流行</v>
      </c>
      <c r="R476" s="62"/>
    </row>
    <row r="477" spans="1:18" ht="15" hidden="1" customHeight="1">
      <c r="A477" s="4" t="s">
        <v>2276</v>
      </c>
      <c r="B477" s="46" t="s">
        <v>2277</v>
      </c>
      <c r="C477" s="46" t="s">
        <v>524</v>
      </c>
      <c r="D477" s="59"/>
      <c r="E477" s="59">
        <v>0</v>
      </c>
      <c r="F477" s="59">
        <v>0</v>
      </c>
      <c r="G477" s="60" t="s">
        <v>2278</v>
      </c>
      <c r="H477" s="60" t="s">
        <v>2279</v>
      </c>
      <c r="I477" s="61">
        <v>2605</v>
      </c>
      <c r="J477" s="60" t="s">
        <v>2280</v>
      </c>
      <c r="K477" s="60" t="s">
        <v>2281</v>
      </c>
      <c r="L477" s="60">
        <v>366858722</v>
      </c>
      <c r="M477" s="60"/>
      <c r="N477" s="58" t="str">
        <f>VLOOKUP(B477,歌单!B:C,2,0)</f>
        <v>田馥甄</v>
      </c>
      <c r="O477" s="58">
        <f t="shared" si="7"/>
        <v>0</v>
      </c>
      <c r="P477" s="62" t="str">
        <f>VLOOKUP(B477,歌单!B:E,3,0)</f>
        <v>国语</v>
      </c>
      <c r="Q477" s="58" t="str">
        <f>VLOOKUP(B477,歌单!B:E,4,0)</f>
        <v>流行</v>
      </c>
      <c r="R477" s="62"/>
    </row>
    <row r="478" spans="1:18" ht="15" hidden="1" customHeight="1">
      <c r="A478" s="4" t="s">
        <v>2282</v>
      </c>
      <c r="B478" s="46" t="s">
        <v>2283</v>
      </c>
      <c r="C478" s="46" t="s">
        <v>227</v>
      </c>
      <c r="D478" s="59"/>
      <c r="E478" s="59">
        <v>0</v>
      </c>
      <c r="F478" s="59">
        <v>0</v>
      </c>
      <c r="G478" s="60" t="s">
        <v>2284</v>
      </c>
      <c r="H478" s="60" t="s">
        <v>2285</v>
      </c>
      <c r="I478" s="61">
        <v>906</v>
      </c>
      <c r="J478" s="60"/>
      <c r="K478" s="60" t="s">
        <v>2286</v>
      </c>
      <c r="L478" s="60">
        <v>156411344</v>
      </c>
      <c r="M478" s="60"/>
      <c r="N478" s="58" t="str">
        <f>VLOOKUP(B478,歌单!B:C,2,0)</f>
        <v>王菲</v>
      </c>
      <c r="O478" s="58">
        <f t="shared" si="7"/>
        <v>0</v>
      </c>
      <c r="P478" s="62" t="str">
        <f>VLOOKUP(B478,歌单!B:E,3,0)</f>
        <v>国语</v>
      </c>
      <c r="Q478" s="58" t="str">
        <f>VLOOKUP(B478,歌单!B:E,4,0)</f>
        <v>流行</v>
      </c>
      <c r="R478" s="62"/>
    </row>
    <row r="479" spans="1:18" ht="15" hidden="1" customHeight="1">
      <c r="A479" s="4" t="s">
        <v>2287</v>
      </c>
      <c r="B479" s="46" t="s">
        <v>2288</v>
      </c>
      <c r="C479" s="46" t="s">
        <v>2289</v>
      </c>
      <c r="D479" s="59"/>
      <c r="E479" s="59">
        <v>0</v>
      </c>
      <c r="F479" s="59">
        <v>0</v>
      </c>
      <c r="G479" s="60" t="s">
        <v>2290</v>
      </c>
      <c r="H479" s="60" t="s">
        <v>2291</v>
      </c>
      <c r="I479" s="61">
        <v>4675</v>
      </c>
      <c r="J479" s="60" t="s">
        <v>2292</v>
      </c>
      <c r="K479" s="60" t="s">
        <v>2288</v>
      </c>
      <c r="L479" s="60">
        <v>1654225376</v>
      </c>
      <c r="M479" s="60"/>
      <c r="N479" s="58" t="str">
        <f>VLOOKUP(B479,歌单!B:C,2,0)</f>
        <v>阿肆</v>
      </c>
      <c r="O479" s="58">
        <f t="shared" si="7"/>
        <v>0</v>
      </c>
      <c r="P479" s="62" t="str">
        <f>VLOOKUP(B479,歌单!B:E,3,0)</f>
        <v>国语</v>
      </c>
      <c r="Q479" s="58" t="str">
        <f>VLOOKUP(B479,歌单!B:E,4,0)</f>
        <v>流行</v>
      </c>
      <c r="R479" s="62"/>
    </row>
    <row r="480" spans="1:18" ht="15" hidden="1" customHeight="1">
      <c r="A480" s="4" t="s">
        <v>2293</v>
      </c>
      <c r="B480" s="46" t="s">
        <v>2294</v>
      </c>
      <c r="C480" s="46" t="s">
        <v>1372</v>
      </c>
      <c r="D480" s="59"/>
      <c r="E480" s="59">
        <v>0</v>
      </c>
      <c r="F480" s="59">
        <v>0</v>
      </c>
      <c r="G480" s="60" t="s">
        <v>2295</v>
      </c>
      <c r="H480" s="60" t="s">
        <v>2296</v>
      </c>
      <c r="I480" s="61">
        <v>158</v>
      </c>
      <c r="J480" s="60"/>
      <c r="K480" s="60" t="s">
        <v>2297</v>
      </c>
      <c r="L480" s="60">
        <v>29528093</v>
      </c>
      <c r="M480" s="60"/>
      <c r="N480" s="58" t="str">
        <f>VLOOKUP(B480,歌单!B:C,2,0)</f>
        <v>韦唯</v>
      </c>
      <c r="O480" s="58">
        <f t="shared" si="7"/>
        <v>1</v>
      </c>
      <c r="P480" s="62" t="str">
        <f>VLOOKUP(B480,歌单!B:E,3,0)</f>
        <v>国语</v>
      </c>
      <c r="Q480" s="58" t="str">
        <f>VLOOKUP(B480,歌单!B:E,4,0)</f>
        <v>民族</v>
      </c>
      <c r="R480" s="62"/>
    </row>
    <row r="481" spans="1:18" ht="15" hidden="1" customHeight="1">
      <c r="A481" s="4" t="s">
        <v>2298</v>
      </c>
      <c r="B481" s="46" t="s">
        <v>2299</v>
      </c>
      <c r="C481" s="46" t="s">
        <v>2300</v>
      </c>
      <c r="D481" s="59"/>
      <c r="E481" s="59">
        <v>0</v>
      </c>
      <c r="F481" s="59">
        <v>0</v>
      </c>
      <c r="G481" s="60" t="s">
        <v>2301</v>
      </c>
      <c r="H481" s="60" t="s">
        <v>2302</v>
      </c>
      <c r="I481" s="61">
        <v>144</v>
      </c>
      <c r="J481" s="60"/>
      <c r="K481" s="60" t="s">
        <v>2303</v>
      </c>
      <c r="L481" s="60">
        <v>96242509</v>
      </c>
      <c r="M481" s="60"/>
      <c r="N481" s="58" t="str">
        <f>VLOOKUP(B481,歌单!B:C,2,0)</f>
        <v>彭羚</v>
      </c>
      <c r="O481" s="58">
        <f t="shared" si="7"/>
        <v>0</v>
      </c>
      <c r="P481" s="62" t="str">
        <f>VLOOKUP(B481,歌单!B:E,3,0)</f>
        <v>国语</v>
      </c>
      <c r="Q481" s="58" t="str">
        <f>VLOOKUP(B481,歌单!B:E,4,0)</f>
        <v>流行</v>
      </c>
      <c r="R481" s="62"/>
    </row>
    <row r="482" spans="1:18" ht="15" hidden="1" customHeight="1">
      <c r="A482" s="32" t="s">
        <v>2304</v>
      </c>
      <c r="B482" s="46" t="s">
        <v>625</v>
      </c>
      <c r="C482" s="46" t="s">
        <v>2305</v>
      </c>
      <c r="D482" s="59"/>
      <c r="E482" s="59">
        <v>0</v>
      </c>
      <c r="F482" s="59">
        <v>0</v>
      </c>
      <c r="G482" s="60" t="s">
        <v>2306</v>
      </c>
      <c r="H482" s="60" t="s">
        <v>2307</v>
      </c>
      <c r="I482" s="61">
        <v>31</v>
      </c>
      <c r="J482" s="60"/>
      <c r="K482" s="60" t="s">
        <v>2308</v>
      </c>
      <c r="L482" s="60">
        <v>20136844</v>
      </c>
      <c r="M482" s="60"/>
      <c r="N482" s="68" t="s">
        <v>626</v>
      </c>
      <c r="O482" s="58">
        <f t="shared" si="7"/>
        <v>1</v>
      </c>
      <c r="P482" s="62" t="str">
        <f>VLOOKUP(B482,歌单!B:E,3,0)</f>
        <v>国语</v>
      </c>
      <c r="Q482" s="58" t="str">
        <f>VLOOKUP(B482,歌单!B:E,4,0)</f>
        <v>流行</v>
      </c>
      <c r="R482" s="62"/>
    </row>
    <row r="483" spans="1:18" ht="15" customHeight="1">
      <c r="A483" s="4" t="s">
        <v>2309</v>
      </c>
      <c r="B483" s="46" t="s">
        <v>2310</v>
      </c>
      <c r="C483" s="46" t="s">
        <v>2311</v>
      </c>
      <c r="D483" s="59"/>
      <c r="E483" s="59">
        <v>0</v>
      </c>
      <c r="F483" s="59">
        <v>0</v>
      </c>
      <c r="G483" s="60" t="s">
        <v>2312</v>
      </c>
      <c r="H483" s="60" t="s">
        <v>2313</v>
      </c>
      <c r="I483" s="61">
        <v>162</v>
      </c>
      <c r="J483" s="60" t="s">
        <v>2314</v>
      </c>
      <c r="K483" s="60" t="s">
        <v>2315</v>
      </c>
      <c r="L483" s="60">
        <v>62884699</v>
      </c>
      <c r="M483" s="60"/>
      <c r="N483" s="58">
        <f>VLOOKUP(B483,歌单!B:C,2,0)</f>
        <v>0</v>
      </c>
      <c r="O483" s="58">
        <f t="shared" si="7"/>
        <v>1</v>
      </c>
      <c r="P483" s="62" t="str">
        <f>VLOOKUP(B483,歌单!B:E,3,0)</f>
        <v>国语</v>
      </c>
      <c r="Q483" s="58" t="str">
        <f>VLOOKUP(B483,歌单!B:E,4,0)</f>
        <v>流行</v>
      </c>
      <c r="R483" s="62"/>
    </row>
    <row r="484" spans="1:18" ht="15" customHeight="1">
      <c r="A484" s="4" t="s">
        <v>2316</v>
      </c>
      <c r="B484" s="46" t="s">
        <v>2317</v>
      </c>
      <c r="C484" s="46" t="s">
        <v>1783</v>
      </c>
      <c r="D484" s="59"/>
      <c r="E484" s="59">
        <v>0</v>
      </c>
      <c r="F484" s="59">
        <v>0</v>
      </c>
      <c r="G484" s="60" t="s">
        <v>2318</v>
      </c>
      <c r="H484" s="60" t="s">
        <v>2319</v>
      </c>
      <c r="I484" s="61">
        <v>0</v>
      </c>
      <c r="J484" s="60"/>
      <c r="K484" s="60" t="s">
        <v>2320</v>
      </c>
      <c r="L484" s="60">
        <v>255036</v>
      </c>
      <c r="M484" s="60"/>
      <c r="N484" s="58" t="e">
        <f>VLOOKUP(B484,歌单!B:C,2,0)</f>
        <v>#N/A</v>
      </c>
      <c r="O484" s="58">
        <f t="shared" si="7"/>
        <v>1</v>
      </c>
      <c r="P484" s="62" t="s">
        <v>10246</v>
      </c>
      <c r="Q484" s="58" t="s">
        <v>10252</v>
      </c>
      <c r="R484" s="62"/>
    </row>
    <row r="485" spans="1:18" ht="15" hidden="1" customHeight="1">
      <c r="A485" s="4" t="s">
        <v>2321</v>
      </c>
      <c r="B485" s="46" t="s">
        <v>2322</v>
      </c>
      <c r="C485" s="46" t="s">
        <v>2323</v>
      </c>
      <c r="D485" s="59"/>
      <c r="E485" s="59">
        <v>0</v>
      </c>
      <c r="F485" s="59">
        <v>0</v>
      </c>
      <c r="G485" s="60" t="s">
        <v>2324</v>
      </c>
      <c r="H485" s="60" t="s">
        <v>2325</v>
      </c>
      <c r="I485" s="61">
        <v>185</v>
      </c>
      <c r="J485" s="60"/>
      <c r="K485" s="60" t="s">
        <v>2326</v>
      </c>
      <c r="L485" s="60">
        <v>91894714</v>
      </c>
      <c r="M485" s="60"/>
      <c r="N485" s="58" t="str">
        <f>VLOOKUP(B485,歌单!B:C,2,0)</f>
        <v>张悬</v>
      </c>
      <c r="O485" s="58">
        <f t="shared" si="7"/>
        <v>0</v>
      </c>
      <c r="P485" s="62" t="str">
        <f>VLOOKUP(B485,歌单!B:E,3,0)</f>
        <v>国语</v>
      </c>
      <c r="Q485" s="58" t="str">
        <f>VLOOKUP(B485,歌单!B:E,4,0)</f>
        <v>流行</v>
      </c>
      <c r="R485" s="62"/>
    </row>
    <row r="486" spans="1:18" ht="15" hidden="1" customHeight="1">
      <c r="A486" s="4" t="s">
        <v>2327</v>
      </c>
      <c r="B486" s="46" t="s">
        <v>2328</v>
      </c>
      <c r="C486" s="46" t="s">
        <v>360</v>
      </c>
      <c r="D486" s="59"/>
      <c r="E486" s="59">
        <v>0</v>
      </c>
      <c r="F486" s="59">
        <v>0</v>
      </c>
      <c r="G486" s="60" t="s">
        <v>2329</v>
      </c>
      <c r="H486" s="60" t="s">
        <v>2330</v>
      </c>
      <c r="I486" s="61">
        <v>0</v>
      </c>
      <c r="J486" s="60"/>
      <c r="K486" s="60" t="s">
        <v>2331</v>
      </c>
      <c r="L486" s="60">
        <v>1500926</v>
      </c>
      <c r="M486" s="60"/>
      <c r="N486" s="58" t="str">
        <f>VLOOKUP(B486,歌单!B:C,2,0)</f>
        <v>张碧晨</v>
      </c>
      <c r="O486" s="58">
        <f t="shared" si="7"/>
        <v>0</v>
      </c>
      <c r="P486" s="62" t="str">
        <f>VLOOKUP(B486,歌单!B:E,3,0)</f>
        <v>国语</v>
      </c>
      <c r="Q486" s="58" t="str">
        <f>VLOOKUP(B486,歌单!B:E,4,0)</f>
        <v>流行</v>
      </c>
      <c r="R486" s="62"/>
    </row>
    <row r="487" spans="1:18" ht="15" customHeight="1">
      <c r="A487" s="4" t="s">
        <v>2332</v>
      </c>
      <c r="B487" s="46" t="s">
        <v>2333</v>
      </c>
      <c r="C487" s="46" t="s">
        <v>2334</v>
      </c>
      <c r="D487" s="59"/>
      <c r="E487" s="59">
        <v>0</v>
      </c>
      <c r="F487" s="59">
        <v>0</v>
      </c>
      <c r="G487" s="60" t="s">
        <v>2335</v>
      </c>
      <c r="H487" s="60" t="s">
        <v>2336</v>
      </c>
      <c r="I487" s="61">
        <v>380</v>
      </c>
      <c r="J487" s="60"/>
      <c r="K487" s="60" t="s">
        <v>2334</v>
      </c>
      <c r="L487" s="60">
        <v>45262675</v>
      </c>
      <c r="M487" s="60"/>
      <c r="N487" s="58" t="e">
        <f>VLOOKUP(B487,歌单!B:C,2,0)</f>
        <v>#N/A</v>
      </c>
      <c r="O487" s="58">
        <f t="shared" si="7"/>
        <v>1</v>
      </c>
      <c r="P487" s="62" t="s">
        <v>10246</v>
      </c>
      <c r="Q487" s="58" t="s">
        <v>10252</v>
      </c>
      <c r="R487" s="62"/>
    </row>
    <row r="488" spans="1:18" ht="15" customHeight="1">
      <c r="A488" s="4" t="s">
        <v>2337</v>
      </c>
      <c r="B488" s="46" t="s">
        <v>2338</v>
      </c>
      <c r="C488" s="46" t="s">
        <v>2339</v>
      </c>
      <c r="D488" s="59"/>
      <c r="E488" s="59">
        <v>0</v>
      </c>
      <c r="F488" s="59">
        <v>0</v>
      </c>
      <c r="G488" s="60" t="s">
        <v>2340</v>
      </c>
      <c r="H488" s="60"/>
      <c r="I488" s="61">
        <v>3861</v>
      </c>
      <c r="J488" s="60"/>
      <c r="K488" s="60" t="s">
        <v>2338</v>
      </c>
      <c r="L488" s="60">
        <v>137998736</v>
      </c>
      <c r="M488" s="60"/>
      <c r="N488" s="58">
        <f>VLOOKUP(B488,歌单!B:C,2,0)</f>
        <v>0</v>
      </c>
      <c r="O488" s="58">
        <f t="shared" si="7"/>
        <v>1</v>
      </c>
      <c r="P488" s="62" t="str">
        <f>VLOOKUP(B488,歌单!B:E,3,0)</f>
        <v>国语</v>
      </c>
      <c r="Q488" s="58" t="str">
        <f>VLOOKUP(B488,歌单!B:E,4,0)</f>
        <v>V家</v>
      </c>
      <c r="R488" s="62"/>
    </row>
    <row r="489" spans="1:18" ht="15" customHeight="1">
      <c r="A489" s="4" t="s">
        <v>2341</v>
      </c>
      <c r="B489" s="46" t="s">
        <v>2342</v>
      </c>
      <c r="C489" s="46" t="s">
        <v>2343</v>
      </c>
      <c r="D489" s="59"/>
      <c r="E489" s="59">
        <v>0</v>
      </c>
      <c r="F489" s="59">
        <v>0</v>
      </c>
      <c r="G489" s="60" t="s">
        <v>2344</v>
      </c>
      <c r="H489" s="60" t="s">
        <v>2345</v>
      </c>
      <c r="I489" s="61">
        <v>2</v>
      </c>
      <c r="J489" s="60"/>
      <c r="K489" s="60" t="s">
        <v>2346</v>
      </c>
      <c r="L489" s="60">
        <v>169285</v>
      </c>
      <c r="M489" s="60"/>
      <c r="N489" s="58" t="e">
        <f>VLOOKUP(B489,歌单!B:C,2,0)</f>
        <v>#N/A</v>
      </c>
      <c r="O489" s="58">
        <f t="shared" si="7"/>
        <v>1</v>
      </c>
      <c r="P489" s="62" t="s">
        <v>10255</v>
      </c>
      <c r="Q489" s="58" t="s">
        <v>10256</v>
      </c>
      <c r="R489" s="62"/>
    </row>
    <row r="490" spans="1:18" ht="15" customHeight="1">
      <c r="A490" s="4" t="s">
        <v>2347</v>
      </c>
      <c r="B490" s="46" t="s">
        <v>2348</v>
      </c>
      <c r="C490" s="46" t="s">
        <v>2349</v>
      </c>
      <c r="D490" s="59"/>
      <c r="E490" s="59">
        <v>0</v>
      </c>
      <c r="F490" s="59">
        <v>0</v>
      </c>
      <c r="G490" s="60" t="s">
        <v>2350</v>
      </c>
      <c r="H490" s="60"/>
      <c r="I490" s="61">
        <v>13</v>
      </c>
      <c r="J490" s="60"/>
      <c r="K490" s="60"/>
      <c r="L490" s="60">
        <v>1301647</v>
      </c>
      <c r="M490" s="60"/>
      <c r="N490" s="58" t="e">
        <f>VLOOKUP(B490,歌单!B:C,2,0)</f>
        <v>#N/A</v>
      </c>
      <c r="O490" s="58">
        <f t="shared" si="7"/>
        <v>1</v>
      </c>
      <c r="P490" s="62" t="s">
        <v>10246</v>
      </c>
      <c r="Q490" s="58" t="s">
        <v>10252</v>
      </c>
      <c r="R490" s="62"/>
    </row>
    <row r="491" spans="1:18" ht="15" hidden="1" customHeight="1">
      <c r="A491" s="4" t="s">
        <v>2351</v>
      </c>
      <c r="B491" s="46" t="s">
        <v>2352</v>
      </c>
      <c r="C491" s="46" t="s">
        <v>2353</v>
      </c>
      <c r="D491" s="59"/>
      <c r="E491" s="59">
        <v>0</v>
      </c>
      <c r="F491" s="59">
        <v>0</v>
      </c>
      <c r="G491" s="60" t="s">
        <v>2354</v>
      </c>
      <c r="H491" s="60" t="s">
        <v>2355</v>
      </c>
      <c r="I491" s="61">
        <v>383</v>
      </c>
      <c r="J491" s="60" t="s">
        <v>2356</v>
      </c>
      <c r="K491" s="60" t="s">
        <v>2357</v>
      </c>
      <c r="L491" s="60">
        <v>184271216</v>
      </c>
      <c r="M491" s="60"/>
      <c r="N491" s="58" t="str">
        <f>VLOOKUP(B491,歌单!B:C,2,0)</f>
        <v>娃娃</v>
      </c>
      <c r="O491" s="58">
        <f t="shared" si="7"/>
        <v>0</v>
      </c>
      <c r="P491" s="62" t="str">
        <f>VLOOKUP(B491,歌单!B:E,3,0)</f>
        <v>国语</v>
      </c>
      <c r="Q491" s="58" t="str">
        <f>VLOOKUP(B491,歌单!B:E,4,0)</f>
        <v>流行</v>
      </c>
      <c r="R491" s="62"/>
    </row>
    <row r="492" spans="1:18" ht="15" customHeight="1">
      <c r="A492" s="4" t="s">
        <v>2358</v>
      </c>
      <c r="B492" s="46" t="s">
        <v>2359</v>
      </c>
      <c r="C492" s="46" t="s">
        <v>2272</v>
      </c>
      <c r="D492" s="59"/>
      <c r="E492" s="59">
        <v>0</v>
      </c>
      <c r="F492" s="59">
        <v>0</v>
      </c>
      <c r="G492" s="60" t="s">
        <v>2360</v>
      </c>
      <c r="H492" s="60" t="s">
        <v>2361</v>
      </c>
      <c r="I492" s="61">
        <v>45</v>
      </c>
      <c r="J492" s="60"/>
      <c r="K492" s="60" t="s">
        <v>2362</v>
      </c>
      <c r="L492" s="60">
        <v>4556693</v>
      </c>
      <c r="M492" s="60"/>
      <c r="N492" s="58" t="e">
        <f>VLOOKUP(B492,歌单!B:C,2,0)</f>
        <v>#N/A</v>
      </c>
      <c r="O492" s="58">
        <f t="shared" si="7"/>
        <v>1</v>
      </c>
      <c r="P492" s="62" t="s">
        <v>10246</v>
      </c>
      <c r="Q492" s="58" t="s">
        <v>10252</v>
      </c>
      <c r="R492" s="62"/>
    </row>
    <row r="493" spans="1:18" ht="15" hidden="1" customHeight="1">
      <c r="A493" s="4" t="s">
        <v>2363</v>
      </c>
      <c r="B493" s="46" t="s">
        <v>2364</v>
      </c>
      <c r="C493" s="46" t="s">
        <v>884</v>
      </c>
      <c r="D493" s="59"/>
      <c r="E493" s="59">
        <v>10</v>
      </c>
      <c r="F493" s="59">
        <v>2</v>
      </c>
      <c r="G493" s="60" t="s">
        <v>2365</v>
      </c>
      <c r="H493" s="60" t="s">
        <v>2366</v>
      </c>
      <c r="I493" s="61">
        <v>973</v>
      </c>
      <c r="J493" s="60" t="s">
        <v>2367</v>
      </c>
      <c r="K493" s="60" t="s">
        <v>2368</v>
      </c>
      <c r="L493" s="60">
        <v>120276397</v>
      </c>
      <c r="M493" s="60"/>
      <c r="N493" s="58" t="str">
        <f>VLOOKUP(B493,歌单!B:C,2,0)</f>
        <v>王心凌</v>
      </c>
      <c r="O493" s="58">
        <f t="shared" si="7"/>
        <v>0</v>
      </c>
      <c r="P493" s="62" t="str">
        <f>VLOOKUP(B493,歌单!B:E,3,0)</f>
        <v>国语</v>
      </c>
      <c r="Q493" s="58" t="str">
        <f>VLOOKUP(B493,歌单!B:E,4,0)</f>
        <v>流行</v>
      </c>
      <c r="R493" s="62"/>
    </row>
    <row r="494" spans="1:18" ht="15" customHeight="1">
      <c r="A494" s="4" t="s">
        <v>2369</v>
      </c>
      <c r="B494" s="46" t="s">
        <v>2370</v>
      </c>
      <c r="C494" s="46" t="s">
        <v>884</v>
      </c>
      <c r="D494" s="59"/>
      <c r="E494" s="59">
        <v>12</v>
      </c>
      <c r="F494" s="59">
        <v>3</v>
      </c>
      <c r="G494" s="60" t="s">
        <v>2371</v>
      </c>
      <c r="H494" s="60" t="s">
        <v>2372</v>
      </c>
      <c r="I494" s="61">
        <v>595</v>
      </c>
      <c r="J494" s="60"/>
      <c r="K494" s="60" t="s">
        <v>2373</v>
      </c>
      <c r="L494" s="60">
        <v>51089154</v>
      </c>
      <c r="M494" s="60"/>
      <c r="N494" s="58">
        <f>VLOOKUP(B494,歌单!B:C,2,0)</f>
        <v>0</v>
      </c>
      <c r="O494" s="58">
        <f t="shared" si="7"/>
        <v>1</v>
      </c>
      <c r="P494" s="62" t="str">
        <f>VLOOKUP(B494,歌单!B:E,3,0)</f>
        <v>国语</v>
      </c>
      <c r="Q494" s="58" t="str">
        <f>VLOOKUP(B494,歌单!B:E,4,0)</f>
        <v>流行</v>
      </c>
      <c r="R494" s="62"/>
    </row>
    <row r="495" spans="1:18" ht="15" hidden="1" customHeight="1">
      <c r="A495" s="4" t="s">
        <v>2374</v>
      </c>
      <c r="B495" s="46" t="s">
        <v>2375</v>
      </c>
      <c r="C495" s="46" t="s">
        <v>884</v>
      </c>
      <c r="D495" s="59"/>
      <c r="E495" s="59">
        <v>11</v>
      </c>
      <c r="F495" s="59">
        <v>3</v>
      </c>
      <c r="G495" s="60" t="s">
        <v>2376</v>
      </c>
      <c r="H495" s="60" t="s">
        <v>2377</v>
      </c>
      <c r="I495" s="61">
        <v>328</v>
      </c>
      <c r="J495" s="60"/>
      <c r="K495" s="60" t="s">
        <v>2378</v>
      </c>
      <c r="L495" s="60">
        <v>26340486</v>
      </c>
      <c r="M495" s="60" t="s">
        <v>747</v>
      </c>
      <c r="N495" s="58" t="str">
        <f>VLOOKUP(B495,歌单!B:C,2,0)</f>
        <v>王心凌</v>
      </c>
      <c r="O495" s="58">
        <f t="shared" si="7"/>
        <v>0</v>
      </c>
      <c r="P495" s="62" t="str">
        <f>VLOOKUP(B495,歌单!B:E,3,0)</f>
        <v>国语</v>
      </c>
      <c r="Q495" s="58" t="str">
        <f>VLOOKUP(B495,歌单!B:E,4,0)</f>
        <v>流行</v>
      </c>
      <c r="R495" s="62"/>
    </row>
    <row r="496" spans="1:18" ht="15" customHeight="1">
      <c r="A496" s="4" t="s">
        <v>2379</v>
      </c>
      <c r="B496" s="46" t="s">
        <v>2380</v>
      </c>
      <c r="C496" s="46" t="s">
        <v>884</v>
      </c>
      <c r="D496" s="59"/>
      <c r="E496" s="59">
        <v>13</v>
      </c>
      <c r="F496" s="59">
        <v>0</v>
      </c>
      <c r="G496" s="60" t="s">
        <v>2381</v>
      </c>
      <c r="H496" s="60" t="s">
        <v>2382</v>
      </c>
      <c r="I496" s="61">
        <v>1272</v>
      </c>
      <c r="J496" s="60"/>
      <c r="K496" s="60" t="s">
        <v>2383</v>
      </c>
      <c r="L496" s="60">
        <v>168084644</v>
      </c>
      <c r="M496" s="60"/>
      <c r="N496" s="58">
        <f>VLOOKUP(B496,歌单!B:C,2,0)</f>
        <v>0</v>
      </c>
      <c r="O496" s="58">
        <f t="shared" si="7"/>
        <v>1</v>
      </c>
      <c r="P496" s="62" t="str">
        <f>VLOOKUP(B496,歌单!B:E,3,0)</f>
        <v>国语</v>
      </c>
      <c r="Q496" s="58" t="str">
        <f>VLOOKUP(B496,歌单!B:E,4,0)</f>
        <v>流行</v>
      </c>
      <c r="R496" s="62"/>
    </row>
    <row r="497" spans="1:18" ht="15" customHeight="1">
      <c r="A497" s="4" t="s">
        <v>2384</v>
      </c>
      <c r="B497" s="46" t="s">
        <v>2385</v>
      </c>
      <c r="C497" s="46" t="s">
        <v>884</v>
      </c>
      <c r="D497" s="59"/>
      <c r="E497" s="59">
        <v>0</v>
      </c>
      <c r="F497" s="59">
        <v>0</v>
      </c>
      <c r="G497" s="60" t="s">
        <v>2386</v>
      </c>
      <c r="H497" s="60" t="s">
        <v>2387</v>
      </c>
      <c r="I497" s="61">
        <v>30</v>
      </c>
      <c r="J497" s="60" t="s">
        <v>2388</v>
      </c>
      <c r="K497" s="60" t="s">
        <v>2389</v>
      </c>
      <c r="L497" s="60">
        <v>19482999</v>
      </c>
      <c r="M497" s="60"/>
      <c r="N497" s="58" t="e">
        <f>VLOOKUP(B497,歌单!B:C,2,0)</f>
        <v>#N/A</v>
      </c>
      <c r="O497" s="58">
        <f t="shared" si="7"/>
        <v>1</v>
      </c>
      <c r="P497" s="62" t="s">
        <v>10246</v>
      </c>
      <c r="Q497" s="58" t="s">
        <v>10252</v>
      </c>
      <c r="R497" s="62"/>
    </row>
    <row r="498" spans="1:18" ht="15" customHeight="1">
      <c r="A498" s="4" t="s">
        <v>2390</v>
      </c>
      <c r="B498" s="46" t="s">
        <v>2391</v>
      </c>
      <c r="C498" s="46" t="s">
        <v>884</v>
      </c>
      <c r="D498" s="59"/>
      <c r="E498" s="59">
        <v>10</v>
      </c>
      <c r="F498" s="59">
        <v>6</v>
      </c>
      <c r="G498" s="60" t="s">
        <v>2392</v>
      </c>
      <c r="H498" s="60" t="s">
        <v>2393</v>
      </c>
      <c r="I498" s="61">
        <v>680</v>
      </c>
      <c r="J498" s="60"/>
      <c r="K498" s="60" t="s">
        <v>2373</v>
      </c>
      <c r="L498" s="60">
        <v>184836616</v>
      </c>
      <c r="M498" s="60" t="s">
        <v>1507</v>
      </c>
      <c r="N498" s="58" t="e">
        <f>VLOOKUP(B498,歌单!B:C,2,0)</f>
        <v>#N/A</v>
      </c>
      <c r="O498" s="58">
        <f t="shared" si="7"/>
        <v>1</v>
      </c>
      <c r="P498" s="62" t="s">
        <v>10246</v>
      </c>
      <c r="Q498" s="58" t="s">
        <v>10252</v>
      </c>
      <c r="R498" s="62"/>
    </row>
    <row r="499" spans="1:18" ht="15" hidden="1" customHeight="1">
      <c r="A499" s="32" t="s">
        <v>2394</v>
      </c>
      <c r="B499" s="46" t="s">
        <v>2395</v>
      </c>
      <c r="C499" s="46" t="s">
        <v>154</v>
      </c>
      <c r="D499" s="59"/>
      <c r="E499" s="59">
        <v>0</v>
      </c>
      <c r="F499" s="59">
        <v>0</v>
      </c>
      <c r="G499" s="60" t="s">
        <v>2396</v>
      </c>
      <c r="H499" s="60" t="s">
        <v>2397</v>
      </c>
      <c r="I499" s="61">
        <v>842</v>
      </c>
      <c r="J499" s="60"/>
      <c r="K499" s="60" t="s">
        <v>158</v>
      </c>
      <c r="L499" s="60">
        <v>354965188</v>
      </c>
      <c r="M499" s="60"/>
      <c r="N499" s="56" t="str">
        <f>VLOOKUP(B499,歌单!B:C,2,0)</f>
        <v>林俊杰</v>
      </c>
      <c r="O499" s="58">
        <f t="shared" si="7"/>
        <v>1</v>
      </c>
      <c r="P499" s="62" t="str">
        <f>VLOOKUP(B499,歌单!B:E,3,0)</f>
        <v>国语</v>
      </c>
      <c r="Q499" s="58" t="str">
        <f>VLOOKUP(B499,歌单!B:E,4,0)</f>
        <v>流行</v>
      </c>
      <c r="R499" s="62"/>
    </row>
    <row r="500" spans="1:18" ht="15" hidden="1" customHeight="1">
      <c r="A500" s="4" t="s">
        <v>2398</v>
      </c>
      <c r="B500" s="46" t="s">
        <v>2399</v>
      </c>
      <c r="C500" s="46" t="s">
        <v>2400</v>
      </c>
      <c r="D500" s="59"/>
      <c r="E500" s="59">
        <v>0</v>
      </c>
      <c r="F500" s="59">
        <v>0</v>
      </c>
      <c r="G500" s="60" t="s">
        <v>2401</v>
      </c>
      <c r="H500" s="60" t="s">
        <v>2402</v>
      </c>
      <c r="I500" s="61">
        <v>2419</v>
      </c>
      <c r="J500" s="60"/>
      <c r="K500" s="60" t="s">
        <v>2178</v>
      </c>
      <c r="L500" s="60">
        <v>649378790</v>
      </c>
      <c r="M500" s="60" t="s">
        <v>1224</v>
      </c>
      <c r="N500" s="58" t="str">
        <f>VLOOKUP(B500,歌单!B:C,2,0)</f>
        <v>汪苏泷</v>
      </c>
      <c r="O500" s="58">
        <f t="shared" si="7"/>
        <v>0</v>
      </c>
      <c r="P500" s="62" t="str">
        <f>VLOOKUP(B500,歌单!B:E,3,0)</f>
        <v>国语</v>
      </c>
      <c r="Q500" s="58" t="str">
        <f>VLOOKUP(B500,歌单!B:E,4,0)</f>
        <v>甜歌</v>
      </c>
      <c r="R500" s="62"/>
    </row>
    <row r="501" spans="1:18" ht="15" hidden="1" customHeight="1">
      <c r="A501" s="32" t="s">
        <v>2403</v>
      </c>
      <c r="B501" s="46" t="s">
        <v>2404</v>
      </c>
      <c r="C501" s="46" t="s">
        <v>2405</v>
      </c>
      <c r="D501" s="59"/>
      <c r="E501" s="59">
        <v>0</v>
      </c>
      <c r="F501" s="59">
        <v>0</v>
      </c>
      <c r="G501" s="60" t="s">
        <v>2406</v>
      </c>
      <c r="H501" s="60" t="s">
        <v>2407</v>
      </c>
      <c r="I501" s="61">
        <v>2629</v>
      </c>
      <c r="J501" s="60" t="s">
        <v>2408</v>
      </c>
      <c r="K501" s="60" t="s">
        <v>2409</v>
      </c>
      <c r="L501" s="60">
        <v>838584003</v>
      </c>
      <c r="M501" s="60"/>
      <c r="N501" s="56" t="str">
        <f>VLOOKUP(B501,歌单!B:C,2,0)</f>
        <v>BY2/汪苏泷</v>
      </c>
      <c r="O501" s="58">
        <f t="shared" si="7"/>
        <v>1</v>
      </c>
      <c r="P501" s="62" t="str">
        <f>VLOOKUP(B501,歌单!B:E,3,0)</f>
        <v>国语</v>
      </c>
      <c r="Q501" s="58" t="str">
        <f>VLOOKUP(B501,歌单!B:E,4,0)</f>
        <v>流行</v>
      </c>
      <c r="R501" s="62"/>
    </row>
    <row r="502" spans="1:18" ht="15" hidden="1" customHeight="1">
      <c r="A502" s="4" t="s">
        <v>2410</v>
      </c>
      <c r="B502" s="46" t="s">
        <v>2411</v>
      </c>
      <c r="C502" s="46" t="s">
        <v>1971</v>
      </c>
      <c r="D502" s="59"/>
      <c r="E502" s="59">
        <v>0</v>
      </c>
      <c r="F502" s="59">
        <v>0</v>
      </c>
      <c r="G502" s="60" t="s">
        <v>2412</v>
      </c>
      <c r="H502" s="60"/>
      <c r="I502" s="61">
        <v>111</v>
      </c>
      <c r="J502" s="60"/>
      <c r="K502" s="60" t="s">
        <v>2411</v>
      </c>
      <c r="L502" s="60">
        <v>87200383</v>
      </c>
      <c r="M502" s="60"/>
      <c r="N502" s="58" t="str">
        <f>VLOOKUP(B502,歌单!B:C,2,0)</f>
        <v>林俊杰</v>
      </c>
      <c r="O502" s="58">
        <f t="shared" si="7"/>
        <v>0</v>
      </c>
      <c r="P502" s="62" t="str">
        <f>VLOOKUP(B502,歌单!B:E,3,0)</f>
        <v>国语</v>
      </c>
      <c r="Q502" s="58" t="str">
        <f>VLOOKUP(B502,歌单!B:E,4,0)</f>
        <v>流行</v>
      </c>
      <c r="R502" s="62"/>
    </row>
    <row r="503" spans="1:18" ht="15" hidden="1" customHeight="1">
      <c r="A503" s="4" t="s">
        <v>2413</v>
      </c>
      <c r="B503" s="46" t="s">
        <v>2414</v>
      </c>
      <c r="C503" s="46" t="s">
        <v>679</v>
      </c>
      <c r="D503" s="59"/>
      <c r="E503" s="59">
        <v>0</v>
      </c>
      <c r="F503" s="59">
        <v>0</v>
      </c>
      <c r="G503" s="60" t="s">
        <v>2415</v>
      </c>
      <c r="H503" s="60" t="s">
        <v>2416</v>
      </c>
      <c r="I503" s="61">
        <v>3</v>
      </c>
      <c r="J503" s="60"/>
      <c r="K503" s="60" t="s">
        <v>2417</v>
      </c>
      <c r="L503" s="60">
        <v>248294</v>
      </c>
      <c r="M503" s="60"/>
      <c r="N503" s="58" t="str">
        <f>VLOOKUP(B503,歌单!B:C,2,0)</f>
        <v>林俊杰</v>
      </c>
      <c r="O503" s="58">
        <f t="shared" si="7"/>
        <v>0</v>
      </c>
      <c r="P503" s="62" t="str">
        <f>VLOOKUP(B503,歌单!B:E,3,0)</f>
        <v>国语</v>
      </c>
      <c r="Q503" s="58" t="str">
        <f>VLOOKUP(B503,歌单!B:E,4,0)</f>
        <v>流行</v>
      </c>
      <c r="R503" s="62"/>
    </row>
    <row r="504" spans="1:18" ht="15" hidden="1" customHeight="1">
      <c r="A504" s="32" t="s">
        <v>2418</v>
      </c>
      <c r="B504" s="46" t="s">
        <v>2419</v>
      </c>
      <c r="C504" s="46" t="s">
        <v>348</v>
      </c>
      <c r="D504" s="59"/>
      <c r="E504" s="59">
        <v>0</v>
      </c>
      <c r="F504" s="59">
        <v>0</v>
      </c>
      <c r="G504" s="60" t="s">
        <v>2420</v>
      </c>
      <c r="H504" s="60" t="s">
        <v>2421</v>
      </c>
      <c r="I504" s="61">
        <v>1314</v>
      </c>
      <c r="J504" s="60"/>
      <c r="K504" s="60" t="s">
        <v>1963</v>
      </c>
      <c r="L504" s="60">
        <v>615567054</v>
      </c>
      <c r="M504" s="60"/>
      <c r="N504" s="56" t="str">
        <f>VLOOKUP(B504,歌单!B:C,2,0)</f>
        <v>飞儿乐队</v>
      </c>
      <c r="O504" s="58">
        <f t="shared" si="7"/>
        <v>1</v>
      </c>
      <c r="P504" s="62" t="str">
        <f>VLOOKUP(B504,歌单!B:E,3,0)</f>
        <v>国语</v>
      </c>
      <c r="Q504" s="58" t="str">
        <f>VLOOKUP(B504,歌单!B:E,4,0)</f>
        <v>流行</v>
      </c>
      <c r="R504" s="62"/>
    </row>
    <row r="505" spans="1:18" ht="15" customHeight="1">
      <c r="A505" s="4" t="s">
        <v>2428</v>
      </c>
      <c r="B505" s="46" t="s">
        <v>1153</v>
      </c>
      <c r="C505" s="46" t="s">
        <v>727</v>
      </c>
      <c r="D505" s="59"/>
      <c r="E505" s="59">
        <v>0</v>
      </c>
      <c r="F505" s="59">
        <v>0</v>
      </c>
      <c r="G505" s="60" t="s">
        <v>2429</v>
      </c>
      <c r="H505" s="60" t="s">
        <v>2430</v>
      </c>
      <c r="I505" s="61">
        <v>3</v>
      </c>
      <c r="J505" s="60"/>
      <c r="K505" s="60" t="s">
        <v>2431</v>
      </c>
      <c r="L505" s="60">
        <v>1599418</v>
      </c>
      <c r="M505" s="60"/>
      <c r="N505" s="58">
        <f>VLOOKUP(B505,歌单!B:C,2,0)</f>
        <v>0</v>
      </c>
      <c r="O505" s="58">
        <f t="shared" si="7"/>
        <v>1</v>
      </c>
      <c r="P505" s="62" t="str">
        <f>VLOOKUP(B505,歌单!B:E,3,0)</f>
        <v>国语</v>
      </c>
      <c r="Q505" s="58" t="str">
        <f>VLOOKUP(B505,歌单!B:E,4,0)</f>
        <v>儿歌</v>
      </c>
      <c r="R505" s="62"/>
    </row>
    <row r="506" spans="1:18" ht="15" hidden="1" customHeight="1">
      <c r="A506" s="4" t="s">
        <v>2432</v>
      </c>
      <c r="B506" s="46" t="s">
        <v>390</v>
      </c>
      <c r="C506" s="46" t="s">
        <v>154</v>
      </c>
      <c r="D506" s="59"/>
      <c r="E506" s="59">
        <v>0</v>
      </c>
      <c r="F506" s="59">
        <v>0</v>
      </c>
      <c r="G506" s="60" t="s">
        <v>2433</v>
      </c>
      <c r="H506" s="60"/>
      <c r="I506" s="61">
        <v>3</v>
      </c>
      <c r="J506" s="60"/>
      <c r="K506" s="60" t="s">
        <v>2434</v>
      </c>
      <c r="L506" s="60">
        <v>2062553</v>
      </c>
      <c r="M506" s="60"/>
      <c r="N506" s="58" t="str">
        <f>VLOOKUP(B506,歌单!B:C,2,0)</f>
        <v>周杰伦</v>
      </c>
      <c r="O506" s="58">
        <f t="shared" si="7"/>
        <v>0</v>
      </c>
      <c r="P506" s="62" t="str">
        <f>VLOOKUP(B506,歌单!B:E,3,0)</f>
        <v>国语</v>
      </c>
      <c r="Q506" s="58" t="str">
        <f>VLOOKUP(B506,歌单!B:E,4,0)</f>
        <v>流行</v>
      </c>
      <c r="R506" s="62"/>
    </row>
    <row r="507" spans="1:18" ht="15" hidden="1" customHeight="1">
      <c r="A507" s="4" t="s">
        <v>2435</v>
      </c>
      <c r="B507" s="46" t="s">
        <v>2436</v>
      </c>
      <c r="C507" s="46" t="s">
        <v>2437</v>
      </c>
      <c r="D507" s="59"/>
      <c r="E507" s="59">
        <v>0</v>
      </c>
      <c r="F507" s="59">
        <v>0</v>
      </c>
      <c r="G507" s="60" t="s">
        <v>2438</v>
      </c>
      <c r="H507" s="60" t="s">
        <v>2439</v>
      </c>
      <c r="I507" s="61">
        <v>836</v>
      </c>
      <c r="J507" s="60" t="s">
        <v>2440</v>
      </c>
      <c r="K507" s="60" t="s">
        <v>2441</v>
      </c>
      <c r="L507" s="60">
        <v>425527859</v>
      </c>
      <c r="M507" s="60"/>
      <c r="N507" s="58" t="str">
        <f>VLOOKUP(B507,歌单!B:C,2,0)</f>
        <v>邓紫棋</v>
      </c>
      <c r="O507" s="58">
        <f t="shared" si="7"/>
        <v>0</v>
      </c>
      <c r="P507" s="62" t="str">
        <f>VLOOKUP(B507,歌单!B:E,3,0)</f>
        <v>国语</v>
      </c>
      <c r="Q507" s="58" t="str">
        <f>VLOOKUP(B507,歌单!B:E,4,0)</f>
        <v>流行</v>
      </c>
      <c r="R507" s="62"/>
    </row>
    <row r="508" spans="1:18" ht="15" customHeight="1">
      <c r="A508" s="4" t="s">
        <v>2442</v>
      </c>
      <c r="B508" s="46" t="s">
        <v>2443</v>
      </c>
      <c r="C508" s="46" t="s">
        <v>2444</v>
      </c>
      <c r="D508" s="59"/>
      <c r="E508" s="59">
        <v>0</v>
      </c>
      <c r="F508" s="59">
        <v>0</v>
      </c>
      <c r="G508" s="60" t="s">
        <v>2445</v>
      </c>
      <c r="H508" s="60" t="s">
        <v>2446</v>
      </c>
      <c r="I508" s="61">
        <v>32</v>
      </c>
      <c r="J508" s="60"/>
      <c r="K508" s="60" t="s">
        <v>2443</v>
      </c>
      <c r="L508" s="60">
        <v>11780919</v>
      </c>
      <c r="M508" s="60"/>
      <c r="N508" s="58" t="e">
        <f>VLOOKUP(B508,歌单!B:C,2,0)</f>
        <v>#N/A</v>
      </c>
      <c r="O508" s="58">
        <f t="shared" si="7"/>
        <v>1</v>
      </c>
      <c r="P508" s="62" t="s">
        <v>10246</v>
      </c>
      <c r="Q508" s="58" t="s">
        <v>10252</v>
      </c>
      <c r="R508" s="62"/>
    </row>
    <row r="509" spans="1:18" ht="15" hidden="1" customHeight="1">
      <c r="A509" s="4" t="s">
        <v>2447</v>
      </c>
      <c r="B509" s="46" t="s">
        <v>2448</v>
      </c>
      <c r="C509" s="46" t="s">
        <v>2449</v>
      </c>
      <c r="D509" s="59"/>
      <c r="E509" s="59">
        <v>0</v>
      </c>
      <c r="F509" s="59">
        <v>0</v>
      </c>
      <c r="G509" s="60" t="s">
        <v>2450</v>
      </c>
      <c r="H509" s="60" t="s">
        <v>2451</v>
      </c>
      <c r="I509" s="61">
        <v>13</v>
      </c>
      <c r="J509" s="60"/>
      <c r="K509" s="60" t="s">
        <v>2452</v>
      </c>
      <c r="L509" s="60">
        <v>11489762</v>
      </c>
      <c r="M509" s="60"/>
      <c r="N509" s="58" t="str">
        <f>VLOOKUP(B509,歌单!B:C,2,0)</f>
        <v>黄丽玲A-Lin</v>
      </c>
      <c r="O509" s="58">
        <f t="shared" si="7"/>
        <v>1</v>
      </c>
      <c r="P509" s="62" t="str">
        <f>VLOOKUP(B509,歌单!B:E,3,0)</f>
        <v>国语</v>
      </c>
      <c r="Q509" s="58" t="str">
        <f>VLOOKUP(B509,歌单!B:E,4,0)</f>
        <v>流行</v>
      </c>
      <c r="R509" s="62"/>
    </row>
    <row r="510" spans="1:18" ht="15" hidden="1" customHeight="1">
      <c r="A510" s="4" t="s">
        <v>2453</v>
      </c>
      <c r="B510" s="46" t="s">
        <v>2454</v>
      </c>
      <c r="C510" s="46" t="s">
        <v>1250</v>
      </c>
      <c r="D510" s="59"/>
      <c r="E510" s="59">
        <v>0</v>
      </c>
      <c r="F510" s="59">
        <v>0</v>
      </c>
      <c r="G510" s="60" t="s">
        <v>2455</v>
      </c>
      <c r="H510" s="60" t="s">
        <v>2456</v>
      </c>
      <c r="I510" s="61">
        <v>3245</v>
      </c>
      <c r="J510" s="60" t="s">
        <v>2457</v>
      </c>
      <c r="K510" s="60" t="s">
        <v>2458</v>
      </c>
      <c r="L510" s="60">
        <v>517144129</v>
      </c>
      <c r="M510" s="60" t="s">
        <v>1264</v>
      </c>
      <c r="N510" s="58" t="str">
        <f>VLOOKUP(B510,歌单!B:C,2,0)</f>
        <v>阿桑</v>
      </c>
      <c r="O510" s="58">
        <f t="shared" si="7"/>
        <v>0</v>
      </c>
      <c r="P510" s="62" t="str">
        <f>VLOOKUP(B510,歌单!B:E,3,0)</f>
        <v>国语</v>
      </c>
      <c r="Q510" s="58" t="str">
        <f>VLOOKUP(B510,歌单!B:E,4,0)</f>
        <v>流行</v>
      </c>
      <c r="R510" s="62"/>
    </row>
    <row r="511" spans="1:18" ht="15" hidden="1" customHeight="1">
      <c r="A511" s="4" t="s">
        <v>2459</v>
      </c>
      <c r="B511" s="46" t="s">
        <v>2460</v>
      </c>
      <c r="C511" s="46" t="s">
        <v>2461</v>
      </c>
      <c r="D511" s="59"/>
      <c r="E511" s="59">
        <v>0</v>
      </c>
      <c r="F511" s="59">
        <v>0</v>
      </c>
      <c r="G511" s="60" t="s">
        <v>2462</v>
      </c>
      <c r="H511" s="60"/>
      <c r="I511" s="61">
        <v>22</v>
      </c>
      <c r="J511" s="60" t="s">
        <v>2457</v>
      </c>
      <c r="K511" s="60" t="s">
        <v>1571</v>
      </c>
      <c r="L511" s="60">
        <v>4684725</v>
      </c>
      <c r="M511" s="60"/>
      <c r="N511" s="58" t="str">
        <f>VLOOKUP(B511,歌单!B:C,2,0)</f>
        <v>JS</v>
      </c>
      <c r="O511" s="58">
        <f t="shared" si="7"/>
        <v>0</v>
      </c>
      <c r="P511" s="62" t="str">
        <f>VLOOKUP(B511,歌单!B:E,3,0)</f>
        <v>国语</v>
      </c>
      <c r="Q511" s="58" t="str">
        <f>VLOOKUP(B511,歌单!B:E,4,0)</f>
        <v>流行</v>
      </c>
      <c r="R511" s="62"/>
    </row>
    <row r="512" spans="1:18" ht="15" customHeight="1">
      <c r="A512" s="4" t="s">
        <v>2463</v>
      </c>
      <c r="B512" s="46" t="s">
        <v>2464</v>
      </c>
      <c r="C512" s="46" t="s">
        <v>2465</v>
      </c>
      <c r="D512" s="59"/>
      <c r="E512" s="59">
        <v>0</v>
      </c>
      <c r="F512" s="59">
        <v>0</v>
      </c>
      <c r="G512" s="60" t="s">
        <v>2466</v>
      </c>
      <c r="H512" s="60" t="s">
        <v>2467</v>
      </c>
      <c r="I512" s="61">
        <v>2568</v>
      </c>
      <c r="J512" s="60" t="s">
        <v>2468</v>
      </c>
      <c r="K512" s="60" t="s">
        <v>2469</v>
      </c>
      <c r="L512" s="60">
        <v>490983954</v>
      </c>
      <c r="M512" s="60"/>
      <c r="N512" s="58" t="e">
        <f>VLOOKUP(B512,歌单!B:C,2,0)</f>
        <v>#N/A</v>
      </c>
      <c r="O512" s="58">
        <f t="shared" si="7"/>
        <v>1</v>
      </c>
      <c r="P512" s="62" t="s">
        <v>10246</v>
      </c>
      <c r="Q512" s="58" t="s">
        <v>10252</v>
      </c>
      <c r="R512" s="62"/>
    </row>
    <row r="513" spans="1:18" ht="15" hidden="1" customHeight="1">
      <c r="A513" s="4" t="s">
        <v>2470</v>
      </c>
      <c r="B513" s="46" t="s">
        <v>2471</v>
      </c>
      <c r="C513" s="46" t="s">
        <v>2472</v>
      </c>
      <c r="D513" s="59"/>
      <c r="E513" s="59">
        <v>0</v>
      </c>
      <c r="F513" s="59">
        <v>0</v>
      </c>
      <c r="G513" s="60" t="s">
        <v>2473</v>
      </c>
      <c r="H513" s="60" t="s">
        <v>2474</v>
      </c>
      <c r="I513" s="61">
        <v>2791</v>
      </c>
      <c r="J513" s="60" t="s">
        <v>2475</v>
      </c>
      <c r="K513" s="60" t="s">
        <v>2476</v>
      </c>
      <c r="L513" s="60">
        <v>969443371</v>
      </c>
      <c r="M513" s="60"/>
      <c r="N513" s="58" t="str">
        <f>VLOOKUP(B513,歌单!B:C,2,0)</f>
        <v>张芸京</v>
      </c>
      <c r="O513" s="58">
        <f t="shared" ref="O513:O576" si="8">_xlfn.IFNA(IF(IFERROR(SEARCH(N513,C513),0)&gt;0,0,1),0)</f>
        <v>0</v>
      </c>
      <c r="P513" s="62" t="str">
        <f>VLOOKUP(B513,歌单!B:E,3,0)</f>
        <v>国语</v>
      </c>
      <c r="Q513" s="58" t="str">
        <f>VLOOKUP(B513,歌单!B:E,4,0)</f>
        <v>流行</v>
      </c>
      <c r="R513" s="62"/>
    </row>
    <row r="514" spans="1:18" ht="15" hidden="1" customHeight="1">
      <c r="A514" s="32" t="s">
        <v>2477</v>
      </c>
      <c r="B514" s="46" t="s">
        <v>2478</v>
      </c>
      <c r="C514" s="46" t="s">
        <v>2479</v>
      </c>
      <c r="D514" s="59"/>
      <c r="E514" s="59">
        <v>0</v>
      </c>
      <c r="F514" s="59">
        <v>0</v>
      </c>
      <c r="G514" s="60" t="s">
        <v>2480</v>
      </c>
      <c r="H514" s="60" t="s">
        <v>2481</v>
      </c>
      <c r="I514" s="61">
        <v>656</v>
      </c>
      <c r="J514" s="60" t="s">
        <v>2482</v>
      </c>
      <c r="K514" s="60" t="s">
        <v>2483</v>
      </c>
      <c r="L514" s="60">
        <v>366580503</v>
      </c>
      <c r="M514" s="60"/>
      <c r="N514" s="56" t="str">
        <f>VLOOKUP(B514,歌单!B:C,2,0)</f>
        <v>张碧晨/杨宗纬</v>
      </c>
      <c r="O514" s="58">
        <f t="shared" si="8"/>
        <v>1</v>
      </c>
      <c r="P514" s="62" t="str">
        <f>VLOOKUP(B514,歌单!B:E,3,0)</f>
        <v>国语</v>
      </c>
      <c r="Q514" s="58" t="str">
        <f>VLOOKUP(B514,歌单!B:E,4,0)</f>
        <v>流行</v>
      </c>
      <c r="R514" s="62"/>
    </row>
    <row r="515" spans="1:18" ht="15" hidden="1" customHeight="1">
      <c r="A515" s="32" t="s">
        <v>2484</v>
      </c>
      <c r="B515" s="46" t="s">
        <v>2485</v>
      </c>
      <c r="C515" s="46" t="s">
        <v>2486</v>
      </c>
      <c r="D515" s="59"/>
      <c r="E515" s="59">
        <v>0</v>
      </c>
      <c r="F515" s="59">
        <v>0</v>
      </c>
      <c r="G515" s="60" t="s">
        <v>2487</v>
      </c>
      <c r="H515" s="60" t="s">
        <v>2488</v>
      </c>
      <c r="I515" s="61">
        <v>2</v>
      </c>
      <c r="J515" s="60"/>
      <c r="K515" s="60" t="s">
        <v>2489</v>
      </c>
      <c r="L515" s="60">
        <v>1862546</v>
      </c>
      <c r="M515" s="60"/>
      <c r="N515" s="68" t="s">
        <v>7403</v>
      </c>
      <c r="O515" s="58">
        <f t="shared" si="8"/>
        <v>1</v>
      </c>
      <c r="P515" s="62" t="str">
        <f>VLOOKUP(B515,歌单!B:E,3,0)</f>
        <v>国语</v>
      </c>
      <c r="Q515" s="58" t="str">
        <f>VLOOKUP(B515,歌单!B:E,4,0)</f>
        <v>民族</v>
      </c>
      <c r="R515" s="62"/>
    </row>
    <row r="516" spans="1:18" ht="15" hidden="1" customHeight="1">
      <c r="A516" s="4" t="s">
        <v>2490</v>
      </c>
      <c r="B516" s="46" t="s">
        <v>2491</v>
      </c>
      <c r="C516" s="46" t="s">
        <v>2492</v>
      </c>
      <c r="D516" s="59"/>
      <c r="E516" s="59">
        <v>0</v>
      </c>
      <c r="F516" s="59">
        <v>0</v>
      </c>
      <c r="G516" s="60" t="s">
        <v>2493</v>
      </c>
      <c r="H516" s="60" t="s">
        <v>2494</v>
      </c>
      <c r="I516" s="61">
        <v>3825</v>
      </c>
      <c r="J516" s="60" t="s">
        <v>2475</v>
      </c>
      <c r="K516" s="60" t="s">
        <v>2469</v>
      </c>
      <c r="L516" s="60">
        <v>745284121</v>
      </c>
      <c r="M516" s="60" t="s">
        <v>747</v>
      </c>
      <c r="N516" s="58" t="str">
        <f>VLOOKUP(B516,歌单!B:C,2,0)</f>
        <v>青鸟飞鱼</v>
      </c>
      <c r="O516" s="58">
        <f t="shared" si="8"/>
        <v>0</v>
      </c>
      <c r="P516" s="62" t="str">
        <f>VLOOKUP(B516,歌单!B:E,3,0)</f>
        <v>国语</v>
      </c>
      <c r="Q516" s="58" t="str">
        <f>VLOOKUP(B516,歌单!B:E,4,0)</f>
        <v>流行</v>
      </c>
      <c r="R516" s="62"/>
    </row>
    <row r="517" spans="1:18" ht="15" hidden="1" customHeight="1">
      <c r="A517" s="32" t="s">
        <v>2495</v>
      </c>
      <c r="B517" s="47" t="s">
        <v>2496</v>
      </c>
      <c r="C517" s="46" t="s">
        <v>2497</v>
      </c>
      <c r="D517" s="59"/>
      <c r="E517" s="59">
        <v>0</v>
      </c>
      <c r="F517" s="59">
        <v>0</v>
      </c>
      <c r="G517" s="60" t="s">
        <v>2498</v>
      </c>
      <c r="H517" s="60" t="s">
        <v>2499</v>
      </c>
      <c r="I517" s="61">
        <v>216</v>
      </c>
      <c r="J517" s="60" t="s">
        <v>2500</v>
      </c>
      <c r="K517" s="60" t="s">
        <v>2501</v>
      </c>
      <c r="L517" s="60">
        <v>89561778</v>
      </c>
      <c r="M517" s="60"/>
      <c r="N517" s="56" t="str">
        <f>VLOOKUP(B517,歌单!B:C,2,0)</f>
        <v>齐豫、周华健</v>
      </c>
      <c r="O517" s="58">
        <f t="shared" si="8"/>
        <v>1</v>
      </c>
      <c r="P517" s="62" t="str">
        <f>VLOOKUP(B517,歌单!B:E,3,0)</f>
        <v>国语</v>
      </c>
      <c r="Q517" s="58" t="str">
        <f>VLOOKUP(B517,歌单!B:E,4,0)</f>
        <v>流行</v>
      </c>
      <c r="R517" s="62"/>
    </row>
    <row r="518" spans="1:18" ht="15" customHeight="1">
      <c r="A518" s="4" t="s">
        <v>2502</v>
      </c>
      <c r="B518" s="46" t="s">
        <v>2503</v>
      </c>
      <c r="C518" s="46" t="s">
        <v>1675</v>
      </c>
      <c r="D518" s="59"/>
      <c r="E518" s="59">
        <v>0</v>
      </c>
      <c r="F518" s="59">
        <v>0</v>
      </c>
      <c r="G518" s="60" t="s">
        <v>2504</v>
      </c>
      <c r="H518" s="60" t="s">
        <v>2505</v>
      </c>
      <c r="I518" s="61">
        <v>0</v>
      </c>
      <c r="J518" s="60"/>
      <c r="K518" s="60" t="s">
        <v>2506</v>
      </c>
      <c r="L518" s="60">
        <v>66935</v>
      </c>
      <c r="M518" s="60"/>
      <c r="N518" s="58" t="e">
        <f>VLOOKUP(B518,歌单!B:C,2,0)</f>
        <v>#N/A</v>
      </c>
      <c r="O518" s="58">
        <f t="shared" si="8"/>
        <v>1</v>
      </c>
      <c r="P518" s="62" t="s">
        <v>10246</v>
      </c>
      <c r="Q518" s="58" t="s">
        <v>10252</v>
      </c>
      <c r="R518" s="62"/>
    </row>
    <row r="519" spans="1:18" ht="15" customHeight="1">
      <c r="A519" s="4" t="s">
        <v>2507</v>
      </c>
      <c r="B519" s="46" t="s">
        <v>2508</v>
      </c>
      <c r="C519" s="46" t="s">
        <v>2509</v>
      </c>
      <c r="D519" s="59"/>
      <c r="E519" s="59">
        <v>0</v>
      </c>
      <c r="F519" s="59">
        <v>0</v>
      </c>
      <c r="G519" s="60" t="s">
        <v>2510</v>
      </c>
      <c r="H519" s="60" t="s">
        <v>2511</v>
      </c>
      <c r="I519" s="61">
        <v>0</v>
      </c>
      <c r="J519" s="60"/>
      <c r="K519" s="60" t="s">
        <v>2512</v>
      </c>
      <c r="L519" s="60">
        <v>311918</v>
      </c>
      <c r="M519" s="60"/>
      <c r="N519" s="58" t="e">
        <f>VLOOKUP(B519,歌单!B:C,2,0)</f>
        <v>#N/A</v>
      </c>
      <c r="O519" s="58">
        <f t="shared" si="8"/>
        <v>1</v>
      </c>
      <c r="P519" s="62" t="s">
        <v>10246</v>
      </c>
      <c r="Q519" s="58" t="s">
        <v>10252</v>
      </c>
      <c r="R519" s="62"/>
    </row>
    <row r="520" spans="1:18" ht="15" hidden="1" customHeight="1">
      <c r="A520" s="4" t="s">
        <v>2513</v>
      </c>
      <c r="B520" s="46" t="s">
        <v>1544</v>
      </c>
      <c r="C520" s="46" t="s">
        <v>1545</v>
      </c>
      <c r="D520" s="59"/>
      <c r="E520" s="59">
        <v>0</v>
      </c>
      <c r="F520" s="59">
        <v>0</v>
      </c>
      <c r="G520" s="60" t="s">
        <v>2514</v>
      </c>
      <c r="H520" s="60" t="s">
        <v>2515</v>
      </c>
      <c r="I520" s="61">
        <v>0</v>
      </c>
      <c r="J520" s="60"/>
      <c r="K520" s="60" t="s">
        <v>1544</v>
      </c>
      <c r="L520" s="60">
        <v>1339817</v>
      </c>
      <c r="M520" s="60"/>
      <c r="N520" s="58" t="str">
        <f>VLOOKUP(B520,歌单!B:C,2,0)</f>
        <v>梁静茹</v>
      </c>
      <c r="O520" s="58">
        <f t="shared" si="8"/>
        <v>0</v>
      </c>
      <c r="P520" s="62" t="str">
        <f>VLOOKUP(B520,歌单!B:E,3,0)</f>
        <v>国语</v>
      </c>
      <c r="Q520" s="58" t="str">
        <f>VLOOKUP(B520,歌单!B:E,4,0)</f>
        <v>流行</v>
      </c>
      <c r="R520" s="62"/>
    </row>
    <row r="521" spans="1:18" ht="15" hidden="1" customHeight="1">
      <c r="A521" s="4" t="s">
        <v>2516</v>
      </c>
      <c r="B521" s="46" t="s">
        <v>2517</v>
      </c>
      <c r="C521" s="46" t="s">
        <v>1545</v>
      </c>
      <c r="D521" s="59"/>
      <c r="E521" s="59">
        <v>0</v>
      </c>
      <c r="F521" s="59">
        <v>0</v>
      </c>
      <c r="G521" s="60" t="s">
        <v>2518</v>
      </c>
      <c r="H521" s="60"/>
      <c r="I521" s="61">
        <v>299</v>
      </c>
      <c r="J521" s="60"/>
      <c r="K521" s="60" t="s">
        <v>2517</v>
      </c>
      <c r="L521" s="60">
        <v>150545368</v>
      </c>
      <c r="M521" s="60"/>
      <c r="N521" s="58" t="str">
        <f>VLOOKUP(B521,歌单!B:C,2,0)</f>
        <v>梁静茹</v>
      </c>
      <c r="O521" s="58">
        <f t="shared" si="8"/>
        <v>0</v>
      </c>
      <c r="P521" s="62" t="str">
        <f>VLOOKUP(B521,歌单!B:E,3,0)</f>
        <v>国语</v>
      </c>
      <c r="Q521" s="58" t="str">
        <f>VLOOKUP(B521,歌单!B:E,4,0)</f>
        <v>流行</v>
      </c>
      <c r="R521" s="62"/>
    </row>
    <row r="522" spans="1:18" ht="15" hidden="1" customHeight="1">
      <c r="A522" s="4" t="s">
        <v>2519</v>
      </c>
      <c r="B522" s="46" t="s">
        <v>2520</v>
      </c>
      <c r="C522" s="46" t="s">
        <v>1545</v>
      </c>
      <c r="D522" s="59"/>
      <c r="E522" s="59">
        <v>0</v>
      </c>
      <c r="F522" s="59">
        <v>0</v>
      </c>
      <c r="G522" s="60" t="s">
        <v>2521</v>
      </c>
      <c r="H522" s="60" t="s">
        <v>2522</v>
      </c>
      <c r="I522" s="61">
        <v>148</v>
      </c>
      <c r="J522" s="60"/>
      <c r="K522" s="60" t="s">
        <v>2121</v>
      </c>
      <c r="L522" s="60">
        <v>66240603</v>
      </c>
      <c r="M522" s="60"/>
      <c r="N522" s="58" t="str">
        <f>VLOOKUP(B522,歌单!B:C,2,0)</f>
        <v>梁静茹</v>
      </c>
      <c r="O522" s="58">
        <f t="shared" si="8"/>
        <v>0</v>
      </c>
      <c r="P522" s="62" t="str">
        <f>VLOOKUP(B522,歌单!B:E,3,0)</f>
        <v>国语</v>
      </c>
      <c r="Q522" s="58" t="str">
        <f>VLOOKUP(B522,歌单!B:E,4,0)</f>
        <v>流行</v>
      </c>
      <c r="R522" s="62"/>
    </row>
    <row r="523" spans="1:18" ht="15" hidden="1" customHeight="1">
      <c r="A523" s="4" t="s">
        <v>2523</v>
      </c>
      <c r="B523" s="46" t="s">
        <v>2524</v>
      </c>
      <c r="C523" s="46" t="s">
        <v>1545</v>
      </c>
      <c r="D523" s="59"/>
      <c r="E523" s="59">
        <v>0</v>
      </c>
      <c r="F523" s="59">
        <v>0</v>
      </c>
      <c r="G523" s="60" t="s">
        <v>2525</v>
      </c>
      <c r="H523" s="60" t="s">
        <v>2526</v>
      </c>
      <c r="I523" s="61">
        <v>150</v>
      </c>
      <c r="J523" s="60"/>
      <c r="K523" s="60" t="s">
        <v>2527</v>
      </c>
      <c r="L523" s="60">
        <v>93495845</v>
      </c>
      <c r="M523" s="60"/>
      <c r="N523" s="58" t="str">
        <f>VLOOKUP(B523,歌单!B:C,2,0)</f>
        <v>梁静茹</v>
      </c>
      <c r="O523" s="58">
        <f t="shared" si="8"/>
        <v>0</v>
      </c>
      <c r="P523" s="62" t="str">
        <f>VLOOKUP(B523,歌单!B:E,3,0)</f>
        <v>国语</v>
      </c>
      <c r="Q523" s="58" t="str">
        <f>VLOOKUP(B523,歌单!B:E,4,0)</f>
        <v>流行</v>
      </c>
      <c r="R523" s="62"/>
    </row>
    <row r="524" spans="1:18" ht="15" hidden="1" customHeight="1">
      <c r="A524" s="4" t="s">
        <v>2528</v>
      </c>
      <c r="B524" s="46" t="s">
        <v>2529</v>
      </c>
      <c r="C524" s="46" t="s">
        <v>1545</v>
      </c>
      <c r="D524" s="59"/>
      <c r="E524" s="59">
        <v>0</v>
      </c>
      <c r="F524" s="59">
        <v>0</v>
      </c>
      <c r="G524" s="60" t="s">
        <v>2530</v>
      </c>
      <c r="H524" s="60" t="s">
        <v>2531</v>
      </c>
      <c r="I524" s="61">
        <v>337</v>
      </c>
      <c r="J524" s="60"/>
      <c r="K524" s="60" t="s">
        <v>1848</v>
      </c>
      <c r="L524" s="60">
        <v>92354085</v>
      </c>
      <c r="M524" s="60"/>
      <c r="N524" s="58" t="str">
        <f>VLOOKUP(B524,歌单!B:C,2,0)</f>
        <v>梁静茹</v>
      </c>
      <c r="O524" s="58">
        <f t="shared" si="8"/>
        <v>0</v>
      </c>
      <c r="P524" s="62" t="str">
        <f>VLOOKUP(B524,歌单!B:E,3,0)</f>
        <v>国语</v>
      </c>
      <c r="Q524" s="58" t="str">
        <f>VLOOKUP(B524,歌单!B:E,4,0)</f>
        <v>流行</v>
      </c>
      <c r="R524" s="62"/>
    </row>
    <row r="525" spans="1:18" ht="15" hidden="1" customHeight="1">
      <c r="A525" s="32" t="s">
        <v>2532</v>
      </c>
      <c r="B525" s="46" t="s">
        <v>2533</v>
      </c>
      <c r="C525" s="46" t="s">
        <v>2534</v>
      </c>
      <c r="D525" s="59"/>
      <c r="E525" s="59">
        <v>0</v>
      </c>
      <c r="F525" s="59">
        <v>0</v>
      </c>
      <c r="G525" s="60" t="s">
        <v>2535</v>
      </c>
      <c r="H525" s="60"/>
      <c r="I525" s="61">
        <v>272</v>
      </c>
      <c r="J525" s="60"/>
      <c r="K525" s="60" t="s">
        <v>2536</v>
      </c>
      <c r="L525" s="60">
        <v>135231093</v>
      </c>
      <c r="M525" s="60"/>
      <c r="N525" s="68" t="str">
        <f>VLOOKUP(B525,歌单!B:C,2,0)</f>
        <v>赵薇</v>
      </c>
      <c r="O525" s="58">
        <f t="shared" si="8"/>
        <v>1</v>
      </c>
      <c r="P525" s="62" t="str">
        <f>VLOOKUP(B525,歌单!B:E,3,0)</f>
        <v>国语</v>
      </c>
      <c r="Q525" s="58" t="str">
        <f>VLOOKUP(B525,歌单!B:E,4,0)</f>
        <v>流行</v>
      </c>
      <c r="R525" s="62"/>
    </row>
    <row r="526" spans="1:18" ht="15" customHeight="1">
      <c r="A526" s="4" t="s">
        <v>2537</v>
      </c>
      <c r="B526" s="46" t="s">
        <v>2538</v>
      </c>
      <c r="C526" s="46" t="s">
        <v>2539</v>
      </c>
      <c r="D526" s="59"/>
      <c r="E526" s="59">
        <v>0</v>
      </c>
      <c r="F526" s="59">
        <v>0</v>
      </c>
      <c r="G526" s="60" t="s">
        <v>2540</v>
      </c>
      <c r="H526" s="60" t="s">
        <v>2541</v>
      </c>
      <c r="I526" s="61">
        <v>8</v>
      </c>
      <c r="J526" s="60"/>
      <c r="K526" s="60" t="s">
        <v>2542</v>
      </c>
      <c r="L526" s="60">
        <v>12386821</v>
      </c>
      <c r="M526" s="60"/>
      <c r="N526" s="58" t="e">
        <f>VLOOKUP(B526,歌单!B:C,2,0)</f>
        <v>#N/A</v>
      </c>
      <c r="O526" s="58">
        <f t="shared" si="8"/>
        <v>1</v>
      </c>
      <c r="P526" s="62" t="s">
        <v>10246</v>
      </c>
      <c r="Q526" s="58" t="s">
        <v>10252</v>
      </c>
      <c r="R526" s="62"/>
    </row>
    <row r="527" spans="1:18" ht="15" hidden="1" customHeight="1">
      <c r="A527" s="4" t="s">
        <v>2543</v>
      </c>
      <c r="B527" s="46" t="s">
        <v>1216</v>
      </c>
      <c r="C527" s="46" t="s">
        <v>1217</v>
      </c>
      <c r="D527" s="59"/>
      <c r="E527" s="59">
        <v>0</v>
      </c>
      <c r="F527" s="59">
        <v>0</v>
      </c>
      <c r="G527" s="60" t="s">
        <v>2544</v>
      </c>
      <c r="H527" s="60" t="s">
        <v>2545</v>
      </c>
      <c r="I527" s="61">
        <v>2133</v>
      </c>
      <c r="J527" s="60"/>
      <c r="K527" s="60" t="s">
        <v>1216</v>
      </c>
      <c r="L527" s="60">
        <v>182047718</v>
      </c>
      <c r="M527" s="60"/>
      <c r="N527" s="58" t="str">
        <f>VLOOKUP(B527,歌单!B:C,2,0)</f>
        <v>雷雨心</v>
      </c>
      <c r="O527" s="58">
        <f t="shared" si="8"/>
        <v>0</v>
      </c>
      <c r="P527" s="62" t="str">
        <f>VLOOKUP(B527,歌单!B:E,3,0)</f>
        <v>国语</v>
      </c>
      <c r="Q527" s="58" t="str">
        <f>VLOOKUP(B527,歌单!B:E,4,0)</f>
        <v>流行</v>
      </c>
      <c r="R527" s="62"/>
    </row>
    <row r="528" spans="1:18" ht="15" hidden="1" customHeight="1">
      <c r="A528" s="4" t="s">
        <v>2546</v>
      </c>
      <c r="B528" s="46" t="s">
        <v>2547</v>
      </c>
      <c r="C528" s="46" t="s">
        <v>2548</v>
      </c>
      <c r="D528" s="59"/>
      <c r="E528" s="59">
        <v>227</v>
      </c>
      <c r="F528" s="59">
        <v>62</v>
      </c>
      <c r="G528" s="60" t="s">
        <v>2549</v>
      </c>
      <c r="H528" s="60" t="s">
        <v>2550</v>
      </c>
      <c r="I528" s="61">
        <v>955</v>
      </c>
      <c r="J528" s="60"/>
      <c r="K528" s="60" t="s">
        <v>2551</v>
      </c>
      <c r="L528" s="60">
        <v>442011874</v>
      </c>
      <c r="M528" s="60"/>
      <c r="N528" s="58" t="str">
        <f>VLOOKUP(B528,歌单!B:C,2,0)</f>
        <v>刘若英</v>
      </c>
      <c r="O528" s="58">
        <f t="shared" si="8"/>
        <v>0</v>
      </c>
      <c r="P528" s="62" t="str">
        <f>VLOOKUP(B528,歌单!B:E,3,0)</f>
        <v>国语</v>
      </c>
      <c r="Q528" s="58" t="str">
        <f>VLOOKUP(B528,歌单!B:E,4,0)</f>
        <v>流行</v>
      </c>
      <c r="R528" s="62"/>
    </row>
    <row r="529" spans="1:18" ht="15" hidden="1" customHeight="1">
      <c r="A529" s="4" t="s">
        <v>2552</v>
      </c>
      <c r="B529" s="46" t="s">
        <v>2553</v>
      </c>
      <c r="C529" s="46" t="s">
        <v>2554</v>
      </c>
      <c r="D529" s="59"/>
      <c r="E529" s="59">
        <v>0</v>
      </c>
      <c r="F529" s="59">
        <v>0</v>
      </c>
      <c r="G529" s="60" t="s">
        <v>2555</v>
      </c>
      <c r="H529" s="60" t="s">
        <v>2556</v>
      </c>
      <c r="I529" s="61">
        <v>109</v>
      </c>
      <c r="J529" s="60"/>
      <c r="K529" s="60" t="s">
        <v>2557</v>
      </c>
      <c r="L529" s="60">
        <v>70388362</v>
      </c>
      <c r="M529" s="60"/>
      <c r="N529" s="58" t="str">
        <f>VLOOKUP(B529,歌单!B:C,2,0)</f>
        <v>何洁</v>
      </c>
      <c r="O529" s="58">
        <f t="shared" si="8"/>
        <v>0</v>
      </c>
      <c r="P529" s="62" t="str">
        <f>VLOOKUP(B529,歌单!B:E,3,0)</f>
        <v>国语</v>
      </c>
      <c r="Q529" s="58" t="str">
        <f>VLOOKUP(B529,歌单!B:E,4,0)</f>
        <v>流行</v>
      </c>
      <c r="R529" s="62"/>
    </row>
    <row r="530" spans="1:18" ht="15" hidden="1" customHeight="1">
      <c r="A530" s="32" t="s">
        <v>2558</v>
      </c>
      <c r="B530" s="46" t="s">
        <v>2559</v>
      </c>
      <c r="C530" s="46" t="s">
        <v>2560</v>
      </c>
      <c r="D530" s="59"/>
      <c r="E530" s="59">
        <v>0</v>
      </c>
      <c r="F530" s="59">
        <v>0</v>
      </c>
      <c r="G530" s="60" t="s">
        <v>2561</v>
      </c>
      <c r="H530" s="60" t="s">
        <v>2562</v>
      </c>
      <c r="I530" s="61">
        <v>1896</v>
      </c>
      <c r="J530" s="60" t="s">
        <v>2563</v>
      </c>
      <c r="K530" s="60" t="s">
        <v>2559</v>
      </c>
      <c r="L530" s="60">
        <v>648048491</v>
      </c>
      <c r="M530" s="60" t="s">
        <v>235</v>
      </c>
      <c r="N530" s="56" t="str">
        <f>VLOOKUP(B530,歌单!B:C,2,0)</f>
        <v>张杰/张碧晨</v>
      </c>
      <c r="O530" s="58">
        <f t="shared" si="8"/>
        <v>1</v>
      </c>
      <c r="P530" s="62" t="str">
        <f>VLOOKUP(B530,歌单!B:E,3,0)</f>
        <v>国语</v>
      </c>
      <c r="Q530" s="58" t="str">
        <f>VLOOKUP(B530,歌单!B:E,4,0)</f>
        <v>流行</v>
      </c>
      <c r="R530" s="62"/>
    </row>
    <row r="531" spans="1:18" ht="15" hidden="1" customHeight="1">
      <c r="A531" s="4" t="s">
        <v>2564</v>
      </c>
      <c r="B531" s="46" t="s">
        <v>2565</v>
      </c>
      <c r="C531" s="46" t="s">
        <v>679</v>
      </c>
      <c r="D531" s="59"/>
      <c r="E531" s="59">
        <v>30</v>
      </c>
      <c r="F531" s="59">
        <v>15</v>
      </c>
      <c r="G531" s="60" t="s">
        <v>2566</v>
      </c>
      <c r="H531" s="60" t="s">
        <v>2567</v>
      </c>
      <c r="I531" s="61">
        <v>1889</v>
      </c>
      <c r="J531" s="60"/>
      <c r="K531" s="60" t="s">
        <v>2568</v>
      </c>
      <c r="L531" s="60">
        <v>509219500</v>
      </c>
      <c r="M531" s="60"/>
      <c r="N531" s="58" t="str">
        <f>VLOOKUP(B531,歌单!B:C,2,0)</f>
        <v>林俊杰</v>
      </c>
      <c r="O531" s="58">
        <f t="shared" si="8"/>
        <v>0</v>
      </c>
      <c r="P531" s="62" t="str">
        <f>VLOOKUP(B531,歌单!B:E,3,0)</f>
        <v>国语</v>
      </c>
      <c r="Q531" s="58" t="str">
        <f>VLOOKUP(B531,歌单!B:E,4,0)</f>
        <v>流行</v>
      </c>
      <c r="R531" s="62"/>
    </row>
    <row r="532" spans="1:18" ht="15" hidden="1" customHeight="1">
      <c r="A532" s="4" t="s">
        <v>2569</v>
      </c>
      <c r="B532" s="46" t="s">
        <v>2570</v>
      </c>
      <c r="C532" s="46" t="s">
        <v>2571</v>
      </c>
      <c r="D532" s="59"/>
      <c r="E532" s="59">
        <v>0</v>
      </c>
      <c r="F532" s="59">
        <v>0</v>
      </c>
      <c r="G532" s="60" t="s">
        <v>2572</v>
      </c>
      <c r="H532" s="60" t="s">
        <v>2573</v>
      </c>
      <c r="I532" s="61">
        <v>569</v>
      </c>
      <c r="J532" s="60"/>
      <c r="K532" s="60" t="s">
        <v>2574</v>
      </c>
      <c r="L532" s="60">
        <v>274618058</v>
      </c>
      <c r="M532" s="60"/>
      <c r="N532" s="58" t="str">
        <f>VLOOKUP(B532,歌单!B:C,2,0)</f>
        <v>李谷一</v>
      </c>
      <c r="O532" s="58">
        <f t="shared" si="8"/>
        <v>0</v>
      </c>
      <c r="P532" s="62" t="str">
        <f>VLOOKUP(B532,歌单!B:E,3,0)</f>
        <v>国语</v>
      </c>
      <c r="Q532" s="58" t="str">
        <f>VLOOKUP(B532,歌单!B:E,4,0)</f>
        <v>流行</v>
      </c>
      <c r="R532" s="62"/>
    </row>
    <row r="533" spans="1:18" ht="15" customHeight="1">
      <c r="A533" s="4" t="s">
        <v>2575</v>
      </c>
      <c r="B533" s="46" t="s">
        <v>2576</v>
      </c>
      <c r="C533" s="46" t="s">
        <v>2577</v>
      </c>
      <c r="D533" s="59"/>
      <c r="E533" s="59">
        <v>0</v>
      </c>
      <c r="F533" s="59">
        <v>0</v>
      </c>
      <c r="G533" s="60" t="s">
        <v>2578</v>
      </c>
      <c r="H533" s="60"/>
      <c r="I533" s="61">
        <v>44</v>
      </c>
      <c r="J533" s="60"/>
      <c r="K533" s="60" t="s">
        <v>2579</v>
      </c>
      <c r="L533" s="60">
        <v>9633281</v>
      </c>
      <c r="M533" s="60"/>
      <c r="N533" s="58">
        <f>VLOOKUP(B533,歌单!B:C,2,0)</f>
        <v>0</v>
      </c>
      <c r="O533" s="58">
        <f t="shared" si="8"/>
        <v>1</v>
      </c>
      <c r="P533" s="62" t="str">
        <f>VLOOKUP(B533,歌单!B:E,3,0)</f>
        <v>国语</v>
      </c>
      <c r="Q533" s="58" t="str">
        <f>VLOOKUP(B533,歌单!B:E,4,0)</f>
        <v>民族</v>
      </c>
      <c r="R533" s="62"/>
    </row>
    <row r="534" spans="1:18" ht="15" customHeight="1">
      <c r="A534" s="4" t="s">
        <v>2580</v>
      </c>
      <c r="B534" s="46" t="s">
        <v>2581</v>
      </c>
      <c r="C534" s="46" t="s">
        <v>1154</v>
      </c>
      <c r="D534" s="59"/>
      <c r="E534" s="59">
        <v>0</v>
      </c>
      <c r="F534" s="59">
        <v>0</v>
      </c>
      <c r="G534" s="60" t="s">
        <v>2582</v>
      </c>
      <c r="H534" s="60" t="s">
        <v>2583</v>
      </c>
      <c r="I534" s="61">
        <v>15</v>
      </c>
      <c r="J534" s="60"/>
      <c r="K534" s="60" t="s">
        <v>2584</v>
      </c>
      <c r="L534" s="60">
        <v>4642449</v>
      </c>
      <c r="M534" s="60"/>
      <c r="N534" s="58" t="e">
        <f>VLOOKUP(B534,歌单!B:C,2,0)</f>
        <v>#N/A</v>
      </c>
      <c r="O534" s="58">
        <f t="shared" si="8"/>
        <v>1</v>
      </c>
      <c r="P534" s="62" t="s">
        <v>10246</v>
      </c>
      <c r="Q534" s="58" t="s">
        <v>10252</v>
      </c>
      <c r="R534" s="62"/>
    </row>
    <row r="535" spans="1:18" ht="15" customHeight="1">
      <c r="A535" s="4" t="s">
        <v>2585</v>
      </c>
      <c r="B535" s="46" t="s">
        <v>2370</v>
      </c>
      <c r="C535" s="46" t="s">
        <v>884</v>
      </c>
      <c r="D535" s="59"/>
      <c r="E535" s="59">
        <v>0</v>
      </c>
      <c r="F535" s="59">
        <v>0</v>
      </c>
      <c r="G535" s="60" t="s">
        <v>2586</v>
      </c>
      <c r="H535" s="60"/>
      <c r="I535" s="61">
        <v>25</v>
      </c>
      <c r="J535" s="60" t="s">
        <v>2370</v>
      </c>
      <c r="K535" s="60" t="s">
        <v>2373</v>
      </c>
      <c r="L535" s="60">
        <v>11854634</v>
      </c>
      <c r="M535" s="60"/>
      <c r="N535" s="58">
        <f>VLOOKUP(B535,歌单!B:C,2,0)</f>
        <v>0</v>
      </c>
      <c r="O535" s="58">
        <f t="shared" si="8"/>
        <v>1</v>
      </c>
      <c r="P535" s="62" t="str">
        <f>VLOOKUP(B535,歌单!B:E,3,0)</f>
        <v>国语</v>
      </c>
      <c r="Q535" s="58" t="str">
        <f>VLOOKUP(B535,歌单!B:E,4,0)</f>
        <v>流行</v>
      </c>
      <c r="R535" s="62"/>
    </row>
    <row r="536" spans="1:18" ht="15" hidden="1" customHeight="1">
      <c r="A536" s="4" t="s">
        <v>2587</v>
      </c>
      <c r="B536" s="46" t="s">
        <v>2588</v>
      </c>
      <c r="C536" s="46" t="s">
        <v>1030</v>
      </c>
      <c r="D536" s="59"/>
      <c r="E536" s="59">
        <v>0</v>
      </c>
      <c r="F536" s="59">
        <v>0</v>
      </c>
      <c r="G536" s="60" t="s">
        <v>2589</v>
      </c>
      <c r="H536" s="60" t="s">
        <v>2590</v>
      </c>
      <c r="I536" s="61">
        <v>1152</v>
      </c>
      <c r="J536" s="60" t="s">
        <v>2591</v>
      </c>
      <c r="K536" s="60" t="s">
        <v>2588</v>
      </c>
      <c r="L536" s="60">
        <v>305839358</v>
      </c>
      <c r="M536" s="60"/>
      <c r="N536" s="58" t="str">
        <f>VLOOKUP(B536,歌单!B:C,2,0)</f>
        <v>那英</v>
      </c>
      <c r="O536" s="58">
        <f t="shared" si="8"/>
        <v>0</v>
      </c>
      <c r="P536" s="62" t="str">
        <f>VLOOKUP(B536,歌单!B:E,3,0)</f>
        <v>国语</v>
      </c>
      <c r="Q536" s="58" t="str">
        <f>VLOOKUP(B536,歌单!B:E,4,0)</f>
        <v>流行</v>
      </c>
      <c r="R536" s="62"/>
    </row>
    <row r="537" spans="1:18" ht="15" customHeight="1">
      <c r="A537" s="4" t="s">
        <v>2592</v>
      </c>
      <c r="B537" s="46" t="s">
        <v>2593</v>
      </c>
      <c r="C537" s="46" t="s">
        <v>2594</v>
      </c>
      <c r="D537" s="59"/>
      <c r="E537" s="59">
        <v>0</v>
      </c>
      <c r="F537" s="59">
        <v>0</v>
      </c>
      <c r="G537" s="60" t="s">
        <v>2595</v>
      </c>
      <c r="H537" s="60" t="s">
        <v>2596</v>
      </c>
      <c r="I537" s="61">
        <v>2246</v>
      </c>
      <c r="J537" s="60"/>
      <c r="K537" s="60" t="s">
        <v>2597</v>
      </c>
      <c r="L537" s="60">
        <v>226811237</v>
      </c>
      <c r="M537" s="60" t="s">
        <v>826</v>
      </c>
      <c r="N537" s="58" t="e">
        <f>VLOOKUP(B537,歌单!B:C,2,0)</f>
        <v>#N/A</v>
      </c>
      <c r="O537" s="58">
        <f t="shared" si="8"/>
        <v>1</v>
      </c>
      <c r="P537" s="62" t="s">
        <v>10249</v>
      </c>
      <c r="Q537" s="58" t="s">
        <v>10252</v>
      </c>
      <c r="R537" s="62"/>
    </row>
    <row r="538" spans="1:18" ht="15" customHeight="1">
      <c r="A538" s="4" t="s">
        <v>2598</v>
      </c>
      <c r="B538" s="46" t="s">
        <v>2599</v>
      </c>
      <c r="C538" s="46" t="s">
        <v>2600</v>
      </c>
      <c r="D538" s="59"/>
      <c r="E538" s="59">
        <v>0</v>
      </c>
      <c r="F538" s="59">
        <v>0</v>
      </c>
      <c r="G538" s="60" t="s">
        <v>2601</v>
      </c>
      <c r="H538" s="60" t="s">
        <v>2602</v>
      </c>
      <c r="I538" s="61">
        <v>1</v>
      </c>
      <c r="J538" s="60"/>
      <c r="K538" s="60" t="s">
        <v>2603</v>
      </c>
      <c r="L538" s="60">
        <v>1921450</v>
      </c>
      <c r="M538" s="60"/>
      <c r="N538" s="58" t="e">
        <f>VLOOKUP(B538,歌单!B:C,2,0)</f>
        <v>#N/A</v>
      </c>
      <c r="O538" s="58">
        <f t="shared" si="8"/>
        <v>1</v>
      </c>
      <c r="P538" s="62" t="s">
        <v>10246</v>
      </c>
      <c r="Q538" s="58" t="s">
        <v>10252</v>
      </c>
      <c r="R538" s="62"/>
    </row>
    <row r="539" spans="1:18" ht="15" hidden="1" customHeight="1">
      <c r="A539" s="4" t="s">
        <v>2604</v>
      </c>
      <c r="B539" s="46" t="s">
        <v>2605</v>
      </c>
      <c r="C539" s="46" t="s">
        <v>541</v>
      </c>
      <c r="D539" s="59"/>
      <c r="E539" s="59">
        <v>0</v>
      </c>
      <c r="F539" s="59">
        <v>0</v>
      </c>
      <c r="G539" s="60" t="s">
        <v>2606</v>
      </c>
      <c r="H539" s="60" t="s">
        <v>2607</v>
      </c>
      <c r="I539" s="61">
        <v>225</v>
      </c>
      <c r="J539" s="60"/>
      <c r="K539" s="60" t="s">
        <v>1689</v>
      </c>
      <c r="L539" s="60">
        <v>93174881</v>
      </c>
      <c r="M539" s="60"/>
      <c r="N539" s="58" t="str">
        <f>VLOOKUP(B539,歌单!B:C,2,0)</f>
        <v>张惠妹</v>
      </c>
      <c r="O539" s="58">
        <f t="shared" si="8"/>
        <v>0</v>
      </c>
      <c r="P539" s="62" t="str">
        <f>VLOOKUP(B539,歌单!B:E,3,0)</f>
        <v>国语</v>
      </c>
      <c r="Q539" s="58" t="str">
        <f>VLOOKUP(B539,歌单!B:E,4,0)</f>
        <v>流行</v>
      </c>
      <c r="R539" s="62"/>
    </row>
    <row r="540" spans="1:18" ht="15" hidden="1" customHeight="1">
      <c r="A540" s="4" t="s">
        <v>2608</v>
      </c>
      <c r="B540" s="46" t="s">
        <v>2517</v>
      </c>
      <c r="C540" s="46" t="s">
        <v>1545</v>
      </c>
      <c r="D540" s="59"/>
      <c r="E540" s="59">
        <v>0</v>
      </c>
      <c r="F540" s="59">
        <v>0</v>
      </c>
      <c r="G540" s="60" t="s">
        <v>2609</v>
      </c>
      <c r="H540" s="60" t="s">
        <v>2610</v>
      </c>
      <c r="I540" s="61">
        <v>0</v>
      </c>
      <c r="J540" s="60"/>
      <c r="K540" s="60" t="s">
        <v>2611</v>
      </c>
      <c r="L540" s="60">
        <v>813082</v>
      </c>
      <c r="M540" s="60"/>
      <c r="N540" s="58" t="str">
        <f>VLOOKUP(B540,歌单!B:C,2,0)</f>
        <v>梁静茹</v>
      </c>
      <c r="O540" s="58">
        <f t="shared" si="8"/>
        <v>0</v>
      </c>
      <c r="P540" s="62" t="str">
        <f>VLOOKUP(B540,歌单!B:E,3,0)</f>
        <v>国语</v>
      </c>
      <c r="Q540" s="58" t="str">
        <f>VLOOKUP(B540,歌单!B:E,4,0)</f>
        <v>流行</v>
      </c>
      <c r="R540" s="62"/>
    </row>
    <row r="541" spans="1:18" ht="15" hidden="1" customHeight="1">
      <c r="A541" s="4" t="s">
        <v>2612</v>
      </c>
      <c r="B541" s="46" t="s">
        <v>749</v>
      </c>
      <c r="C541" s="46" t="s">
        <v>131</v>
      </c>
      <c r="D541" s="59"/>
      <c r="E541" s="59">
        <v>0</v>
      </c>
      <c r="F541" s="59">
        <v>0</v>
      </c>
      <c r="G541" s="60" t="s">
        <v>2613</v>
      </c>
      <c r="H541" s="60" t="s">
        <v>2614</v>
      </c>
      <c r="I541" s="61">
        <v>3</v>
      </c>
      <c r="J541" s="60"/>
      <c r="K541" s="60" t="s">
        <v>2615</v>
      </c>
      <c r="L541" s="60">
        <v>379480</v>
      </c>
      <c r="M541" s="60"/>
      <c r="N541" s="58" t="str">
        <f>VLOOKUP(B541,歌单!B:C,2,0)</f>
        <v>苏打绿</v>
      </c>
      <c r="O541" s="58">
        <f t="shared" si="8"/>
        <v>0</v>
      </c>
      <c r="P541" s="62" t="str">
        <f>VLOOKUP(B541,歌单!B:E,3,0)</f>
        <v>国语</v>
      </c>
      <c r="Q541" s="58" t="str">
        <f>VLOOKUP(B541,歌单!B:E,4,0)</f>
        <v>流行</v>
      </c>
      <c r="R541" s="62"/>
    </row>
    <row r="542" spans="1:18" ht="15" hidden="1" customHeight="1">
      <c r="A542" s="32" t="s">
        <v>2616</v>
      </c>
      <c r="B542" s="46" t="s">
        <v>2617</v>
      </c>
      <c r="C542" s="46" t="s">
        <v>2618</v>
      </c>
      <c r="D542" s="59"/>
      <c r="E542" s="59">
        <v>0</v>
      </c>
      <c r="F542" s="59">
        <v>0</v>
      </c>
      <c r="G542" s="60" t="s">
        <v>2619</v>
      </c>
      <c r="H542" s="60" t="s">
        <v>2620</v>
      </c>
      <c r="I542" s="61">
        <v>0</v>
      </c>
      <c r="J542" s="60"/>
      <c r="K542" s="60" t="s">
        <v>2621</v>
      </c>
      <c r="L542" s="60">
        <v>1282697</v>
      </c>
      <c r="M542" s="60"/>
      <c r="N542" s="56" t="s">
        <v>524</v>
      </c>
      <c r="O542" s="58">
        <f t="shared" si="8"/>
        <v>1</v>
      </c>
      <c r="P542" s="62" t="str">
        <f>VLOOKUP(B542,歌单!B:E,3,0)</f>
        <v>国语</v>
      </c>
      <c r="Q542" s="58" t="str">
        <f>VLOOKUP(B542,歌单!B:E,4,0)</f>
        <v>流行</v>
      </c>
      <c r="R542" s="62"/>
    </row>
    <row r="543" spans="1:18" ht="15" customHeight="1">
      <c r="A543" s="4" t="s">
        <v>2622</v>
      </c>
      <c r="B543" s="46" t="s">
        <v>2623</v>
      </c>
      <c r="C543" s="46" t="s">
        <v>2624</v>
      </c>
      <c r="D543" s="59"/>
      <c r="E543" s="59">
        <v>0</v>
      </c>
      <c r="F543" s="59">
        <v>0</v>
      </c>
      <c r="G543" s="60" t="s">
        <v>2625</v>
      </c>
      <c r="H543" s="60" t="s">
        <v>2626</v>
      </c>
      <c r="I543" s="61">
        <v>4</v>
      </c>
      <c r="J543" s="60"/>
      <c r="K543" s="60" t="s">
        <v>2623</v>
      </c>
      <c r="L543" s="60">
        <v>3366421</v>
      </c>
      <c r="M543" s="60"/>
      <c r="N543" s="58" t="e">
        <f>VLOOKUP(B543,歌单!B:C,2,0)</f>
        <v>#N/A</v>
      </c>
      <c r="O543" s="58">
        <f t="shared" si="8"/>
        <v>1</v>
      </c>
      <c r="P543" s="62" t="s">
        <v>10246</v>
      </c>
      <c r="Q543" s="58" t="s">
        <v>10252</v>
      </c>
      <c r="R543" s="62"/>
    </row>
    <row r="544" spans="1:18" ht="15" hidden="1" customHeight="1">
      <c r="A544" s="4" t="s">
        <v>2627</v>
      </c>
      <c r="B544" s="46" t="s">
        <v>2628</v>
      </c>
      <c r="C544" s="46" t="s">
        <v>2629</v>
      </c>
      <c r="D544" s="59"/>
      <c r="E544" s="59">
        <v>0</v>
      </c>
      <c r="F544" s="59">
        <v>0</v>
      </c>
      <c r="G544" s="60" t="s">
        <v>2630</v>
      </c>
      <c r="H544" s="60" t="s">
        <v>2631</v>
      </c>
      <c r="I544" s="61">
        <v>1782</v>
      </c>
      <c r="J544" s="60"/>
      <c r="K544" s="60" t="s">
        <v>2628</v>
      </c>
      <c r="L544" s="60">
        <v>468038910</v>
      </c>
      <c r="M544" s="60"/>
      <c r="N544" s="58" t="str">
        <f>VLOOKUP(B544,歌单!B:C,2,0)</f>
        <v>黄霄雲</v>
      </c>
      <c r="O544" s="58">
        <f t="shared" si="8"/>
        <v>0</v>
      </c>
      <c r="P544" s="62" t="str">
        <f>VLOOKUP(B544,歌单!B:E,3,0)</f>
        <v>国语</v>
      </c>
      <c r="Q544" s="58" t="str">
        <f>VLOOKUP(B544,歌单!B:E,4,0)</f>
        <v>流行</v>
      </c>
      <c r="R544" s="62"/>
    </row>
    <row r="545" spans="1:18" ht="15" customHeight="1">
      <c r="A545" s="4" t="s">
        <v>2632</v>
      </c>
      <c r="B545" s="46" t="s">
        <v>2633</v>
      </c>
      <c r="C545" s="46" t="s">
        <v>558</v>
      </c>
      <c r="D545" s="59"/>
      <c r="E545" s="59">
        <v>0</v>
      </c>
      <c r="F545" s="59">
        <v>0</v>
      </c>
      <c r="G545" s="60" t="s">
        <v>2634</v>
      </c>
      <c r="H545" s="60" t="s">
        <v>2635</v>
      </c>
      <c r="I545" s="61">
        <v>72</v>
      </c>
      <c r="J545" s="60"/>
      <c r="K545" s="60" t="s">
        <v>566</v>
      </c>
      <c r="L545" s="60">
        <v>18084890</v>
      </c>
      <c r="M545" s="60"/>
      <c r="N545" s="58" t="e">
        <f>VLOOKUP(B545,歌单!B:C,2,0)</f>
        <v>#N/A</v>
      </c>
      <c r="O545" s="58">
        <f t="shared" si="8"/>
        <v>1</v>
      </c>
      <c r="P545" s="62" t="s">
        <v>10246</v>
      </c>
      <c r="Q545" s="58" t="s">
        <v>10252</v>
      </c>
      <c r="R545" s="62"/>
    </row>
    <row r="546" spans="1:18" ht="15" hidden="1" customHeight="1">
      <c r="A546" s="4" t="s">
        <v>2636</v>
      </c>
      <c r="B546" s="46" t="s">
        <v>2637</v>
      </c>
      <c r="C546" s="46" t="s">
        <v>574</v>
      </c>
      <c r="D546" s="59"/>
      <c r="E546" s="59">
        <v>0</v>
      </c>
      <c r="F546" s="59">
        <v>0</v>
      </c>
      <c r="G546" s="60" t="s">
        <v>2638</v>
      </c>
      <c r="H546" s="60" t="s">
        <v>2639</v>
      </c>
      <c r="I546" s="61">
        <v>118</v>
      </c>
      <c r="J546" s="60"/>
      <c r="K546" s="60" t="s">
        <v>2640</v>
      </c>
      <c r="L546" s="60">
        <v>90665327</v>
      </c>
      <c r="M546" s="60"/>
      <c r="N546" s="58" t="str">
        <f>VLOOKUP(B546,歌单!B:C,2,0)</f>
        <v>陈奕迅</v>
      </c>
      <c r="O546" s="58">
        <f t="shared" si="8"/>
        <v>0</v>
      </c>
      <c r="P546" s="62" t="str">
        <f>VLOOKUP(B546,歌单!B:E,3,0)</f>
        <v>国语</v>
      </c>
      <c r="Q546" s="58" t="str">
        <f>VLOOKUP(B546,歌单!B:E,4,0)</f>
        <v>流行</v>
      </c>
      <c r="R546" s="62"/>
    </row>
    <row r="547" spans="1:18" ht="15" hidden="1" customHeight="1">
      <c r="A547" s="32" t="s">
        <v>2641</v>
      </c>
      <c r="B547" s="46" t="s">
        <v>2642</v>
      </c>
      <c r="C547" s="46" t="s">
        <v>2643</v>
      </c>
      <c r="D547" s="59"/>
      <c r="E547" s="59">
        <v>0</v>
      </c>
      <c r="F547" s="59">
        <v>0</v>
      </c>
      <c r="G547" s="60" t="s">
        <v>2644</v>
      </c>
      <c r="H547" s="60" t="s">
        <v>2645</v>
      </c>
      <c r="I547" s="61">
        <v>13217</v>
      </c>
      <c r="J547" s="60" t="s">
        <v>2642</v>
      </c>
      <c r="K547" s="60" t="s">
        <v>2642</v>
      </c>
      <c r="L547" s="60">
        <v>858384536</v>
      </c>
      <c r="M547" s="60"/>
      <c r="N547" s="56" t="str">
        <f>VLOOKUP(B547,歌单!B:C,2,0)</f>
        <v>凤凰传奇</v>
      </c>
      <c r="O547" s="58">
        <f t="shared" si="8"/>
        <v>1</v>
      </c>
      <c r="P547" s="62" t="str">
        <f>VLOOKUP(B547,歌单!B:E,3,0)</f>
        <v>国语</v>
      </c>
      <c r="Q547" s="58" t="str">
        <f>VLOOKUP(B547,歌单!B:E,4,0)</f>
        <v>流行</v>
      </c>
      <c r="R547" s="62"/>
    </row>
    <row r="548" spans="1:18" ht="15" customHeight="1">
      <c r="A548" s="4" t="s">
        <v>2646</v>
      </c>
      <c r="B548" s="46" t="s">
        <v>2647</v>
      </c>
      <c r="C548" s="46" t="s">
        <v>2648</v>
      </c>
      <c r="D548" s="59"/>
      <c r="E548" s="59">
        <v>0</v>
      </c>
      <c r="F548" s="59">
        <v>0</v>
      </c>
      <c r="G548" s="60" t="s">
        <v>2649</v>
      </c>
      <c r="H548" s="60"/>
      <c r="I548" s="61">
        <v>76</v>
      </c>
      <c r="J548" s="60"/>
      <c r="K548" s="60" t="s">
        <v>2650</v>
      </c>
      <c r="L548" s="60">
        <v>64516337</v>
      </c>
      <c r="M548" s="60"/>
      <c r="N548" s="58">
        <f>VLOOKUP(B548,歌单!B:C,2,0)</f>
        <v>0</v>
      </c>
      <c r="O548" s="58">
        <f t="shared" si="8"/>
        <v>1</v>
      </c>
      <c r="P548" s="62" t="str">
        <f>VLOOKUP(B548,歌单!B:E,3,0)</f>
        <v>国语</v>
      </c>
      <c r="Q548" s="58" t="str">
        <f>VLOOKUP(B548,歌单!B:E,4,0)</f>
        <v>儿歌</v>
      </c>
      <c r="R548" s="62"/>
    </row>
    <row r="549" spans="1:18" ht="15" hidden="1" customHeight="1">
      <c r="A549" s="4" t="s">
        <v>2651</v>
      </c>
      <c r="B549" s="46" t="s">
        <v>2395</v>
      </c>
      <c r="C549" s="46" t="s">
        <v>679</v>
      </c>
      <c r="D549" s="59"/>
      <c r="E549" s="59">
        <v>0</v>
      </c>
      <c r="F549" s="59">
        <v>0</v>
      </c>
      <c r="G549" s="60" t="s">
        <v>2652</v>
      </c>
      <c r="H549" s="60" t="s">
        <v>2653</v>
      </c>
      <c r="I549" s="61">
        <v>1634</v>
      </c>
      <c r="J549" s="60" t="s">
        <v>2654</v>
      </c>
      <c r="K549" s="60" t="s">
        <v>2655</v>
      </c>
      <c r="L549" s="60">
        <v>276969386</v>
      </c>
      <c r="M549" s="60"/>
      <c r="N549" s="58" t="str">
        <f>VLOOKUP(B549,歌单!B:C,2,0)</f>
        <v>林俊杰</v>
      </c>
      <c r="O549" s="58">
        <f t="shared" si="8"/>
        <v>0</v>
      </c>
      <c r="P549" s="62" t="str">
        <f>VLOOKUP(B549,歌单!B:E,3,0)</f>
        <v>国语</v>
      </c>
      <c r="Q549" s="58" t="str">
        <f>VLOOKUP(B549,歌单!B:E,4,0)</f>
        <v>流行</v>
      </c>
      <c r="R549" s="62"/>
    </row>
    <row r="550" spans="1:18" ht="15" hidden="1" customHeight="1">
      <c r="A550" s="4" t="s">
        <v>2656</v>
      </c>
      <c r="B550" s="46" t="s">
        <v>2657</v>
      </c>
      <c r="C550" s="46" t="s">
        <v>2658</v>
      </c>
      <c r="D550" s="59"/>
      <c r="E550" s="59">
        <v>0</v>
      </c>
      <c r="F550" s="59">
        <v>0</v>
      </c>
      <c r="G550" s="60" t="s">
        <v>2659</v>
      </c>
      <c r="H550" s="60" t="s">
        <v>2660</v>
      </c>
      <c r="I550" s="61">
        <v>242</v>
      </c>
      <c r="J550" s="60" t="s">
        <v>2661</v>
      </c>
      <c r="K550" s="60" t="s">
        <v>2657</v>
      </c>
      <c r="L550" s="60">
        <v>64561447</v>
      </c>
      <c r="M550" s="60"/>
      <c r="N550" s="58" t="str">
        <f>VLOOKUP(B550,歌单!B:C,2,0)</f>
        <v>范玮琪</v>
      </c>
      <c r="O550" s="58">
        <f t="shared" si="8"/>
        <v>0</v>
      </c>
      <c r="P550" s="62" t="str">
        <f>VLOOKUP(B550,歌单!B:E,3,0)</f>
        <v>国语</v>
      </c>
      <c r="Q550" s="58" t="str">
        <f>VLOOKUP(B550,歌单!B:E,4,0)</f>
        <v>流行</v>
      </c>
      <c r="R550" s="62"/>
    </row>
    <row r="551" spans="1:18" ht="15" customHeight="1">
      <c r="A551" s="4" t="s">
        <v>2662</v>
      </c>
      <c r="B551" s="46" t="s">
        <v>2663</v>
      </c>
      <c r="C551" s="46" t="s">
        <v>2664</v>
      </c>
      <c r="D551" s="59"/>
      <c r="E551" s="59">
        <v>0</v>
      </c>
      <c r="F551" s="59">
        <v>0</v>
      </c>
      <c r="G551" s="60" t="s">
        <v>2665</v>
      </c>
      <c r="H551" s="60"/>
      <c r="I551" s="61">
        <v>29</v>
      </c>
      <c r="J551" s="60"/>
      <c r="K551" s="60" t="s">
        <v>2666</v>
      </c>
      <c r="L551" s="60">
        <v>10858248</v>
      </c>
      <c r="M551" s="60"/>
      <c r="N551" s="58" t="e">
        <f>VLOOKUP(B551,歌单!B:C,2,0)</f>
        <v>#N/A</v>
      </c>
      <c r="O551" s="58">
        <f t="shared" si="8"/>
        <v>1</v>
      </c>
      <c r="P551" s="62" t="s">
        <v>10246</v>
      </c>
      <c r="Q551" s="58" t="s">
        <v>10252</v>
      </c>
      <c r="R551" s="62"/>
    </row>
    <row r="552" spans="1:18" ht="15" customHeight="1">
      <c r="A552" s="4" t="s">
        <v>2667</v>
      </c>
      <c r="B552" s="46" t="s">
        <v>2668</v>
      </c>
      <c r="C552" s="46" t="s">
        <v>188</v>
      </c>
      <c r="D552" s="59"/>
      <c r="E552" s="59">
        <v>0</v>
      </c>
      <c r="F552" s="59">
        <v>0</v>
      </c>
      <c r="G552" s="60" t="s">
        <v>2669</v>
      </c>
      <c r="H552" s="60" t="s">
        <v>2670</v>
      </c>
      <c r="I552" s="61">
        <v>75</v>
      </c>
      <c r="J552" s="60"/>
      <c r="K552" s="60" t="s">
        <v>2671</v>
      </c>
      <c r="L552" s="60">
        <v>749161</v>
      </c>
      <c r="M552" s="60"/>
      <c r="N552" s="58" t="e">
        <f>VLOOKUP(B552,歌单!B:C,2,0)</f>
        <v>#N/A</v>
      </c>
      <c r="O552" s="58">
        <f t="shared" si="8"/>
        <v>1</v>
      </c>
      <c r="P552" s="62" t="s">
        <v>10246</v>
      </c>
      <c r="Q552" s="58" t="s">
        <v>10252</v>
      </c>
      <c r="R552" s="62"/>
    </row>
    <row r="553" spans="1:18" ht="15" customHeight="1">
      <c r="A553" s="4" t="s">
        <v>2672</v>
      </c>
      <c r="B553" s="46" t="s">
        <v>10268</v>
      </c>
      <c r="C553" s="46" t="s">
        <v>2674</v>
      </c>
      <c r="D553" s="59"/>
      <c r="E553" s="59">
        <v>0</v>
      </c>
      <c r="F553" s="59">
        <v>0</v>
      </c>
      <c r="G553" s="60" t="s">
        <v>2675</v>
      </c>
      <c r="H553" s="60"/>
      <c r="I553" s="61">
        <v>2688</v>
      </c>
      <c r="J553" s="60"/>
      <c r="K553" s="60" t="s">
        <v>2676</v>
      </c>
      <c r="L553" s="60">
        <v>566920212</v>
      </c>
      <c r="M553" s="60"/>
      <c r="N553" s="58">
        <f>VLOOKUP(B553,歌单!B:C,2,0)</f>
        <v>0</v>
      </c>
      <c r="O553" s="58">
        <f t="shared" si="8"/>
        <v>1</v>
      </c>
      <c r="P553" s="62" t="s">
        <v>10246</v>
      </c>
      <c r="Q553" s="58" t="s">
        <v>10252</v>
      </c>
      <c r="R553" s="62"/>
    </row>
    <row r="554" spans="1:18" ht="15" hidden="1" customHeight="1">
      <c r="A554" s="32" t="s">
        <v>2677</v>
      </c>
      <c r="B554" s="46" t="s">
        <v>2678</v>
      </c>
      <c r="C554" s="46" t="s">
        <v>821</v>
      </c>
      <c r="D554" s="59"/>
      <c r="E554" s="59">
        <v>0</v>
      </c>
      <c r="F554" s="59">
        <v>0</v>
      </c>
      <c r="G554" s="60" t="s">
        <v>2679</v>
      </c>
      <c r="H554" s="60" t="s">
        <v>2680</v>
      </c>
      <c r="I554" s="61">
        <v>1</v>
      </c>
      <c r="J554" s="60" t="s">
        <v>2681</v>
      </c>
      <c r="K554" s="60" t="s">
        <v>2682</v>
      </c>
      <c r="L554" s="60">
        <v>2380111</v>
      </c>
      <c r="M554" s="60"/>
      <c r="N554" s="68" t="str">
        <f>VLOOKUP(B554,歌单!B:C,2,0)</f>
        <v>莫文蔚</v>
      </c>
      <c r="O554" s="58">
        <f t="shared" si="8"/>
        <v>1</v>
      </c>
      <c r="P554" s="62" t="str">
        <f>VLOOKUP(B554,歌单!B:E,3,0)</f>
        <v>国语</v>
      </c>
      <c r="Q554" s="58" t="str">
        <f>VLOOKUP(B554,歌单!B:E,4,0)</f>
        <v>流行</v>
      </c>
      <c r="R554" s="62"/>
    </row>
    <row r="555" spans="1:18" ht="15" hidden="1" customHeight="1">
      <c r="A555" s="4" t="s">
        <v>2683</v>
      </c>
      <c r="B555" s="46" t="s">
        <v>1410</v>
      </c>
      <c r="C555" s="46" t="s">
        <v>146</v>
      </c>
      <c r="D555" s="59"/>
      <c r="E555" s="59">
        <v>0</v>
      </c>
      <c r="F555" s="59">
        <v>0</v>
      </c>
      <c r="G555" s="60" t="s">
        <v>2684</v>
      </c>
      <c r="H555" s="60" t="s">
        <v>2685</v>
      </c>
      <c r="I555" s="61">
        <v>0</v>
      </c>
      <c r="J555" s="60"/>
      <c r="K555" s="60" t="s">
        <v>2686</v>
      </c>
      <c r="L555" s="60">
        <v>1760027</v>
      </c>
      <c r="M555" s="60"/>
      <c r="N555" s="58" t="str">
        <f>VLOOKUP(B555,歌单!B:C,2,0)</f>
        <v>韩红</v>
      </c>
      <c r="O555" s="58">
        <f t="shared" si="8"/>
        <v>0</v>
      </c>
      <c r="P555" s="62" t="str">
        <f>VLOOKUP(B555,歌单!B:E,3,0)</f>
        <v>国语</v>
      </c>
      <c r="Q555" s="58" t="str">
        <f>VLOOKUP(B555,歌单!B:E,4,0)</f>
        <v>流行</v>
      </c>
      <c r="R555" s="62"/>
    </row>
    <row r="556" spans="1:18" ht="15" hidden="1" customHeight="1">
      <c r="A556" s="32" t="s">
        <v>2687</v>
      </c>
      <c r="B556" s="46" t="s">
        <v>2688</v>
      </c>
      <c r="C556" s="46" t="s">
        <v>245</v>
      </c>
      <c r="D556" s="59"/>
      <c r="E556" s="59">
        <v>46</v>
      </c>
      <c r="F556" s="59">
        <v>15</v>
      </c>
      <c r="G556" s="60" t="s">
        <v>2689</v>
      </c>
      <c r="H556" s="60"/>
      <c r="I556" s="61">
        <v>128</v>
      </c>
      <c r="J556" s="60" t="s">
        <v>2688</v>
      </c>
      <c r="K556" s="60"/>
      <c r="L556" s="60">
        <v>123847658</v>
      </c>
      <c r="M556" s="60"/>
      <c r="N556" s="56" t="str">
        <f>VLOOKUP(B556,歌单!B:C,2,0)</f>
        <v>alin</v>
      </c>
      <c r="O556" s="58">
        <f t="shared" si="8"/>
        <v>1</v>
      </c>
      <c r="P556" s="62" t="str">
        <f>VLOOKUP(B556,歌单!B:E,3,0)</f>
        <v>国语</v>
      </c>
      <c r="Q556" s="58" t="str">
        <f>VLOOKUP(B556,歌单!B:E,4,0)</f>
        <v>流行</v>
      </c>
      <c r="R556" s="62"/>
    </row>
    <row r="557" spans="1:18" ht="15" hidden="1" customHeight="1">
      <c r="A557" s="4" t="s">
        <v>2690</v>
      </c>
      <c r="B557" s="46" t="s">
        <v>2235</v>
      </c>
      <c r="C557" s="46" t="s">
        <v>2236</v>
      </c>
      <c r="D557" s="59"/>
      <c r="E557" s="59">
        <v>0</v>
      </c>
      <c r="F557" s="59">
        <v>0</v>
      </c>
      <c r="G557" s="60" t="s">
        <v>2691</v>
      </c>
      <c r="H557" s="60" t="s">
        <v>2692</v>
      </c>
      <c r="I557" s="61">
        <v>1</v>
      </c>
      <c r="J557" s="60"/>
      <c r="K557" s="60" t="s">
        <v>2693</v>
      </c>
      <c r="L557" s="60">
        <v>6956107</v>
      </c>
      <c r="M557" s="60"/>
      <c r="N557" s="58" t="str">
        <f>VLOOKUP(B557,歌单!B:C,2,0)</f>
        <v>戴佩妮</v>
      </c>
      <c r="O557" s="58">
        <f t="shared" si="8"/>
        <v>0</v>
      </c>
      <c r="P557" s="62" t="str">
        <f>VLOOKUP(B557,歌单!B:E,3,0)</f>
        <v>国语</v>
      </c>
      <c r="Q557" s="58" t="str">
        <f>VLOOKUP(B557,歌单!B:E,4,0)</f>
        <v>流行</v>
      </c>
      <c r="R557" s="62"/>
    </row>
    <row r="558" spans="1:18" ht="15" hidden="1" customHeight="1">
      <c r="A558" s="4" t="s">
        <v>2694</v>
      </c>
      <c r="B558" s="46" t="s">
        <v>2368</v>
      </c>
      <c r="C558" s="46" t="s">
        <v>884</v>
      </c>
      <c r="D558" s="59"/>
      <c r="E558" s="59">
        <v>35</v>
      </c>
      <c r="F558" s="59">
        <v>29</v>
      </c>
      <c r="G558" s="60" t="s">
        <v>2695</v>
      </c>
      <c r="H558" s="60" t="s">
        <v>2696</v>
      </c>
      <c r="I558" s="61">
        <v>17697</v>
      </c>
      <c r="J558" s="60" t="s">
        <v>2697</v>
      </c>
      <c r="K558" s="60" t="s">
        <v>2368</v>
      </c>
      <c r="L558" s="60">
        <v>1465329274</v>
      </c>
      <c r="M558" s="60" t="s">
        <v>704</v>
      </c>
      <c r="N558" s="58" t="str">
        <f>VLOOKUP(B558,歌单!B:C,2,0)</f>
        <v>王心凌</v>
      </c>
      <c r="O558" s="58">
        <f t="shared" si="8"/>
        <v>0</v>
      </c>
      <c r="P558" s="62" t="str">
        <f>VLOOKUP(B558,歌单!B:E,3,0)</f>
        <v>国语</v>
      </c>
      <c r="Q558" s="58" t="str">
        <f>VLOOKUP(B558,歌单!B:E,4,0)</f>
        <v>流行</v>
      </c>
      <c r="R558" s="62"/>
    </row>
    <row r="559" spans="1:18" ht="15" hidden="1" customHeight="1">
      <c r="A559" s="4" t="s">
        <v>2698</v>
      </c>
      <c r="B559" s="46" t="s">
        <v>2699</v>
      </c>
      <c r="C559" s="46" t="s">
        <v>2700</v>
      </c>
      <c r="D559" s="59"/>
      <c r="E559" s="59">
        <v>0</v>
      </c>
      <c r="F559" s="59">
        <v>0</v>
      </c>
      <c r="G559" s="60" t="s">
        <v>2701</v>
      </c>
      <c r="H559" s="60" t="s">
        <v>2702</v>
      </c>
      <c r="I559" s="61">
        <v>1291</v>
      </c>
      <c r="J559" s="60" t="s">
        <v>2703</v>
      </c>
      <c r="K559" s="60" t="s">
        <v>2704</v>
      </c>
      <c r="L559" s="60">
        <v>363930254</v>
      </c>
      <c r="M559" s="60"/>
      <c r="N559" s="58" t="str">
        <f>VLOOKUP(B559,歌单!B:C,2,0)</f>
        <v>飞轮海</v>
      </c>
      <c r="O559" s="58">
        <f t="shared" si="8"/>
        <v>0</v>
      </c>
      <c r="P559" s="62" t="str">
        <f>VLOOKUP(B559,歌单!B:E,3,0)</f>
        <v>国语</v>
      </c>
      <c r="Q559" s="58" t="str">
        <f>VLOOKUP(B559,歌单!B:E,4,0)</f>
        <v>流行</v>
      </c>
      <c r="R559" s="62"/>
    </row>
    <row r="560" spans="1:18" ht="15" customHeight="1">
      <c r="A560" s="4" t="s">
        <v>2705</v>
      </c>
      <c r="B560" s="46" t="s">
        <v>2706</v>
      </c>
      <c r="C560" s="46" t="s">
        <v>2707</v>
      </c>
      <c r="D560" s="59"/>
      <c r="E560" s="59">
        <v>0</v>
      </c>
      <c r="F560" s="59">
        <v>0</v>
      </c>
      <c r="G560" s="60" t="s">
        <v>2708</v>
      </c>
      <c r="H560" s="60"/>
      <c r="I560" s="61">
        <v>0</v>
      </c>
      <c r="J560" s="60"/>
      <c r="K560" s="60" t="s">
        <v>2709</v>
      </c>
      <c r="L560" s="60">
        <v>11467905</v>
      </c>
      <c r="M560" s="60"/>
      <c r="N560" s="58" t="e">
        <f>VLOOKUP(B560,歌单!B:C,2,0)</f>
        <v>#N/A</v>
      </c>
      <c r="O560" s="58">
        <f t="shared" si="8"/>
        <v>1</v>
      </c>
      <c r="P560" s="62" t="s">
        <v>10246</v>
      </c>
      <c r="Q560" s="58" t="s">
        <v>10252</v>
      </c>
      <c r="R560" s="62"/>
    </row>
    <row r="561" spans="1:18" ht="15" hidden="1" customHeight="1">
      <c r="A561" s="4" t="s">
        <v>2710</v>
      </c>
      <c r="B561" s="46" t="s">
        <v>2711</v>
      </c>
      <c r="C561" s="46" t="s">
        <v>478</v>
      </c>
      <c r="D561" s="59"/>
      <c r="E561" s="59">
        <v>0</v>
      </c>
      <c r="F561" s="59">
        <v>0</v>
      </c>
      <c r="G561" s="60" t="s">
        <v>2712</v>
      </c>
      <c r="H561" s="60" t="s">
        <v>2713</v>
      </c>
      <c r="I561" s="61">
        <v>20</v>
      </c>
      <c r="J561" s="60"/>
      <c r="K561" s="60" t="s">
        <v>2714</v>
      </c>
      <c r="L561" s="60">
        <v>8081323</v>
      </c>
      <c r="M561" s="60"/>
      <c r="N561" s="58" t="str">
        <f>VLOOKUP(B561,歌单!B:C,2,0)</f>
        <v>邓丽君</v>
      </c>
      <c r="O561" s="58">
        <f t="shared" si="8"/>
        <v>0</v>
      </c>
      <c r="P561" s="62" t="str">
        <f>VLOOKUP(B561,歌单!B:E,3,0)</f>
        <v>国语</v>
      </c>
      <c r="Q561" s="58" t="str">
        <f>VLOOKUP(B561,歌单!B:E,4,0)</f>
        <v>流行</v>
      </c>
      <c r="R561" s="62"/>
    </row>
    <row r="562" spans="1:18" ht="15" customHeight="1">
      <c r="A562" s="4" t="s">
        <v>2715</v>
      </c>
      <c r="B562" s="46" t="s">
        <v>2716</v>
      </c>
      <c r="C562" s="46" t="s">
        <v>215</v>
      </c>
      <c r="D562" s="59"/>
      <c r="E562" s="59">
        <v>0</v>
      </c>
      <c r="F562" s="59">
        <v>0</v>
      </c>
      <c r="G562" s="67" t="s">
        <v>2717</v>
      </c>
      <c r="H562" s="60" t="s">
        <v>2718</v>
      </c>
      <c r="I562" s="61">
        <v>9</v>
      </c>
      <c r="J562" s="60"/>
      <c r="K562" s="60" t="s">
        <v>2719</v>
      </c>
      <c r="L562" s="60">
        <v>16442640</v>
      </c>
      <c r="M562" s="60"/>
      <c r="N562" s="58" t="e">
        <f>VLOOKUP(B562,歌单!B:C,2,0)</f>
        <v>#N/A</v>
      </c>
      <c r="O562" s="58">
        <f t="shared" si="8"/>
        <v>1</v>
      </c>
      <c r="P562" s="62" t="s">
        <v>10246</v>
      </c>
      <c r="Q562" s="58" t="s">
        <v>10252</v>
      </c>
      <c r="R562" s="62"/>
    </row>
    <row r="563" spans="1:18" ht="15" customHeight="1">
      <c r="A563" s="4" t="s">
        <v>2720</v>
      </c>
      <c r="B563" s="46" t="s">
        <v>2721</v>
      </c>
      <c r="C563" s="46" t="s">
        <v>215</v>
      </c>
      <c r="D563" s="59"/>
      <c r="E563" s="59">
        <v>0</v>
      </c>
      <c r="F563" s="59">
        <v>0</v>
      </c>
      <c r="G563" s="60" t="s">
        <v>2722</v>
      </c>
      <c r="H563" s="60" t="s">
        <v>2723</v>
      </c>
      <c r="I563" s="61">
        <v>62</v>
      </c>
      <c r="J563" s="60"/>
      <c r="K563" s="60" t="s">
        <v>2724</v>
      </c>
      <c r="L563" s="60">
        <v>35288991</v>
      </c>
      <c r="M563" s="60"/>
      <c r="N563" s="58">
        <f>VLOOKUP(B563,歌单!B:C,2,0)</f>
        <v>0</v>
      </c>
      <c r="O563" s="58">
        <f t="shared" si="8"/>
        <v>1</v>
      </c>
      <c r="P563" s="62" t="str">
        <f>VLOOKUP(B563,歌单!B:E,3,0)</f>
        <v>国语</v>
      </c>
      <c r="Q563" s="58" t="str">
        <f>VLOOKUP(B563,歌单!B:E,4,0)</f>
        <v>流行</v>
      </c>
      <c r="R563" s="62"/>
    </row>
    <row r="564" spans="1:18" ht="15" customHeight="1">
      <c r="A564" s="4" t="s">
        <v>2725</v>
      </c>
      <c r="B564" s="46" t="s">
        <v>10258</v>
      </c>
      <c r="C564" s="46" t="s">
        <v>10259</v>
      </c>
      <c r="D564" s="59"/>
      <c r="E564" s="59">
        <v>0</v>
      </c>
      <c r="F564" s="59">
        <v>0</v>
      </c>
      <c r="G564" s="60" t="s">
        <v>2728</v>
      </c>
      <c r="H564" s="60" t="s">
        <v>2729</v>
      </c>
      <c r="I564" s="61">
        <v>0</v>
      </c>
      <c r="J564" s="60"/>
      <c r="K564" s="60" t="s">
        <v>2730</v>
      </c>
      <c r="L564" s="60">
        <v>104686</v>
      </c>
      <c r="M564" s="60"/>
      <c r="N564" s="58" t="e">
        <f>VLOOKUP(B564,歌单!B:C,2,0)</f>
        <v>#N/A</v>
      </c>
      <c r="O564" s="58">
        <f t="shared" si="8"/>
        <v>1</v>
      </c>
      <c r="P564" s="62" t="s">
        <v>10255</v>
      </c>
      <c r="Q564" s="58" t="s">
        <v>10256</v>
      </c>
      <c r="R564" s="62"/>
    </row>
    <row r="565" spans="1:18" ht="15" hidden="1" customHeight="1">
      <c r="A565" s="32" t="s">
        <v>2731</v>
      </c>
      <c r="B565" s="46" t="s">
        <v>2732</v>
      </c>
      <c r="C565" s="46" t="s">
        <v>2733</v>
      </c>
      <c r="D565" s="59"/>
      <c r="E565" s="59">
        <v>0</v>
      </c>
      <c r="F565" s="59">
        <v>0</v>
      </c>
      <c r="G565" s="60" t="s">
        <v>2734</v>
      </c>
      <c r="H565" s="60" t="s">
        <v>2735</v>
      </c>
      <c r="I565" s="61">
        <v>0</v>
      </c>
      <c r="J565" s="60" t="s">
        <v>2736</v>
      </c>
      <c r="K565" s="60" t="s">
        <v>2737</v>
      </c>
      <c r="L565" s="60">
        <v>1695354</v>
      </c>
      <c r="M565" s="60"/>
      <c r="N565" s="56" t="str">
        <f>VLOOKUP(B565,歌单!B:C,2,0)</f>
        <v>周深</v>
      </c>
      <c r="O565" s="58">
        <f t="shared" si="8"/>
        <v>1</v>
      </c>
      <c r="P565" s="62" t="str">
        <f>VLOOKUP(B565,歌单!B:E,3,0)</f>
        <v>国语</v>
      </c>
      <c r="Q565" s="58" t="str">
        <f>VLOOKUP(B565,歌单!B:E,4,0)</f>
        <v>流行</v>
      </c>
      <c r="R565" s="62"/>
    </row>
    <row r="566" spans="1:18" ht="15" hidden="1" customHeight="1">
      <c r="A566" s="4" t="s">
        <v>2738</v>
      </c>
      <c r="B566" s="46" t="s">
        <v>2739</v>
      </c>
      <c r="C566" s="46" t="s">
        <v>238</v>
      </c>
      <c r="D566" s="59"/>
      <c r="E566" s="59">
        <v>0</v>
      </c>
      <c r="F566" s="59">
        <v>0</v>
      </c>
      <c r="G566" s="60" t="s">
        <v>2740</v>
      </c>
      <c r="H566" s="60" t="s">
        <v>2741</v>
      </c>
      <c r="I566" s="61">
        <v>245</v>
      </c>
      <c r="J566" s="60" t="s">
        <v>2742</v>
      </c>
      <c r="K566" s="60" t="s">
        <v>242</v>
      </c>
      <c r="L566" s="60">
        <v>65472016</v>
      </c>
      <c r="M566" s="60"/>
      <c r="N566" s="58" t="str">
        <f>VLOOKUP(B566,歌单!B:C,2,0)</f>
        <v>姚贝娜</v>
      </c>
      <c r="O566" s="58">
        <f t="shared" si="8"/>
        <v>0</v>
      </c>
      <c r="P566" s="62" t="str">
        <f>VLOOKUP(B566,歌单!B:E,3,0)</f>
        <v>国语</v>
      </c>
      <c r="Q566" s="58" t="str">
        <f>VLOOKUP(B566,歌单!B:E,4,0)</f>
        <v>流行</v>
      </c>
      <c r="R566" s="62"/>
    </row>
    <row r="567" spans="1:18" ht="15" hidden="1" customHeight="1">
      <c r="A567" s="32" t="s">
        <v>2743</v>
      </c>
      <c r="B567" s="46" t="s">
        <v>2744</v>
      </c>
      <c r="C567" s="46" t="s">
        <v>2745</v>
      </c>
      <c r="D567" s="59"/>
      <c r="E567" s="59">
        <v>0</v>
      </c>
      <c r="F567" s="59">
        <v>0</v>
      </c>
      <c r="G567" s="67" t="s">
        <v>2746</v>
      </c>
      <c r="H567" s="60" t="s">
        <v>2747</v>
      </c>
      <c r="I567" s="61">
        <v>407</v>
      </c>
      <c r="J567" s="60" t="s">
        <v>2748</v>
      </c>
      <c r="K567" s="60" t="s">
        <v>2749</v>
      </c>
      <c r="L567" s="60">
        <v>145549019</v>
      </c>
      <c r="M567" s="60"/>
      <c r="N567" s="56" t="str">
        <f>VLOOKUP(B567,歌单!B:C,2,0)</f>
        <v>崔子格</v>
      </c>
      <c r="O567" s="58">
        <f t="shared" si="8"/>
        <v>1</v>
      </c>
      <c r="P567" s="62" t="str">
        <f>VLOOKUP(B567,歌单!B:E,3,0)</f>
        <v>国语</v>
      </c>
      <c r="Q567" s="58" t="str">
        <f>VLOOKUP(B567,歌单!B:E,4,0)</f>
        <v>流行</v>
      </c>
      <c r="R567" s="62"/>
    </row>
    <row r="568" spans="1:18" ht="15" hidden="1" customHeight="1">
      <c r="A568" s="32" t="s">
        <v>2750</v>
      </c>
      <c r="B568" s="46" t="s">
        <v>2751</v>
      </c>
      <c r="C568" s="46" t="s">
        <v>2752</v>
      </c>
      <c r="D568" s="59"/>
      <c r="E568" s="59">
        <v>0</v>
      </c>
      <c r="F568" s="59">
        <v>0</v>
      </c>
      <c r="G568" s="60" t="s">
        <v>2753</v>
      </c>
      <c r="H568" s="60" t="s">
        <v>2754</v>
      </c>
      <c r="I568" s="61">
        <v>692</v>
      </c>
      <c r="J568" s="60"/>
      <c r="K568" s="60" t="s">
        <v>2751</v>
      </c>
      <c r="L568" s="60">
        <v>156262941</v>
      </c>
      <c r="M568" s="60"/>
      <c r="N568" s="68" t="str">
        <f>VLOOKUP(B568,歌单!B:C,2,0)</f>
        <v>周深</v>
      </c>
      <c r="O568" s="58">
        <f t="shared" si="8"/>
        <v>1</v>
      </c>
      <c r="P568" s="62" t="str">
        <f>VLOOKUP(B568,歌单!B:E,3,0)</f>
        <v>国语</v>
      </c>
      <c r="Q568" s="58" t="str">
        <f>VLOOKUP(B568,歌单!B:E,4,0)</f>
        <v>流行</v>
      </c>
      <c r="R568" s="62"/>
    </row>
    <row r="569" spans="1:18" ht="15" customHeight="1">
      <c r="A569" s="4" t="s">
        <v>2755</v>
      </c>
      <c r="B569" s="46" t="s">
        <v>2756</v>
      </c>
      <c r="C569" s="46" t="s">
        <v>2757</v>
      </c>
      <c r="D569" s="59"/>
      <c r="E569" s="59">
        <v>0</v>
      </c>
      <c r="F569" s="59">
        <v>0</v>
      </c>
      <c r="G569" s="60" t="s">
        <v>2758</v>
      </c>
      <c r="H569" s="60" t="s">
        <v>2759</v>
      </c>
      <c r="I569" s="61">
        <v>21</v>
      </c>
      <c r="J569" s="60"/>
      <c r="K569" s="60" t="s">
        <v>2760</v>
      </c>
      <c r="L569" s="60">
        <v>6000406</v>
      </c>
      <c r="M569" s="60"/>
      <c r="N569" s="58" t="e">
        <f>VLOOKUP(B569,歌单!B:C,2,0)</f>
        <v>#N/A</v>
      </c>
      <c r="O569" s="58">
        <f t="shared" si="8"/>
        <v>1</v>
      </c>
      <c r="P569" s="62" t="s">
        <v>10246</v>
      </c>
      <c r="Q569" s="58" t="s">
        <v>10252</v>
      </c>
      <c r="R569" s="62"/>
    </row>
    <row r="570" spans="1:18" ht="15" hidden="1" customHeight="1">
      <c r="A570" s="32" t="s">
        <v>2761</v>
      </c>
      <c r="B570" s="46" t="s">
        <v>2762</v>
      </c>
      <c r="C570" s="46" t="s">
        <v>227</v>
      </c>
      <c r="D570" s="59"/>
      <c r="E570" s="59">
        <v>0</v>
      </c>
      <c r="F570" s="59">
        <v>0</v>
      </c>
      <c r="G570" s="60" t="s">
        <v>2763</v>
      </c>
      <c r="H570" s="60" t="s">
        <v>2764</v>
      </c>
      <c r="I570" s="61">
        <v>3</v>
      </c>
      <c r="J570" s="60"/>
      <c r="K570" s="60" t="s">
        <v>2765</v>
      </c>
      <c r="L570" s="60">
        <v>6360920</v>
      </c>
      <c r="M570" s="60"/>
      <c r="N570" s="68" t="str">
        <f>VLOOKUP(B570,歌单!B:C,2,0)</f>
        <v>邓丽君</v>
      </c>
      <c r="O570" s="58">
        <f t="shared" si="8"/>
        <v>1</v>
      </c>
      <c r="P570" s="62" t="str">
        <f>VLOOKUP(B570,歌单!B:E,3,0)</f>
        <v>国语</v>
      </c>
      <c r="Q570" s="58" t="str">
        <f>VLOOKUP(B570,歌单!B:E,4,0)</f>
        <v>流行</v>
      </c>
      <c r="R570" s="62"/>
    </row>
    <row r="571" spans="1:18" ht="15" hidden="1" customHeight="1">
      <c r="A571" s="4" t="s">
        <v>2766</v>
      </c>
      <c r="B571" s="46" t="s">
        <v>2767</v>
      </c>
      <c r="C571" s="46" t="s">
        <v>1274</v>
      </c>
      <c r="D571" s="59"/>
      <c r="E571" s="59">
        <v>0</v>
      </c>
      <c r="F571" s="59">
        <v>0</v>
      </c>
      <c r="G571" s="60" t="s">
        <v>2768</v>
      </c>
      <c r="H571" s="60" t="s">
        <v>2769</v>
      </c>
      <c r="I571" s="61">
        <v>386</v>
      </c>
      <c r="J571" s="60"/>
      <c r="K571" s="60" t="s">
        <v>2770</v>
      </c>
      <c r="L571" s="60">
        <v>235303544</v>
      </c>
      <c r="M571" s="60"/>
      <c r="N571" s="58" t="str">
        <f>VLOOKUP(B571,歌单!B:C,2,0)</f>
        <v>莫文蔚</v>
      </c>
      <c r="O571" s="58">
        <f t="shared" si="8"/>
        <v>0</v>
      </c>
      <c r="P571" s="62" t="str">
        <f>VLOOKUP(B571,歌单!B:E,3,0)</f>
        <v>国语</v>
      </c>
      <c r="Q571" s="58" t="str">
        <f>VLOOKUP(B571,歌单!B:E,4,0)</f>
        <v>流行</v>
      </c>
      <c r="R571" s="62"/>
    </row>
    <row r="572" spans="1:18" ht="15" customHeight="1">
      <c r="A572" s="4" t="s">
        <v>2771</v>
      </c>
      <c r="B572" s="46" t="s">
        <v>1949</v>
      </c>
      <c r="C572" s="46" t="s">
        <v>1950</v>
      </c>
      <c r="D572" s="59"/>
      <c r="E572" s="59">
        <v>0</v>
      </c>
      <c r="F572" s="59">
        <v>0</v>
      </c>
      <c r="G572" s="60" t="s">
        <v>2772</v>
      </c>
      <c r="H572" s="60" t="s">
        <v>2773</v>
      </c>
      <c r="I572" s="61">
        <v>273</v>
      </c>
      <c r="J572" s="60" t="s">
        <v>2774</v>
      </c>
      <c r="K572" s="60" t="s">
        <v>2775</v>
      </c>
      <c r="L572" s="60">
        <v>46216626</v>
      </c>
      <c r="M572" s="60"/>
      <c r="N572" s="58">
        <f>VLOOKUP(B572,歌单!B:C,2,0)</f>
        <v>0</v>
      </c>
      <c r="O572" s="58">
        <f t="shared" si="8"/>
        <v>1</v>
      </c>
      <c r="P572" s="62" t="str">
        <f>VLOOKUP(B572,歌单!B:E,3,0)</f>
        <v>国语</v>
      </c>
      <c r="Q572" s="58" t="str">
        <f>VLOOKUP(B572,歌单!B:E,4,0)</f>
        <v>民谣</v>
      </c>
      <c r="R572" s="62"/>
    </row>
    <row r="573" spans="1:18" ht="15" hidden="1" customHeight="1">
      <c r="A573" s="4" t="s">
        <v>2776</v>
      </c>
      <c r="B573" s="46" t="s">
        <v>2777</v>
      </c>
      <c r="C573" s="46" t="s">
        <v>265</v>
      </c>
      <c r="D573" s="59"/>
      <c r="E573" s="59">
        <v>0</v>
      </c>
      <c r="F573" s="59">
        <v>0</v>
      </c>
      <c r="G573" s="60" t="s">
        <v>2778</v>
      </c>
      <c r="H573" s="60" t="s">
        <v>2779</v>
      </c>
      <c r="I573" s="61">
        <v>9</v>
      </c>
      <c r="J573" s="60"/>
      <c r="K573" s="60"/>
      <c r="L573" s="60">
        <v>5379194</v>
      </c>
      <c r="M573" s="60"/>
      <c r="N573" s="58" t="str">
        <f>VLOOKUP(B573,歌单!B:C,2,0)</f>
        <v>蔡依林</v>
      </c>
      <c r="O573" s="58">
        <f t="shared" si="8"/>
        <v>0</v>
      </c>
      <c r="P573" s="62" t="str">
        <f>VLOOKUP(B573,歌单!B:E,3,0)</f>
        <v>国语</v>
      </c>
      <c r="Q573" s="58" t="str">
        <f>VLOOKUP(B573,歌单!B:E,4,0)</f>
        <v>流行</v>
      </c>
      <c r="R573" s="62"/>
    </row>
    <row r="574" spans="1:18" ht="15" hidden="1" customHeight="1">
      <c r="A574" s="4" t="s">
        <v>2780</v>
      </c>
      <c r="B574" s="46" t="s">
        <v>2781</v>
      </c>
      <c r="C574" s="46" t="s">
        <v>265</v>
      </c>
      <c r="D574" s="59"/>
      <c r="E574" s="59">
        <v>0</v>
      </c>
      <c r="F574" s="59">
        <v>0</v>
      </c>
      <c r="G574" s="60" t="s">
        <v>2782</v>
      </c>
      <c r="H574" s="60" t="s">
        <v>2783</v>
      </c>
      <c r="I574" s="61">
        <v>1569</v>
      </c>
      <c r="J574" s="60"/>
      <c r="K574" s="60" t="s">
        <v>2784</v>
      </c>
      <c r="L574" s="60">
        <v>385518187</v>
      </c>
      <c r="M574" s="60"/>
      <c r="N574" s="58" t="str">
        <f>VLOOKUP(B574,歌单!B:C,2,0)</f>
        <v>蔡依林</v>
      </c>
      <c r="O574" s="58">
        <f t="shared" si="8"/>
        <v>0</v>
      </c>
      <c r="P574" s="62" t="str">
        <f>VLOOKUP(B574,歌单!B:E,3,0)</f>
        <v>国语</v>
      </c>
      <c r="Q574" s="58" t="str">
        <f>VLOOKUP(B574,歌单!B:E,4,0)</f>
        <v>流行</v>
      </c>
      <c r="R574" s="62"/>
    </row>
    <row r="575" spans="1:18" ht="15" hidden="1" customHeight="1">
      <c r="A575" s="4" t="s">
        <v>2785</v>
      </c>
      <c r="B575" s="46" t="s">
        <v>1235</v>
      </c>
      <c r="C575" s="46" t="s">
        <v>2786</v>
      </c>
      <c r="D575" s="59"/>
      <c r="E575" s="59">
        <v>0</v>
      </c>
      <c r="F575" s="59">
        <v>0</v>
      </c>
      <c r="G575" s="67" t="s">
        <v>2787</v>
      </c>
      <c r="H575" s="67" t="s">
        <v>2788</v>
      </c>
      <c r="I575" s="61">
        <v>16530</v>
      </c>
      <c r="J575" s="60"/>
      <c r="K575" s="60" t="s">
        <v>1235</v>
      </c>
      <c r="L575" s="60">
        <v>2168365576</v>
      </c>
      <c r="M575" s="60" t="s">
        <v>2789</v>
      </c>
      <c r="N575" s="58" t="str">
        <f>VLOOKUP(B575,歌单!B:C,2,0)</f>
        <v>队长</v>
      </c>
      <c r="O575" s="58">
        <f t="shared" si="8"/>
        <v>0</v>
      </c>
      <c r="P575" s="62" t="str">
        <f>VLOOKUP(B575,歌单!B:E,3,0)</f>
        <v>国语</v>
      </c>
      <c r="Q575" s="58" t="str">
        <f>VLOOKUP(B575,歌单!B:E,4,0)</f>
        <v>流行</v>
      </c>
      <c r="R575" s="62"/>
    </row>
    <row r="576" spans="1:18" ht="15" customHeight="1">
      <c r="A576" s="4" t="s">
        <v>2790</v>
      </c>
      <c r="B576" s="46" t="s">
        <v>2791</v>
      </c>
      <c r="C576" s="46" t="s">
        <v>2792</v>
      </c>
      <c r="D576" s="59"/>
      <c r="E576" s="59">
        <v>0</v>
      </c>
      <c r="F576" s="59">
        <v>0</v>
      </c>
      <c r="G576" s="60" t="s">
        <v>2793</v>
      </c>
      <c r="H576" s="60" t="s">
        <v>2794</v>
      </c>
      <c r="I576" s="61">
        <v>4</v>
      </c>
      <c r="J576" s="60"/>
      <c r="K576" s="60" t="s">
        <v>2795</v>
      </c>
      <c r="L576" s="60">
        <v>931440</v>
      </c>
      <c r="M576" s="60"/>
      <c r="N576" s="58">
        <f>VLOOKUP(B576,歌单!B:C,2,0)</f>
        <v>0</v>
      </c>
      <c r="O576" s="58">
        <f t="shared" si="8"/>
        <v>1</v>
      </c>
      <c r="P576" s="62" t="str">
        <f>VLOOKUP(B576,歌单!B:E,3,0)</f>
        <v>英语</v>
      </c>
      <c r="Q576" s="58" t="str">
        <f>VLOOKUP(B576,歌单!B:E,4,0)</f>
        <v>流行</v>
      </c>
      <c r="R576" s="62"/>
    </row>
    <row r="577" spans="1:18" ht="15" customHeight="1">
      <c r="A577" s="4" t="s">
        <v>2796</v>
      </c>
      <c r="B577" s="46" t="s">
        <v>2797</v>
      </c>
      <c r="C577" s="46" t="s">
        <v>2798</v>
      </c>
      <c r="D577" s="59"/>
      <c r="E577" s="59">
        <v>0</v>
      </c>
      <c r="F577" s="59">
        <v>0</v>
      </c>
      <c r="G577" s="60" t="s">
        <v>2799</v>
      </c>
      <c r="H577" s="60" t="s">
        <v>2800</v>
      </c>
      <c r="I577" s="61">
        <v>10</v>
      </c>
      <c r="J577" s="60"/>
      <c r="K577" s="60" t="s">
        <v>2801</v>
      </c>
      <c r="L577" s="60">
        <v>1731390</v>
      </c>
      <c r="M577" s="60"/>
      <c r="N577" s="58" t="e">
        <f>VLOOKUP(B577,歌单!B:C,2,0)</f>
        <v>#N/A</v>
      </c>
      <c r="O577" s="58">
        <f t="shared" ref="O577:O640" si="9">_xlfn.IFNA(IF(IFERROR(SEARCH(N577,C577),0)&gt;0,0,1),0)</f>
        <v>1</v>
      </c>
      <c r="P577" s="62" t="s">
        <v>10246</v>
      </c>
      <c r="Q577" s="58" t="s">
        <v>10252</v>
      </c>
      <c r="R577" s="62"/>
    </row>
    <row r="578" spans="1:18" ht="15" customHeight="1">
      <c r="A578" s="4" t="s">
        <v>2802</v>
      </c>
      <c r="B578" s="46" t="s">
        <v>2803</v>
      </c>
      <c r="C578" s="46" t="s">
        <v>650</v>
      </c>
      <c r="D578" s="59"/>
      <c r="E578" s="59">
        <v>0</v>
      </c>
      <c r="F578" s="59">
        <v>0</v>
      </c>
      <c r="G578" s="60" t="s">
        <v>2804</v>
      </c>
      <c r="H578" s="60" t="s">
        <v>2805</v>
      </c>
      <c r="I578" s="61">
        <v>335</v>
      </c>
      <c r="J578" s="60" t="s">
        <v>2806</v>
      </c>
      <c r="K578" s="60" t="s">
        <v>2807</v>
      </c>
      <c r="L578" s="60">
        <v>120843470</v>
      </c>
      <c r="M578" s="60"/>
      <c r="N578" s="58" t="e">
        <f>VLOOKUP(B578,歌单!B:C,2,0)</f>
        <v>#N/A</v>
      </c>
      <c r="O578" s="58">
        <f t="shared" si="9"/>
        <v>1</v>
      </c>
      <c r="P578" s="62" t="s">
        <v>10246</v>
      </c>
      <c r="Q578" s="58" t="s">
        <v>10252</v>
      </c>
      <c r="R578" s="62"/>
    </row>
    <row r="579" spans="1:18" ht="15" customHeight="1">
      <c r="A579" s="4" t="s">
        <v>2808</v>
      </c>
      <c r="B579" s="46" t="s">
        <v>2809</v>
      </c>
      <c r="C579" s="46" t="s">
        <v>721</v>
      </c>
      <c r="D579" s="59"/>
      <c r="E579" s="59">
        <v>733</v>
      </c>
      <c r="F579" s="59">
        <v>143</v>
      </c>
      <c r="G579" s="60" t="s">
        <v>2810</v>
      </c>
      <c r="H579" s="60" t="s">
        <v>2811</v>
      </c>
      <c r="I579" s="61">
        <v>132</v>
      </c>
      <c r="J579" s="60"/>
      <c r="K579" s="60" t="s">
        <v>2812</v>
      </c>
      <c r="L579" s="60">
        <v>124838940</v>
      </c>
      <c r="M579" s="60"/>
      <c r="N579" s="58" t="e">
        <f>VLOOKUP(B579,歌单!B:C,2,0)</f>
        <v>#N/A</v>
      </c>
      <c r="O579" s="58">
        <f t="shared" si="9"/>
        <v>1</v>
      </c>
      <c r="P579" s="62" t="s">
        <v>10246</v>
      </c>
      <c r="Q579" s="58" t="s">
        <v>10252</v>
      </c>
      <c r="R579" s="62"/>
    </row>
    <row r="580" spans="1:18" ht="15" hidden="1" customHeight="1">
      <c r="A580" s="4" t="s">
        <v>2813</v>
      </c>
      <c r="B580" s="46" t="s">
        <v>2814</v>
      </c>
      <c r="C580" s="46" t="s">
        <v>2272</v>
      </c>
      <c r="D580" s="59"/>
      <c r="E580" s="59">
        <v>0</v>
      </c>
      <c r="F580" s="59">
        <v>0</v>
      </c>
      <c r="G580" s="60" t="s">
        <v>2815</v>
      </c>
      <c r="H580" s="60" t="s">
        <v>2816</v>
      </c>
      <c r="I580" s="61">
        <v>24</v>
      </c>
      <c r="J580" s="60"/>
      <c r="K580" s="60" t="s">
        <v>2817</v>
      </c>
      <c r="L580" s="60">
        <v>16479947</v>
      </c>
      <c r="M580" s="60"/>
      <c r="N580" s="58" t="str">
        <f>VLOOKUP(B580,歌单!B:C,2,0)</f>
        <v>黄丽玲A-Lin</v>
      </c>
      <c r="O580" s="58">
        <f t="shared" si="9"/>
        <v>1</v>
      </c>
      <c r="P580" s="62" t="str">
        <f>VLOOKUP(B580,歌单!B:E,3,0)</f>
        <v>国语</v>
      </c>
      <c r="Q580" s="58" t="str">
        <f>VLOOKUP(B580,歌单!B:E,4,0)</f>
        <v>流行</v>
      </c>
      <c r="R580" s="62"/>
    </row>
    <row r="581" spans="1:18" ht="15" customHeight="1">
      <c r="A581" s="4" t="s">
        <v>2818</v>
      </c>
      <c r="B581" s="46" t="s">
        <v>2819</v>
      </c>
      <c r="C581" s="46" t="s">
        <v>2820</v>
      </c>
      <c r="D581" s="59"/>
      <c r="E581" s="59">
        <v>0</v>
      </c>
      <c r="F581" s="59">
        <v>0</v>
      </c>
      <c r="G581" s="60" t="s">
        <v>2821</v>
      </c>
      <c r="H581" s="60" t="s">
        <v>2822</v>
      </c>
      <c r="I581" s="61">
        <v>17</v>
      </c>
      <c r="J581" s="60"/>
      <c r="K581" s="60" t="s">
        <v>2823</v>
      </c>
      <c r="L581" s="60">
        <v>2181437</v>
      </c>
      <c r="M581" s="60"/>
      <c r="N581" s="58" t="e">
        <f>VLOOKUP(B581,歌单!B:C,2,0)</f>
        <v>#N/A</v>
      </c>
      <c r="O581" s="58">
        <f t="shared" si="9"/>
        <v>1</v>
      </c>
      <c r="P581" s="62" t="s">
        <v>10246</v>
      </c>
      <c r="Q581" s="58" t="s">
        <v>10252</v>
      </c>
      <c r="R581" s="62"/>
    </row>
    <row r="582" spans="1:18" ht="15" customHeight="1">
      <c r="A582" s="4" t="s">
        <v>2824</v>
      </c>
      <c r="B582" s="46" t="s">
        <v>2825</v>
      </c>
      <c r="C582" s="46" t="s">
        <v>493</v>
      </c>
      <c r="D582" s="59"/>
      <c r="E582" s="59">
        <v>22741</v>
      </c>
      <c r="F582" s="59">
        <v>4681</v>
      </c>
      <c r="G582" s="60" t="s">
        <v>2826</v>
      </c>
      <c r="H582" s="60"/>
      <c r="I582" s="61">
        <v>518</v>
      </c>
      <c r="J582" s="60" t="s">
        <v>2825</v>
      </c>
      <c r="K582" s="60" t="s">
        <v>2825</v>
      </c>
      <c r="L582" s="60">
        <v>179916692</v>
      </c>
      <c r="M582" s="60" t="s">
        <v>1224</v>
      </c>
      <c r="N582" s="58" t="e">
        <f>VLOOKUP(B582,歌单!B:C,2,0)</f>
        <v>#N/A</v>
      </c>
      <c r="O582" s="58">
        <f t="shared" si="9"/>
        <v>1</v>
      </c>
      <c r="P582" s="62" t="s">
        <v>10246</v>
      </c>
      <c r="Q582" s="58" t="s">
        <v>10252</v>
      </c>
      <c r="R582" s="62"/>
    </row>
    <row r="583" spans="1:18" ht="15" hidden="1" customHeight="1">
      <c r="A583" s="4" t="s">
        <v>2827</v>
      </c>
      <c r="B583" s="46" t="s">
        <v>2828</v>
      </c>
      <c r="C583" s="46" t="s">
        <v>434</v>
      </c>
      <c r="D583" s="59"/>
      <c r="E583" s="59">
        <v>0</v>
      </c>
      <c r="F583" s="59">
        <v>0</v>
      </c>
      <c r="G583" s="60" t="s">
        <v>2829</v>
      </c>
      <c r="H583" s="60" t="s">
        <v>2830</v>
      </c>
      <c r="I583" s="61">
        <v>83</v>
      </c>
      <c r="J583" s="60"/>
      <c r="K583" s="60"/>
      <c r="L583" s="60">
        <v>39935600</v>
      </c>
      <c r="M583" s="60"/>
      <c r="N583" s="58" t="str">
        <f>VLOOKUP(B583,歌单!B:C,2,0)</f>
        <v>陈洁仪</v>
      </c>
      <c r="O583" s="58">
        <f t="shared" si="9"/>
        <v>0</v>
      </c>
      <c r="P583" s="62" t="str">
        <f>VLOOKUP(B583,歌单!B:E,3,0)</f>
        <v>国语</v>
      </c>
      <c r="Q583" s="58" t="str">
        <f>VLOOKUP(B583,歌单!B:E,4,0)</f>
        <v>流行</v>
      </c>
      <c r="R583" s="62"/>
    </row>
    <row r="584" spans="1:18" ht="15" customHeight="1">
      <c r="A584" s="4" t="s">
        <v>2831</v>
      </c>
      <c r="B584" s="46" t="s">
        <v>2832</v>
      </c>
      <c r="C584" s="46" t="s">
        <v>2833</v>
      </c>
      <c r="D584" s="59"/>
      <c r="E584" s="59">
        <v>0</v>
      </c>
      <c r="F584" s="59">
        <v>0</v>
      </c>
      <c r="G584" s="60" t="s">
        <v>2834</v>
      </c>
      <c r="H584" s="60" t="s">
        <v>2835</v>
      </c>
      <c r="I584" s="61">
        <v>1016</v>
      </c>
      <c r="J584" s="60"/>
      <c r="K584" s="60" t="s">
        <v>2836</v>
      </c>
      <c r="L584" s="60">
        <v>69264377</v>
      </c>
      <c r="M584" s="60"/>
      <c r="N584" s="58">
        <f>VLOOKUP(B584,歌单!B:C,2,0)</f>
        <v>0</v>
      </c>
      <c r="O584" s="58">
        <f t="shared" si="9"/>
        <v>1</v>
      </c>
      <c r="P584" s="62" t="str">
        <f>VLOOKUP(B584,歌单!B:E,3,0)</f>
        <v>英语</v>
      </c>
      <c r="Q584" s="58" t="str">
        <f>VLOOKUP(B584,歌单!B:E,4,0)</f>
        <v>流行</v>
      </c>
      <c r="R584" s="62"/>
    </row>
    <row r="585" spans="1:18" ht="15" hidden="1" customHeight="1">
      <c r="A585" s="4" t="s">
        <v>2837</v>
      </c>
      <c r="B585" s="46" t="s">
        <v>2838</v>
      </c>
      <c r="C585" s="46" t="s">
        <v>541</v>
      </c>
      <c r="D585" s="59"/>
      <c r="E585" s="59">
        <v>0</v>
      </c>
      <c r="F585" s="59">
        <v>0</v>
      </c>
      <c r="G585" s="60" t="s">
        <v>2839</v>
      </c>
      <c r="H585" s="60" t="s">
        <v>2840</v>
      </c>
      <c r="I585" s="61">
        <v>218</v>
      </c>
      <c r="J585" s="60"/>
      <c r="K585" s="60" t="s">
        <v>2841</v>
      </c>
      <c r="L585" s="60">
        <v>135606370</v>
      </c>
      <c r="M585" s="60"/>
      <c r="N585" s="58" t="str">
        <f>VLOOKUP(B585,歌单!B:C,2,0)</f>
        <v>张惠妹</v>
      </c>
      <c r="O585" s="58">
        <f t="shared" si="9"/>
        <v>0</v>
      </c>
      <c r="P585" s="62" t="str">
        <f>VLOOKUP(B585,歌单!B:E,3,0)</f>
        <v>国语</v>
      </c>
      <c r="Q585" s="58" t="str">
        <f>VLOOKUP(B585,歌单!B:E,4,0)</f>
        <v>流行</v>
      </c>
      <c r="R585" s="62"/>
    </row>
    <row r="586" spans="1:18" ht="15" customHeight="1">
      <c r="A586" s="4" t="s">
        <v>2842</v>
      </c>
      <c r="B586" s="46" t="s">
        <v>2843</v>
      </c>
      <c r="C586" s="46" t="s">
        <v>131</v>
      </c>
      <c r="D586" s="59"/>
      <c r="E586" s="59">
        <v>0</v>
      </c>
      <c r="F586" s="59">
        <v>0</v>
      </c>
      <c r="G586" s="60" t="s">
        <v>2844</v>
      </c>
      <c r="H586" s="60" t="s">
        <v>2845</v>
      </c>
      <c r="I586" s="61">
        <v>0</v>
      </c>
      <c r="J586" s="60"/>
      <c r="K586" s="60" t="s">
        <v>2846</v>
      </c>
      <c r="L586" s="60">
        <v>1919723</v>
      </c>
      <c r="M586" s="60"/>
      <c r="N586" s="58" t="e">
        <f>VLOOKUP(B586,歌单!B:C,2,0)</f>
        <v>#N/A</v>
      </c>
      <c r="O586" s="58">
        <f t="shared" si="9"/>
        <v>1</v>
      </c>
      <c r="P586" s="62" t="s">
        <v>10246</v>
      </c>
      <c r="Q586" s="58" t="s">
        <v>10252</v>
      </c>
      <c r="R586" s="62"/>
    </row>
    <row r="587" spans="1:18" ht="15" customHeight="1">
      <c r="A587" s="4" t="s">
        <v>2847</v>
      </c>
      <c r="B587" s="46" t="s">
        <v>2848</v>
      </c>
      <c r="C587" s="46" t="s">
        <v>2849</v>
      </c>
      <c r="D587" s="59"/>
      <c r="E587" s="59">
        <v>0</v>
      </c>
      <c r="F587" s="59">
        <v>0</v>
      </c>
      <c r="G587" s="60" t="s">
        <v>2850</v>
      </c>
      <c r="H587" s="60" t="s">
        <v>2851</v>
      </c>
      <c r="I587" s="61">
        <v>0</v>
      </c>
      <c r="J587" s="60"/>
      <c r="K587" s="60" t="s">
        <v>2848</v>
      </c>
      <c r="L587" s="60">
        <v>46506</v>
      </c>
      <c r="M587" s="60"/>
      <c r="N587" s="58" t="e">
        <f>VLOOKUP(B587,歌单!B:C,2,0)</f>
        <v>#N/A</v>
      </c>
      <c r="O587" s="58">
        <f t="shared" si="9"/>
        <v>1</v>
      </c>
      <c r="P587" s="62" t="s">
        <v>10246</v>
      </c>
      <c r="Q587" s="58" t="s">
        <v>10252</v>
      </c>
      <c r="R587" s="62"/>
    </row>
    <row r="588" spans="1:18" ht="15" customHeight="1">
      <c r="A588" s="4" t="s">
        <v>2852</v>
      </c>
      <c r="B588" s="46" t="s">
        <v>2853</v>
      </c>
      <c r="C588" s="46" t="s">
        <v>227</v>
      </c>
      <c r="D588" s="59"/>
      <c r="E588" s="59">
        <v>0</v>
      </c>
      <c r="F588" s="59">
        <v>0</v>
      </c>
      <c r="G588" s="60" t="s">
        <v>2854</v>
      </c>
      <c r="H588" s="60" t="s">
        <v>2855</v>
      </c>
      <c r="I588" s="61">
        <v>14</v>
      </c>
      <c r="J588" s="60" t="s">
        <v>2856</v>
      </c>
      <c r="K588" s="60" t="s">
        <v>2857</v>
      </c>
      <c r="L588" s="60">
        <v>10421588</v>
      </c>
      <c r="M588" s="60"/>
      <c r="N588" s="58" t="e">
        <f>VLOOKUP(B588,歌单!B:C,2,0)</f>
        <v>#N/A</v>
      </c>
      <c r="O588" s="58">
        <f t="shared" si="9"/>
        <v>1</v>
      </c>
      <c r="P588" s="62" t="s">
        <v>10246</v>
      </c>
      <c r="Q588" s="58" t="s">
        <v>10252</v>
      </c>
      <c r="R588" s="62"/>
    </row>
    <row r="589" spans="1:18" ht="15" hidden="1" customHeight="1">
      <c r="A589" s="32" t="s">
        <v>2858</v>
      </c>
      <c r="B589" s="46" t="s">
        <v>2859</v>
      </c>
      <c r="C589" s="46" t="s">
        <v>2860</v>
      </c>
      <c r="D589" s="59"/>
      <c r="E589" s="59">
        <v>0</v>
      </c>
      <c r="F589" s="59">
        <v>0</v>
      </c>
      <c r="G589" s="60" t="s">
        <v>2861</v>
      </c>
      <c r="H589" s="60" t="s">
        <v>2862</v>
      </c>
      <c r="I589" s="61">
        <v>274</v>
      </c>
      <c r="J589" s="60" t="s">
        <v>2863</v>
      </c>
      <c r="K589" s="60" t="s">
        <v>2864</v>
      </c>
      <c r="L589" s="60">
        <v>106409525</v>
      </c>
      <c r="M589" s="60"/>
      <c r="N589" s="56" t="str">
        <f>VLOOKUP(B589,歌单!B:C,2,0)</f>
        <v>王欣宇</v>
      </c>
      <c r="O589" s="58">
        <f t="shared" si="9"/>
        <v>1</v>
      </c>
      <c r="P589" s="62" t="str">
        <f>VLOOKUP(B589,歌单!B:E,3,0)</f>
        <v>国语</v>
      </c>
      <c r="Q589" s="58" t="str">
        <f>VLOOKUP(B589,歌单!B:E,4,0)</f>
        <v>流行</v>
      </c>
      <c r="R589" s="62"/>
    </row>
    <row r="590" spans="1:18" ht="15" hidden="1" customHeight="1">
      <c r="A590" s="4" t="s">
        <v>2865</v>
      </c>
      <c r="B590" s="46" t="s">
        <v>2866</v>
      </c>
      <c r="C590" s="46" t="s">
        <v>2867</v>
      </c>
      <c r="D590" s="59"/>
      <c r="E590" s="59">
        <v>0</v>
      </c>
      <c r="F590" s="59">
        <v>0</v>
      </c>
      <c r="G590" s="60" t="s">
        <v>2868</v>
      </c>
      <c r="H590" s="60" t="s">
        <v>2869</v>
      </c>
      <c r="I590" s="61">
        <v>2536</v>
      </c>
      <c r="J590" s="60" t="s">
        <v>2870</v>
      </c>
      <c r="K590" s="60" t="s">
        <v>2871</v>
      </c>
      <c r="L590" s="60">
        <v>692439138</v>
      </c>
      <c r="M590" s="60" t="s">
        <v>431</v>
      </c>
      <c r="N590" s="58" t="str">
        <f>VLOOKUP(B590,歌单!B:C,2,0)</f>
        <v>王蓝茵</v>
      </c>
      <c r="O590" s="58">
        <f t="shared" si="9"/>
        <v>0</v>
      </c>
      <c r="P590" s="62" t="str">
        <f>VLOOKUP(B590,歌单!B:E,3,0)</f>
        <v>国语</v>
      </c>
      <c r="Q590" s="58" t="str">
        <f>VLOOKUP(B590,歌单!B:E,4,0)</f>
        <v>流行</v>
      </c>
      <c r="R590" s="62"/>
    </row>
    <row r="591" spans="1:18" ht="15" hidden="1" customHeight="1">
      <c r="A591" s="4" t="s">
        <v>2872</v>
      </c>
      <c r="B591" s="46" t="s">
        <v>2873</v>
      </c>
      <c r="C591" s="46" t="s">
        <v>2874</v>
      </c>
      <c r="D591" s="59"/>
      <c r="E591" s="59">
        <v>48</v>
      </c>
      <c r="F591" s="59">
        <v>14</v>
      </c>
      <c r="G591" s="60" t="s">
        <v>2875</v>
      </c>
      <c r="H591" s="60" t="s">
        <v>2876</v>
      </c>
      <c r="I591" s="61">
        <v>160</v>
      </c>
      <c r="J591" s="60" t="s">
        <v>2877</v>
      </c>
      <c r="K591" s="60" t="s">
        <v>1287</v>
      </c>
      <c r="L591" s="60">
        <v>198418847</v>
      </c>
      <c r="M591" s="60"/>
      <c r="N591" s="58" t="str">
        <f>VLOOKUP(B591,歌单!B:C,2,0)</f>
        <v>林俊杰</v>
      </c>
      <c r="O591" s="58">
        <f t="shared" si="9"/>
        <v>0</v>
      </c>
      <c r="P591" s="62" t="str">
        <f>VLOOKUP(B591,歌单!B:E,3,0)</f>
        <v>国语</v>
      </c>
      <c r="Q591" s="58" t="str">
        <f>VLOOKUP(B591,歌单!B:E,4,0)</f>
        <v>流行</v>
      </c>
      <c r="R591" s="62"/>
    </row>
    <row r="592" spans="1:18" ht="15" customHeight="1">
      <c r="A592" s="4" t="s">
        <v>2878</v>
      </c>
      <c r="B592" s="46" t="s">
        <v>2879</v>
      </c>
      <c r="C592" s="46" t="s">
        <v>395</v>
      </c>
      <c r="D592" s="59"/>
      <c r="E592" s="59">
        <v>0</v>
      </c>
      <c r="F592" s="59">
        <v>0</v>
      </c>
      <c r="G592" s="60" t="s">
        <v>2880</v>
      </c>
      <c r="H592" s="60" t="s">
        <v>2881</v>
      </c>
      <c r="I592" s="61">
        <v>258</v>
      </c>
      <c r="J592" s="60"/>
      <c r="K592" s="60" t="s">
        <v>2882</v>
      </c>
      <c r="L592" s="60">
        <v>81450082</v>
      </c>
      <c r="M592" s="60"/>
      <c r="N592" s="58">
        <f>VLOOKUP(B592,歌单!B:C,2,0)</f>
        <v>0</v>
      </c>
      <c r="O592" s="58">
        <f t="shared" si="9"/>
        <v>1</v>
      </c>
      <c r="P592" s="62" t="str">
        <f>VLOOKUP(B592,歌单!B:E,3,0)</f>
        <v>国语</v>
      </c>
      <c r="Q592" s="58" t="str">
        <f>VLOOKUP(B592,歌单!B:E,4,0)</f>
        <v>流行</v>
      </c>
      <c r="R592" s="62"/>
    </row>
    <row r="593" spans="1:18" ht="15" customHeight="1">
      <c r="A593" s="4" t="s">
        <v>2883</v>
      </c>
      <c r="B593" s="46" t="s">
        <v>2884</v>
      </c>
      <c r="C593" s="46" t="s">
        <v>776</v>
      </c>
      <c r="D593" s="59"/>
      <c r="E593" s="59">
        <v>0</v>
      </c>
      <c r="F593" s="59">
        <v>0</v>
      </c>
      <c r="G593" s="60" t="s">
        <v>2885</v>
      </c>
      <c r="H593" s="60" t="s">
        <v>2886</v>
      </c>
      <c r="I593" s="61">
        <v>74</v>
      </c>
      <c r="J593" s="60" t="s">
        <v>2887</v>
      </c>
      <c r="K593" s="60" t="s">
        <v>2888</v>
      </c>
      <c r="L593" s="60">
        <v>55072286</v>
      </c>
      <c r="M593" s="60"/>
      <c r="N593" s="58" t="e">
        <f>VLOOKUP(B593,歌单!B:C,2,0)</f>
        <v>#N/A</v>
      </c>
      <c r="O593" s="58">
        <f t="shared" si="9"/>
        <v>1</v>
      </c>
      <c r="P593" s="62" t="s">
        <v>10246</v>
      </c>
      <c r="Q593" s="58" t="s">
        <v>10252</v>
      </c>
      <c r="R593" s="62"/>
    </row>
    <row r="594" spans="1:18" ht="15" hidden="1" customHeight="1">
      <c r="A594" s="4" t="s">
        <v>2889</v>
      </c>
      <c r="B594" s="46" t="s">
        <v>2890</v>
      </c>
      <c r="C594" s="46" t="s">
        <v>776</v>
      </c>
      <c r="D594" s="59"/>
      <c r="E594" s="59">
        <v>0</v>
      </c>
      <c r="F594" s="59">
        <v>0</v>
      </c>
      <c r="G594" s="60" t="s">
        <v>2891</v>
      </c>
      <c r="H594" s="60" t="s">
        <v>2892</v>
      </c>
      <c r="I594" s="61">
        <v>198</v>
      </c>
      <c r="J594" s="60"/>
      <c r="K594" s="60" t="s">
        <v>2893</v>
      </c>
      <c r="L594" s="60">
        <v>57820423</v>
      </c>
      <c r="M594" s="60"/>
      <c r="N594" s="58" t="str">
        <f>VLOOKUP(B594,歌单!B:C,2,0)</f>
        <v>张靓颖</v>
      </c>
      <c r="O594" s="58">
        <f t="shared" si="9"/>
        <v>0</v>
      </c>
      <c r="P594" s="62" t="str">
        <f>VLOOKUP(B594,歌单!B:E,3,0)</f>
        <v>国语</v>
      </c>
      <c r="Q594" s="58" t="str">
        <f>VLOOKUP(B594,歌单!B:E,4,0)</f>
        <v>流行</v>
      </c>
      <c r="R594" s="62"/>
    </row>
    <row r="595" spans="1:18" ht="15" hidden="1" customHeight="1">
      <c r="A595" s="32" t="s">
        <v>2894</v>
      </c>
      <c r="B595" s="46" t="s">
        <v>1388</v>
      </c>
      <c r="C595" s="46" t="s">
        <v>1389</v>
      </c>
      <c r="D595" s="59"/>
      <c r="E595" s="59">
        <v>0</v>
      </c>
      <c r="F595" s="59">
        <v>0</v>
      </c>
      <c r="G595" s="60" t="s">
        <v>2895</v>
      </c>
      <c r="H595" s="60" t="s">
        <v>2896</v>
      </c>
      <c r="I595" s="61">
        <v>7</v>
      </c>
      <c r="J595" s="60"/>
      <c r="K595" s="60" t="s">
        <v>2897</v>
      </c>
      <c r="L595" s="60">
        <v>3793203</v>
      </c>
      <c r="M595" s="60"/>
      <c r="N595" s="56" t="str">
        <f>VLOOKUP(B595,歌单!B:C,2,0)</f>
        <v>韩红</v>
      </c>
      <c r="O595" s="58">
        <f t="shared" si="9"/>
        <v>1</v>
      </c>
      <c r="P595" s="62" t="str">
        <f>VLOOKUP(B595,歌单!B:E,3,0)</f>
        <v>国语</v>
      </c>
      <c r="Q595" s="58" t="str">
        <f>VLOOKUP(B595,歌单!B:E,4,0)</f>
        <v>流行</v>
      </c>
      <c r="R595" s="62"/>
    </row>
    <row r="596" spans="1:18" ht="15" hidden="1" customHeight="1">
      <c r="A596" s="4" t="s">
        <v>2898</v>
      </c>
      <c r="B596" s="46" t="s">
        <v>2899</v>
      </c>
      <c r="C596" s="46" t="s">
        <v>2900</v>
      </c>
      <c r="D596" s="59"/>
      <c r="E596" s="59">
        <v>0</v>
      </c>
      <c r="F596" s="59">
        <v>0</v>
      </c>
      <c r="G596" s="60" t="s">
        <v>2901</v>
      </c>
      <c r="H596" s="60"/>
      <c r="I596" s="61">
        <v>1972</v>
      </c>
      <c r="J596" s="60" t="s">
        <v>2902</v>
      </c>
      <c r="K596" s="60" t="s">
        <v>2899</v>
      </c>
      <c r="L596" s="60">
        <v>332489144</v>
      </c>
      <c r="M596" s="60"/>
      <c r="N596" s="58" t="str">
        <f>VLOOKUP(B596,歌单!B:C,2,0)</f>
        <v>叶佩英</v>
      </c>
      <c r="O596" s="58">
        <f t="shared" si="9"/>
        <v>0</v>
      </c>
      <c r="P596" s="62" t="str">
        <f>VLOOKUP(B596,歌单!B:E,3,0)</f>
        <v>国语</v>
      </c>
      <c r="Q596" s="58" t="str">
        <f>VLOOKUP(B596,歌单!B:E,4,0)</f>
        <v>民族</v>
      </c>
      <c r="R596" s="62"/>
    </row>
    <row r="597" spans="1:18" ht="15" customHeight="1">
      <c r="A597" s="4" t="s">
        <v>2903</v>
      </c>
      <c r="B597" s="46" t="s">
        <v>2576</v>
      </c>
      <c r="C597" s="46" t="s">
        <v>2577</v>
      </c>
      <c r="D597" s="59"/>
      <c r="E597" s="59">
        <v>0</v>
      </c>
      <c r="F597" s="59">
        <v>0</v>
      </c>
      <c r="G597" s="60" t="s">
        <v>2904</v>
      </c>
      <c r="H597" s="60" t="s">
        <v>2905</v>
      </c>
      <c r="I597" s="61">
        <v>0</v>
      </c>
      <c r="J597" s="60"/>
      <c r="K597" s="60" t="s">
        <v>2906</v>
      </c>
      <c r="L597" s="60">
        <v>1982892</v>
      </c>
      <c r="M597" s="60"/>
      <c r="N597" s="58">
        <f>VLOOKUP(B597,歌单!B:C,2,0)</f>
        <v>0</v>
      </c>
      <c r="O597" s="58">
        <f t="shared" si="9"/>
        <v>1</v>
      </c>
      <c r="P597" s="62" t="str">
        <f>VLOOKUP(B597,歌单!B:E,3,0)</f>
        <v>国语</v>
      </c>
      <c r="Q597" s="58" t="str">
        <f>VLOOKUP(B597,歌单!B:E,4,0)</f>
        <v>民族</v>
      </c>
      <c r="R597" s="62"/>
    </row>
    <row r="598" spans="1:18" ht="15" customHeight="1">
      <c r="A598" s="4" t="s">
        <v>2907</v>
      </c>
      <c r="B598" s="46" t="s">
        <v>2908</v>
      </c>
      <c r="C598" s="46" t="s">
        <v>1372</v>
      </c>
      <c r="D598" s="59"/>
      <c r="E598" s="59">
        <v>0</v>
      </c>
      <c r="F598" s="59">
        <v>0</v>
      </c>
      <c r="G598" s="60" t="s">
        <v>2909</v>
      </c>
      <c r="H598" s="60" t="s">
        <v>2910</v>
      </c>
      <c r="I598" s="61">
        <v>0</v>
      </c>
      <c r="J598" s="60"/>
      <c r="K598" s="60" t="s">
        <v>1928</v>
      </c>
      <c r="L598" s="60">
        <v>180267</v>
      </c>
      <c r="M598" s="60"/>
      <c r="N598" s="58" t="e">
        <f>VLOOKUP(B598,歌单!B:C,2,0)</f>
        <v>#N/A</v>
      </c>
      <c r="O598" s="58">
        <f t="shared" si="9"/>
        <v>1</v>
      </c>
      <c r="P598" s="62" t="s">
        <v>10246</v>
      </c>
      <c r="Q598" s="58" t="s">
        <v>10252</v>
      </c>
      <c r="R598" s="62"/>
    </row>
    <row r="599" spans="1:18" ht="15" hidden="1" customHeight="1">
      <c r="A599" s="4" t="s">
        <v>2911</v>
      </c>
      <c r="B599" s="46" t="s">
        <v>2912</v>
      </c>
      <c r="C599" s="46" t="s">
        <v>935</v>
      </c>
      <c r="D599" s="59"/>
      <c r="E599" s="59">
        <v>0</v>
      </c>
      <c r="F599" s="59">
        <v>0</v>
      </c>
      <c r="G599" s="60" t="s">
        <v>2913</v>
      </c>
      <c r="H599" s="60" t="s">
        <v>2914</v>
      </c>
      <c r="I599" s="61">
        <v>473</v>
      </c>
      <c r="J599" s="60" t="s">
        <v>2915</v>
      </c>
      <c r="K599" s="60" t="s">
        <v>2912</v>
      </c>
      <c r="L599" s="60">
        <v>13389458</v>
      </c>
      <c r="M599" s="60"/>
      <c r="N599" s="58" t="str">
        <f>VLOOKUP(B599,歌单!B:C,2,0)</f>
        <v>谭维维</v>
      </c>
      <c r="O599" s="58">
        <f t="shared" si="9"/>
        <v>0</v>
      </c>
      <c r="P599" s="62" t="str">
        <f>VLOOKUP(B599,歌单!B:E,3,0)</f>
        <v>国语</v>
      </c>
      <c r="Q599" s="58" t="str">
        <f>VLOOKUP(B599,歌单!B:E,4,0)</f>
        <v>流行</v>
      </c>
      <c r="R599" s="62"/>
    </row>
    <row r="600" spans="1:18" ht="15" hidden="1" customHeight="1">
      <c r="A600" s="4" t="s">
        <v>2916</v>
      </c>
      <c r="B600" s="46" t="s">
        <v>1357</v>
      </c>
      <c r="C600" s="46" t="s">
        <v>2272</v>
      </c>
      <c r="D600" s="59"/>
      <c r="E600" s="59">
        <v>0</v>
      </c>
      <c r="F600" s="59">
        <v>0</v>
      </c>
      <c r="G600" s="60" t="s">
        <v>2917</v>
      </c>
      <c r="H600" s="60" t="s">
        <v>2918</v>
      </c>
      <c r="I600" s="61">
        <v>209</v>
      </c>
      <c r="J600" s="60"/>
      <c r="K600" s="60" t="s">
        <v>2919</v>
      </c>
      <c r="L600" s="60">
        <v>808497193</v>
      </c>
      <c r="M600" s="60"/>
      <c r="N600" s="58" t="str">
        <f>VLOOKUP(B600,歌单!B:C,2,0)</f>
        <v>张学友</v>
      </c>
      <c r="O600" s="58">
        <f t="shared" si="9"/>
        <v>0</v>
      </c>
      <c r="P600" s="62" t="str">
        <f>VLOOKUP(B600,歌单!B:E,3,0)</f>
        <v>粤语</v>
      </c>
      <c r="Q600" s="58" t="str">
        <f>VLOOKUP(B600,歌单!B:E,4,0)</f>
        <v>流行</v>
      </c>
      <c r="R600" s="62"/>
    </row>
    <row r="601" spans="1:18" ht="15" hidden="1" customHeight="1">
      <c r="A601" s="4" t="s">
        <v>2920</v>
      </c>
      <c r="B601" s="46" t="s">
        <v>2921</v>
      </c>
      <c r="C601" s="46" t="s">
        <v>2437</v>
      </c>
      <c r="D601" s="59"/>
      <c r="E601" s="59">
        <v>0</v>
      </c>
      <c r="F601" s="59">
        <v>0</v>
      </c>
      <c r="G601" s="60" t="s">
        <v>2922</v>
      </c>
      <c r="H601" s="60" t="s">
        <v>2923</v>
      </c>
      <c r="I601" s="61">
        <v>97</v>
      </c>
      <c r="J601" s="60" t="s">
        <v>2924</v>
      </c>
      <c r="K601" s="60" t="s">
        <v>2925</v>
      </c>
      <c r="L601" s="60">
        <v>69541837</v>
      </c>
      <c r="M601" s="60"/>
      <c r="N601" s="58" t="str">
        <f>VLOOKUP(B601,歌单!B:C,2,0)</f>
        <v>邓紫棋</v>
      </c>
      <c r="O601" s="58">
        <f t="shared" si="9"/>
        <v>0</v>
      </c>
      <c r="P601" s="62" t="str">
        <f>VLOOKUP(B601,歌单!B:E,3,0)</f>
        <v>国语</v>
      </c>
      <c r="Q601" s="58" t="str">
        <f>VLOOKUP(B601,歌单!B:E,4,0)</f>
        <v>流行</v>
      </c>
      <c r="R601" s="62"/>
    </row>
    <row r="602" spans="1:18" ht="15" hidden="1" customHeight="1">
      <c r="A602" s="4" t="s">
        <v>2926</v>
      </c>
      <c r="B602" s="46" t="s">
        <v>2927</v>
      </c>
      <c r="C602" s="46" t="s">
        <v>1351</v>
      </c>
      <c r="D602" s="59"/>
      <c r="E602" s="59">
        <v>0</v>
      </c>
      <c r="F602" s="59">
        <v>0</v>
      </c>
      <c r="G602" s="60" t="s">
        <v>2928</v>
      </c>
      <c r="H602" s="60" t="s">
        <v>2929</v>
      </c>
      <c r="I602" s="61">
        <v>282</v>
      </c>
      <c r="J602" s="60" t="s">
        <v>2930</v>
      </c>
      <c r="K602" s="60" t="s">
        <v>2927</v>
      </c>
      <c r="L602" s="60">
        <v>74412849</v>
      </c>
      <c r="M602" s="60"/>
      <c r="N602" s="58" t="str">
        <f>VLOOKUP(B602,歌单!B:C,2,0)</f>
        <v>任素汐</v>
      </c>
      <c r="O602" s="58">
        <f t="shared" si="9"/>
        <v>0</v>
      </c>
      <c r="P602" s="62" t="str">
        <f>VLOOKUP(B602,歌单!B:E,3,0)</f>
        <v>国语</v>
      </c>
      <c r="Q602" s="58" t="str">
        <f>VLOOKUP(B602,歌单!B:E,4,0)</f>
        <v>流行</v>
      </c>
      <c r="R602" s="62"/>
    </row>
    <row r="603" spans="1:18" ht="15" hidden="1" customHeight="1">
      <c r="A603" s="4" t="s">
        <v>2931</v>
      </c>
      <c r="B603" s="46" t="s">
        <v>2932</v>
      </c>
      <c r="C603" s="46" t="s">
        <v>2933</v>
      </c>
      <c r="D603" s="59"/>
      <c r="E603" s="59">
        <v>0</v>
      </c>
      <c r="F603" s="59">
        <v>0</v>
      </c>
      <c r="G603" s="60" t="s">
        <v>2934</v>
      </c>
      <c r="H603" s="60" t="s">
        <v>2935</v>
      </c>
      <c r="I603" s="61">
        <v>496</v>
      </c>
      <c r="J603" s="60"/>
      <c r="K603" s="60" t="s">
        <v>2936</v>
      </c>
      <c r="L603" s="60">
        <v>97718337</v>
      </c>
      <c r="M603" s="60"/>
      <c r="N603" s="58" t="str">
        <f>VLOOKUP(B603,歌单!B:C,2,0)</f>
        <v>胡杨林</v>
      </c>
      <c r="O603" s="58">
        <f t="shared" si="9"/>
        <v>0</v>
      </c>
      <c r="P603" s="62" t="str">
        <f>VLOOKUP(B603,歌单!B:E,3,0)</f>
        <v>国语</v>
      </c>
      <c r="Q603" s="58" t="str">
        <f>VLOOKUP(B603,歌单!B:E,4,0)</f>
        <v>流行</v>
      </c>
      <c r="R603" s="62"/>
    </row>
    <row r="604" spans="1:18" ht="15" hidden="1" customHeight="1">
      <c r="A604" s="4" t="s">
        <v>2937</v>
      </c>
      <c r="B604" s="46" t="s">
        <v>2938</v>
      </c>
      <c r="C604" s="46" t="s">
        <v>2939</v>
      </c>
      <c r="D604" s="59"/>
      <c r="E604" s="59">
        <v>0</v>
      </c>
      <c r="F604" s="59">
        <v>0</v>
      </c>
      <c r="G604" s="60" t="s">
        <v>2940</v>
      </c>
      <c r="H604" s="60" t="s">
        <v>2941</v>
      </c>
      <c r="I604" s="61">
        <v>347</v>
      </c>
      <c r="J604" s="60" t="s">
        <v>2942</v>
      </c>
      <c r="K604" s="60" t="s">
        <v>2943</v>
      </c>
      <c r="L604" s="60">
        <v>180632224</v>
      </c>
      <c r="M604" s="60"/>
      <c r="N604" s="58" t="str">
        <f>VLOOKUP(B604,歌单!B:C,2,0)</f>
        <v>吴彤</v>
      </c>
      <c r="O604" s="58">
        <f t="shared" si="9"/>
        <v>0</v>
      </c>
      <c r="P604" s="62" t="str">
        <f>VLOOKUP(B604,歌单!B:E,3,0)</f>
        <v>国语</v>
      </c>
      <c r="Q604" s="58" t="str">
        <f>VLOOKUP(B604,歌单!B:E,4,0)</f>
        <v>流行</v>
      </c>
      <c r="R604" s="62"/>
    </row>
    <row r="605" spans="1:18" ht="15" customHeight="1">
      <c r="A605" s="4" t="s">
        <v>2944</v>
      </c>
      <c r="B605" s="46" t="s">
        <v>2945</v>
      </c>
      <c r="C605" s="46" t="s">
        <v>2946</v>
      </c>
      <c r="D605" s="59"/>
      <c r="E605" s="59">
        <v>0</v>
      </c>
      <c r="F605" s="59">
        <v>0</v>
      </c>
      <c r="G605" s="60" t="s">
        <v>2947</v>
      </c>
      <c r="H605" s="60" t="s">
        <v>2948</v>
      </c>
      <c r="I605" s="61">
        <v>340</v>
      </c>
      <c r="J605" s="60"/>
      <c r="K605" s="60" t="s">
        <v>2949</v>
      </c>
      <c r="L605" s="60">
        <v>76937271</v>
      </c>
      <c r="M605" s="60"/>
      <c r="N605" s="58" t="e">
        <f>VLOOKUP(B605,歌单!B:C,2,0)</f>
        <v>#N/A</v>
      </c>
      <c r="O605" s="58">
        <f t="shared" si="9"/>
        <v>1</v>
      </c>
      <c r="P605" s="62" t="s">
        <v>10246</v>
      </c>
      <c r="Q605" s="58" t="s">
        <v>10252</v>
      </c>
      <c r="R605" s="62"/>
    </row>
    <row r="606" spans="1:18" ht="15" customHeight="1">
      <c r="A606" s="4" t="s">
        <v>2950</v>
      </c>
      <c r="B606" s="46" t="s">
        <v>2951</v>
      </c>
      <c r="C606" s="46" t="s">
        <v>742</v>
      </c>
      <c r="D606" s="59"/>
      <c r="E606" s="59">
        <v>0</v>
      </c>
      <c r="F606" s="59">
        <v>0</v>
      </c>
      <c r="G606" s="60" t="s">
        <v>2952</v>
      </c>
      <c r="H606" s="60" t="s">
        <v>2953</v>
      </c>
      <c r="I606" s="61">
        <v>11</v>
      </c>
      <c r="J606" s="60"/>
      <c r="K606" s="60" t="s">
        <v>1741</v>
      </c>
      <c r="L606" s="60">
        <v>11935303</v>
      </c>
      <c r="M606" s="60"/>
      <c r="N606" s="58" t="e">
        <f>VLOOKUP(B606,歌单!B:C,2,0)</f>
        <v>#N/A</v>
      </c>
      <c r="O606" s="58">
        <f t="shared" si="9"/>
        <v>1</v>
      </c>
      <c r="P606" s="62" t="s">
        <v>10246</v>
      </c>
      <c r="Q606" s="58" t="s">
        <v>10252</v>
      </c>
      <c r="R606" s="62"/>
    </row>
    <row r="607" spans="1:18" ht="15" customHeight="1">
      <c r="A607" s="4" t="s">
        <v>2954</v>
      </c>
      <c r="B607" s="46" t="s">
        <v>1394</v>
      </c>
      <c r="C607" s="46" t="s">
        <v>679</v>
      </c>
      <c r="D607" s="59"/>
      <c r="E607" s="59">
        <v>0</v>
      </c>
      <c r="F607" s="59">
        <v>0</v>
      </c>
      <c r="G607" s="60" t="s">
        <v>2955</v>
      </c>
      <c r="H607" s="60" t="s">
        <v>2956</v>
      </c>
      <c r="I607" s="61">
        <v>2</v>
      </c>
      <c r="J607" s="60"/>
      <c r="K607" s="60" t="s">
        <v>2957</v>
      </c>
      <c r="L607" s="60">
        <v>518151</v>
      </c>
      <c r="M607" s="60"/>
      <c r="N607" s="58" t="e">
        <f>VLOOKUP(B607,歌单!B:C,2,0)</f>
        <v>#N/A</v>
      </c>
      <c r="O607" s="58">
        <f t="shared" si="9"/>
        <v>1</v>
      </c>
      <c r="P607" s="62" t="s">
        <v>10246</v>
      </c>
      <c r="Q607" s="58" t="s">
        <v>10252</v>
      </c>
      <c r="R607" s="62"/>
    </row>
    <row r="608" spans="1:18" ht="15" hidden="1" customHeight="1">
      <c r="A608" s="32" t="s">
        <v>2958</v>
      </c>
      <c r="B608" s="46" t="s">
        <v>2959</v>
      </c>
      <c r="C608" s="46" t="s">
        <v>2960</v>
      </c>
      <c r="D608" s="59"/>
      <c r="E608" s="59">
        <v>0</v>
      </c>
      <c r="F608" s="59">
        <v>0</v>
      </c>
      <c r="G608" s="60" t="s">
        <v>2961</v>
      </c>
      <c r="H608" s="60" t="s">
        <v>2962</v>
      </c>
      <c r="I608" s="61">
        <v>44</v>
      </c>
      <c r="J608" s="60"/>
      <c r="K608" s="60" t="s">
        <v>2963</v>
      </c>
      <c r="L608" s="60">
        <v>16138143</v>
      </c>
      <c r="M608" s="60"/>
      <c r="N608" s="56" t="str">
        <f>VLOOKUP(B608,歌单!B:C,2,0)</f>
        <v>张碧晨</v>
      </c>
      <c r="O608" s="58">
        <f t="shared" si="9"/>
        <v>1</v>
      </c>
      <c r="P608" s="62" t="str">
        <f>VLOOKUP(B608,歌单!B:E,3,0)</f>
        <v>国语</v>
      </c>
      <c r="Q608" s="58" t="str">
        <f>VLOOKUP(B608,歌单!B:E,4,0)</f>
        <v>流行</v>
      </c>
      <c r="R608" s="62"/>
    </row>
    <row r="609" spans="1:18" ht="15" hidden="1" customHeight="1">
      <c r="A609" s="4" t="s">
        <v>2964</v>
      </c>
      <c r="B609" s="46" t="s">
        <v>220</v>
      </c>
      <c r="C609" s="46" t="s">
        <v>221</v>
      </c>
      <c r="D609" s="59"/>
      <c r="E609" s="59">
        <v>0</v>
      </c>
      <c r="F609" s="59">
        <v>0</v>
      </c>
      <c r="G609" s="60" t="s">
        <v>2965</v>
      </c>
      <c r="H609" s="60"/>
      <c r="I609" s="61">
        <v>0</v>
      </c>
      <c r="J609" s="60"/>
      <c r="K609" s="60" t="s">
        <v>2966</v>
      </c>
      <c r="L609" s="60">
        <v>323292</v>
      </c>
      <c r="M609" s="60"/>
      <c r="N609" s="58" t="str">
        <f>VLOOKUP(B609,歌单!B:C,2,0)</f>
        <v>毛不易</v>
      </c>
      <c r="O609" s="58">
        <f t="shared" si="9"/>
        <v>0</v>
      </c>
      <c r="P609" s="62" t="str">
        <f>VLOOKUP(B609,歌单!B:E,3,0)</f>
        <v>国语</v>
      </c>
      <c r="Q609" s="58" t="str">
        <f>VLOOKUP(B609,歌单!B:E,4,0)</f>
        <v>流行</v>
      </c>
      <c r="R609" s="62"/>
    </row>
    <row r="610" spans="1:18" ht="15" hidden="1" customHeight="1">
      <c r="A610" s="4" t="s">
        <v>2967</v>
      </c>
      <c r="B610" s="46" t="s">
        <v>2968</v>
      </c>
      <c r="C610" s="46" t="s">
        <v>2969</v>
      </c>
      <c r="D610" s="59"/>
      <c r="E610" s="59">
        <v>0</v>
      </c>
      <c r="F610" s="59">
        <v>0</v>
      </c>
      <c r="G610" s="60" t="s">
        <v>2970</v>
      </c>
      <c r="H610" s="60" t="s">
        <v>2971</v>
      </c>
      <c r="I610" s="61">
        <v>2045</v>
      </c>
      <c r="J610" s="60"/>
      <c r="K610" s="60" t="s">
        <v>2972</v>
      </c>
      <c r="L610" s="60">
        <v>250489326</v>
      </c>
      <c r="M610" s="60" t="s">
        <v>1224</v>
      </c>
      <c r="N610" s="58" t="str">
        <f>VLOOKUP(B610,歌单!B:C,2,0)</f>
        <v>张晓棠</v>
      </c>
      <c r="O610" s="58">
        <f t="shared" si="9"/>
        <v>0</v>
      </c>
      <c r="P610" s="62" t="str">
        <f>VLOOKUP(B610,歌单!B:E,3,0)</f>
        <v>国语</v>
      </c>
      <c r="Q610" s="58" t="str">
        <f>VLOOKUP(B610,歌单!B:E,4,0)</f>
        <v>流行</v>
      </c>
      <c r="R610" s="62"/>
    </row>
    <row r="611" spans="1:18" ht="15" hidden="1" customHeight="1">
      <c r="A611" s="4" t="s">
        <v>2973</v>
      </c>
      <c r="B611" s="46" t="s">
        <v>2974</v>
      </c>
      <c r="C611" s="46" t="s">
        <v>2975</v>
      </c>
      <c r="D611" s="59"/>
      <c r="E611" s="59">
        <v>0</v>
      </c>
      <c r="F611" s="59">
        <v>0</v>
      </c>
      <c r="G611" s="60" t="s">
        <v>2976</v>
      </c>
      <c r="H611" s="60"/>
      <c r="I611" s="61">
        <v>5</v>
      </c>
      <c r="J611" s="60"/>
      <c r="K611" s="60" t="s">
        <v>2977</v>
      </c>
      <c r="L611" s="60">
        <v>1157770</v>
      </c>
      <c r="M611" s="60"/>
      <c r="N611" s="58" t="str">
        <f>VLOOKUP(B611,歌单!B:C,2,0)</f>
        <v>玉置浩二</v>
      </c>
      <c r="O611" s="58">
        <f t="shared" si="9"/>
        <v>0</v>
      </c>
      <c r="P611" s="62" t="str">
        <f>VLOOKUP(B611,歌单!B:E,3,0)</f>
        <v>日语</v>
      </c>
      <c r="Q611" s="58" t="str">
        <f>VLOOKUP(B611,歌单!B:E,4,0)</f>
        <v>流行</v>
      </c>
      <c r="R611" s="62"/>
    </row>
    <row r="612" spans="1:18" ht="15" customHeight="1">
      <c r="A612" s="4" t="s">
        <v>2978</v>
      </c>
      <c r="B612" s="46" t="s">
        <v>2979</v>
      </c>
      <c r="C612" s="46" t="s">
        <v>2980</v>
      </c>
      <c r="D612" s="59"/>
      <c r="E612" s="59">
        <v>0</v>
      </c>
      <c r="F612" s="59">
        <v>0</v>
      </c>
      <c r="G612" s="60" t="s">
        <v>2981</v>
      </c>
      <c r="H612" s="60" t="s">
        <v>2982</v>
      </c>
      <c r="I612" s="61">
        <v>1</v>
      </c>
      <c r="J612" s="60"/>
      <c r="K612" s="60" t="s">
        <v>2983</v>
      </c>
      <c r="L612" s="60">
        <v>324322</v>
      </c>
      <c r="M612" s="60"/>
      <c r="N612" s="58" t="e">
        <f>VLOOKUP(B612,歌单!B:C,2,0)</f>
        <v>#N/A</v>
      </c>
      <c r="O612" s="58">
        <f t="shared" si="9"/>
        <v>1</v>
      </c>
      <c r="P612" s="62" t="s">
        <v>10246</v>
      </c>
      <c r="Q612" s="58" t="s">
        <v>10252</v>
      </c>
      <c r="R612" s="62"/>
    </row>
    <row r="613" spans="1:18" ht="15" customHeight="1">
      <c r="A613" s="4" t="s">
        <v>2984</v>
      </c>
      <c r="B613" s="46" t="s">
        <v>2985</v>
      </c>
      <c r="C613" s="46" t="s">
        <v>558</v>
      </c>
      <c r="D613" s="59"/>
      <c r="E613" s="59">
        <v>0</v>
      </c>
      <c r="F613" s="59">
        <v>0</v>
      </c>
      <c r="G613" s="60" t="s">
        <v>2986</v>
      </c>
      <c r="H613" s="60" t="s">
        <v>2987</v>
      </c>
      <c r="I613" s="61">
        <v>3</v>
      </c>
      <c r="J613" s="60" t="s">
        <v>2988</v>
      </c>
      <c r="K613" s="60" t="s">
        <v>2989</v>
      </c>
      <c r="L613" s="60">
        <v>1052310</v>
      </c>
      <c r="M613" s="60"/>
      <c r="N613" s="58" t="e">
        <f>VLOOKUP(B613,歌单!B:C,2,0)</f>
        <v>#N/A</v>
      </c>
      <c r="O613" s="58">
        <f t="shared" si="9"/>
        <v>1</v>
      </c>
      <c r="P613" s="62" t="s">
        <v>10246</v>
      </c>
      <c r="Q613" s="58" t="s">
        <v>10252</v>
      </c>
      <c r="R613" s="62"/>
    </row>
    <row r="614" spans="1:18" ht="15" customHeight="1">
      <c r="A614" s="4" t="s">
        <v>2990</v>
      </c>
      <c r="B614" s="46" t="s">
        <v>2991</v>
      </c>
      <c r="C614" s="46" t="s">
        <v>2992</v>
      </c>
      <c r="D614" s="59"/>
      <c r="E614" s="59">
        <v>2</v>
      </c>
      <c r="F614" s="59">
        <v>1</v>
      </c>
      <c r="G614" s="60" t="s">
        <v>2993</v>
      </c>
      <c r="H614" s="60" t="s">
        <v>2994</v>
      </c>
      <c r="I614" s="61">
        <v>155</v>
      </c>
      <c r="J614" s="60"/>
      <c r="K614" s="60" t="s">
        <v>2995</v>
      </c>
      <c r="L614" s="60">
        <v>64805611</v>
      </c>
      <c r="M614" s="60"/>
      <c r="N614" s="58" t="e">
        <f>VLOOKUP(B614,歌单!B:C,2,0)</f>
        <v>#N/A</v>
      </c>
      <c r="O614" s="58">
        <f t="shared" si="9"/>
        <v>1</v>
      </c>
      <c r="P614" s="62" t="s">
        <v>6489</v>
      </c>
      <c r="Q614" s="58" t="s">
        <v>10252</v>
      </c>
      <c r="R614" s="62"/>
    </row>
    <row r="615" spans="1:18" ht="15" hidden="1" customHeight="1">
      <c r="A615" s="4" t="s">
        <v>2996</v>
      </c>
      <c r="B615" s="46" t="s">
        <v>2088</v>
      </c>
      <c r="C615" s="46" t="s">
        <v>935</v>
      </c>
      <c r="D615" s="59"/>
      <c r="E615" s="59">
        <v>0</v>
      </c>
      <c r="F615" s="59">
        <v>0</v>
      </c>
      <c r="G615" s="60" t="s">
        <v>2997</v>
      </c>
      <c r="H615" s="60" t="s">
        <v>2998</v>
      </c>
      <c r="I615" s="61">
        <v>3295</v>
      </c>
      <c r="J615" s="60"/>
      <c r="K615" s="60" t="s">
        <v>2999</v>
      </c>
      <c r="L615" s="60">
        <v>132388811</v>
      </c>
      <c r="M615" s="60" t="s">
        <v>852</v>
      </c>
      <c r="N615" s="58" t="str">
        <f>VLOOKUP(B615,歌单!B:C,2,0)</f>
        <v>谭维维</v>
      </c>
      <c r="O615" s="58">
        <f t="shared" si="9"/>
        <v>0</v>
      </c>
      <c r="P615" s="62" t="str">
        <f>VLOOKUP(B615,歌单!B:E,3,0)</f>
        <v>国语</v>
      </c>
      <c r="Q615" s="58" t="str">
        <f>VLOOKUP(B615,歌单!B:E,4,0)</f>
        <v>流行</v>
      </c>
      <c r="R615" s="62"/>
    </row>
    <row r="616" spans="1:18" ht="15" hidden="1" customHeight="1">
      <c r="A616" s="32" t="s">
        <v>3000</v>
      </c>
      <c r="B616" s="46" t="s">
        <v>2212</v>
      </c>
      <c r="C616" s="46" t="s">
        <v>2213</v>
      </c>
      <c r="D616" s="59"/>
      <c r="E616" s="59">
        <v>0</v>
      </c>
      <c r="F616" s="59">
        <v>0</v>
      </c>
      <c r="G616" s="60" t="s">
        <v>3001</v>
      </c>
      <c r="H616" s="60" t="s">
        <v>3002</v>
      </c>
      <c r="I616" s="61">
        <v>6</v>
      </c>
      <c r="J616" s="60"/>
      <c r="K616" s="60" t="s">
        <v>3003</v>
      </c>
      <c r="L616" s="60">
        <v>12745241</v>
      </c>
      <c r="M616" s="60"/>
      <c r="N616" s="56" t="str">
        <f>VLOOKUP(B616,歌单!B:C,2,0)</f>
        <v>王若琳</v>
      </c>
      <c r="O616" s="58">
        <f t="shared" si="9"/>
        <v>1</v>
      </c>
      <c r="P616" s="62" t="str">
        <f>VLOOKUP(B616,歌单!B:E,3,0)</f>
        <v>国语</v>
      </c>
      <c r="Q616" s="58" t="str">
        <f>VLOOKUP(B616,歌单!B:E,4,0)</f>
        <v>流行</v>
      </c>
      <c r="R616" s="62"/>
    </row>
    <row r="617" spans="1:18" ht="15" hidden="1" customHeight="1">
      <c r="A617" s="4" t="s">
        <v>3004</v>
      </c>
      <c r="B617" s="46" t="s">
        <v>3005</v>
      </c>
      <c r="C617" s="46" t="s">
        <v>782</v>
      </c>
      <c r="D617" s="59"/>
      <c r="E617" s="59">
        <v>0</v>
      </c>
      <c r="F617" s="59">
        <v>0</v>
      </c>
      <c r="G617" s="60" t="s">
        <v>3006</v>
      </c>
      <c r="H617" s="60" t="s">
        <v>3007</v>
      </c>
      <c r="I617" s="61">
        <v>197</v>
      </c>
      <c r="J617" s="60"/>
      <c r="K617" s="60" t="s">
        <v>3008</v>
      </c>
      <c r="L617" s="60">
        <v>86858299</v>
      </c>
      <c r="M617" s="60"/>
      <c r="N617" s="58" t="str">
        <f>VLOOKUP(B617,歌单!B:C,2,0)</f>
        <v>容祖儿</v>
      </c>
      <c r="O617" s="58">
        <f t="shared" si="9"/>
        <v>0</v>
      </c>
      <c r="P617" s="62" t="str">
        <f>VLOOKUP(B617,歌单!B:E,3,0)</f>
        <v>国语</v>
      </c>
      <c r="Q617" s="58" t="str">
        <f>VLOOKUP(B617,歌单!B:E,4,0)</f>
        <v>流行</v>
      </c>
      <c r="R617" s="62"/>
    </row>
    <row r="618" spans="1:18" ht="15" customHeight="1">
      <c r="A618" s="4" t="s">
        <v>3009</v>
      </c>
      <c r="B618" s="46" t="s">
        <v>3010</v>
      </c>
      <c r="C618" s="46" t="s">
        <v>3011</v>
      </c>
      <c r="D618" s="59"/>
      <c r="E618" s="59">
        <v>0</v>
      </c>
      <c r="F618" s="59">
        <v>0</v>
      </c>
      <c r="G618" s="60" t="s">
        <v>3012</v>
      </c>
      <c r="H618" s="60" t="s">
        <v>3013</v>
      </c>
      <c r="I618" s="61">
        <v>10</v>
      </c>
      <c r="J618" s="60"/>
      <c r="K618" s="60" t="s">
        <v>3014</v>
      </c>
      <c r="L618" s="60">
        <v>753707</v>
      </c>
      <c r="M618" s="60"/>
      <c r="N618" s="58" t="e">
        <f>VLOOKUP(B618,歌单!B:C,2,0)</f>
        <v>#N/A</v>
      </c>
      <c r="O618" s="58">
        <f t="shared" si="9"/>
        <v>1</v>
      </c>
      <c r="P618" s="62" t="s">
        <v>10246</v>
      </c>
      <c r="Q618" s="58" t="s">
        <v>10252</v>
      </c>
      <c r="R618" s="62"/>
    </row>
    <row r="619" spans="1:18" ht="15" hidden="1" customHeight="1">
      <c r="A619" s="4" t="s">
        <v>3015</v>
      </c>
      <c r="B619" s="46" t="s">
        <v>1944</v>
      </c>
      <c r="C619" s="46" t="s">
        <v>776</v>
      </c>
      <c r="D619" s="59"/>
      <c r="E619" s="59">
        <v>0</v>
      </c>
      <c r="F619" s="59">
        <v>0</v>
      </c>
      <c r="G619" s="60" t="s">
        <v>3016</v>
      </c>
      <c r="H619" s="60"/>
      <c r="I619" s="61">
        <v>0</v>
      </c>
      <c r="J619" s="60" t="s">
        <v>1944</v>
      </c>
      <c r="K619" s="60" t="s">
        <v>3017</v>
      </c>
      <c r="L619" s="60">
        <v>199023</v>
      </c>
      <c r="M619" s="60"/>
      <c r="N619" s="58" t="str">
        <f>VLOOKUP(B619,歌单!B:C,2,0)</f>
        <v>玉置浩二</v>
      </c>
      <c r="O619" s="58">
        <f t="shared" si="9"/>
        <v>1</v>
      </c>
      <c r="P619" s="62" t="str">
        <f>VLOOKUP(B619,歌单!B:E,3,0)</f>
        <v>国语</v>
      </c>
      <c r="Q619" s="58" t="str">
        <f>VLOOKUP(B619,歌单!B:E,4,0)</f>
        <v>流行</v>
      </c>
      <c r="R619" s="62"/>
    </row>
    <row r="620" spans="1:18" ht="15" hidden="1" customHeight="1">
      <c r="A620" s="4" t="s">
        <v>3018</v>
      </c>
      <c r="B620" s="46" t="s">
        <v>3019</v>
      </c>
      <c r="C620" s="46" t="s">
        <v>742</v>
      </c>
      <c r="D620" s="59"/>
      <c r="E620" s="59">
        <v>0</v>
      </c>
      <c r="F620" s="59">
        <v>0</v>
      </c>
      <c r="G620" s="60" t="s">
        <v>3020</v>
      </c>
      <c r="H620" s="60" t="s">
        <v>3021</v>
      </c>
      <c r="I620" s="61">
        <v>353</v>
      </c>
      <c r="J620" s="60"/>
      <c r="K620" s="60" t="s">
        <v>3022</v>
      </c>
      <c r="L620" s="60">
        <v>101139915</v>
      </c>
      <c r="M620" s="60"/>
      <c r="N620" s="58" t="str">
        <f>VLOOKUP(B620,歌单!B:C,2,0)</f>
        <v>孙燕姿</v>
      </c>
      <c r="O620" s="58">
        <f t="shared" si="9"/>
        <v>0</v>
      </c>
      <c r="P620" s="62" t="str">
        <f>VLOOKUP(B620,歌单!B:E,3,0)</f>
        <v>国语</v>
      </c>
      <c r="Q620" s="58" t="str">
        <f>VLOOKUP(B620,歌单!B:E,4,0)</f>
        <v>流行</v>
      </c>
      <c r="R620" s="62"/>
    </row>
    <row r="621" spans="1:18" ht="15" customHeight="1">
      <c r="A621" s="4" t="s">
        <v>3023</v>
      </c>
      <c r="B621" s="46" t="s">
        <v>3024</v>
      </c>
      <c r="C621" s="46" t="s">
        <v>3025</v>
      </c>
      <c r="D621" s="59"/>
      <c r="E621" s="59">
        <v>0</v>
      </c>
      <c r="F621" s="59">
        <v>0</v>
      </c>
      <c r="G621" s="60" t="s">
        <v>3026</v>
      </c>
      <c r="H621" s="60" t="s">
        <v>3027</v>
      </c>
      <c r="I621" s="61">
        <v>500</v>
      </c>
      <c r="J621" s="60"/>
      <c r="K621" s="60" t="s">
        <v>3028</v>
      </c>
      <c r="L621" s="60">
        <v>178826067</v>
      </c>
      <c r="M621" s="60"/>
      <c r="N621" s="58" t="e">
        <f>VLOOKUP(B621,歌单!B:C,2,0)</f>
        <v>#N/A</v>
      </c>
      <c r="O621" s="58">
        <f t="shared" si="9"/>
        <v>1</v>
      </c>
      <c r="P621" s="62" t="s">
        <v>10246</v>
      </c>
      <c r="Q621" s="58" t="s">
        <v>10252</v>
      </c>
      <c r="R621" s="62"/>
    </row>
    <row r="622" spans="1:18" ht="15" customHeight="1">
      <c r="A622" s="4" t="s">
        <v>3029</v>
      </c>
      <c r="B622" s="46" t="s">
        <v>3030</v>
      </c>
      <c r="C622" s="46" t="s">
        <v>3031</v>
      </c>
      <c r="D622" s="59"/>
      <c r="E622" s="59">
        <v>0</v>
      </c>
      <c r="F622" s="59">
        <v>0</v>
      </c>
      <c r="G622" s="60" t="s">
        <v>3032</v>
      </c>
      <c r="H622" s="60" t="s">
        <v>3033</v>
      </c>
      <c r="I622" s="61">
        <v>2</v>
      </c>
      <c r="J622" s="60"/>
      <c r="K622" s="60" t="s">
        <v>3030</v>
      </c>
      <c r="L622" s="60">
        <v>738635</v>
      </c>
      <c r="M622" s="60"/>
      <c r="N622" s="58">
        <f>VLOOKUP(B622,歌单!B:C,2,0)</f>
        <v>0</v>
      </c>
      <c r="O622" s="58">
        <f t="shared" si="9"/>
        <v>1</v>
      </c>
      <c r="P622" s="62" t="str">
        <f>VLOOKUP(B622,歌单!B:E,3,0)</f>
        <v>国语</v>
      </c>
      <c r="Q622" s="58" t="str">
        <f>VLOOKUP(B622,歌单!B:E,4,0)</f>
        <v>流行</v>
      </c>
      <c r="R622" s="62"/>
    </row>
    <row r="623" spans="1:18" ht="15" hidden="1" customHeight="1">
      <c r="A623" s="4" t="s">
        <v>3034</v>
      </c>
      <c r="B623" s="46" t="s">
        <v>3035</v>
      </c>
      <c r="C623" s="46" t="s">
        <v>3036</v>
      </c>
      <c r="D623" s="59"/>
      <c r="E623" s="59">
        <v>0</v>
      </c>
      <c r="F623" s="59">
        <v>0</v>
      </c>
      <c r="G623" s="60" t="s">
        <v>3037</v>
      </c>
      <c r="H623" s="60" t="s">
        <v>3038</v>
      </c>
      <c r="I623" s="60">
        <v>236</v>
      </c>
      <c r="J623" s="60"/>
      <c r="K623" s="60" t="s">
        <v>3039</v>
      </c>
      <c r="L623" s="60">
        <v>26084115</v>
      </c>
      <c r="M623" s="60" t="s">
        <v>202</v>
      </c>
      <c r="N623" s="58" t="str">
        <f>VLOOKUP(B623,歌单!B:C,2,0)</f>
        <v>张雨生</v>
      </c>
      <c r="O623" s="58">
        <f t="shared" si="9"/>
        <v>0</v>
      </c>
      <c r="P623" s="62" t="str">
        <f>VLOOKUP(B623,歌单!B:E,3,0)</f>
        <v>国语</v>
      </c>
      <c r="Q623" s="58" t="str">
        <f>VLOOKUP(B623,歌单!B:E,4,0)</f>
        <v>流行</v>
      </c>
      <c r="R623" s="62"/>
    </row>
    <row r="624" spans="1:18" ht="15" customHeight="1">
      <c r="A624" s="4" t="s">
        <v>3040</v>
      </c>
      <c r="B624" s="46" t="s">
        <v>3041</v>
      </c>
      <c r="C624" s="46" t="s">
        <v>131</v>
      </c>
      <c r="D624" s="59"/>
      <c r="E624" s="59">
        <v>0</v>
      </c>
      <c r="F624" s="59">
        <v>0</v>
      </c>
      <c r="G624" s="60" t="s">
        <v>3042</v>
      </c>
      <c r="H624" s="60" t="s">
        <v>3043</v>
      </c>
      <c r="I624" s="60">
        <v>0</v>
      </c>
      <c r="J624" s="60"/>
      <c r="K624" s="60" t="s">
        <v>3044</v>
      </c>
      <c r="L624" s="60">
        <v>493220</v>
      </c>
      <c r="M624" s="60"/>
      <c r="N624" s="58" t="e">
        <f>VLOOKUP(B624,歌单!B:C,2,0)</f>
        <v>#N/A</v>
      </c>
      <c r="O624" s="58">
        <f t="shared" si="9"/>
        <v>1</v>
      </c>
      <c r="P624" s="62" t="s">
        <v>10246</v>
      </c>
      <c r="Q624" s="58" t="s">
        <v>10252</v>
      </c>
      <c r="R624" s="62"/>
    </row>
    <row r="625" spans="1:18" ht="15" customHeight="1">
      <c r="A625" s="4" t="s">
        <v>3045</v>
      </c>
      <c r="B625" s="46" t="s">
        <v>3046</v>
      </c>
      <c r="C625" s="46" t="s">
        <v>670</v>
      </c>
      <c r="D625" s="59"/>
      <c r="E625" s="59">
        <v>0</v>
      </c>
      <c r="F625" s="59">
        <v>0</v>
      </c>
      <c r="G625" s="60" t="s">
        <v>3047</v>
      </c>
      <c r="H625" s="60" t="s">
        <v>3048</v>
      </c>
      <c r="I625" s="60">
        <v>2</v>
      </c>
      <c r="J625" s="60"/>
      <c r="K625" s="60" t="s">
        <v>672</v>
      </c>
      <c r="L625" s="60">
        <v>482295</v>
      </c>
      <c r="M625" s="60"/>
      <c r="N625" s="58" t="e">
        <f>VLOOKUP(B625,歌单!B:C,2,0)</f>
        <v>#N/A</v>
      </c>
      <c r="O625" s="58">
        <f t="shared" si="9"/>
        <v>1</v>
      </c>
      <c r="P625" s="62" t="s">
        <v>10255</v>
      </c>
      <c r="Q625" s="58" t="s">
        <v>10256</v>
      </c>
      <c r="R625" s="62"/>
    </row>
    <row r="626" spans="1:18" ht="15" hidden="1" customHeight="1">
      <c r="A626" s="32" t="s">
        <v>3049</v>
      </c>
      <c r="B626" s="46" t="s">
        <v>3050</v>
      </c>
      <c r="C626" s="46" t="s">
        <v>1744</v>
      </c>
      <c r="D626" s="59"/>
      <c r="E626" s="59">
        <v>0</v>
      </c>
      <c r="F626" s="59">
        <v>0</v>
      </c>
      <c r="G626" s="60" t="s">
        <v>3051</v>
      </c>
      <c r="H626" s="60" t="s">
        <v>3052</v>
      </c>
      <c r="I626" s="60">
        <v>669</v>
      </c>
      <c r="J626" s="60"/>
      <c r="K626" s="60" t="s">
        <v>3053</v>
      </c>
      <c r="L626" s="60">
        <v>188212415</v>
      </c>
      <c r="M626" s="60"/>
      <c r="N626" s="56" t="str">
        <f>VLOOKUP(B626,歌单!B:C,2,0)</f>
        <v>徐佳莹</v>
      </c>
      <c r="O626" s="58">
        <f t="shared" si="9"/>
        <v>1</v>
      </c>
      <c r="P626" s="62" t="str">
        <f>VLOOKUP(B626,歌单!B:E,3,0)</f>
        <v>国语</v>
      </c>
      <c r="Q626" s="58" t="str">
        <f>VLOOKUP(B626,歌单!B:E,4,0)</f>
        <v>流行</v>
      </c>
      <c r="R626" s="62"/>
    </row>
    <row r="627" spans="1:18" ht="15" customHeight="1">
      <c r="A627" s="4" t="s">
        <v>3054</v>
      </c>
      <c r="B627" s="46" t="s">
        <v>3055</v>
      </c>
      <c r="C627" s="46" t="s">
        <v>131</v>
      </c>
      <c r="D627" s="59"/>
      <c r="E627" s="59">
        <v>0</v>
      </c>
      <c r="F627" s="59">
        <v>0</v>
      </c>
      <c r="G627" s="60" t="s">
        <v>3056</v>
      </c>
      <c r="H627" s="60" t="s">
        <v>3057</v>
      </c>
      <c r="I627" s="60">
        <v>3</v>
      </c>
      <c r="J627" s="60"/>
      <c r="K627" s="60" t="s">
        <v>752</v>
      </c>
      <c r="L627" s="60">
        <v>2380374</v>
      </c>
      <c r="M627" s="60"/>
      <c r="N627" s="58" t="e">
        <f>VLOOKUP(B627,歌单!B:C,2,0)</f>
        <v>#N/A</v>
      </c>
      <c r="O627" s="58">
        <f t="shared" si="9"/>
        <v>1</v>
      </c>
      <c r="P627" s="62" t="s">
        <v>10246</v>
      </c>
      <c r="Q627" s="58" t="s">
        <v>10252</v>
      </c>
      <c r="R627" s="62"/>
    </row>
    <row r="628" spans="1:18" ht="15" hidden="1" customHeight="1">
      <c r="A628" s="4" t="s">
        <v>3058</v>
      </c>
      <c r="B628" s="46" t="s">
        <v>3059</v>
      </c>
      <c r="C628" s="46" t="s">
        <v>1331</v>
      </c>
      <c r="D628" s="59"/>
      <c r="E628" s="59">
        <v>0</v>
      </c>
      <c r="F628" s="59">
        <v>0</v>
      </c>
      <c r="G628" s="60" t="s">
        <v>3060</v>
      </c>
      <c r="H628" s="60" t="s">
        <v>3061</v>
      </c>
      <c r="I628" s="60">
        <v>190</v>
      </c>
      <c r="J628" s="60"/>
      <c r="K628" s="60" t="s">
        <v>1763</v>
      </c>
      <c r="L628" s="60">
        <v>25846315</v>
      </c>
      <c r="M628" s="60"/>
      <c r="N628" s="58" t="str">
        <f>VLOOKUP(B628,歌单!B:C,2,0)</f>
        <v>陶喆</v>
      </c>
      <c r="O628" s="58">
        <f t="shared" si="9"/>
        <v>0</v>
      </c>
      <c r="P628" s="62" t="str">
        <f>VLOOKUP(B628,歌单!B:E,3,0)</f>
        <v>国语</v>
      </c>
      <c r="Q628" s="58" t="str">
        <f>VLOOKUP(B628,歌单!B:E,4,0)</f>
        <v>流行</v>
      </c>
      <c r="R628" s="62"/>
    </row>
    <row r="629" spans="1:18" ht="15" customHeight="1">
      <c r="A629" s="4" t="s">
        <v>3062</v>
      </c>
      <c r="B629" s="46" t="s">
        <v>3063</v>
      </c>
      <c r="C629" s="46" t="s">
        <v>3064</v>
      </c>
      <c r="D629" s="59"/>
      <c r="E629" s="59">
        <v>0</v>
      </c>
      <c r="F629" s="59">
        <v>0</v>
      </c>
      <c r="G629" s="60" t="s">
        <v>3065</v>
      </c>
      <c r="H629" s="60" t="s">
        <v>3066</v>
      </c>
      <c r="I629" s="60">
        <v>4</v>
      </c>
      <c r="J629" s="60"/>
      <c r="K629" s="60" t="s">
        <v>3063</v>
      </c>
      <c r="L629" s="60">
        <v>8341298</v>
      </c>
      <c r="M629" s="60"/>
      <c r="N629" s="58" t="e">
        <f>VLOOKUP(B629,歌单!B:C,2,0)</f>
        <v>#N/A</v>
      </c>
      <c r="O629" s="58">
        <f t="shared" si="9"/>
        <v>1</v>
      </c>
      <c r="P629" s="62" t="s">
        <v>10246</v>
      </c>
      <c r="Q629" s="58" t="s">
        <v>10252</v>
      </c>
      <c r="R629" s="62"/>
    </row>
    <row r="630" spans="1:18" ht="15" customHeight="1">
      <c r="A630" s="4" t="s">
        <v>3067</v>
      </c>
      <c r="B630" s="46" t="s">
        <v>3068</v>
      </c>
      <c r="C630" s="46" t="s">
        <v>3069</v>
      </c>
      <c r="D630" s="59"/>
      <c r="E630" s="59">
        <v>0</v>
      </c>
      <c r="F630" s="59">
        <v>0</v>
      </c>
      <c r="G630" s="60" t="s">
        <v>3070</v>
      </c>
      <c r="H630" s="60" t="s">
        <v>3071</v>
      </c>
      <c r="I630" s="60">
        <v>819</v>
      </c>
      <c r="J630" s="60"/>
      <c r="K630" s="60" t="s">
        <v>3072</v>
      </c>
      <c r="L630" s="60">
        <v>153425635</v>
      </c>
      <c r="M630" s="60"/>
      <c r="N630" s="58">
        <f>VLOOKUP(B630,歌单!B:C,2,0)</f>
        <v>0</v>
      </c>
      <c r="O630" s="58">
        <f t="shared" si="9"/>
        <v>1</v>
      </c>
      <c r="P630" s="62" t="str">
        <f>VLOOKUP(B630,歌单!B:E,3,0)</f>
        <v>国语</v>
      </c>
      <c r="Q630" s="58" t="str">
        <f>VLOOKUP(B630,歌单!B:E,4,0)</f>
        <v>流行</v>
      </c>
      <c r="R630" s="62"/>
    </row>
    <row r="631" spans="1:18" ht="15" customHeight="1">
      <c r="A631" s="4" t="s">
        <v>3073</v>
      </c>
      <c r="B631" s="46" t="s">
        <v>3074</v>
      </c>
      <c r="C631" s="46" t="s">
        <v>498</v>
      </c>
      <c r="D631" s="59"/>
      <c r="E631" s="59">
        <v>0</v>
      </c>
      <c r="F631" s="59">
        <v>0</v>
      </c>
      <c r="G631" s="60" t="s">
        <v>3075</v>
      </c>
      <c r="H631" s="60" t="s">
        <v>3076</v>
      </c>
      <c r="I631" s="60">
        <v>2</v>
      </c>
      <c r="J631" s="60"/>
      <c r="K631" s="60" t="s">
        <v>3077</v>
      </c>
      <c r="L631" s="60">
        <v>7303425</v>
      </c>
      <c r="M631" s="60"/>
      <c r="N631" s="58" t="e">
        <f>VLOOKUP(B631,歌单!B:C,2,0)</f>
        <v>#N/A</v>
      </c>
      <c r="O631" s="58">
        <f t="shared" si="9"/>
        <v>1</v>
      </c>
      <c r="P631" s="62" t="s">
        <v>10246</v>
      </c>
      <c r="Q631" s="58" t="s">
        <v>10252</v>
      </c>
      <c r="R631" s="62"/>
    </row>
    <row r="632" spans="1:18" ht="15" customHeight="1">
      <c r="A632" s="4" t="s">
        <v>3078</v>
      </c>
      <c r="B632" s="46" t="s">
        <v>3079</v>
      </c>
      <c r="C632" s="46" t="s">
        <v>3080</v>
      </c>
      <c r="D632" s="59"/>
      <c r="E632" s="59">
        <v>0</v>
      </c>
      <c r="F632" s="59">
        <v>0</v>
      </c>
      <c r="G632" s="60" t="s">
        <v>3081</v>
      </c>
      <c r="H632" s="60" t="s">
        <v>3082</v>
      </c>
      <c r="I632" s="60">
        <v>30</v>
      </c>
      <c r="J632" s="60"/>
      <c r="K632" s="60" t="s">
        <v>3083</v>
      </c>
      <c r="L632" s="60">
        <v>3507425</v>
      </c>
      <c r="M632" s="60"/>
      <c r="N632" s="58" t="e">
        <f>VLOOKUP(B632,歌单!B:C,2,0)</f>
        <v>#N/A</v>
      </c>
      <c r="O632" s="58">
        <f t="shared" si="9"/>
        <v>1</v>
      </c>
      <c r="P632" s="62" t="s">
        <v>10246</v>
      </c>
      <c r="Q632" s="58" t="s">
        <v>10252</v>
      </c>
      <c r="R632" s="62"/>
    </row>
    <row r="633" spans="1:18" ht="15" hidden="1" customHeight="1">
      <c r="A633" s="4" t="s">
        <v>3084</v>
      </c>
      <c r="B633" s="46" t="s">
        <v>126</v>
      </c>
      <c r="C633" s="46" t="s">
        <v>127</v>
      </c>
      <c r="D633" s="59"/>
      <c r="E633" s="59">
        <v>0</v>
      </c>
      <c r="F633" s="59">
        <v>0</v>
      </c>
      <c r="G633" s="60" t="s">
        <v>3085</v>
      </c>
      <c r="H633" s="60" t="s">
        <v>3086</v>
      </c>
      <c r="I633" s="60">
        <v>6399</v>
      </c>
      <c r="J633" s="60" t="s">
        <v>3087</v>
      </c>
      <c r="K633" s="60" t="s">
        <v>3088</v>
      </c>
      <c r="L633" s="60">
        <v>834285022</v>
      </c>
      <c r="M633" s="60" t="s">
        <v>534</v>
      </c>
      <c r="N633" s="58" t="str">
        <f>VLOOKUP(B633,歌单!B:C,2,0)</f>
        <v>江语晨</v>
      </c>
      <c r="O633" s="58">
        <f t="shared" si="9"/>
        <v>0</v>
      </c>
      <c r="P633" s="62" t="str">
        <f>VLOOKUP(B633,歌单!B:E,3,0)</f>
        <v>国语</v>
      </c>
      <c r="Q633" s="58" t="str">
        <f>VLOOKUP(B633,歌单!B:E,4,0)</f>
        <v>流行</v>
      </c>
      <c r="R633" s="62"/>
    </row>
    <row r="634" spans="1:18" ht="15" customHeight="1">
      <c r="A634" s="4" t="s">
        <v>3089</v>
      </c>
      <c r="B634" s="46" t="s">
        <v>3090</v>
      </c>
      <c r="C634" s="46" t="s">
        <v>1366</v>
      </c>
      <c r="D634" s="59"/>
      <c r="E634" s="59">
        <v>0</v>
      </c>
      <c r="F634" s="59">
        <v>0</v>
      </c>
      <c r="G634" s="60" t="s">
        <v>3091</v>
      </c>
      <c r="H634" s="60" t="s">
        <v>3092</v>
      </c>
      <c r="I634" s="60">
        <v>0</v>
      </c>
      <c r="J634" s="60"/>
      <c r="K634" s="60" t="s">
        <v>3093</v>
      </c>
      <c r="L634" s="60">
        <v>74851</v>
      </c>
      <c r="M634" s="60"/>
      <c r="N634" s="58" t="e">
        <f>VLOOKUP(B634,歌单!B:C,2,0)</f>
        <v>#N/A</v>
      </c>
      <c r="O634" s="58">
        <f t="shared" si="9"/>
        <v>1</v>
      </c>
      <c r="P634" s="62" t="s">
        <v>10246</v>
      </c>
      <c r="Q634" s="58" t="s">
        <v>10252</v>
      </c>
      <c r="R634" s="62"/>
    </row>
    <row r="635" spans="1:18" ht="15" hidden="1" customHeight="1">
      <c r="A635" s="4" t="s">
        <v>3094</v>
      </c>
      <c r="B635" s="46" t="s">
        <v>3095</v>
      </c>
      <c r="C635" s="46" t="s">
        <v>509</v>
      </c>
      <c r="D635" s="59"/>
      <c r="E635" s="59">
        <v>0</v>
      </c>
      <c r="F635" s="59">
        <v>0</v>
      </c>
      <c r="G635" s="60" t="s">
        <v>3096</v>
      </c>
      <c r="H635" s="60" t="s">
        <v>3097</v>
      </c>
      <c r="I635" s="60">
        <v>834</v>
      </c>
      <c r="J635" s="60"/>
      <c r="K635" s="60" t="s">
        <v>3098</v>
      </c>
      <c r="L635" s="60">
        <v>308693057</v>
      </c>
      <c r="M635" s="60"/>
      <c r="N635" s="58" t="str">
        <f>VLOOKUP(B635,歌单!B:C,2,0)</f>
        <v>张韶涵</v>
      </c>
      <c r="O635" s="58">
        <f t="shared" si="9"/>
        <v>0</v>
      </c>
      <c r="P635" s="62" t="str">
        <f>VLOOKUP(B635,歌单!B:E,3,0)</f>
        <v>国语</v>
      </c>
      <c r="Q635" s="58" t="str">
        <f>VLOOKUP(B635,歌单!B:E,4,0)</f>
        <v>流行</v>
      </c>
      <c r="R635" s="62"/>
    </row>
    <row r="636" spans="1:18" ht="15" customHeight="1">
      <c r="A636" s="4" t="s">
        <v>3099</v>
      </c>
      <c r="B636" s="46" t="s">
        <v>3100</v>
      </c>
      <c r="C636" s="46" t="s">
        <v>3101</v>
      </c>
      <c r="D636" s="59"/>
      <c r="E636" s="59">
        <v>0</v>
      </c>
      <c r="F636" s="59">
        <v>0</v>
      </c>
      <c r="G636" s="60" t="s">
        <v>3102</v>
      </c>
      <c r="H636" s="60" t="s">
        <v>3103</v>
      </c>
      <c r="I636" s="60">
        <v>6987</v>
      </c>
      <c r="J636" s="60" t="s">
        <v>3104</v>
      </c>
      <c r="K636" s="60" t="s">
        <v>3105</v>
      </c>
      <c r="L636" s="60">
        <v>1280393493</v>
      </c>
      <c r="M636" s="60"/>
      <c r="N636" s="58" t="e">
        <f>VLOOKUP(B636,歌单!B:C,2,0)</f>
        <v>#N/A</v>
      </c>
      <c r="O636" s="58">
        <f t="shared" si="9"/>
        <v>1</v>
      </c>
      <c r="P636" s="62" t="s">
        <v>10247</v>
      </c>
      <c r="Q636" s="58" t="s">
        <v>10239</v>
      </c>
      <c r="R636" s="62"/>
    </row>
    <row r="637" spans="1:18" ht="15" customHeight="1">
      <c r="A637" s="4" t="s">
        <v>3106</v>
      </c>
      <c r="B637" s="46" t="s">
        <v>3107</v>
      </c>
      <c r="C637" s="46" t="s">
        <v>679</v>
      </c>
      <c r="D637" s="59" t="s">
        <v>3108</v>
      </c>
      <c r="E637" s="59">
        <v>285</v>
      </c>
      <c r="F637" s="59">
        <v>40</v>
      </c>
      <c r="G637" s="60" t="s">
        <v>3109</v>
      </c>
      <c r="H637" s="60" t="s">
        <v>3110</v>
      </c>
      <c r="I637" s="60">
        <v>1022</v>
      </c>
      <c r="J637" s="60"/>
      <c r="K637" s="60" t="s">
        <v>3107</v>
      </c>
      <c r="L637" s="60">
        <v>491095581</v>
      </c>
      <c r="M637" s="60" t="s">
        <v>826</v>
      </c>
      <c r="N637" s="58" t="e">
        <f>VLOOKUP(B637,歌单!B:C,2,0)</f>
        <v>#N/A</v>
      </c>
      <c r="O637" s="58">
        <f t="shared" si="9"/>
        <v>1</v>
      </c>
      <c r="P637" s="62" t="s">
        <v>10246</v>
      </c>
      <c r="Q637" s="58" t="s">
        <v>10252</v>
      </c>
      <c r="R637" s="62"/>
    </row>
    <row r="638" spans="1:18" ht="15" customHeight="1">
      <c r="A638" s="4" t="s">
        <v>3111</v>
      </c>
      <c r="B638" s="46" t="s">
        <v>3112</v>
      </c>
      <c r="C638" s="46" t="s">
        <v>1331</v>
      </c>
      <c r="D638" s="59"/>
      <c r="E638" s="59">
        <v>0</v>
      </c>
      <c r="F638" s="59">
        <v>0</v>
      </c>
      <c r="G638" s="60" t="s">
        <v>3113</v>
      </c>
      <c r="H638" s="60" t="s">
        <v>3114</v>
      </c>
      <c r="I638" s="60">
        <v>463</v>
      </c>
      <c r="J638" s="60"/>
      <c r="K638" s="60" t="s">
        <v>1334</v>
      </c>
      <c r="L638" s="60">
        <v>41950349</v>
      </c>
      <c r="M638" s="60"/>
      <c r="N638" s="58" t="e">
        <f>VLOOKUP(B638,歌单!B:C,2,0)</f>
        <v>#N/A</v>
      </c>
      <c r="O638" s="58">
        <f t="shared" si="9"/>
        <v>1</v>
      </c>
      <c r="P638" s="62" t="s">
        <v>10246</v>
      </c>
      <c r="Q638" s="58" t="s">
        <v>6678</v>
      </c>
      <c r="R638" s="62"/>
    </row>
    <row r="639" spans="1:18" ht="15" hidden="1" customHeight="1">
      <c r="A639" s="4" t="s">
        <v>3115</v>
      </c>
      <c r="B639" s="46" t="s">
        <v>3116</v>
      </c>
      <c r="C639" s="46" t="s">
        <v>3117</v>
      </c>
      <c r="D639" s="59"/>
      <c r="E639" s="59">
        <v>0</v>
      </c>
      <c r="F639" s="59">
        <v>0</v>
      </c>
      <c r="G639" s="60" t="s">
        <v>3118</v>
      </c>
      <c r="H639" s="60"/>
      <c r="I639" s="60">
        <v>218</v>
      </c>
      <c r="J639" s="60"/>
      <c r="K639" s="60" t="s">
        <v>3116</v>
      </c>
      <c r="L639" s="60">
        <v>46774286</v>
      </c>
      <c r="M639" s="60"/>
      <c r="N639" s="58" t="str">
        <f>VLOOKUP(B639,歌单!B:C,2,0)</f>
        <v>庞龙</v>
      </c>
      <c r="O639" s="58">
        <f t="shared" si="9"/>
        <v>0</v>
      </c>
      <c r="P639" s="62" t="str">
        <f>VLOOKUP(B639,歌单!B:E,3,0)</f>
        <v>国语</v>
      </c>
      <c r="Q639" s="58" t="str">
        <f>VLOOKUP(B639,歌单!B:E,4,0)</f>
        <v>流行</v>
      </c>
      <c r="R639" s="62"/>
    </row>
    <row r="640" spans="1:18" ht="15" customHeight="1">
      <c r="A640" s="4" t="s">
        <v>3119</v>
      </c>
      <c r="B640" s="46" t="s">
        <v>3120</v>
      </c>
      <c r="C640" s="46" t="s">
        <v>1331</v>
      </c>
      <c r="D640" s="59"/>
      <c r="E640" s="59">
        <v>0</v>
      </c>
      <c r="F640" s="59">
        <v>0</v>
      </c>
      <c r="G640" s="60" t="s">
        <v>3121</v>
      </c>
      <c r="H640" s="60" t="s">
        <v>3122</v>
      </c>
      <c r="I640" s="60">
        <v>0</v>
      </c>
      <c r="J640" s="60"/>
      <c r="K640" s="60" t="s">
        <v>3123</v>
      </c>
      <c r="L640" s="60">
        <v>199012</v>
      </c>
      <c r="M640" s="60"/>
      <c r="N640" s="58">
        <f>VLOOKUP(B640,歌单!B:C,2,0)</f>
        <v>0</v>
      </c>
      <c r="O640" s="58">
        <f t="shared" si="9"/>
        <v>1</v>
      </c>
      <c r="P640" s="62" t="str">
        <f>VLOOKUP(B640,歌单!B:E,3,0)</f>
        <v>国语</v>
      </c>
      <c r="Q640" s="58" t="s">
        <v>6678</v>
      </c>
      <c r="R640" s="62"/>
    </row>
    <row r="641" spans="1:18" ht="15" customHeight="1">
      <c r="A641" s="4" t="s">
        <v>3124</v>
      </c>
      <c r="B641" s="46" t="s">
        <v>3125</v>
      </c>
      <c r="C641" s="46" t="s">
        <v>3126</v>
      </c>
      <c r="D641" s="59"/>
      <c r="E641" s="59">
        <v>0</v>
      </c>
      <c r="F641" s="59">
        <v>0</v>
      </c>
      <c r="G641" s="60" t="s">
        <v>3127</v>
      </c>
      <c r="H641" s="60" t="s">
        <v>3128</v>
      </c>
      <c r="I641" s="60">
        <v>240</v>
      </c>
      <c r="J641" s="60"/>
      <c r="K641" s="60" t="s">
        <v>3129</v>
      </c>
      <c r="L641" s="60">
        <v>71736447</v>
      </c>
      <c r="M641" s="60"/>
      <c r="N641" s="58" t="e">
        <f>VLOOKUP(B641,歌单!B:C,2,0)</f>
        <v>#N/A</v>
      </c>
      <c r="O641" s="58">
        <f t="shared" ref="O641:O704" si="10">_xlfn.IFNA(IF(IFERROR(SEARCH(N641,C641),0)&gt;0,0,1),0)</f>
        <v>1</v>
      </c>
      <c r="P641" s="62" t="s">
        <v>10246</v>
      </c>
      <c r="Q641" s="58" t="s">
        <v>10252</v>
      </c>
      <c r="R641" s="62"/>
    </row>
    <row r="642" spans="1:18" ht="15" customHeight="1">
      <c r="A642" s="4" t="s">
        <v>3130</v>
      </c>
      <c r="B642" s="46" t="s">
        <v>3131</v>
      </c>
      <c r="C642" s="46" t="s">
        <v>3132</v>
      </c>
      <c r="D642" s="59"/>
      <c r="E642" s="59">
        <v>0</v>
      </c>
      <c r="F642" s="59">
        <v>0</v>
      </c>
      <c r="G642" s="60" t="s">
        <v>3133</v>
      </c>
      <c r="H642" s="60" t="s">
        <v>3134</v>
      </c>
      <c r="I642" s="60">
        <v>98</v>
      </c>
      <c r="J642" s="60"/>
      <c r="K642" s="60" t="s">
        <v>3131</v>
      </c>
      <c r="L642" s="60">
        <v>12394708</v>
      </c>
      <c r="M642" s="60"/>
      <c r="N642" s="58">
        <f>VLOOKUP(B642,歌单!B:C,2,0)</f>
        <v>0</v>
      </c>
      <c r="O642" s="58">
        <f t="shared" si="10"/>
        <v>1</v>
      </c>
      <c r="P642" s="62" t="str">
        <f>VLOOKUP(B642,歌单!B:E,3,0)</f>
        <v>国语</v>
      </c>
      <c r="Q642" s="58" t="str">
        <f>VLOOKUP(B642,歌单!B:E,4,0)</f>
        <v>流行</v>
      </c>
      <c r="R642" s="62"/>
    </row>
    <row r="643" spans="1:18" ht="15" customHeight="1">
      <c r="A643" s="4" t="s">
        <v>3135</v>
      </c>
      <c r="B643" s="46" t="s">
        <v>3136</v>
      </c>
      <c r="C643" s="46" t="s">
        <v>3137</v>
      </c>
      <c r="D643" s="59"/>
      <c r="E643" s="59">
        <v>0</v>
      </c>
      <c r="F643" s="59">
        <v>0</v>
      </c>
      <c r="G643" s="60" t="s">
        <v>3138</v>
      </c>
      <c r="H643" s="60" t="s">
        <v>3139</v>
      </c>
      <c r="I643" s="60">
        <v>35</v>
      </c>
      <c r="J643" s="60"/>
      <c r="K643" s="60" t="s">
        <v>3136</v>
      </c>
      <c r="L643" s="60">
        <v>10840206</v>
      </c>
      <c r="M643" s="60"/>
      <c r="N643" s="58" t="e">
        <f>VLOOKUP(B643,歌单!B:C,2,0)</f>
        <v>#N/A</v>
      </c>
      <c r="O643" s="58">
        <f t="shared" si="10"/>
        <v>1</v>
      </c>
      <c r="P643" s="62" t="s">
        <v>10246</v>
      </c>
      <c r="Q643" s="58" t="s">
        <v>10252</v>
      </c>
      <c r="R643" s="62"/>
    </row>
    <row r="644" spans="1:18" ht="15" hidden="1" customHeight="1">
      <c r="A644" s="4" t="s">
        <v>3140</v>
      </c>
      <c r="B644" s="46" t="s">
        <v>3141</v>
      </c>
      <c r="C644" s="46" t="s">
        <v>884</v>
      </c>
      <c r="D644" s="59" t="s">
        <v>3142</v>
      </c>
      <c r="E644" s="59">
        <v>14</v>
      </c>
      <c r="F644" s="59">
        <v>2</v>
      </c>
      <c r="G644" s="60" t="s">
        <v>3143</v>
      </c>
      <c r="H644" s="60" t="s">
        <v>3144</v>
      </c>
      <c r="I644" s="60">
        <v>711</v>
      </c>
      <c r="J644" s="60" t="s">
        <v>3145</v>
      </c>
      <c r="K644" s="60" t="s">
        <v>2373</v>
      </c>
      <c r="L644" s="60">
        <v>257991068</v>
      </c>
      <c r="M644" s="60" t="s">
        <v>826</v>
      </c>
      <c r="N644" s="58" t="str">
        <f>VLOOKUP(B644,歌单!B:C,2,0)</f>
        <v>王心凌</v>
      </c>
      <c r="O644" s="58">
        <f t="shared" si="10"/>
        <v>0</v>
      </c>
      <c r="P644" s="62" t="str">
        <f>VLOOKUP(B644,歌单!B:E,3,0)</f>
        <v>国语</v>
      </c>
      <c r="Q644" s="58" t="str">
        <f>VLOOKUP(B644,歌单!B:E,4,0)</f>
        <v>流行</v>
      </c>
      <c r="R644" s="62"/>
    </row>
    <row r="645" spans="1:18" ht="15" hidden="1" customHeight="1">
      <c r="A645" s="32" t="s">
        <v>3146</v>
      </c>
      <c r="B645" s="46" t="s">
        <v>3147</v>
      </c>
      <c r="C645" s="46" t="s">
        <v>3148</v>
      </c>
      <c r="D645" s="59"/>
      <c r="E645" s="59">
        <v>0</v>
      </c>
      <c r="F645" s="59">
        <v>0</v>
      </c>
      <c r="G645" s="60" t="s">
        <v>3149</v>
      </c>
      <c r="H645" s="60" t="s">
        <v>3150</v>
      </c>
      <c r="I645" s="60">
        <v>1539</v>
      </c>
      <c r="J645" s="60"/>
      <c r="K645" s="60" t="s">
        <v>3147</v>
      </c>
      <c r="L645" s="60">
        <v>108550892</v>
      </c>
      <c r="M645" s="60"/>
      <c r="N645" s="56" t="str">
        <f>VLOOKUP(B645,歌单!B:C,2,0)</f>
        <v>张晓棠</v>
      </c>
      <c r="O645" s="58">
        <f t="shared" si="10"/>
        <v>1</v>
      </c>
      <c r="P645" s="62" t="str">
        <f>VLOOKUP(B645,歌单!B:E,3,0)</f>
        <v>国语</v>
      </c>
      <c r="Q645" s="58" t="str">
        <f>VLOOKUP(B645,歌单!B:E,4,0)</f>
        <v>流行</v>
      </c>
      <c r="R645" s="62"/>
    </row>
    <row r="646" spans="1:18" ht="15" customHeight="1">
      <c r="A646" s="4" t="s">
        <v>3151</v>
      </c>
      <c r="B646" s="46" t="s">
        <v>3152</v>
      </c>
      <c r="C646" s="46" t="s">
        <v>679</v>
      </c>
      <c r="D646" s="59"/>
      <c r="E646" s="59">
        <v>0</v>
      </c>
      <c r="F646" s="59">
        <v>0</v>
      </c>
      <c r="G646" s="60" t="s">
        <v>3153</v>
      </c>
      <c r="H646" s="60"/>
      <c r="I646" s="60">
        <v>55</v>
      </c>
      <c r="J646" s="60"/>
      <c r="K646" s="60" t="s">
        <v>1291</v>
      </c>
      <c r="L646" s="60">
        <v>37229937</v>
      </c>
      <c r="M646" s="60"/>
      <c r="N646" s="58" t="e">
        <f>VLOOKUP(B646,歌单!B:C,2,0)</f>
        <v>#N/A</v>
      </c>
      <c r="O646" s="58">
        <f t="shared" si="10"/>
        <v>1</v>
      </c>
      <c r="P646" s="62" t="s">
        <v>10246</v>
      </c>
      <c r="Q646" s="58" t="s">
        <v>10252</v>
      </c>
      <c r="R646" s="62"/>
    </row>
    <row r="647" spans="1:18" ht="15" hidden="1" customHeight="1">
      <c r="A647" s="32" t="s">
        <v>3154</v>
      </c>
      <c r="B647" s="46" t="s">
        <v>3155</v>
      </c>
      <c r="C647" s="46" t="s">
        <v>7400</v>
      </c>
      <c r="D647" s="59"/>
      <c r="E647" s="59">
        <v>0</v>
      </c>
      <c r="F647" s="59">
        <v>0</v>
      </c>
      <c r="G647" s="60" t="s">
        <v>3157</v>
      </c>
      <c r="H647" s="60" t="s">
        <v>3158</v>
      </c>
      <c r="I647" s="60">
        <v>431</v>
      </c>
      <c r="J647" s="60"/>
      <c r="K647" s="60" t="s">
        <v>3159</v>
      </c>
      <c r="L647" s="60">
        <v>54579824</v>
      </c>
      <c r="M647" s="60"/>
      <c r="N647" s="68" t="str">
        <f>VLOOKUP(B647,歌单!B:C,2,0)</f>
        <v>J.Sheon</v>
      </c>
      <c r="O647" s="58">
        <f t="shared" si="10"/>
        <v>1</v>
      </c>
      <c r="P647" s="62" t="str">
        <f>VLOOKUP(B647,歌单!B:E,3,0)</f>
        <v>国语</v>
      </c>
      <c r="Q647" s="58" t="str">
        <f>VLOOKUP(B647,歌单!B:E,4,0)</f>
        <v>流行</v>
      </c>
      <c r="R647" s="62"/>
    </row>
    <row r="648" spans="1:18" ht="15" customHeight="1">
      <c r="A648" s="4" t="s">
        <v>3160</v>
      </c>
      <c r="B648" s="46" t="s">
        <v>3161</v>
      </c>
      <c r="C648" s="46" t="s">
        <v>3162</v>
      </c>
      <c r="D648" s="59"/>
      <c r="E648" s="59">
        <v>0</v>
      </c>
      <c r="F648" s="59">
        <v>0</v>
      </c>
      <c r="G648" s="60" t="s">
        <v>3163</v>
      </c>
      <c r="H648" s="60" t="s">
        <v>3164</v>
      </c>
      <c r="I648" s="60">
        <v>1759</v>
      </c>
      <c r="J648" s="60"/>
      <c r="K648" s="60" t="s">
        <v>3161</v>
      </c>
      <c r="L648" s="60">
        <v>551836533</v>
      </c>
      <c r="M648" s="60"/>
      <c r="N648" s="58">
        <f>VLOOKUP(B648,歌单!B:C,2,0)</f>
        <v>0</v>
      </c>
      <c r="O648" s="58">
        <f t="shared" si="10"/>
        <v>1</v>
      </c>
      <c r="P648" s="62" t="str">
        <f>VLOOKUP(B648,歌单!B:E,3,0)</f>
        <v>国语</v>
      </c>
      <c r="Q648" s="58" t="str">
        <f>VLOOKUP(B648,歌单!B:E,4,0)</f>
        <v>流行</v>
      </c>
      <c r="R648" s="62"/>
    </row>
    <row r="649" spans="1:18" ht="15" hidden="1" customHeight="1">
      <c r="A649" s="32" t="s">
        <v>3165</v>
      </c>
      <c r="B649" s="46" t="s">
        <v>3166</v>
      </c>
      <c r="C649" s="46" t="s">
        <v>650</v>
      </c>
      <c r="D649" s="59"/>
      <c r="E649" s="59">
        <v>0</v>
      </c>
      <c r="F649" s="59">
        <v>0</v>
      </c>
      <c r="G649" s="60" t="s">
        <v>3167</v>
      </c>
      <c r="H649" s="60" t="s">
        <v>3168</v>
      </c>
      <c r="I649" s="60">
        <v>751</v>
      </c>
      <c r="J649" s="60" t="s">
        <v>3169</v>
      </c>
      <c r="K649" s="60" t="s">
        <v>3170</v>
      </c>
      <c r="L649" s="60">
        <v>157759348</v>
      </c>
      <c r="M649" s="60"/>
      <c r="N649" s="56" t="str">
        <f>VLOOKUP(B649,歌单!B:C,2,0)</f>
        <v>李建</v>
      </c>
      <c r="O649" s="58">
        <f t="shared" si="10"/>
        <v>1</v>
      </c>
      <c r="P649" s="62" t="str">
        <f>VLOOKUP(B649,歌单!B:E,3,0)</f>
        <v>国语</v>
      </c>
      <c r="Q649" s="58" t="str">
        <f>VLOOKUP(B649,歌单!B:E,4,0)</f>
        <v>流行</v>
      </c>
      <c r="R649" s="62"/>
    </row>
    <row r="650" spans="1:18" ht="15" customHeight="1">
      <c r="A650" s="4" t="s">
        <v>3171</v>
      </c>
      <c r="B650" s="46" t="s">
        <v>3172</v>
      </c>
      <c r="C650" s="46" t="s">
        <v>517</v>
      </c>
      <c r="D650" s="59"/>
      <c r="E650" s="59">
        <v>0</v>
      </c>
      <c r="F650" s="59">
        <v>0</v>
      </c>
      <c r="G650" s="60"/>
      <c r="H650" s="60" t="s">
        <v>3173</v>
      </c>
      <c r="I650" s="60">
        <v>955</v>
      </c>
      <c r="J650" s="60"/>
      <c r="K650" s="60" t="s">
        <v>3174</v>
      </c>
      <c r="L650" s="60">
        <v>255026696</v>
      </c>
      <c r="M650" s="60"/>
      <c r="N650" s="58">
        <f>VLOOKUP(B650,歌单!B:C,2,0)</f>
        <v>0</v>
      </c>
      <c r="O650" s="58">
        <f t="shared" si="10"/>
        <v>1</v>
      </c>
      <c r="P650" s="62" t="str">
        <f>VLOOKUP(B650,歌单!B:E,3,0)</f>
        <v>国语</v>
      </c>
      <c r="Q650" s="58" t="str">
        <f>VLOOKUP(B650,歌单!B:E,4,0)</f>
        <v>流行</v>
      </c>
      <c r="R650" s="62"/>
    </row>
    <row r="651" spans="1:18" ht="15" hidden="1" customHeight="1">
      <c r="A651" s="4" t="s">
        <v>3175</v>
      </c>
      <c r="B651" s="46" t="s">
        <v>3176</v>
      </c>
      <c r="C651" s="46" t="s">
        <v>3177</v>
      </c>
      <c r="D651" s="59"/>
      <c r="E651" s="59">
        <v>0</v>
      </c>
      <c r="F651" s="59">
        <v>0</v>
      </c>
      <c r="G651" s="60" t="s">
        <v>3178</v>
      </c>
      <c r="H651" s="60" t="s">
        <v>3179</v>
      </c>
      <c r="I651" s="60">
        <v>8134</v>
      </c>
      <c r="J651" s="60"/>
      <c r="K651" s="60" t="s">
        <v>373</v>
      </c>
      <c r="L651" s="60">
        <v>429690273</v>
      </c>
      <c r="M651" s="60"/>
      <c r="N651" s="58" t="str">
        <f>VLOOKUP(B651,歌单!B:C,2,0)</f>
        <v>周杰伦</v>
      </c>
      <c r="O651" s="58">
        <f t="shared" si="10"/>
        <v>0</v>
      </c>
      <c r="P651" s="62" t="str">
        <f>VLOOKUP(B651,歌单!B:E,3,0)</f>
        <v>国语</v>
      </c>
      <c r="Q651" s="58" t="str">
        <f>VLOOKUP(B651,歌单!B:E,4,0)</f>
        <v>流行</v>
      </c>
      <c r="R651" s="62"/>
    </row>
    <row r="652" spans="1:18" ht="15" hidden="1" customHeight="1">
      <c r="A652" s="4" t="s">
        <v>3180</v>
      </c>
      <c r="B652" s="46" t="s">
        <v>3181</v>
      </c>
      <c r="C652" s="46" t="s">
        <v>3182</v>
      </c>
      <c r="D652" s="59">
        <v>0</v>
      </c>
      <c r="E652" s="59">
        <v>0</v>
      </c>
      <c r="F652" s="59"/>
      <c r="G652" s="60" t="s">
        <v>3183</v>
      </c>
      <c r="H652" s="60" t="s">
        <v>3184</v>
      </c>
      <c r="I652" s="60">
        <v>1735</v>
      </c>
      <c r="J652" s="60" t="s">
        <v>3185</v>
      </c>
      <c r="K652" s="60" t="s">
        <v>3181</v>
      </c>
      <c r="L652" s="60">
        <v>123868678</v>
      </c>
      <c r="M652" s="60"/>
      <c r="N652" s="58" t="str">
        <f>VLOOKUP(B652,歌单!B:C,2,0)</f>
        <v>韦礼安</v>
      </c>
      <c r="O652" s="58">
        <f t="shared" si="10"/>
        <v>0</v>
      </c>
      <c r="P652" s="62" t="str">
        <f>VLOOKUP(B652,歌单!B:E,3,0)</f>
        <v>国语</v>
      </c>
      <c r="Q652" s="58" t="str">
        <f>VLOOKUP(B652,歌单!B:E,4,0)</f>
        <v>流行</v>
      </c>
      <c r="R652" s="62"/>
    </row>
    <row r="653" spans="1:18" ht="15" hidden="1" customHeight="1">
      <c r="A653" s="4" t="s">
        <v>3186</v>
      </c>
      <c r="B653" s="46" t="s">
        <v>3181</v>
      </c>
      <c r="C653" s="46" t="s">
        <v>3182</v>
      </c>
      <c r="D653" s="59">
        <v>0</v>
      </c>
      <c r="E653" s="59">
        <v>0</v>
      </c>
      <c r="F653" s="59"/>
      <c r="G653" s="60" t="s">
        <v>3183</v>
      </c>
      <c r="H653" s="60" t="s">
        <v>3184</v>
      </c>
      <c r="I653" s="60">
        <v>1735</v>
      </c>
      <c r="J653" s="60" t="s">
        <v>3185</v>
      </c>
      <c r="K653" s="60" t="s">
        <v>3181</v>
      </c>
      <c r="L653" s="60">
        <v>123868678</v>
      </c>
      <c r="M653" s="60"/>
      <c r="N653" s="58" t="str">
        <f>VLOOKUP(B653,歌单!B:C,2,0)</f>
        <v>韦礼安</v>
      </c>
      <c r="O653" s="58">
        <f t="shared" si="10"/>
        <v>0</v>
      </c>
      <c r="P653" s="62" t="str">
        <f>VLOOKUP(B653,歌单!B:E,3,0)</f>
        <v>国语</v>
      </c>
      <c r="Q653" s="58" t="str">
        <f>VLOOKUP(B653,歌单!B:E,4,0)</f>
        <v>流行</v>
      </c>
      <c r="R653" s="62"/>
    </row>
    <row r="654" spans="1:18" ht="15" customHeight="1">
      <c r="A654" s="4" t="s">
        <v>3187</v>
      </c>
      <c r="B654" s="46" t="s">
        <v>3188</v>
      </c>
      <c r="C654" s="46" t="s">
        <v>3189</v>
      </c>
      <c r="D654" s="59">
        <v>0</v>
      </c>
      <c r="E654" s="59">
        <v>0</v>
      </c>
      <c r="F654" s="59"/>
      <c r="G654" s="60" t="s">
        <v>3190</v>
      </c>
      <c r="H654" s="60" t="s">
        <v>3191</v>
      </c>
      <c r="I654" s="60">
        <v>32</v>
      </c>
      <c r="J654" s="60" t="s">
        <v>3192</v>
      </c>
      <c r="K654" s="60" t="s">
        <v>3188</v>
      </c>
      <c r="L654" s="60">
        <v>7621238</v>
      </c>
      <c r="M654" s="60"/>
      <c r="N654" s="58" t="e">
        <f>VLOOKUP(B654,歌单!B:C,2,0)</f>
        <v>#N/A</v>
      </c>
      <c r="O654" s="58">
        <f t="shared" si="10"/>
        <v>1</v>
      </c>
      <c r="P654" s="62" t="s">
        <v>10246</v>
      </c>
      <c r="Q654" s="58" t="s">
        <v>6678</v>
      </c>
      <c r="R654" s="62"/>
    </row>
    <row r="655" spans="1:18" ht="15" hidden="1" customHeight="1">
      <c r="A655" s="4" t="s">
        <v>3193</v>
      </c>
      <c r="B655" s="46" t="s">
        <v>3194</v>
      </c>
      <c r="C655" s="46" t="s">
        <v>154</v>
      </c>
      <c r="D655" s="59">
        <v>0</v>
      </c>
      <c r="E655" s="59">
        <v>0</v>
      </c>
      <c r="F655" s="59"/>
      <c r="G655" s="60" t="s">
        <v>3195</v>
      </c>
      <c r="H655" s="60"/>
      <c r="I655" s="60">
        <v>781</v>
      </c>
      <c r="J655" s="60"/>
      <c r="K655" s="60" t="s">
        <v>636</v>
      </c>
      <c r="L655" s="60">
        <v>282015307</v>
      </c>
      <c r="M655" s="60"/>
      <c r="N655" s="58" t="str">
        <f>VLOOKUP(B655,歌单!B:C,2,0)</f>
        <v>周杰伦</v>
      </c>
      <c r="O655" s="58">
        <f t="shared" si="10"/>
        <v>0</v>
      </c>
      <c r="P655" s="62" t="str">
        <f>VLOOKUP(B655,歌单!B:E,3,0)</f>
        <v>国语</v>
      </c>
      <c r="Q655" s="58" t="str">
        <f>VLOOKUP(B655,歌单!B:E,4,0)</f>
        <v>流行</v>
      </c>
      <c r="R655" s="62"/>
    </row>
    <row r="656" spans="1:18" ht="15" customHeight="1">
      <c r="A656" s="4" t="s">
        <v>3196</v>
      </c>
      <c r="B656" s="46" t="s">
        <v>3197</v>
      </c>
      <c r="C656" s="46" t="s">
        <v>3198</v>
      </c>
      <c r="D656" s="59">
        <v>0</v>
      </c>
      <c r="E656" s="59">
        <v>0</v>
      </c>
      <c r="F656" s="59"/>
      <c r="G656" s="60" t="s">
        <v>3199</v>
      </c>
      <c r="H656" s="60" t="s">
        <v>3200</v>
      </c>
      <c r="I656" s="60">
        <v>202</v>
      </c>
      <c r="J656" s="60"/>
      <c r="K656" s="60" t="s">
        <v>3197</v>
      </c>
      <c r="L656" s="60">
        <v>18674263</v>
      </c>
      <c r="M656" s="60"/>
      <c r="N656" s="58" t="e">
        <f>VLOOKUP(B656,歌单!B:C,2,0)</f>
        <v>#N/A</v>
      </c>
      <c r="O656" s="58">
        <f t="shared" si="10"/>
        <v>1</v>
      </c>
      <c r="P656" s="62" t="s">
        <v>10246</v>
      </c>
      <c r="Q656" s="58" t="s">
        <v>10252</v>
      </c>
      <c r="R656" s="62"/>
    </row>
    <row r="657" spans="1:18" ht="15" customHeight="1">
      <c r="A657" s="4" t="s">
        <v>3201</v>
      </c>
      <c r="B657" s="46" t="s">
        <v>3202</v>
      </c>
      <c r="C657" s="46" t="s">
        <v>3203</v>
      </c>
      <c r="D657" s="59">
        <v>0</v>
      </c>
      <c r="E657" s="59">
        <v>0</v>
      </c>
      <c r="F657" s="59"/>
      <c r="G657" s="60" t="s">
        <v>3204</v>
      </c>
      <c r="H657" s="60" t="s">
        <v>3205</v>
      </c>
      <c r="I657" s="60">
        <v>208</v>
      </c>
      <c r="J657" s="60" t="s">
        <v>3206</v>
      </c>
      <c r="K657" s="60" t="s">
        <v>3207</v>
      </c>
      <c r="L657" s="60">
        <v>70133352</v>
      </c>
      <c r="M657" s="60"/>
      <c r="N657" s="58" t="e">
        <f>VLOOKUP(B657,歌单!B:C,2,0)</f>
        <v>#N/A</v>
      </c>
      <c r="O657" s="58">
        <f t="shared" si="10"/>
        <v>1</v>
      </c>
      <c r="P657" s="62" t="s">
        <v>10249</v>
      </c>
      <c r="Q657" s="58" t="s">
        <v>10252</v>
      </c>
      <c r="R657" s="62"/>
    </row>
    <row r="658" spans="1:18" ht="15" hidden="1" customHeight="1">
      <c r="A658" s="4" t="s">
        <v>3208</v>
      </c>
      <c r="B658" s="46" t="s">
        <v>3209</v>
      </c>
      <c r="C658" s="46" t="s">
        <v>188</v>
      </c>
      <c r="D658" s="59">
        <v>1950384180</v>
      </c>
      <c r="E658" s="59">
        <v>1431686049</v>
      </c>
      <c r="F658" s="59" t="s">
        <v>3210</v>
      </c>
      <c r="G658" s="60" t="s">
        <v>3211</v>
      </c>
      <c r="H658" s="60" t="s">
        <v>3212</v>
      </c>
      <c r="I658" s="60">
        <v>733</v>
      </c>
      <c r="J658" s="60" t="s">
        <v>3213</v>
      </c>
      <c r="K658" s="60" t="s">
        <v>3209</v>
      </c>
      <c r="L658" s="60">
        <v>147169382</v>
      </c>
      <c r="M658" s="60" t="s">
        <v>202</v>
      </c>
      <c r="N658" s="58" t="str">
        <f>VLOOKUP(B658,歌单!B:C,2,0)</f>
        <v>周深</v>
      </c>
      <c r="O658" s="58">
        <f t="shared" si="10"/>
        <v>0</v>
      </c>
      <c r="P658" s="62" t="str">
        <f>VLOOKUP(B658,歌单!B:E,3,0)</f>
        <v>国语</v>
      </c>
      <c r="Q658" s="58" t="str">
        <f>VLOOKUP(B658,歌单!B:E,4,0)</f>
        <v>流行</v>
      </c>
      <c r="R658" s="62"/>
    </row>
    <row r="659" spans="1:18" ht="15" customHeight="1">
      <c r="A659" s="4" t="s">
        <v>3214</v>
      </c>
      <c r="B659" s="46" t="s">
        <v>139</v>
      </c>
      <c r="C659" s="46" t="s">
        <v>140</v>
      </c>
      <c r="D659" s="59">
        <v>0</v>
      </c>
      <c r="E659" s="59">
        <v>0</v>
      </c>
      <c r="F659" s="59"/>
      <c r="G659" s="60" t="s">
        <v>3215</v>
      </c>
      <c r="H659" s="60" t="s">
        <v>3216</v>
      </c>
      <c r="I659" s="60">
        <v>9</v>
      </c>
      <c r="J659" s="60"/>
      <c r="K659" s="60" t="s">
        <v>3217</v>
      </c>
      <c r="L659" s="60">
        <v>2216699</v>
      </c>
      <c r="M659" s="60"/>
      <c r="N659" s="58" t="e">
        <f>VLOOKUP(B659,歌单!B:C,2,0)</f>
        <v>#N/A</v>
      </c>
      <c r="O659" s="58">
        <f t="shared" si="10"/>
        <v>1</v>
      </c>
      <c r="P659" s="62" t="s">
        <v>10246</v>
      </c>
      <c r="Q659" s="58" t="s">
        <v>10252</v>
      </c>
      <c r="R659" s="62"/>
    </row>
    <row r="660" spans="1:18" ht="15" hidden="1" customHeight="1">
      <c r="A660" s="4" t="s">
        <v>3218</v>
      </c>
      <c r="B660" s="46" t="s">
        <v>1110</v>
      </c>
      <c r="C660" s="46" t="s">
        <v>679</v>
      </c>
      <c r="D660" s="59">
        <v>0</v>
      </c>
      <c r="E660" s="59">
        <v>0</v>
      </c>
      <c r="F660" s="59"/>
      <c r="G660" s="60" t="s">
        <v>3219</v>
      </c>
      <c r="H660" s="60" t="s">
        <v>3220</v>
      </c>
      <c r="I660" s="60">
        <v>344</v>
      </c>
      <c r="J660" s="60"/>
      <c r="K660" s="60" t="s">
        <v>1110</v>
      </c>
      <c r="L660" s="60">
        <v>98600843</v>
      </c>
      <c r="M660" s="60"/>
      <c r="N660" s="58" t="str">
        <f>VLOOKUP(B660,歌单!B:C,2,0)</f>
        <v>林俊杰</v>
      </c>
      <c r="O660" s="58">
        <f t="shared" si="10"/>
        <v>0</v>
      </c>
      <c r="P660" s="62" t="str">
        <f>VLOOKUP(B660,歌单!B:E,3,0)</f>
        <v>国语</v>
      </c>
      <c r="Q660" s="58" t="str">
        <f>VLOOKUP(B660,歌单!B:E,4,0)</f>
        <v>流行</v>
      </c>
      <c r="R660" s="62"/>
    </row>
    <row r="661" spans="1:18" ht="15" hidden="1" customHeight="1">
      <c r="A661" s="4" t="s">
        <v>3221</v>
      </c>
      <c r="B661" s="46" t="s">
        <v>3222</v>
      </c>
      <c r="C661" s="46" t="s">
        <v>154</v>
      </c>
      <c r="D661" s="59">
        <v>0</v>
      </c>
      <c r="E661" s="59">
        <v>0</v>
      </c>
      <c r="F661" s="59"/>
      <c r="G661" s="60" t="s">
        <v>3223</v>
      </c>
      <c r="H661" s="60" t="s">
        <v>3224</v>
      </c>
      <c r="I661" s="60">
        <v>1401</v>
      </c>
      <c r="J661" s="60" t="s">
        <v>3222</v>
      </c>
      <c r="K661" s="60" t="s">
        <v>640</v>
      </c>
      <c r="L661" s="60">
        <v>299369424</v>
      </c>
      <c r="M661" s="60"/>
      <c r="N661" s="58" t="str">
        <f>VLOOKUP(B661,歌单!B:C,2,0)</f>
        <v>周杰伦</v>
      </c>
      <c r="O661" s="58">
        <f t="shared" si="10"/>
        <v>0</v>
      </c>
      <c r="P661" s="62" t="str">
        <f>VLOOKUP(B661,歌单!B:E,3,0)</f>
        <v>国语</v>
      </c>
      <c r="Q661" s="58" t="str">
        <f>VLOOKUP(B661,歌单!B:E,4,0)</f>
        <v>流行</v>
      </c>
      <c r="R661" s="62"/>
    </row>
    <row r="662" spans="1:18" ht="15" customHeight="1">
      <c r="A662" s="4" t="s">
        <v>3225</v>
      </c>
      <c r="B662" s="46" t="s">
        <v>3120</v>
      </c>
      <c r="C662" s="46" t="s">
        <v>1331</v>
      </c>
      <c r="D662" s="59">
        <v>0</v>
      </c>
      <c r="E662" s="59">
        <v>0</v>
      </c>
      <c r="F662" s="59"/>
      <c r="G662" s="60" t="s">
        <v>3226</v>
      </c>
      <c r="H662" s="60" t="s">
        <v>3227</v>
      </c>
      <c r="I662" s="60">
        <v>17</v>
      </c>
      <c r="J662" s="60"/>
      <c r="K662" s="60" t="s">
        <v>3120</v>
      </c>
      <c r="L662" s="60">
        <v>9803663</v>
      </c>
      <c r="M662" s="60"/>
      <c r="N662" s="58">
        <f>VLOOKUP(B662,歌单!B:C,2,0)</f>
        <v>0</v>
      </c>
      <c r="O662" s="58">
        <f t="shared" si="10"/>
        <v>1</v>
      </c>
      <c r="P662" s="62" t="str">
        <f>VLOOKUP(B662,歌单!B:E,3,0)</f>
        <v>国语</v>
      </c>
      <c r="Q662" s="58" t="s">
        <v>6678</v>
      </c>
      <c r="R662" s="62"/>
    </row>
    <row r="663" spans="1:18" ht="15" hidden="1" customHeight="1">
      <c r="A663" s="4" t="s">
        <v>3228</v>
      </c>
      <c r="B663" s="46" t="s">
        <v>3229</v>
      </c>
      <c r="C663" s="46" t="s">
        <v>1117</v>
      </c>
      <c r="D663" s="59">
        <v>0</v>
      </c>
      <c r="E663" s="59">
        <v>0</v>
      </c>
      <c r="F663" s="59"/>
      <c r="G663" s="60" t="s">
        <v>3230</v>
      </c>
      <c r="H663" s="60" t="s">
        <v>3231</v>
      </c>
      <c r="I663" s="60">
        <v>2959</v>
      </c>
      <c r="J663" s="60" t="s">
        <v>3232</v>
      </c>
      <c r="K663" s="60" t="s">
        <v>3233</v>
      </c>
      <c r="L663" s="60">
        <v>111657012</v>
      </c>
      <c r="M663" s="60"/>
      <c r="N663" s="58" t="str">
        <f>VLOOKUP(B663,歌单!B:C,2,0)</f>
        <v>Sarah Brightman</v>
      </c>
      <c r="O663" s="58">
        <f t="shared" si="10"/>
        <v>0</v>
      </c>
      <c r="P663" s="62" t="str">
        <f>VLOOKUP(B663,歌单!B:E,3,0)</f>
        <v>英语</v>
      </c>
      <c r="Q663" s="58" t="str">
        <f>VLOOKUP(B663,歌单!B:E,4,0)</f>
        <v>流行</v>
      </c>
      <c r="R663" s="62"/>
    </row>
    <row r="664" spans="1:18" ht="15" customHeight="1">
      <c r="A664" s="4" t="s">
        <v>3234</v>
      </c>
      <c r="B664" s="46" t="s">
        <v>3234</v>
      </c>
      <c r="C664" s="46" t="s">
        <v>3235</v>
      </c>
      <c r="D664" s="59" t="s">
        <v>3236</v>
      </c>
      <c r="E664" s="59"/>
      <c r="F664" s="59"/>
      <c r="G664" s="60"/>
      <c r="H664" s="60"/>
      <c r="I664" s="60"/>
      <c r="J664" s="60"/>
      <c r="K664" s="60"/>
      <c r="L664" s="60"/>
      <c r="M664" s="60"/>
      <c r="N664" s="58" t="e">
        <f>VLOOKUP(B664,歌单!B:C,2,0)</f>
        <v>#N/A</v>
      </c>
      <c r="O664" s="58">
        <f t="shared" si="10"/>
        <v>1</v>
      </c>
      <c r="P664" s="62" t="s">
        <v>10246</v>
      </c>
      <c r="Q664" s="58" t="s">
        <v>10252</v>
      </c>
      <c r="R664" s="62"/>
    </row>
    <row r="665" spans="1:18" ht="15" hidden="1" customHeight="1">
      <c r="A665" s="4" t="s">
        <v>3237</v>
      </c>
      <c r="B665" s="46" t="s">
        <v>3238</v>
      </c>
      <c r="C665" s="46" t="s">
        <v>1331</v>
      </c>
      <c r="D665" s="59">
        <v>0</v>
      </c>
      <c r="E665" s="59">
        <v>0</v>
      </c>
      <c r="F665" s="59"/>
      <c r="G665" s="60" t="s">
        <v>3239</v>
      </c>
      <c r="H665" s="60" t="s">
        <v>3240</v>
      </c>
      <c r="I665" s="60">
        <v>841</v>
      </c>
      <c r="J665" s="60"/>
      <c r="K665" s="60"/>
      <c r="L665" s="60">
        <v>167213252</v>
      </c>
      <c r="M665" s="60"/>
      <c r="N665" s="58" t="str">
        <f>VLOOKUP(B665,歌单!B:C,2,0)</f>
        <v>陶喆</v>
      </c>
      <c r="O665" s="58">
        <f t="shared" si="10"/>
        <v>0</v>
      </c>
      <c r="P665" s="62" t="str">
        <f>VLOOKUP(B665,歌单!B:E,3,0)</f>
        <v>国语</v>
      </c>
      <c r="Q665" s="58" t="str">
        <f>VLOOKUP(B665,歌单!B:E,4,0)</f>
        <v>R&amp;B</v>
      </c>
      <c r="R665" s="62"/>
    </row>
    <row r="666" spans="1:18" ht="15" hidden="1" customHeight="1">
      <c r="A666" s="4" t="s">
        <v>3241</v>
      </c>
      <c r="B666" s="46" t="s">
        <v>3242</v>
      </c>
      <c r="C666" s="46" t="s">
        <v>3243</v>
      </c>
      <c r="D666" s="59">
        <v>0</v>
      </c>
      <c r="E666" s="59">
        <v>0</v>
      </c>
      <c r="F666" s="59"/>
      <c r="G666" s="60" t="s">
        <v>3244</v>
      </c>
      <c r="H666" s="60" t="s">
        <v>3245</v>
      </c>
      <c r="I666" s="60">
        <v>118</v>
      </c>
      <c r="J666" s="60"/>
      <c r="K666" s="60" t="s">
        <v>3242</v>
      </c>
      <c r="L666" s="60">
        <v>31347993</v>
      </c>
      <c r="M666" s="60"/>
      <c r="N666" s="58" t="str">
        <f>VLOOKUP(B666,歌单!B:C,2,0)</f>
        <v>徐良</v>
      </c>
      <c r="O666" s="58">
        <f t="shared" si="10"/>
        <v>0</v>
      </c>
      <c r="P666" s="62" t="str">
        <f>VLOOKUP(B666,歌单!B:E,3,0)</f>
        <v>国语</v>
      </c>
      <c r="Q666" s="58" t="str">
        <f>VLOOKUP(B666,歌单!B:E,4,0)</f>
        <v>流行</v>
      </c>
      <c r="R666" s="62"/>
    </row>
    <row r="667" spans="1:18" ht="15" customHeight="1">
      <c r="A667" s="4" t="s">
        <v>3246</v>
      </c>
      <c r="B667" s="46" t="s">
        <v>3247</v>
      </c>
      <c r="C667" s="46" t="s">
        <v>3248</v>
      </c>
      <c r="D667" s="59">
        <v>0</v>
      </c>
      <c r="E667" s="59">
        <v>0</v>
      </c>
      <c r="F667" s="59"/>
      <c r="G667" s="60" t="s">
        <v>3249</v>
      </c>
      <c r="H667" s="60" t="s">
        <v>3250</v>
      </c>
      <c r="I667" s="60">
        <v>4</v>
      </c>
      <c r="J667" s="60"/>
      <c r="K667" s="60" t="s">
        <v>3251</v>
      </c>
      <c r="L667" s="60">
        <v>2352335</v>
      </c>
      <c r="M667" s="60"/>
      <c r="N667" s="58" t="e">
        <f>VLOOKUP(B667,歌单!B:C,2,0)</f>
        <v>#N/A</v>
      </c>
      <c r="O667" s="58">
        <f t="shared" si="10"/>
        <v>1</v>
      </c>
      <c r="P667" s="62" t="s">
        <v>10246</v>
      </c>
      <c r="Q667" s="58" t="s">
        <v>10252</v>
      </c>
      <c r="R667" s="62"/>
    </row>
    <row r="668" spans="1:18" ht="15" hidden="1" customHeight="1">
      <c r="A668" s="4" t="s">
        <v>642</v>
      </c>
      <c r="B668" s="46" t="s">
        <v>642</v>
      </c>
      <c r="C668" s="46" t="s">
        <v>131</v>
      </c>
      <c r="D668" s="59"/>
      <c r="E668" s="59"/>
      <c r="F668" s="59"/>
      <c r="G668" s="60"/>
      <c r="H668" s="60"/>
      <c r="I668" s="60"/>
      <c r="J668" s="60"/>
      <c r="K668" s="60"/>
      <c r="L668" s="60"/>
      <c r="M668" s="60"/>
      <c r="N668" s="58" t="str">
        <f>VLOOKUP(B668,歌单!B:C,2,0)</f>
        <v>杨丞琳</v>
      </c>
      <c r="O668" s="58">
        <f t="shared" si="10"/>
        <v>1</v>
      </c>
      <c r="P668" s="62" t="str">
        <f>VLOOKUP(B668,歌单!B:E,3,0)</f>
        <v>国语</v>
      </c>
      <c r="Q668" s="58" t="str">
        <f>VLOOKUP(B668,歌单!B:E,4,0)</f>
        <v>流行</v>
      </c>
      <c r="R668" s="62"/>
    </row>
    <row r="669" spans="1:18" ht="15" hidden="1" customHeight="1">
      <c r="A669" s="4" t="s">
        <v>3252</v>
      </c>
      <c r="B669" s="46" t="s">
        <v>3253</v>
      </c>
      <c r="C669" s="46" t="s">
        <v>3254</v>
      </c>
      <c r="D669" s="59">
        <v>0</v>
      </c>
      <c r="E669" s="59">
        <v>0</v>
      </c>
      <c r="F669" s="59"/>
      <c r="G669" s="60" t="s">
        <v>3255</v>
      </c>
      <c r="H669" s="60"/>
      <c r="I669" s="60">
        <v>46</v>
      </c>
      <c r="J669" s="60"/>
      <c r="K669" s="60" t="s">
        <v>3253</v>
      </c>
      <c r="L669" s="60">
        <v>24820081</v>
      </c>
      <c r="M669" s="60"/>
      <c r="N669" s="58" t="str">
        <f>VLOOKUP(B669,歌单!B:C,2,0)</f>
        <v>辛晓琪</v>
      </c>
      <c r="O669" s="58">
        <f t="shared" si="10"/>
        <v>0</v>
      </c>
      <c r="P669" s="62" t="str">
        <f>VLOOKUP(B669,歌单!B:E,3,0)</f>
        <v>国语</v>
      </c>
      <c r="Q669" s="58" t="str">
        <f>VLOOKUP(B669,歌单!B:E,4,0)</f>
        <v>流行</v>
      </c>
      <c r="R669" s="62"/>
    </row>
    <row r="670" spans="1:18" ht="15" hidden="1" customHeight="1">
      <c r="A670" s="4" t="s">
        <v>3256</v>
      </c>
      <c r="B670" s="46" t="s">
        <v>3257</v>
      </c>
      <c r="C670" s="46" t="s">
        <v>742</v>
      </c>
      <c r="D670" s="59">
        <v>0</v>
      </c>
      <c r="E670" s="59">
        <v>0</v>
      </c>
      <c r="F670" s="59"/>
      <c r="G670" s="60" t="s">
        <v>3258</v>
      </c>
      <c r="H670" s="60" t="s">
        <v>3259</v>
      </c>
      <c r="I670" s="60">
        <v>71</v>
      </c>
      <c r="J670" s="60"/>
      <c r="K670" s="60" t="s">
        <v>1730</v>
      </c>
      <c r="L670" s="60">
        <v>28168358</v>
      </c>
      <c r="M670" s="60"/>
      <c r="N670" s="58" t="str">
        <f>VLOOKUP(B670,歌单!B:C,2,0)</f>
        <v>孙燕姿</v>
      </c>
      <c r="O670" s="58">
        <f t="shared" si="10"/>
        <v>0</v>
      </c>
      <c r="P670" s="62" t="str">
        <f>VLOOKUP(B670,歌单!B:E,3,0)</f>
        <v>国语</v>
      </c>
      <c r="Q670" s="58" t="str">
        <f>VLOOKUP(B670,歌单!B:E,4,0)</f>
        <v>流行</v>
      </c>
      <c r="R670" s="62"/>
    </row>
    <row r="671" spans="1:18" ht="15" hidden="1" customHeight="1">
      <c r="A671" s="4" t="s">
        <v>3260</v>
      </c>
      <c r="B671" s="46" t="s">
        <v>3261</v>
      </c>
      <c r="C671" s="46" t="s">
        <v>3262</v>
      </c>
      <c r="D671" s="59">
        <v>851211311</v>
      </c>
      <c r="E671" s="59">
        <v>498028830</v>
      </c>
      <c r="F671" s="59" t="s">
        <v>3263</v>
      </c>
      <c r="G671" s="60" t="s">
        <v>3264</v>
      </c>
      <c r="H671" s="60" t="s">
        <v>3265</v>
      </c>
      <c r="I671" s="60">
        <v>2154</v>
      </c>
      <c r="J671" s="60"/>
      <c r="K671" s="60" t="s">
        <v>3261</v>
      </c>
      <c r="L671" s="60">
        <v>442023152</v>
      </c>
      <c r="M671" s="60" t="s">
        <v>1224</v>
      </c>
      <c r="N671" s="58" t="str">
        <f>VLOOKUP(B671,歌单!B:C,2,0)</f>
        <v>任然</v>
      </c>
      <c r="O671" s="58">
        <f t="shared" si="10"/>
        <v>0</v>
      </c>
      <c r="P671" s="62" t="str">
        <f>VLOOKUP(B671,歌单!B:E,3,0)</f>
        <v>国语</v>
      </c>
      <c r="Q671" s="58" t="str">
        <f>VLOOKUP(B671,歌单!B:E,4,0)</f>
        <v>流行</v>
      </c>
      <c r="R671" s="62"/>
    </row>
    <row r="672" spans="1:18" ht="15" hidden="1" customHeight="1">
      <c r="A672" s="4" t="s">
        <v>3266</v>
      </c>
      <c r="B672" s="46" t="s">
        <v>3267</v>
      </c>
      <c r="C672" s="46" t="s">
        <v>3268</v>
      </c>
      <c r="D672" s="59">
        <v>0</v>
      </c>
      <c r="E672" s="59">
        <v>0</v>
      </c>
      <c r="F672" s="59"/>
      <c r="G672" s="60" t="s">
        <v>3269</v>
      </c>
      <c r="H672" s="60"/>
      <c r="I672" s="60">
        <v>75</v>
      </c>
      <c r="J672" s="60"/>
      <c r="K672" s="60" t="s">
        <v>3270</v>
      </c>
      <c r="L672" s="60">
        <v>5523557</v>
      </c>
      <c r="M672" s="60" t="s">
        <v>293</v>
      </c>
      <c r="N672" s="58" t="str">
        <f>VLOOKUP(B672,歌单!B:C,2,0)</f>
        <v>汪小敏</v>
      </c>
      <c r="O672" s="58">
        <f t="shared" si="10"/>
        <v>0</v>
      </c>
      <c r="P672" s="62" t="str">
        <f>VLOOKUP(B672,歌单!B:E,3,0)</f>
        <v>国语</v>
      </c>
      <c r="Q672" s="58" t="str">
        <f>VLOOKUP(B672,歌单!B:E,4,0)</f>
        <v>流行</v>
      </c>
      <c r="R672" s="62"/>
    </row>
    <row r="673" spans="1:18" ht="15" hidden="1" customHeight="1">
      <c r="A673" s="32" t="s">
        <v>1977</v>
      </c>
      <c r="B673" s="46" t="s">
        <v>1977</v>
      </c>
      <c r="C673" s="46" t="s">
        <v>1978</v>
      </c>
      <c r="D673" s="59"/>
      <c r="E673" s="59"/>
      <c r="F673" s="59"/>
      <c r="G673" s="60" t="s">
        <v>1979</v>
      </c>
      <c r="H673" s="60" t="s">
        <v>1980</v>
      </c>
      <c r="I673" s="61">
        <v>14</v>
      </c>
      <c r="J673" s="60" t="s">
        <v>1981</v>
      </c>
      <c r="K673" s="60" t="s">
        <v>1982</v>
      </c>
      <c r="L673" s="60">
        <v>2915511</v>
      </c>
      <c r="M673" s="60"/>
      <c r="N673" s="56" t="str">
        <f>VLOOKUP(B673,歌单!B:C,2,0)</f>
        <v>OliviaOng</v>
      </c>
      <c r="O673" s="58">
        <f t="shared" si="10"/>
        <v>1</v>
      </c>
      <c r="P673" s="62" t="str">
        <f>VLOOKUP(B673,歌单!B:E,3,0)</f>
        <v>国语</v>
      </c>
      <c r="Q673" s="58" t="str">
        <f>VLOOKUP(B673,歌单!B:E,4,0)</f>
        <v>流行</v>
      </c>
      <c r="R673" s="62"/>
    </row>
    <row r="674" spans="1:18" ht="15" customHeight="1">
      <c r="A674" s="4" t="s">
        <v>3271</v>
      </c>
      <c r="B674" s="46" t="s">
        <v>3271</v>
      </c>
      <c r="C674" s="46" t="s">
        <v>2733</v>
      </c>
      <c r="D674" s="59"/>
      <c r="E674" s="59"/>
      <c r="F674" s="59"/>
      <c r="G674" s="60"/>
      <c r="H674" s="60"/>
      <c r="I674" s="60"/>
      <c r="J674" s="60"/>
      <c r="K674" s="60"/>
      <c r="L674" s="60"/>
      <c r="M674" s="60"/>
      <c r="N674" s="58" t="e">
        <f>VLOOKUP(B674,歌单!B:C,2,0)</f>
        <v>#N/A</v>
      </c>
      <c r="O674" s="58">
        <f t="shared" si="10"/>
        <v>1</v>
      </c>
      <c r="P674" s="62" t="s">
        <v>10246</v>
      </c>
      <c r="Q674" s="58" t="s">
        <v>10252</v>
      </c>
      <c r="R674" s="62"/>
    </row>
    <row r="675" spans="1:18" ht="15" customHeight="1">
      <c r="A675" s="4" t="s">
        <v>3272</v>
      </c>
      <c r="B675" s="46" t="s">
        <v>3273</v>
      </c>
      <c r="C675" s="46" t="s">
        <v>3274</v>
      </c>
      <c r="D675" s="59">
        <v>0</v>
      </c>
      <c r="E675" s="59">
        <v>0</v>
      </c>
      <c r="F675" s="59"/>
      <c r="G675" s="60" t="s">
        <v>3275</v>
      </c>
      <c r="H675" s="60" t="s">
        <v>3276</v>
      </c>
      <c r="I675" s="60">
        <v>1</v>
      </c>
      <c r="J675" s="60"/>
      <c r="K675" s="60" t="s">
        <v>3274</v>
      </c>
      <c r="L675" s="60">
        <v>5042930</v>
      </c>
      <c r="M675" s="60"/>
      <c r="N675" s="58" t="e">
        <f>VLOOKUP(B675,歌单!B:C,2,0)</f>
        <v>#N/A</v>
      </c>
      <c r="O675" s="58">
        <f t="shared" si="10"/>
        <v>1</v>
      </c>
      <c r="P675" s="62" t="s">
        <v>10246</v>
      </c>
      <c r="Q675" s="58" t="s">
        <v>10252</v>
      </c>
      <c r="R675" s="62"/>
    </row>
    <row r="676" spans="1:18" ht="15" hidden="1" customHeight="1">
      <c r="A676" s="4" t="s">
        <v>3277</v>
      </c>
      <c r="B676" s="46" t="s">
        <v>3278</v>
      </c>
      <c r="C676" s="46" t="s">
        <v>3279</v>
      </c>
      <c r="D676" s="59">
        <v>0</v>
      </c>
      <c r="E676" s="59">
        <v>0</v>
      </c>
      <c r="F676" s="59"/>
      <c r="G676" s="60" t="s">
        <v>3280</v>
      </c>
      <c r="H676" s="60" t="s">
        <v>3281</v>
      </c>
      <c r="I676" s="60">
        <v>56</v>
      </c>
      <c r="J676" s="60"/>
      <c r="K676" s="60"/>
      <c r="L676" s="60">
        <v>29040336</v>
      </c>
      <c r="M676" s="60"/>
      <c r="N676" s="58" t="str">
        <f>VLOOKUP(B676,歌单!B:C,2,0)</f>
        <v>郑绪岚</v>
      </c>
      <c r="O676" s="58">
        <f t="shared" si="10"/>
        <v>0</v>
      </c>
      <c r="P676" s="62" t="str">
        <f>VLOOKUP(B676,歌单!B:E,3,0)</f>
        <v>国语</v>
      </c>
      <c r="Q676" s="58" t="str">
        <f>VLOOKUP(B676,歌单!B:E,4,0)</f>
        <v>流行</v>
      </c>
      <c r="R676" s="62"/>
    </row>
    <row r="677" spans="1:18" ht="15" customHeight="1">
      <c r="A677" s="4" t="s">
        <v>3282</v>
      </c>
      <c r="B677" s="46" t="s">
        <v>10262</v>
      </c>
      <c r="C677" s="46" t="s">
        <v>3189</v>
      </c>
      <c r="D677" s="59">
        <v>0</v>
      </c>
      <c r="E677" s="59">
        <v>0</v>
      </c>
      <c r="F677" s="59"/>
      <c r="G677" s="60" t="s">
        <v>3284</v>
      </c>
      <c r="H677" s="60" t="s">
        <v>3285</v>
      </c>
      <c r="I677" s="60">
        <v>1</v>
      </c>
      <c r="J677" s="60"/>
      <c r="K677" s="60" t="s">
        <v>3286</v>
      </c>
      <c r="L677" s="60">
        <v>67588</v>
      </c>
      <c r="M677" s="60"/>
      <c r="N677" s="58" t="e">
        <f>VLOOKUP(B677,歌单!B:C,2,0)</f>
        <v>#N/A</v>
      </c>
      <c r="O677" s="58">
        <f t="shared" si="10"/>
        <v>1</v>
      </c>
      <c r="P677" s="62" t="s">
        <v>10246</v>
      </c>
      <c r="Q677" s="58" t="s">
        <v>10252</v>
      </c>
      <c r="R677" s="62"/>
    </row>
    <row r="678" spans="1:18" ht="15" hidden="1" customHeight="1">
      <c r="A678" s="32" t="s">
        <v>3287</v>
      </c>
      <c r="B678" s="46" t="s">
        <v>2617</v>
      </c>
      <c r="C678" s="46" t="s">
        <v>3288</v>
      </c>
      <c r="D678" s="59">
        <v>0</v>
      </c>
      <c r="E678" s="59">
        <v>0</v>
      </c>
      <c r="F678" s="59"/>
      <c r="G678" s="60" t="s">
        <v>3289</v>
      </c>
      <c r="H678" s="60" t="s">
        <v>3290</v>
      </c>
      <c r="I678" s="60">
        <v>3</v>
      </c>
      <c r="J678" s="60"/>
      <c r="K678" s="60" t="s">
        <v>3291</v>
      </c>
      <c r="L678" s="60">
        <v>1118229</v>
      </c>
      <c r="M678" s="60"/>
      <c r="N678" s="68" t="s">
        <v>7404</v>
      </c>
      <c r="O678" s="58">
        <f t="shared" si="10"/>
        <v>1</v>
      </c>
      <c r="P678" s="62" t="str">
        <f>VLOOKUP(B678,歌单!B:E,3,0)</f>
        <v>国语</v>
      </c>
      <c r="Q678" s="58" t="str">
        <f>VLOOKUP(B678,歌单!B:E,4,0)</f>
        <v>流行</v>
      </c>
      <c r="R678" s="62"/>
    </row>
    <row r="679" spans="1:18" ht="15" hidden="1" customHeight="1">
      <c r="A679" s="32" t="s">
        <v>3292</v>
      </c>
      <c r="B679" s="46" t="s">
        <v>3293</v>
      </c>
      <c r="C679" s="46" t="s">
        <v>154</v>
      </c>
      <c r="D679" s="59">
        <v>0</v>
      </c>
      <c r="E679" s="59">
        <v>0</v>
      </c>
      <c r="F679" s="59"/>
      <c r="G679" s="60" t="s">
        <v>3294</v>
      </c>
      <c r="H679" s="60" t="s">
        <v>3295</v>
      </c>
      <c r="I679" s="60">
        <v>3341</v>
      </c>
      <c r="J679" s="60" t="s">
        <v>3296</v>
      </c>
      <c r="K679" s="60" t="s">
        <v>416</v>
      </c>
      <c r="L679" s="60">
        <v>372633239</v>
      </c>
      <c r="M679" s="60"/>
      <c r="N679" s="68" t="s">
        <v>7406</v>
      </c>
      <c r="O679" s="58">
        <f t="shared" si="10"/>
        <v>1</v>
      </c>
      <c r="P679" s="62" t="str">
        <f>VLOOKUP(B679,歌单!B:E,3,0)</f>
        <v>国语</v>
      </c>
      <c r="Q679" s="58" t="str">
        <f>VLOOKUP(B679,歌单!B:E,4,0)</f>
        <v>流行</v>
      </c>
      <c r="R679" s="62"/>
    </row>
    <row r="680" spans="1:18" ht="15" hidden="1" customHeight="1">
      <c r="A680" s="4" t="s">
        <v>3297</v>
      </c>
      <c r="B680" s="46" t="s">
        <v>3298</v>
      </c>
      <c r="C680" s="46" t="s">
        <v>2437</v>
      </c>
      <c r="D680" s="59">
        <v>752741189</v>
      </c>
      <c r="E680" s="59">
        <v>174687794</v>
      </c>
      <c r="F680" s="59" t="s">
        <v>3299</v>
      </c>
      <c r="G680" s="60" t="s">
        <v>3300</v>
      </c>
      <c r="H680" s="60" t="s">
        <v>3301</v>
      </c>
      <c r="I680" s="60">
        <v>97</v>
      </c>
      <c r="J680" s="60" t="s">
        <v>3302</v>
      </c>
      <c r="K680" s="60" t="s">
        <v>3303</v>
      </c>
      <c r="L680" s="60">
        <v>22243726</v>
      </c>
      <c r="M680" s="60"/>
      <c r="N680" s="58" t="str">
        <f>VLOOKUP(B680,歌单!B:C,2,0)</f>
        <v>邓紫棋</v>
      </c>
      <c r="O680" s="58">
        <f t="shared" si="10"/>
        <v>0</v>
      </c>
      <c r="P680" s="62" t="str">
        <f>VLOOKUP(B680,歌单!B:E,3,0)</f>
        <v>国语</v>
      </c>
      <c r="Q680" s="58" t="str">
        <f>VLOOKUP(B680,歌单!B:E,4,0)</f>
        <v>流行</v>
      </c>
      <c r="R680" s="62"/>
    </row>
    <row r="681" spans="1:18" ht="15" hidden="1" customHeight="1">
      <c r="A681" s="4" t="s">
        <v>3304</v>
      </c>
      <c r="B681" s="46" t="s">
        <v>3305</v>
      </c>
      <c r="C681" s="46" t="s">
        <v>395</v>
      </c>
      <c r="D681" s="59">
        <v>0</v>
      </c>
      <c r="E681" s="59">
        <v>0</v>
      </c>
      <c r="F681" s="59"/>
      <c r="G681" s="60" t="s">
        <v>3306</v>
      </c>
      <c r="H681" s="60" t="s">
        <v>3307</v>
      </c>
      <c r="I681" s="60">
        <v>450</v>
      </c>
      <c r="J681" s="60"/>
      <c r="K681" s="60" t="s">
        <v>3308</v>
      </c>
      <c r="L681" s="60">
        <v>104949460</v>
      </c>
      <c r="M681" s="60"/>
      <c r="N681" s="58" t="str">
        <f>VLOOKUP(B681,歌单!B:C,2,0)</f>
        <v>S.H.E</v>
      </c>
      <c r="O681" s="58">
        <f t="shared" si="10"/>
        <v>0</v>
      </c>
      <c r="P681" s="62" t="str">
        <f>VLOOKUP(B681,歌单!B:E,3,0)</f>
        <v>国语</v>
      </c>
      <c r="Q681" s="58" t="str">
        <f>VLOOKUP(B681,歌单!B:E,4,0)</f>
        <v>流行</v>
      </c>
      <c r="R681" s="62"/>
    </row>
    <row r="682" spans="1:18" ht="15" customHeight="1">
      <c r="A682" s="4" t="s">
        <v>3309</v>
      </c>
      <c r="B682" s="46" t="s">
        <v>3310</v>
      </c>
      <c r="C682" s="46" t="s">
        <v>2334</v>
      </c>
      <c r="D682" s="59">
        <v>0</v>
      </c>
      <c r="E682" s="59">
        <v>0</v>
      </c>
      <c r="F682" s="59"/>
      <c r="G682" s="60" t="s">
        <v>3311</v>
      </c>
      <c r="H682" s="60" t="s">
        <v>3312</v>
      </c>
      <c r="I682" s="60">
        <v>0</v>
      </c>
      <c r="J682" s="60"/>
      <c r="K682" s="60" t="s">
        <v>3313</v>
      </c>
      <c r="L682" s="60">
        <v>468836</v>
      </c>
      <c r="M682" s="60"/>
      <c r="N682" s="58" t="e">
        <f>VLOOKUP(B682,歌单!B:C,2,0)</f>
        <v>#N/A</v>
      </c>
      <c r="O682" s="58">
        <f t="shared" si="10"/>
        <v>1</v>
      </c>
      <c r="P682" s="62" t="s">
        <v>10246</v>
      </c>
      <c r="Q682" s="58" t="s">
        <v>10252</v>
      </c>
      <c r="R682" s="62"/>
    </row>
    <row r="683" spans="1:18" ht="15" customHeight="1">
      <c r="A683" s="4" t="s">
        <v>3314</v>
      </c>
      <c r="B683" s="46" t="s">
        <v>3123</v>
      </c>
      <c r="C683" s="46" t="s">
        <v>1331</v>
      </c>
      <c r="D683" s="59">
        <v>0</v>
      </c>
      <c r="E683" s="59">
        <v>0</v>
      </c>
      <c r="F683" s="59"/>
      <c r="G683" s="60" t="s">
        <v>3315</v>
      </c>
      <c r="H683" s="60" t="s">
        <v>3316</v>
      </c>
      <c r="I683" s="60">
        <v>88</v>
      </c>
      <c r="J683" s="60"/>
      <c r="K683" s="60" t="s">
        <v>3123</v>
      </c>
      <c r="L683" s="60">
        <v>28212140</v>
      </c>
      <c r="M683" s="60"/>
      <c r="N683" s="58" t="e">
        <f>VLOOKUP(B683,歌单!B:C,2,0)</f>
        <v>#N/A</v>
      </c>
      <c r="O683" s="58">
        <f t="shared" si="10"/>
        <v>1</v>
      </c>
      <c r="P683" s="62" t="s">
        <v>10246</v>
      </c>
      <c r="Q683" s="58" t="s">
        <v>6678</v>
      </c>
      <c r="R683" s="62"/>
    </row>
    <row r="684" spans="1:18" ht="15" hidden="1" customHeight="1">
      <c r="A684" s="4" t="s">
        <v>3317</v>
      </c>
      <c r="B684" s="46" t="s">
        <v>3318</v>
      </c>
      <c r="C684" s="46" t="s">
        <v>3319</v>
      </c>
      <c r="D684" s="59">
        <v>0</v>
      </c>
      <c r="E684" s="59">
        <v>0</v>
      </c>
      <c r="F684" s="59"/>
      <c r="G684" s="60" t="s">
        <v>3320</v>
      </c>
      <c r="H684" s="60" t="s">
        <v>3321</v>
      </c>
      <c r="I684" s="60">
        <v>596</v>
      </c>
      <c r="J684" s="60" t="s">
        <v>3322</v>
      </c>
      <c r="K684" s="60" t="s">
        <v>3318</v>
      </c>
      <c r="L684" s="60">
        <v>171034240</v>
      </c>
      <c r="M684" s="60"/>
      <c r="N684" s="58" t="str">
        <f>VLOOKUP(B684,歌单!B:C,2,0)</f>
        <v>金莎</v>
      </c>
      <c r="O684" s="58">
        <f t="shared" si="10"/>
        <v>0</v>
      </c>
      <c r="P684" s="62" t="str">
        <f>VLOOKUP(B684,歌单!B:E,3,0)</f>
        <v>国语</v>
      </c>
      <c r="Q684" s="58" t="str">
        <f>VLOOKUP(B684,歌单!B:E,4,0)</f>
        <v>流行</v>
      </c>
      <c r="R684" s="62"/>
    </row>
    <row r="685" spans="1:18" ht="15" hidden="1" customHeight="1">
      <c r="A685" s="4" t="s">
        <v>3323</v>
      </c>
      <c r="B685" s="46" t="s">
        <v>3324</v>
      </c>
      <c r="C685" s="46" t="s">
        <v>2548</v>
      </c>
      <c r="D685" s="59">
        <v>0</v>
      </c>
      <c r="E685" s="59">
        <v>0</v>
      </c>
      <c r="F685" s="59"/>
      <c r="G685" s="60" t="s">
        <v>3325</v>
      </c>
      <c r="H685" s="60" t="s">
        <v>3326</v>
      </c>
      <c r="I685" s="60">
        <v>81</v>
      </c>
      <c r="J685" s="60"/>
      <c r="K685" s="60" t="s">
        <v>3327</v>
      </c>
      <c r="L685" s="60">
        <v>58517368</v>
      </c>
      <c r="M685" s="60"/>
      <c r="N685" s="58" t="str">
        <f>VLOOKUP(B685,歌单!B:C,2,0)</f>
        <v>刘若英</v>
      </c>
      <c r="O685" s="58">
        <f t="shared" si="10"/>
        <v>0</v>
      </c>
      <c r="P685" s="62" t="str">
        <f>VLOOKUP(B685,歌单!B:E,3,0)</f>
        <v>国语</v>
      </c>
      <c r="Q685" s="58" t="str">
        <f>VLOOKUP(B685,歌单!B:E,4,0)</f>
        <v>流行</v>
      </c>
      <c r="R685" s="62"/>
    </row>
    <row r="686" spans="1:18" ht="15" customHeight="1">
      <c r="A686" s="4" t="s">
        <v>3328</v>
      </c>
      <c r="B686" s="46" t="s">
        <v>3329</v>
      </c>
      <c r="C686" s="46" t="s">
        <v>3330</v>
      </c>
      <c r="D686" s="59">
        <v>0</v>
      </c>
      <c r="E686" s="59">
        <v>0</v>
      </c>
      <c r="F686" s="59"/>
      <c r="G686" s="60" t="s">
        <v>3331</v>
      </c>
      <c r="H686" s="60" t="s">
        <v>3332</v>
      </c>
      <c r="I686" s="60">
        <v>217</v>
      </c>
      <c r="J686" s="60"/>
      <c r="K686" s="60" t="s">
        <v>3333</v>
      </c>
      <c r="L686" s="60">
        <v>60323377</v>
      </c>
      <c r="M686" s="60"/>
      <c r="N686" s="58" t="e">
        <f>VLOOKUP(B686,歌单!B:C,2,0)</f>
        <v>#N/A</v>
      </c>
      <c r="O686" s="58">
        <f t="shared" si="10"/>
        <v>1</v>
      </c>
      <c r="P686" s="62" t="s">
        <v>10246</v>
      </c>
      <c r="Q686" s="58" t="s">
        <v>10252</v>
      </c>
      <c r="R686" s="62"/>
    </row>
    <row r="687" spans="1:18" ht="15" hidden="1" customHeight="1">
      <c r="A687" s="4" t="s">
        <v>3334</v>
      </c>
      <c r="B687" s="46" t="s">
        <v>3335</v>
      </c>
      <c r="C687" s="46" t="s">
        <v>3336</v>
      </c>
      <c r="D687" s="59">
        <v>0</v>
      </c>
      <c r="E687" s="59">
        <v>0</v>
      </c>
      <c r="F687" s="59"/>
      <c r="G687" s="60" t="s">
        <v>3337</v>
      </c>
      <c r="H687" s="60"/>
      <c r="I687" s="60">
        <v>202</v>
      </c>
      <c r="J687" s="60"/>
      <c r="K687" s="60" t="s">
        <v>1768</v>
      </c>
      <c r="L687" s="60">
        <v>40006301</v>
      </c>
      <c r="M687" s="60"/>
      <c r="N687" s="58" t="str">
        <f>VLOOKUP(B687,歌单!B:C,2,0)</f>
        <v>范晓萱 / 100%乐团</v>
      </c>
      <c r="O687" s="58">
        <f t="shared" si="10"/>
        <v>1</v>
      </c>
      <c r="P687" s="62" t="str">
        <f>VLOOKUP(B687,歌单!B:E,3,0)</f>
        <v>国语</v>
      </c>
      <c r="Q687" s="58" t="str">
        <f>VLOOKUP(B687,歌单!B:E,4,0)</f>
        <v>流行</v>
      </c>
      <c r="R687" s="62"/>
    </row>
    <row r="688" spans="1:18" ht="15" customHeight="1">
      <c r="A688" s="4" t="s">
        <v>678</v>
      </c>
      <c r="B688" s="46" t="s">
        <v>678</v>
      </c>
      <c r="C688" s="46" t="s">
        <v>679</v>
      </c>
      <c r="D688" s="59"/>
      <c r="E688" s="59">
        <v>1032</v>
      </c>
      <c r="F688" s="59">
        <v>165</v>
      </c>
      <c r="G688" s="60" t="s">
        <v>680</v>
      </c>
      <c r="H688" s="60" t="s">
        <v>681</v>
      </c>
      <c r="I688" s="61">
        <v>138</v>
      </c>
      <c r="J688" s="60"/>
      <c r="K688" s="60" t="s">
        <v>678</v>
      </c>
      <c r="L688" s="60">
        <v>64920351</v>
      </c>
      <c r="M688" s="60"/>
      <c r="N688" s="58" t="e">
        <f>VLOOKUP(B688,歌单!B:C,2,0)</f>
        <v>#N/A</v>
      </c>
      <c r="O688" s="58">
        <f t="shared" si="10"/>
        <v>1</v>
      </c>
      <c r="P688" s="62" t="s">
        <v>10246</v>
      </c>
      <c r="Q688" s="58" t="s">
        <v>10252</v>
      </c>
      <c r="R688" s="62"/>
    </row>
    <row r="689" spans="1:18" ht="15" hidden="1" customHeight="1">
      <c r="A689" s="4" t="s">
        <v>3338</v>
      </c>
      <c r="B689" s="46" t="s">
        <v>3339</v>
      </c>
      <c r="C689" s="46" t="s">
        <v>154</v>
      </c>
      <c r="D689" s="59">
        <v>0</v>
      </c>
      <c r="E689" s="59">
        <v>0</v>
      </c>
      <c r="F689" s="59"/>
      <c r="G689" s="60" t="s">
        <v>3340</v>
      </c>
      <c r="H689" s="60"/>
      <c r="I689" s="60">
        <v>2262</v>
      </c>
      <c r="J689" s="60"/>
      <c r="K689" s="60" t="s">
        <v>257</v>
      </c>
      <c r="L689" s="60">
        <v>596824149</v>
      </c>
      <c r="M689" s="60"/>
      <c r="N689" s="58" t="str">
        <f>VLOOKUP(B689,歌单!B:C,2,0)</f>
        <v>周杰伦</v>
      </c>
      <c r="O689" s="58">
        <f t="shared" si="10"/>
        <v>0</v>
      </c>
      <c r="P689" s="62" t="str">
        <f>VLOOKUP(B689,歌单!B:E,3,0)</f>
        <v>国语</v>
      </c>
      <c r="Q689" s="58" t="str">
        <f>VLOOKUP(B689,歌单!B:E,4,0)</f>
        <v>流行</v>
      </c>
      <c r="R689" s="62"/>
    </row>
    <row r="690" spans="1:18" ht="15" hidden="1" customHeight="1">
      <c r="A690" s="4" t="s">
        <v>3341</v>
      </c>
      <c r="B690" s="46" t="s">
        <v>3342</v>
      </c>
      <c r="C690" s="46" t="s">
        <v>1331</v>
      </c>
      <c r="D690" s="59"/>
      <c r="E690" s="59">
        <v>0</v>
      </c>
      <c r="F690" s="59">
        <v>0</v>
      </c>
      <c r="G690" s="60" t="s">
        <v>3343</v>
      </c>
      <c r="H690" s="60" t="s">
        <v>3344</v>
      </c>
      <c r="I690" s="60">
        <v>829</v>
      </c>
      <c r="J690" s="60"/>
      <c r="K690" s="60" t="s">
        <v>3345</v>
      </c>
      <c r="L690" s="60">
        <v>205069474</v>
      </c>
      <c r="M690" s="60"/>
      <c r="N690" s="58" t="str">
        <f>VLOOKUP(B690,歌单!B:C,2,0)</f>
        <v>陶喆</v>
      </c>
      <c r="O690" s="58">
        <f t="shared" si="10"/>
        <v>0</v>
      </c>
      <c r="P690" s="62" t="str">
        <f>VLOOKUP(B690,歌单!B:E,3,0)</f>
        <v>国语</v>
      </c>
      <c r="Q690" s="58" t="str">
        <f>VLOOKUP(B690,歌单!B:E,4,0)</f>
        <v>流行</v>
      </c>
      <c r="R690" s="62"/>
    </row>
    <row r="691" spans="1:18" ht="15" hidden="1" customHeight="1">
      <c r="A691" s="32" t="s">
        <v>3346</v>
      </c>
      <c r="B691" s="46" t="s">
        <v>3347</v>
      </c>
      <c r="C691" s="46" t="s">
        <v>3348</v>
      </c>
      <c r="D691" s="59"/>
      <c r="E691" s="59">
        <v>0</v>
      </c>
      <c r="F691" s="59">
        <v>0</v>
      </c>
      <c r="G691" s="60" t="s">
        <v>3349</v>
      </c>
      <c r="H691" s="60" t="s">
        <v>3350</v>
      </c>
      <c r="I691" s="60">
        <v>1120</v>
      </c>
      <c r="J691" s="60"/>
      <c r="K691" s="60" t="s">
        <v>3123</v>
      </c>
      <c r="L691" s="60">
        <v>360359966</v>
      </c>
      <c r="M691" s="60"/>
      <c r="N691" s="56" t="str">
        <f>VLOOKUP(B691,歌单!B:C,2,0)</f>
        <v>陶喆/蔡依林</v>
      </c>
      <c r="O691" s="58">
        <f t="shared" si="10"/>
        <v>1</v>
      </c>
      <c r="P691" s="62" t="str">
        <f>VLOOKUP(B691,歌单!B:E,3,0)</f>
        <v>国语</v>
      </c>
      <c r="Q691" s="58" t="str">
        <f>VLOOKUP(B691,歌单!B:E,4,0)</f>
        <v>流行</v>
      </c>
      <c r="R691" s="62"/>
    </row>
    <row r="692" spans="1:18" ht="15" hidden="1" customHeight="1">
      <c r="A692" s="4" t="s">
        <v>3351</v>
      </c>
      <c r="B692" s="46" t="s">
        <v>3352</v>
      </c>
      <c r="C692" s="46" t="s">
        <v>1331</v>
      </c>
      <c r="D692" s="59"/>
      <c r="E692" s="59">
        <v>0</v>
      </c>
      <c r="F692" s="59">
        <v>0</v>
      </c>
      <c r="G692" s="60" t="s">
        <v>3353</v>
      </c>
      <c r="H692" s="60" t="s">
        <v>3354</v>
      </c>
      <c r="I692" s="60">
        <v>134</v>
      </c>
      <c r="J692" s="60"/>
      <c r="K692" s="60" t="s">
        <v>3352</v>
      </c>
      <c r="L692" s="60">
        <v>60141031</v>
      </c>
      <c r="M692" s="60"/>
      <c r="N692" s="58" t="str">
        <f>VLOOKUP(B692,歌单!B:C,2,0)</f>
        <v>陶喆</v>
      </c>
      <c r="O692" s="58">
        <f t="shared" si="10"/>
        <v>0</v>
      </c>
      <c r="P692" s="62" t="str">
        <f>VLOOKUP(B692,歌单!B:E,3,0)</f>
        <v>国语</v>
      </c>
      <c r="Q692" s="58" t="str">
        <f>VLOOKUP(B692,歌单!B:E,4,0)</f>
        <v>流行</v>
      </c>
      <c r="R692" s="62"/>
    </row>
    <row r="693" spans="1:18" ht="15" hidden="1" customHeight="1">
      <c r="A693" s="4" t="s">
        <v>3355</v>
      </c>
      <c r="B693" s="46" t="s">
        <v>3356</v>
      </c>
      <c r="C693" s="46" t="s">
        <v>154</v>
      </c>
      <c r="D693" s="59"/>
      <c r="E693" s="59">
        <v>0</v>
      </c>
      <c r="F693" s="59">
        <v>0</v>
      </c>
      <c r="G693" s="60" t="s">
        <v>3357</v>
      </c>
      <c r="H693" s="60" t="s">
        <v>3358</v>
      </c>
      <c r="I693" s="60">
        <v>8968</v>
      </c>
      <c r="J693" s="60"/>
      <c r="K693" s="60" t="s">
        <v>257</v>
      </c>
      <c r="L693" s="60">
        <v>639985095</v>
      </c>
      <c r="M693" s="60"/>
      <c r="N693" s="58" t="str">
        <f>VLOOKUP(B693,歌单!B:C,2,0)</f>
        <v>周杰伦</v>
      </c>
      <c r="O693" s="58">
        <f t="shared" si="10"/>
        <v>0</v>
      </c>
      <c r="P693" s="62" t="str">
        <f>VLOOKUP(B693,歌单!B:E,3,0)</f>
        <v>国语</v>
      </c>
      <c r="Q693" s="58" t="str">
        <f>VLOOKUP(B693,歌单!B:E,4,0)</f>
        <v>流行</v>
      </c>
      <c r="R693" s="62"/>
    </row>
    <row r="694" spans="1:18" ht="15" hidden="1" customHeight="1">
      <c r="A694" s="4" t="s">
        <v>3359</v>
      </c>
      <c r="B694" s="46" t="s">
        <v>3360</v>
      </c>
      <c r="C694" s="46" t="s">
        <v>3361</v>
      </c>
      <c r="D694" s="59"/>
      <c r="E694" s="59">
        <v>0</v>
      </c>
      <c r="F694" s="59">
        <v>0</v>
      </c>
      <c r="G694" s="60" t="s">
        <v>3362</v>
      </c>
      <c r="H694" s="60" t="s">
        <v>3363</v>
      </c>
      <c r="I694" s="60">
        <v>177</v>
      </c>
      <c r="J694" s="60"/>
      <c r="K694" s="60" t="s">
        <v>3364</v>
      </c>
      <c r="L694" s="60">
        <v>48129425</v>
      </c>
      <c r="M694" s="60"/>
      <c r="N694" s="58" t="str">
        <f>VLOOKUP(B694,歌单!B:C,2,0)</f>
        <v>张靓颖</v>
      </c>
      <c r="O694" s="58">
        <f t="shared" si="10"/>
        <v>1</v>
      </c>
      <c r="P694" s="62" t="str">
        <f>VLOOKUP(B694,歌单!B:E,3,0)</f>
        <v>国语</v>
      </c>
      <c r="Q694" s="58" t="str">
        <f>VLOOKUP(B694,歌单!B:E,4,0)</f>
        <v>流行</v>
      </c>
      <c r="R694" s="62"/>
    </row>
    <row r="695" spans="1:18" ht="15" customHeight="1">
      <c r="A695" s="4" t="s">
        <v>3365</v>
      </c>
      <c r="B695" s="46" t="s">
        <v>3366</v>
      </c>
      <c r="C695" s="46" t="s">
        <v>3367</v>
      </c>
      <c r="D695" s="59"/>
      <c r="E695" s="59">
        <v>0</v>
      </c>
      <c r="F695" s="59">
        <v>0</v>
      </c>
      <c r="G695" s="60" t="s">
        <v>3368</v>
      </c>
      <c r="H695" s="60" t="s">
        <v>3369</v>
      </c>
      <c r="I695" s="60">
        <v>43</v>
      </c>
      <c r="J695" s="60" t="s">
        <v>3370</v>
      </c>
      <c r="K695" s="60" t="s">
        <v>3371</v>
      </c>
      <c r="L695" s="60">
        <v>21412730</v>
      </c>
      <c r="M695" s="60"/>
      <c r="N695" s="58">
        <f>VLOOKUP(B695,歌单!B:C,2,0)</f>
        <v>0</v>
      </c>
      <c r="O695" s="58">
        <f t="shared" si="10"/>
        <v>1</v>
      </c>
      <c r="P695" s="62" t="str">
        <f>VLOOKUP(B695,歌单!B:E,3,0)</f>
        <v>国语</v>
      </c>
      <c r="Q695" s="58" t="str">
        <f>VLOOKUP(B695,歌单!B:E,4,0)</f>
        <v>流行</v>
      </c>
      <c r="R695" s="62"/>
    </row>
    <row r="696" spans="1:18" ht="15" customHeight="1">
      <c r="A696" s="4" t="s">
        <v>3372</v>
      </c>
      <c r="B696" s="46" t="s">
        <v>3373</v>
      </c>
      <c r="C696" s="46" t="s">
        <v>175</v>
      </c>
      <c r="D696" s="60"/>
      <c r="E696" s="60">
        <v>0</v>
      </c>
      <c r="F696" s="60">
        <v>0</v>
      </c>
      <c r="G696" s="60" t="s">
        <v>3374</v>
      </c>
      <c r="H696" s="60" t="s">
        <v>3375</v>
      </c>
      <c r="I696" s="60">
        <v>1074</v>
      </c>
      <c r="J696" s="60"/>
      <c r="K696" s="60" t="s">
        <v>3376</v>
      </c>
      <c r="L696" s="60">
        <v>349860283</v>
      </c>
      <c r="M696" s="60"/>
      <c r="N696" s="58" t="e">
        <f>VLOOKUP(B696,歌单!B:C,2,0)</f>
        <v>#N/A</v>
      </c>
      <c r="O696" s="58">
        <f t="shared" si="10"/>
        <v>1</v>
      </c>
      <c r="P696" s="62" t="s">
        <v>10246</v>
      </c>
      <c r="Q696" s="58" t="s">
        <v>10252</v>
      </c>
      <c r="R696" s="62"/>
    </row>
    <row r="697" spans="1:18" ht="15" hidden="1">
      <c r="A697" s="4" t="s">
        <v>3377</v>
      </c>
      <c r="B697" s="46" t="s">
        <v>3378</v>
      </c>
      <c r="C697" s="46" t="s">
        <v>3379</v>
      </c>
      <c r="D697" s="60"/>
      <c r="E697" s="60">
        <v>0</v>
      </c>
      <c r="F697" s="60">
        <v>0</v>
      </c>
      <c r="G697" s="60" t="s">
        <v>3380</v>
      </c>
      <c r="H697" s="60" t="s">
        <v>3381</v>
      </c>
      <c r="I697" s="60">
        <v>830</v>
      </c>
      <c r="J697" s="60" t="s">
        <v>3382</v>
      </c>
      <c r="K697" s="60" t="s">
        <v>3383</v>
      </c>
      <c r="L697" s="60">
        <v>698873134</v>
      </c>
      <c r="M697" s="60"/>
      <c r="N697" s="58" t="str">
        <f>VLOOKUP(B697,歌单!B:C,2,0)</f>
        <v>卓依婷</v>
      </c>
      <c r="O697" s="58">
        <f t="shared" si="10"/>
        <v>1</v>
      </c>
      <c r="P697" s="62" t="str">
        <f>VLOOKUP(B697,歌单!B:E,3,0)</f>
        <v>国语</v>
      </c>
      <c r="Q697" s="58" t="str">
        <f>VLOOKUP(B697,歌单!B:E,4,0)</f>
        <v>童年回忆</v>
      </c>
      <c r="R697" s="62"/>
    </row>
    <row r="698" spans="1:18" ht="15">
      <c r="A698" s="4" t="s">
        <v>3384</v>
      </c>
      <c r="B698" s="46" t="s">
        <v>1896</v>
      </c>
      <c r="C698" s="46" t="s">
        <v>1897</v>
      </c>
      <c r="D698" s="60"/>
      <c r="E698" s="60">
        <v>0</v>
      </c>
      <c r="F698" s="60">
        <v>0</v>
      </c>
      <c r="G698" s="60" t="s">
        <v>3385</v>
      </c>
      <c r="H698" s="60"/>
      <c r="I698" s="60">
        <v>79</v>
      </c>
      <c r="J698" s="60"/>
      <c r="K698" s="60" t="s">
        <v>3386</v>
      </c>
      <c r="L698" s="60">
        <v>17451675</v>
      </c>
      <c r="M698" s="60"/>
      <c r="N698" s="58" t="e">
        <f>VLOOKUP(B698,歌单!B:C,2,0)</f>
        <v>#N/A</v>
      </c>
      <c r="O698" s="58">
        <f t="shared" si="10"/>
        <v>1</v>
      </c>
      <c r="P698" s="62" t="s">
        <v>10246</v>
      </c>
      <c r="Q698" s="58" t="s">
        <v>10252</v>
      </c>
      <c r="R698" s="62"/>
    </row>
    <row r="699" spans="1:18" ht="15" hidden="1">
      <c r="A699" s="4" t="s">
        <v>3387</v>
      </c>
      <c r="B699" s="46" t="s">
        <v>3388</v>
      </c>
      <c r="C699" s="46" t="s">
        <v>154</v>
      </c>
      <c r="D699" s="60" t="s">
        <v>3389</v>
      </c>
      <c r="E699" s="60">
        <v>5028</v>
      </c>
      <c r="F699" s="60">
        <v>155</v>
      </c>
      <c r="G699" s="60" t="s">
        <v>3390</v>
      </c>
      <c r="H699" s="60" t="s">
        <v>3391</v>
      </c>
      <c r="I699" s="60">
        <v>5420</v>
      </c>
      <c r="J699" s="60"/>
      <c r="K699" s="60" t="s">
        <v>158</v>
      </c>
      <c r="L699" s="60">
        <v>382573562</v>
      </c>
      <c r="M699" s="60"/>
      <c r="N699" s="58" t="str">
        <f>VLOOKUP(B699,歌单!B:C,2,0)</f>
        <v>周杰伦</v>
      </c>
      <c r="O699" s="58">
        <f t="shared" si="10"/>
        <v>0</v>
      </c>
      <c r="P699" s="62" t="str">
        <f>VLOOKUP(B699,歌单!B:E,3,0)</f>
        <v>国语</v>
      </c>
      <c r="Q699" s="58" t="str">
        <f>VLOOKUP(B699,歌单!B:E,4,0)</f>
        <v>流行</v>
      </c>
      <c r="R699" s="62"/>
    </row>
    <row r="700" spans="1:18" ht="15">
      <c r="A700" s="4" t="s">
        <v>3392</v>
      </c>
      <c r="B700" s="46" t="s">
        <v>3393</v>
      </c>
      <c r="C700" s="46" t="s">
        <v>1331</v>
      </c>
      <c r="D700" s="60"/>
      <c r="E700" s="60">
        <v>0</v>
      </c>
      <c r="F700" s="60">
        <v>0</v>
      </c>
      <c r="G700" s="60" t="s">
        <v>3394</v>
      </c>
      <c r="H700" s="60" t="s">
        <v>3395</v>
      </c>
      <c r="I700" s="60">
        <v>269</v>
      </c>
      <c r="J700" s="60" t="s">
        <v>3396</v>
      </c>
      <c r="K700" s="60" t="s">
        <v>3397</v>
      </c>
      <c r="L700" s="60">
        <v>162536625</v>
      </c>
      <c r="M700" s="60"/>
      <c r="N700" s="58" t="e">
        <f>VLOOKUP(B700,歌单!B:C,2,0)</f>
        <v>#N/A</v>
      </c>
      <c r="O700" s="58">
        <f t="shared" si="10"/>
        <v>1</v>
      </c>
      <c r="P700" s="62" t="s">
        <v>10246</v>
      </c>
      <c r="Q700" s="58" t="s">
        <v>6678</v>
      </c>
      <c r="R700" s="62"/>
    </row>
    <row r="701" spans="1:18" ht="15" hidden="1">
      <c r="A701" s="4" t="s">
        <v>3398</v>
      </c>
      <c r="B701" s="46" t="s">
        <v>3399</v>
      </c>
      <c r="C701" s="46" t="s">
        <v>3400</v>
      </c>
      <c r="D701" s="60"/>
      <c r="E701" s="60">
        <v>0</v>
      </c>
      <c r="F701" s="60">
        <v>0</v>
      </c>
      <c r="G701" s="60" t="s">
        <v>3401</v>
      </c>
      <c r="H701" s="60" t="s">
        <v>3402</v>
      </c>
      <c r="I701" s="60">
        <v>1339</v>
      </c>
      <c r="J701" s="60"/>
      <c r="K701" s="60" t="s">
        <v>3403</v>
      </c>
      <c r="L701" s="60">
        <v>570127969</v>
      </c>
      <c r="M701" s="60"/>
      <c r="N701" s="58" t="str">
        <f>VLOOKUP(B701,歌单!B:C,2,0)</f>
        <v>岑宁儿</v>
      </c>
      <c r="O701" s="58">
        <f t="shared" si="10"/>
        <v>0</v>
      </c>
      <c r="P701" s="62" t="str">
        <f>VLOOKUP(B701,歌单!B:E,3,0)</f>
        <v>国语</v>
      </c>
      <c r="Q701" s="58" t="str">
        <f>VLOOKUP(B701,歌单!B:E,4,0)</f>
        <v>流行</v>
      </c>
      <c r="R701" s="62"/>
    </row>
    <row r="702" spans="1:18" ht="15" hidden="1">
      <c r="A702" s="4" t="s">
        <v>3404</v>
      </c>
      <c r="B702" s="46" t="s">
        <v>3405</v>
      </c>
      <c r="C702" s="46" t="s">
        <v>3406</v>
      </c>
      <c r="D702" s="60"/>
      <c r="E702" s="60">
        <v>0</v>
      </c>
      <c r="F702" s="60">
        <v>0</v>
      </c>
      <c r="G702" s="60" t="s">
        <v>3407</v>
      </c>
      <c r="H702" s="60" t="s">
        <v>3408</v>
      </c>
      <c r="I702" s="60">
        <v>1976</v>
      </c>
      <c r="J702" s="60"/>
      <c r="K702" s="60" t="s">
        <v>262</v>
      </c>
      <c r="L702" s="60">
        <v>451667350</v>
      </c>
      <c r="M702" s="60" t="s">
        <v>322</v>
      </c>
      <c r="N702" s="58" t="str">
        <f>VLOOKUP(B702,歌单!B:C,2,0)</f>
        <v>周杰伦</v>
      </c>
      <c r="O702" s="58">
        <f t="shared" si="10"/>
        <v>0</v>
      </c>
      <c r="P702" s="62" t="str">
        <f>VLOOKUP(B702,歌单!B:E,3,0)</f>
        <v>国语</v>
      </c>
      <c r="Q702" s="58" t="str">
        <f>VLOOKUP(B702,歌单!B:E,4,0)</f>
        <v>流行</v>
      </c>
      <c r="R702" s="62"/>
    </row>
    <row r="703" spans="1:18" ht="15" hidden="1">
      <c r="A703" s="32" t="s">
        <v>3409</v>
      </c>
      <c r="B703" s="46" t="s">
        <v>3410</v>
      </c>
      <c r="C703" s="46" t="s">
        <v>3411</v>
      </c>
      <c r="D703" s="60"/>
      <c r="E703" s="60">
        <v>0</v>
      </c>
      <c r="F703" s="60">
        <v>0</v>
      </c>
      <c r="G703" s="60" t="s">
        <v>3412</v>
      </c>
      <c r="H703" s="60" t="s">
        <v>3413</v>
      </c>
      <c r="I703" s="60">
        <v>16</v>
      </c>
      <c r="J703" s="60"/>
      <c r="K703" s="60" t="s">
        <v>3410</v>
      </c>
      <c r="L703" s="60">
        <v>13443964</v>
      </c>
      <c r="M703" s="60"/>
      <c r="N703" s="56" t="str">
        <f>VLOOKUP(B703,歌单!B:C,2,0)</f>
        <v>王若琳</v>
      </c>
      <c r="O703" s="58">
        <f t="shared" si="10"/>
        <v>1</v>
      </c>
      <c r="P703" s="62" t="str">
        <f>VLOOKUP(B703,歌单!B:E,3,0)</f>
        <v>国语</v>
      </c>
      <c r="Q703" s="58" t="str">
        <f>VLOOKUP(B703,歌单!B:E,4,0)</f>
        <v>流行</v>
      </c>
      <c r="R703" s="62"/>
    </row>
    <row r="704" spans="1:18" ht="15" hidden="1">
      <c r="A704" s="4" t="s">
        <v>3414</v>
      </c>
      <c r="B704" s="46" t="s">
        <v>3415</v>
      </c>
      <c r="C704" s="46" t="s">
        <v>742</v>
      </c>
      <c r="D704" s="60"/>
      <c r="E704" s="60">
        <v>0</v>
      </c>
      <c r="F704" s="60">
        <v>0</v>
      </c>
      <c r="G704" s="60" t="s">
        <v>3416</v>
      </c>
      <c r="H704" s="60" t="s">
        <v>3417</v>
      </c>
      <c r="I704" s="60">
        <v>36</v>
      </c>
      <c r="J704" s="60"/>
      <c r="K704" s="60"/>
      <c r="L704" s="60">
        <v>29643037</v>
      </c>
      <c r="M704" s="60"/>
      <c r="N704" s="58" t="str">
        <f>VLOOKUP(B704,歌单!B:C,2,0)</f>
        <v>孙燕姿</v>
      </c>
      <c r="O704" s="58">
        <f t="shared" si="10"/>
        <v>0</v>
      </c>
      <c r="P704" s="62" t="str">
        <f>VLOOKUP(B704,歌单!B:E,3,0)</f>
        <v>国语</v>
      </c>
      <c r="Q704" s="58" t="str">
        <f>VLOOKUP(B704,歌单!B:E,4,0)</f>
        <v>流行</v>
      </c>
      <c r="R704" s="62"/>
    </row>
    <row r="705" spans="1:18" ht="15" hidden="1">
      <c r="A705" s="4" t="s">
        <v>3418</v>
      </c>
      <c r="B705" s="46" t="s">
        <v>3419</v>
      </c>
      <c r="C705" s="46" t="s">
        <v>3420</v>
      </c>
      <c r="D705" s="60"/>
      <c r="E705" s="60">
        <v>0</v>
      </c>
      <c r="F705" s="60">
        <v>0</v>
      </c>
      <c r="G705" s="60" t="s">
        <v>3421</v>
      </c>
      <c r="H705" s="60" t="s">
        <v>3422</v>
      </c>
      <c r="I705" s="60">
        <v>5317</v>
      </c>
      <c r="J705" s="60" t="s">
        <v>3423</v>
      </c>
      <c r="K705" s="60" t="s">
        <v>3419</v>
      </c>
      <c r="L705" s="60">
        <v>843572009</v>
      </c>
      <c r="M705" s="60" t="s">
        <v>2789</v>
      </c>
      <c r="N705" s="58" t="str">
        <f>VLOOKUP(B705,歌单!B:C,2,0)</f>
        <v>戚薇</v>
      </c>
      <c r="O705" s="58">
        <f t="shared" ref="O705:O728" si="11">_xlfn.IFNA(IF(IFERROR(SEARCH(N705,C705),0)&gt;0,0,1),0)</f>
        <v>0</v>
      </c>
      <c r="P705" s="62" t="str">
        <f>VLOOKUP(B705,歌单!B:E,3,0)</f>
        <v>国语</v>
      </c>
      <c r="Q705" s="58" t="str">
        <f>VLOOKUP(B705,歌单!B:E,4,0)</f>
        <v>流行</v>
      </c>
      <c r="R705" s="62"/>
    </row>
    <row r="706" spans="1:18" ht="15">
      <c r="A706" s="4" t="s">
        <v>3424</v>
      </c>
      <c r="B706" s="46" t="s">
        <v>3425</v>
      </c>
      <c r="C706" s="46" t="s">
        <v>1331</v>
      </c>
      <c r="D706" s="60"/>
      <c r="E706" s="60">
        <v>0</v>
      </c>
      <c r="F706" s="60">
        <v>0</v>
      </c>
      <c r="G706" s="60" t="s">
        <v>3426</v>
      </c>
      <c r="H706" s="60" t="s">
        <v>3427</v>
      </c>
      <c r="I706" s="60">
        <v>64</v>
      </c>
      <c r="J706" s="60"/>
      <c r="K706" s="60" t="s">
        <v>1763</v>
      </c>
      <c r="L706" s="60">
        <v>15363963</v>
      </c>
      <c r="M706" s="60"/>
      <c r="N706" s="58" t="e">
        <f>VLOOKUP(B706,歌单!B:C,2,0)</f>
        <v>#N/A</v>
      </c>
      <c r="O706" s="58">
        <f t="shared" si="11"/>
        <v>1</v>
      </c>
      <c r="P706" s="62" t="s">
        <v>10246</v>
      </c>
      <c r="Q706" s="58" t="s">
        <v>6678</v>
      </c>
      <c r="R706" s="62"/>
    </row>
    <row r="707" spans="1:18" ht="15" hidden="1">
      <c r="A707" s="32" t="s">
        <v>3428</v>
      </c>
      <c r="B707" s="46" t="s">
        <v>7407</v>
      </c>
      <c r="C707" s="46" t="s">
        <v>135</v>
      </c>
      <c r="D707" s="60"/>
      <c r="E707" s="60">
        <v>0</v>
      </c>
      <c r="F707" s="60">
        <v>0</v>
      </c>
      <c r="G707" s="60" t="s">
        <v>3429</v>
      </c>
      <c r="H707" s="60" t="s">
        <v>3430</v>
      </c>
      <c r="I707" s="60">
        <v>369</v>
      </c>
      <c r="J707" s="60"/>
      <c r="K707" s="60" t="s">
        <v>3431</v>
      </c>
      <c r="L707" s="60">
        <v>29391170</v>
      </c>
      <c r="M707" s="60"/>
      <c r="N707" s="56" t="str">
        <f>VLOOKUP(B707,歌单!B:C,2,0)</f>
        <v>邓紫棋/张靓颖</v>
      </c>
      <c r="O707" s="58">
        <f t="shared" si="11"/>
        <v>1</v>
      </c>
      <c r="P707" s="62" t="str">
        <f>VLOOKUP(B707,歌单!B:E,3,0)</f>
        <v>国语</v>
      </c>
      <c r="Q707" s="58" t="str">
        <f>VLOOKUP(B707,歌单!B:E,4,0)</f>
        <v>流行</v>
      </c>
      <c r="R707" s="62"/>
    </row>
    <row r="708" spans="1:18" ht="15">
      <c r="A708" s="4" t="s">
        <v>3432</v>
      </c>
      <c r="B708" s="46" t="s">
        <v>3433</v>
      </c>
      <c r="C708" s="46" t="s">
        <v>131</v>
      </c>
      <c r="D708" s="60"/>
      <c r="E708" s="60">
        <v>0</v>
      </c>
      <c r="F708" s="60">
        <v>0</v>
      </c>
      <c r="G708" s="60" t="s">
        <v>3434</v>
      </c>
      <c r="H708" s="60" t="s">
        <v>3435</v>
      </c>
      <c r="I708" s="60">
        <v>28</v>
      </c>
      <c r="J708" s="60"/>
      <c r="K708" s="60" t="s">
        <v>2189</v>
      </c>
      <c r="L708" s="60">
        <v>14497038</v>
      </c>
      <c r="M708" s="60"/>
      <c r="N708" s="58" t="e">
        <f>VLOOKUP(B708,歌单!B:C,2,0)</f>
        <v>#N/A</v>
      </c>
      <c r="O708" s="58">
        <f t="shared" si="11"/>
        <v>1</v>
      </c>
      <c r="P708" s="62" t="s">
        <v>10246</v>
      </c>
      <c r="Q708" s="58" t="s">
        <v>10252</v>
      </c>
      <c r="R708" s="62"/>
    </row>
    <row r="709" spans="1:18" ht="15" hidden="1">
      <c r="A709" s="4" t="s">
        <v>3436</v>
      </c>
      <c r="B709" s="46" t="s">
        <v>3437</v>
      </c>
      <c r="C709" s="46" t="s">
        <v>679</v>
      </c>
      <c r="D709" s="60"/>
      <c r="E709" s="60">
        <v>0</v>
      </c>
      <c r="F709" s="60">
        <v>0</v>
      </c>
      <c r="G709" s="60" t="s">
        <v>3438</v>
      </c>
      <c r="H709" s="60" t="s">
        <v>3439</v>
      </c>
      <c r="I709" s="60">
        <v>145</v>
      </c>
      <c r="J709" s="60"/>
      <c r="K709" s="60" t="s">
        <v>789</v>
      </c>
      <c r="L709" s="60">
        <v>57152134</v>
      </c>
      <c r="M709" s="60"/>
      <c r="N709" s="58" t="str">
        <f>VLOOKUP(B709,歌单!B:C,2,0)</f>
        <v>林俊杰</v>
      </c>
      <c r="O709" s="58">
        <f t="shared" si="11"/>
        <v>0</v>
      </c>
      <c r="P709" s="62" t="str">
        <f>VLOOKUP(B709,歌单!B:E,3,0)</f>
        <v>国语</v>
      </c>
      <c r="Q709" s="58" t="str">
        <f>VLOOKUP(B709,歌单!B:E,4,0)</f>
        <v>流行</v>
      </c>
      <c r="R709" s="62"/>
    </row>
    <row r="710" spans="1:18" ht="15" hidden="1">
      <c r="A710" s="4" t="s">
        <v>3440</v>
      </c>
      <c r="B710" s="46" t="s">
        <v>3441</v>
      </c>
      <c r="C710" s="46" t="s">
        <v>679</v>
      </c>
      <c r="D710" s="60" t="s">
        <v>3442</v>
      </c>
      <c r="E710" s="60">
        <v>28</v>
      </c>
      <c r="F710" s="60">
        <v>4</v>
      </c>
      <c r="G710" s="60" t="s">
        <v>3443</v>
      </c>
      <c r="H710" s="60"/>
      <c r="I710" s="60">
        <v>170</v>
      </c>
      <c r="J710" s="60" t="s">
        <v>3441</v>
      </c>
      <c r="K710" s="60" t="s">
        <v>3441</v>
      </c>
      <c r="L710" s="60">
        <v>59072110</v>
      </c>
      <c r="M710" s="60"/>
      <c r="N710" s="58" t="str">
        <f>VLOOKUP(B710,歌单!B:C,2,0)</f>
        <v>林俊杰</v>
      </c>
      <c r="O710" s="58">
        <f t="shared" si="11"/>
        <v>0</v>
      </c>
      <c r="P710" s="62" t="str">
        <f>VLOOKUP(B710,歌单!B:E,3,0)</f>
        <v>国语</v>
      </c>
      <c r="Q710" s="58" t="str">
        <f>VLOOKUP(B710,歌单!B:E,4,0)</f>
        <v>流行</v>
      </c>
      <c r="R710" s="62"/>
    </row>
    <row r="711" spans="1:18" ht="15">
      <c r="A711" s="4" t="s">
        <v>3444</v>
      </c>
      <c r="B711" s="46" t="s">
        <v>3445</v>
      </c>
      <c r="C711" s="46" t="s">
        <v>1670</v>
      </c>
      <c r="D711" s="60"/>
      <c r="E711" s="60">
        <v>0</v>
      </c>
      <c r="F711" s="60">
        <v>0</v>
      </c>
      <c r="G711" s="60" t="s">
        <v>3446</v>
      </c>
      <c r="H711" s="60"/>
      <c r="I711" s="60">
        <v>0</v>
      </c>
      <c r="J711" s="60"/>
      <c r="K711" s="60" t="s">
        <v>3447</v>
      </c>
      <c r="L711" s="60">
        <v>597328</v>
      </c>
      <c r="M711" s="60"/>
      <c r="N711" s="58" t="e">
        <f>VLOOKUP(B711,歌单!B:C,2,0)</f>
        <v>#N/A</v>
      </c>
      <c r="O711" s="58">
        <f t="shared" si="11"/>
        <v>1</v>
      </c>
      <c r="P711" s="62" t="s">
        <v>10246</v>
      </c>
      <c r="Q711" s="58" t="s">
        <v>10256</v>
      </c>
      <c r="R711" s="62"/>
    </row>
    <row r="712" spans="1:18" ht="15">
      <c r="A712" s="4" t="s">
        <v>3448</v>
      </c>
      <c r="B712" s="46" t="s">
        <v>3449</v>
      </c>
      <c r="C712" s="46" t="s">
        <v>3011</v>
      </c>
      <c r="D712" s="60"/>
      <c r="E712" s="60">
        <v>0</v>
      </c>
      <c r="F712" s="60">
        <v>0</v>
      </c>
      <c r="G712" s="60" t="s">
        <v>3450</v>
      </c>
      <c r="H712" s="60" t="s">
        <v>3451</v>
      </c>
      <c r="I712" s="60">
        <v>910</v>
      </c>
      <c r="J712" s="60"/>
      <c r="K712" s="60" t="s">
        <v>3452</v>
      </c>
      <c r="L712" s="60">
        <v>110160655</v>
      </c>
      <c r="M712" s="60"/>
      <c r="N712" s="58" t="e">
        <f>VLOOKUP(B712,歌单!B:C,2,0)</f>
        <v>#N/A</v>
      </c>
      <c r="O712" s="58">
        <f t="shared" si="11"/>
        <v>1</v>
      </c>
      <c r="P712" s="62" t="s">
        <v>10246</v>
      </c>
      <c r="Q712" s="58" t="s">
        <v>10254</v>
      </c>
      <c r="R712" s="62"/>
    </row>
    <row r="713" spans="1:18" ht="15">
      <c r="A713" s="4" t="s">
        <v>3453</v>
      </c>
      <c r="B713" s="46" t="s">
        <v>3454</v>
      </c>
      <c r="C713" s="46" t="s">
        <v>3455</v>
      </c>
      <c r="D713" s="60"/>
      <c r="E713" s="60">
        <v>0</v>
      </c>
      <c r="F713" s="60">
        <v>0</v>
      </c>
      <c r="G713" s="60" t="s">
        <v>3456</v>
      </c>
      <c r="H713" s="60" t="s">
        <v>3457</v>
      </c>
      <c r="I713" s="60">
        <v>10</v>
      </c>
      <c r="J713" s="60" t="s">
        <v>3458</v>
      </c>
      <c r="K713" s="60" t="s">
        <v>3459</v>
      </c>
      <c r="L713" s="60">
        <v>861479</v>
      </c>
      <c r="M713" s="60"/>
      <c r="N713" s="58" t="e">
        <f>VLOOKUP(B713,歌单!B:C,2,0)</f>
        <v>#N/A</v>
      </c>
      <c r="O713" s="58">
        <f t="shared" si="11"/>
        <v>1</v>
      </c>
      <c r="P713" s="62" t="s">
        <v>10246</v>
      </c>
      <c r="Q713" s="58" t="s">
        <v>10252</v>
      </c>
      <c r="R713" s="62"/>
    </row>
    <row r="714" spans="1:18" ht="15">
      <c r="A714" s="4" t="s">
        <v>3460</v>
      </c>
      <c r="B714" s="46" t="s">
        <v>3461</v>
      </c>
      <c r="C714" s="46" t="s">
        <v>3462</v>
      </c>
      <c r="D714" s="60"/>
      <c r="E714" s="60">
        <v>0</v>
      </c>
      <c r="F714" s="60">
        <v>0</v>
      </c>
      <c r="G714" s="60" t="s">
        <v>3463</v>
      </c>
      <c r="H714" s="60"/>
      <c r="I714" s="60">
        <v>54</v>
      </c>
      <c r="J714" s="60"/>
      <c r="K714" s="60" t="s">
        <v>3461</v>
      </c>
      <c r="L714" s="60">
        <v>11328017</v>
      </c>
      <c r="M714" s="60"/>
      <c r="N714" s="58">
        <f>VLOOKUP(B714,歌单!B:C,2,0)</f>
        <v>0</v>
      </c>
      <c r="O714" s="58">
        <f t="shared" si="11"/>
        <v>1</v>
      </c>
      <c r="P714" s="62" t="str">
        <f>VLOOKUP(B714,歌单!B:E,3,0)</f>
        <v>国语</v>
      </c>
      <c r="Q714" s="58" t="str">
        <f>VLOOKUP(B714,歌单!B:E,4,0)</f>
        <v>流行</v>
      </c>
      <c r="R714" s="62"/>
    </row>
    <row r="715" spans="1:18" ht="15">
      <c r="A715" s="4" t="s">
        <v>3464</v>
      </c>
      <c r="B715" s="46" t="s">
        <v>3465</v>
      </c>
      <c r="C715" s="46" t="s">
        <v>3462</v>
      </c>
      <c r="D715" s="60"/>
      <c r="E715" s="60">
        <v>0</v>
      </c>
      <c r="F715" s="60">
        <v>0</v>
      </c>
      <c r="G715" s="60" t="s">
        <v>3466</v>
      </c>
      <c r="H715" s="60" t="s">
        <v>3467</v>
      </c>
      <c r="I715" s="60">
        <v>30</v>
      </c>
      <c r="J715" s="60"/>
      <c r="K715" s="60" t="s">
        <v>3465</v>
      </c>
      <c r="L715" s="60">
        <v>420772</v>
      </c>
      <c r="M715" s="60"/>
      <c r="N715" s="58" t="e">
        <f>VLOOKUP(B715,歌单!B:C,2,0)</f>
        <v>#N/A</v>
      </c>
      <c r="O715" s="58">
        <f t="shared" si="11"/>
        <v>1</v>
      </c>
      <c r="P715" s="62" t="s">
        <v>10246</v>
      </c>
      <c r="Q715" s="58" t="s">
        <v>10252</v>
      </c>
      <c r="R715" s="62"/>
    </row>
    <row r="716" spans="1:18" ht="15" hidden="1">
      <c r="A716" s="4" t="s">
        <v>3468</v>
      </c>
      <c r="B716" s="46" t="s">
        <v>3469</v>
      </c>
      <c r="C716" s="46" t="s">
        <v>154</v>
      </c>
      <c r="D716" s="60"/>
      <c r="E716" s="60">
        <v>0</v>
      </c>
      <c r="F716" s="60">
        <v>0</v>
      </c>
      <c r="G716" s="60" t="s">
        <v>3470</v>
      </c>
      <c r="H716" s="60"/>
      <c r="I716" s="60">
        <v>4254</v>
      </c>
      <c r="J716" s="60"/>
      <c r="K716" s="60" t="s">
        <v>292</v>
      </c>
      <c r="L716" s="60">
        <v>493686852</v>
      </c>
      <c r="M716" s="60"/>
      <c r="N716" s="58" t="str">
        <f>VLOOKUP(B716,歌单!B:C,2,0)</f>
        <v>周杰伦</v>
      </c>
      <c r="O716" s="58">
        <f t="shared" si="11"/>
        <v>0</v>
      </c>
      <c r="P716" s="62" t="str">
        <f>VLOOKUP(B716,歌单!B:E,3,0)</f>
        <v>国语</v>
      </c>
      <c r="Q716" s="58" t="str">
        <f>VLOOKUP(B716,歌单!B:E,4,0)</f>
        <v>流行</v>
      </c>
      <c r="R716" s="62"/>
    </row>
    <row r="717" spans="1:18" ht="15" hidden="1">
      <c r="A717" s="32" t="s">
        <v>3471</v>
      </c>
      <c r="B717" s="46" t="s">
        <v>3095</v>
      </c>
      <c r="C717" s="46" t="s">
        <v>3472</v>
      </c>
      <c r="D717" s="60"/>
      <c r="E717" s="60">
        <v>0</v>
      </c>
      <c r="F717" s="60">
        <v>0</v>
      </c>
      <c r="G717" s="60" t="s">
        <v>3473</v>
      </c>
      <c r="H717" s="60"/>
      <c r="I717" s="60">
        <v>9</v>
      </c>
      <c r="J717" s="60"/>
      <c r="K717" s="60" t="s">
        <v>3474</v>
      </c>
      <c r="L717" s="60">
        <v>696626</v>
      </c>
      <c r="M717" s="60"/>
      <c r="N717" s="56" t="str">
        <f>VLOOKUP(B717,歌单!B:C,2,0)</f>
        <v>张韶涵</v>
      </c>
      <c r="O717" s="58">
        <f t="shared" si="11"/>
        <v>1</v>
      </c>
      <c r="P717" s="62" t="str">
        <f>VLOOKUP(B717,歌单!B:E,3,0)</f>
        <v>国语</v>
      </c>
      <c r="Q717" s="58" t="str">
        <f>VLOOKUP(B717,歌单!B:E,4,0)</f>
        <v>流行</v>
      </c>
      <c r="R717" s="62"/>
    </row>
    <row r="718" spans="1:18" ht="15">
      <c r="A718" s="4" t="s">
        <v>3475</v>
      </c>
      <c r="B718" s="46" t="s">
        <v>3476</v>
      </c>
      <c r="C718" s="46" t="s">
        <v>3477</v>
      </c>
      <c r="D718" s="60"/>
      <c r="E718" s="60">
        <v>0</v>
      </c>
      <c r="F718" s="60">
        <v>0</v>
      </c>
      <c r="G718" s="60" t="s">
        <v>3478</v>
      </c>
      <c r="H718" s="60"/>
      <c r="I718" s="60">
        <v>5</v>
      </c>
      <c r="J718" s="60"/>
      <c r="K718" s="60" t="s">
        <v>3476</v>
      </c>
      <c r="L718" s="60">
        <v>56546</v>
      </c>
      <c r="M718" s="60"/>
      <c r="N718" s="58" t="e">
        <f>VLOOKUP(B718,歌单!B:C,2,0)</f>
        <v>#N/A</v>
      </c>
      <c r="O718" s="58">
        <f t="shared" si="11"/>
        <v>1</v>
      </c>
      <c r="P718" s="62" t="s">
        <v>10246</v>
      </c>
      <c r="Q718" s="58" t="s">
        <v>10252</v>
      </c>
      <c r="R718" s="62"/>
    </row>
    <row r="719" spans="1:18" ht="15">
      <c r="A719" s="4" t="s">
        <v>3479</v>
      </c>
      <c r="B719" s="46" t="s">
        <v>3480</v>
      </c>
      <c r="C719" s="46" t="s">
        <v>1457</v>
      </c>
      <c r="D719" s="60"/>
      <c r="E719" s="60">
        <v>0</v>
      </c>
      <c r="F719" s="60">
        <v>0</v>
      </c>
      <c r="G719" s="60" t="s">
        <v>3481</v>
      </c>
      <c r="H719" s="60" t="s">
        <v>3482</v>
      </c>
      <c r="I719" s="60">
        <v>339</v>
      </c>
      <c r="J719" s="60" t="s">
        <v>3483</v>
      </c>
      <c r="K719" s="60" t="s">
        <v>3484</v>
      </c>
      <c r="L719" s="60">
        <v>197159453</v>
      </c>
      <c r="M719" s="60"/>
      <c r="N719" s="58" t="e">
        <f>VLOOKUP(B719,歌单!B:C,2,0)</f>
        <v>#N/A</v>
      </c>
      <c r="O719" s="58">
        <f t="shared" si="11"/>
        <v>1</v>
      </c>
      <c r="P719" s="62" t="s">
        <v>10246</v>
      </c>
      <c r="Q719" s="58" t="s">
        <v>10252</v>
      </c>
      <c r="R719" s="62"/>
    </row>
    <row r="720" spans="1:18" ht="15">
      <c r="A720" s="4" t="s">
        <v>3485</v>
      </c>
      <c r="B720" s="46" t="s">
        <v>3486</v>
      </c>
      <c r="C720" s="46" t="s">
        <v>2225</v>
      </c>
      <c r="D720" s="60"/>
      <c r="E720" s="60">
        <v>0</v>
      </c>
      <c r="F720" s="60">
        <v>0</v>
      </c>
      <c r="G720" s="60" t="s">
        <v>3487</v>
      </c>
      <c r="H720" s="60"/>
      <c r="I720" s="60">
        <v>11</v>
      </c>
      <c r="J720" s="60" t="s">
        <v>3486</v>
      </c>
      <c r="K720" s="60" t="s">
        <v>3486</v>
      </c>
      <c r="L720" s="60">
        <v>2675569</v>
      </c>
      <c r="M720" s="60"/>
      <c r="N720" s="58" t="e">
        <f>VLOOKUP(B720,歌单!B:C,2,0)</f>
        <v>#N/A</v>
      </c>
      <c r="O720" s="58">
        <f t="shared" si="11"/>
        <v>1</v>
      </c>
      <c r="P720" s="62" t="s">
        <v>10246</v>
      </c>
      <c r="Q720" s="58" t="s">
        <v>10252</v>
      </c>
      <c r="R720" s="62"/>
    </row>
    <row r="721" spans="1:22" ht="15" hidden="1">
      <c r="A721" s="4" t="s">
        <v>3488</v>
      </c>
      <c r="B721" s="46" t="s">
        <v>3489</v>
      </c>
      <c r="C721" s="46" t="s">
        <v>3490</v>
      </c>
      <c r="D721" s="60"/>
      <c r="E721" s="60">
        <v>0</v>
      </c>
      <c r="F721" s="60">
        <v>0</v>
      </c>
      <c r="G721" s="60" t="s">
        <v>3491</v>
      </c>
      <c r="H721" s="60" t="s">
        <v>3492</v>
      </c>
      <c r="I721" s="60">
        <v>138</v>
      </c>
      <c r="J721" s="60"/>
      <c r="K721" s="60" t="s">
        <v>3493</v>
      </c>
      <c r="L721" s="60">
        <v>93943426</v>
      </c>
      <c r="M721" s="60"/>
      <c r="N721" s="58" t="str">
        <f>VLOOKUP(B721,歌单!B:C,2,0)</f>
        <v>张露</v>
      </c>
      <c r="O721" s="58">
        <f t="shared" si="11"/>
        <v>0</v>
      </c>
      <c r="P721" s="62" t="str">
        <f>VLOOKUP(B721,歌单!B:E,3,0)</f>
        <v>国语</v>
      </c>
      <c r="Q721" s="58" t="str">
        <f>VLOOKUP(B721,歌单!B:E,4,0)</f>
        <v>流行</v>
      </c>
      <c r="R721" s="62"/>
    </row>
    <row r="722" spans="1:22" ht="15" hidden="1">
      <c r="A722" s="4" t="s">
        <v>3494</v>
      </c>
      <c r="B722" s="46" t="s">
        <v>3495</v>
      </c>
      <c r="C722" s="46" t="s">
        <v>3496</v>
      </c>
      <c r="D722" s="60"/>
      <c r="E722" s="60">
        <v>0</v>
      </c>
      <c r="F722" s="60">
        <v>0</v>
      </c>
      <c r="G722" s="60" t="s">
        <v>3497</v>
      </c>
      <c r="H722" s="60" t="s">
        <v>3498</v>
      </c>
      <c r="I722" s="60">
        <v>444</v>
      </c>
      <c r="J722" s="60"/>
      <c r="K722" s="60" t="s">
        <v>3499</v>
      </c>
      <c r="L722" s="60">
        <v>93052303</v>
      </c>
      <c r="M722" s="60"/>
      <c r="N722" s="58" t="str">
        <f>VLOOKUP(B722,歌单!B:C,2,0)</f>
        <v>伍佰</v>
      </c>
      <c r="O722" s="58">
        <f t="shared" si="11"/>
        <v>0</v>
      </c>
      <c r="P722" s="62" t="str">
        <f>VLOOKUP(B722,歌单!B:E,3,0)</f>
        <v>国语</v>
      </c>
      <c r="Q722" s="58" t="str">
        <f>VLOOKUP(B722,歌单!B:E,4,0)</f>
        <v>流行</v>
      </c>
      <c r="R722" s="62"/>
    </row>
    <row r="723" spans="1:22" ht="15">
      <c r="A723" s="4" t="s">
        <v>3500</v>
      </c>
      <c r="B723" s="46" t="s">
        <v>3501</v>
      </c>
      <c r="C723" s="46" t="s">
        <v>154</v>
      </c>
      <c r="D723" s="60" t="s">
        <v>3502</v>
      </c>
      <c r="E723" s="60">
        <v>71193</v>
      </c>
      <c r="F723" s="60">
        <v>5295</v>
      </c>
      <c r="G723" s="60" t="s">
        <v>3503</v>
      </c>
      <c r="H723" s="60" t="s">
        <v>3504</v>
      </c>
      <c r="I723" s="60">
        <v>1425</v>
      </c>
      <c r="J723" s="60"/>
      <c r="K723" s="60" t="s">
        <v>1026</v>
      </c>
      <c r="L723" s="60">
        <v>901923247</v>
      </c>
      <c r="M723" s="60"/>
      <c r="N723" s="58">
        <f>VLOOKUP(B723,歌单!B:C,2,0)</f>
        <v>0</v>
      </c>
      <c r="O723" s="58">
        <f t="shared" si="11"/>
        <v>1</v>
      </c>
      <c r="P723" s="62" t="str">
        <f>VLOOKUP(B723,歌单!B:E,3,0)</f>
        <v>国语</v>
      </c>
      <c r="Q723" s="58" t="str">
        <f>VLOOKUP(B723,歌单!B:E,4,0)</f>
        <v>流行</v>
      </c>
      <c r="R723" s="62"/>
    </row>
    <row r="724" spans="1:22" ht="15" hidden="1">
      <c r="A724" s="4" t="s">
        <v>3505</v>
      </c>
      <c r="B724" s="46" t="s">
        <v>3506</v>
      </c>
      <c r="C724" s="46" t="s">
        <v>1545</v>
      </c>
      <c r="D724" s="60"/>
      <c r="E724" s="60">
        <v>0</v>
      </c>
      <c r="F724" s="60">
        <v>0</v>
      </c>
      <c r="G724" s="60" t="s">
        <v>3507</v>
      </c>
      <c r="H724" s="60" t="s">
        <v>3508</v>
      </c>
      <c r="I724" s="60">
        <v>9</v>
      </c>
      <c r="J724" s="60" t="s">
        <v>3509</v>
      </c>
      <c r="K724" s="60" t="s">
        <v>3510</v>
      </c>
      <c r="L724" s="60">
        <v>7110077</v>
      </c>
      <c r="M724" s="60"/>
      <c r="N724" s="58" t="str">
        <f>VLOOKUP(B724,歌单!B:C,2,0)</f>
        <v>梁静茹</v>
      </c>
      <c r="O724" s="58">
        <f t="shared" si="11"/>
        <v>0</v>
      </c>
      <c r="P724" s="62" t="str">
        <f>VLOOKUP(B724,歌单!B:E,3,0)</f>
        <v>国语</v>
      </c>
      <c r="Q724" s="58" t="str">
        <f>VLOOKUP(B724,歌单!B:E,4,0)</f>
        <v>流行</v>
      </c>
      <c r="R724" s="62"/>
    </row>
    <row r="725" spans="1:22" ht="15">
      <c r="A725" s="4" t="s">
        <v>3511</v>
      </c>
      <c r="B725" s="46" t="s">
        <v>10271</v>
      </c>
      <c r="C725" s="46" t="s">
        <v>10272</v>
      </c>
      <c r="D725" s="60"/>
      <c r="E725" s="60"/>
      <c r="F725" s="60"/>
      <c r="G725" s="60"/>
      <c r="H725" s="60"/>
      <c r="I725" s="60"/>
      <c r="J725" s="60"/>
      <c r="K725" s="60"/>
      <c r="L725" s="60"/>
      <c r="M725" s="60"/>
      <c r="N725" s="58" t="e">
        <f>VLOOKUP(B725,歌单!B:C,2,0)</f>
        <v>#N/A</v>
      </c>
      <c r="O725" s="58">
        <f t="shared" si="11"/>
        <v>1</v>
      </c>
      <c r="P725" s="62" t="s">
        <v>10246</v>
      </c>
      <c r="Q725" s="58" t="s">
        <v>10252</v>
      </c>
      <c r="R725" s="62"/>
    </row>
    <row r="726" spans="1:22" ht="15">
      <c r="A726" s="4" t="s">
        <v>3515</v>
      </c>
      <c r="B726" s="46" t="s">
        <v>3516</v>
      </c>
      <c r="C726" s="46" t="s">
        <v>1331</v>
      </c>
      <c r="D726" s="60"/>
      <c r="E726" s="60">
        <v>0</v>
      </c>
      <c r="F726" s="60">
        <v>0</v>
      </c>
      <c r="G726" s="60" t="s">
        <v>3517</v>
      </c>
      <c r="H726" s="60" t="s">
        <v>3518</v>
      </c>
      <c r="I726" s="60">
        <v>227</v>
      </c>
      <c r="J726" s="60"/>
      <c r="K726" s="60" t="s">
        <v>1763</v>
      </c>
      <c r="L726" s="60">
        <v>34465095</v>
      </c>
      <c r="M726" s="60"/>
      <c r="N726" s="58" t="e">
        <f>VLOOKUP(B726,歌单!B:C,2,0)</f>
        <v>#N/A</v>
      </c>
      <c r="O726" s="58">
        <f t="shared" si="11"/>
        <v>1</v>
      </c>
      <c r="P726" s="62" t="s">
        <v>10246</v>
      </c>
      <c r="Q726" s="58" t="s">
        <v>6678</v>
      </c>
      <c r="R726" s="62"/>
    </row>
    <row r="727" spans="1:22" ht="15" hidden="1">
      <c r="A727" s="4" t="s">
        <v>3520</v>
      </c>
      <c r="B727" s="46" t="s">
        <v>3521</v>
      </c>
      <c r="C727" s="46" t="s">
        <v>3522</v>
      </c>
      <c r="D727" s="60"/>
      <c r="E727" s="60">
        <v>0</v>
      </c>
      <c r="F727" s="60">
        <v>0</v>
      </c>
      <c r="G727" s="60" t="s">
        <v>3523</v>
      </c>
      <c r="H727" s="60"/>
      <c r="I727" s="60">
        <v>448</v>
      </c>
      <c r="J727" s="60"/>
      <c r="K727" s="60" t="s">
        <v>3521</v>
      </c>
      <c r="L727" s="60">
        <v>64033545</v>
      </c>
      <c r="M727" s="60" t="s">
        <v>1224</v>
      </c>
      <c r="N727" s="58" t="str">
        <f>VLOOKUP(B727,歌单!B:C,2,0)</f>
        <v>卢卢快闭嘴</v>
      </c>
      <c r="O727" s="58">
        <f t="shared" si="11"/>
        <v>0</v>
      </c>
      <c r="P727" s="62" t="str">
        <f>VLOOKUP(B727,歌单!B:E,3,0)</f>
        <v>国语</v>
      </c>
      <c r="Q727" s="58" t="str">
        <f>VLOOKUP(B727,歌单!B:E,4,0)</f>
        <v>流行</v>
      </c>
      <c r="R727" s="62"/>
    </row>
    <row r="728" spans="1:22" ht="15" hidden="1">
      <c r="A728" s="32" t="s">
        <v>3524</v>
      </c>
      <c r="B728" s="46" t="s">
        <v>6390</v>
      </c>
      <c r="C728" s="46" t="s">
        <v>6389</v>
      </c>
      <c r="D728" s="60"/>
      <c r="E728" s="60">
        <v>0</v>
      </c>
      <c r="F728" s="60">
        <v>0</v>
      </c>
      <c r="G728" s="60" t="s">
        <v>3525</v>
      </c>
      <c r="H728" s="60"/>
      <c r="I728" s="60">
        <v>2</v>
      </c>
      <c r="J728" s="60"/>
      <c r="K728" s="60" t="s">
        <v>3526</v>
      </c>
      <c r="L728" s="60">
        <v>1437978</v>
      </c>
      <c r="M728" s="60"/>
      <c r="N728" s="56" t="str">
        <f>VLOOKUP(B728,歌单!B:C,2,0)</f>
        <v>黄龄</v>
      </c>
      <c r="O728" s="58">
        <f t="shared" si="11"/>
        <v>1</v>
      </c>
      <c r="P728" s="62" t="str">
        <f>VLOOKUP(B728,歌单!B:E,3,0)</f>
        <v>国语</v>
      </c>
      <c r="Q728" s="58" t="str">
        <f>VLOOKUP(B728,歌单!B:E,4,0)</f>
        <v>流行</v>
      </c>
      <c r="R728" s="62"/>
    </row>
    <row r="729" spans="1:22" ht="15">
      <c r="A729" s="4"/>
      <c r="B729" s="46"/>
      <c r="C729" s="46"/>
      <c r="D729" s="60"/>
      <c r="E729" s="60"/>
      <c r="F729" s="60"/>
      <c r="G729" s="60"/>
      <c r="H729" s="60"/>
      <c r="I729" s="60"/>
      <c r="J729" s="60"/>
      <c r="K729" s="60"/>
      <c r="L729" s="60"/>
      <c r="M729" s="60"/>
      <c r="N729" s="69"/>
      <c r="O729" s="62"/>
      <c r="P729" s="62"/>
      <c r="Q729" s="62"/>
      <c r="R729" s="62"/>
    </row>
    <row r="730" spans="1:22" ht="15">
      <c r="A730" s="4"/>
      <c r="B730" s="46"/>
      <c r="C730" s="46"/>
      <c r="D730" s="60"/>
      <c r="E730" s="60"/>
      <c r="F730" s="60"/>
      <c r="G730" s="60"/>
      <c r="H730" s="60"/>
      <c r="I730" s="60"/>
      <c r="J730" s="60"/>
      <c r="K730" s="60"/>
      <c r="L730" s="60"/>
      <c r="M730" s="60"/>
      <c r="N730" s="69"/>
      <c r="O730" s="62"/>
      <c r="P730" s="62"/>
      <c r="Q730" s="62"/>
      <c r="R730" s="62"/>
    </row>
    <row r="731" spans="1:22" ht="15">
      <c r="A731" s="4"/>
      <c r="B731" s="46"/>
      <c r="C731" s="46"/>
      <c r="D731" s="60"/>
      <c r="E731" s="60"/>
      <c r="F731" s="60"/>
      <c r="G731" s="60"/>
      <c r="H731" s="60"/>
      <c r="I731" s="60"/>
      <c r="J731" s="60"/>
      <c r="K731" s="60"/>
      <c r="L731" s="60"/>
      <c r="M731" s="60"/>
      <c r="N731" s="69"/>
      <c r="O731" s="62"/>
      <c r="P731" s="62"/>
      <c r="Q731" s="62"/>
      <c r="R731" s="62"/>
    </row>
    <row r="732" spans="1:22" ht="15">
      <c r="A732" s="4"/>
      <c r="B732" s="46"/>
      <c r="C732" s="46"/>
      <c r="D732" s="60"/>
      <c r="E732" s="60"/>
      <c r="F732" s="60"/>
      <c r="G732" s="60"/>
      <c r="H732" s="60"/>
      <c r="I732" s="60"/>
      <c r="J732" s="60"/>
      <c r="K732" s="60"/>
      <c r="L732" s="60"/>
      <c r="M732" s="60"/>
      <c r="N732" s="69"/>
      <c r="O732" s="62"/>
      <c r="P732" s="62"/>
      <c r="Q732" s="62"/>
      <c r="R732" s="62"/>
    </row>
    <row r="733" spans="1:22" ht="15">
      <c r="A733" s="4"/>
      <c r="B733" s="46"/>
      <c r="C733" s="46"/>
      <c r="D733" s="60"/>
      <c r="E733" s="60"/>
      <c r="F733" s="60"/>
      <c r="G733" s="60"/>
      <c r="H733" s="60"/>
      <c r="I733" s="60"/>
      <c r="J733" s="60"/>
      <c r="K733" s="60"/>
      <c r="L733" s="60"/>
      <c r="M733" s="60"/>
      <c r="N733" s="69"/>
      <c r="O733" s="62"/>
      <c r="P733" s="62"/>
      <c r="Q733" s="62"/>
      <c r="R733" s="62"/>
    </row>
    <row r="734" spans="1:22" ht="15">
      <c r="A734" s="4"/>
      <c r="B734" s="46"/>
      <c r="C734" s="46"/>
      <c r="D734" s="60"/>
      <c r="E734" s="60"/>
      <c r="F734" s="60"/>
      <c r="G734" s="60"/>
      <c r="H734" s="60"/>
      <c r="I734" s="60"/>
      <c r="J734" s="60"/>
      <c r="K734" s="60"/>
      <c r="L734" s="60"/>
      <c r="M734" s="60"/>
      <c r="N734" s="69"/>
      <c r="O734" s="62"/>
      <c r="P734" s="62"/>
      <c r="Q734" s="62"/>
      <c r="R734" s="62"/>
    </row>
    <row r="735" spans="1:22" s="29" customFormat="1" ht="15">
      <c r="A735" s="4"/>
      <c r="B735" s="46"/>
      <c r="C735" s="46"/>
      <c r="D735" s="60"/>
      <c r="E735" s="60"/>
      <c r="F735" s="60"/>
      <c r="G735" s="60"/>
      <c r="H735" s="60"/>
      <c r="I735" s="60"/>
      <c r="J735" s="60"/>
      <c r="K735" s="60"/>
      <c r="L735" s="60"/>
      <c r="M735" s="60"/>
      <c r="N735" s="69"/>
      <c r="O735" s="62"/>
      <c r="P735" s="62"/>
      <c r="Q735" s="62"/>
      <c r="R735" s="62"/>
      <c r="S735" s="47"/>
      <c r="T735" s="47"/>
      <c r="U735" s="47"/>
      <c r="V735" s="47"/>
    </row>
    <row r="736" spans="1:22" s="29" customFormat="1" ht="15">
      <c r="A736" s="4"/>
      <c r="B736" s="46"/>
      <c r="C736" s="46"/>
      <c r="D736" s="46"/>
      <c r="E736" s="46"/>
      <c r="F736" s="46"/>
      <c r="G736" s="46"/>
      <c r="H736" s="46"/>
      <c r="I736" s="46"/>
      <c r="J736" s="46"/>
      <c r="K736" s="46"/>
      <c r="L736" s="46"/>
      <c r="M736" s="46"/>
      <c r="N736" s="53"/>
      <c r="O736" s="47"/>
      <c r="P736" s="47"/>
      <c r="Q736" s="47"/>
      <c r="R736" s="47"/>
      <c r="S736" s="47"/>
      <c r="T736" s="47"/>
      <c r="U736" s="47"/>
      <c r="V736" s="47"/>
    </row>
    <row r="737" spans="1:22" s="29" customFormat="1" ht="15">
      <c r="A737" s="4"/>
      <c r="B737" s="46"/>
      <c r="C737" s="46"/>
      <c r="D737" s="46"/>
      <c r="E737" s="46"/>
      <c r="F737" s="46"/>
      <c r="G737" s="46"/>
      <c r="H737" s="46"/>
      <c r="I737" s="46"/>
      <c r="J737" s="46"/>
      <c r="K737" s="46"/>
      <c r="L737" s="46"/>
      <c r="M737" s="46"/>
      <c r="N737" s="53"/>
      <c r="O737" s="47"/>
      <c r="P737" s="47"/>
      <c r="Q737" s="47"/>
      <c r="R737" s="47"/>
      <c r="S737" s="47"/>
      <c r="T737" s="47"/>
      <c r="U737" s="47"/>
      <c r="V737" s="47"/>
    </row>
    <row r="738" spans="1:22" s="29" customFormat="1" ht="15">
      <c r="A738" s="4"/>
      <c r="B738" s="46"/>
      <c r="C738" s="46"/>
      <c r="D738" s="46"/>
      <c r="E738" s="46"/>
      <c r="F738" s="46"/>
      <c r="G738" s="46"/>
      <c r="H738" s="46"/>
      <c r="I738" s="46"/>
      <c r="J738" s="46"/>
      <c r="K738" s="46"/>
      <c r="L738" s="46"/>
      <c r="M738" s="46"/>
      <c r="N738" s="53"/>
      <c r="O738" s="47"/>
      <c r="P738" s="47"/>
      <c r="Q738" s="47"/>
      <c r="R738" s="47"/>
      <c r="S738" s="47"/>
      <c r="T738" s="47"/>
      <c r="U738" s="47"/>
      <c r="V738" s="47"/>
    </row>
    <row r="739" spans="1:22" s="29" customFormat="1" ht="15">
      <c r="A739" s="4"/>
      <c r="B739" s="46"/>
      <c r="C739" s="46"/>
      <c r="D739" s="46"/>
      <c r="E739" s="46"/>
      <c r="F739" s="46"/>
      <c r="G739" s="46"/>
      <c r="H739" s="46"/>
      <c r="I739" s="46"/>
      <c r="J739" s="46"/>
      <c r="K739" s="46"/>
      <c r="L739" s="46"/>
      <c r="M739" s="46"/>
      <c r="N739" s="53"/>
      <c r="O739" s="47"/>
      <c r="P739" s="47"/>
      <c r="Q739" s="47"/>
      <c r="R739" s="47"/>
      <c r="S739" s="47"/>
      <c r="T739" s="47"/>
      <c r="U739" s="47"/>
      <c r="V739" s="47"/>
    </row>
    <row r="740" spans="1:22" s="29" customFormat="1" ht="15">
      <c r="A740" s="4"/>
      <c r="B740" s="46"/>
      <c r="C740" s="46"/>
      <c r="D740" s="46"/>
      <c r="E740" s="46"/>
      <c r="F740" s="46"/>
      <c r="G740" s="46"/>
      <c r="H740" s="46"/>
      <c r="I740" s="46"/>
      <c r="J740" s="46"/>
      <c r="K740" s="46"/>
      <c r="L740" s="46"/>
      <c r="M740" s="46"/>
      <c r="N740" s="53"/>
      <c r="O740" s="47"/>
      <c r="P740" s="47"/>
      <c r="Q740" s="47"/>
      <c r="R740" s="47"/>
      <c r="S740" s="47"/>
      <c r="T740" s="47"/>
      <c r="U740" s="47"/>
      <c r="V740" s="47"/>
    </row>
    <row r="741" spans="1:22" s="29" customFormat="1" ht="15">
      <c r="A741" s="4"/>
      <c r="B741" s="46"/>
      <c r="C741" s="46"/>
      <c r="D741" s="46"/>
      <c r="E741" s="46"/>
      <c r="F741" s="46"/>
      <c r="G741" s="46"/>
      <c r="H741" s="46"/>
      <c r="I741" s="46"/>
      <c r="J741" s="46"/>
      <c r="K741" s="46"/>
      <c r="L741" s="46"/>
      <c r="M741" s="46"/>
      <c r="N741" s="53"/>
      <c r="O741" s="47"/>
      <c r="P741" s="47"/>
      <c r="Q741" s="47"/>
      <c r="R741" s="47"/>
      <c r="S741" s="47"/>
      <c r="T741" s="47"/>
      <c r="U741" s="47"/>
      <c r="V741" s="47"/>
    </row>
    <row r="742" spans="1:22" s="29" customFormat="1" ht="15">
      <c r="A742" s="4"/>
      <c r="B742" s="46"/>
      <c r="C742" s="46"/>
      <c r="D742" s="46"/>
      <c r="E742" s="46"/>
      <c r="F742" s="46"/>
      <c r="G742" s="46"/>
      <c r="H742" s="46"/>
      <c r="I742" s="46"/>
      <c r="J742" s="46"/>
      <c r="K742" s="46"/>
      <c r="L742" s="46"/>
      <c r="M742" s="46"/>
      <c r="N742" s="53"/>
      <c r="O742" s="47"/>
      <c r="P742" s="47"/>
      <c r="Q742" s="47"/>
      <c r="R742" s="47"/>
      <c r="S742" s="47"/>
      <c r="T742" s="47"/>
      <c r="U742" s="47"/>
      <c r="V742" s="47"/>
    </row>
    <row r="743" spans="1:22" s="29" customFormat="1" ht="15">
      <c r="A743" s="4"/>
      <c r="B743" s="46"/>
      <c r="C743" s="46"/>
      <c r="D743" s="46"/>
      <c r="E743" s="46"/>
      <c r="F743" s="46"/>
      <c r="G743" s="46"/>
      <c r="H743" s="46"/>
      <c r="I743" s="46"/>
      <c r="J743" s="46"/>
      <c r="K743" s="46"/>
      <c r="L743" s="46"/>
      <c r="M743" s="46"/>
      <c r="N743" s="53"/>
      <c r="O743" s="47"/>
      <c r="P743" s="47"/>
      <c r="Q743" s="47"/>
      <c r="R743" s="47"/>
      <c r="S743" s="47"/>
      <c r="T743" s="47"/>
      <c r="U743" s="47"/>
      <c r="V743" s="47"/>
    </row>
    <row r="744" spans="1:22" s="29" customFormat="1" ht="15">
      <c r="A744" s="4"/>
      <c r="B744" s="46"/>
      <c r="C744" s="46"/>
      <c r="D744" s="46"/>
      <c r="E744" s="46"/>
      <c r="F744" s="46"/>
      <c r="G744" s="46"/>
      <c r="H744" s="46"/>
      <c r="I744" s="46"/>
      <c r="J744" s="46"/>
      <c r="K744" s="46"/>
      <c r="L744" s="46"/>
      <c r="M744" s="46"/>
      <c r="N744" s="53"/>
      <c r="O744" s="47"/>
      <c r="P744" s="47"/>
      <c r="Q744" s="47"/>
      <c r="R744" s="47"/>
      <c r="S744" s="47"/>
      <c r="T744" s="47"/>
      <c r="U744" s="47"/>
      <c r="V744" s="47"/>
    </row>
    <row r="745" spans="1:22" s="29" customFormat="1" ht="15">
      <c r="A745" s="4"/>
      <c r="B745" s="46"/>
      <c r="C745" s="46"/>
      <c r="D745" s="46"/>
      <c r="E745" s="46"/>
      <c r="F745" s="46"/>
      <c r="G745" s="46"/>
      <c r="H745" s="46"/>
      <c r="I745" s="46"/>
      <c r="J745" s="46"/>
      <c r="K745" s="46"/>
      <c r="L745" s="46"/>
      <c r="M745" s="46"/>
      <c r="N745" s="53"/>
      <c r="O745" s="47"/>
      <c r="P745" s="47"/>
      <c r="Q745" s="47"/>
      <c r="R745" s="47"/>
      <c r="S745" s="47"/>
      <c r="T745" s="47"/>
      <c r="U745" s="47"/>
      <c r="V745" s="47"/>
    </row>
    <row r="746" spans="1:22" s="29" customFormat="1" ht="15">
      <c r="A746" s="4"/>
      <c r="B746" s="46"/>
      <c r="C746" s="46"/>
      <c r="D746" s="46"/>
      <c r="E746" s="46"/>
      <c r="F746" s="46"/>
      <c r="G746" s="46"/>
      <c r="H746" s="46"/>
      <c r="I746" s="46"/>
      <c r="J746" s="46"/>
      <c r="K746" s="46"/>
      <c r="L746" s="46"/>
      <c r="M746" s="46"/>
      <c r="N746" s="53"/>
      <c r="O746" s="47"/>
      <c r="P746" s="47"/>
      <c r="Q746" s="47"/>
      <c r="R746" s="47"/>
      <c r="S746" s="47"/>
      <c r="T746" s="47"/>
      <c r="U746" s="47"/>
      <c r="V746" s="47"/>
    </row>
    <row r="747" spans="1:22" s="29" customFormat="1" ht="15">
      <c r="A747" s="4"/>
      <c r="B747" s="46"/>
      <c r="C747" s="46"/>
      <c r="D747" s="46"/>
      <c r="E747" s="46"/>
      <c r="F747" s="46"/>
      <c r="G747" s="46"/>
      <c r="H747" s="46"/>
      <c r="I747" s="46"/>
      <c r="J747" s="46"/>
      <c r="K747" s="46"/>
      <c r="L747" s="46"/>
      <c r="M747" s="46"/>
      <c r="N747" s="53"/>
      <c r="O747" s="47"/>
      <c r="P747" s="47"/>
      <c r="Q747" s="47"/>
      <c r="R747" s="47"/>
      <c r="S747" s="47"/>
      <c r="T747" s="47"/>
      <c r="U747" s="47"/>
      <c r="V747" s="47"/>
    </row>
    <row r="748" spans="1:22" s="29" customFormat="1" ht="15">
      <c r="A748" s="4"/>
      <c r="B748" s="46"/>
      <c r="C748" s="46"/>
      <c r="D748" s="46"/>
      <c r="E748" s="46"/>
      <c r="F748" s="46"/>
      <c r="G748" s="46"/>
      <c r="H748" s="46"/>
      <c r="I748" s="46"/>
      <c r="J748" s="46"/>
      <c r="K748" s="46"/>
      <c r="L748" s="46"/>
      <c r="M748" s="46"/>
      <c r="N748" s="53"/>
      <c r="O748" s="47"/>
      <c r="P748" s="47"/>
      <c r="Q748" s="47"/>
      <c r="R748" s="47"/>
      <c r="S748" s="47"/>
      <c r="T748" s="47"/>
      <c r="U748" s="47"/>
      <c r="V748" s="47"/>
    </row>
    <row r="749" spans="1:22" s="29" customFormat="1" ht="15">
      <c r="A749" s="4"/>
      <c r="B749" s="46"/>
      <c r="C749" s="46"/>
      <c r="D749" s="46"/>
      <c r="E749" s="46"/>
      <c r="F749" s="46"/>
      <c r="G749" s="46"/>
      <c r="H749" s="46"/>
      <c r="I749" s="46"/>
      <c r="J749" s="46"/>
      <c r="K749" s="46"/>
      <c r="L749" s="46"/>
      <c r="M749" s="46"/>
      <c r="N749" s="53"/>
      <c r="O749" s="47"/>
      <c r="P749" s="47"/>
      <c r="Q749" s="47"/>
      <c r="R749" s="47"/>
      <c r="S749" s="47"/>
      <c r="T749" s="47"/>
      <c r="U749" s="47"/>
      <c r="V749" s="47"/>
    </row>
    <row r="750" spans="1:22" s="29" customFormat="1" ht="15">
      <c r="A750" s="4"/>
      <c r="B750" s="46"/>
      <c r="C750" s="46"/>
      <c r="D750" s="46"/>
      <c r="E750" s="46"/>
      <c r="F750" s="46"/>
      <c r="G750" s="46"/>
      <c r="H750" s="46"/>
      <c r="I750" s="46"/>
      <c r="J750" s="46"/>
      <c r="K750" s="46"/>
      <c r="L750" s="46"/>
      <c r="M750" s="46"/>
      <c r="N750" s="53"/>
      <c r="O750" s="47"/>
      <c r="P750" s="47"/>
      <c r="Q750" s="47"/>
      <c r="R750" s="47"/>
      <c r="S750" s="47"/>
      <c r="T750" s="47"/>
      <c r="U750" s="47"/>
      <c r="V750" s="47"/>
    </row>
    <row r="751" spans="1:22" s="29" customFormat="1" ht="15">
      <c r="A751" s="4"/>
      <c r="B751" s="46"/>
      <c r="C751" s="46"/>
      <c r="D751" s="46"/>
      <c r="E751" s="46"/>
      <c r="F751" s="46"/>
      <c r="G751" s="46"/>
      <c r="H751" s="46"/>
      <c r="I751" s="46"/>
      <c r="J751" s="46"/>
      <c r="K751" s="46"/>
      <c r="L751" s="46"/>
      <c r="M751" s="46"/>
      <c r="N751" s="53"/>
      <c r="O751" s="47"/>
      <c r="P751" s="47"/>
      <c r="Q751" s="47"/>
      <c r="R751" s="47"/>
      <c r="S751" s="47"/>
      <c r="T751" s="47"/>
      <c r="U751" s="47"/>
      <c r="V751" s="47"/>
    </row>
    <row r="752" spans="1:22" s="29" customFormat="1" ht="15">
      <c r="A752" s="4"/>
      <c r="B752" s="46"/>
      <c r="C752" s="46"/>
      <c r="D752" s="46"/>
      <c r="E752" s="46"/>
      <c r="F752" s="46"/>
      <c r="G752" s="46"/>
      <c r="H752" s="46"/>
      <c r="I752" s="46"/>
      <c r="J752" s="46"/>
      <c r="K752" s="46"/>
      <c r="L752" s="46"/>
      <c r="M752" s="46"/>
      <c r="N752" s="53"/>
      <c r="O752" s="47"/>
      <c r="P752" s="47"/>
      <c r="Q752" s="47"/>
      <c r="R752" s="47"/>
      <c r="S752" s="47"/>
      <c r="T752" s="47"/>
      <c r="U752" s="47"/>
      <c r="V752" s="47"/>
    </row>
    <row r="753" spans="1:22" s="29" customFormat="1" ht="15">
      <c r="A753" s="4"/>
      <c r="B753" s="46"/>
      <c r="C753" s="46"/>
      <c r="D753" s="46"/>
      <c r="E753" s="46"/>
      <c r="F753" s="46"/>
      <c r="G753" s="46"/>
      <c r="H753" s="46"/>
      <c r="I753" s="46"/>
      <c r="J753" s="46"/>
      <c r="K753" s="46"/>
      <c r="L753" s="46"/>
      <c r="M753" s="46"/>
      <c r="N753" s="53"/>
      <c r="O753" s="47"/>
      <c r="P753" s="47"/>
      <c r="Q753" s="47"/>
      <c r="R753" s="47"/>
      <c r="S753" s="47"/>
      <c r="T753" s="47"/>
      <c r="U753" s="47"/>
      <c r="V753" s="47"/>
    </row>
  </sheetData>
  <autoFilter ref="A1:Q728" xr:uid="{4FA01FD3-0509-441A-B8BE-A7A11A01F327}">
    <filterColumn colId="13">
      <filters>
        <filter val="#N/A"/>
        <filter val="/"/>
        <filter val="0"/>
      </filters>
    </filterColumn>
    <filterColumn colId="14">
      <filters>
        <filter val="1"/>
      </filters>
    </filterColumn>
  </autoFilter>
  <phoneticPr fontId="1" type="noConversion"/>
  <conditionalFormatting sqref="A712">
    <cfRule type="duplicateValues" dxfId="7" priority="1"/>
  </conditionalFormatting>
  <conditionalFormatting sqref="B713:B1048576 B634:B711 B1:B10">
    <cfRule type="duplicateValues" dxfId="6" priority="2"/>
  </conditionalFormatting>
  <hyperlinks>
    <hyperlink ref="C42" r:id="rId1" display="https://baike.baidu.com/item/HOYO-MiX/15441055?fromModule=lemma_inlink" xr:uid="{16F0351D-0B88-44D4-8008-F9267BCDA4D7}"/>
    <hyperlink ref="G102" r:id="rId2" xr:uid="{4C2583FE-3C18-4C56-A033-0A915AACF593}"/>
    <hyperlink ref="G110" r:id="rId3" xr:uid="{1AB0F772-8A69-444B-B270-5D0417F6701A}"/>
    <hyperlink ref="G562" r:id="rId4" xr:uid="{A43E5058-E59F-4E47-A006-5D8A33B89281}"/>
    <hyperlink ref="G567" r:id="rId5" xr:uid="{BE3260EE-BBAF-4707-915B-4508868B55D3}"/>
    <hyperlink ref="G575" r:id="rId6" xr:uid="{62C92130-0652-44F3-94FC-6D2D2991A99F}"/>
    <hyperlink ref="H575" r:id="rId7" xr:uid="{FB6C5FF0-542F-4A4F-AD98-ABCB34342969}"/>
  </hyperlinks>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53"/>
  <sheetViews>
    <sheetView zoomScale="85" zoomScaleNormal="85" workbookViewId="0">
      <pane ySplit="1" topLeftCell="A89" activePane="bottomLeft" state="frozen"/>
      <selection pane="bottomLeft" activeCell="B89" sqref="B89"/>
    </sheetView>
  </sheetViews>
  <sheetFormatPr defaultRowHeight="13.5"/>
  <cols>
    <col min="1" max="1" width="26.73046875" customWidth="1"/>
    <col min="2" max="2" width="31.33203125" customWidth="1"/>
    <col min="3" max="3" width="12.73046875" customWidth="1"/>
    <col min="4" max="4" width="12.73046875" style="19" customWidth="1"/>
    <col min="5" max="5" width="12.19921875" style="19" customWidth="1"/>
    <col min="6" max="6" width="10.73046875" style="19" customWidth="1"/>
    <col min="7" max="7" width="12.53125" customWidth="1"/>
    <col min="8" max="8" width="9.73046875" customWidth="1"/>
    <col min="9" max="9" width="10.9296875" style="1" customWidth="1"/>
    <col min="10" max="10" width="20.33203125" customWidth="1"/>
    <col min="12" max="12" width="12.59765625" customWidth="1"/>
    <col min="13" max="13" width="15" customWidth="1"/>
  </cols>
  <sheetData>
    <row r="1" spans="1:16" s="2" customFormat="1" ht="15.75" customHeight="1">
      <c r="A1" s="3" t="s">
        <v>0</v>
      </c>
      <c r="B1" s="3" t="s">
        <v>1</v>
      </c>
      <c r="C1" s="3" t="s">
        <v>2</v>
      </c>
      <c r="D1" s="21" t="s">
        <v>3</v>
      </c>
      <c r="E1" s="22" t="s">
        <v>4</v>
      </c>
      <c r="F1" s="22" t="s">
        <v>5</v>
      </c>
      <c r="G1" s="3" t="s">
        <v>6</v>
      </c>
      <c r="H1" s="3" t="s">
        <v>7</v>
      </c>
      <c r="I1" s="3" t="s">
        <v>8</v>
      </c>
      <c r="J1" s="3" t="s">
        <v>9</v>
      </c>
      <c r="K1" s="3" t="s">
        <v>10</v>
      </c>
      <c r="L1" s="3" t="s">
        <v>11</v>
      </c>
      <c r="M1" s="3" t="s">
        <v>12</v>
      </c>
    </row>
    <row r="2" spans="1:16" s="2" customFormat="1" ht="15" customHeight="1">
      <c r="A2" s="4" t="s">
        <v>13</v>
      </c>
      <c r="B2" s="4" t="s">
        <v>14</v>
      </c>
      <c r="C2" s="4" t="s">
        <v>15</v>
      </c>
      <c r="D2" s="18"/>
      <c r="E2" s="18">
        <v>0</v>
      </c>
      <c r="F2" s="18">
        <v>0</v>
      </c>
      <c r="G2" s="4" t="s">
        <v>16</v>
      </c>
      <c r="H2" s="4" t="s">
        <v>17</v>
      </c>
      <c r="I2" s="5">
        <v>129</v>
      </c>
      <c r="J2" s="4"/>
      <c r="K2" s="4" t="s">
        <v>18</v>
      </c>
      <c r="L2" s="4">
        <v>122109069</v>
      </c>
      <c r="M2" s="4"/>
    </row>
    <row r="3" spans="1:16" ht="15" customHeight="1">
      <c r="A3" s="4" t="s">
        <v>19</v>
      </c>
      <c r="B3" s="4" t="s">
        <v>20</v>
      </c>
      <c r="C3" s="4" t="s">
        <v>21</v>
      </c>
      <c r="D3" s="18"/>
      <c r="E3" s="18">
        <v>0</v>
      </c>
      <c r="F3" s="18">
        <v>0</v>
      </c>
      <c r="G3" s="4" t="s">
        <v>22</v>
      </c>
      <c r="H3" s="4" t="s">
        <v>23</v>
      </c>
      <c r="I3" s="5">
        <v>16</v>
      </c>
      <c r="J3" s="4"/>
      <c r="K3" s="4" t="s">
        <v>24</v>
      </c>
      <c r="L3" s="4">
        <v>3227968</v>
      </c>
      <c r="M3" s="4"/>
    </row>
    <row r="4" spans="1:16" ht="15" customHeight="1">
      <c r="A4" s="4" t="s">
        <v>25</v>
      </c>
      <c r="B4" s="4" t="s">
        <v>26</v>
      </c>
      <c r="C4" s="4" t="s">
        <v>27</v>
      </c>
      <c r="D4" s="18"/>
      <c r="E4" s="18">
        <v>72</v>
      </c>
      <c r="F4" s="18">
        <v>18</v>
      </c>
      <c r="G4" s="4" t="s">
        <v>28</v>
      </c>
      <c r="H4" s="4"/>
      <c r="I4" s="5">
        <v>51</v>
      </c>
      <c r="J4" s="4"/>
      <c r="K4" s="4" t="s">
        <v>26</v>
      </c>
      <c r="L4" s="4">
        <v>13227275</v>
      </c>
      <c r="M4" s="4"/>
    </row>
    <row r="5" spans="1:16" ht="15" customHeight="1">
      <c r="A5" s="4" t="s">
        <v>29</v>
      </c>
      <c r="B5" s="4" t="s">
        <v>30</v>
      </c>
      <c r="C5" s="4" t="s">
        <v>15</v>
      </c>
      <c r="D5" s="18"/>
      <c r="E5" s="18">
        <v>0</v>
      </c>
      <c r="F5" s="18">
        <v>0</v>
      </c>
      <c r="G5" s="4" t="s">
        <v>31</v>
      </c>
      <c r="H5" s="4" t="s">
        <v>32</v>
      </c>
      <c r="I5" s="5">
        <v>1858</v>
      </c>
      <c r="J5" s="4"/>
      <c r="K5" s="4" t="s">
        <v>33</v>
      </c>
      <c r="L5" s="4">
        <v>282780877</v>
      </c>
      <c r="M5" s="4" t="s">
        <v>34</v>
      </c>
    </row>
    <row r="6" spans="1:16" ht="15" customHeight="1">
      <c r="A6" s="4" t="s">
        <v>35</v>
      </c>
      <c r="B6" s="4" t="s">
        <v>36</v>
      </c>
      <c r="C6" s="4" t="s">
        <v>37</v>
      </c>
      <c r="D6" s="18"/>
      <c r="E6" s="18">
        <v>0</v>
      </c>
      <c r="F6" s="18">
        <v>0</v>
      </c>
      <c r="G6" s="4" t="s">
        <v>38</v>
      </c>
      <c r="H6" s="4" t="s">
        <v>39</v>
      </c>
      <c r="I6" s="5">
        <v>938</v>
      </c>
      <c r="J6" s="4"/>
      <c r="K6" s="4" t="s">
        <v>36</v>
      </c>
      <c r="L6" s="4">
        <v>127569700</v>
      </c>
      <c r="M6" s="4"/>
    </row>
    <row r="7" spans="1:16" ht="15" customHeight="1">
      <c r="A7" s="4" t="s">
        <v>40</v>
      </c>
      <c r="B7" s="4" t="s">
        <v>41</v>
      </c>
      <c r="C7" s="4" t="s">
        <v>42</v>
      </c>
      <c r="D7" s="18"/>
      <c r="E7" s="18">
        <v>0</v>
      </c>
      <c r="F7" s="18">
        <v>0</v>
      </c>
      <c r="G7" s="4" t="s">
        <v>43</v>
      </c>
      <c r="H7" s="4" t="s">
        <v>44</v>
      </c>
      <c r="I7" s="5">
        <v>436</v>
      </c>
      <c r="J7" s="4"/>
      <c r="K7" s="4" t="s">
        <v>45</v>
      </c>
      <c r="L7" s="4">
        <v>54926711</v>
      </c>
      <c r="M7" s="4"/>
    </row>
    <row r="8" spans="1:16" ht="15" customHeight="1">
      <c r="A8" s="4" t="s">
        <v>46</v>
      </c>
      <c r="B8" s="4" t="s">
        <v>47</v>
      </c>
      <c r="C8" s="4" t="s">
        <v>21</v>
      </c>
      <c r="D8" s="18"/>
      <c r="E8" s="18">
        <v>0</v>
      </c>
      <c r="F8" s="18">
        <v>0</v>
      </c>
      <c r="G8" s="4" t="s">
        <v>48</v>
      </c>
      <c r="H8" s="4" t="s">
        <v>49</v>
      </c>
      <c r="I8" s="5">
        <v>298</v>
      </c>
      <c r="J8" s="4"/>
      <c r="K8" s="4" t="s">
        <v>47</v>
      </c>
      <c r="L8" s="4">
        <v>21106106</v>
      </c>
      <c r="M8" s="4"/>
    </row>
    <row r="9" spans="1:16" ht="15" customHeight="1">
      <c r="A9" s="8" t="s">
        <v>50</v>
      </c>
      <c r="B9" s="4" t="s">
        <v>50</v>
      </c>
      <c r="C9" s="4" t="s">
        <v>51</v>
      </c>
      <c r="D9" s="19" t="s">
        <v>52</v>
      </c>
      <c r="F9" s="2"/>
      <c r="G9" s="8"/>
      <c r="H9" s="8"/>
      <c r="I9" s="8"/>
      <c r="J9" s="8"/>
      <c r="K9" s="8"/>
      <c r="L9" s="8"/>
      <c r="M9" s="8"/>
      <c r="N9" s="8"/>
      <c r="O9" s="8"/>
      <c r="P9" s="8"/>
    </row>
    <row r="10" spans="1:16" ht="15" customHeight="1">
      <c r="A10" s="8" t="s">
        <v>53</v>
      </c>
      <c r="B10" s="4" t="s">
        <v>53</v>
      </c>
      <c r="C10" s="4" t="s">
        <v>51</v>
      </c>
      <c r="D10" s="19" t="s">
        <v>54</v>
      </c>
      <c r="F10" s="2"/>
      <c r="G10" s="8"/>
      <c r="H10" s="8"/>
      <c r="I10" s="8"/>
      <c r="J10" s="8"/>
      <c r="K10" s="8"/>
      <c r="L10" s="8"/>
      <c r="M10" s="8"/>
      <c r="N10" s="8"/>
      <c r="O10" s="8"/>
      <c r="P10" s="8"/>
    </row>
    <row r="11" spans="1:16" ht="15" customHeight="1">
      <c r="A11" s="8" t="s">
        <v>55</v>
      </c>
      <c r="B11" s="4" t="s">
        <v>55</v>
      </c>
      <c r="C11" s="4" t="s">
        <v>51</v>
      </c>
      <c r="D11" s="19" t="s">
        <v>56</v>
      </c>
      <c r="F11" s="2"/>
      <c r="G11" s="8"/>
      <c r="H11" s="8"/>
      <c r="I11" s="8"/>
      <c r="J11" s="8"/>
      <c r="K11" s="8"/>
      <c r="L11" s="8"/>
      <c r="M11" s="8"/>
      <c r="N11" s="8"/>
      <c r="O11" s="8"/>
      <c r="P11" s="8"/>
    </row>
    <row r="12" spans="1:16" ht="15" customHeight="1">
      <c r="A12" s="8" t="s">
        <v>57</v>
      </c>
      <c r="B12" s="4" t="s">
        <v>57</v>
      </c>
      <c r="C12" s="4" t="s">
        <v>51</v>
      </c>
      <c r="D12" s="19" t="s">
        <v>58</v>
      </c>
      <c r="F12" s="2"/>
      <c r="G12" s="8"/>
      <c r="H12" s="8"/>
      <c r="I12" s="8"/>
      <c r="J12" s="8"/>
      <c r="K12" s="8"/>
      <c r="L12" s="8"/>
      <c r="M12" s="8"/>
      <c r="N12" s="8"/>
      <c r="O12" s="8"/>
      <c r="P12" s="8"/>
    </row>
    <row r="13" spans="1:16" ht="15" customHeight="1">
      <c r="A13" s="8" t="s">
        <v>59</v>
      </c>
      <c r="B13" s="4" t="s">
        <v>59</v>
      </c>
      <c r="C13" s="4" t="s">
        <v>51</v>
      </c>
      <c r="D13" s="19" t="s">
        <v>60</v>
      </c>
      <c r="F13" s="2"/>
      <c r="G13" s="8"/>
      <c r="H13" s="8"/>
      <c r="I13" s="8"/>
      <c r="J13" s="8"/>
      <c r="K13" s="8"/>
      <c r="L13" s="8"/>
      <c r="M13" s="8"/>
      <c r="N13" s="8"/>
      <c r="O13" s="8"/>
      <c r="P13" s="8"/>
    </row>
    <row r="14" spans="1:16" ht="15" customHeight="1">
      <c r="A14" s="8" t="s">
        <v>61</v>
      </c>
      <c r="B14" s="4" t="s">
        <v>61</v>
      </c>
      <c r="C14" s="4" t="s">
        <v>51</v>
      </c>
      <c r="D14" s="19" t="s">
        <v>62</v>
      </c>
      <c r="F14" s="2"/>
      <c r="G14" s="8"/>
      <c r="H14" s="8"/>
      <c r="I14" s="8"/>
      <c r="J14" s="8"/>
      <c r="K14" s="8"/>
      <c r="L14" s="8"/>
      <c r="M14" s="8"/>
      <c r="N14" s="8"/>
      <c r="O14" s="8"/>
      <c r="P14" s="8"/>
    </row>
    <row r="15" spans="1:16" ht="15" customHeight="1">
      <c r="A15" s="8" t="s">
        <v>63</v>
      </c>
      <c r="B15" s="4" t="s">
        <v>63</v>
      </c>
      <c r="C15" s="4" t="s">
        <v>51</v>
      </c>
      <c r="D15" s="19" t="s">
        <v>64</v>
      </c>
      <c r="F15" s="2"/>
      <c r="G15" s="8"/>
      <c r="H15" s="8"/>
      <c r="I15" s="8"/>
      <c r="J15" s="8"/>
      <c r="K15" s="8"/>
      <c r="L15" s="8"/>
      <c r="M15" s="8"/>
      <c r="N15" s="8"/>
      <c r="O15" s="8"/>
      <c r="P15" s="8"/>
    </row>
    <row r="16" spans="1:16" ht="15" customHeight="1">
      <c r="A16" s="8" t="s">
        <v>65</v>
      </c>
      <c r="B16" s="4" t="s">
        <v>65</v>
      </c>
      <c r="C16" s="4" t="s">
        <v>51</v>
      </c>
      <c r="D16" s="19" t="s">
        <v>66</v>
      </c>
      <c r="F16" s="2"/>
      <c r="G16" s="8"/>
      <c r="H16" s="8"/>
      <c r="I16" s="8"/>
      <c r="J16" s="8"/>
      <c r="K16" s="8"/>
      <c r="L16" s="8"/>
      <c r="M16" s="8"/>
      <c r="N16" s="8"/>
      <c r="O16" s="8"/>
      <c r="P16" s="8"/>
    </row>
    <row r="17" spans="1:16" ht="15" customHeight="1">
      <c r="A17" s="8" t="s">
        <v>67</v>
      </c>
      <c r="B17" s="4" t="s">
        <v>67</v>
      </c>
      <c r="C17" s="4" t="s">
        <v>51</v>
      </c>
      <c r="D17" s="19" t="s">
        <v>68</v>
      </c>
      <c r="F17" s="2"/>
      <c r="G17" s="8"/>
      <c r="H17" s="8"/>
      <c r="I17" s="8"/>
      <c r="J17" s="8"/>
      <c r="K17" s="8"/>
      <c r="L17" s="8"/>
      <c r="M17" s="8"/>
      <c r="N17" s="8"/>
      <c r="O17" s="8"/>
      <c r="P17" s="8"/>
    </row>
    <row r="18" spans="1:16" ht="15" customHeight="1">
      <c r="A18" s="8" t="s">
        <v>69</v>
      </c>
      <c r="B18" s="4" t="s">
        <v>69</v>
      </c>
      <c r="C18" s="4" t="s">
        <v>51</v>
      </c>
      <c r="D18" s="19" t="s">
        <v>70</v>
      </c>
      <c r="F18" s="2"/>
      <c r="G18" s="8"/>
      <c r="H18" s="8"/>
      <c r="I18" s="8"/>
      <c r="J18" s="8"/>
      <c r="K18" s="8"/>
      <c r="L18" s="8"/>
      <c r="M18" s="8"/>
      <c r="N18" s="8"/>
      <c r="O18" s="8"/>
      <c r="P18" s="8"/>
    </row>
    <row r="19" spans="1:16" ht="15" customHeight="1">
      <c r="A19" s="8" t="s">
        <v>71</v>
      </c>
      <c r="B19" s="4" t="s">
        <v>71</v>
      </c>
      <c r="C19" s="4" t="s">
        <v>51</v>
      </c>
      <c r="D19" s="19" t="s">
        <v>72</v>
      </c>
      <c r="F19" s="2"/>
      <c r="G19" s="8"/>
      <c r="H19" s="8"/>
      <c r="I19" s="8"/>
      <c r="J19" s="8"/>
      <c r="K19" s="8"/>
      <c r="L19" s="8"/>
      <c r="M19" s="8"/>
      <c r="N19" s="8"/>
      <c r="O19" s="8"/>
      <c r="P19" s="8"/>
    </row>
    <row r="20" spans="1:16" ht="15" customHeight="1">
      <c r="A20" s="8" t="s">
        <v>73</v>
      </c>
      <c r="B20" s="4" t="s">
        <v>73</v>
      </c>
      <c r="C20" s="4" t="s">
        <v>51</v>
      </c>
      <c r="D20" s="19" t="s">
        <v>74</v>
      </c>
      <c r="F20" s="2"/>
      <c r="G20" s="8"/>
      <c r="H20" s="8"/>
      <c r="I20" s="8"/>
      <c r="J20" s="8"/>
      <c r="K20" s="8"/>
      <c r="L20" s="8"/>
      <c r="M20" s="8"/>
      <c r="N20" s="8"/>
      <c r="O20" s="8"/>
      <c r="P20" s="8"/>
    </row>
    <row r="21" spans="1:16" ht="15" customHeight="1">
      <c r="A21" s="8" t="s">
        <v>75</v>
      </c>
      <c r="B21" s="4" t="s">
        <v>75</v>
      </c>
      <c r="C21" s="4" t="s">
        <v>51</v>
      </c>
      <c r="D21" s="19" t="s">
        <v>76</v>
      </c>
      <c r="F21" s="2"/>
      <c r="G21" s="8"/>
      <c r="H21" s="8"/>
      <c r="I21" s="8"/>
      <c r="J21" s="8"/>
      <c r="K21" s="8"/>
      <c r="L21" s="8"/>
      <c r="M21" s="8"/>
      <c r="N21" s="8"/>
      <c r="O21" s="8"/>
      <c r="P21" s="8"/>
    </row>
    <row r="22" spans="1:16" ht="15" customHeight="1">
      <c r="A22" s="8" t="s">
        <v>77</v>
      </c>
      <c r="B22" s="4" t="s">
        <v>77</v>
      </c>
      <c r="C22" s="4" t="s">
        <v>51</v>
      </c>
      <c r="D22" s="19" t="s">
        <v>78</v>
      </c>
      <c r="F22" s="2"/>
      <c r="G22" s="8"/>
      <c r="H22" s="8"/>
      <c r="I22" s="8"/>
      <c r="J22" s="8"/>
      <c r="K22" s="8"/>
      <c r="L22" s="8"/>
      <c r="M22" s="8"/>
      <c r="N22" s="8"/>
      <c r="O22" s="8"/>
      <c r="P22" s="8"/>
    </row>
    <row r="23" spans="1:16" ht="15" customHeight="1">
      <c r="A23" s="8" t="s">
        <v>79</v>
      </c>
      <c r="B23" s="4" t="s">
        <v>79</v>
      </c>
      <c r="C23" s="4" t="s">
        <v>51</v>
      </c>
      <c r="D23" s="19" t="s">
        <v>80</v>
      </c>
      <c r="F23" s="2"/>
      <c r="G23" s="8"/>
      <c r="H23" s="8"/>
      <c r="I23" s="8"/>
      <c r="J23" s="8"/>
      <c r="K23" s="8"/>
      <c r="L23" s="8"/>
      <c r="M23" s="8"/>
      <c r="N23" s="8"/>
      <c r="O23" s="8"/>
      <c r="P23" s="8"/>
    </row>
    <row r="24" spans="1:16" ht="15" customHeight="1">
      <c r="A24" s="8" t="s">
        <v>81</v>
      </c>
      <c r="B24" s="4" t="s">
        <v>81</v>
      </c>
      <c r="C24" s="4" t="s">
        <v>51</v>
      </c>
      <c r="D24" s="19" t="s">
        <v>82</v>
      </c>
      <c r="F24" s="2"/>
      <c r="G24" s="8"/>
      <c r="H24" s="8"/>
      <c r="I24" s="8"/>
      <c r="J24" s="8"/>
      <c r="K24" s="8"/>
      <c r="L24" s="8"/>
      <c r="M24" s="8"/>
      <c r="N24" s="8"/>
      <c r="O24" s="8"/>
      <c r="P24" s="8"/>
    </row>
    <row r="25" spans="1:16" ht="15" customHeight="1">
      <c r="A25" s="8" t="s">
        <v>83</v>
      </c>
      <c r="B25" s="4" t="s">
        <v>83</v>
      </c>
      <c r="C25" s="4" t="s">
        <v>51</v>
      </c>
      <c r="D25" s="19" t="s">
        <v>84</v>
      </c>
      <c r="F25" s="2"/>
      <c r="G25" s="8"/>
      <c r="H25" s="8"/>
      <c r="I25" s="8"/>
      <c r="J25" s="8"/>
      <c r="K25" s="8"/>
      <c r="L25" s="8"/>
      <c r="M25" s="8"/>
      <c r="N25" s="8"/>
      <c r="O25" s="8"/>
      <c r="P25" s="8"/>
    </row>
    <row r="26" spans="1:16" ht="15" customHeight="1">
      <c r="A26" s="8" t="s">
        <v>85</v>
      </c>
      <c r="B26" s="4" t="s">
        <v>85</v>
      </c>
      <c r="C26" s="4" t="s">
        <v>51</v>
      </c>
      <c r="D26" s="19" t="s">
        <v>86</v>
      </c>
      <c r="F26" s="2"/>
      <c r="G26" s="8"/>
      <c r="H26" s="8"/>
      <c r="I26" s="8"/>
      <c r="J26" s="8"/>
      <c r="K26" s="8"/>
      <c r="L26" s="8"/>
      <c r="M26" s="8"/>
      <c r="N26" s="8"/>
      <c r="O26" s="8"/>
      <c r="P26" s="8"/>
    </row>
    <row r="27" spans="1:16" ht="15" customHeight="1">
      <c r="A27" s="8" t="s">
        <v>87</v>
      </c>
      <c r="B27" s="4" t="s">
        <v>87</v>
      </c>
      <c r="C27" s="4" t="s">
        <v>51</v>
      </c>
      <c r="D27" s="19" t="s">
        <v>88</v>
      </c>
      <c r="F27" s="2"/>
      <c r="G27" s="8"/>
      <c r="H27" s="8"/>
      <c r="I27" s="8"/>
      <c r="J27" s="8"/>
      <c r="K27" s="8"/>
      <c r="L27" s="8"/>
      <c r="M27" s="8"/>
      <c r="N27" s="8"/>
      <c r="O27" s="8"/>
      <c r="P27" s="8"/>
    </row>
    <row r="28" spans="1:16" ht="15" customHeight="1">
      <c r="A28" s="8" t="s">
        <v>89</v>
      </c>
      <c r="B28" s="4" t="s">
        <v>89</v>
      </c>
      <c r="C28" s="4" t="s">
        <v>51</v>
      </c>
      <c r="D28" s="19" t="s">
        <v>90</v>
      </c>
      <c r="F28" s="2"/>
      <c r="G28" s="8"/>
      <c r="H28" s="8"/>
      <c r="I28" s="8"/>
      <c r="J28" s="8"/>
      <c r="K28" s="8"/>
      <c r="L28" s="8"/>
      <c r="M28" s="8"/>
      <c r="N28" s="8"/>
      <c r="O28" s="8"/>
      <c r="P28" s="8"/>
    </row>
    <row r="29" spans="1:16" ht="15" customHeight="1">
      <c r="A29" s="8" t="s">
        <v>91</v>
      </c>
      <c r="B29" s="4" t="s">
        <v>91</v>
      </c>
      <c r="C29" s="4" t="s">
        <v>51</v>
      </c>
      <c r="D29" s="19" t="s">
        <v>92</v>
      </c>
      <c r="F29" s="2"/>
      <c r="G29" s="8"/>
      <c r="H29" s="8"/>
      <c r="I29" s="8"/>
      <c r="J29" s="8"/>
      <c r="K29" s="8"/>
      <c r="L29" s="8"/>
      <c r="M29" s="8"/>
      <c r="N29" s="8"/>
      <c r="O29" s="8"/>
      <c r="P29" s="8"/>
    </row>
    <row r="30" spans="1:16" ht="15" customHeight="1">
      <c r="A30" s="8" t="s">
        <v>93</v>
      </c>
      <c r="B30" s="4" t="s">
        <v>93</v>
      </c>
      <c r="C30" s="4" t="s">
        <v>51</v>
      </c>
      <c r="D30" s="19" t="s">
        <v>94</v>
      </c>
      <c r="F30" s="2"/>
      <c r="G30" s="8"/>
      <c r="H30" s="8"/>
      <c r="I30" s="8"/>
      <c r="J30" s="8"/>
      <c r="K30" s="8"/>
      <c r="L30" s="8"/>
      <c r="M30" s="8"/>
      <c r="N30" s="8"/>
      <c r="O30" s="8"/>
      <c r="P30" s="8"/>
    </row>
    <row r="31" spans="1:16" ht="15" customHeight="1">
      <c r="A31" s="8" t="s">
        <v>95</v>
      </c>
      <c r="B31" s="4" t="s">
        <v>95</v>
      </c>
      <c r="C31" s="4" t="s">
        <v>51</v>
      </c>
      <c r="D31" s="19" t="s">
        <v>96</v>
      </c>
      <c r="F31" s="2"/>
      <c r="G31" s="8"/>
      <c r="H31" s="8"/>
      <c r="I31" s="8"/>
      <c r="J31" s="8"/>
      <c r="K31" s="8"/>
      <c r="L31" s="8"/>
      <c r="M31" s="8"/>
      <c r="N31" s="8"/>
      <c r="O31" s="8"/>
      <c r="P31" s="8"/>
    </row>
    <row r="32" spans="1:16" ht="15" customHeight="1">
      <c r="A32" s="8" t="s">
        <v>97</v>
      </c>
      <c r="B32" s="4" t="s">
        <v>97</v>
      </c>
      <c r="C32" s="4" t="s">
        <v>51</v>
      </c>
      <c r="D32" s="19" t="s">
        <v>98</v>
      </c>
      <c r="F32" s="2"/>
      <c r="G32" s="8"/>
      <c r="H32" s="8"/>
      <c r="I32" s="8"/>
      <c r="J32" s="8"/>
      <c r="K32" s="8"/>
      <c r="L32" s="8"/>
      <c r="M32" s="8"/>
      <c r="N32" s="8"/>
      <c r="O32" s="8"/>
      <c r="P32" s="8"/>
    </row>
    <row r="33" spans="1:16" ht="15" customHeight="1">
      <c r="A33" s="8" t="s">
        <v>99</v>
      </c>
      <c r="B33" s="4" t="s">
        <v>99</v>
      </c>
      <c r="C33" s="4" t="s">
        <v>51</v>
      </c>
      <c r="D33" s="19" t="s">
        <v>100</v>
      </c>
      <c r="F33" s="2"/>
      <c r="G33" s="8"/>
      <c r="H33" s="8"/>
      <c r="I33" s="8"/>
      <c r="J33" s="8"/>
      <c r="K33" s="8"/>
      <c r="L33" s="8"/>
      <c r="M33" s="8"/>
      <c r="N33" s="8"/>
      <c r="O33" s="8"/>
      <c r="P33" s="8"/>
    </row>
    <row r="34" spans="1:16" ht="15" customHeight="1">
      <c r="A34" s="8" t="s">
        <v>101</v>
      </c>
      <c r="B34" s="4" t="s">
        <v>101</v>
      </c>
      <c r="C34" s="4" t="s">
        <v>51</v>
      </c>
      <c r="D34" s="19" t="s">
        <v>102</v>
      </c>
      <c r="F34" s="2"/>
      <c r="G34" s="8"/>
      <c r="H34" s="8"/>
      <c r="I34" s="8"/>
      <c r="J34" s="8"/>
      <c r="K34" s="8"/>
      <c r="L34" s="8"/>
      <c r="M34" s="8"/>
      <c r="N34" s="8"/>
      <c r="O34" s="8"/>
      <c r="P34" s="8"/>
    </row>
    <row r="35" spans="1:16" ht="15" customHeight="1">
      <c r="A35" s="8" t="s">
        <v>103</v>
      </c>
      <c r="B35" s="4" t="s">
        <v>103</v>
      </c>
      <c r="C35" s="4" t="s">
        <v>51</v>
      </c>
      <c r="D35" s="19" t="s">
        <v>104</v>
      </c>
      <c r="F35" s="2"/>
      <c r="G35" s="8"/>
      <c r="H35" s="8"/>
      <c r="I35" s="8"/>
      <c r="J35" s="8"/>
      <c r="K35" s="8"/>
      <c r="L35" s="8"/>
      <c r="M35" s="8"/>
      <c r="N35" s="8"/>
      <c r="O35" s="8"/>
      <c r="P35" s="8"/>
    </row>
    <row r="36" spans="1:16" ht="15" customHeight="1">
      <c r="A36" s="8" t="s">
        <v>105</v>
      </c>
      <c r="B36" s="4" t="s">
        <v>105</v>
      </c>
      <c r="C36" s="4" t="s">
        <v>51</v>
      </c>
      <c r="D36" s="19" t="s">
        <v>106</v>
      </c>
      <c r="F36" s="2"/>
      <c r="G36" s="8"/>
      <c r="H36" s="8"/>
      <c r="I36" s="8"/>
      <c r="J36" s="8"/>
      <c r="K36" s="8"/>
      <c r="L36" s="8"/>
      <c r="M36" s="8"/>
      <c r="N36" s="8"/>
      <c r="O36" s="8"/>
      <c r="P36" s="8"/>
    </row>
    <row r="37" spans="1:16" ht="15" customHeight="1">
      <c r="A37" s="8" t="s">
        <v>107</v>
      </c>
      <c r="B37" s="4" t="s">
        <v>107</v>
      </c>
      <c r="C37" s="4" t="s">
        <v>51</v>
      </c>
      <c r="D37" s="19" t="s">
        <v>108</v>
      </c>
      <c r="F37" s="2"/>
      <c r="G37" s="8"/>
      <c r="H37" s="8"/>
      <c r="I37" s="8"/>
      <c r="J37" s="8"/>
      <c r="K37" s="8"/>
      <c r="L37" s="8"/>
      <c r="M37" s="8"/>
      <c r="N37" s="8"/>
      <c r="O37" s="8"/>
      <c r="P37" s="8"/>
    </row>
    <row r="38" spans="1:16" ht="15" customHeight="1">
      <c r="A38" s="8" t="s">
        <v>109</v>
      </c>
      <c r="B38" s="4" t="s">
        <v>109</v>
      </c>
      <c r="C38" s="4" t="s">
        <v>51</v>
      </c>
      <c r="D38" s="19" t="s">
        <v>110</v>
      </c>
      <c r="F38" s="2"/>
      <c r="G38" s="8"/>
      <c r="H38" s="8"/>
      <c r="I38" s="8"/>
      <c r="J38" s="8"/>
      <c r="K38" s="8"/>
      <c r="L38" s="8"/>
      <c r="M38" s="8"/>
      <c r="N38" s="8"/>
      <c r="O38" s="8"/>
      <c r="P38" s="8"/>
    </row>
    <row r="39" spans="1:16" ht="15" customHeight="1">
      <c r="A39" s="8" t="s">
        <v>111</v>
      </c>
      <c r="B39" s="4" t="s">
        <v>111</v>
      </c>
      <c r="C39" s="4" t="s">
        <v>51</v>
      </c>
      <c r="D39" s="19" t="s">
        <v>112</v>
      </c>
      <c r="F39" s="2"/>
      <c r="G39" s="8"/>
      <c r="H39" s="8"/>
      <c r="I39" s="8"/>
      <c r="J39" s="8"/>
      <c r="K39" s="8"/>
      <c r="L39" s="8"/>
      <c r="M39" s="8"/>
      <c r="N39" s="8"/>
      <c r="O39" s="8"/>
      <c r="P39" s="8"/>
    </row>
    <row r="40" spans="1:16" ht="15" customHeight="1">
      <c r="A40" s="8" t="s">
        <v>113</v>
      </c>
      <c r="B40" s="4" t="s">
        <v>113</v>
      </c>
      <c r="C40" s="4" t="s">
        <v>51</v>
      </c>
      <c r="D40" s="19" t="s">
        <v>114</v>
      </c>
      <c r="F40" s="2"/>
      <c r="G40" s="8"/>
      <c r="H40" s="8"/>
      <c r="I40" s="8"/>
      <c r="J40" s="8"/>
      <c r="K40" s="8"/>
      <c r="L40" s="8"/>
      <c r="M40" s="8"/>
      <c r="N40" s="8"/>
      <c r="O40" s="8"/>
      <c r="P40" s="8"/>
    </row>
    <row r="41" spans="1:16" ht="15" customHeight="1">
      <c r="A41" s="4" t="s">
        <v>115</v>
      </c>
      <c r="B41" s="4" t="s">
        <v>115</v>
      </c>
      <c r="C41" s="4" t="s">
        <v>116</v>
      </c>
      <c r="D41" s="19" t="s">
        <v>117</v>
      </c>
      <c r="F41" s="2"/>
      <c r="G41" s="8"/>
      <c r="H41" s="8"/>
      <c r="I41" s="8"/>
      <c r="J41" s="8"/>
      <c r="K41" s="8"/>
      <c r="L41" s="8"/>
      <c r="M41" s="8"/>
      <c r="N41" s="8"/>
      <c r="O41" s="8"/>
      <c r="P41" s="8"/>
    </row>
    <row r="42" spans="1:16" ht="15" customHeight="1">
      <c r="A42" s="8" t="s">
        <v>118</v>
      </c>
      <c r="B42" s="4" t="s">
        <v>118</v>
      </c>
      <c r="C42" s="4" t="s">
        <v>119</v>
      </c>
      <c r="F42" s="2"/>
      <c r="G42" s="8"/>
      <c r="H42" s="8"/>
      <c r="I42" s="8"/>
      <c r="J42" s="8"/>
      <c r="K42" s="8"/>
      <c r="L42" s="8"/>
      <c r="M42" s="8"/>
      <c r="N42" s="8"/>
      <c r="O42" s="8"/>
      <c r="P42" s="8"/>
    </row>
    <row r="43" spans="1:16">
      <c r="A43" s="8" t="s">
        <v>120</v>
      </c>
      <c r="B43" s="8" t="s">
        <v>120</v>
      </c>
      <c r="C43" s="8" t="s">
        <v>121</v>
      </c>
      <c r="D43" s="19" t="s">
        <v>122</v>
      </c>
      <c r="F43" s="2"/>
      <c r="G43" s="8"/>
      <c r="H43" s="8"/>
      <c r="I43" s="8"/>
      <c r="J43" s="8"/>
      <c r="K43" s="8"/>
      <c r="L43" s="8"/>
      <c r="M43" s="8"/>
      <c r="N43" s="8"/>
      <c r="O43" s="8"/>
      <c r="P43" s="8"/>
    </row>
    <row r="44" spans="1:16">
      <c r="A44" s="8" t="s">
        <v>123</v>
      </c>
      <c r="B44" s="8" t="s">
        <v>123</v>
      </c>
      <c r="C44" s="8" t="s">
        <v>124</v>
      </c>
      <c r="D44" s="19" t="s">
        <v>125</v>
      </c>
      <c r="F44" s="2"/>
      <c r="G44" s="8"/>
      <c r="H44" s="8"/>
      <c r="I44" s="8"/>
      <c r="J44" s="8"/>
      <c r="K44" s="8"/>
      <c r="L44" s="8"/>
      <c r="M44" s="8"/>
      <c r="N44" s="8"/>
      <c r="O44" s="8"/>
      <c r="P44" s="8"/>
    </row>
    <row r="45" spans="1:16">
      <c r="A45" s="8" t="s">
        <v>126</v>
      </c>
      <c r="B45" s="8" t="s">
        <v>126</v>
      </c>
      <c r="C45" s="8" t="s">
        <v>127</v>
      </c>
      <c r="F45" s="2"/>
      <c r="G45" s="8"/>
      <c r="H45" s="8"/>
      <c r="I45" s="8"/>
      <c r="J45" s="8"/>
      <c r="K45" s="8"/>
      <c r="L45" s="8"/>
      <c r="M45" s="8"/>
      <c r="N45" s="8"/>
      <c r="O45" s="8"/>
      <c r="P45" s="8"/>
    </row>
    <row r="46" spans="1:16">
      <c r="A46" s="8" t="s">
        <v>128</v>
      </c>
      <c r="B46" s="8" t="s">
        <v>128</v>
      </c>
      <c r="C46" s="8" t="s">
        <v>129</v>
      </c>
      <c r="F46" s="2"/>
      <c r="G46" s="8"/>
      <c r="H46" s="8"/>
      <c r="I46" s="8"/>
      <c r="J46" s="8"/>
      <c r="K46" s="8"/>
      <c r="L46" s="8"/>
      <c r="M46" s="8"/>
      <c r="N46" s="8"/>
      <c r="O46" s="8"/>
      <c r="P46" s="8"/>
    </row>
    <row r="47" spans="1:16">
      <c r="A47" s="8" t="s">
        <v>130</v>
      </c>
      <c r="B47" s="8" t="s">
        <v>130</v>
      </c>
      <c r="C47" s="8" t="s">
        <v>131</v>
      </c>
      <c r="F47" s="2"/>
      <c r="G47" s="8"/>
      <c r="H47" s="8"/>
      <c r="I47" s="8"/>
      <c r="J47" s="8"/>
      <c r="K47" s="8"/>
      <c r="L47" s="8"/>
      <c r="M47" s="8"/>
      <c r="N47" s="8"/>
      <c r="O47" s="8"/>
      <c r="P47" s="8"/>
    </row>
    <row r="48" spans="1:16" ht="13.9" customHeight="1">
      <c r="A48" s="8" t="s">
        <v>132</v>
      </c>
      <c r="B48" s="8" t="s">
        <v>132</v>
      </c>
      <c r="C48" s="8" t="s">
        <v>133</v>
      </c>
      <c r="D48" s="20"/>
      <c r="F48" s="2"/>
      <c r="G48" s="8"/>
      <c r="H48" s="8"/>
      <c r="I48" s="8"/>
      <c r="J48" s="8"/>
      <c r="K48" s="8"/>
      <c r="L48" s="8"/>
      <c r="M48" s="8"/>
      <c r="N48" s="8"/>
      <c r="O48" s="8"/>
      <c r="P48" s="8"/>
    </row>
    <row r="49" spans="1:16">
      <c r="A49" s="8" t="s">
        <v>136</v>
      </c>
      <c r="B49" s="8" t="s">
        <v>136</v>
      </c>
      <c r="C49" s="8" t="s">
        <v>21</v>
      </c>
      <c r="F49" s="2"/>
      <c r="G49" s="8"/>
      <c r="H49" s="8"/>
      <c r="I49" s="8"/>
      <c r="J49" s="8"/>
      <c r="K49" s="8"/>
      <c r="L49" s="8"/>
      <c r="M49" s="8"/>
      <c r="N49" s="8"/>
      <c r="O49" s="8"/>
      <c r="P49" s="8"/>
    </row>
    <row r="50" spans="1:16">
      <c r="A50" s="8" t="s">
        <v>137</v>
      </c>
      <c r="B50" s="8" t="s">
        <v>137</v>
      </c>
      <c r="C50" s="8" t="s">
        <v>138</v>
      </c>
      <c r="F50" s="2"/>
      <c r="G50" s="8"/>
      <c r="H50" s="8"/>
      <c r="I50" s="8"/>
      <c r="J50" s="8"/>
      <c r="K50" s="8"/>
      <c r="L50" s="8"/>
      <c r="M50" s="8"/>
      <c r="N50" s="8"/>
      <c r="O50" s="8"/>
      <c r="P50" s="8"/>
    </row>
    <row r="51" spans="1:16">
      <c r="A51" s="8" t="s">
        <v>139</v>
      </c>
      <c r="B51" s="8" t="s">
        <v>139</v>
      </c>
      <c r="C51" s="8" t="s">
        <v>140</v>
      </c>
      <c r="F51" s="2"/>
      <c r="G51" s="8"/>
      <c r="H51" s="8"/>
      <c r="I51" s="8"/>
      <c r="J51" s="8"/>
      <c r="K51" s="8"/>
      <c r="L51" s="8"/>
      <c r="M51" s="8"/>
      <c r="N51" s="8"/>
      <c r="O51" s="8"/>
      <c r="P51" s="8"/>
    </row>
    <row r="52" spans="1:16">
      <c r="A52" s="8" t="s">
        <v>141</v>
      </c>
      <c r="B52" s="8" t="s">
        <v>141</v>
      </c>
      <c r="C52" s="8" t="s">
        <v>142</v>
      </c>
      <c r="F52" s="2"/>
      <c r="G52" s="8"/>
      <c r="H52" s="8"/>
      <c r="I52" s="8"/>
      <c r="J52" s="8"/>
      <c r="K52" s="8"/>
      <c r="L52" s="8"/>
      <c r="M52" s="8"/>
      <c r="N52" s="8"/>
      <c r="O52" s="8"/>
      <c r="P52" s="8"/>
    </row>
    <row r="53" spans="1:16">
      <c r="A53" s="8" t="s">
        <v>143</v>
      </c>
      <c r="B53" s="8" t="s">
        <v>143</v>
      </c>
      <c r="C53" s="8" t="s">
        <v>144</v>
      </c>
      <c r="F53" s="2"/>
      <c r="G53" s="8"/>
      <c r="H53" s="8"/>
      <c r="I53" s="8"/>
      <c r="J53" s="8"/>
      <c r="K53" s="8"/>
      <c r="L53" s="8"/>
      <c r="M53" s="8"/>
      <c r="N53" s="8"/>
      <c r="O53" s="8"/>
      <c r="P53" s="8"/>
    </row>
    <row r="54" spans="1:16">
      <c r="A54" s="8" t="s">
        <v>145</v>
      </c>
      <c r="B54" s="8" t="s">
        <v>145</v>
      </c>
      <c r="C54" s="8" t="s">
        <v>146</v>
      </c>
      <c r="F54" s="2"/>
      <c r="G54" s="8"/>
      <c r="H54" s="8"/>
      <c r="I54" s="8"/>
      <c r="J54" s="8"/>
      <c r="K54" s="8"/>
      <c r="L54" s="8"/>
      <c r="M54" s="8"/>
      <c r="N54" s="8"/>
      <c r="O54" s="8"/>
      <c r="P54" s="8"/>
    </row>
    <row r="55" spans="1:16">
      <c r="A55" s="8" t="s">
        <v>147</v>
      </c>
      <c r="B55" s="8" t="s">
        <v>147</v>
      </c>
      <c r="C55" s="8" t="s">
        <v>148</v>
      </c>
      <c r="F55" s="2"/>
      <c r="G55" s="8"/>
      <c r="H55" s="8"/>
      <c r="I55" s="8"/>
      <c r="J55" s="8"/>
      <c r="K55" s="8"/>
      <c r="L55" s="8"/>
      <c r="M55" s="8"/>
      <c r="N55" s="8"/>
      <c r="O55" s="8"/>
      <c r="P55" s="8"/>
    </row>
    <row r="56" spans="1:16" ht="15" customHeight="1">
      <c r="A56" s="4" t="s">
        <v>149</v>
      </c>
      <c r="B56" s="4" t="s">
        <v>150</v>
      </c>
      <c r="C56" s="4" t="s">
        <v>151</v>
      </c>
      <c r="D56" s="18"/>
      <c r="E56" s="18">
        <v>277</v>
      </c>
      <c r="F56" s="18">
        <v>2</v>
      </c>
      <c r="G56" s="4"/>
      <c r="H56" s="4"/>
      <c r="I56" s="5">
        <v>156</v>
      </c>
      <c r="J56" s="4"/>
      <c r="K56" s="4"/>
      <c r="L56" s="4">
        <v>71832236</v>
      </c>
      <c r="M56" s="4"/>
    </row>
    <row r="57" spans="1:16" ht="15" customHeight="1">
      <c r="A57" s="4" t="s">
        <v>152</v>
      </c>
      <c r="B57" s="4" t="s">
        <v>153</v>
      </c>
      <c r="C57" s="4" t="s">
        <v>154</v>
      </c>
      <c r="D57" s="18"/>
      <c r="E57" s="18">
        <v>0</v>
      </c>
      <c r="F57" s="18">
        <v>0</v>
      </c>
      <c r="G57" s="4" t="s">
        <v>155</v>
      </c>
      <c r="H57" s="4" t="s">
        <v>156</v>
      </c>
      <c r="I57" s="5">
        <v>689</v>
      </c>
      <c r="J57" s="4" t="s">
        <v>157</v>
      </c>
      <c r="K57" s="4" t="s">
        <v>158</v>
      </c>
      <c r="L57" s="4">
        <v>220057953</v>
      </c>
      <c r="M57" s="4"/>
    </row>
    <row r="58" spans="1:16" ht="15" customHeight="1">
      <c r="A58" s="4" t="s">
        <v>159</v>
      </c>
      <c r="B58" s="4" t="s">
        <v>160</v>
      </c>
      <c r="C58" s="4" t="s">
        <v>161</v>
      </c>
      <c r="D58" s="18"/>
      <c r="E58" s="18">
        <v>0</v>
      </c>
      <c r="F58" s="18">
        <v>0</v>
      </c>
      <c r="G58" s="4" t="s">
        <v>162</v>
      </c>
      <c r="H58" s="4" t="s">
        <v>163</v>
      </c>
      <c r="I58" s="5">
        <v>75</v>
      </c>
      <c r="J58" s="4" t="s">
        <v>164</v>
      </c>
      <c r="K58" s="4" t="s">
        <v>165</v>
      </c>
      <c r="L58" s="4">
        <v>19576567</v>
      </c>
      <c r="M58" s="4"/>
    </row>
    <row r="59" spans="1:16" ht="15" customHeight="1">
      <c r="A59" s="4" t="s">
        <v>166</v>
      </c>
      <c r="B59" s="4" t="s">
        <v>167</v>
      </c>
      <c r="C59" s="4" t="s">
        <v>168</v>
      </c>
      <c r="D59" s="18"/>
      <c r="E59" s="18">
        <v>0</v>
      </c>
      <c r="F59" s="18">
        <v>0</v>
      </c>
      <c r="G59" s="4" t="s">
        <v>169</v>
      </c>
      <c r="H59" s="4" t="s">
        <v>170</v>
      </c>
      <c r="I59" s="5">
        <v>224</v>
      </c>
      <c r="J59" s="4" t="s">
        <v>171</v>
      </c>
      <c r="K59" s="4" t="s">
        <v>172</v>
      </c>
      <c r="L59" s="4">
        <v>116853011</v>
      </c>
      <c r="M59" s="4"/>
    </row>
    <row r="60" spans="1:16" ht="15" customHeight="1">
      <c r="A60" s="4" t="s">
        <v>173</v>
      </c>
      <c r="B60" s="4" t="s">
        <v>174</v>
      </c>
      <c r="C60" s="4" t="s">
        <v>175</v>
      </c>
      <c r="D60" s="18"/>
      <c r="E60" s="18">
        <v>0</v>
      </c>
      <c r="F60" s="18">
        <v>0</v>
      </c>
      <c r="G60" s="4" t="s">
        <v>176</v>
      </c>
      <c r="H60" s="4" t="s">
        <v>177</v>
      </c>
      <c r="I60" s="5">
        <v>379</v>
      </c>
      <c r="J60" s="4"/>
      <c r="K60" s="4" t="s">
        <v>178</v>
      </c>
      <c r="L60" s="4">
        <v>64254104</v>
      </c>
      <c r="M60" s="4"/>
    </row>
    <row r="61" spans="1:16" ht="15" customHeight="1">
      <c r="A61" s="4" t="s">
        <v>179</v>
      </c>
      <c r="B61" s="4" t="s">
        <v>180</v>
      </c>
      <c r="C61" s="4" t="s">
        <v>181</v>
      </c>
      <c r="D61" s="18"/>
      <c r="E61" s="18">
        <v>0</v>
      </c>
      <c r="F61" s="18">
        <v>0</v>
      </c>
      <c r="G61" s="4" t="s">
        <v>182</v>
      </c>
      <c r="H61" s="4" t="s">
        <v>183</v>
      </c>
      <c r="I61" s="5">
        <v>1394</v>
      </c>
      <c r="J61" s="4" t="s">
        <v>184</v>
      </c>
      <c r="K61" s="4" t="s">
        <v>185</v>
      </c>
      <c r="L61" s="4">
        <v>365899290</v>
      </c>
      <c r="M61" s="4"/>
    </row>
    <row r="62" spans="1:16" ht="15" customHeight="1">
      <c r="A62" s="4" t="s">
        <v>186</v>
      </c>
      <c r="B62" s="4" t="s">
        <v>187</v>
      </c>
      <c r="C62" s="4" t="s">
        <v>188</v>
      </c>
      <c r="D62" s="18"/>
      <c r="E62" s="18">
        <v>516030</v>
      </c>
      <c r="F62" s="18">
        <v>96155</v>
      </c>
      <c r="G62" s="4" t="s">
        <v>189</v>
      </c>
      <c r="H62" s="4" t="s">
        <v>190</v>
      </c>
      <c r="I62" s="5">
        <v>4410</v>
      </c>
      <c r="J62" s="4"/>
      <c r="K62" s="4" t="s">
        <v>187</v>
      </c>
      <c r="L62" s="4">
        <v>217211932</v>
      </c>
      <c r="M62" s="4"/>
    </row>
    <row r="63" spans="1:16" ht="15" customHeight="1">
      <c r="A63" s="4" t="s">
        <v>191</v>
      </c>
      <c r="B63" s="4" t="s">
        <v>192</v>
      </c>
      <c r="C63" s="4" t="s">
        <v>193</v>
      </c>
      <c r="D63" s="18"/>
      <c r="E63" s="18">
        <v>0</v>
      </c>
      <c r="F63" s="18">
        <v>0</v>
      </c>
      <c r="G63" s="4" t="s">
        <v>194</v>
      </c>
      <c r="H63" s="4" t="s">
        <v>195</v>
      </c>
      <c r="I63" s="5">
        <v>68</v>
      </c>
      <c r="J63" s="4"/>
      <c r="K63" s="4" t="s">
        <v>196</v>
      </c>
      <c r="L63" s="4">
        <v>14971574</v>
      </c>
      <c r="M63" s="4"/>
    </row>
    <row r="64" spans="1:16" ht="15" customHeight="1">
      <c r="A64" s="4" t="s">
        <v>197</v>
      </c>
      <c r="B64" s="4" t="s">
        <v>198</v>
      </c>
      <c r="C64" s="4" t="s">
        <v>199</v>
      </c>
      <c r="D64" s="18"/>
      <c r="E64" s="18">
        <v>0</v>
      </c>
      <c r="F64" s="18">
        <v>0</v>
      </c>
      <c r="G64" s="4" t="s">
        <v>200</v>
      </c>
      <c r="H64" s="4" t="s">
        <v>201</v>
      </c>
      <c r="I64" s="5">
        <v>2851</v>
      </c>
      <c r="J64" s="4"/>
      <c r="K64" s="4" t="s">
        <v>198</v>
      </c>
      <c r="L64" s="4">
        <v>1563883536</v>
      </c>
      <c r="M64" s="4" t="s">
        <v>202</v>
      </c>
    </row>
    <row r="65" spans="1:13" ht="15" customHeight="1">
      <c r="A65" s="4" t="s">
        <v>203</v>
      </c>
      <c r="B65" s="4" t="s">
        <v>95</v>
      </c>
      <c r="C65" s="4" t="s">
        <v>51</v>
      </c>
      <c r="D65" s="18"/>
      <c r="E65" s="18">
        <v>0</v>
      </c>
      <c r="F65" s="18">
        <v>0</v>
      </c>
      <c r="G65" s="4" t="s">
        <v>204</v>
      </c>
      <c r="H65" s="4" t="s">
        <v>205</v>
      </c>
      <c r="I65" s="5">
        <v>149</v>
      </c>
      <c r="J65" s="4"/>
      <c r="K65" s="4" t="s">
        <v>206</v>
      </c>
      <c r="L65" s="4">
        <v>33137051</v>
      </c>
      <c r="M65" s="4"/>
    </row>
    <row r="66" spans="1:13" ht="15" customHeight="1">
      <c r="A66" s="4" t="s">
        <v>207</v>
      </c>
      <c r="B66" s="4" t="s">
        <v>208</v>
      </c>
      <c r="C66" s="4" t="s">
        <v>209</v>
      </c>
      <c r="D66" s="18"/>
      <c r="E66" s="18">
        <v>0</v>
      </c>
      <c r="F66" s="18">
        <v>0</v>
      </c>
      <c r="G66" s="4" t="s">
        <v>210</v>
      </c>
      <c r="H66" s="4" t="s">
        <v>211</v>
      </c>
      <c r="I66" s="5">
        <v>1270</v>
      </c>
      <c r="J66" s="4"/>
      <c r="K66" s="4" t="s">
        <v>212</v>
      </c>
      <c r="L66" s="4">
        <v>256686027</v>
      </c>
      <c r="M66" s="4"/>
    </row>
    <row r="67" spans="1:13" ht="15" customHeight="1">
      <c r="A67" s="4" t="s">
        <v>213</v>
      </c>
      <c r="B67" s="4" t="s">
        <v>214</v>
      </c>
      <c r="C67" s="4" t="s">
        <v>215</v>
      </c>
      <c r="D67" s="18"/>
      <c r="E67" s="18">
        <v>0</v>
      </c>
      <c r="F67" s="18">
        <v>0</v>
      </c>
      <c r="G67" s="4" t="s">
        <v>216</v>
      </c>
      <c r="H67" s="4" t="s">
        <v>217</v>
      </c>
      <c r="I67" s="5">
        <v>554</v>
      </c>
      <c r="J67" s="4"/>
      <c r="K67" s="4" t="s">
        <v>218</v>
      </c>
      <c r="L67" s="4">
        <v>217626434</v>
      </c>
      <c r="M67" s="4"/>
    </row>
    <row r="68" spans="1:13" ht="15" customHeight="1">
      <c r="A68" s="4" t="s">
        <v>219</v>
      </c>
      <c r="B68" s="4" t="s">
        <v>220</v>
      </c>
      <c r="C68" s="4" t="s">
        <v>221</v>
      </c>
      <c r="D68" s="18"/>
      <c r="E68" s="18">
        <v>1071</v>
      </c>
      <c r="F68" s="18">
        <v>194</v>
      </c>
      <c r="G68" s="4" t="s">
        <v>222</v>
      </c>
      <c r="H68" s="4" t="s">
        <v>223</v>
      </c>
      <c r="I68" s="5">
        <v>905</v>
      </c>
      <c r="J68" s="4"/>
      <c r="K68" s="4" t="s">
        <v>224</v>
      </c>
      <c r="L68" s="4">
        <v>132554728</v>
      </c>
      <c r="M68" s="4"/>
    </row>
    <row r="69" spans="1:13" ht="15" customHeight="1">
      <c r="A69" s="4" t="s">
        <v>225</v>
      </c>
      <c r="B69" s="4" t="s">
        <v>226</v>
      </c>
      <c r="C69" s="4" t="s">
        <v>227</v>
      </c>
      <c r="D69" s="18"/>
      <c r="E69" s="18">
        <v>0</v>
      </c>
      <c r="F69" s="18">
        <v>0</v>
      </c>
      <c r="G69" s="4" t="s">
        <v>228</v>
      </c>
      <c r="H69" s="4" t="s">
        <v>229</v>
      </c>
      <c r="I69" s="5">
        <v>8985</v>
      </c>
      <c r="J69" s="4" t="s">
        <v>230</v>
      </c>
      <c r="K69" s="4" t="s">
        <v>226</v>
      </c>
      <c r="L69" s="4">
        <v>520502983</v>
      </c>
      <c r="M69" s="4"/>
    </row>
    <row r="70" spans="1:13" ht="15" customHeight="1">
      <c r="A70" s="4" t="s">
        <v>231</v>
      </c>
      <c r="B70" s="4" t="s">
        <v>232</v>
      </c>
      <c r="C70" s="4" t="s">
        <v>233</v>
      </c>
      <c r="D70" s="18"/>
      <c r="E70" s="18">
        <v>43546</v>
      </c>
      <c r="F70" s="18">
        <v>6440</v>
      </c>
      <c r="G70" s="4" t="s">
        <v>234</v>
      </c>
      <c r="H70" s="4"/>
      <c r="I70" s="5">
        <v>2370</v>
      </c>
      <c r="J70" s="4"/>
      <c r="K70" s="4" t="s">
        <v>232</v>
      </c>
      <c r="L70" s="4">
        <v>316650487</v>
      </c>
      <c r="M70" s="4" t="s">
        <v>235</v>
      </c>
    </row>
    <row r="71" spans="1:13" ht="15" customHeight="1">
      <c r="A71" s="4" t="s">
        <v>236</v>
      </c>
      <c r="B71" s="4" t="s">
        <v>237</v>
      </c>
      <c r="C71" s="4" t="s">
        <v>238</v>
      </c>
      <c r="D71" s="18"/>
      <c r="E71" s="18">
        <v>0</v>
      </c>
      <c r="F71" s="18">
        <v>0</v>
      </c>
      <c r="G71" s="4" t="s">
        <v>239</v>
      </c>
      <c r="H71" s="4" t="s">
        <v>240</v>
      </c>
      <c r="I71" s="5">
        <v>95</v>
      </c>
      <c r="J71" s="4" t="s">
        <v>241</v>
      </c>
      <c r="K71" s="4" t="s">
        <v>242</v>
      </c>
      <c r="L71" s="4">
        <v>40070424</v>
      </c>
      <c r="M71" s="4"/>
    </row>
    <row r="72" spans="1:13" ht="15" customHeight="1">
      <c r="A72" s="4" t="s">
        <v>243</v>
      </c>
      <c r="B72" s="4" t="s">
        <v>244</v>
      </c>
      <c r="C72" s="4" t="s">
        <v>245</v>
      </c>
      <c r="D72" s="18"/>
      <c r="E72" s="18">
        <v>0</v>
      </c>
      <c r="F72" s="18">
        <v>0</v>
      </c>
      <c r="G72" s="4" t="s">
        <v>246</v>
      </c>
      <c r="H72" s="4" t="s">
        <v>247</v>
      </c>
      <c r="I72" s="5">
        <v>4856</v>
      </c>
      <c r="J72" s="4" t="s">
        <v>248</v>
      </c>
      <c r="K72" s="4" t="s">
        <v>244</v>
      </c>
      <c r="L72" s="4">
        <v>508621070</v>
      </c>
      <c r="M72" s="4"/>
    </row>
    <row r="73" spans="1:13" ht="15" customHeight="1">
      <c r="A73" s="4" t="s">
        <v>249</v>
      </c>
      <c r="B73" s="4" t="s">
        <v>250</v>
      </c>
      <c r="C73" s="4" t="s">
        <v>42</v>
      </c>
      <c r="D73" s="18"/>
      <c r="E73" s="18">
        <v>0</v>
      </c>
      <c r="F73" s="18">
        <v>0</v>
      </c>
      <c r="G73" s="4" t="s">
        <v>251</v>
      </c>
      <c r="H73" s="4" t="s">
        <v>252</v>
      </c>
      <c r="I73" s="5">
        <v>2739</v>
      </c>
      <c r="J73" s="4" t="s">
        <v>253</v>
      </c>
      <c r="K73" s="4" t="s">
        <v>250</v>
      </c>
      <c r="L73" s="4">
        <v>119060924</v>
      </c>
      <c r="M73" s="4"/>
    </row>
    <row r="74" spans="1:13" ht="15" customHeight="1">
      <c r="A74" s="4" t="s">
        <v>254</v>
      </c>
      <c r="B74" s="4" t="s">
        <v>255</v>
      </c>
      <c r="C74" s="4" t="s">
        <v>154</v>
      </c>
      <c r="D74" s="18"/>
      <c r="E74" s="18">
        <v>0</v>
      </c>
      <c r="F74" s="18">
        <v>0</v>
      </c>
      <c r="G74" s="4" t="s">
        <v>256</v>
      </c>
      <c r="H74" s="4"/>
      <c r="I74" s="5">
        <v>1261</v>
      </c>
      <c r="J74" s="4"/>
      <c r="K74" s="4" t="s">
        <v>257</v>
      </c>
      <c r="L74" s="4">
        <v>396368679</v>
      </c>
      <c r="M74" s="4"/>
    </row>
    <row r="75" spans="1:13" ht="15" customHeight="1">
      <c r="A75" s="4" t="s">
        <v>258</v>
      </c>
      <c r="B75" s="4" t="s">
        <v>259</v>
      </c>
      <c r="C75" s="4" t="s">
        <v>154</v>
      </c>
      <c r="D75" s="18"/>
      <c r="E75" s="18">
        <v>0</v>
      </c>
      <c r="F75" s="18">
        <v>0</v>
      </c>
      <c r="G75" s="4" t="s">
        <v>260</v>
      </c>
      <c r="H75" s="4" t="s">
        <v>261</v>
      </c>
      <c r="I75" s="5">
        <v>6002</v>
      </c>
      <c r="J75" s="4"/>
      <c r="K75" s="4" t="s">
        <v>262</v>
      </c>
      <c r="L75" s="4">
        <v>560749777</v>
      </c>
      <c r="M75" s="4"/>
    </row>
    <row r="76" spans="1:13" ht="15" customHeight="1">
      <c r="A76" s="4" t="s">
        <v>263</v>
      </c>
      <c r="B76" s="4" t="s">
        <v>264</v>
      </c>
      <c r="C76" s="4" t="s">
        <v>265</v>
      </c>
      <c r="D76" s="18"/>
      <c r="E76" s="18">
        <v>0</v>
      </c>
      <c r="F76" s="18">
        <v>0</v>
      </c>
      <c r="G76" s="4" t="s">
        <v>266</v>
      </c>
      <c r="H76" s="4" t="s">
        <v>267</v>
      </c>
      <c r="I76" s="5">
        <v>396</v>
      </c>
      <c r="J76" s="4"/>
      <c r="K76" s="4" t="s">
        <v>268</v>
      </c>
      <c r="L76" s="4">
        <v>134528215</v>
      </c>
      <c r="M76" s="4"/>
    </row>
    <row r="77" spans="1:13" ht="15" customHeight="1">
      <c r="A77" s="4" t="s">
        <v>269</v>
      </c>
      <c r="B77" s="4" t="s">
        <v>270</v>
      </c>
      <c r="C77" s="4" t="s">
        <v>265</v>
      </c>
      <c r="D77" s="18"/>
      <c r="E77" s="18">
        <v>0</v>
      </c>
      <c r="F77" s="18">
        <v>0</v>
      </c>
      <c r="G77" s="4" t="s">
        <v>271</v>
      </c>
      <c r="H77" s="4" t="s">
        <v>272</v>
      </c>
      <c r="I77" s="5">
        <v>13</v>
      </c>
      <c r="J77" s="4"/>
      <c r="K77" s="4" t="s">
        <v>264</v>
      </c>
      <c r="L77" s="4">
        <v>6717554</v>
      </c>
      <c r="M77" s="4"/>
    </row>
    <row r="78" spans="1:13" ht="15" customHeight="1">
      <c r="A78" s="4" t="s">
        <v>273</v>
      </c>
      <c r="B78" s="4" t="s">
        <v>93</v>
      </c>
      <c r="C78" s="4" t="s">
        <v>51</v>
      </c>
      <c r="D78" s="18"/>
      <c r="E78" s="18">
        <v>0</v>
      </c>
      <c r="F78" s="18">
        <v>0</v>
      </c>
      <c r="G78" s="4" t="s">
        <v>274</v>
      </c>
      <c r="H78" s="4"/>
      <c r="I78" s="5">
        <v>0</v>
      </c>
      <c r="J78" s="4"/>
      <c r="K78" s="4" t="s">
        <v>275</v>
      </c>
      <c r="L78" s="4">
        <v>323164</v>
      </c>
      <c r="M78" s="4"/>
    </row>
    <row r="79" spans="1:13" ht="15" customHeight="1">
      <c r="A79" s="4" t="s">
        <v>276</v>
      </c>
      <c r="B79" s="4" t="s">
        <v>277</v>
      </c>
      <c r="C79" s="4" t="s">
        <v>278</v>
      </c>
      <c r="D79" s="18"/>
      <c r="E79" s="18">
        <v>112849</v>
      </c>
      <c r="F79" s="18">
        <v>9885</v>
      </c>
      <c r="G79" s="4" t="s">
        <v>279</v>
      </c>
      <c r="H79" s="4" t="s">
        <v>280</v>
      </c>
      <c r="I79" s="5">
        <v>5582</v>
      </c>
      <c r="J79" s="4"/>
      <c r="K79" s="4" t="s">
        <v>281</v>
      </c>
      <c r="L79" s="4">
        <v>101589317</v>
      </c>
      <c r="M79" s="4"/>
    </row>
    <row r="80" spans="1:13" ht="15" customHeight="1">
      <c r="A80" s="4" t="s">
        <v>282</v>
      </c>
      <c r="B80" s="4" t="s">
        <v>283</v>
      </c>
      <c r="C80" s="4" t="s">
        <v>284</v>
      </c>
      <c r="D80" s="18"/>
      <c r="E80" s="18">
        <v>0</v>
      </c>
      <c r="F80" s="18">
        <v>0</v>
      </c>
      <c r="G80" s="4" t="s">
        <v>285</v>
      </c>
      <c r="H80" s="4" t="s">
        <v>286</v>
      </c>
      <c r="I80" s="5">
        <v>0</v>
      </c>
      <c r="J80" s="4"/>
      <c r="K80" s="4" t="s">
        <v>287</v>
      </c>
      <c r="L80" s="4">
        <v>275248</v>
      </c>
      <c r="M80" s="4"/>
    </row>
    <row r="81" spans="1:13" ht="15" customHeight="1">
      <c r="A81" s="4" t="s">
        <v>288</v>
      </c>
      <c r="B81" s="4" t="s">
        <v>289</v>
      </c>
      <c r="C81" s="4" t="s">
        <v>154</v>
      </c>
      <c r="D81" s="18"/>
      <c r="E81" s="18">
        <v>0</v>
      </c>
      <c r="F81" s="18">
        <v>0</v>
      </c>
      <c r="G81" s="4" t="s">
        <v>290</v>
      </c>
      <c r="H81" s="4" t="s">
        <v>291</v>
      </c>
      <c r="I81" s="5">
        <v>3451</v>
      </c>
      <c r="J81" s="4" t="s">
        <v>289</v>
      </c>
      <c r="K81" s="4" t="s">
        <v>292</v>
      </c>
      <c r="L81" s="4">
        <v>424774252</v>
      </c>
      <c r="M81" s="4" t="s">
        <v>293</v>
      </c>
    </row>
    <row r="82" spans="1:13" ht="15" customHeight="1">
      <c r="A82" s="4" t="s">
        <v>294</v>
      </c>
      <c r="B82" s="4" t="s">
        <v>295</v>
      </c>
      <c r="C82" s="4" t="s">
        <v>154</v>
      </c>
      <c r="D82" s="18"/>
      <c r="E82" s="18">
        <v>10838</v>
      </c>
      <c r="F82" s="18">
        <v>384</v>
      </c>
      <c r="G82" s="4" t="s">
        <v>296</v>
      </c>
      <c r="H82" s="4" t="s">
        <v>297</v>
      </c>
      <c r="I82" s="5">
        <v>2938</v>
      </c>
      <c r="J82" s="4" t="s">
        <v>298</v>
      </c>
      <c r="K82" s="4" t="s">
        <v>299</v>
      </c>
      <c r="L82" s="4">
        <v>525140241</v>
      </c>
      <c r="M82" s="4"/>
    </row>
    <row r="83" spans="1:13" ht="15" customHeight="1">
      <c r="A83" s="4" t="s">
        <v>300</v>
      </c>
      <c r="B83" s="4" t="s">
        <v>301</v>
      </c>
      <c r="C83" s="4" t="s">
        <v>302</v>
      </c>
      <c r="D83" s="18"/>
      <c r="E83" s="18">
        <v>0</v>
      </c>
      <c r="F83" s="18">
        <v>0</v>
      </c>
      <c r="G83" s="4" t="s">
        <v>303</v>
      </c>
      <c r="H83" s="4" t="s">
        <v>304</v>
      </c>
      <c r="I83" s="5">
        <v>3601</v>
      </c>
      <c r="J83" s="4"/>
      <c r="K83" s="4" t="s">
        <v>301</v>
      </c>
      <c r="L83" s="4">
        <v>1067845676</v>
      </c>
      <c r="M83" s="4"/>
    </row>
    <row r="84" spans="1:13" ht="15" customHeight="1">
      <c r="A84" s="4" t="s">
        <v>305</v>
      </c>
      <c r="B84" s="4" t="s">
        <v>306</v>
      </c>
      <c r="C84" s="4" t="s">
        <v>307</v>
      </c>
      <c r="D84" s="18"/>
      <c r="E84" s="18">
        <v>0</v>
      </c>
      <c r="F84" s="18">
        <v>0</v>
      </c>
      <c r="G84" s="4" t="s">
        <v>308</v>
      </c>
      <c r="H84" s="4" t="s">
        <v>309</v>
      </c>
      <c r="I84" s="5">
        <v>225</v>
      </c>
      <c r="J84" s="4" t="s">
        <v>310</v>
      </c>
      <c r="K84" s="4" t="s">
        <v>311</v>
      </c>
      <c r="L84" s="4">
        <v>116322553</v>
      </c>
      <c r="M84" s="4"/>
    </row>
    <row r="85" spans="1:13" ht="15" customHeight="1">
      <c r="A85" s="4" t="s">
        <v>312</v>
      </c>
      <c r="B85" s="4" t="s">
        <v>313</v>
      </c>
      <c r="C85" s="4" t="s">
        <v>314</v>
      </c>
      <c r="D85" s="18"/>
      <c r="E85" s="18">
        <v>0</v>
      </c>
      <c r="F85" s="18">
        <v>0</v>
      </c>
      <c r="G85" s="4" t="s">
        <v>315</v>
      </c>
      <c r="H85" s="4" t="s">
        <v>316</v>
      </c>
      <c r="I85" s="5">
        <v>1717</v>
      </c>
      <c r="J85" s="4"/>
      <c r="K85" s="4" t="s">
        <v>317</v>
      </c>
      <c r="L85" s="4">
        <v>79378829</v>
      </c>
      <c r="M85" s="4"/>
    </row>
    <row r="86" spans="1:13" ht="15" customHeight="1">
      <c r="A86" s="4" t="s">
        <v>318</v>
      </c>
      <c r="B86" s="4" t="s">
        <v>319</v>
      </c>
      <c r="C86" s="4" t="s">
        <v>154</v>
      </c>
      <c r="D86" s="18"/>
      <c r="E86" s="18">
        <v>5048</v>
      </c>
      <c r="F86" s="18">
        <v>135</v>
      </c>
      <c r="G86" s="4" t="s">
        <v>320</v>
      </c>
      <c r="H86" s="4"/>
      <c r="I86" s="5">
        <v>15983</v>
      </c>
      <c r="J86" s="4"/>
      <c r="K86" s="4" t="s">
        <v>321</v>
      </c>
      <c r="L86" s="4">
        <v>1497162616</v>
      </c>
      <c r="M86" s="4" t="s">
        <v>322</v>
      </c>
    </row>
    <row r="87" spans="1:13" ht="15" customHeight="1">
      <c r="A87" s="4" t="s">
        <v>323</v>
      </c>
      <c r="B87" s="4" t="s">
        <v>324</v>
      </c>
      <c r="C87" s="4" t="s">
        <v>325</v>
      </c>
      <c r="D87" s="18"/>
      <c r="E87" s="18">
        <v>0</v>
      </c>
      <c r="F87" s="18">
        <v>0</v>
      </c>
      <c r="G87" s="4" t="s">
        <v>326</v>
      </c>
      <c r="H87" s="4"/>
      <c r="I87" s="5">
        <v>3362</v>
      </c>
      <c r="J87" s="4"/>
      <c r="K87" s="4" t="s">
        <v>324</v>
      </c>
      <c r="L87" s="4">
        <v>258996748</v>
      </c>
      <c r="M87" s="4"/>
    </row>
    <row r="88" spans="1:13" ht="15" customHeight="1">
      <c r="A88" s="4" t="s">
        <v>327</v>
      </c>
      <c r="B88" s="4" t="s">
        <v>328</v>
      </c>
      <c r="C88" s="4" t="s">
        <v>154</v>
      </c>
      <c r="D88" s="18"/>
      <c r="E88" s="18">
        <v>0</v>
      </c>
      <c r="F88" s="18">
        <v>0</v>
      </c>
      <c r="G88" s="4" t="s">
        <v>329</v>
      </c>
      <c r="H88" s="4" t="s">
        <v>330</v>
      </c>
      <c r="I88" s="5">
        <v>757</v>
      </c>
      <c r="J88" s="4"/>
      <c r="K88" s="4" t="s">
        <v>262</v>
      </c>
      <c r="L88" s="4">
        <v>267490941</v>
      </c>
      <c r="M88" s="4"/>
    </row>
    <row r="89" spans="1:13" ht="15" customHeight="1">
      <c r="A89" s="4" t="s">
        <v>331</v>
      </c>
      <c r="B89" s="4" t="s">
        <v>332</v>
      </c>
      <c r="C89" s="4" t="s">
        <v>333</v>
      </c>
      <c r="D89" s="18"/>
      <c r="E89" s="18">
        <v>0</v>
      </c>
      <c r="F89" s="18">
        <v>0</v>
      </c>
      <c r="G89" s="4" t="s">
        <v>334</v>
      </c>
      <c r="H89" s="4" t="s">
        <v>335</v>
      </c>
      <c r="I89" s="5">
        <v>173</v>
      </c>
      <c r="J89" s="4"/>
      <c r="K89" s="4"/>
      <c r="L89" s="4">
        <v>25997684</v>
      </c>
      <c r="M89" s="4"/>
    </row>
    <row r="90" spans="1:13" ht="15" customHeight="1">
      <c r="A90" s="4" t="s">
        <v>336</v>
      </c>
      <c r="B90" s="4" t="s">
        <v>337</v>
      </c>
      <c r="C90" s="4" t="s">
        <v>333</v>
      </c>
      <c r="D90" s="18"/>
      <c r="E90" s="18">
        <v>0</v>
      </c>
      <c r="F90" s="18">
        <v>0</v>
      </c>
      <c r="G90" s="4" t="s">
        <v>338</v>
      </c>
      <c r="H90" s="4" t="s">
        <v>339</v>
      </c>
      <c r="I90" s="5">
        <v>6</v>
      </c>
      <c r="J90" s="4"/>
      <c r="K90" s="4" t="s">
        <v>340</v>
      </c>
      <c r="L90" s="4">
        <v>3469898</v>
      </c>
      <c r="M90" s="4"/>
    </row>
    <row r="91" spans="1:13" ht="15" customHeight="1">
      <c r="A91" s="4" t="s">
        <v>341</v>
      </c>
      <c r="B91" s="4" t="s">
        <v>342</v>
      </c>
      <c r="C91" s="4" t="s">
        <v>343</v>
      </c>
      <c r="D91" s="18"/>
      <c r="E91" s="18">
        <v>0</v>
      </c>
      <c r="F91" s="18">
        <v>0</v>
      </c>
      <c r="G91" s="4" t="s">
        <v>344</v>
      </c>
      <c r="H91" s="4" t="s">
        <v>345</v>
      </c>
      <c r="I91" s="5">
        <v>620</v>
      </c>
      <c r="J91" s="4"/>
      <c r="K91" s="4"/>
      <c r="L91" s="4">
        <v>86381272</v>
      </c>
      <c r="M91" s="4"/>
    </row>
    <row r="92" spans="1:13" ht="15" customHeight="1">
      <c r="A92" s="4" t="s">
        <v>346</v>
      </c>
      <c r="B92" s="4" t="s">
        <v>347</v>
      </c>
      <c r="C92" s="4" t="s">
        <v>348</v>
      </c>
      <c r="D92" s="18"/>
      <c r="E92" s="18">
        <v>0</v>
      </c>
      <c r="F92" s="18">
        <v>0</v>
      </c>
      <c r="G92" s="4" t="s">
        <v>349</v>
      </c>
      <c r="H92" s="4" t="s">
        <v>350</v>
      </c>
      <c r="I92" s="5">
        <v>39</v>
      </c>
      <c r="J92" s="4"/>
      <c r="K92" s="4" t="s">
        <v>351</v>
      </c>
      <c r="L92" s="4">
        <v>13683214</v>
      </c>
      <c r="M92" s="4"/>
    </row>
    <row r="93" spans="1:13" ht="15" customHeight="1">
      <c r="A93" s="4" t="s">
        <v>352</v>
      </c>
      <c r="B93" s="4" t="s">
        <v>353</v>
      </c>
      <c r="C93" s="4" t="s">
        <v>354</v>
      </c>
      <c r="D93" s="18"/>
      <c r="E93" s="18">
        <v>0</v>
      </c>
      <c r="F93" s="18">
        <v>0</v>
      </c>
      <c r="G93" s="4" t="s">
        <v>355</v>
      </c>
      <c r="H93" s="4" t="s">
        <v>356</v>
      </c>
      <c r="I93" s="5">
        <v>1423</v>
      </c>
      <c r="J93" s="4"/>
      <c r="K93" s="4" t="s">
        <v>357</v>
      </c>
      <c r="L93" s="4">
        <v>184930045</v>
      </c>
      <c r="M93" s="4"/>
    </row>
    <row r="94" spans="1:13" ht="15" customHeight="1">
      <c r="A94" s="4" t="s">
        <v>358</v>
      </c>
      <c r="B94" s="4" t="s">
        <v>359</v>
      </c>
      <c r="C94" s="4" t="s">
        <v>360</v>
      </c>
      <c r="D94" s="18"/>
      <c r="E94" s="18">
        <v>0</v>
      </c>
      <c r="F94" s="18">
        <v>0</v>
      </c>
      <c r="G94" s="4" t="s">
        <v>361</v>
      </c>
      <c r="H94" s="4" t="s">
        <v>362</v>
      </c>
      <c r="I94" s="5">
        <v>314</v>
      </c>
      <c r="J94" s="4" t="s">
        <v>363</v>
      </c>
      <c r="K94" s="4" t="s">
        <v>364</v>
      </c>
      <c r="L94" s="4">
        <v>93242865</v>
      </c>
      <c r="M94" s="4"/>
    </row>
    <row r="95" spans="1:13" ht="15" customHeight="1">
      <c r="A95" s="4" t="s">
        <v>365</v>
      </c>
      <c r="B95" s="4" t="s">
        <v>366</v>
      </c>
      <c r="C95" s="4" t="s">
        <v>367</v>
      </c>
      <c r="D95" s="18"/>
      <c r="E95" s="18">
        <v>0</v>
      </c>
      <c r="F95" s="18">
        <v>0</v>
      </c>
      <c r="G95" s="4" t="s">
        <v>368</v>
      </c>
      <c r="H95" s="4"/>
      <c r="I95" s="5">
        <v>4</v>
      </c>
      <c r="J95" s="4"/>
      <c r="K95" s="4"/>
      <c r="L95" s="4">
        <v>5415807</v>
      </c>
      <c r="M95" s="4"/>
    </row>
    <row r="96" spans="1:13" ht="15" customHeight="1">
      <c r="A96" s="4" t="s">
        <v>369</v>
      </c>
      <c r="B96" s="4" t="s">
        <v>370</v>
      </c>
      <c r="C96" s="4" t="s">
        <v>154</v>
      </c>
      <c r="D96" s="18"/>
      <c r="E96" s="18">
        <v>0</v>
      </c>
      <c r="F96" s="18">
        <v>0</v>
      </c>
      <c r="G96" s="4" t="s">
        <v>371</v>
      </c>
      <c r="H96" s="4" t="s">
        <v>372</v>
      </c>
      <c r="I96" s="5">
        <v>1203</v>
      </c>
      <c r="J96" s="4"/>
      <c r="K96" s="4" t="s">
        <v>373</v>
      </c>
      <c r="L96" s="4">
        <v>318249236</v>
      </c>
      <c r="M96" s="4"/>
    </row>
    <row r="97" spans="1:13" ht="15" customHeight="1">
      <c r="A97" s="4" t="s">
        <v>374</v>
      </c>
      <c r="B97" s="4" t="s">
        <v>375</v>
      </c>
      <c r="C97" s="4" t="s">
        <v>154</v>
      </c>
      <c r="D97" s="18"/>
      <c r="E97" s="18">
        <v>0</v>
      </c>
      <c r="F97" s="18">
        <v>0</v>
      </c>
      <c r="G97" s="4" t="s">
        <v>376</v>
      </c>
      <c r="H97" s="4"/>
      <c r="I97" s="5">
        <v>1340</v>
      </c>
      <c r="J97" s="4" t="s">
        <v>377</v>
      </c>
      <c r="K97" s="4" t="s">
        <v>378</v>
      </c>
      <c r="L97" s="4">
        <v>394249952</v>
      </c>
      <c r="M97" s="4"/>
    </row>
    <row r="98" spans="1:13" ht="15" customHeight="1">
      <c r="A98" s="4" t="s">
        <v>379</v>
      </c>
      <c r="B98" s="4" t="s">
        <v>380</v>
      </c>
      <c r="C98" s="4" t="s">
        <v>154</v>
      </c>
      <c r="D98" s="18"/>
      <c r="E98" s="18">
        <v>80914</v>
      </c>
      <c r="F98" s="18">
        <v>13096</v>
      </c>
      <c r="G98" s="4" t="s">
        <v>381</v>
      </c>
      <c r="H98" s="4" t="s">
        <v>382</v>
      </c>
      <c r="I98" s="5">
        <v>2038</v>
      </c>
      <c r="J98" s="4"/>
      <c r="K98" s="4" t="s">
        <v>380</v>
      </c>
      <c r="L98" s="4">
        <v>419569575</v>
      </c>
      <c r="M98" s="4"/>
    </row>
    <row r="99" spans="1:13" ht="15" customHeight="1">
      <c r="A99" s="4" t="s">
        <v>383</v>
      </c>
      <c r="B99" s="4" t="s">
        <v>384</v>
      </c>
      <c r="C99" s="4" t="s">
        <v>385</v>
      </c>
      <c r="D99" s="18"/>
      <c r="E99" s="18">
        <v>0</v>
      </c>
      <c r="F99" s="18">
        <v>0</v>
      </c>
      <c r="G99" s="4" t="s">
        <v>386</v>
      </c>
      <c r="H99" s="4" t="s">
        <v>387</v>
      </c>
      <c r="I99" s="5">
        <v>0</v>
      </c>
      <c r="J99" s="4"/>
      <c r="K99" s="4" t="s">
        <v>388</v>
      </c>
      <c r="L99" s="4">
        <v>436159</v>
      </c>
      <c r="M99" s="4"/>
    </row>
    <row r="100" spans="1:13" ht="15" customHeight="1">
      <c r="A100" s="4" t="s">
        <v>389</v>
      </c>
      <c r="B100" s="4" t="s">
        <v>390</v>
      </c>
      <c r="C100" s="4" t="s">
        <v>154</v>
      </c>
      <c r="D100" s="18"/>
      <c r="E100" s="18">
        <v>0</v>
      </c>
      <c r="F100" s="18">
        <v>0</v>
      </c>
      <c r="G100" s="4" t="s">
        <v>391</v>
      </c>
      <c r="H100" s="4" t="s">
        <v>392</v>
      </c>
      <c r="I100" s="5">
        <v>4083</v>
      </c>
      <c r="J100" s="4"/>
      <c r="K100" s="4" t="s">
        <v>373</v>
      </c>
      <c r="L100" s="4">
        <v>457122858</v>
      </c>
      <c r="M100" s="4"/>
    </row>
    <row r="101" spans="1:13" ht="15" customHeight="1">
      <c r="A101" s="4" t="s">
        <v>393</v>
      </c>
      <c r="B101" s="4" t="s">
        <v>394</v>
      </c>
      <c r="C101" s="4" t="s">
        <v>395</v>
      </c>
      <c r="D101" s="18"/>
      <c r="E101" s="18">
        <v>0</v>
      </c>
      <c r="F101" s="18">
        <v>0</v>
      </c>
      <c r="G101" s="7" t="s">
        <v>396</v>
      </c>
      <c r="H101" s="4"/>
      <c r="I101" s="5">
        <v>2174</v>
      </c>
      <c r="J101" s="4"/>
      <c r="K101" s="4" t="s">
        <v>397</v>
      </c>
      <c r="L101" s="4">
        <v>383197673</v>
      </c>
      <c r="M101" s="4" t="s">
        <v>293</v>
      </c>
    </row>
    <row r="102" spans="1:13" ht="15" customHeight="1">
      <c r="A102" s="4" t="s">
        <v>398</v>
      </c>
      <c r="B102" s="4" t="s">
        <v>399</v>
      </c>
      <c r="C102" s="4" t="s">
        <v>400</v>
      </c>
      <c r="D102" s="18"/>
      <c r="E102" s="18">
        <v>0</v>
      </c>
      <c r="F102" s="18">
        <v>0</v>
      </c>
      <c r="G102" s="4" t="s">
        <v>401</v>
      </c>
      <c r="H102" s="4"/>
      <c r="I102" s="5">
        <v>65</v>
      </c>
      <c r="J102" s="4"/>
      <c r="K102" s="4" t="s">
        <v>402</v>
      </c>
      <c r="L102" s="4">
        <v>14743388</v>
      </c>
      <c r="M102" s="4"/>
    </row>
    <row r="103" spans="1:13" ht="15" customHeight="1">
      <c r="A103" s="4" t="s">
        <v>403</v>
      </c>
      <c r="B103" s="4" t="s">
        <v>404</v>
      </c>
      <c r="C103" s="4" t="s">
        <v>131</v>
      </c>
      <c r="D103" s="18"/>
      <c r="E103" s="18">
        <v>0</v>
      </c>
      <c r="F103" s="18">
        <v>0</v>
      </c>
      <c r="G103" s="4" t="s">
        <v>405</v>
      </c>
      <c r="H103" s="4" t="s">
        <v>406</v>
      </c>
      <c r="I103" s="5">
        <v>29</v>
      </c>
      <c r="J103" s="4"/>
      <c r="K103" s="4" t="s">
        <v>407</v>
      </c>
      <c r="L103" s="4">
        <v>4935297</v>
      </c>
      <c r="M103" s="4"/>
    </row>
    <row r="104" spans="1:13" ht="15" customHeight="1">
      <c r="A104" s="4" t="s">
        <v>408</v>
      </c>
      <c r="B104" s="4" t="s">
        <v>409</v>
      </c>
      <c r="C104" s="4" t="s">
        <v>410</v>
      </c>
      <c r="D104" s="18"/>
      <c r="E104" s="18">
        <v>0</v>
      </c>
      <c r="F104" s="18">
        <v>0</v>
      </c>
      <c r="G104" s="4" t="s">
        <v>411</v>
      </c>
      <c r="H104" s="4" t="s">
        <v>412</v>
      </c>
      <c r="I104" s="5">
        <v>838</v>
      </c>
      <c r="J104" s="4"/>
      <c r="K104" s="4"/>
      <c r="L104" s="4">
        <v>100019249</v>
      </c>
      <c r="M104" s="4"/>
    </row>
    <row r="105" spans="1:13" ht="15" customHeight="1">
      <c r="A105" s="4" t="s">
        <v>413</v>
      </c>
      <c r="B105" s="4" t="s">
        <v>414</v>
      </c>
      <c r="C105" s="4" t="s">
        <v>154</v>
      </c>
      <c r="D105" s="18"/>
      <c r="E105" s="18">
        <v>0</v>
      </c>
      <c r="F105" s="18">
        <v>0</v>
      </c>
      <c r="G105" s="4" t="s">
        <v>415</v>
      </c>
      <c r="H105" s="4"/>
      <c r="I105" s="5">
        <v>2791</v>
      </c>
      <c r="J105" s="4"/>
      <c r="K105" s="4" t="s">
        <v>416</v>
      </c>
      <c r="L105" s="4">
        <v>787100295</v>
      </c>
      <c r="M105" s="4"/>
    </row>
    <row r="106" spans="1:13" ht="15" customHeight="1">
      <c r="A106" s="4" t="s">
        <v>417</v>
      </c>
      <c r="B106" s="4" t="s">
        <v>418</v>
      </c>
      <c r="C106" s="4" t="s">
        <v>154</v>
      </c>
      <c r="D106" s="18"/>
      <c r="E106" s="18">
        <v>0</v>
      </c>
      <c r="F106" s="18">
        <v>0</v>
      </c>
      <c r="G106" s="4" t="s">
        <v>419</v>
      </c>
      <c r="H106" s="4" t="s">
        <v>420</v>
      </c>
      <c r="I106" s="5">
        <v>1115</v>
      </c>
      <c r="J106" s="4"/>
      <c r="K106" s="4" t="s">
        <v>378</v>
      </c>
      <c r="L106" s="4">
        <v>514709406</v>
      </c>
      <c r="M106" s="4"/>
    </row>
    <row r="107" spans="1:13" ht="15" customHeight="1">
      <c r="A107" s="4" t="s">
        <v>421</v>
      </c>
      <c r="B107" s="4" t="s">
        <v>422</v>
      </c>
      <c r="C107" s="4" t="s">
        <v>154</v>
      </c>
      <c r="D107" s="18"/>
      <c r="E107" s="18">
        <v>0</v>
      </c>
      <c r="F107" s="18">
        <v>0</v>
      </c>
      <c r="G107" s="4" t="s">
        <v>423</v>
      </c>
      <c r="H107" s="4" t="s">
        <v>424</v>
      </c>
      <c r="I107" s="5">
        <v>984</v>
      </c>
      <c r="J107" s="4" t="s">
        <v>422</v>
      </c>
      <c r="K107" s="4" t="s">
        <v>416</v>
      </c>
      <c r="L107" s="4">
        <v>226606662</v>
      </c>
      <c r="M107" s="4"/>
    </row>
    <row r="108" spans="1:13" ht="15" customHeight="1">
      <c r="A108" s="4" t="s">
        <v>425</v>
      </c>
      <c r="B108" s="4" t="s">
        <v>426</v>
      </c>
      <c r="C108" s="4" t="s">
        <v>427</v>
      </c>
      <c r="D108" s="18"/>
      <c r="E108" s="18">
        <v>0</v>
      </c>
      <c r="F108" s="18">
        <v>0</v>
      </c>
      <c r="G108" s="4" t="s">
        <v>428</v>
      </c>
      <c r="H108" s="4" t="s">
        <v>429</v>
      </c>
      <c r="I108" s="5">
        <v>876</v>
      </c>
      <c r="J108" s="4" t="s">
        <v>430</v>
      </c>
      <c r="K108" s="4" t="s">
        <v>426</v>
      </c>
      <c r="L108" s="4">
        <v>263880895</v>
      </c>
      <c r="M108" s="4" t="s">
        <v>431</v>
      </c>
    </row>
    <row r="109" spans="1:13" ht="15" customHeight="1">
      <c r="A109" s="4" t="s">
        <v>432</v>
      </c>
      <c r="B109" s="4" t="s">
        <v>433</v>
      </c>
      <c r="C109" s="4" t="s">
        <v>434</v>
      </c>
      <c r="D109" s="18"/>
      <c r="E109" s="18">
        <v>0</v>
      </c>
      <c r="F109" s="18">
        <v>0</v>
      </c>
      <c r="G109" s="7" t="s">
        <v>435</v>
      </c>
      <c r="H109" s="4" t="s">
        <v>436</v>
      </c>
      <c r="I109" s="5">
        <v>587</v>
      </c>
      <c r="J109" s="4"/>
      <c r="K109" s="4" t="s">
        <v>437</v>
      </c>
      <c r="L109" s="4">
        <v>163210062</v>
      </c>
      <c r="M109" s="4"/>
    </row>
    <row r="110" spans="1:13" ht="15" customHeight="1">
      <c r="A110" s="4" t="s">
        <v>438</v>
      </c>
      <c r="B110" s="4" t="s">
        <v>439</v>
      </c>
      <c r="C110" s="4" t="s">
        <v>440</v>
      </c>
      <c r="D110" s="18"/>
      <c r="E110" s="18">
        <v>0</v>
      </c>
      <c r="F110" s="18">
        <v>0</v>
      </c>
      <c r="G110" s="4" t="s">
        <v>441</v>
      </c>
      <c r="H110" s="4" t="s">
        <v>442</v>
      </c>
      <c r="I110" s="5">
        <v>4479</v>
      </c>
      <c r="J110" s="4"/>
      <c r="K110" s="4" t="s">
        <v>443</v>
      </c>
      <c r="L110" s="4">
        <v>273561007</v>
      </c>
      <c r="M110" s="4"/>
    </row>
    <row r="111" spans="1:13" ht="15" customHeight="1">
      <c r="A111" s="4" t="s">
        <v>444</v>
      </c>
      <c r="B111" s="4" t="s">
        <v>445</v>
      </c>
      <c r="C111" s="4" t="s">
        <v>446</v>
      </c>
      <c r="D111" s="18"/>
      <c r="E111" s="18">
        <v>0</v>
      </c>
      <c r="F111" s="18">
        <v>0</v>
      </c>
      <c r="G111" s="4" t="s">
        <v>447</v>
      </c>
      <c r="H111" s="4" t="s">
        <v>448</v>
      </c>
      <c r="I111" s="5">
        <v>181</v>
      </c>
      <c r="J111" s="4"/>
      <c r="K111" s="4" t="s">
        <v>449</v>
      </c>
      <c r="L111" s="4">
        <v>44513923</v>
      </c>
      <c r="M111" s="4"/>
    </row>
    <row r="112" spans="1:13" ht="15" customHeight="1">
      <c r="A112" s="4" t="s">
        <v>450</v>
      </c>
      <c r="B112" s="4" t="s">
        <v>451</v>
      </c>
      <c r="C112" s="4" t="s">
        <v>446</v>
      </c>
      <c r="D112" s="18"/>
      <c r="E112" s="18">
        <v>0</v>
      </c>
      <c r="F112" s="18">
        <v>0</v>
      </c>
      <c r="G112" s="4" t="s">
        <v>452</v>
      </c>
      <c r="H112" s="4" t="s">
        <v>453</v>
      </c>
      <c r="I112" s="5">
        <v>87</v>
      </c>
      <c r="J112" s="4"/>
      <c r="K112" s="4" t="s">
        <v>454</v>
      </c>
      <c r="L112" s="4">
        <v>47590404</v>
      </c>
      <c r="M112" s="4"/>
    </row>
    <row r="113" spans="1:13" ht="15" customHeight="1">
      <c r="A113" s="4" t="s">
        <v>455</v>
      </c>
      <c r="B113" s="4" t="s">
        <v>456</v>
      </c>
      <c r="C113" s="4" t="s">
        <v>457</v>
      </c>
      <c r="D113" s="18"/>
      <c r="E113" s="18">
        <v>0</v>
      </c>
      <c r="F113" s="18">
        <v>0</v>
      </c>
      <c r="G113" s="4" t="s">
        <v>458</v>
      </c>
      <c r="H113" s="4" t="s">
        <v>459</v>
      </c>
      <c r="I113" s="5">
        <v>189</v>
      </c>
      <c r="J113" s="4"/>
      <c r="K113" s="4" t="s">
        <v>460</v>
      </c>
      <c r="L113" s="4">
        <v>61806044</v>
      </c>
      <c r="M113" s="4"/>
    </row>
    <row r="114" spans="1:13" ht="15" customHeight="1">
      <c r="A114" s="4" t="s">
        <v>461</v>
      </c>
      <c r="B114" s="4" t="s">
        <v>462</v>
      </c>
      <c r="C114" s="4" t="s">
        <v>188</v>
      </c>
      <c r="D114" s="18"/>
      <c r="E114" s="18">
        <v>315938</v>
      </c>
      <c r="F114" s="18">
        <v>67117</v>
      </c>
      <c r="G114" s="4" t="s">
        <v>463</v>
      </c>
      <c r="H114" s="4"/>
      <c r="I114" s="5">
        <v>831</v>
      </c>
      <c r="J114" s="4"/>
      <c r="K114" s="4" t="s">
        <v>462</v>
      </c>
      <c r="L114" s="4">
        <v>80359568</v>
      </c>
      <c r="M114" s="4" t="s">
        <v>322</v>
      </c>
    </row>
    <row r="115" spans="1:13" ht="15" customHeight="1">
      <c r="A115" s="4" t="s">
        <v>464</v>
      </c>
      <c r="B115" s="4" t="s">
        <v>465</v>
      </c>
      <c r="C115" s="4" t="s">
        <v>466</v>
      </c>
      <c r="D115" s="18"/>
      <c r="E115" s="18">
        <v>0</v>
      </c>
      <c r="F115" s="18">
        <v>0</v>
      </c>
      <c r="G115" s="4" t="s">
        <v>467</v>
      </c>
      <c r="H115" s="4"/>
      <c r="I115" s="5">
        <v>1229</v>
      </c>
      <c r="J115" s="4"/>
      <c r="K115" s="4" t="s">
        <v>465</v>
      </c>
      <c r="L115" s="4">
        <v>77607898</v>
      </c>
      <c r="M115" s="4" t="s">
        <v>468</v>
      </c>
    </row>
    <row r="116" spans="1:13" ht="15" customHeight="1">
      <c r="A116" s="4" t="s">
        <v>469</v>
      </c>
      <c r="B116" s="4" t="s">
        <v>470</v>
      </c>
      <c r="C116" s="4" t="s">
        <v>471</v>
      </c>
      <c r="D116" s="18"/>
      <c r="E116" s="18">
        <v>0</v>
      </c>
      <c r="F116" s="18">
        <v>0</v>
      </c>
      <c r="G116" s="4" t="s">
        <v>472</v>
      </c>
      <c r="H116" s="4" t="s">
        <v>473</v>
      </c>
      <c r="I116" s="5">
        <v>319</v>
      </c>
      <c r="J116" s="4" t="s">
        <v>474</v>
      </c>
      <c r="K116" s="4" t="s">
        <v>475</v>
      </c>
      <c r="L116" s="4">
        <v>55140884</v>
      </c>
      <c r="M116" s="4"/>
    </row>
    <row r="117" spans="1:13" ht="15" customHeight="1">
      <c r="A117" s="4" t="s">
        <v>476</v>
      </c>
      <c r="B117" s="4" t="s">
        <v>477</v>
      </c>
      <c r="C117" s="4" t="s">
        <v>478</v>
      </c>
      <c r="D117" s="18"/>
      <c r="E117" s="18">
        <v>0</v>
      </c>
      <c r="F117" s="18">
        <v>0</v>
      </c>
      <c r="G117" s="4" t="s">
        <v>479</v>
      </c>
      <c r="H117" s="4" t="s">
        <v>480</v>
      </c>
      <c r="I117" s="5">
        <v>486</v>
      </c>
      <c r="J117" s="4"/>
      <c r="K117" s="4" t="s">
        <v>481</v>
      </c>
      <c r="L117" s="4">
        <v>196147959</v>
      </c>
      <c r="M117" s="4"/>
    </row>
    <row r="118" spans="1:13" ht="15" customHeight="1">
      <c r="A118" s="4" t="s">
        <v>482</v>
      </c>
      <c r="B118" s="4" t="s">
        <v>483</v>
      </c>
      <c r="C118" s="4" t="s">
        <v>484</v>
      </c>
      <c r="D118" s="18"/>
      <c r="E118" s="18">
        <v>0</v>
      </c>
      <c r="F118" s="18">
        <v>0</v>
      </c>
      <c r="G118" s="4" t="s">
        <v>485</v>
      </c>
      <c r="H118" s="4"/>
      <c r="I118" s="5">
        <v>73</v>
      </c>
      <c r="J118" s="4"/>
      <c r="K118" s="4" t="s">
        <v>486</v>
      </c>
      <c r="L118" s="4">
        <v>22973704</v>
      </c>
      <c r="M118" s="4"/>
    </row>
    <row r="119" spans="1:13" ht="15" customHeight="1">
      <c r="A119" s="4" t="s">
        <v>487</v>
      </c>
      <c r="B119" s="4" t="s">
        <v>488</v>
      </c>
      <c r="C119" s="4" t="s">
        <v>21</v>
      </c>
      <c r="D119" s="18"/>
      <c r="E119" s="18">
        <v>0</v>
      </c>
      <c r="F119" s="18">
        <v>0</v>
      </c>
      <c r="G119" s="4" t="s">
        <v>489</v>
      </c>
      <c r="H119" s="4"/>
      <c r="I119" s="5">
        <v>32</v>
      </c>
      <c r="J119" s="4"/>
      <c r="K119" s="4" t="s">
        <v>490</v>
      </c>
      <c r="L119" s="4">
        <v>13362616</v>
      </c>
      <c r="M119" s="4"/>
    </row>
    <row r="120" spans="1:13" ht="15" customHeight="1">
      <c r="A120" s="4" t="s">
        <v>491</v>
      </c>
      <c r="B120" s="4" t="s">
        <v>492</v>
      </c>
      <c r="C120" s="4" t="s">
        <v>493</v>
      </c>
      <c r="D120" s="18"/>
      <c r="E120" s="18">
        <v>658</v>
      </c>
      <c r="F120" s="18">
        <v>85</v>
      </c>
      <c r="G120" s="4" t="s">
        <v>494</v>
      </c>
      <c r="H120" s="4"/>
      <c r="I120" s="5">
        <v>125</v>
      </c>
      <c r="J120" s="4" t="s">
        <v>492</v>
      </c>
      <c r="K120" s="4" t="s">
        <v>495</v>
      </c>
      <c r="L120" s="4">
        <v>87463982</v>
      </c>
      <c r="M120" s="4"/>
    </row>
    <row r="121" spans="1:13" ht="15" customHeight="1">
      <c r="A121" s="4" t="s">
        <v>496</v>
      </c>
      <c r="B121" s="4" t="s">
        <v>497</v>
      </c>
      <c r="C121" s="4" t="s">
        <v>498</v>
      </c>
      <c r="D121" s="18"/>
      <c r="E121" s="18">
        <v>0</v>
      </c>
      <c r="F121" s="18">
        <v>0</v>
      </c>
      <c r="G121" s="4" t="s">
        <v>499</v>
      </c>
      <c r="H121" s="4" t="s">
        <v>500</v>
      </c>
      <c r="I121" s="5">
        <v>192</v>
      </c>
      <c r="J121" s="4"/>
      <c r="K121" s="4" t="s">
        <v>501</v>
      </c>
      <c r="L121" s="4">
        <v>47527216</v>
      </c>
      <c r="M121" s="4"/>
    </row>
    <row r="122" spans="1:13" ht="15" customHeight="1">
      <c r="A122" s="4" t="s">
        <v>502</v>
      </c>
      <c r="B122" s="4" t="s">
        <v>503</v>
      </c>
      <c r="C122" s="4" t="s">
        <v>131</v>
      </c>
      <c r="D122" s="18"/>
      <c r="E122" s="18">
        <v>0</v>
      </c>
      <c r="F122" s="18">
        <v>0</v>
      </c>
      <c r="G122" s="4" t="s">
        <v>504</v>
      </c>
      <c r="H122" s="4" t="s">
        <v>505</v>
      </c>
      <c r="I122" s="5">
        <v>2</v>
      </c>
      <c r="J122" s="4"/>
      <c r="K122" s="4" t="s">
        <v>506</v>
      </c>
      <c r="L122" s="4">
        <v>1885829</v>
      </c>
      <c r="M122" s="4"/>
    </row>
    <row r="123" spans="1:13" ht="15" customHeight="1">
      <c r="A123" s="4" t="s">
        <v>507</v>
      </c>
      <c r="B123" s="4" t="s">
        <v>508</v>
      </c>
      <c r="C123" s="4" t="s">
        <v>509</v>
      </c>
      <c r="D123" s="18"/>
      <c r="E123" s="18">
        <v>0</v>
      </c>
      <c r="F123" s="18">
        <v>0</v>
      </c>
      <c r="G123" s="4" t="s">
        <v>510</v>
      </c>
      <c r="H123" s="4" t="s">
        <v>511</v>
      </c>
      <c r="I123" s="5">
        <v>346</v>
      </c>
      <c r="J123" s="4"/>
      <c r="K123" s="4" t="s">
        <v>508</v>
      </c>
      <c r="L123" s="4">
        <v>81243338</v>
      </c>
      <c r="M123" s="4" t="s">
        <v>512</v>
      </c>
    </row>
    <row r="124" spans="1:13" ht="15" customHeight="1">
      <c r="A124" s="4" t="s">
        <v>513</v>
      </c>
      <c r="B124" s="4" t="s">
        <v>65</v>
      </c>
      <c r="C124" s="4" t="s">
        <v>51</v>
      </c>
      <c r="D124" s="18"/>
      <c r="E124" s="18">
        <v>63471</v>
      </c>
      <c r="F124" s="18">
        <v>19895</v>
      </c>
      <c r="G124" s="4" t="s">
        <v>514</v>
      </c>
      <c r="H124" s="4"/>
      <c r="I124" s="5">
        <v>106</v>
      </c>
      <c r="J124" s="4"/>
      <c r="K124" s="4" t="s">
        <v>65</v>
      </c>
      <c r="L124" s="4">
        <v>3294592</v>
      </c>
      <c r="M124" s="4"/>
    </row>
    <row r="125" spans="1:13" ht="15" customHeight="1">
      <c r="A125" s="4" t="s">
        <v>515</v>
      </c>
      <c r="B125" s="4" t="s">
        <v>516</v>
      </c>
      <c r="C125" s="4" t="s">
        <v>517</v>
      </c>
      <c r="D125" s="18"/>
      <c r="E125" s="18">
        <v>0</v>
      </c>
      <c r="F125" s="18">
        <v>0</v>
      </c>
      <c r="G125" s="4" t="s">
        <v>518</v>
      </c>
      <c r="H125" s="4" t="s">
        <v>519</v>
      </c>
      <c r="I125" s="5">
        <v>210</v>
      </c>
      <c r="J125" s="4" t="s">
        <v>520</v>
      </c>
      <c r="K125" s="4" t="s">
        <v>521</v>
      </c>
      <c r="L125" s="4">
        <v>33115292</v>
      </c>
      <c r="M125" s="4"/>
    </row>
    <row r="126" spans="1:13" ht="15" customHeight="1">
      <c r="A126" s="4" t="s">
        <v>522</v>
      </c>
      <c r="B126" s="4" t="s">
        <v>523</v>
      </c>
      <c r="C126" s="4" t="s">
        <v>524</v>
      </c>
      <c r="D126" s="18"/>
      <c r="E126" s="18">
        <v>0</v>
      </c>
      <c r="F126" s="18">
        <v>0</v>
      </c>
      <c r="G126" s="4" t="s">
        <v>525</v>
      </c>
      <c r="H126" s="4" t="s">
        <v>526</v>
      </c>
      <c r="I126" s="5">
        <v>46</v>
      </c>
      <c r="J126" s="4" t="s">
        <v>527</v>
      </c>
      <c r="K126" s="4" t="s">
        <v>528</v>
      </c>
      <c r="L126" s="4">
        <v>22119844</v>
      </c>
      <c r="M126" s="4"/>
    </row>
    <row r="127" spans="1:13" ht="15" customHeight="1">
      <c r="A127" s="4" t="s">
        <v>529</v>
      </c>
      <c r="B127" s="4" t="s">
        <v>530</v>
      </c>
      <c r="C127" s="4" t="s">
        <v>27</v>
      </c>
      <c r="D127" s="18"/>
      <c r="E127" s="18">
        <v>0</v>
      </c>
      <c r="F127" s="18">
        <v>0</v>
      </c>
      <c r="G127" s="4" t="s">
        <v>531</v>
      </c>
      <c r="H127" s="4" t="s">
        <v>532</v>
      </c>
      <c r="I127" s="5">
        <v>1245</v>
      </c>
      <c r="J127" s="4"/>
      <c r="K127" s="4" t="s">
        <v>533</v>
      </c>
      <c r="L127" s="4">
        <v>198103765</v>
      </c>
      <c r="M127" s="4" t="s">
        <v>534</v>
      </c>
    </row>
    <row r="128" spans="1:13" ht="15" customHeight="1">
      <c r="A128" s="4" t="s">
        <v>535</v>
      </c>
      <c r="B128" s="4" t="s">
        <v>536</v>
      </c>
      <c r="C128" s="4" t="s">
        <v>154</v>
      </c>
      <c r="D128" s="18"/>
      <c r="E128" s="18">
        <v>179425</v>
      </c>
      <c r="F128" s="18">
        <v>61254</v>
      </c>
      <c r="G128" s="4" t="s">
        <v>537</v>
      </c>
      <c r="H128" s="4"/>
      <c r="I128" s="5">
        <v>17510</v>
      </c>
      <c r="J128" s="4"/>
      <c r="K128" s="4" t="s">
        <v>538</v>
      </c>
      <c r="L128" s="4">
        <v>237302125</v>
      </c>
      <c r="M128" s="4" t="s">
        <v>202</v>
      </c>
    </row>
    <row r="129" spans="1:13" ht="15" customHeight="1">
      <c r="A129" s="4" t="s">
        <v>539</v>
      </c>
      <c r="B129" s="4" t="s">
        <v>540</v>
      </c>
      <c r="C129" s="4" t="s">
        <v>541</v>
      </c>
      <c r="D129" s="18"/>
      <c r="E129" s="18">
        <v>0</v>
      </c>
      <c r="F129" s="18">
        <v>0</v>
      </c>
      <c r="G129" s="4" t="s">
        <v>542</v>
      </c>
      <c r="H129" s="4" t="s">
        <v>543</v>
      </c>
      <c r="I129" s="5">
        <v>131</v>
      </c>
      <c r="J129" s="4"/>
      <c r="K129" s="4" t="s">
        <v>544</v>
      </c>
      <c r="L129" s="4">
        <v>70228527</v>
      </c>
      <c r="M129" s="4"/>
    </row>
    <row r="130" spans="1:13" ht="15" customHeight="1">
      <c r="A130" s="4" t="s">
        <v>545</v>
      </c>
      <c r="B130" s="4" t="s">
        <v>546</v>
      </c>
      <c r="C130" s="4" t="s">
        <v>427</v>
      </c>
      <c r="D130" s="18"/>
      <c r="E130" s="18">
        <v>0</v>
      </c>
      <c r="F130" s="18">
        <v>0</v>
      </c>
      <c r="G130" s="4" t="s">
        <v>547</v>
      </c>
      <c r="H130" s="4" t="s">
        <v>548</v>
      </c>
      <c r="I130" s="5">
        <v>139</v>
      </c>
      <c r="J130" s="4"/>
      <c r="K130" s="4" t="s">
        <v>546</v>
      </c>
      <c r="L130" s="4">
        <v>27303668</v>
      </c>
      <c r="M130" s="4"/>
    </row>
    <row r="131" spans="1:13" ht="15" customHeight="1">
      <c r="A131" s="4" t="s">
        <v>549</v>
      </c>
      <c r="B131" s="4" t="s">
        <v>550</v>
      </c>
      <c r="C131" s="4" t="s">
        <v>551</v>
      </c>
      <c r="D131" s="18"/>
      <c r="E131" s="18">
        <v>0</v>
      </c>
      <c r="F131" s="18">
        <v>0</v>
      </c>
      <c r="G131" s="4" t="s">
        <v>552</v>
      </c>
      <c r="H131" s="4" t="s">
        <v>553</v>
      </c>
      <c r="I131" s="5">
        <v>1651</v>
      </c>
      <c r="J131" s="4" t="s">
        <v>554</v>
      </c>
      <c r="K131" s="4" t="s">
        <v>555</v>
      </c>
      <c r="L131" s="4">
        <v>197851447</v>
      </c>
      <c r="M131" s="4"/>
    </row>
    <row r="132" spans="1:13" ht="15" customHeight="1">
      <c r="A132" s="4" t="s">
        <v>556</v>
      </c>
      <c r="B132" s="4" t="s">
        <v>557</v>
      </c>
      <c r="C132" s="4" t="s">
        <v>558</v>
      </c>
      <c r="D132" s="18"/>
      <c r="E132" s="18">
        <v>0</v>
      </c>
      <c r="F132" s="18">
        <v>0</v>
      </c>
      <c r="G132" s="4" t="s">
        <v>559</v>
      </c>
      <c r="H132" s="4" t="s">
        <v>560</v>
      </c>
      <c r="I132" s="5">
        <v>6</v>
      </c>
      <c r="J132" s="4"/>
      <c r="K132" s="4" t="s">
        <v>561</v>
      </c>
      <c r="L132" s="4">
        <v>6950668</v>
      </c>
      <c r="M132" s="4"/>
    </row>
    <row r="133" spans="1:13" ht="15" customHeight="1">
      <c r="A133" s="4" t="s">
        <v>562</v>
      </c>
      <c r="B133" s="4" t="s">
        <v>563</v>
      </c>
      <c r="C133" s="4" t="s">
        <v>558</v>
      </c>
      <c r="D133" s="18"/>
      <c r="E133" s="18">
        <v>0</v>
      </c>
      <c r="F133" s="18">
        <v>0</v>
      </c>
      <c r="G133" s="4" t="s">
        <v>564</v>
      </c>
      <c r="H133" s="4" t="s">
        <v>565</v>
      </c>
      <c r="I133" s="5">
        <v>3</v>
      </c>
      <c r="J133" s="4"/>
      <c r="K133" s="4" t="s">
        <v>566</v>
      </c>
      <c r="L133" s="4">
        <v>4837871</v>
      </c>
      <c r="M133" s="4"/>
    </row>
    <row r="134" spans="1:13" ht="15" customHeight="1">
      <c r="A134" s="4" t="s">
        <v>567</v>
      </c>
      <c r="B134" s="4" t="s">
        <v>568</v>
      </c>
      <c r="C134" s="4" t="s">
        <v>569</v>
      </c>
      <c r="D134" s="18"/>
      <c r="E134" s="18">
        <v>0</v>
      </c>
      <c r="F134" s="18">
        <v>0</v>
      </c>
      <c r="G134" s="4" t="s">
        <v>570</v>
      </c>
      <c r="H134" s="4"/>
      <c r="I134" s="5">
        <v>1</v>
      </c>
      <c r="J134" s="4"/>
      <c r="K134" s="4" t="s">
        <v>571</v>
      </c>
      <c r="L134" s="4">
        <v>3736054</v>
      </c>
      <c r="M134" s="4"/>
    </row>
    <row r="135" spans="1:13" ht="15" customHeight="1">
      <c r="A135" s="4" t="s">
        <v>572</v>
      </c>
      <c r="B135" s="4" t="s">
        <v>573</v>
      </c>
      <c r="C135" s="4" t="s">
        <v>574</v>
      </c>
      <c r="D135" s="18"/>
      <c r="E135" s="18">
        <v>0</v>
      </c>
      <c r="F135" s="18">
        <v>0</v>
      </c>
      <c r="G135" s="4" t="s">
        <v>575</v>
      </c>
      <c r="H135" s="4" t="s">
        <v>576</v>
      </c>
      <c r="I135" s="5">
        <v>662</v>
      </c>
      <c r="J135" s="4"/>
      <c r="K135" s="4" t="s">
        <v>577</v>
      </c>
      <c r="L135" s="4">
        <v>297394501</v>
      </c>
      <c r="M135" s="4"/>
    </row>
    <row r="136" spans="1:13" ht="15" customHeight="1">
      <c r="A136" s="4" t="s">
        <v>578</v>
      </c>
      <c r="B136" s="4" t="s">
        <v>579</v>
      </c>
      <c r="C136" s="4" t="s">
        <v>580</v>
      </c>
      <c r="D136" s="18"/>
      <c r="E136" s="18">
        <v>0</v>
      </c>
      <c r="F136" s="18">
        <v>0</v>
      </c>
      <c r="G136" s="4" t="s">
        <v>581</v>
      </c>
      <c r="H136" s="4" t="s">
        <v>582</v>
      </c>
      <c r="I136" s="5">
        <v>3207</v>
      </c>
      <c r="J136" s="4" t="s">
        <v>583</v>
      </c>
      <c r="K136" s="4" t="s">
        <v>584</v>
      </c>
      <c r="L136" s="4">
        <v>276993628</v>
      </c>
      <c r="M136" s="4"/>
    </row>
    <row r="137" spans="1:13" ht="15" customHeight="1">
      <c r="A137" s="4" t="s">
        <v>585</v>
      </c>
      <c r="B137" s="4" t="s">
        <v>586</v>
      </c>
      <c r="C137" s="4" t="s">
        <v>587</v>
      </c>
      <c r="D137" s="18"/>
      <c r="E137" s="18">
        <v>0</v>
      </c>
      <c r="F137" s="18">
        <v>0</v>
      </c>
      <c r="G137" s="4" t="s">
        <v>588</v>
      </c>
      <c r="H137" s="4" t="s">
        <v>589</v>
      </c>
      <c r="I137" s="5">
        <v>64</v>
      </c>
      <c r="J137" s="4"/>
      <c r="K137" s="4"/>
      <c r="L137" s="4">
        <v>16563722</v>
      </c>
      <c r="M137" s="4"/>
    </row>
    <row r="138" spans="1:13" ht="15" customHeight="1">
      <c r="A138" s="4" t="s">
        <v>590</v>
      </c>
      <c r="B138" s="4" t="s">
        <v>591</v>
      </c>
      <c r="C138" s="4" t="s">
        <v>592</v>
      </c>
      <c r="D138" s="18"/>
      <c r="E138" s="18">
        <v>0</v>
      </c>
      <c r="F138" s="18">
        <v>0</v>
      </c>
      <c r="G138" s="4" t="s">
        <v>593</v>
      </c>
      <c r="H138" s="4" t="s">
        <v>594</v>
      </c>
      <c r="I138" s="5">
        <v>142</v>
      </c>
      <c r="J138" s="4"/>
      <c r="K138" s="4" t="s">
        <v>595</v>
      </c>
      <c r="L138" s="4">
        <v>66377472</v>
      </c>
      <c r="M138" s="4"/>
    </row>
    <row r="139" spans="1:13" ht="15" customHeight="1">
      <c r="A139" s="4" t="s">
        <v>596</v>
      </c>
      <c r="B139" s="4" t="s">
        <v>597</v>
      </c>
      <c r="C139" s="4" t="s">
        <v>592</v>
      </c>
      <c r="D139" s="18"/>
      <c r="E139" s="18">
        <v>0</v>
      </c>
      <c r="F139" s="18">
        <v>0</v>
      </c>
      <c r="G139" s="4" t="s">
        <v>598</v>
      </c>
      <c r="H139" s="4" t="s">
        <v>599</v>
      </c>
      <c r="I139" s="5">
        <v>6</v>
      </c>
      <c r="J139" s="4" t="s">
        <v>600</v>
      </c>
      <c r="K139" s="4" t="s">
        <v>597</v>
      </c>
      <c r="L139" s="4">
        <v>7862640</v>
      </c>
      <c r="M139" s="4"/>
    </row>
    <row r="140" spans="1:13" ht="15" customHeight="1">
      <c r="A140" s="4" t="s">
        <v>601</v>
      </c>
      <c r="B140" s="4" t="s">
        <v>602</v>
      </c>
      <c r="C140" s="4" t="s">
        <v>592</v>
      </c>
      <c r="D140" s="18"/>
      <c r="E140" s="18">
        <v>0</v>
      </c>
      <c r="F140" s="18">
        <v>0</v>
      </c>
      <c r="G140" s="4" t="s">
        <v>603</v>
      </c>
      <c r="H140" s="4" t="s">
        <v>604</v>
      </c>
      <c r="I140" s="5">
        <v>0</v>
      </c>
      <c r="J140" s="4"/>
      <c r="K140" s="4" t="s">
        <v>605</v>
      </c>
      <c r="L140" s="4">
        <v>1605044</v>
      </c>
      <c r="M140" s="4"/>
    </row>
    <row r="141" spans="1:13" ht="15" customHeight="1">
      <c r="A141" s="4" t="s">
        <v>606</v>
      </c>
      <c r="B141" s="4" t="s">
        <v>607</v>
      </c>
      <c r="C141" s="4" t="s">
        <v>592</v>
      </c>
      <c r="D141" s="18"/>
      <c r="E141" s="18">
        <v>0</v>
      </c>
      <c r="F141" s="18">
        <v>0</v>
      </c>
      <c r="G141" s="4" t="s">
        <v>608</v>
      </c>
      <c r="H141" s="4" t="s">
        <v>609</v>
      </c>
      <c r="I141" s="5">
        <v>1051</v>
      </c>
      <c r="J141" s="4" t="s">
        <v>610</v>
      </c>
      <c r="K141" s="4" t="s">
        <v>611</v>
      </c>
      <c r="L141" s="4">
        <v>114809007</v>
      </c>
      <c r="M141" s="4"/>
    </row>
    <row r="142" spans="1:13" ht="15" customHeight="1">
      <c r="A142" s="4" t="s">
        <v>612</v>
      </c>
      <c r="B142" s="4" t="s">
        <v>613</v>
      </c>
      <c r="C142" s="4" t="s">
        <v>614</v>
      </c>
      <c r="D142" s="18"/>
      <c r="E142" s="18">
        <v>0</v>
      </c>
      <c r="F142" s="18">
        <v>0</v>
      </c>
      <c r="G142" s="4" t="s">
        <v>615</v>
      </c>
      <c r="H142" s="4" t="s">
        <v>616</v>
      </c>
      <c r="I142" s="5">
        <v>3780</v>
      </c>
      <c r="J142" s="4" t="s">
        <v>617</v>
      </c>
      <c r="K142" s="4" t="s">
        <v>618</v>
      </c>
      <c r="L142" s="4">
        <v>702290705</v>
      </c>
      <c r="M142" s="4"/>
    </row>
    <row r="143" spans="1:13" ht="15" customHeight="1">
      <c r="A143" s="4" t="s">
        <v>619</v>
      </c>
      <c r="B143" s="4" t="s">
        <v>620</v>
      </c>
      <c r="C143" s="4" t="s">
        <v>621</v>
      </c>
      <c r="D143" s="18"/>
      <c r="E143" s="18">
        <v>0</v>
      </c>
      <c r="F143" s="18">
        <v>0</v>
      </c>
      <c r="G143" s="4" t="s">
        <v>622</v>
      </c>
      <c r="H143" s="4" t="s">
        <v>623</v>
      </c>
      <c r="I143" s="5">
        <v>1717</v>
      </c>
      <c r="J143" s="4"/>
      <c r="K143" s="4" t="s">
        <v>620</v>
      </c>
      <c r="L143" s="4">
        <v>176570518</v>
      </c>
      <c r="M143" s="4"/>
    </row>
    <row r="144" spans="1:13" ht="15" customHeight="1">
      <c r="A144" s="4" t="s">
        <v>624</v>
      </c>
      <c r="B144" s="4" t="s">
        <v>625</v>
      </c>
      <c r="C144" s="4" t="s">
        <v>626</v>
      </c>
      <c r="D144" s="18"/>
      <c r="E144" s="18">
        <v>0</v>
      </c>
      <c r="F144" s="18">
        <v>0</v>
      </c>
      <c r="G144" s="4" t="s">
        <v>627</v>
      </c>
      <c r="H144" s="4" t="s">
        <v>628</v>
      </c>
      <c r="I144" s="5">
        <v>24523</v>
      </c>
      <c r="J144" s="4" t="s">
        <v>629</v>
      </c>
      <c r="K144" s="4" t="s">
        <v>630</v>
      </c>
      <c r="L144" s="4">
        <v>7050600351</v>
      </c>
      <c r="M144" s="4" t="s">
        <v>631</v>
      </c>
    </row>
    <row r="145" spans="1:13" ht="15" customHeight="1">
      <c r="A145" s="4" t="s">
        <v>632</v>
      </c>
      <c r="B145" s="4" t="s">
        <v>633</v>
      </c>
      <c r="C145" s="4" t="s">
        <v>154</v>
      </c>
      <c r="D145" s="18"/>
      <c r="E145" s="18">
        <v>2979</v>
      </c>
      <c r="F145" s="18">
        <v>36</v>
      </c>
      <c r="G145" s="4" t="s">
        <v>634</v>
      </c>
      <c r="H145" s="4" t="s">
        <v>635</v>
      </c>
      <c r="I145" s="5">
        <v>976</v>
      </c>
      <c r="J145" s="4" t="s">
        <v>633</v>
      </c>
      <c r="K145" s="4" t="s">
        <v>636</v>
      </c>
      <c r="L145" s="4">
        <v>335567107</v>
      </c>
      <c r="M145" s="4" t="s">
        <v>34</v>
      </c>
    </row>
    <row r="146" spans="1:13" ht="15" customHeight="1">
      <c r="A146" s="4" t="s">
        <v>637</v>
      </c>
      <c r="B146" s="4" t="s">
        <v>638</v>
      </c>
      <c r="C146" s="4" t="s">
        <v>154</v>
      </c>
      <c r="D146" s="18"/>
      <c r="E146" s="18">
        <v>0</v>
      </c>
      <c r="F146" s="18">
        <v>0</v>
      </c>
      <c r="G146" s="4" t="s">
        <v>639</v>
      </c>
      <c r="H146" s="4"/>
      <c r="I146" s="5">
        <v>4120</v>
      </c>
      <c r="J146" s="4"/>
      <c r="K146" s="4" t="s">
        <v>640</v>
      </c>
      <c r="L146" s="4">
        <v>593603418</v>
      </c>
      <c r="M146" s="4"/>
    </row>
    <row r="147" spans="1:13" ht="15" customHeight="1">
      <c r="A147" s="4" t="s">
        <v>641</v>
      </c>
      <c r="B147" s="4" t="s">
        <v>642</v>
      </c>
      <c r="C147" s="4" t="s">
        <v>643</v>
      </c>
      <c r="D147" s="18"/>
      <c r="E147" s="18">
        <v>0</v>
      </c>
      <c r="F147" s="18">
        <v>0</v>
      </c>
      <c r="G147" s="4" t="s">
        <v>644</v>
      </c>
      <c r="H147" s="4" t="s">
        <v>645</v>
      </c>
      <c r="I147" s="5">
        <v>44</v>
      </c>
      <c r="J147" s="4" t="s">
        <v>646</v>
      </c>
      <c r="K147" s="4" t="s">
        <v>647</v>
      </c>
      <c r="L147" s="4">
        <v>28182657</v>
      </c>
      <c r="M147" s="4"/>
    </row>
    <row r="148" spans="1:13" ht="15" customHeight="1">
      <c r="A148" s="4" t="s">
        <v>648</v>
      </c>
      <c r="B148" s="4" t="s">
        <v>649</v>
      </c>
      <c r="C148" s="4" t="s">
        <v>650</v>
      </c>
      <c r="D148" s="18"/>
      <c r="E148" s="18">
        <v>0</v>
      </c>
      <c r="F148" s="18">
        <v>0</v>
      </c>
      <c r="G148" s="4" t="s">
        <v>651</v>
      </c>
      <c r="H148" s="4" t="s">
        <v>652</v>
      </c>
      <c r="I148" s="5">
        <v>410</v>
      </c>
      <c r="J148" s="4" t="s">
        <v>653</v>
      </c>
      <c r="K148" s="4" t="s">
        <v>650</v>
      </c>
      <c r="L148" s="4">
        <v>92493052</v>
      </c>
      <c r="M148" s="4"/>
    </row>
    <row r="149" spans="1:13" ht="15" customHeight="1">
      <c r="A149" s="4" t="s">
        <v>654</v>
      </c>
      <c r="B149" s="4" t="s">
        <v>655</v>
      </c>
      <c r="C149" s="4" t="s">
        <v>466</v>
      </c>
      <c r="D149" s="18"/>
      <c r="E149" s="18">
        <v>17966</v>
      </c>
      <c r="F149" s="18">
        <v>8458</v>
      </c>
      <c r="G149" s="4" t="s">
        <v>656</v>
      </c>
      <c r="H149" s="4" t="s">
        <v>657</v>
      </c>
      <c r="I149" s="5">
        <v>1296</v>
      </c>
      <c r="J149" s="4"/>
      <c r="K149" s="4" t="s">
        <v>655</v>
      </c>
      <c r="L149" s="4">
        <v>218547878</v>
      </c>
      <c r="M149" s="4" t="s">
        <v>534</v>
      </c>
    </row>
    <row r="150" spans="1:13" ht="15" customHeight="1">
      <c r="A150" s="4" t="s">
        <v>658</v>
      </c>
      <c r="B150" s="4" t="s">
        <v>659</v>
      </c>
      <c r="C150" s="4" t="s">
        <v>660</v>
      </c>
      <c r="D150" s="18"/>
      <c r="E150" s="18">
        <v>0</v>
      </c>
      <c r="F150" s="18">
        <v>0</v>
      </c>
      <c r="G150" s="4" t="s">
        <v>661</v>
      </c>
      <c r="H150" s="4" t="s">
        <v>662</v>
      </c>
      <c r="I150" s="5">
        <v>737</v>
      </c>
      <c r="J150" s="4"/>
      <c r="K150" s="4" t="s">
        <v>663</v>
      </c>
      <c r="L150" s="4">
        <v>223366660</v>
      </c>
      <c r="M150" s="4"/>
    </row>
    <row r="151" spans="1:13" ht="15" customHeight="1">
      <c r="A151" s="4" t="s">
        <v>664</v>
      </c>
      <c r="B151" s="4" t="s">
        <v>665</v>
      </c>
      <c r="C151" s="4" t="s">
        <v>666</v>
      </c>
      <c r="D151" s="18"/>
      <c r="E151" s="18">
        <v>0</v>
      </c>
      <c r="F151" s="18">
        <v>0</v>
      </c>
      <c r="G151" s="4" t="s">
        <v>667</v>
      </c>
      <c r="H151" s="4"/>
      <c r="I151" s="5">
        <v>20</v>
      </c>
      <c r="J151" s="4"/>
      <c r="K151" s="4" t="s">
        <v>666</v>
      </c>
      <c r="L151" s="4">
        <v>1073991</v>
      </c>
      <c r="M151" s="4"/>
    </row>
    <row r="152" spans="1:13" ht="15" customHeight="1">
      <c r="A152" s="4" t="s">
        <v>668</v>
      </c>
      <c r="B152" s="4" t="s">
        <v>669</v>
      </c>
      <c r="C152" s="4" t="s">
        <v>670</v>
      </c>
      <c r="D152" s="18"/>
      <c r="E152" s="18">
        <v>0</v>
      </c>
      <c r="F152" s="18">
        <v>0</v>
      </c>
      <c r="G152" s="4" t="s">
        <v>671</v>
      </c>
      <c r="H152" s="4"/>
      <c r="I152" s="5">
        <v>4</v>
      </c>
      <c r="J152" s="4"/>
      <c r="K152" s="4" t="s">
        <v>672</v>
      </c>
      <c r="L152" s="4">
        <v>789902</v>
      </c>
      <c r="M152" s="4"/>
    </row>
    <row r="153" spans="1:13" ht="15" customHeight="1">
      <c r="A153" s="4" t="s">
        <v>673</v>
      </c>
      <c r="B153" s="4" t="s">
        <v>674</v>
      </c>
      <c r="C153" s="4" t="s">
        <v>675</v>
      </c>
      <c r="D153" s="18"/>
      <c r="E153" s="18">
        <v>54575</v>
      </c>
      <c r="F153" s="18">
        <v>8902</v>
      </c>
      <c r="G153" s="4" t="s">
        <v>676</v>
      </c>
      <c r="H153" s="4"/>
      <c r="I153" s="5">
        <v>22</v>
      </c>
      <c r="J153" s="4"/>
      <c r="K153" s="4" t="s">
        <v>674</v>
      </c>
      <c r="L153" s="4">
        <v>2354363</v>
      </c>
      <c r="M153" s="4"/>
    </row>
    <row r="154" spans="1:13" ht="15" customHeight="1">
      <c r="A154" s="4" t="s">
        <v>677</v>
      </c>
      <c r="B154" s="4" t="s">
        <v>678</v>
      </c>
      <c r="C154" s="4" t="s">
        <v>679</v>
      </c>
      <c r="D154" s="18"/>
      <c r="E154" s="18">
        <v>1032</v>
      </c>
      <c r="F154" s="18">
        <v>165</v>
      </c>
      <c r="G154" s="4" t="s">
        <v>680</v>
      </c>
      <c r="H154" s="4" t="s">
        <v>681</v>
      </c>
      <c r="I154" s="5">
        <v>138</v>
      </c>
      <c r="J154" s="4"/>
      <c r="K154" s="4" t="s">
        <v>678</v>
      </c>
      <c r="L154" s="4">
        <v>64920351</v>
      </c>
      <c r="M154" s="4"/>
    </row>
    <row r="155" spans="1:13" ht="15" customHeight="1">
      <c r="A155" s="4" t="s">
        <v>682</v>
      </c>
      <c r="B155" s="4" t="s">
        <v>683</v>
      </c>
      <c r="C155" s="4" t="s">
        <v>679</v>
      </c>
      <c r="D155" s="18"/>
      <c r="E155" s="18">
        <v>0</v>
      </c>
      <c r="F155" s="18">
        <v>0</v>
      </c>
      <c r="G155" s="4" t="s">
        <v>684</v>
      </c>
      <c r="H155" s="4" t="s">
        <v>685</v>
      </c>
      <c r="I155" s="5">
        <v>17</v>
      </c>
      <c r="J155" s="4"/>
      <c r="K155" s="4" t="s">
        <v>686</v>
      </c>
      <c r="L155" s="4">
        <v>30870161</v>
      </c>
      <c r="M155" s="4"/>
    </row>
    <row r="156" spans="1:13" ht="15" customHeight="1">
      <c r="A156" s="4" t="s">
        <v>687</v>
      </c>
      <c r="B156" s="4" t="s">
        <v>688</v>
      </c>
      <c r="C156" s="4" t="s">
        <v>679</v>
      </c>
      <c r="D156" s="18"/>
      <c r="E156" s="18">
        <v>314</v>
      </c>
      <c r="F156" s="18">
        <v>49</v>
      </c>
      <c r="G156" s="4" t="s">
        <v>689</v>
      </c>
      <c r="H156" s="4" t="s">
        <v>690</v>
      </c>
      <c r="I156" s="5">
        <v>765</v>
      </c>
      <c r="J156" s="4"/>
      <c r="K156" s="4" t="s">
        <v>691</v>
      </c>
      <c r="L156" s="4">
        <v>287090873</v>
      </c>
      <c r="M156" s="4"/>
    </row>
    <row r="157" spans="1:13" ht="15" customHeight="1">
      <c r="A157" s="4" t="s">
        <v>692</v>
      </c>
      <c r="B157" s="4" t="s">
        <v>693</v>
      </c>
      <c r="C157" s="4" t="s">
        <v>154</v>
      </c>
      <c r="D157" s="18"/>
      <c r="E157" s="18">
        <v>0</v>
      </c>
      <c r="F157" s="18">
        <v>0</v>
      </c>
      <c r="G157" s="4" t="s">
        <v>694</v>
      </c>
      <c r="H157" s="4"/>
      <c r="I157" s="5">
        <v>265</v>
      </c>
      <c r="J157" s="4"/>
      <c r="K157" s="4" t="s">
        <v>321</v>
      </c>
      <c r="L157" s="4">
        <v>186750231</v>
      </c>
      <c r="M157" s="4"/>
    </row>
    <row r="158" spans="1:13" ht="15" customHeight="1">
      <c r="A158" s="4" t="s">
        <v>695</v>
      </c>
      <c r="B158" s="4" t="s">
        <v>696</v>
      </c>
      <c r="C158" s="4" t="s">
        <v>21</v>
      </c>
      <c r="D158" s="18"/>
      <c r="E158" s="18">
        <v>0</v>
      </c>
      <c r="F158" s="18">
        <v>0</v>
      </c>
      <c r="G158" s="4" t="s">
        <v>697</v>
      </c>
      <c r="H158" s="4"/>
      <c r="I158" s="5">
        <v>13</v>
      </c>
      <c r="J158" s="4"/>
      <c r="K158" s="4" t="s">
        <v>696</v>
      </c>
      <c r="L158" s="4">
        <v>3245965</v>
      </c>
      <c r="M158" s="4"/>
    </row>
    <row r="159" spans="1:13" ht="15" customHeight="1">
      <c r="A159" s="4" t="s">
        <v>698</v>
      </c>
      <c r="B159" s="4" t="s">
        <v>699</v>
      </c>
      <c r="C159" s="4" t="s">
        <v>700</v>
      </c>
      <c r="D159" s="18"/>
      <c r="E159" s="18">
        <v>100657</v>
      </c>
      <c r="F159" s="18">
        <v>21121</v>
      </c>
      <c r="G159" s="4" t="s">
        <v>701</v>
      </c>
      <c r="H159" s="4" t="s">
        <v>702</v>
      </c>
      <c r="I159" s="5">
        <v>18948</v>
      </c>
      <c r="J159" s="4"/>
      <c r="K159" s="4" t="s">
        <v>703</v>
      </c>
      <c r="L159" s="4">
        <v>1973644689</v>
      </c>
      <c r="M159" s="4" t="s">
        <v>704</v>
      </c>
    </row>
    <row r="160" spans="1:13" ht="15" customHeight="1">
      <c r="A160" s="4" t="s">
        <v>705</v>
      </c>
      <c r="B160" s="4" t="s">
        <v>706</v>
      </c>
      <c r="C160" s="4" t="s">
        <v>707</v>
      </c>
      <c r="D160" s="18"/>
      <c r="E160" s="18">
        <v>0</v>
      </c>
      <c r="F160" s="18">
        <v>0</v>
      </c>
      <c r="G160" s="4" t="s">
        <v>708</v>
      </c>
      <c r="H160" s="4"/>
      <c r="I160" s="5">
        <v>1656</v>
      </c>
      <c r="J160" s="4"/>
      <c r="K160" s="4" t="s">
        <v>709</v>
      </c>
      <c r="L160" s="4">
        <v>409143030</v>
      </c>
      <c r="M160" s="4"/>
    </row>
    <row r="161" spans="1:13" ht="15" customHeight="1">
      <c r="A161" s="4" t="s">
        <v>710</v>
      </c>
      <c r="B161" s="4" t="s">
        <v>711</v>
      </c>
      <c r="C161" s="4" t="s">
        <v>509</v>
      </c>
      <c r="D161" s="18"/>
      <c r="E161" s="18">
        <v>0</v>
      </c>
      <c r="F161" s="18">
        <v>0</v>
      </c>
      <c r="G161" s="4" t="s">
        <v>712</v>
      </c>
      <c r="H161" s="4" t="s">
        <v>713</v>
      </c>
      <c r="I161" s="5">
        <v>0</v>
      </c>
      <c r="J161" s="4"/>
      <c r="K161" s="4" t="s">
        <v>714</v>
      </c>
      <c r="L161" s="4">
        <v>190631</v>
      </c>
      <c r="M161" s="4"/>
    </row>
    <row r="162" spans="1:13" ht="15" customHeight="1">
      <c r="A162" s="4" t="s">
        <v>715</v>
      </c>
      <c r="B162" s="4" t="s">
        <v>716</v>
      </c>
      <c r="C162" s="4" t="s">
        <v>509</v>
      </c>
      <c r="D162" s="18"/>
      <c r="E162" s="18">
        <v>0</v>
      </c>
      <c r="F162" s="18">
        <v>0</v>
      </c>
      <c r="G162" s="4" t="s">
        <v>717</v>
      </c>
      <c r="H162" s="4" t="s">
        <v>718</v>
      </c>
      <c r="I162" s="5">
        <v>2669</v>
      </c>
      <c r="J162" s="4"/>
      <c r="K162" s="4" t="s">
        <v>716</v>
      </c>
      <c r="L162" s="4">
        <v>157739697</v>
      </c>
      <c r="M162" s="4"/>
    </row>
    <row r="163" spans="1:13" ht="15" customHeight="1">
      <c r="A163" s="4" t="s">
        <v>719</v>
      </c>
      <c r="B163" s="4" t="s">
        <v>720</v>
      </c>
      <c r="C163" s="4" t="s">
        <v>721</v>
      </c>
      <c r="D163" s="18"/>
      <c r="E163" s="18">
        <v>3387</v>
      </c>
      <c r="F163" s="18">
        <v>845</v>
      </c>
      <c r="G163" s="4" t="s">
        <v>722</v>
      </c>
      <c r="H163" s="4" t="s">
        <v>723</v>
      </c>
      <c r="I163" s="5">
        <v>60</v>
      </c>
      <c r="J163" s="4"/>
      <c r="K163" s="4" t="s">
        <v>724</v>
      </c>
      <c r="L163" s="4">
        <v>41008288</v>
      </c>
      <c r="M163" s="4"/>
    </row>
    <row r="164" spans="1:13" ht="15" customHeight="1">
      <c r="A164" s="4" t="s">
        <v>725</v>
      </c>
      <c r="B164" s="4" t="s">
        <v>726</v>
      </c>
      <c r="C164" s="4" t="s">
        <v>727</v>
      </c>
      <c r="D164" s="18"/>
      <c r="E164" s="18">
        <v>0</v>
      </c>
      <c r="F164" s="18">
        <v>0</v>
      </c>
      <c r="G164" s="4" t="s">
        <v>728</v>
      </c>
      <c r="H164" s="4" t="s">
        <v>729</v>
      </c>
      <c r="I164" s="5">
        <v>39</v>
      </c>
      <c r="J164" s="4"/>
      <c r="K164" s="4" t="s">
        <v>730</v>
      </c>
      <c r="L164" s="4">
        <v>14230993</v>
      </c>
      <c r="M164" s="4"/>
    </row>
    <row r="165" spans="1:13" ht="15" customHeight="1">
      <c r="A165" s="4" t="s">
        <v>731</v>
      </c>
      <c r="B165" s="4" t="s">
        <v>732</v>
      </c>
      <c r="C165" s="4" t="s">
        <v>154</v>
      </c>
      <c r="D165" s="18"/>
      <c r="E165" s="18">
        <v>0</v>
      </c>
      <c r="F165" s="18">
        <v>0</v>
      </c>
      <c r="G165" s="4" t="s">
        <v>733</v>
      </c>
      <c r="H165" s="4"/>
      <c r="I165" s="5">
        <v>2471</v>
      </c>
      <c r="J165" s="4"/>
      <c r="K165" s="4" t="s">
        <v>640</v>
      </c>
      <c r="L165" s="4">
        <v>492310935</v>
      </c>
      <c r="M165" s="4" t="s">
        <v>734</v>
      </c>
    </row>
    <row r="166" spans="1:13" ht="15" customHeight="1">
      <c r="A166" s="4" t="s">
        <v>735</v>
      </c>
      <c r="B166" s="4" t="s">
        <v>736</v>
      </c>
      <c r="C166" s="4" t="s">
        <v>737</v>
      </c>
      <c r="D166" s="18"/>
      <c r="E166" s="18">
        <v>0</v>
      </c>
      <c r="F166" s="18">
        <v>0</v>
      </c>
      <c r="G166" s="4" t="s">
        <v>738</v>
      </c>
      <c r="H166" s="4"/>
      <c r="I166" s="5">
        <v>2</v>
      </c>
      <c r="J166" s="4"/>
      <c r="K166" s="4" t="s">
        <v>739</v>
      </c>
      <c r="L166" s="4">
        <v>4126537</v>
      </c>
      <c r="M166" s="4"/>
    </row>
    <row r="167" spans="1:13" ht="15" customHeight="1">
      <c r="A167" s="4" t="s">
        <v>740</v>
      </c>
      <c r="B167" s="4" t="s">
        <v>741</v>
      </c>
      <c r="C167" s="4" t="s">
        <v>742</v>
      </c>
      <c r="D167" s="18"/>
      <c r="E167" s="18">
        <v>0</v>
      </c>
      <c r="F167" s="18">
        <v>0</v>
      </c>
      <c r="G167" s="4" t="s">
        <v>743</v>
      </c>
      <c r="H167" s="4" t="s">
        <v>744</v>
      </c>
      <c r="I167" s="5">
        <v>1290</v>
      </c>
      <c r="J167" s="4" t="s">
        <v>745</v>
      </c>
      <c r="K167" s="4" t="s">
        <v>746</v>
      </c>
      <c r="L167" s="4">
        <v>486888927</v>
      </c>
      <c r="M167" s="4" t="s">
        <v>747</v>
      </c>
    </row>
    <row r="168" spans="1:13" ht="15" customHeight="1">
      <c r="A168" s="4" t="s">
        <v>748</v>
      </c>
      <c r="B168" s="4" t="s">
        <v>749</v>
      </c>
      <c r="C168" s="4" t="s">
        <v>131</v>
      </c>
      <c r="D168" s="18"/>
      <c r="E168" s="18">
        <v>0</v>
      </c>
      <c r="F168" s="18">
        <v>0</v>
      </c>
      <c r="G168" s="4" t="s">
        <v>750</v>
      </c>
      <c r="H168" s="4" t="s">
        <v>751</v>
      </c>
      <c r="I168" s="5">
        <v>6140</v>
      </c>
      <c r="J168" s="4"/>
      <c r="K168" s="4" t="s">
        <v>752</v>
      </c>
      <c r="L168" s="4">
        <v>400198699</v>
      </c>
      <c r="M168" s="4" t="s">
        <v>235</v>
      </c>
    </row>
    <row r="169" spans="1:13" ht="15" customHeight="1">
      <c r="A169" s="4" t="s">
        <v>753</v>
      </c>
      <c r="B169" s="4" t="s">
        <v>754</v>
      </c>
      <c r="C169" s="4" t="s">
        <v>755</v>
      </c>
      <c r="D169" s="18"/>
      <c r="E169" s="18">
        <v>0</v>
      </c>
      <c r="F169" s="18">
        <v>0</v>
      </c>
      <c r="G169" s="4" t="s">
        <v>756</v>
      </c>
      <c r="H169" s="4" t="s">
        <v>757</v>
      </c>
      <c r="I169" s="5">
        <v>18</v>
      </c>
      <c r="J169" s="4"/>
      <c r="K169" s="4" t="s">
        <v>758</v>
      </c>
      <c r="L169" s="4">
        <v>11454087</v>
      </c>
      <c r="M169" s="4"/>
    </row>
    <row r="170" spans="1:13" ht="15" customHeight="1">
      <c r="A170" s="4" t="s">
        <v>759</v>
      </c>
      <c r="B170" s="4" t="s">
        <v>760</v>
      </c>
      <c r="C170" s="4" t="s">
        <v>154</v>
      </c>
      <c r="D170" s="18"/>
      <c r="E170" s="18">
        <v>0</v>
      </c>
      <c r="F170" s="18">
        <v>0</v>
      </c>
      <c r="G170" s="4" t="s">
        <v>761</v>
      </c>
      <c r="H170" s="4"/>
      <c r="I170" s="5">
        <v>724</v>
      </c>
      <c r="J170" s="4"/>
      <c r="K170" s="4" t="s">
        <v>292</v>
      </c>
      <c r="L170" s="4">
        <v>252697838</v>
      </c>
      <c r="M170" s="4"/>
    </row>
    <row r="171" spans="1:13" ht="15" customHeight="1">
      <c r="A171" s="4" t="s">
        <v>762</v>
      </c>
      <c r="B171" s="4" t="s">
        <v>763</v>
      </c>
      <c r="C171" s="4" t="s">
        <v>21</v>
      </c>
      <c r="D171" s="18"/>
      <c r="E171" s="18">
        <v>0</v>
      </c>
      <c r="F171" s="18">
        <v>0</v>
      </c>
      <c r="G171" s="4" t="s">
        <v>764</v>
      </c>
      <c r="H171" s="4" t="s">
        <v>765</v>
      </c>
      <c r="I171" s="5">
        <v>90</v>
      </c>
      <c r="J171" s="4"/>
      <c r="K171" s="4" t="s">
        <v>763</v>
      </c>
      <c r="L171" s="4">
        <v>9314230</v>
      </c>
      <c r="M171" s="4"/>
    </row>
    <row r="172" spans="1:13" ht="15" customHeight="1">
      <c r="A172" s="4" t="s">
        <v>766</v>
      </c>
      <c r="B172" s="4" t="s">
        <v>767</v>
      </c>
      <c r="C172" s="4" t="s">
        <v>660</v>
      </c>
      <c r="D172" s="18"/>
      <c r="E172" s="18">
        <v>0</v>
      </c>
      <c r="F172" s="18">
        <v>0</v>
      </c>
      <c r="G172" s="4" t="s">
        <v>768</v>
      </c>
      <c r="H172" s="4" t="s">
        <v>769</v>
      </c>
      <c r="I172" s="5">
        <v>421</v>
      </c>
      <c r="J172" s="4"/>
      <c r="K172" s="4" t="s">
        <v>770</v>
      </c>
      <c r="L172" s="4">
        <v>159595948</v>
      </c>
      <c r="M172" s="4"/>
    </row>
    <row r="173" spans="1:13" ht="15" customHeight="1">
      <c r="A173" s="4" t="s">
        <v>771</v>
      </c>
      <c r="B173" s="4" t="s">
        <v>772</v>
      </c>
      <c r="C173" s="4" t="s">
        <v>119</v>
      </c>
      <c r="D173" s="18"/>
      <c r="E173" s="18">
        <v>371028</v>
      </c>
      <c r="F173" s="18">
        <v>46827</v>
      </c>
      <c r="G173" s="4" t="s">
        <v>773</v>
      </c>
      <c r="H173" s="4"/>
      <c r="I173" s="5">
        <v>6426</v>
      </c>
      <c r="J173" s="4"/>
      <c r="K173" s="4" t="s">
        <v>772</v>
      </c>
      <c r="L173" s="4">
        <v>127070294</v>
      </c>
      <c r="M173" s="4" t="s">
        <v>704</v>
      </c>
    </row>
    <row r="174" spans="1:13" ht="15" customHeight="1">
      <c r="A174" s="4" t="s">
        <v>774</v>
      </c>
      <c r="B174" s="4" t="s">
        <v>775</v>
      </c>
      <c r="C174" s="4" t="s">
        <v>776</v>
      </c>
      <c r="D174" s="18"/>
      <c r="E174" s="18">
        <v>0</v>
      </c>
      <c r="F174" s="18">
        <v>0</v>
      </c>
      <c r="G174" s="4" t="s">
        <v>777</v>
      </c>
      <c r="H174" s="4" t="s">
        <v>778</v>
      </c>
      <c r="I174" s="5">
        <v>227</v>
      </c>
      <c r="J174" s="4" t="s">
        <v>779</v>
      </c>
      <c r="K174" s="4" t="s">
        <v>775</v>
      </c>
      <c r="L174" s="4">
        <v>55474043</v>
      </c>
      <c r="M174" s="4"/>
    </row>
    <row r="175" spans="1:13" ht="15" customHeight="1">
      <c r="A175" s="4" t="s">
        <v>780</v>
      </c>
      <c r="B175" s="4" t="s">
        <v>781</v>
      </c>
      <c r="C175" s="4" t="s">
        <v>782</v>
      </c>
      <c r="D175" s="18"/>
      <c r="E175" s="18">
        <v>0</v>
      </c>
      <c r="F175" s="18">
        <v>0</v>
      </c>
      <c r="G175" s="4" t="s">
        <v>783</v>
      </c>
      <c r="H175" s="4" t="s">
        <v>784</v>
      </c>
      <c r="I175" s="5">
        <v>668</v>
      </c>
      <c r="J175" s="4"/>
      <c r="K175" s="4" t="s">
        <v>781</v>
      </c>
      <c r="L175" s="4">
        <v>101119426</v>
      </c>
      <c r="M175" s="4"/>
    </row>
    <row r="176" spans="1:13" ht="15" customHeight="1">
      <c r="A176" s="4" t="s">
        <v>785</v>
      </c>
      <c r="B176" s="4" t="s">
        <v>786</v>
      </c>
      <c r="C176" s="4" t="s">
        <v>679</v>
      </c>
      <c r="D176" s="18"/>
      <c r="E176" s="18">
        <v>0</v>
      </c>
      <c r="F176" s="18">
        <v>0</v>
      </c>
      <c r="G176" s="4" t="s">
        <v>787</v>
      </c>
      <c r="H176" s="4" t="s">
        <v>788</v>
      </c>
      <c r="I176" s="5">
        <v>1583</v>
      </c>
      <c r="J176" s="4"/>
      <c r="K176" s="4" t="s">
        <v>789</v>
      </c>
      <c r="L176" s="4">
        <v>140930479</v>
      </c>
      <c r="M176" s="4"/>
    </row>
    <row r="177" spans="1:13" ht="15" customHeight="1">
      <c r="A177" s="4" t="s">
        <v>790</v>
      </c>
      <c r="B177" s="4" t="s">
        <v>791</v>
      </c>
      <c r="C177" s="4" t="s">
        <v>792</v>
      </c>
      <c r="D177" s="18"/>
      <c r="E177" s="18">
        <v>0</v>
      </c>
      <c r="F177" s="18">
        <v>0</v>
      </c>
      <c r="G177" s="4" t="s">
        <v>793</v>
      </c>
      <c r="H177" s="4" t="s">
        <v>794</v>
      </c>
      <c r="I177" s="5">
        <v>411</v>
      </c>
      <c r="J177" s="4" t="s">
        <v>795</v>
      </c>
      <c r="K177" s="4" t="s">
        <v>796</v>
      </c>
      <c r="L177" s="4">
        <v>32102012</v>
      </c>
      <c r="M177" s="4"/>
    </row>
    <row r="178" spans="1:13" ht="15" customHeight="1">
      <c r="A178" s="4" t="s">
        <v>797</v>
      </c>
      <c r="B178" s="4" t="s">
        <v>798</v>
      </c>
      <c r="C178" s="4" t="s">
        <v>799</v>
      </c>
      <c r="D178" s="18"/>
      <c r="E178" s="18">
        <v>0</v>
      </c>
      <c r="F178" s="18">
        <v>0</v>
      </c>
      <c r="G178" s="4" t="s">
        <v>800</v>
      </c>
      <c r="H178" s="4" t="s">
        <v>801</v>
      </c>
      <c r="I178" s="5">
        <v>850</v>
      </c>
      <c r="J178" s="4"/>
      <c r="K178" s="4" t="s">
        <v>798</v>
      </c>
      <c r="L178" s="4">
        <v>168699816</v>
      </c>
      <c r="M178" s="4"/>
    </row>
    <row r="179" spans="1:13" ht="15" customHeight="1">
      <c r="A179" s="4" t="s">
        <v>802</v>
      </c>
      <c r="B179" s="4" t="s">
        <v>803</v>
      </c>
      <c r="C179" s="4" t="s">
        <v>804</v>
      </c>
      <c r="D179" s="18"/>
      <c r="E179" s="18">
        <v>0</v>
      </c>
      <c r="F179" s="18">
        <v>0</v>
      </c>
      <c r="G179" s="4" t="s">
        <v>805</v>
      </c>
      <c r="H179" s="4" t="s">
        <v>806</v>
      </c>
      <c r="I179" s="5">
        <v>46</v>
      </c>
      <c r="J179" s="4" t="s">
        <v>803</v>
      </c>
      <c r="K179" s="4" t="s">
        <v>804</v>
      </c>
      <c r="L179" s="4">
        <v>11174372</v>
      </c>
      <c r="M179" s="4"/>
    </row>
    <row r="180" spans="1:13" ht="15" customHeight="1">
      <c r="A180" s="4" t="s">
        <v>807</v>
      </c>
      <c r="B180" s="4" t="s">
        <v>808</v>
      </c>
      <c r="C180" s="4" t="s">
        <v>154</v>
      </c>
      <c r="D180" s="18"/>
      <c r="E180" s="18">
        <v>0</v>
      </c>
      <c r="F180" s="18">
        <v>0</v>
      </c>
      <c r="G180" s="4" t="s">
        <v>809</v>
      </c>
      <c r="H180" s="4" t="s">
        <v>810</v>
      </c>
      <c r="I180" s="5">
        <v>529</v>
      </c>
      <c r="J180" s="4"/>
      <c r="K180" s="4" t="s">
        <v>257</v>
      </c>
      <c r="L180" s="4">
        <v>224985389</v>
      </c>
      <c r="M180" s="4"/>
    </row>
    <row r="181" spans="1:13" ht="15" customHeight="1">
      <c r="A181" s="4" t="s">
        <v>811</v>
      </c>
      <c r="B181" s="4" t="s">
        <v>812</v>
      </c>
      <c r="C181" s="4" t="s">
        <v>131</v>
      </c>
      <c r="D181" s="18"/>
      <c r="E181" s="18">
        <v>0</v>
      </c>
      <c r="F181" s="18">
        <v>0</v>
      </c>
      <c r="G181" s="4" t="s">
        <v>813</v>
      </c>
      <c r="H181" s="4"/>
      <c r="I181" s="5">
        <v>14</v>
      </c>
      <c r="J181" s="4"/>
      <c r="K181" s="4" t="s">
        <v>814</v>
      </c>
      <c r="L181" s="4">
        <v>3649724</v>
      </c>
      <c r="M181" s="4"/>
    </row>
    <row r="182" spans="1:13" ht="15" customHeight="1">
      <c r="A182" s="4" t="s">
        <v>815</v>
      </c>
      <c r="B182" s="4" t="s">
        <v>816</v>
      </c>
      <c r="C182" s="4" t="s">
        <v>154</v>
      </c>
      <c r="D182" s="18"/>
      <c r="E182" s="18">
        <v>0</v>
      </c>
      <c r="F182" s="18">
        <v>0</v>
      </c>
      <c r="G182" s="4" t="s">
        <v>817</v>
      </c>
      <c r="H182" s="4" t="s">
        <v>818</v>
      </c>
      <c r="I182" s="5">
        <v>1670</v>
      </c>
      <c r="J182" s="4"/>
      <c r="K182" s="4" t="s">
        <v>257</v>
      </c>
      <c r="L182" s="4">
        <v>374265212</v>
      </c>
      <c r="M182" s="4"/>
    </row>
    <row r="183" spans="1:13" ht="15" customHeight="1">
      <c r="A183" s="4" t="s">
        <v>819</v>
      </c>
      <c r="B183" s="4" t="s">
        <v>820</v>
      </c>
      <c r="C183" s="4" t="s">
        <v>821</v>
      </c>
      <c r="D183" s="18"/>
      <c r="E183" s="18">
        <v>0</v>
      </c>
      <c r="F183" s="18">
        <v>0</v>
      </c>
      <c r="G183" s="4" t="s">
        <v>822</v>
      </c>
      <c r="H183" s="4" t="s">
        <v>823</v>
      </c>
      <c r="I183" s="5">
        <v>3108</v>
      </c>
      <c r="J183" s="4" t="s">
        <v>824</v>
      </c>
      <c r="K183" s="4" t="s">
        <v>825</v>
      </c>
      <c r="L183" s="4">
        <v>860841206</v>
      </c>
      <c r="M183" s="4" t="s">
        <v>826</v>
      </c>
    </row>
    <row r="184" spans="1:13" ht="15" customHeight="1">
      <c r="A184" s="4" t="s">
        <v>827</v>
      </c>
      <c r="B184" s="4" t="s">
        <v>828</v>
      </c>
      <c r="C184" s="4" t="s">
        <v>829</v>
      </c>
      <c r="D184" s="18"/>
      <c r="E184" s="18">
        <v>0</v>
      </c>
      <c r="F184" s="18">
        <v>0</v>
      </c>
      <c r="G184" s="4" t="s">
        <v>830</v>
      </c>
      <c r="H184" s="4" t="s">
        <v>831</v>
      </c>
      <c r="I184" s="5">
        <v>41</v>
      </c>
      <c r="J184" s="4"/>
      <c r="K184" s="4" t="s">
        <v>832</v>
      </c>
      <c r="L184" s="4">
        <v>29260153</v>
      </c>
      <c r="M184" s="4"/>
    </row>
    <row r="185" spans="1:13" ht="15" customHeight="1">
      <c r="A185" s="4" t="s">
        <v>833</v>
      </c>
      <c r="B185" s="4" t="s">
        <v>834</v>
      </c>
      <c r="C185" s="4" t="s">
        <v>835</v>
      </c>
      <c r="D185" s="18"/>
      <c r="E185" s="18">
        <v>0</v>
      </c>
      <c r="F185" s="18">
        <v>0</v>
      </c>
      <c r="G185" s="4" t="s">
        <v>836</v>
      </c>
      <c r="H185" s="4" t="s">
        <v>837</v>
      </c>
      <c r="I185" s="5">
        <v>766</v>
      </c>
      <c r="J185" s="4"/>
      <c r="K185" s="4" t="s">
        <v>834</v>
      </c>
      <c r="L185" s="4">
        <v>198812540</v>
      </c>
      <c r="M185" s="4"/>
    </row>
    <row r="186" spans="1:13" ht="15" customHeight="1">
      <c r="A186" s="4" t="s">
        <v>838</v>
      </c>
      <c r="B186" s="4" t="s">
        <v>640</v>
      </c>
      <c r="C186" s="4" t="s">
        <v>154</v>
      </c>
      <c r="D186" s="18"/>
      <c r="E186" s="18">
        <v>6714</v>
      </c>
      <c r="F186" s="18">
        <v>200</v>
      </c>
      <c r="G186" s="4" t="s">
        <v>839</v>
      </c>
      <c r="H186" s="4"/>
      <c r="I186" s="5">
        <v>13878</v>
      </c>
      <c r="J186" s="4"/>
      <c r="K186" s="4" t="s">
        <v>640</v>
      </c>
      <c r="L186" s="4">
        <v>1124988076</v>
      </c>
      <c r="M186" s="4" t="s">
        <v>431</v>
      </c>
    </row>
    <row r="187" spans="1:13" ht="15" customHeight="1">
      <c r="A187" s="4" t="s">
        <v>840</v>
      </c>
      <c r="B187" s="4" t="s">
        <v>841</v>
      </c>
      <c r="C187" s="4" t="s">
        <v>333</v>
      </c>
      <c r="D187" s="18"/>
      <c r="E187" s="18">
        <v>0</v>
      </c>
      <c r="F187" s="18">
        <v>0</v>
      </c>
      <c r="G187" s="4" t="s">
        <v>842</v>
      </c>
      <c r="H187" s="4" t="s">
        <v>843</v>
      </c>
      <c r="I187" s="5">
        <v>10</v>
      </c>
      <c r="J187" s="4"/>
      <c r="K187" s="4" t="s">
        <v>844</v>
      </c>
      <c r="L187" s="4">
        <v>13953335</v>
      </c>
      <c r="M187" s="4"/>
    </row>
    <row r="188" spans="1:13" ht="15" customHeight="1">
      <c r="A188" s="4" t="s">
        <v>845</v>
      </c>
      <c r="B188" s="4" t="s">
        <v>846</v>
      </c>
      <c r="C188" s="4" t="s">
        <v>847</v>
      </c>
      <c r="D188" s="18"/>
      <c r="E188" s="18">
        <v>0</v>
      </c>
      <c r="F188" s="18">
        <v>0</v>
      </c>
      <c r="G188" s="4" t="s">
        <v>848</v>
      </c>
      <c r="H188" s="4" t="s">
        <v>849</v>
      </c>
      <c r="I188" s="5">
        <v>1334</v>
      </c>
      <c r="J188" s="4" t="s">
        <v>850</v>
      </c>
      <c r="K188" s="4" t="s">
        <v>851</v>
      </c>
      <c r="L188" s="4">
        <v>594956132</v>
      </c>
      <c r="M188" s="4" t="s">
        <v>852</v>
      </c>
    </row>
    <row r="189" spans="1:13" ht="15" customHeight="1">
      <c r="A189" s="4" t="s">
        <v>853</v>
      </c>
      <c r="B189" s="4" t="s">
        <v>854</v>
      </c>
      <c r="C189" s="4" t="s">
        <v>146</v>
      </c>
      <c r="D189" s="18"/>
      <c r="E189" s="18">
        <v>0</v>
      </c>
      <c r="F189" s="18">
        <v>0</v>
      </c>
      <c r="G189" s="4" t="s">
        <v>855</v>
      </c>
      <c r="H189" s="4" t="s">
        <v>856</v>
      </c>
      <c r="I189" s="5">
        <v>357</v>
      </c>
      <c r="J189" s="4" t="s">
        <v>857</v>
      </c>
      <c r="K189" s="4" t="s">
        <v>858</v>
      </c>
      <c r="L189" s="4">
        <v>173322581</v>
      </c>
      <c r="M189" s="4"/>
    </row>
    <row r="190" spans="1:13" ht="15" customHeight="1">
      <c r="A190" s="4" t="s">
        <v>859</v>
      </c>
      <c r="B190" s="4" t="s">
        <v>860</v>
      </c>
      <c r="C190" s="4" t="s">
        <v>333</v>
      </c>
      <c r="D190" s="18"/>
      <c r="E190" s="18">
        <v>0</v>
      </c>
      <c r="F190" s="18">
        <v>0</v>
      </c>
      <c r="G190" s="4" t="s">
        <v>861</v>
      </c>
      <c r="H190" s="4" t="s">
        <v>862</v>
      </c>
      <c r="I190" s="5">
        <v>1</v>
      </c>
      <c r="J190" s="4"/>
      <c r="K190" s="4" t="s">
        <v>863</v>
      </c>
      <c r="L190" s="4">
        <v>1335190</v>
      </c>
      <c r="M190" s="4"/>
    </row>
    <row r="191" spans="1:13" ht="15" customHeight="1">
      <c r="A191" s="4" t="s">
        <v>864</v>
      </c>
      <c r="B191" s="4" t="s">
        <v>568</v>
      </c>
      <c r="C191" s="4" t="s">
        <v>865</v>
      </c>
      <c r="D191" s="18"/>
      <c r="E191" s="18">
        <v>0</v>
      </c>
      <c r="F191" s="18">
        <v>0</v>
      </c>
      <c r="G191" s="4" t="s">
        <v>866</v>
      </c>
      <c r="H191" s="4" t="s">
        <v>867</v>
      </c>
      <c r="I191" s="5">
        <v>6745</v>
      </c>
      <c r="J191" s="4"/>
      <c r="K191" s="4" t="s">
        <v>568</v>
      </c>
      <c r="L191" s="4">
        <v>215251902</v>
      </c>
      <c r="M191" s="4" t="s">
        <v>704</v>
      </c>
    </row>
    <row r="192" spans="1:13" ht="15" customHeight="1">
      <c r="A192" s="4" t="s">
        <v>868</v>
      </c>
      <c r="B192" s="4" t="s">
        <v>869</v>
      </c>
      <c r="C192" s="4" t="s">
        <v>154</v>
      </c>
      <c r="D192" s="18"/>
      <c r="E192" s="18">
        <v>0</v>
      </c>
      <c r="F192" s="18">
        <v>0</v>
      </c>
      <c r="G192" s="4" t="s">
        <v>870</v>
      </c>
      <c r="H192" s="4"/>
      <c r="I192" s="5">
        <v>9226</v>
      </c>
      <c r="J192" s="4"/>
      <c r="K192" s="4" t="s">
        <v>378</v>
      </c>
      <c r="L192" s="4">
        <v>1341173223</v>
      </c>
      <c r="M192" s="4" t="s">
        <v>322</v>
      </c>
    </row>
    <row r="193" spans="1:13" ht="15" customHeight="1">
      <c r="A193" s="4" t="s">
        <v>871</v>
      </c>
      <c r="B193" s="4" t="s">
        <v>872</v>
      </c>
      <c r="C193" s="4" t="s">
        <v>27</v>
      </c>
      <c r="D193" s="18"/>
      <c r="E193" s="18">
        <v>0</v>
      </c>
      <c r="F193" s="18">
        <v>0</v>
      </c>
      <c r="G193" s="4" t="s">
        <v>873</v>
      </c>
      <c r="H193" s="4" t="s">
        <v>874</v>
      </c>
      <c r="I193" s="5">
        <v>1830</v>
      </c>
      <c r="J193" s="4"/>
      <c r="K193" s="4" t="s">
        <v>533</v>
      </c>
      <c r="L193" s="4">
        <v>312017425</v>
      </c>
      <c r="M193" s="4"/>
    </row>
    <row r="194" spans="1:13" ht="15" customHeight="1">
      <c r="A194" s="4" t="s">
        <v>875</v>
      </c>
      <c r="B194" s="4" t="s">
        <v>791</v>
      </c>
      <c r="C194" s="4" t="s">
        <v>792</v>
      </c>
      <c r="D194" s="18"/>
      <c r="E194" s="18">
        <v>0</v>
      </c>
      <c r="F194" s="18">
        <v>0</v>
      </c>
      <c r="G194" s="4" t="s">
        <v>876</v>
      </c>
      <c r="H194" s="4" t="s">
        <v>877</v>
      </c>
      <c r="I194" s="5">
        <v>0</v>
      </c>
      <c r="J194" s="4"/>
      <c r="K194" s="4" t="s">
        <v>791</v>
      </c>
      <c r="L194" s="4">
        <v>631131</v>
      </c>
      <c r="M194" s="4"/>
    </row>
    <row r="195" spans="1:13" ht="15" customHeight="1">
      <c r="A195" s="4" t="s">
        <v>878</v>
      </c>
      <c r="B195" s="4" t="s">
        <v>879</v>
      </c>
      <c r="C195" s="4" t="s">
        <v>154</v>
      </c>
      <c r="D195" s="18"/>
      <c r="E195" s="18">
        <v>0</v>
      </c>
      <c r="F195" s="18">
        <v>0</v>
      </c>
      <c r="G195" s="4" t="s">
        <v>880</v>
      </c>
      <c r="H195" s="4" t="s">
        <v>881</v>
      </c>
      <c r="I195" s="5">
        <v>5236</v>
      </c>
      <c r="J195" s="4"/>
      <c r="K195" s="4" t="s">
        <v>262</v>
      </c>
      <c r="L195" s="4">
        <v>561545897</v>
      </c>
      <c r="M195" s="4"/>
    </row>
    <row r="196" spans="1:13" ht="15" customHeight="1">
      <c r="A196" s="4" t="s">
        <v>882</v>
      </c>
      <c r="B196" s="4" t="s">
        <v>883</v>
      </c>
      <c r="C196" s="4" t="s">
        <v>884</v>
      </c>
      <c r="D196" s="18"/>
      <c r="E196" s="18">
        <v>0</v>
      </c>
      <c r="F196" s="18">
        <v>0</v>
      </c>
      <c r="G196" s="4" t="s">
        <v>885</v>
      </c>
      <c r="H196" s="4" t="s">
        <v>886</v>
      </c>
      <c r="I196" s="5">
        <v>1078</v>
      </c>
      <c r="J196" s="4"/>
      <c r="K196" s="4" t="s">
        <v>887</v>
      </c>
      <c r="L196" s="4">
        <v>152298390</v>
      </c>
      <c r="M196" s="4"/>
    </row>
    <row r="197" spans="1:13" ht="15" customHeight="1">
      <c r="A197" s="4" t="s">
        <v>888</v>
      </c>
      <c r="B197" s="4" t="s">
        <v>889</v>
      </c>
      <c r="C197" s="4" t="s">
        <v>890</v>
      </c>
      <c r="D197" s="18"/>
      <c r="E197" s="18">
        <v>0</v>
      </c>
      <c r="F197" s="18">
        <v>0</v>
      </c>
      <c r="G197" s="4" t="s">
        <v>891</v>
      </c>
      <c r="H197" s="4" t="s">
        <v>892</v>
      </c>
      <c r="I197" s="5">
        <v>5373</v>
      </c>
      <c r="J197" s="4"/>
      <c r="K197" s="4" t="s">
        <v>889</v>
      </c>
      <c r="L197" s="4">
        <v>1130927274</v>
      </c>
      <c r="M197" s="4"/>
    </row>
    <row r="198" spans="1:13" ht="15" customHeight="1">
      <c r="A198" s="4" t="s">
        <v>893</v>
      </c>
      <c r="B198" s="4" t="s">
        <v>894</v>
      </c>
      <c r="C198" s="4" t="s">
        <v>42</v>
      </c>
      <c r="D198" s="18"/>
      <c r="E198" s="18">
        <v>0</v>
      </c>
      <c r="F198" s="18">
        <v>0</v>
      </c>
      <c r="G198" s="4" t="s">
        <v>895</v>
      </c>
      <c r="H198" s="4" t="s">
        <v>896</v>
      </c>
      <c r="I198" s="5">
        <v>3174</v>
      </c>
      <c r="J198" s="4" t="s">
        <v>897</v>
      </c>
      <c r="K198" s="4" t="s">
        <v>894</v>
      </c>
      <c r="L198" s="4">
        <v>152096732</v>
      </c>
      <c r="M198" s="4"/>
    </row>
    <row r="199" spans="1:13" ht="15" customHeight="1">
      <c r="A199" s="4" t="s">
        <v>898</v>
      </c>
      <c r="B199" s="4" t="s">
        <v>899</v>
      </c>
      <c r="C199" s="4" t="s">
        <v>580</v>
      </c>
      <c r="D199" s="18"/>
      <c r="E199" s="18">
        <v>0</v>
      </c>
      <c r="F199" s="18">
        <v>0</v>
      </c>
      <c r="G199" s="4" t="s">
        <v>900</v>
      </c>
      <c r="H199" s="4" t="s">
        <v>901</v>
      </c>
      <c r="I199" s="5">
        <v>8</v>
      </c>
      <c r="J199" s="4"/>
      <c r="K199" s="4" t="s">
        <v>902</v>
      </c>
      <c r="L199" s="4">
        <v>3422991</v>
      </c>
      <c r="M199" s="4"/>
    </row>
    <row r="200" spans="1:13" ht="15" customHeight="1">
      <c r="A200" s="4" t="s">
        <v>903</v>
      </c>
      <c r="B200" s="4" t="s">
        <v>904</v>
      </c>
      <c r="C200" s="4" t="s">
        <v>154</v>
      </c>
      <c r="D200" s="18"/>
      <c r="E200" s="18">
        <v>0</v>
      </c>
      <c r="F200" s="18">
        <v>0</v>
      </c>
      <c r="G200" s="4" t="s">
        <v>905</v>
      </c>
      <c r="H200" s="4" t="s">
        <v>906</v>
      </c>
      <c r="I200" s="5">
        <v>2850</v>
      </c>
      <c r="J200" s="4" t="s">
        <v>904</v>
      </c>
      <c r="K200" s="4" t="s">
        <v>907</v>
      </c>
      <c r="L200" s="4">
        <v>416774055</v>
      </c>
      <c r="M200" s="4"/>
    </row>
    <row r="201" spans="1:13" ht="15" customHeight="1">
      <c r="A201" s="4" t="s">
        <v>908</v>
      </c>
      <c r="B201" s="4" t="s">
        <v>909</v>
      </c>
      <c r="C201" s="4" t="s">
        <v>910</v>
      </c>
      <c r="D201" s="18"/>
      <c r="E201" s="18">
        <v>36024</v>
      </c>
      <c r="F201" s="18">
        <v>5360</v>
      </c>
      <c r="G201" s="4" t="s">
        <v>911</v>
      </c>
      <c r="H201" s="4"/>
      <c r="I201" s="5">
        <v>1337</v>
      </c>
      <c r="J201" s="4"/>
      <c r="K201" s="4" t="s">
        <v>912</v>
      </c>
      <c r="L201" s="4">
        <v>106771637</v>
      </c>
      <c r="M201" s="4" t="s">
        <v>293</v>
      </c>
    </row>
    <row r="202" spans="1:13" ht="15" customHeight="1">
      <c r="A202" s="4" t="s">
        <v>913</v>
      </c>
      <c r="B202" s="4" t="s">
        <v>914</v>
      </c>
      <c r="C202" s="4" t="s">
        <v>915</v>
      </c>
      <c r="D202" s="18"/>
      <c r="E202" s="18">
        <v>0</v>
      </c>
      <c r="F202" s="18">
        <v>0</v>
      </c>
      <c r="G202" s="4" t="s">
        <v>916</v>
      </c>
      <c r="H202" s="4"/>
      <c r="I202" s="5">
        <v>1552</v>
      </c>
      <c r="J202" s="4"/>
      <c r="K202" s="4" t="s">
        <v>914</v>
      </c>
      <c r="L202" s="4">
        <v>219738813</v>
      </c>
      <c r="M202" s="4"/>
    </row>
    <row r="203" spans="1:13" ht="15" customHeight="1">
      <c r="A203" s="4" t="s">
        <v>917</v>
      </c>
      <c r="B203" s="4" t="s">
        <v>918</v>
      </c>
      <c r="C203" s="4" t="s">
        <v>154</v>
      </c>
      <c r="D203" s="18"/>
      <c r="E203" s="18">
        <v>0</v>
      </c>
      <c r="F203" s="18">
        <v>0</v>
      </c>
      <c r="G203" s="4" t="s">
        <v>919</v>
      </c>
      <c r="H203" s="4"/>
      <c r="I203" s="5">
        <v>8346</v>
      </c>
      <c r="J203" s="4"/>
      <c r="K203" s="4" t="s">
        <v>920</v>
      </c>
      <c r="L203" s="4">
        <v>445692889</v>
      </c>
      <c r="M203" s="4"/>
    </row>
    <row r="204" spans="1:13" ht="15" customHeight="1">
      <c r="A204" s="4" t="s">
        <v>921</v>
      </c>
      <c r="B204" s="4" t="s">
        <v>922</v>
      </c>
      <c r="C204" s="4" t="s">
        <v>478</v>
      </c>
      <c r="D204" s="18"/>
      <c r="E204" s="18">
        <v>0</v>
      </c>
      <c r="F204" s="18">
        <v>0</v>
      </c>
      <c r="G204" s="4" t="s">
        <v>923</v>
      </c>
      <c r="H204" s="4" t="s">
        <v>924</v>
      </c>
      <c r="I204" s="5">
        <v>233</v>
      </c>
      <c r="J204" s="4"/>
      <c r="K204" s="4"/>
      <c r="L204" s="4">
        <v>131757764</v>
      </c>
      <c r="M204" s="4"/>
    </row>
    <row r="205" spans="1:13" ht="15" customHeight="1">
      <c r="A205" s="4" t="s">
        <v>925</v>
      </c>
      <c r="B205" s="4" t="s">
        <v>118</v>
      </c>
      <c r="C205" s="4" t="s">
        <v>119</v>
      </c>
      <c r="D205" s="18"/>
      <c r="E205" s="18">
        <v>2103209</v>
      </c>
      <c r="F205" s="18">
        <v>767801</v>
      </c>
      <c r="G205" s="4" t="s">
        <v>926</v>
      </c>
      <c r="H205" s="4" t="s">
        <v>927</v>
      </c>
      <c r="I205" s="5">
        <v>11361</v>
      </c>
      <c r="J205" s="4"/>
      <c r="K205" s="4" t="s">
        <v>928</v>
      </c>
      <c r="L205" s="4">
        <v>345148142</v>
      </c>
      <c r="M205" s="4"/>
    </row>
    <row r="206" spans="1:13" ht="15" customHeight="1">
      <c r="A206" s="4" t="s">
        <v>929</v>
      </c>
      <c r="B206" s="4" t="s">
        <v>930</v>
      </c>
      <c r="C206" s="4" t="s">
        <v>51</v>
      </c>
      <c r="D206" s="18"/>
      <c r="E206" s="18">
        <v>0</v>
      </c>
      <c r="F206" s="18">
        <v>0</v>
      </c>
      <c r="G206" s="4" t="s">
        <v>931</v>
      </c>
      <c r="H206" s="4" t="s">
        <v>932</v>
      </c>
      <c r="I206" s="5">
        <v>1</v>
      </c>
      <c r="J206" s="4"/>
      <c r="K206" s="4" t="s">
        <v>930</v>
      </c>
      <c r="L206" s="4">
        <v>514547</v>
      </c>
      <c r="M206" s="4"/>
    </row>
    <row r="207" spans="1:13" ht="15" customHeight="1">
      <c r="A207" s="4" t="s">
        <v>933</v>
      </c>
      <c r="B207" s="4" t="s">
        <v>934</v>
      </c>
      <c r="C207" s="4" t="s">
        <v>935</v>
      </c>
      <c r="D207" s="18"/>
      <c r="E207" s="18">
        <v>0</v>
      </c>
      <c r="F207" s="18">
        <v>0</v>
      </c>
      <c r="G207" s="4" t="s">
        <v>936</v>
      </c>
      <c r="H207" s="4" t="s">
        <v>937</v>
      </c>
      <c r="I207" s="5">
        <v>382</v>
      </c>
      <c r="J207" s="4"/>
      <c r="K207" s="4" t="s">
        <v>938</v>
      </c>
      <c r="L207" s="4">
        <v>19549830</v>
      </c>
      <c r="M207" s="4"/>
    </row>
    <row r="208" spans="1:13" ht="15" customHeight="1">
      <c r="A208" s="4" t="s">
        <v>939</v>
      </c>
      <c r="B208" s="4" t="s">
        <v>940</v>
      </c>
      <c r="C208" s="4" t="s">
        <v>941</v>
      </c>
      <c r="D208" s="18"/>
      <c r="E208" s="18">
        <v>0</v>
      </c>
      <c r="F208" s="18">
        <v>0</v>
      </c>
      <c r="G208" s="4" t="s">
        <v>942</v>
      </c>
      <c r="H208" s="4" t="s">
        <v>943</v>
      </c>
      <c r="I208" s="5">
        <v>0</v>
      </c>
      <c r="J208" s="4"/>
      <c r="K208" s="4" t="s">
        <v>944</v>
      </c>
      <c r="L208" s="4">
        <v>83682</v>
      </c>
      <c r="M208" s="4"/>
    </row>
    <row r="209" spans="1:13" ht="15" customHeight="1">
      <c r="A209" s="4" t="s">
        <v>945</v>
      </c>
      <c r="B209" s="4" t="s">
        <v>946</v>
      </c>
      <c r="C209" s="4" t="s">
        <v>154</v>
      </c>
      <c r="D209" s="18"/>
      <c r="E209" s="18">
        <v>0</v>
      </c>
      <c r="F209" s="18">
        <v>0</v>
      </c>
      <c r="G209" s="4" t="s">
        <v>947</v>
      </c>
      <c r="H209" s="4"/>
      <c r="I209" s="5">
        <v>6537</v>
      </c>
      <c r="J209" s="4"/>
      <c r="K209" s="4" t="s">
        <v>920</v>
      </c>
      <c r="L209" s="4">
        <v>569248560</v>
      </c>
      <c r="M209" s="4"/>
    </row>
    <row r="210" spans="1:13" ht="15" customHeight="1">
      <c r="A210" s="4" t="s">
        <v>948</v>
      </c>
      <c r="B210" s="4" t="s">
        <v>949</v>
      </c>
      <c r="C210" s="4" t="s">
        <v>950</v>
      </c>
      <c r="D210" s="18"/>
      <c r="E210" s="18">
        <v>0</v>
      </c>
      <c r="F210" s="18">
        <v>0</v>
      </c>
      <c r="G210" s="4" t="s">
        <v>951</v>
      </c>
      <c r="H210" s="4" t="s">
        <v>952</v>
      </c>
      <c r="I210" s="5">
        <v>363</v>
      </c>
      <c r="J210" s="4"/>
      <c r="K210" s="4" t="s">
        <v>949</v>
      </c>
      <c r="L210" s="4">
        <v>68722656</v>
      </c>
      <c r="M210" s="4"/>
    </row>
    <row r="211" spans="1:13" ht="15" customHeight="1">
      <c r="A211" s="4" t="s">
        <v>953</v>
      </c>
      <c r="B211" s="4" t="s">
        <v>954</v>
      </c>
      <c r="C211" s="4" t="s">
        <v>955</v>
      </c>
      <c r="D211" s="18"/>
      <c r="E211" s="18">
        <v>0</v>
      </c>
      <c r="F211" s="18">
        <v>0</v>
      </c>
      <c r="G211" s="4" t="s">
        <v>956</v>
      </c>
      <c r="H211" s="4" t="s">
        <v>957</v>
      </c>
      <c r="I211" s="5">
        <v>41</v>
      </c>
      <c r="J211" s="4"/>
      <c r="K211" s="4" t="s">
        <v>958</v>
      </c>
      <c r="L211" s="4">
        <v>24033103</v>
      </c>
      <c r="M211" s="4"/>
    </row>
    <row r="212" spans="1:13" ht="15" customHeight="1">
      <c r="A212" s="4" t="s">
        <v>959</v>
      </c>
      <c r="B212" s="4" t="s">
        <v>960</v>
      </c>
      <c r="C212" s="4" t="s">
        <v>961</v>
      </c>
      <c r="D212" s="18"/>
      <c r="E212" s="18">
        <v>518</v>
      </c>
      <c r="F212" s="18">
        <v>145</v>
      </c>
      <c r="G212" s="4" t="s">
        <v>962</v>
      </c>
      <c r="H212" s="4" t="s">
        <v>963</v>
      </c>
      <c r="I212" s="5">
        <v>473</v>
      </c>
      <c r="J212" s="4"/>
      <c r="K212" s="4" t="s">
        <v>964</v>
      </c>
      <c r="L212" s="4">
        <v>115959006</v>
      </c>
      <c r="M212" s="4"/>
    </row>
    <row r="213" spans="1:13" ht="15" customHeight="1">
      <c r="A213" s="4" t="s">
        <v>965</v>
      </c>
      <c r="B213" s="4" t="s">
        <v>6391</v>
      </c>
      <c r="C213" s="4" t="s">
        <v>6392</v>
      </c>
      <c r="D213" s="18"/>
      <c r="E213" s="18">
        <v>0</v>
      </c>
      <c r="F213" s="18">
        <v>0</v>
      </c>
      <c r="G213" s="4"/>
      <c r="H213" s="4"/>
      <c r="I213" s="5"/>
      <c r="J213" s="4"/>
      <c r="K213" s="4"/>
      <c r="L213" s="4"/>
      <c r="M213" s="4"/>
    </row>
    <row r="214" spans="1:13" ht="15" customHeight="1">
      <c r="A214" s="4" t="s">
        <v>966</v>
      </c>
      <c r="B214" s="4" t="s">
        <v>967</v>
      </c>
      <c r="C214" s="4" t="s">
        <v>42</v>
      </c>
      <c r="D214" s="18"/>
      <c r="E214" s="18">
        <v>0</v>
      </c>
      <c r="F214" s="18">
        <v>0</v>
      </c>
      <c r="G214" s="4" t="s">
        <v>968</v>
      </c>
      <c r="H214" s="4" t="s">
        <v>969</v>
      </c>
      <c r="I214" s="5">
        <v>2250</v>
      </c>
      <c r="J214" s="4"/>
      <c r="K214" s="4" t="s">
        <v>967</v>
      </c>
      <c r="L214" s="4">
        <v>63947645</v>
      </c>
      <c r="M214" s="4"/>
    </row>
    <row r="215" spans="1:13" ht="15" customHeight="1">
      <c r="A215" s="4" t="s">
        <v>970</v>
      </c>
      <c r="B215" s="4" t="s">
        <v>971</v>
      </c>
      <c r="C215" s="4" t="s">
        <v>950</v>
      </c>
      <c r="D215" s="18"/>
      <c r="E215" s="18">
        <v>0</v>
      </c>
      <c r="F215" s="18">
        <v>0</v>
      </c>
      <c r="G215" s="4" t="s">
        <v>972</v>
      </c>
      <c r="H215" s="4" t="s">
        <v>973</v>
      </c>
      <c r="I215" s="5">
        <v>4204</v>
      </c>
      <c r="J215" s="4"/>
      <c r="K215" s="4" t="s">
        <v>949</v>
      </c>
      <c r="L215" s="4">
        <v>446507354</v>
      </c>
      <c r="M215" s="4"/>
    </row>
    <row r="216" spans="1:13" ht="15" customHeight="1">
      <c r="A216" s="4" t="s">
        <v>974</v>
      </c>
      <c r="B216" s="4" t="s">
        <v>975</v>
      </c>
      <c r="C216" s="4" t="s">
        <v>976</v>
      </c>
      <c r="D216" s="18"/>
      <c r="E216" s="18">
        <v>0</v>
      </c>
      <c r="F216" s="18">
        <v>0</v>
      </c>
      <c r="G216" s="4" t="s">
        <v>977</v>
      </c>
      <c r="H216" s="4" t="s">
        <v>978</v>
      </c>
      <c r="I216" s="5">
        <v>35</v>
      </c>
      <c r="J216" s="4"/>
      <c r="K216" s="4" t="s">
        <v>975</v>
      </c>
      <c r="L216" s="4">
        <v>16660903</v>
      </c>
      <c r="M216" s="4"/>
    </row>
    <row r="217" spans="1:13" ht="15" customHeight="1">
      <c r="A217" s="4" t="s">
        <v>979</v>
      </c>
      <c r="B217" s="4" t="s">
        <v>980</v>
      </c>
      <c r="C217" s="4" t="s">
        <v>21</v>
      </c>
      <c r="D217" s="18"/>
      <c r="E217" s="18">
        <v>0</v>
      </c>
      <c r="F217" s="18">
        <v>0</v>
      </c>
      <c r="G217" s="4" t="s">
        <v>981</v>
      </c>
      <c r="H217" s="4" t="s">
        <v>982</v>
      </c>
      <c r="I217" s="5">
        <v>3</v>
      </c>
      <c r="J217" s="4"/>
      <c r="K217" s="4" t="s">
        <v>983</v>
      </c>
      <c r="L217" s="4">
        <v>1875423</v>
      </c>
      <c r="M217" s="4"/>
    </row>
    <row r="218" spans="1:13" ht="15" customHeight="1">
      <c r="A218" s="4" t="s">
        <v>984</v>
      </c>
      <c r="B218" s="4" t="s">
        <v>985</v>
      </c>
      <c r="C218" s="4" t="s">
        <v>154</v>
      </c>
      <c r="D218" s="18"/>
      <c r="E218" s="18">
        <v>0</v>
      </c>
      <c r="F218" s="18">
        <v>0</v>
      </c>
      <c r="G218" s="4" t="s">
        <v>986</v>
      </c>
      <c r="H218" s="4" t="s">
        <v>987</v>
      </c>
      <c r="I218" s="5">
        <v>1040</v>
      </c>
      <c r="J218" s="4"/>
      <c r="K218" s="4" t="s">
        <v>373</v>
      </c>
      <c r="L218" s="4">
        <v>294619498</v>
      </c>
      <c r="M218" s="4"/>
    </row>
    <row r="219" spans="1:13" ht="15" customHeight="1">
      <c r="A219" s="4" t="s">
        <v>988</v>
      </c>
      <c r="B219" s="4" t="s">
        <v>989</v>
      </c>
      <c r="C219" s="4" t="s">
        <v>154</v>
      </c>
      <c r="D219" s="18"/>
      <c r="E219" s="18">
        <v>0</v>
      </c>
      <c r="F219" s="18">
        <v>0</v>
      </c>
      <c r="G219" s="4" t="s">
        <v>990</v>
      </c>
      <c r="H219" s="4" t="s">
        <v>991</v>
      </c>
      <c r="I219" s="5">
        <v>6076</v>
      </c>
      <c r="J219" s="4"/>
      <c r="K219" s="4" t="s">
        <v>992</v>
      </c>
      <c r="L219" s="4">
        <v>448639596</v>
      </c>
      <c r="M219" s="4"/>
    </row>
    <row r="220" spans="1:13" ht="15" customHeight="1">
      <c r="A220" s="4" t="s">
        <v>993</v>
      </c>
      <c r="B220" s="4" t="s">
        <v>994</v>
      </c>
      <c r="C220" s="4" t="s">
        <v>995</v>
      </c>
      <c r="D220" s="18"/>
      <c r="E220" s="18">
        <v>0</v>
      </c>
      <c r="F220" s="18">
        <v>0</v>
      </c>
      <c r="G220" s="4" t="s">
        <v>996</v>
      </c>
      <c r="H220" s="4" t="s">
        <v>997</v>
      </c>
      <c r="I220" s="5">
        <v>1217</v>
      </c>
      <c r="J220" s="4"/>
      <c r="K220" s="4" t="s">
        <v>636</v>
      </c>
      <c r="L220" s="4">
        <v>391200362</v>
      </c>
      <c r="M220" s="4"/>
    </row>
    <row r="221" spans="1:13" ht="15" customHeight="1">
      <c r="A221" s="4" t="s">
        <v>998</v>
      </c>
      <c r="B221" s="4" t="s">
        <v>999</v>
      </c>
      <c r="C221" s="4" t="s">
        <v>1000</v>
      </c>
      <c r="D221" s="18"/>
      <c r="E221" s="18">
        <v>0</v>
      </c>
      <c r="F221" s="18">
        <v>0</v>
      </c>
      <c r="G221" s="4" t="s">
        <v>1001</v>
      </c>
      <c r="H221" s="4" t="s">
        <v>1002</v>
      </c>
      <c r="I221" s="5">
        <v>1</v>
      </c>
      <c r="J221" s="4"/>
      <c r="K221" s="4" t="s">
        <v>1003</v>
      </c>
      <c r="L221" s="4">
        <v>230857</v>
      </c>
      <c r="M221" s="4"/>
    </row>
    <row r="222" spans="1:13" ht="15" customHeight="1">
      <c r="A222" s="4" t="s">
        <v>1004</v>
      </c>
      <c r="B222" s="4" t="s">
        <v>1005</v>
      </c>
      <c r="C222" s="4" t="s">
        <v>935</v>
      </c>
      <c r="D222" s="18"/>
      <c r="E222" s="18">
        <v>0</v>
      </c>
      <c r="F222" s="18">
        <v>0</v>
      </c>
      <c r="G222" s="4" t="s">
        <v>1006</v>
      </c>
      <c r="H222" s="4" t="s">
        <v>1007</v>
      </c>
      <c r="I222" s="5">
        <v>251</v>
      </c>
      <c r="J222" s="4"/>
      <c r="K222" s="4" t="s">
        <v>1008</v>
      </c>
      <c r="L222" s="4">
        <v>55662569</v>
      </c>
      <c r="M222" s="4"/>
    </row>
    <row r="223" spans="1:13" ht="15" customHeight="1">
      <c r="A223" s="4" t="s">
        <v>1009</v>
      </c>
      <c r="B223" s="4" t="s">
        <v>1010</v>
      </c>
      <c r="C223" s="4" t="s">
        <v>154</v>
      </c>
      <c r="D223" s="18"/>
      <c r="E223" s="18">
        <v>0</v>
      </c>
      <c r="F223" s="18">
        <v>0</v>
      </c>
      <c r="G223" s="4" t="s">
        <v>1011</v>
      </c>
      <c r="H223" s="4" t="s">
        <v>1012</v>
      </c>
      <c r="I223" s="5">
        <v>900</v>
      </c>
      <c r="J223" s="4"/>
      <c r="K223" s="4" t="s">
        <v>262</v>
      </c>
      <c r="L223" s="4">
        <v>294942325</v>
      </c>
      <c r="M223" s="4"/>
    </row>
    <row r="224" spans="1:13" ht="15" customHeight="1">
      <c r="A224" s="4" t="s">
        <v>1013</v>
      </c>
      <c r="B224" s="4" t="s">
        <v>1014</v>
      </c>
      <c r="C224" s="4" t="s">
        <v>154</v>
      </c>
      <c r="D224" s="18"/>
      <c r="E224" s="18">
        <v>0</v>
      </c>
      <c r="F224" s="18">
        <v>0</v>
      </c>
      <c r="G224" s="4" t="s">
        <v>1015</v>
      </c>
      <c r="H224" s="4" t="s">
        <v>1016</v>
      </c>
      <c r="I224" s="5">
        <v>1135</v>
      </c>
      <c r="J224" s="4" t="s">
        <v>1014</v>
      </c>
      <c r="K224" s="4" t="s">
        <v>636</v>
      </c>
      <c r="L224" s="4">
        <v>327291034</v>
      </c>
      <c r="M224" s="4" t="s">
        <v>468</v>
      </c>
    </row>
    <row r="225" spans="1:13" ht="15" customHeight="1">
      <c r="A225" s="4" t="s">
        <v>1017</v>
      </c>
      <c r="B225" s="4" t="s">
        <v>1018</v>
      </c>
      <c r="C225" s="4" t="s">
        <v>1019</v>
      </c>
      <c r="D225" s="18"/>
      <c r="E225" s="18">
        <v>0</v>
      </c>
      <c r="F225" s="18">
        <v>0</v>
      </c>
      <c r="G225" s="4" t="s">
        <v>1020</v>
      </c>
      <c r="H225" s="4" t="s">
        <v>1021</v>
      </c>
      <c r="I225" s="5">
        <v>13</v>
      </c>
      <c r="J225" s="4"/>
      <c r="K225" s="4" t="s">
        <v>1022</v>
      </c>
      <c r="L225" s="4">
        <v>4061048</v>
      </c>
      <c r="M225" s="4"/>
    </row>
    <row r="226" spans="1:13" ht="15" customHeight="1">
      <c r="A226" s="4" t="s">
        <v>1023</v>
      </c>
      <c r="B226" s="4" t="s">
        <v>1024</v>
      </c>
      <c r="C226" s="4" t="s">
        <v>154</v>
      </c>
      <c r="D226" s="18"/>
      <c r="E226" s="18">
        <v>0</v>
      </c>
      <c r="F226" s="18">
        <v>0</v>
      </c>
      <c r="G226" s="4" t="s">
        <v>1025</v>
      </c>
      <c r="H226" s="4"/>
      <c r="I226" s="5">
        <v>28515</v>
      </c>
      <c r="J226" s="4"/>
      <c r="K226" s="4" t="s">
        <v>1026</v>
      </c>
      <c r="L226" s="4">
        <v>2546158396</v>
      </c>
      <c r="M226" s="4" t="s">
        <v>1027</v>
      </c>
    </row>
    <row r="227" spans="1:13" ht="15" customHeight="1">
      <c r="A227" s="4" t="s">
        <v>1028</v>
      </c>
      <c r="B227" s="4" t="s">
        <v>1029</v>
      </c>
      <c r="C227" s="4" t="s">
        <v>1030</v>
      </c>
      <c r="D227" s="18"/>
      <c r="E227" s="18">
        <v>0</v>
      </c>
      <c r="F227" s="18">
        <v>0</v>
      </c>
      <c r="G227" s="4" t="s">
        <v>1031</v>
      </c>
      <c r="H227" s="4" t="s">
        <v>1032</v>
      </c>
      <c r="I227" s="5">
        <v>67</v>
      </c>
      <c r="J227" s="4" t="s">
        <v>1033</v>
      </c>
      <c r="K227" s="4" t="s">
        <v>1034</v>
      </c>
      <c r="L227" s="4">
        <v>40740970</v>
      </c>
      <c r="M227" s="4"/>
    </row>
    <row r="228" spans="1:13" ht="15" customHeight="1">
      <c r="A228" s="4" t="s">
        <v>1035</v>
      </c>
      <c r="B228" s="4" t="s">
        <v>1036</v>
      </c>
      <c r="C228" s="4" t="s">
        <v>154</v>
      </c>
      <c r="D228" s="18"/>
      <c r="E228" s="18">
        <v>0</v>
      </c>
      <c r="F228" s="18">
        <v>0</v>
      </c>
      <c r="G228" s="4" t="s">
        <v>1037</v>
      </c>
      <c r="H228" s="4" t="s">
        <v>1038</v>
      </c>
      <c r="I228" s="5">
        <v>599</v>
      </c>
      <c r="J228" s="4" t="s">
        <v>1036</v>
      </c>
      <c r="K228" s="4" t="s">
        <v>920</v>
      </c>
      <c r="L228" s="4">
        <v>198909539</v>
      </c>
      <c r="M228" s="4"/>
    </row>
    <row r="229" spans="1:13" ht="15" customHeight="1">
      <c r="A229" s="4" t="s">
        <v>1039</v>
      </c>
      <c r="B229" s="4" t="s">
        <v>1040</v>
      </c>
      <c r="C229" s="4" t="s">
        <v>154</v>
      </c>
      <c r="D229" s="18"/>
      <c r="E229" s="18">
        <v>0</v>
      </c>
      <c r="F229" s="18">
        <v>0</v>
      </c>
      <c r="G229" s="4" t="s">
        <v>1041</v>
      </c>
      <c r="H229" s="4"/>
      <c r="I229" s="5">
        <v>1532</v>
      </c>
      <c r="J229" s="4" t="s">
        <v>1042</v>
      </c>
      <c r="K229" s="4" t="s">
        <v>907</v>
      </c>
      <c r="L229" s="4">
        <v>336737849</v>
      </c>
      <c r="M229" s="4"/>
    </row>
    <row r="230" spans="1:13" ht="15" customHeight="1">
      <c r="A230" s="4" t="s">
        <v>1043</v>
      </c>
      <c r="B230" s="4" t="s">
        <v>1044</v>
      </c>
      <c r="C230" s="4" t="s">
        <v>154</v>
      </c>
      <c r="D230" s="18"/>
      <c r="E230" s="18">
        <v>0</v>
      </c>
      <c r="F230" s="18">
        <v>0</v>
      </c>
      <c r="G230" s="4" t="s">
        <v>1045</v>
      </c>
      <c r="H230" s="4" t="s">
        <v>1046</v>
      </c>
      <c r="I230" s="5">
        <v>9979</v>
      </c>
      <c r="J230" s="4"/>
      <c r="K230" s="4" t="s">
        <v>1026</v>
      </c>
      <c r="L230" s="4">
        <v>933132694</v>
      </c>
      <c r="M230" s="4" t="s">
        <v>631</v>
      </c>
    </row>
    <row r="231" spans="1:13" ht="15" customHeight="1">
      <c r="A231" s="4" t="s">
        <v>1047</v>
      </c>
      <c r="B231" s="4" t="s">
        <v>1048</v>
      </c>
      <c r="C231" s="4" t="s">
        <v>154</v>
      </c>
      <c r="D231" s="18"/>
      <c r="E231" s="18">
        <v>0</v>
      </c>
      <c r="F231" s="18">
        <v>0</v>
      </c>
      <c r="G231" s="4" t="s">
        <v>1049</v>
      </c>
      <c r="H231" s="4" t="s">
        <v>1050</v>
      </c>
      <c r="I231" s="5">
        <v>2220</v>
      </c>
      <c r="J231" s="4" t="s">
        <v>1048</v>
      </c>
      <c r="K231" s="4" t="s">
        <v>992</v>
      </c>
      <c r="L231" s="4">
        <v>288931916</v>
      </c>
      <c r="M231" s="4"/>
    </row>
    <row r="232" spans="1:13" ht="15" customHeight="1">
      <c r="A232" s="4" t="s">
        <v>1051</v>
      </c>
      <c r="B232" s="4" t="s">
        <v>1052</v>
      </c>
      <c r="C232" s="4" t="s">
        <v>51</v>
      </c>
      <c r="D232" s="18"/>
      <c r="E232" s="18">
        <v>0</v>
      </c>
      <c r="F232" s="18">
        <v>0</v>
      </c>
      <c r="G232" s="4" t="s">
        <v>1053</v>
      </c>
      <c r="H232" s="4" t="s">
        <v>1054</v>
      </c>
      <c r="I232" s="5">
        <v>0</v>
      </c>
      <c r="J232" s="4"/>
      <c r="K232" s="4" t="s">
        <v>1055</v>
      </c>
      <c r="L232" s="4">
        <v>264744</v>
      </c>
      <c r="M232" s="4"/>
    </row>
    <row r="233" spans="1:13" ht="15" customHeight="1">
      <c r="A233" s="4" t="s">
        <v>1056</v>
      </c>
      <c r="B233" s="4" t="s">
        <v>75</v>
      </c>
      <c r="C233" s="4" t="s">
        <v>1057</v>
      </c>
      <c r="D233" s="18"/>
      <c r="E233" s="18">
        <v>0</v>
      </c>
      <c r="F233" s="18">
        <v>0</v>
      </c>
      <c r="G233" s="4" t="s">
        <v>1058</v>
      </c>
      <c r="H233" s="4"/>
      <c r="I233" s="5">
        <v>0</v>
      </c>
      <c r="J233" s="4"/>
      <c r="K233" s="4" t="s">
        <v>1059</v>
      </c>
      <c r="L233" s="4">
        <v>1512793</v>
      </c>
      <c r="M233" s="4"/>
    </row>
    <row r="234" spans="1:13" ht="15" customHeight="1">
      <c r="A234" s="4" t="s">
        <v>1060</v>
      </c>
      <c r="B234" s="4" t="s">
        <v>1061</v>
      </c>
      <c r="C234" s="4" t="s">
        <v>1062</v>
      </c>
      <c r="D234" s="18"/>
      <c r="E234" s="18">
        <v>0</v>
      </c>
      <c r="F234" s="18">
        <v>0</v>
      </c>
      <c r="G234" s="4" t="s">
        <v>1063</v>
      </c>
      <c r="H234" s="4" t="s">
        <v>1064</v>
      </c>
      <c r="I234" s="5">
        <v>200</v>
      </c>
      <c r="J234" s="4"/>
      <c r="K234" s="4" t="s">
        <v>1065</v>
      </c>
      <c r="L234" s="4">
        <v>12824406</v>
      </c>
      <c r="M234" s="4"/>
    </row>
    <row r="235" spans="1:13" ht="15" customHeight="1">
      <c r="A235" s="4" t="s">
        <v>1066</v>
      </c>
      <c r="B235" s="4" t="s">
        <v>1067</v>
      </c>
      <c r="C235" s="4" t="s">
        <v>1068</v>
      </c>
      <c r="D235" s="18"/>
      <c r="E235" s="18">
        <v>0</v>
      </c>
      <c r="F235" s="18">
        <v>0</v>
      </c>
      <c r="G235" s="4" t="s">
        <v>1069</v>
      </c>
      <c r="H235" s="4" t="s">
        <v>1070</v>
      </c>
      <c r="I235" s="5">
        <v>1013</v>
      </c>
      <c r="J235" s="4"/>
      <c r="K235" s="4" t="s">
        <v>1071</v>
      </c>
      <c r="L235" s="4">
        <v>291250605</v>
      </c>
      <c r="M235" s="4"/>
    </row>
    <row r="236" spans="1:13" ht="15" customHeight="1">
      <c r="A236" s="4" t="s">
        <v>1072</v>
      </c>
      <c r="B236" s="4" t="s">
        <v>1073</v>
      </c>
      <c r="C236" s="4" t="s">
        <v>265</v>
      </c>
      <c r="D236" s="18"/>
      <c r="E236" s="18">
        <v>0</v>
      </c>
      <c r="F236" s="18">
        <v>0</v>
      </c>
      <c r="G236" s="4" t="s">
        <v>1074</v>
      </c>
      <c r="H236" s="4" t="s">
        <v>1075</v>
      </c>
      <c r="I236" s="5">
        <v>2</v>
      </c>
      <c r="J236" s="4"/>
      <c r="K236" s="4" t="s">
        <v>1076</v>
      </c>
      <c r="L236" s="4">
        <v>3494554</v>
      </c>
      <c r="M236" s="4"/>
    </row>
    <row r="237" spans="1:13" ht="15" customHeight="1">
      <c r="A237" s="4" t="s">
        <v>1077</v>
      </c>
      <c r="B237" s="4" t="s">
        <v>1078</v>
      </c>
      <c r="C237" s="4" t="s">
        <v>154</v>
      </c>
      <c r="D237" s="18"/>
      <c r="E237" s="18">
        <v>0</v>
      </c>
      <c r="F237" s="18">
        <v>0</v>
      </c>
      <c r="G237" s="4" t="s">
        <v>1079</v>
      </c>
      <c r="H237" s="4" t="s">
        <v>1080</v>
      </c>
      <c r="I237" s="5">
        <v>2026</v>
      </c>
      <c r="J237" s="4"/>
      <c r="K237" s="4" t="s">
        <v>378</v>
      </c>
      <c r="L237" s="4">
        <v>437092203</v>
      </c>
      <c r="M237" s="4"/>
    </row>
    <row r="238" spans="1:13" ht="15" customHeight="1">
      <c r="A238" s="4" t="s">
        <v>1081</v>
      </c>
      <c r="B238" s="4" t="s">
        <v>1082</v>
      </c>
      <c r="C238" s="4" t="s">
        <v>1083</v>
      </c>
      <c r="D238" s="18"/>
      <c r="E238" s="18">
        <v>0</v>
      </c>
      <c r="F238" s="18">
        <v>0</v>
      </c>
      <c r="G238" s="4" t="s">
        <v>1084</v>
      </c>
      <c r="H238" s="4" t="s">
        <v>1085</v>
      </c>
      <c r="I238" s="5">
        <v>43</v>
      </c>
      <c r="J238" s="4"/>
      <c r="K238" s="4" t="s">
        <v>1086</v>
      </c>
      <c r="L238" s="4">
        <v>20951606</v>
      </c>
      <c r="M238" s="4"/>
    </row>
    <row r="239" spans="1:13" ht="15" customHeight="1">
      <c r="A239" s="4" t="s">
        <v>1087</v>
      </c>
      <c r="B239" s="4" t="s">
        <v>1088</v>
      </c>
      <c r="C239" s="4" t="s">
        <v>466</v>
      </c>
      <c r="D239" s="18"/>
      <c r="E239" s="18">
        <v>0</v>
      </c>
      <c r="F239" s="18">
        <v>0</v>
      </c>
      <c r="G239" s="4" t="s">
        <v>1089</v>
      </c>
      <c r="H239" s="4" t="s">
        <v>1090</v>
      </c>
      <c r="I239" s="5">
        <v>0</v>
      </c>
      <c r="J239" s="4" t="s">
        <v>1091</v>
      </c>
      <c r="K239" s="4" t="s">
        <v>1088</v>
      </c>
      <c r="L239" s="4">
        <v>2086840</v>
      </c>
      <c r="M239" s="4"/>
    </row>
    <row r="240" spans="1:13" ht="15" customHeight="1">
      <c r="A240" s="4" t="s">
        <v>1092</v>
      </c>
      <c r="B240" s="4" t="s">
        <v>1093</v>
      </c>
      <c r="C240" s="4" t="s">
        <v>1094</v>
      </c>
      <c r="D240" s="18"/>
      <c r="E240" s="18">
        <v>0</v>
      </c>
      <c r="F240" s="18">
        <v>0</v>
      </c>
      <c r="G240" s="4" t="s">
        <v>1095</v>
      </c>
      <c r="H240" s="4" t="s">
        <v>1096</v>
      </c>
      <c r="I240" s="5">
        <v>565</v>
      </c>
      <c r="J240" s="4"/>
      <c r="K240" s="4" t="s">
        <v>1093</v>
      </c>
      <c r="L240" s="4">
        <v>52168799</v>
      </c>
      <c r="M240" s="4"/>
    </row>
    <row r="241" spans="1:13" ht="15" customHeight="1">
      <c r="A241" s="4" t="s">
        <v>1097</v>
      </c>
      <c r="B241" s="4" t="s">
        <v>1098</v>
      </c>
      <c r="C241" s="4" t="s">
        <v>154</v>
      </c>
      <c r="D241" s="18"/>
      <c r="E241" s="18">
        <v>0</v>
      </c>
      <c r="F241" s="18">
        <v>0</v>
      </c>
      <c r="G241" s="4" t="s">
        <v>1099</v>
      </c>
      <c r="H241" s="4" t="s">
        <v>1100</v>
      </c>
      <c r="I241" s="5">
        <v>2198</v>
      </c>
      <c r="J241" s="4" t="s">
        <v>1098</v>
      </c>
      <c r="K241" s="4" t="s">
        <v>321</v>
      </c>
      <c r="L241" s="4">
        <v>280199234</v>
      </c>
      <c r="M241" s="4"/>
    </row>
    <row r="242" spans="1:13" ht="15" customHeight="1">
      <c r="A242" s="4" t="s">
        <v>1101</v>
      </c>
      <c r="B242" s="4" t="s">
        <v>1102</v>
      </c>
      <c r="C242" s="4" t="s">
        <v>427</v>
      </c>
      <c r="D242" s="18"/>
      <c r="E242" s="18">
        <v>0</v>
      </c>
      <c r="F242" s="18">
        <v>0</v>
      </c>
      <c r="G242" s="4" t="s">
        <v>1103</v>
      </c>
      <c r="H242" s="4"/>
      <c r="I242" s="5">
        <v>541</v>
      </c>
      <c r="J242" s="4" t="s">
        <v>1104</v>
      </c>
      <c r="K242" s="4" t="s">
        <v>1105</v>
      </c>
      <c r="L242" s="4">
        <v>100001088</v>
      </c>
      <c r="M242" s="4"/>
    </row>
    <row r="243" spans="1:13" ht="15" customHeight="1">
      <c r="A243" s="4" t="s">
        <v>1106</v>
      </c>
      <c r="B243" s="4" t="s">
        <v>1107</v>
      </c>
      <c r="C243" s="4" t="s">
        <v>679</v>
      </c>
      <c r="D243" s="18"/>
      <c r="E243" s="18">
        <v>0</v>
      </c>
      <c r="F243" s="18">
        <v>0</v>
      </c>
      <c r="G243" s="4" t="s">
        <v>1108</v>
      </c>
      <c r="H243" s="4" t="s">
        <v>1109</v>
      </c>
      <c r="I243" s="5">
        <v>412</v>
      </c>
      <c r="J243" s="4"/>
      <c r="K243" s="4" t="s">
        <v>1110</v>
      </c>
      <c r="L243" s="4">
        <v>192890831</v>
      </c>
      <c r="M243" s="4"/>
    </row>
    <row r="244" spans="1:13" ht="15" customHeight="1">
      <c r="A244" s="4" t="s">
        <v>1111</v>
      </c>
      <c r="B244" s="4" t="s">
        <v>1112</v>
      </c>
      <c r="C244" s="4" t="s">
        <v>670</v>
      </c>
      <c r="D244" s="18"/>
      <c r="E244" s="18">
        <v>0</v>
      </c>
      <c r="F244" s="18">
        <v>0</v>
      </c>
      <c r="G244" s="4" t="s">
        <v>1113</v>
      </c>
      <c r="H244" s="4" t="s">
        <v>1114</v>
      </c>
      <c r="I244" s="5">
        <v>0</v>
      </c>
      <c r="J244" s="4"/>
      <c r="K244" s="4" t="s">
        <v>672</v>
      </c>
      <c r="L244" s="4">
        <v>206797</v>
      </c>
      <c r="M244" s="4"/>
    </row>
    <row r="245" spans="1:13" ht="15" customHeight="1">
      <c r="A245" s="4" t="s">
        <v>1115</v>
      </c>
      <c r="B245" s="4" t="s">
        <v>1116</v>
      </c>
      <c r="C245" s="4" t="s">
        <v>1117</v>
      </c>
      <c r="D245" s="18"/>
      <c r="E245" s="18">
        <v>0</v>
      </c>
      <c r="F245" s="18">
        <v>0</v>
      </c>
      <c r="G245" s="4" t="s">
        <v>1118</v>
      </c>
      <c r="H245" s="4" t="s">
        <v>1119</v>
      </c>
      <c r="I245" s="5">
        <v>0</v>
      </c>
      <c r="J245" s="4"/>
      <c r="K245" s="4" t="s">
        <v>1120</v>
      </c>
      <c r="L245" s="4">
        <v>574539</v>
      </c>
      <c r="M245" s="4"/>
    </row>
    <row r="246" spans="1:13" ht="15" customHeight="1">
      <c r="A246" s="4" t="s">
        <v>1121</v>
      </c>
      <c r="B246" s="4" t="s">
        <v>1122</v>
      </c>
      <c r="C246" s="4" t="s">
        <v>1123</v>
      </c>
      <c r="D246" s="18"/>
      <c r="E246" s="18">
        <v>0</v>
      </c>
      <c r="F246" s="18">
        <v>0</v>
      </c>
      <c r="G246" s="4" t="s">
        <v>1124</v>
      </c>
      <c r="H246" s="4"/>
      <c r="I246" s="5">
        <v>0</v>
      </c>
      <c r="J246" s="4" t="s">
        <v>1125</v>
      </c>
      <c r="K246" s="4" t="s">
        <v>1126</v>
      </c>
      <c r="L246" s="4">
        <v>214685</v>
      </c>
      <c r="M246" s="4"/>
    </row>
    <row r="247" spans="1:13" ht="15" customHeight="1">
      <c r="A247" s="4" t="s">
        <v>1127</v>
      </c>
      <c r="B247" s="4" t="s">
        <v>1128</v>
      </c>
      <c r="C247" s="4" t="s">
        <v>1129</v>
      </c>
      <c r="D247" s="18"/>
      <c r="E247" s="18">
        <v>0</v>
      </c>
      <c r="F247" s="18">
        <v>0</v>
      </c>
      <c r="G247" s="4" t="s">
        <v>1130</v>
      </c>
      <c r="H247" s="4"/>
      <c r="I247" s="5">
        <v>1</v>
      </c>
      <c r="J247" s="4"/>
      <c r="K247" s="4" t="s">
        <v>1131</v>
      </c>
      <c r="L247" s="4">
        <v>185415</v>
      </c>
      <c r="M247" s="4"/>
    </row>
    <row r="248" spans="1:13" ht="15" customHeight="1">
      <c r="A248" s="4" t="s">
        <v>1132</v>
      </c>
      <c r="B248" s="4" t="s">
        <v>1133</v>
      </c>
      <c r="C248" s="4" t="s">
        <v>541</v>
      </c>
      <c r="D248" s="18"/>
      <c r="E248" s="18">
        <v>0</v>
      </c>
      <c r="F248" s="18">
        <v>0</v>
      </c>
      <c r="G248" s="4" t="s">
        <v>1134</v>
      </c>
      <c r="H248" s="4" t="s">
        <v>1135</v>
      </c>
      <c r="I248" s="5">
        <v>50</v>
      </c>
      <c r="J248" s="4"/>
      <c r="K248" s="4" t="s">
        <v>1136</v>
      </c>
      <c r="L248" s="4">
        <v>32238564</v>
      </c>
      <c r="M248" s="4" t="s">
        <v>747</v>
      </c>
    </row>
    <row r="249" spans="1:13" ht="15" customHeight="1">
      <c r="A249" s="4" t="s">
        <v>1137</v>
      </c>
      <c r="B249" s="4" t="s">
        <v>1138</v>
      </c>
      <c r="C249" s="4" t="s">
        <v>541</v>
      </c>
      <c r="D249" s="18"/>
      <c r="E249" s="18">
        <v>0</v>
      </c>
      <c r="F249" s="18">
        <v>0</v>
      </c>
      <c r="G249" s="4" t="s">
        <v>1139</v>
      </c>
      <c r="H249" s="4" t="s">
        <v>1140</v>
      </c>
      <c r="I249" s="5">
        <v>39</v>
      </c>
      <c r="J249" s="4"/>
      <c r="K249" s="4" t="s">
        <v>1141</v>
      </c>
      <c r="L249" s="4">
        <v>25180382</v>
      </c>
      <c r="M249" s="4"/>
    </row>
    <row r="250" spans="1:13" ht="15" customHeight="1">
      <c r="A250" s="4" t="s">
        <v>1142</v>
      </c>
      <c r="B250" s="4" t="s">
        <v>1143</v>
      </c>
      <c r="C250" s="4" t="s">
        <v>154</v>
      </c>
      <c r="D250" s="18"/>
      <c r="E250" s="18">
        <v>82980</v>
      </c>
      <c r="F250" s="18">
        <v>5843</v>
      </c>
      <c r="G250" s="4" t="s">
        <v>1144</v>
      </c>
      <c r="H250" s="4"/>
      <c r="I250" s="5">
        <v>7881</v>
      </c>
      <c r="J250" s="4"/>
      <c r="K250" s="4" t="s">
        <v>1026</v>
      </c>
      <c r="L250" s="4">
        <v>2525440964</v>
      </c>
      <c r="M250" s="4" t="s">
        <v>631</v>
      </c>
    </row>
    <row r="251" spans="1:13" ht="15" customHeight="1">
      <c r="A251" s="4" t="s">
        <v>1145</v>
      </c>
      <c r="B251" s="4" t="s">
        <v>1146</v>
      </c>
      <c r="C251" s="4" t="s">
        <v>1147</v>
      </c>
      <c r="D251" s="18"/>
      <c r="E251" s="18">
        <v>0</v>
      </c>
      <c r="F251" s="18">
        <v>0</v>
      </c>
      <c r="G251" s="4" t="s">
        <v>1148</v>
      </c>
      <c r="H251" s="4" t="s">
        <v>1149</v>
      </c>
      <c r="I251" s="5">
        <v>2359</v>
      </c>
      <c r="J251" s="4" t="s">
        <v>1150</v>
      </c>
      <c r="K251" s="4" t="s">
        <v>1151</v>
      </c>
      <c r="L251" s="4">
        <v>377806178</v>
      </c>
      <c r="M251" s="4"/>
    </row>
    <row r="252" spans="1:13" ht="15" customHeight="1">
      <c r="A252" s="4" t="s">
        <v>1152</v>
      </c>
      <c r="B252" s="4" t="s">
        <v>1153</v>
      </c>
      <c r="C252" s="4" t="s">
        <v>1154</v>
      </c>
      <c r="D252" s="18"/>
      <c r="E252" s="18">
        <v>0</v>
      </c>
      <c r="F252" s="18">
        <v>0</v>
      </c>
      <c r="G252" s="4" t="s">
        <v>1155</v>
      </c>
      <c r="H252" s="4" t="s">
        <v>1156</v>
      </c>
      <c r="I252" s="5">
        <v>0</v>
      </c>
      <c r="J252" s="4"/>
      <c r="K252" s="4" t="s">
        <v>1157</v>
      </c>
      <c r="L252" s="4">
        <v>88189</v>
      </c>
      <c r="M252" s="4"/>
    </row>
    <row r="253" spans="1:13" ht="15" customHeight="1">
      <c r="A253" s="4" t="s">
        <v>1158</v>
      </c>
      <c r="B253" s="4" t="s">
        <v>1159</v>
      </c>
      <c r="C253" s="4" t="s">
        <v>1160</v>
      </c>
      <c r="D253" s="18"/>
      <c r="E253" s="18">
        <v>0</v>
      </c>
      <c r="F253" s="18">
        <v>0</v>
      </c>
      <c r="G253" s="4" t="s">
        <v>1161</v>
      </c>
      <c r="H253" s="4" t="s">
        <v>1162</v>
      </c>
      <c r="I253" s="5">
        <v>642</v>
      </c>
      <c r="J253" s="4" t="s">
        <v>1163</v>
      </c>
      <c r="K253" s="4" t="s">
        <v>1159</v>
      </c>
      <c r="L253" s="4">
        <v>87672374</v>
      </c>
      <c r="M253" s="4"/>
    </row>
    <row r="254" spans="1:13" ht="15" customHeight="1">
      <c r="A254" s="4" t="s">
        <v>1164</v>
      </c>
      <c r="B254" s="4" t="s">
        <v>1165</v>
      </c>
      <c r="C254" s="4" t="s">
        <v>227</v>
      </c>
      <c r="D254" s="18"/>
      <c r="E254" s="18">
        <v>0</v>
      </c>
      <c r="F254" s="18">
        <v>0</v>
      </c>
      <c r="G254" s="4" t="s">
        <v>1166</v>
      </c>
      <c r="H254" s="4" t="s">
        <v>1167</v>
      </c>
      <c r="I254" s="5">
        <v>1418</v>
      </c>
      <c r="J254" s="4"/>
      <c r="K254" s="4" t="s">
        <v>1168</v>
      </c>
      <c r="L254" s="4">
        <v>155681177</v>
      </c>
      <c r="M254" s="4" t="s">
        <v>852</v>
      </c>
    </row>
    <row r="255" spans="1:13" ht="15" customHeight="1">
      <c r="A255" s="4" t="s">
        <v>1169</v>
      </c>
      <c r="B255" s="4" t="s">
        <v>1170</v>
      </c>
      <c r="C255" s="4" t="s">
        <v>227</v>
      </c>
      <c r="D255" s="18"/>
      <c r="E255" s="18">
        <v>0</v>
      </c>
      <c r="F255" s="18">
        <v>0</v>
      </c>
      <c r="G255" s="4" t="s">
        <v>1171</v>
      </c>
      <c r="H255" s="4" t="s">
        <v>1172</v>
      </c>
      <c r="I255" s="5">
        <v>33</v>
      </c>
      <c r="J255" s="4"/>
      <c r="K255" s="4"/>
      <c r="L255" s="4">
        <v>17175894</v>
      </c>
      <c r="M255" s="4"/>
    </row>
    <row r="256" spans="1:13" ht="15" customHeight="1">
      <c r="A256" s="4" t="s">
        <v>1173</v>
      </c>
      <c r="B256" s="4" t="s">
        <v>1174</v>
      </c>
      <c r="C256" s="4" t="s">
        <v>1175</v>
      </c>
      <c r="D256" s="18"/>
      <c r="E256" s="18">
        <v>0</v>
      </c>
      <c r="F256" s="18">
        <v>0</v>
      </c>
      <c r="G256" s="4" t="s">
        <v>1176</v>
      </c>
      <c r="H256" s="4" t="s">
        <v>1177</v>
      </c>
      <c r="I256" s="5">
        <v>2</v>
      </c>
      <c r="J256" s="4"/>
      <c r="K256" s="4" t="s">
        <v>1178</v>
      </c>
      <c r="L256" s="4">
        <v>1631890</v>
      </c>
      <c r="M256" s="4"/>
    </row>
    <row r="257" spans="1:13" ht="15" customHeight="1">
      <c r="A257" s="4" t="s">
        <v>1179</v>
      </c>
      <c r="B257" s="4" t="s">
        <v>1180</v>
      </c>
      <c r="C257" s="4" t="s">
        <v>541</v>
      </c>
      <c r="D257" s="18"/>
      <c r="E257" s="18">
        <v>0</v>
      </c>
      <c r="F257" s="18">
        <v>0</v>
      </c>
      <c r="G257" s="4" t="s">
        <v>1181</v>
      </c>
      <c r="H257" s="4" t="s">
        <v>1182</v>
      </c>
      <c r="I257" s="5">
        <v>17</v>
      </c>
      <c r="J257" s="4"/>
      <c r="K257" s="4" t="s">
        <v>1180</v>
      </c>
      <c r="L257" s="4">
        <v>6260891</v>
      </c>
      <c r="M257" s="4"/>
    </row>
    <row r="258" spans="1:13" ht="15" customHeight="1">
      <c r="A258" s="4" t="s">
        <v>1183</v>
      </c>
      <c r="B258" s="4" t="s">
        <v>1184</v>
      </c>
      <c r="C258" s="4" t="s">
        <v>131</v>
      </c>
      <c r="D258" s="18"/>
      <c r="E258" s="18">
        <v>0</v>
      </c>
      <c r="F258" s="18">
        <v>0</v>
      </c>
      <c r="G258" s="4" t="s">
        <v>1185</v>
      </c>
      <c r="H258" s="4" t="s">
        <v>1186</v>
      </c>
      <c r="I258" s="5">
        <v>13</v>
      </c>
      <c r="J258" s="4"/>
      <c r="K258" s="4" t="s">
        <v>1187</v>
      </c>
      <c r="L258" s="4">
        <v>6139411</v>
      </c>
      <c r="M258" s="4"/>
    </row>
    <row r="259" spans="1:13" ht="15" customHeight="1">
      <c r="A259" s="4" t="s">
        <v>1188</v>
      </c>
      <c r="B259" s="4" t="s">
        <v>1189</v>
      </c>
      <c r="C259" s="4" t="s">
        <v>265</v>
      </c>
      <c r="D259" s="18"/>
      <c r="E259" s="18">
        <v>0</v>
      </c>
      <c r="F259" s="18">
        <v>0</v>
      </c>
      <c r="G259" s="4" t="s">
        <v>1190</v>
      </c>
      <c r="H259" s="4" t="s">
        <v>1191</v>
      </c>
      <c r="I259" s="5">
        <v>1269</v>
      </c>
      <c r="J259" s="4" t="s">
        <v>1192</v>
      </c>
      <c r="K259" s="4" t="s">
        <v>1193</v>
      </c>
      <c r="L259" s="4">
        <v>347528057</v>
      </c>
      <c r="M259" s="4"/>
    </row>
    <row r="260" spans="1:13" ht="15" customHeight="1">
      <c r="A260" s="4" t="s">
        <v>1194</v>
      </c>
      <c r="B260" s="4" t="s">
        <v>1195</v>
      </c>
      <c r="C260" s="4" t="s">
        <v>265</v>
      </c>
      <c r="D260" s="18"/>
      <c r="E260" s="18">
        <v>0</v>
      </c>
      <c r="F260" s="18">
        <v>0</v>
      </c>
      <c r="G260" s="4" t="s">
        <v>1196</v>
      </c>
      <c r="H260" s="4" t="s">
        <v>1197</v>
      </c>
      <c r="I260" s="5">
        <v>23031</v>
      </c>
      <c r="J260" s="4"/>
      <c r="K260" s="4" t="s">
        <v>1198</v>
      </c>
      <c r="L260" s="4">
        <v>1372935531</v>
      </c>
      <c r="M260" s="4" t="s">
        <v>631</v>
      </c>
    </row>
    <row r="261" spans="1:13" ht="15" customHeight="1">
      <c r="A261" s="4" t="s">
        <v>1199</v>
      </c>
      <c r="B261" s="4" t="s">
        <v>1200</v>
      </c>
      <c r="C261" s="4" t="s">
        <v>265</v>
      </c>
      <c r="D261" s="18"/>
      <c r="E261" s="18">
        <v>0</v>
      </c>
      <c r="F261" s="18">
        <v>0</v>
      </c>
      <c r="G261" s="4" t="s">
        <v>1201</v>
      </c>
      <c r="H261" s="4" t="s">
        <v>1202</v>
      </c>
      <c r="I261" s="5">
        <v>320</v>
      </c>
      <c r="J261" s="4" t="s">
        <v>1203</v>
      </c>
      <c r="K261" s="4" t="s">
        <v>1204</v>
      </c>
      <c r="L261" s="4">
        <v>180093278</v>
      </c>
      <c r="M261" s="4"/>
    </row>
    <row r="262" spans="1:13" ht="15" customHeight="1">
      <c r="A262" s="4" t="s">
        <v>1205</v>
      </c>
      <c r="B262" s="4" t="s">
        <v>1206</v>
      </c>
      <c r="C262" s="4" t="s">
        <v>245</v>
      </c>
      <c r="D262" s="18"/>
      <c r="E262" s="18">
        <v>0</v>
      </c>
      <c r="F262" s="18">
        <v>0</v>
      </c>
      <c r="G262" s="4" t="s">
        <v>1207</v>
      </c>
      <c r="H262" s="4" t="s">
        <v>1208</v>
      </c>
      <c r="I262" s="5">
        <v>388</v>
      </c>
      <c r="J262" s="4"/>
      <c r="K262" s="4" t="s">
        <v>1209</v>
      </c>
      <c r="L262" s="4">
        <v>75022447</v>
      </c>
      <c r="M262" s="4"/>
    </row>
    <row r="263" spans="1:13" ht="15" customHeight="1">
      <c r="A263" s="4" t="s">
        <v>1210</v>
      </c>
      <c r="B263" s="4" t="s">
        <v>378</v>
      </c>
      <c r="C263" s="4" t="s">
        <v>1211</v>
      </c>
      <c r="D263" s="18"/>
      <c r="E263" s="18">
        <v>0</v>
      </c>
      <c r="F263" s="18">
        <v>0</v>
      </c>
      <c r="G263" s="4" t="s">
        <v>1212</v>
      </c>
      <c r="H263" s="4" t="s">
        <v>1213</v>
      </c>
      <c r="I263" s="5">
        <v>2</v>
      </c>
      <c r="J263" s="4"/>
      <c r="K263" s="4" t="s">
        <v>1214</v>
      </c>
      <c r="L263" s="4">
        <v>2445092</v>
      </c>
      <c r="M263" s="4"/>
    </row>
    <row r="264" spans="1:13" ht="15" customHeight="1">
      <c r="A264" s="4" t="s">
        <v>1215</v>
      </c>
      <c r="B264" s="4" t="s">
        <v>1216</v>
      </c>
      <c r="C264" s="4" t="s">
        <v>1217</v>
      </c>
      <c r="D264" s="18"/>
      <c r="E264" s="18">
        <v>0</v>
      </c>
      <c r="F264" s="18">
        <v>0</v>
      </c>
      <c r="G264" s="4" t="s">
        <v>1218</v>
      </c>
      <c r="H264" s="4" t="s">
        <v>1219</v>
      </c>
      <c r="I264" s="5">
        <v>4</v>
      </c>
      <c r="J264" s="4" t="s">
        <v>1220</v>
      </c>
      <c r="K264" s="4" t="s">
        <v>1216</v>
      </c>
      <c r="L264" s="4">
        <v>5997802</v>
      </c>
      <c r="M264" s="4"/>
    </row>
    <row r="265" spans="1:13" ht="15" customHeight="1">
      <c r="A265" s="4" t="s">
        <v>1221</v>
      </c>
      <c r="B265" s="4" t="s">
        <v>1222</v>
      </c>
      <c r="C265" s="4" t="s">
        <v>721</v>
      </c>
      <c r="D265" s="18"/>
      <c r="E265" s="18">
        <v>29709</v>
      </c>
      <c r="F265" s="18">
        <v>4401</v>
      </c>
      <c r="G265" s="4" t="s">
        <v>1223</v>
      </c>
      <c r="H265" s="4"/>
      <c r="I265" s="5">
        <v>1235</v>
      </c>
      <c r="J265" s="4"/>
      <c r="K265" s="4" t="s">
        <v>724</v>
      </c>
      <c r="L265" s="4">
        <v>249141822</v>
      </c>
      <c r="M265" s="4" t="s">
        <v>1224</v>
      </c>
    </row>
    <row r="266" spans="1:13" ht="15" customHeight="1">
      <c r="A266" s="4" t="s">
        <v>1225</v>
      </c>
      <c r="B266" s="4" t="s">
        <v>1226</v>
      </c>
      <c r="C266" s="4" t="s">
        <v>721</v>
      </c>
      <c r="D266" s="18"/>
      <c r="E266" s="18">
        <v>547</v>
      </c>
      <c r="F266" s="18">
        <v>47</v>
      </c>
      <c r="G266" s="4" t="s">
        <v>1227</v>
      </c>
      <c r="H266" s="4"/>
      <c r="I266" s="5">
        <v>157</v>
      </c>
      <c r="J266" s="4" t="s">
        <v>1226</v>
      </c>
      <c r="K266" s="4"/>
      <c r="L266" s="4">
        <v>96065912</v>
      </c>
      <c r="M266" s="4"/>
    </row>
    <row r="267" spans="1:13" ht="15" customHeight="1">
      <c r="A267" s="4" t="s">
        <v>1228</v>
      </c>
      <c r="B267" s="4" t="s">
        <v>1229</v>
      </c>
      <c r="C267" s="4" t="s">
        <v>1230</v>
      </c>
      <c r="D267" s="18"/>
      <c r="E267" s="18">
        <v>0</v>
      </c>
      <c r="F267" s="18">
        <v>0</v>
      </c>
      <c r="G267" s="4" t="s">
        <v>1231</v>
      </c>
      <c r="H267" s="4" t="s">
        <v>1232</v>
      </c>
      <c r="I267" s="5">
        <v>558</v>
      </c>
      <c r="J267" s="4" t="s">
        <v>1233</v>
      </c>
      <c r="K267" s="4" t="s">
        <v>1229</v>
      </c>
      <c r="L267" s="4">
        <v>70470580</v>
      </c>
      <c r="M267" s="4"/>
    </row>
    <row r="268" spans="1:13" ht="15" customHeight="1">
      <c r="A268" s="4" t="s">
        <v>1234</v>
      </c>
      <c r="B268" s="4" t="s">
        <v>1235</v>
      </c>
      <c r="C268" s="4" t="s">
        <v>154</v>
      </c>
      <c r="D268" s="18"/>
      <c r="E268" s="18">
        <v>6709</v>
      </c>
      <c r="F268" s="18">
        <v>265</v>
      </c>
      <c r="G268" s="4" t="s">
        <v>1236</v>
      </c>
      <c r="H268" s="4"/>
      <c r="I268" s="5">
        <v>349</v>
      </c>
      <c r="J268" s="4" t="s">
        <v>1237</v>
      </c>
      <c r="K268" s="4" t="s">
        <v>292</v>
      </c>
      <c r="L268" s="4">
        <v>182820128</v>
      </c>
      <c r="M268" s="4"/>
    </row>
    <row r="269" spans="1:13" ht="15" customHeight="1">
      <c r="A269" s="4" t="s">
        <v>1238</v>
      </c>
      <c r="B269" s="4" t="s">
        <v>1239</v>
      </c>
      <c r="C269" s="4" t="s">
        <v>1240</v>
      </c>
      <c r="D269" s="18"/>
      <c r="E269" s="18">
        <v>0</v>
      </c>
      <c r="F269" s="18">
        <v>0</v>
      </c>
      <c r="G269" s="4" t="s">
        <v>1241</v>
      </c>
      <c r="H269" s="4" t="s">
        <v>1242</v>
      </c>
      <c r="I269" s="5">
        <v>1014</v>
      </c>
      <c r="J269" s="4" t="s">
        <v>1243</v>
      </c>
      <c r="K269" s="4" t="s">
        <v>1239</v>
      </c>
      <c r="L269" s="4">
        <v>263295360</v>
      </c>
      <c r="M269" s="4"/>
    </row>
    <row r="270" spans="1:13" ht="15" customHeight="1">
      <c r="A270" s="4" t="s">
        <v>1244</v>
      </c>
      <c r="B270" s="4" t="s">
        <v>1245</v>
      </c>
      <c r="C270" s="4" t="s">
        <v>154</v>
      </c>
      <c r="D270" s="18"/>
      <c r="E270" s="18">
        <v>0</v>
      </c>
      <c r="F270" s="18">
        <v>0</v>
      </c>
      <c r="G270" s="4" t="s">
        <v>1246</v>
      </c>
      <c r="H270" s="4" t="s">
        <v>1247</v>
      </c>
      <c r="I270" s="5">
        <v>566</v>
      </c>
      <c r="J270" s="4"/>
      <c r="K270" s="4" t="s">
        <v>636</v>
      </c>
      <c r="L270" s="4">
        <v>295581552</v>
      </c>
      <c r="M270" s="4"/>
    </row>
    <row r="271" spans="1:13" ht="15" customHeight="1">
      <c r="A271" s="4" t="s">
        <v>1248</v>
      </c>
      <c r="B271" s="4" t="s">
        <v>1249</v>
      </c>
      <c r="C271" s="4" t="s">
        <v>1250</v>
      </c>
      <c r="D271" s="18"/>
      <c r="E271" s="18">
        <v>0</v>
      </c>
      <c r="F271" s="18">
        <v>0</v>
      </c>
      <c r="G271" s="4" t="s">
        <v>1251</v>
      </c>
      <c r="H271" s="4" t="s">
        <v>1252</v>
      </c>
      <c r="I271" s="5">
        <v>68</v>
      </c>
      <c r="J271" s="4"/>
      <c r="K271" s="4" t="s">
        <v>1253</v>
      </c>
      <c r="L271" s="4">
        <v>21952216</v>
      </c>
      <c r="M271" s="4"/>
    </row>
    <row r="272" spans="1:13" ht="15" customHeight="1">
      <c r="A272" s="4" t="s">
        <v>1254</v>
      </c>
      <c r="B272" s="4" t="s">
        <v>1255</v>
      </c>
      <c r="C272" s="4" t="s">
        <v>131</v>
      </c>
      <c r="D272" s="18"/>
      <c r="E272" s="18">
        <v>0</v>
      </c>
      <c r="F272" s="18">
        <v>0</v>
      </c>
      <c r="G272" s="4" t="s">
        <v>1256</v>
      </c>
      <c r="H272" s="4" t="s">
        <v>1257</v>
      </c>
      <c r="I272" s="5">
        <v>11</v>
      </c>
      <c r="J272" s="4"/>
      <c r="K272" s="4"/>
      <c r="L272" s="4">
        <v>4994709</v>
      </c>
      <c r="M272" s="4"/>
    </row>
    <row r="273" spans="1:13" ht="15" customHeight="1">
      <c r="A273" s="4" t="s">
        <v>1258</v>
      </c>
      <c r="B273" s="4" t="s">
        <v>1259</v>
      </c>
      <c r="C273" s="4" t="s">
        <v>1260</v>
      </c>
      <c r="D273" s="18"/>
      <c r="E273" s="18">
        <v>0</v>
      </c>
      <c r="F273" s="18">
        <v>0</v>
      </c>
      <c r="G273" s="4" t="s">
        <v>1261</v>
      </c>
      <c r="H273" s="4" t="s">
        <v>1262</v>
      </c>
      <c r="I273" s="5">
        <v>408</v>
      </c>
      <c r="J273" s="4"/>
      <c r="K273" s="4" t="s">
        <v>1263</v>
      </c>
      <c r="L273" s="4">
        <v>82776763</v>
      </c>
      <c r="M273" s="4" t="s">
        <v>1264</v>
      </c>
    </row>
    <row r="274" spans="1:13" ht="15" customHeight="1">
      <c r="A274" s="4" t="s">
        <v>1265</v>
      </c>
      <c r="B274" s="4" t="s">
        <v>1266</v>
      </c>
      <c r="C274" s="4" t="s">
        <v>1267</v>
      </c>
      <c r="D274" s="18"/>
      <c r="E274" s="18">
        <v>0</v>
      </c>
      <c r="F274" s="18">
        <v>0</v>
      </c>
      <c r="G274" s="4" t="s">
        <v>1268</v>
      </c>
      <c r="H274" s="4" t="s">
        <v>1269</v>
      </c>
      <c r="I274" s="5">
        <v>64</v>
      </c>
      <c r="J274" s="4" t="s">
        <v>1270</v>
      </c>
      <c r="K274" s="4" t="s">
        <v>1271</v>
      </c>
      <c r="L274" s="4">
        <v>15785405</v>
      </c>
      <c r="M274" s="4"/>
    </row>
    <row r="275" spans="1:13" ht="15" customHeight="1">
      <c r="A275" s="4" t="s">
        <v>1272</v>
      </c>
      <c r="B275" s="4" t="s">
        <v>1273</v>
      </c>
      <c r="C275" s="4" t="s">
        <v>1274</v>
      </c>
      <c r="D275" s="18"/>
      <c r="E275" s="18">
        <v>0</v>
      </c>
      <c r="F275" s="18">
        <v>0</v>
      </c>
      <c r="G275" s="4" t="s">
        <v>1275</v>
      </c>
      <c r="H275" s="4" t="s">
        <v>1276</v>
      </c>
      <c r="I275" s="5">
        <v>2369</v>
      </c>
      <c r="J275" s="4" t="s">
        <v>1277</v>
      </c>
      <c r="K275" s="4" t="s">
        <v>1273</v>
      </c>
      <c r="L275" s="4">
        <v>672798547</v>
      </c>
      <c r="M275" s="4"/>
    </row>
    <row r="276" spans="1:13" ht="15" customHeight="1">
      <c r="A276" s="4" t="s">
        <v>1278</v>
      </c>
      <c r="B276" s="4" t="s">
        <v>1279</v>
      </c>
      <c r="C276" s="4" t="s">
        <v>42</v>
      </c>
      <c r="D276" s="18"/>
      <c r="E276" s="18">
        <v>0</v>
      </c>
      <c r="F276" s="18">
        <v>0</v>
      </c>
      <c r="G276" s="4" t="s">
        <v>1280</v>
      </c>
      <c r="H276" s="4" t="s">
        <v>1281</v>
      </c>
      <c r="I276" s="5">
        <v>3</v>
      </c>
      <c r="J276" s="4" t="s">
        <v>1282</v>
      </c>
      <c r="K276" s="4" t="s">
        <v>1279</v>
      </c>
      <c r="L276" s="4">
        <v>4976715</v>
      </c>
      <c r="M276" s="4"/>
    </row>
    <row r="277" spans="1:13" ht="15" customHeight="1">
      <c r="A277" s="4" t="s">
        <v>1283</v>
      </c>
      <c r="B277" s="4" t="s">
        <v>1284</v>
      </c>
      <c r="C277" s="4" t="s">
        <v>679</v>
      </c>
      <c r="D277" s="18"/>
      <c r="E277" s="18">
        <v>0</v>
      </c>
      <c r="F277" s="18">
        <v>0</v>
      </c>
      <c r="G277" s="4" t="s">
        <v>1285</v>
      </c>
      <c r="H277" s="4" t="s">
        <v>1286</v>
      </c>
      <c r="I277" s="5">
        <v>240</v>
      </c>
      <c r="J277" s="4"/>
      <c r="K277" s="4" t="s">
        <v>1287</v>
      </c>
      <c r="L277" s="4">
        <v>177898408</v>
      </c>
      <c r="M277" s="4"/>
    </row>
    <row r="278" spans="1:13" ht="15" customHeight="1">
      <c r="A278" s="4" t="s">
        <v>1288</v>
      </c>
      <c r="B278" s="4" t="s">
        <v>1289</v>
      </c>
      <c r="C278" s="4" t="s">
        <v>679</v>
      </c>
      <c r="D278" s="18"/>
      <c r="E278" s="18">
        <v>0</v>
      </c>
      <c r="F278" s="18">
        <v>0</v>
      </c>
      <c r="G278" s="4" t="s">
        <v>1290</v>
      </c>
      <c r="H278" s="4"/>
      <c r="I278" s="5">
        <v>79</v>
      </c>
      <c r="J278" s="4"/>
      <c r="K278" s="4" t="s">
        <v>1291</v>
      </c>
      <c r="L278" s="4">
        <v>19753956</v>
      </c>
      <c r="M278" s="4"/>
    </row>
    <row r="279" spans="1:13" ht="15" customHeight="1">
      <c r="A279" s="4" t="s">
        <v>1292</v>
      </c>
      <c r="B279" s="4" t="s">
        <v>1293</v>
      </c>
      <c r="C279" s="4" t="s">
        <v>360</v>
      </c>
      <c r="D279" s="18"/>
      <c r="E279" s="18">
        <v>73046</v>
      </c>
      <c r="F279" s="18">
        <v>13534</v>
      </c>
      <c r="G279" s="4" t="s">
        <v>1294</v>
      </c>
      <c r="H279" s="4"/>
      <c r="I279" s="5">
        <v>2627</v>
      </c>
      <c r="J279" s="4"/>
      <c r="K279" s="4" t="s">
        <v>1293</v>
      </c>
      <c r="L279" s="4">
        <v>313156503</v>
      </c>
      <c r="M279" s="4" t="s">
        <v>704</v>
      </c>
    </row>
    <row r="280" spans="1:13" ht="15" customHeight="1">
      <c r="A280" s="4" t="s">
        <v>1295</v>
      </c>
      <c r="B280" s="4" t="s">
        <v>1296</v>
      </c>
      <c r="C280" s="4" t="s">
        <v>188</v>
      </c>
      <c r="D280" s="18"/>
      <c r="E280" s="18">
        <v>0</v>
      </c>
      <c r="F280" s="18">
        <v>0</v>
      </c>
      <c r="G280" s="4" t="s">
        <v>1297</v>
      </c>
      <c r="H280" s="4"/>
      <c r="I280" s="5">
        <v>179</v>
      </c>
      <c r="J280" s="4"/>
      <c r="K280" s="4" t="s">
        <v>1298</v>
      </c>
      <c r="L280" s="4">
        <v>61503981</v>
      </c>
      <c r="M280" s="4"/>
    </row>
    <row r="281" spans="1:13" ht="15" customHeight="1">
      <c r="A281" s="4" t="s">
        <v>1299</v>
      </c>
      <c r="B281" s="4" t="s">
        <v>99</v>
      </c>
      <c r="C281" s="4" t="s">
        <v>51</v>
      </c>
      <c r="D281" s="18"/>
      <c r="E281" s="18">
        <v>0</v>
      </c>
      <c r="F281" s="18">
        <v>0</v>
      </c>
      <c r="G281" s="4" t="s">
        <v>1300</v>
      </c>
      <c r="H281" s="4" t="s">
        <v>1301</v>
      </c>
      <c r="I281" s="5">
        <v>0</v>
      </c>
      <c r="J281" s="4"/>
      <c r="K281" s="4" t="s">
        <v>99</v>
      </c>
      <c r="L281" s="4">
        <v>94693</v>
      </c>
      <c r="M281" s="4"/>
    </row>
    <row r="282" spans="1:13" ht="15" customHeight="1">
      <c r="A282" s="4" t="s">
        <v>1302</v>
      </c>
      <c r="B282" s="4" t="s">
        <v>103</v>
      </c>
      <c r="C282" s="4" t="s">
        <v>51</v>
      </c>
      <c r="D282" s="18"/>
      <c r="E282" s="18">
        <v>0</v>
      </c>
      <c r="F282" s="18">
        <v>0</v>
      </c>
      <c r="G282" s="4" t="s">
        <v>1303</v>
      </c>
      <c r="H282" s="4"/>
      <c r="I282" s="5">
        <v>0</v>
      </c>
      <c r="J282" s="4"/>
      <c r="K282" s="4" t="s">
        <v>103</v>
      </c>
      <c r="L282" s="4">
        <v>64479</v>
      </c>
      <c r="M282" s="4"/>
    </row>
    <row r="283" spans="1:13" ht="15" customHeight="1">
      <c r="A283" s="4" t="s">
        <v>1304</v>
      </c>
      <c r="B283" s="4" t="s">
        <v>1305</v>
      </c>
      <c r="C283" s="4" t="s">
        <v>1306</v>
      </c>
      <c r="D283" s="18"/>
      <c r="E283" s="18">
        <v>0</v>
      </c>
      <c r="F283" s="18">
        <v>0</v>
      </c>
      <c r="G283" s="4" t="s">
        <v>1307</v>
      </c>
      <c r="H283" s="4" t="s">
        <v>1308</v>
      </c>
      <c r="I283" s="5">
        <v>1718</v>
      </c>
      <c r="J283" s="4" t="s">
        <v>1309</v>
      </c>
      <c r="K283" s="4" t="s">
        <v>1310</v>
      </c>
      <c r="L283" s="4">
        <v>544027498</v>
      </c>
      <c r="M283" s="4"/>
    </row>
    <row r="284" spans="1:13" ht="15" customHeight="1">
      <c r="A284" s="4" t="s">
        <v>1311</v>
      </c>
      <c r="B284" s="4" t="s">
        <v>1312</v>
      </c>
      <c r="C284" s="4" t="s">
        <v>1313</v>
      </c>
      <c r="D284" s="18"/>
      <c r="E284" s="18">
        <v>0</v>
      </c>
      <c r="F284" s="18">
        <v>0</v>
      </c>
      <c r="G284" s="4" t="s">
        <v>1314</v>
      </c>
      <c r="H284" s="4" t="s">
        <v>1315</v>
      </c>
      <c r="I284" s="5">
        <v>23</v>
      </c>
      <c r="J284" s="4"/>
      <c r="K284" s="4" t="s">
        <v>1312</v>
      </c>
      <c r="L284" s="4">
        <v>2997679</v>
      </c>
      <c r="M284" s="4"/>
    </row>
    <row r="285" spans="1:13" ht="15" customHeight="1">
      <c r="A285" s="4" t="s">
        <v>1316</v>
      </c>
      <c r="B285" s="4" t="s">
        <v>1317</v>
      </c>
      <c r="C285" s="4" t="s">
        <v>427</v>
      </c>
      <c r="D285" s="18"/>
      <c r="E285" s="18">
        <v>0</v>
      </c>
      <c r="F285" s="18">
        <v>0</v>
      </c>
      <c r="G285" s="4" t="s">
        <v>1318</v>
      </c>
      <c r="H285" s="4"/>
      <c r="I285" s="5">
        <v>79</v>
      </c>
      <c r="J285" s="4"/>
      <c r="K285" s="4" t="s">
        <v>1317</v>
      </c>
      <c r="L285" s="4">
        <v>12717948</v>
      </c>
      <c r="M285" s="4"/>
    </row>
    <row r="286" spans="1:13" ht="15" customHeight="1">
      <c r="A286" s="4" t="s">
        <v>1319</v>
      </c>
      <c r="B286" s="4" t="s">
        <v>1320</v>
      </c>
      <c r="C286" s="4" t="s">
        <v>1321</v>
      </c>
      <c r="D286" s="18"/>
      <c r="E286" s="18">
        <v>0</v>
      </c>
      <c r="F286" s="18">
        <v>0</v>
      </c>
      <c r="G286" s="4" t="s">
        <v>1322</v>
      </c>
      <c r="H286" s="4" t="s">
        <v>1323</v>
      </c>
      <c r="I286" s="5">
        <v>0</v>
      </c>
      <c r="J286" s="4"/>
      <c r="K286" s="4" t="s">
        <v>1324</v>
      </c>
      <c r="L286" s="4">
        <v>216487</v>
      </c>
      <c r="M286" s="4"/>
    </row>
    <row r="287" spans="1:13" ht="15" customHeight="1">
      <c r="A287" s="4" t="s">
        <v>1325</v>
      </c>
      <c r="B287" s="4" t="s">
        <v>1326</v>
      </c>
      <c r="C287" s="4" t="s">
        <v>154</v>
      </c>
      <c r="D287" s="18"/>
      <c r="E287" s="18">
        <v>0</v>
      </c>
      <c r="F287" s="18">
        <v>0</v>
      </c>
      <c r="G287" s="4" t="s">
        <v>1327</v>
      </c>
      <c r="H287" s="4" t="s">
        <v>1328</v>
      </c>
      <c r="I287" s="5">
        <v>1661</v>
      </c>
      <c r="J287" s="4" t="s">
        <v>1326</v>
      </c>
      <c r="K287" s="4" t="s">
        <v>321</v>
      </c>
      <c r="L287" s="4">
        <v>406111219</v>
      </c>
      <c r="M287" s="4"/>
    </row>
    <row r="288" spans="1:13" ht="15" customHeight="1">
      <c r="A288" s="4" t="s">
        <v>1329</v>
      </c>
      <c r="B288" s="4" t="s">
        <v>1330</v>
      </c>
      <c r="C288" s="4" t="s">
        <v>1331</v>
      </c>
      <c r="D288" s="18"/>
      <c r="E288" s="18">
        <v>0</v>
      </c>
      <c r="F288" s="18">
        <v>0</v>
      </c>
      <c r="G288" s="4" t="s">
        <v>1332</v>
      </c>
      <c r="H288" s="4" t="s">
        <v>1333</v>
      </c>
      <c r="I288" s="5">
        <v>1120</v>
      </c>
      <c r="J288" s="4"/>
      <c r="K288" s="4" t="s">
        <v>1334</v>
      </c>
      <c r="L288" s="4">
        <v>113992875</v>
      </c>
      <c r="M288" s="4"/>
    </row>
    <row r="289" spans="1:13" ht="15" customHeight="1">
      <c r="A289" s="4" t="s">
        <v>1335</v>
      </c>
      <c r="B289" s="4" t="s">
        <v>1336</v>
      </c>
      <c r="C289" s="4" t="s">
        <v>154</v>
      </c>
      <c r="D289" s="18"/>
      <c r="E289" s="18">
        <v>0</v>
      </c>
      <c r="F289" s="18">
        <v>0</v>
      </c>
      <c r="G289" s="4" t="s">
        <v>1337</v>
      </c>
      <c r="H289" s="4" t="s">
        <v>1338</v>
      </c>
      <c r="I289" s="5">
        <v>16922</v>
      </c>
      <c r="J289" s="4"/>
      <c r="K289" s="4" t="s">
        <v>992</v>
      </c>
      <c r="L289" s="4">
        <v>691447981</v>
      </c>
      <c r="M289" s="4"/>
    </row>
    <row r="290" spans="1:13" ht="15" customHeight="1">
      <c r="A290" s="4" t="s">
        <v>1339</v>
      </c>
      <c r="B290" s="4" t="s">
        <v>1340</v>
      </c>
      <c r="C290" s="4" t="s">
        <v>1331</v>
      </c>
      <c r="D290" s="18"/>
      <c r="E290" s="18">
        <v>0</v>
      </c>
      <c r="F290" s="18">
        <v>0</v>
      </c>
      <c r="G290" s="4" t="s">
        <v>1341</v>
      </c>
      <c r="H290" s="4" t="s">
        <v>1342</v>
      </c>
      <c r="I290" s="5">
        <v>535</v>
      </c>
      <c r="J290" s="4"/>
      <c r="K290" s="4" t="s">
        <v>1343</v>
      </c>
      <c r="L290" s="4">
        <v>82012532</v>
      </c>
      <c r="M290" s="4"/>
    </row>
    <row r="291" spans="1:13" ht="15" customHeight="1">
      <c r="A291" s="4" t="s">
        <v>1344</v>
      </c>
      <c r="B291" s="4" t="s">
        <v>1345</v>
      </c>
      <c r="C291" s="4" t="s">
        <v>1346</v>
      </c>
      <c r="D291" s="18"/>
      <c r="E291" s="18">
        <v>0</v>
      </c>
      <c r="F291" s="18">
        <v>0</v>
      </c>
      <c r="G291" s="4" t="s">
        <v>1347</v>
      </c>
      <c r="H291" s="4" t="s">
        <v>1348</v>
      </c>
      <c r="I291" s="5">
        <v>293</v>
      </c>
      <c r="J291" s="4"/>
      <c r="K291" s="4"/>
      <c r="L291" s="4">
        <v>59748120</v>
      </c>
      <c r="M291" s="4"/>
    </row>
    <row r="292" spans="1:13" ht="15" customHeight="1">
      <c r="A292" s="4" t="s">
        <v>1349</v>
      </c>
      <c r="B292" s="4" t="s">
        <v>1350</v>
      </c>
      <c r="C292" s="4" t="s">
        <v>1351</v>
      </c>
      <c r="D292" s="18"/>
      <c r="E292" s="18">
        <v>0</v>
      </c>
      <c r="F292" s="18">
        <v>0</v>
      </c>
      <c r="G292" s="4" t="s">
        <v>1352</v>
      </c>
      <c r="H292" s="4" t="s">
        <v>1353</v>
      </c>
      <c r="I292" s="5">
        <v>232</v>
      </c>
      <c r="J292" s="4" t="s">
        <v>1354</v>
      </c>
      <c r="K292" s="4"/>
      <c r="L292" s="4">
        <v>114183476</v>
      </c>
      <c r="M292" s="4"/>
    </row>
    <row r="293" spans="1:13" ht="15" customHeight="1">
      <c r="A293" s="4" t="s">
        <v>1355</v>
      </c>
      <c r="B293" s="4" t="s">
        <v>1356</v>
      </c>
      <c r="C293" s="4" t="s">
        <v>1357</v>
      </c>
      <c r="D293" s="18"/>
      <c r="E293" s="18">
        <v>0</v>
      </c>
      <c r="F293" s="18">
        <v>0</v>
      </c>
      <c r="G293" s="4" t="s">
        <v>1358</v>
      </c>
      <c r="H293" s="4"/>
      <c r="I293" s="5">
        <v>15</v>
      </c>
      <c r="J293" s="4"/>
      <c r="K293" s="4" t="s">
        <v>1359</v>
      </c>
      <c r="L293" s="4">
        <v>35028061</v>
      </c>
      <c r="M293" s="4"/>
    </row>
    <row r="294" spans="1:13" ht="15" customHeight="1">
      <c r="A294" s="4" t="s">
        <v>1360</v>
      </c>
      <c r="B294" s="4" t="s">
        <v>1361</v>
      </c>
      <c r="C294" s="4" t="s">
        <v>478</v>
      </c>
      <c r="D294" s="18"/>
      <c r="E294" s="18">
        <v>0</v>
      </c>
      <c r="F294" s="18">
        <v>0</v>
      </c>
      <c r="G294" s="4" t="s">
        <v>1362</v>
      </c>
      <c r="H294" s="4"/>
      <c r="I294" s="5">
        <v>21</v>
      </c>
      <c r="J294" s="4"/>
      <c r="K294" s="4" t="s">
        <v>1363</v>
      </c>
      <c r="L294" s="4">
        <v>36042656</v>
      </c>
      <c r="M294" s="4"/>
    </row>
    <row r="295" spans="1:13" ht="15" customHeight="1">
      <c r="A295" s="4" t="s">
        <v>1364</v>
      </c>
      <c r="B295" s="4" t="s">
        <v>1365</v>
      </c>
      <c r="C295" s="4" t="s">
        <v>1366</v>
      </c>
      <c r="D295" s="18"/>
      <c r="E295" s="18">
        <v>0</v>
      </c>
      <c r="F295" s="18">
        <v>0</v>
      </c>
      <c r="G295" s="4" t="s">
        <v>1367</v>
      </c>
      <c r="H295" s="4" t="s">
        <v>1368</v>
      </c>
      <c r="I295" s="5">
        <v>7</v>
      </c>
      <c r="J295" s="4"/>
      <c r="K295" s="4" t="s">
        <v>1369</v>
      </c>
      <c r="L295" s="4">
        <v>2752773</v>
      </c>
      <c r="M295" s="4"/>
    </row>
    <row r="296" spans="1:13" ht="15" customHeight="1">
      <c r="A296" s="4" t="s">
        <v>1370</v>
      </c>
      <c r="B296" s="4" t="s">
        <v>1371</v>
      </c>
      <c r="C296" s="4" t="s">
        <v>1372</v>
      </c>
      <c r="D296" s="18"/>
      <c r="E296" s="18">
        <v>0</v>
      </c>
      <c r="F296" s="18">
        <v>0</v>
      </c>
      <c r="G296" s="4" t="s">
        <v>1373</v>
      </c>
      <c r="H296" s="4" t="s">
        <v>1374</v>
      </c>
      <c r="I296" s="5">
        <v>218</v>
      </c>
      <c r="J296" s="4"/>
      <c r="K296" s="4" t="s">
        <v>1375</v>
      </c>
      <c r="L296" s="4">
        <v>79469412</v>
      </c>
      <c r="M296" s="4"/>
    </row>
    <row r="297" spans="1:13" ht="15" customHeight="1">
      <c r="A297" s="4" t="s">
        <v>1376</v>
      </c>
      <c r="B297" s="4" t="s">
        <v>1377</v>
      </c>
      <c r="C297" s="4" t="s">
        <v>1378</v>
      </c>
      <c r="D297" s="18"/>
      <c r="E297" s="18">
        <v>0</v>
      </c>
      <c r="F297" s="18">
        <v>0</v>
      </c>
      <c r="G297" s="4" t="s">
        <v>1379</v>
      </c>
      <c r="H297" s="4" t="s">
        <v>1380</v>
      </c>
      <c r="I297" s="5">
        <v>0</v>
      </c>
      <c r="J297" s="4"/>
      <c r="K297" s="4" t="s">
        <v>1381</v>
      </c>
      <c r="L297" s="4">
        <v>37994</v>
      </c>
      <c r="M297" s="4"/>
    </row>
    <row r="298" spans="1:13" ht="15" customHeight="1">
      <c r="A298" s="4" t="s">
        <v>1382</v>
      </c>
      <c r="B298" s="4" t="s">
        <v>1383</v>
      </c>
      <c r="C298" s="4" t="s">
        <v>1384</v>
      </c>
      <c r="D298" s="18"/>
      <c r="E298" s="18">
        <v>0</v>
      </c>
      <c r="F298" s="18">
        <v>0</v>
      </c>
      <c r="G298" s="4" t="s">
        <v>1385</v>
      </c>
      <c r="H298" s="4" t="s">
        <v>1386</v>
      </c>
      <c r="I298" s="5">
        <v>627</v>
      </c>
      <c r="J298" s="4"/>
      <c r="K298" s="4" t="s">
        <v>1383</v>
      </c>
      <c r="L298" s="4">
        <v>133126146</v>
      </c>
      <c r="M298" s="4"/>
    </row>
    <row r="299" spans="1:13" ht="15" customHeight="1">
      <c r="A299" s="4" t="s">
        <v>1387</v>
      </c>
      <c r="B299" s="4" t="s">
        <v>1388</v>
      </c>
      <c r="C299" s="4" t="s">
        <v>1389</v>
      </c>
      <c r="D299" s="18"/>
      <c r="E299" s="18">
        <v>0</v>
      </c>
      <c r="F299" s="18">
        <v>0</v>
      </c>
      <c r="G299" s="4" t="s">
        <v>1390</v>
      </c>
      <c r="H299" s="4" t="s">
        <v>1391</v>
      </c>
      <c r="I299" s="5">
        <v>35</v>
      </c>
      <c r="J299" s="4"/>
      <c r="K299" s="4" t="s">
        <v>1392</v>
      </c>
      <c r="L299" s="4">
        <v>6033596</v>
      </c>
      <c r="M299" s="4"/>
    </row>
    <row r="300" spans="1:13" ht="15" customHeight="1">
      <c r="A300" s="4" t="s">
        <v>1393</v>
      </c>
      <c r="B300" s="4" t="s">
        <v>1394</v>
      </c>
      <c r="C300" s="4" t="s">
        <v>679</v>
      </c>
      <c r="D300" s="18"/>
      <c r="E300" s="18">
        <v>0</v>
      </c>
      <c r="F300" s="18">
        <v>0</v>
      </c>
      <c r="G300" s="4"/>
      <c r="H300" s="4"/>
      <c r="I300" s="5">
        <v>0</v>
      </c>
      <c r="J300" s="4" t="s">
        <v>1394</v>
      </c>
      <c r="K300" s="4" t="s">
        <v>1394</v>
      </c>
      <c r="L300" s="4">
        <v>2204723</v>
      </c>
      <c r="M300" s="4"/>
    </row>
    <row r="301" spans="1:13" ht="15" customHeight="1">
      <c r="A301" s="4" t="s">
        <v>1395</v>
      </c>
      <c r="B301" s="4" t="s">
        <v>1396</v>
      </c>
      <c r="C301" s="4" t="s">
        <v>146</v>
      </c>
      <c r="D301" s="18"/>
      <c r="E301" s="18">
        <v>0</v>
      </c>
      <c r="F301" s="18">
        <v>0</v>
      </c>
      <c r="G301" s="4" t="s">
        <v>1397</v>
      </c>
      <c r="H301" s="4" t="s">
        <v>1398</v>
      </c>
      <c r="I301" s="5">
        <v>20</v>
      </c>
      <c r="J301" s="4"/>
      <c r="K301" s="4" t="s">
        <v>1399</v>
      </c>
      <c r="L301" s="4">
        <v>29779114</v>
      </c>
      <c r="M301" s="4"/>
    </row>
    <row r="302" spans="1:13" ht="15" customHeight="1">
      <c r="A302" s="4" t="s">
        <v>1400</v>
      </c>
      <c r="B302" s="4" t="s">
        <v>1401</v>
      </c>
      <c r="C302" s="4" t="s">
        <v>1402</v>
      </c>
      <c r="D302" s="18"/>
      <c r="E302" s="18">
        <v>0</v>
      </c>
      <c r="F302" s="18">
        <v>0</v>
      </c>
      <c r="G302" s="4" t="s">
        <v>1403</v>
      </c>
      <c r="H302" s="4" t="s">
        <v>1404</v>
      </c>
      <c r="I302" s="5">
        <v>428</v>
      </c>
      <c r="J302" s="4"/>
      <c r="K302" s="4" t="s">
        <v>1401</v>
      </c>
      <c r="L302" s="4">
        <v>112923360</v>
      </c>
      <c r="M302" s="4"/>
    </row>
    <row r="303" spans="1:13" ht="15" customHeight="1">
      <c r="A303" s="4" t="s">
        <v>1405</v>
      </c>
      <c r="B303" s="4" t="s">
        <v>1406</v>
      </c>
      <c r="C303" s="4" t="s">
        <v>146</v>
      </c>
      <c r="D303" s="18"/>
      <c r="E303" s="18">
        <v>0</v>
      </c>
      <c r="F303" s="18">
        <v>0</v>
      </c>
      <c r="G303" s="4" t="s">
        <v>1407</v>
      </c>
      <c r="H303" s="4" t="s">
        <v>1408</v>
      </c>
      <c r="I303" s="5">
        <v>175</v>
      </c>
      <c r="J303" s="4"/>
      <c r="K303" s="4" t="s">
        <v>1399</v>
      </c>
      <c r="L303" s="4">
        <v>92788477</v>
      </c>
      <c r="M303" s="4"/>
    </row>
    <row r="304" spans="1:13" ht="15" customHeight="1">
      <c r="A304" s="4" t="s">
        <v>1409</v>
      </c>
      <c r="B304" s="4" t="s">
        <v>1410</v>
      </c>
      <c r="C304" s="4" t="s">
        <v>146</v>
      </c>
      <c r="D304" s="18"/>
      <c r="E304" s="18">
        <v>0</v>
      </c>
      <c r="F304" s="18">
        <v>0</v>
      </c>
      <c r="G304" s="4" t="s">
        <v>1411</v>
      </c>
      <c r="H304" s="4" t="s">
        <v>1412</v>
      </c>
      <c r="I304" s="5">
        <v>186</v>
      </c>
      <c r="J304" s="4"/>
      <c r="K304" s="4" t="s">
        <v>1413</v>
      </c>
      <c r="L304" s="4">
        <v>55710732</v>
      </c>
      <c r="M304" s="4"/>
    </row>
    <row r="305" spans="1:13" ht="15" customHeight="1">
      <c r="A305" s="4" t="s">
        <v>1414</v>
      </c>
      <c r="B305" s="4" t="s">
        <v>1415</v>
      </c>
      <c r="C305" s="4" t="s">
        <v>1331</v>
      </c>
      <c r="D305" s="18"/>
      <c r="E305" s="18">
        <v>0</v>
      </c>
      <c r="F305" s="18">
        <v>0</v>
      </c>
      <c r="G305" s="4" t="s">
        <v>1416</v>
      </c>
      <c r="H305" s="4" t="s">
        <v>1417</v>
      </c>
      <c r="I305" s="5">
        <v>343</v>
      </c>
      <c r="J305" s="4"/>
      <c r="K305" s="4" t="s">
        <v>1334</v>
      </c>
      <c r="L305" s="4">
        <v>50077794</v>
      </c>
      <c r="M305" s="4"/>
    </row>
    <row r="306" spans="1:13" ht="15" customHeight="1">
      <c r="A306" s="4" t="s">
        <v>1418</v>
      </c>
      <c r="B306" s="4" t="s">
        <v>1419</v>
      </c>
      <c r="C306" s="4" t="s">
        <v>1420</v>
      </c>
      <c r="D306" s="18"/>
      <c r="E306" s="18">
        <v>0</v>
      </c>
      <c r="F306" s="18">
        <v>0</v>
      </c>
      <c r="G306" s="4" t="s">
        <v>1421</v>
      </c>
      <c r="H306" s="4"/>
      <c r="I306" s="5">
        <v>828</v>
      </c>
      <c r="J306" s="4"/>
      <c r="K306" s="4" t="s">
        <v>1343</v>
      </c>
      <c r="L306" s="4">
        <v>137417227</v>
      </c>
      <c r="M306" s="4"/>
    </row>
    <row r="307" spans="1:13" ht="15" customHeight="1">
      <c r="A307" s="4" t="s">
        <v>1422</v>
      </c>
      <c r="B307" s="4" t="s">
        <v>1423</v>
      </c>
      <c r="C307" s="4" t="s">
        <v>679</v>
      </c>
      <c r="D307" s="18"/>
      <c r="E307" s="18">
        <v>0</v>
      </c>
      <c r="F307" s="18">
        <v>0</v>
      </c>
      <c r="G307" s="4" t="s">
        <v>1424</v>
      </c>
      <c r="H307" s="4" t="s">
        <v>1425</v>
      </c>
      <c r="I307" s="5">
        <v>1053</v>
      </c>
      <c r="J307" s="4"/>
      <c r="K307" s="4" t="s">
        <v>1426</v>
      </c>
      <c r="L307" s="4">
        <v>371141890</v>
      </c>
      <c r="M307" s="4" t="s">
        <v>1027</v>
      </c>
    </row>
    <row r="308" spans="1:13" ht="15" customHeight="1">
      <c r="A308" s="4" t="s">
        <v>1427</v>
      </c>
      <c r="B308" s="4" t="s">
        <v>1428</v>
      </c>
      <c r="C308" s="4" t="s">
        <v>1429</v>
      </c>
      <c r="D308" s="18"/>
      <c r="E308" s="18">
        <v>0</v>
      </c>
      <c r="F308" s="18">
        <v>0</v>
      </c>
      <c r="G308" s="4" t="s">
        <v>1430</v>
      </c>
      <c r="H308" s="4" t="s">
        <v>1431</v>
      </c>
      <c r="I308" s="5">
        <v>4</v>
      </c>
      <c r="J308" s="4"/>
      <c r="K308" s="4" t="s">
        <v>1432</v>
      </c>
      <c r="L308" s="4">
        <v>3929581</v>
      </c>
      <c r="M308" s="4"/>
    </row>
    <row r="309" spans="1:13" ht="15" customHeight="1">
      <c r="A309" s="4" t="s">
        <v>1433</v>
      </c>
      <c r="B309" s="4" t="s">
        <v>1434</v>
      </c>
      <c r="C309" s="4" t="s">
        <v>1435</v>
      </c>
      <c r="D309" s="18"/>
      <c r="E309" s="18">
        <v>0</v>
      </c>
      <c r="F309" s="18">
        <v>0</v>
      </c>
      <c r="G309" s="4" t="s">
        <v>1436</v>
      </c>
      <c r="H309" s="4" t="s">
        <v>1437</v>
      </c>
      <c r="I309" s="5">
        <v>576</v>
      </c>
      <c r="J309" s="4" t="s">
        <v>1438</v>
      </c>
      <c r="K309" s="4" t="s">
        <v>1439</v>
      </c>
      <c r="L309" s="4">
        <v>61646853</v>
      </c>
      <c r="M309" s="4"/>
    </row>
    <row r="310" spans="1:13" ht="15" customHeight="1">
      <c r="A310" s="4" t="s">
        <v>1440</v>
      </c>
      <c r="B310" s="4" t="s">
        <v>1441</v>
      </c>
      <c r="C310" s="4" t="s">
        <v>509</v>
      </c>
      <c r="D310" s="18"/>
      <c r="E310" s="18">
        <v>0</v>
      </c>
      <c r="F310" s="18">
        <v>0</v>
      </c>
      <c r="G310" s="4" t="s">
        <v>1442</v>
      </c>
      <c r="H310" s="4" t="s">
        <v>1443</v>
      </c>
      <c r="I310" s="5">
        <v>550</v>
      </c>
      <c r="J310" s="4" t="s">
        <v>1444</v>
      </c>
      <c r="K310" s="4" t="s">
        <v>1445</v>
      </c>
      <c r="L310" s="4">
        <v>168634997</v>
      </c>
      <c r="M310" s="4"/>
    </row>
    <row r="311" spans="1:13" ht="15" customHeight="1">
      <c r="A311" s="4" t="s">
        <v>1446</v>
      </c>
      <c r="B311" s="4" t="s">
        <v>1447</v>
      </c>
      <c r="C311" s="4" t="s">
        <v>509</v>
      </c>
      <c r="D311" s="18"/>
      <c r="E311" s="18">
        <v>0</v>
      </c>
      <c r="F311" s="18">
        <v>0</v>
      </c>
      <c r="G311" s="4" t="s">
        <v>1448</v>
      </c>
      <c r="H311" s="4" t="s">
        <v>1449</v>
      </c>
      <c r="I311" s="5">
        <v>1024</v>
      </c>
      <c r="J311" s="4"/>
      <c r="K311" s="4" t="s">
        <v>508</v>
      </c>
      <c r="L311" s="4">
        <v>184926363</v>
      </c>
      <c r="M311" s="4"/>
    </row>
    <row r="312" spans="1:13" ht="15" customHeight="1">
      <c r="A312" s="4" t="s">
        <v>1450</v>
      </c>
      <c r="B312" s="4" t="s">
        <v>1451</v>
      </c>
      <c r="C312" s="4" t="s">
        <v>1274</v>
      </c>
      <c r="D312" s="18"/>
      <c r="E312" s="18">
        <v>0</v>
      </c>
      <c r="F312" s="18">
        <v>0</v>
      </c>
      <c r="G312" s="4" t="s">
        <v>1452</v>
      </c>
      <c r="H312" s="4" t="s">
        <v>1453</v>
      </c>
      <c r="I312" s="5">
        <v>85</v>
      </c>
      <c r="J312" s="4"/>
      <c r="K312" s="4" t="s">
        <v>1454</v>
      </c>
      <c r="L312" s="4">
        <v>21188773</v>
      </c>
      <c r="M312" s="4"/>
    </row>
    <row r="313" spans="1:13" ht="15" customHeight="1">
      <c r="A313" s="4" t="s">
        <v>1455</v>
      </c>
      <c r="B313" s="4" t="s">
        <v>1456</v>
      </c>
      <c r="C313" s="4" t="s">
        <v>1457</v>
      </c>
      <c r="D313" s="18"/>
      <c r="E313" s="18">
        <v>0</v>
      </c>
      <c r="F313" s="18">
        <v>0</v>
      </c>
      <c r="G313" s="4" t="s">
        <v>1458</v>
      </c>
      <c r="H313" s="4" t="s">
        <v>1459</v>
      </c>
      <c r="I313" s="5">
        <v>144</v>
      </c>
      <c r="J313" s="4"/>
      <c r="K313" s="4" t="s">
        <v>1460</v>
      </c>
      <c r="L313" s="4">
        <v>89378664</v>
      </c>
      <c r="M313" s="4"/>
    </row>
    <row r="314" spans="1:13" ht="15" customHeight="1">
      <c r="A314" s="4" t="s">
        <v>1461</v>
      </c>
      <c r="B314" s="4" t="s">
        <v>879</v>
      </c>
      <c r="C314" s="4" t="s">
        <v>1462</v>
      </c>
      <c r="D314" s="18"/>
      <c r="E314" s="18">
        <v>0</v>
      </c>
      <c r="F314" s="18">
        <v>0</v>
      </c>
      <c r="G314" s="4" t="s">
        <v>1463</v>
      </c>
      <c r="H314" s="4"/>
      <c r="I314" s="5">
        <v>3</v>
      </c>
      <c r="J314" s="4"/>
      <c r="K314" s="4" t="s">
        <v>1462</v>
      </c>
      <c r="L314" s="4">
        <v>2589419</v>
      </c>
      <c r="M314" s="4"/>
    </row>
    <row r="315" spans="1:13" ht="15" customHeight="1">
      <c r="A315" s="4" t="s">
        <v>1464</v>
      </c>
      <c r="B315" s="4" t="s">
        <v>1465</v>
      </c>
      <c r="C315" s="4" t="s">
        <v>1466</v>
      </c>
      <c r="D315" s="18"/>
      <c r="E315" s="18">
        <v>0</v>
      </c>
      <c r="F315" s="18">
        <v>0</v>
      </c>
      <c r="G315" s="4" t="s">
        <v>1467</v>
      </c>
      <c r="H315" s="4"/>
      <c r="I315" s="5">
        <v>705</v>
      </c>
      <c r="J315" s="4"/>
      <c r="K315" s="4" t="s">
        <v>1468</v>
      </c>
      <c r="L315" s="4">
        <v>270809489</v>
      </c>
      <c r="M315" s="4"/>
    </row>
    <row r="316" spans="1:13" ht="15" customHeight="1">
      <c r="A316" s="4" t="s">
        <v>1469</v>
      </c>
      <c r="B316" s="4" t="s">
        <v>1470</v>
      </c>
      <c r="C316" s="4" t="s">
        <v>131</v>
      </c>
      <c r="D316" s="18"/>
      <c r="E316" s="18">
        <v>0</v>
      </c>
      <c r="F316" s="18">
        <v>0</v>
      </c>
      <c r="G316" s="4" t="s">
        <v>1471</v>
      </c>
      <c r="H316" s="4" t="s">
        <v>1472</v>
      </c>
      <c r="I316" s="5">
        <v>0</v>
      </c>
      <c r="J316" s="4"/>
      <c r="K316" s="4" t="s">
        <v>752</v>
      </c>
      <c r="L316" s="4">
        <v>1677928</v>
      </c>
      <c r="M316" s="4"/>
    </row>
    <row r="317" spans="1:13" ht="15" customHeight="1">
      <c r="A317" s="4" t="s">
        <v>1473</v>
      </c>
      <c r="B317" s="4" t="s">
        <v>1474</v>
      </c>
      <c r="C317" s="4" t="s">
        <v>679</v>
      </c>
      <c r="D317" s="18"/>
      <c r="E317" s="18">
        <v>0</v>
      </c>
      <c r="F317" s="18">
        <v>0</v>
      </c>
      <c r="G317" s="4" t="s">
        <v>1475</v>
      </c>
      <c r="H317" s="4" t="s">
        <v>1476</v>
      </c>
      <c r="I317" s="5">
        <v>25</v>
      </c>
      <c r="J317" s="4"/>
      <c r="K317" s="4" t="s">
        <v>1110</v>
      </c>
      <c r="L317" s="4">
        <v>18991884</v>
      </c>
      <c r="M317" s="4"/>
    </row>
    <row r="318" spans="1:13" ht="15" customHeight="1">
      <c r="A318" s="4" t="s">
        <v>1477</v>
      </c>
      <c r="B318" s="4" t="s">
        <v>1478</v>
      </c>
      <c r="C318" s="4" t="s">
        <v>21</v>
      </c>
      <c r="D318" s="18"/>
      <c r="E318" s="18">
        <v>0</v>
      </c>
      <c r="F318" s="18">
        <v>0</v>
      </c>
      <c r="G318" s="4" t="s">
        <v>1479</v>
      </c>
      <c r="H318" s="4"/>
      <c r="I318" s="5">
        <v>710</v>
      </c>
      <c r="J318" s="4"/>
      <c r="K318" s="4" t="s">
        <v>1478</v>
      </c>
      <c r="L318" s="4">
        <v>48566163</v>
      </c>
      <c r="M318" s="4"/>
    </row>
    <row r="319" spans="1:13" ht="15" customHeight="1">
      <c r="A319" s="4" t="s">
        <v>1480</v>
      </c>
      <c r="B319" s="4" t="s">
        <v>1350</v>
      </c>
      <c r="C319" s="4" t="s">
        <v>1351</v>
      </c>
      <c r="D319" s="18"/>
      <c r="E319" s="18">
        <v>0</v>
      </c>
      <c r="F319" s="18">
        <v>0</v>
      </c>
      <c r="G319" s="4" t="s">
        <v>1481</v>
      </c>
      <c r="H319" s="4"/>
      <c r="I319" s="5">
        <v>6</v>
      </c>
      <c r="J319" s="4"/>
      <c r="K319" s="4" t="s">
        <v>1482</v>
      </c>
      <c r="L319" s="4">
        <v>2946170</v>
      </c>
      <c r="M319" s="4"/>
    </row>
    <row r="320" spans="1:13" ht="15" customHeight="1">
      <c r="A320" s="4" t="s">
        <v>1483</v>
      </c>
      <c r="B320" s="4" t="s">
        <v>1484</v>
      </c>
      <c r="C320" s="4" t="s">
        <v>541</v>
      </c>
      <c r="D320" s="18"/>
      <c r="E320" s="18">
        <v>30</v>
      </c>
      <c r="F320" s="18">
        <v>12</v>
      </c>
      <c r="G320" s="4" t="s">
        <v>1485</v>
      </c>
      <c r="H320" s="4" t="s">
        <v>1486</v>
      </c>
      <c r="I320" s="5">
        <v>174</v>
      </c>
      <c r="J320" s="4"/>
      <c r="K320" s="4" t="s">
        <v>1487</v>
      </c>
      <c r="L320" s="4">
        <v>103633402</v>
      </c>
      <c r="M320" s="4"/>
    </row>
    <row r="321" spans="1:13" ht="15" customHeight="1">
      <c r="A321" s="4" t="s">
        <v>1488</v>
      </c>
      <c r="B321" s="4" t="s">
        <v>1489</v>
      </c>
      <c r="C321" s="4" t="s">
        <v>1490</v>
      </c>
      <c r="D321" s="18"/>
      <c r="E321" s="18">
        <v>0</v>
      </c>
      <c r="F321" s="18">
        <v>0</v>
      </c>
      <c r="G321" s="4" t="s">
        <v>1491</v>
      </c>
      <c r="H321" s="4" t="s">
        <v>1492</v>
      </c>
      <c r="I321" s="5">
        <v>319</v>
      </c>
      <c r="J321" s="4"/>
      <c r="K321" s="4" t="s">
        <v>1493</v>
      </c>
      <c r="L321" s="4">
        <v>101719428</v>
      </c>
      <c r="M321" s="4"/>
    </row>
    <row r="322" spans="1:13" ht="15" customHeight="1">
      <c r="A322" s="4" t="s">
        <v>1494</v>
      </c>
      <c r="B322" s="4" t="s">
        <v>1495</v>
      </c>
      <c r="C322" s="4" t="s">
        <v>446</v>
      </c>
      <c r="D322" s="18"/>
      <c r="E322" s="18">
        <v>0</v>
      </c>
      <c r="F322" s="18">
        <v>0</v>
      </c>
      <c r="G322" s="4" t="s">
        <v>1496</v>
      </c>
      <c r="H322" s="4" t="s">
        <v>1497</v>
      </c>
      <c r="I322" s="5">
        <v>421</v>
      </c>
      <c r="J322" s="4"/>
      <c r="K322" s="4"/>
      <c r="L322" s="4">
        <v>29390728</v>
      </c>
      <c r="M322" s="4"/>
    </row>
    <row r="323" spans="1:13" ht="15" customHeight="1">
      <c r="A323" s="4" t="s">
        <v>1498</v>
      </c>
      <c r="B323" s="4" t="s">
        <v>1499</v>
      </c>
      <c r="C323" s="4" t="s">
        <v>446</v>
      </c>
      <c r="D323" s="18"/>
      <c r="E323" s="18">
        <v>0</v>
      </c>
      <c r="F323" s="18">
        <v>0</v>
      </c>
      <c r="G323" s="4" t="s">
        <v>1500</v>
      </c>
      <c r="H323" s="4" t="s">
        <v>1501</v>
      </c>
      <c r="I323" s="5">
        <v>729</v>
      </c>
      <c r="J323" s="4"/>
      <c r="K323" s="4" t="s">
        <v>1502</v>
      </c>
      <c r="L323" s="4">
        <v>114457691</v>
      </c>
      <c r="M323" s="4"/>
    </row>
    <row r="324" spans="1:13" ht="15" customHeight="1">
      <c r="A324" s="4" t="s">
        <v>1503</v>
      </c>
      <c r="B324" s="4" t="s">
        <v>1504</v>
      </c>
      <c r="C324" s="4" t="s">
        <v>154</v>
      </c>
      <c r="D324" s="18"/>
      <c r="E324" s="18">
        <v>0</v>
      </c>
      <c r="F324" s="18">
        <v>0</v>
      </c>
      <c r="G324" s="4" t="s">
        <v>1505</v>
      </c>
      <c r="H324" s="4" t="s">
        <v>1506</v>
      </c>
      <c r="I324" s="5">
        <v>5783</v>
      </c>
      <c r="J324" s="4" t="s">
        <v>1504</v>
      </c>
      <c r="K324" s="4" t="s">
        <v>378</v>
      </c>
      <c r="L324" s="4">
        <v>746779605</v>
      </c>
      <c r="M324" s="4" t="s">
        <v>1507</v>
      </c>
    </row>
    <row r="325" spans="1:13" ht="15" customHeight="1">
      <c r="A325" s="4" t="s">
        <v>1508</v>
      </c>
      <c r="B325" s="4" t="s">
        <v>1509</v>
      </c>
      <c r="C325" s="4" t="s">
        <v>679</v>
      </c>
      <c r="D325" s="18"/>
      <c r="E325" s="18">
        <v>0</v>
      </c>
      <c r="F325" s="18">
        <v>0</v>
      </c>
      <c r="G325" s="4" t="s">
        <v>1510</v>
      </c>
      <c r="H325" s="4" t="s">
        <v>1511</v>
      </c>
      <c r="I325" s="5">
        <v>675</v>
      </c>
      <c r="J325" s="4"/>
      <c r="K325" s="4" t="s">
        <v>1512</v>
      </c>
      <c r="L325" s="4">
        <v>252890047</v>
      </c>
      <c r="M325" s="4"/>
    </row>
    <row r="326" spans="1:13" ht="15" customHeight="1">
      <c r="A326" s="4" t="s">
        <v>1513</v>
      </c>
      <c r="B326" s="4" t="s">
        <v>1514</v>
      </c>
      <c r="C326" s="4" t="s">
        <v>1515</v>
      </c>
      <c r="D326" s="18"/>
      <c r="E326" s="18">
        <v>0</v>
      </c>
      <c r="F326" s="18">
        <v>0</v>
      </c>
      <c r="G326" s="4" t="s">
        <v>1516</v>
      </c>
      <c r="H326" s="4" t="s">
        <v>1517</v>
      </c>
      <c r="I326" s="5">
        <v>5</v>
      </c>
      <c r="J326" s="4"/>
      <c r="K326" s="4" t="s">
        <v>1518</v>
      </c>
      <c r="L326" s="4">
        <v>3821199</v>
      </c>
      <c r="M326" s="4"/>
    </row>
    <row r="327" spans="1:13" ht="15" customHeight="1">
      <c r="A327" s="4" t="s">
        <v>1519</v>
      </c>
      <c r="B327" s="4" t="s">
        <v>1520</v>
      </c>
      <c r="C327" s="4" t="s">
        <v>1372</v>
      </c>
      <c r="D327" s="18"/>
      <c r="E327" s="18">
        <v>0</v>
      </c>
      <c r="F327" s="18">
        <v>0</v>
      </c>
      <c r="G327" s="4" t="s">
        <v>1521</v>
      </c>
      <c r="H327" s="4" t="s">
        <v>1522</v>
      </c>
      <c r="I327" s="5">
        <v>3</v>
      </c>
      <c r="J327" s="4"/>
      <c r="K327" s="4" t="s">
        <v>1523</v>
      </c>
      <c r="L327" s="4">
        <v>1868068</v>
      </c>
      <c r="M327" s="4"/>
    </row>
    <row r="328" spans="1:13" ht="15" customHeight="1">
      <c r="A328" s="4" t="s">
        <v>1524</v>
      </c>
      <c r="B328" s="4" t="s">
        <v>1525</v>
      </c>
      <c r="C328" s="4" t="s">
        <v>154</v>
      </c>
      <c r="D328" s="18"/>
      <c r="E328" s="18">
        <v>0</v>
      </c>
      <c r="F328" s="18">
        <v>0</v>
      </c>
      <c r="G328" s="4" t="s">
        <v>1526</v>
      </c>
      <c r="H328" s="4"/>
      <c r="I328" s="5">
        <v>1923</v>
      </c>
      <c r="J328" s="4" t="s">
        <v>1527</v>
      </c>
      <c r="K328" s="4" t="s">
        <v>992</v>
      </c>
      <c r="L328" s="4">
        <v>325204982</v>
      </c>
      <c r="M328" s="4"/>
    </row>
    <row r="329" spans="1:13" ht="15" customHeight="1">
      <c r="A329" s="4" t="s">
        <v>1528</v>
      </c>
      <c r="B329" s="4" t="s">
        <v>1529</v>
      </c>
      <c r="C329" s="4" t="s">
        <v>188</v>
      </c>
      <c r="D329" s="18"/>
      <c r="E329" s="18">
        <v>0</v>
      </c>
      <c r="F329" s="18">
        <v>0</v>
      </c>
      <c r="G329" s="4" t="s">
        <v>1530</v>
      </c>
      <c r="H329" s="4" t="s">
        <v>1531</v>
      </c>
      <c r="I329" s="5">
        <v>2637</v>
      </c>
      <c r="J329" s="4" t="s">
        <v>1532</v>
      </c>
      <c r="K329" s="4" t="s">
        <v>1529</v>
      </c>
      <c r="L329" s="4">
        <v>1065218649</v>
      </c>
      <c r="M329" s="4"/>
    </row>
    <row r="330" spans="1:13" ht="15" customHeight="1">
      <c r="A330" s="4" t="s">
        <v>1533</v>
      </c>
      <c r="B330" s="4" t="s">
        <v>1534</v>
      </c>
      <c r="C330" s="4" t="s">
        <v>1535</v>
      </c>
      <c r="D330" s="18"/>
      <c r="E330" s="18">
        <v>0</v>
      </c>
      <c r="F330" s="18">
        <v>0</v>
      </c>
      <c r="G330" s="4" t="s">
        <v>1536</v>
      </c>
      <c r="H330" s="4" t="s">
        <v>1537</v>
      </c>
      <c r="I330" s="5">
        <v>1370</v>
      </c>
      <c r="J330" s="4"/>
      <c r="K330" s="4" t="s">
        <v>1538</v>
      </c>
      <c r="L330" s="4">
        <v>529974853</v>
      </c>
      <c r="M330" s="4"/>
    </row>
    <row r="331" spans="1:13" ht="15" customHeight="1">
      <c r="A331" s="4" t="s">
        <v>1539</v>
      </c>
      <c r="B331" s="4" t="s">
        <v>1540</v>
      </c>
      <c r="C331" s="4" t="s">
        <v>131</v>
      </c>
      <c r="D331" s="18"/>
      <c r="E331" s="18">
        <v>0</v>
      </c>
      <c r="F331" s="18">
        <v>0</v>
      </c>
      <c r="G331" s="4" t="s">
        <v>1541</v>
      </c>
      <c r="H331" s="4"/>
      <c r="I331" s="5">
        <v>43</v>
      </c>
      <c r="J331" s="4"/>
      <c r="K331" s="4" t="s">
        <v>1542</v>
      </c>
      <c r="L331" s="4">
        <v>28766284</v>
      </c>
      <c r="M331" s="4"/>
    </row>
    <row r="332" spans="1:13" ht="15" customHeight="1">
      <c r="A332" s="4" t="s">
        <v>1543</v>
      </c>
      <c r="B332" s="4" t="s">
        <v>1544</v>
      </c>
      <c r="C332" s="4" t="s">
        <v>1545</v>
      </c>
      <c r="D332" s="18"/>
      <c r="E332" s="18">
        <v>0</v>
      </c>
      <c r="F332" s="18">
        <v>0</v>
      </c>
      <c r="G332" s="4" t="s">
        <v>1546</v>
      </c>
      <c r="H332" s="4" t="s">
        <v>1547</v>
      </c>
      <c r="I332" s="5">
        <v>335</v>
      </c>
      <c r="J332" s="4"/>
      <c r="K332" s="4" t="s">
        <v>1548</v>
      </c>
      <c r="L332" s="4">
        <v>185332919</v>
      </c>
      <c r="M332" s="4"/>
    </row>
    <row r="333" spans="1:13" ht="15" customHeight="1">
      <c r="A333" s="4" t="s">
        <v>1549</v>
      </c>
      <c r="B333" s="4" t="s">
        <v>55</v>
      </c>
      <c r="C333" s="4" t="s">
        <v>1550</v>
      </c>
      <c r="D333" s="18"/>
      <c r="E333" s="18">
        <v>0</v>
      </c>
      <c r="F333" s="18">
        <v>0</v>
      </c>
      <c r="G333" s="4" t="s">
        <v>1551</v>
      </c>
      <c r="H333" s="4"/>
      <c r="I333" s="5">
        <v>16</v>
      </c>
      <c r="J333" s="4"/>
      <c r="K333" s="4" t="s">
        <v>55</v>
      </c>
      <c r="L333" s="4">
        <v>256261</v>
      </c>
      <c r="M333" s="4"/>
    </row>
    <row r="334" spans="1:13" ht="15" customHeight="1">
      <c r="A334" s="4" t="s">
        <v>1552</v>
      </c>
      <c r="B334" s="4" t="s">
        <v>1553</v>
      </c>
      <c r="C334" s="4" t="s">
        <v>188</v>
      </c>
      <c r="D334" s="18"/>
      <c r="E334" s="18">
        <v>50129</v>
      </c>
      <c r="F334" s="18">
        <v>14164</v>
      </c>
      <c r="G334" s="4" t="s">
        <v>1554</v>
      </c>
      <c r="H334" s="4" t="s">
        <v>1555</v>
      </c>
      <c r="I334" s="5">
        <v>637</v>
      </c>
      <c r="J334" s="4" t="s">
        <v>1282</v>
      </c>
      <c r="K334" s="4" t="s">
        <v>1556</v>
      </c>
      <c r="L334" s="4">
        <v>165524997</v>
      </c>
      <c r="M334" s="4" t="s">
        <v>1264</v>
      </c>
    </row>
    <row r="335" spans="1:13" ht="15" customHeight="1">
      <c r="A335" s="4" t="s">
        <v>1557</v>
      </c>
      <c r="B335" s="4" t="s">
        <v>1558</v>
      </c>
      <c r="C335" s="4" t="s">
        <v>1559</v>
      </c>
      <c r="D335" s="18"/>
      <c r="E335" s="18">
        <v>0</v>
      </c>
      <c r="F335" s="18">
        <v>0</v>
      </c>
      <c r="G335" s="4" t="s">
        <v>1560</v>
      </c>
      <c r="H335" s="4" t="s">
        <v>1561</v>
      </c>
      <c r="I335" s="5">
        <v>829</v>
      </c>
      <c r="J335" s="4"/>
      <c r="K335" s="4" t="s">
        <v>1558</v>
      </c>
      <c r="L335" s="4">
        <v>330373359</v>
      </c>
      <c r="M335" s="4"/>
    </row>
    <row r="336" spans="1:13" ht="15" customHeight="1">
      <c r="A336" s="4" t="s">
        <v>1562</v>
      </c>
      <c r="B336" s="4" t="s">
        <v>1563</v>
      </c>
      <c r="C336" s="4" t="s">
        <v>1564</v>
      </c>
      <c r="D336" s="18"/>
      <c r="E336" s="18">
        <v>0</v>
      </c>
      <c r="F336" s="18">
        <v>0</v>
      </c>
      <c r="G336" s="4" t="s">
        <v>1565</v>
      </c>
      <c r="H336" s="4" t="s">
        <v>1566</v>
      </c>
      <c r="I336" s="5">
        <v>1984</v>
      </c>
      <c r="J336" s="4"/>
      <c r="K336" s="4" t="s">
        <v>1567</v>
      </c>
      <c r="L336" s="4">
        <v>812417214</v>
      </c>
      <c r="M336" s="4"/>
    </row>
    <row r="337" spans="1:13" ht="15" customHeight="1">
      <c r="A337" s="4" t="s">
        <v>1568</v>
      </c>
      <c r="B337" s="4" t="s">
        <v>1569</v>
      </c>
      <c r="C337" s="4" t="s">
        <v>42</v>
      </c>
      <c r="D337" s="18"/>
      <c r="E337" s="18">
        <v>0</v>
      </c>
      <c r="F337" s="18">
        <v>0</v>
      </c>
      <c r="G337" s="4" t="s">
        <v>1570</v>
      </c>
      <c r="H337" s="4"/>
      <c r="I337" s="5">
        <v>778</v>
      </c>
      <c r="J337" s="4"/>
      <c r="K337" s="4" t="s">
        <v>1571</v>
      </c>
      <c r="L337" s="4">
        <v>174632458</v>
      </c>
      <c r="M337" s="4"/>
    </row>
    <row r="338" spans="1:13" ht="15" customHeight="1">
      <c r="A338" s="4" t="s">
        <v>1572</v>
      </c>
      <c r="B338" s="4" t="s">
        <v>1520</v>
      </c>
      <c r="C338" s="4" t="s">
        <v>1372</v>
      </c>
      <c r="D338" s="18"/>
      <c r="E338" s="18">
        <v>0</v>
      </c>
      <c r="F338" s="18">
        <v>0</v>
      </c>
      <c r="G338" s="4" t="s">
        <v>1573</v>
      </c>
      <c r="H338" s="4" t="s">
        <v>1574</v>
      </c>
      <c r="I338" s="5">
        <v>6</v>
      </c>
      <c r="J338" s="4"/>
      <c r="K338" s="4" t="s">
        <v>1520</v>
      </c>
      <c r="L338" s="4">
        <v>283638</v>
      </c>
      <c r="M338" s="4"/>
    </row>
    <row r="339" spans="1:13" ht="15" customHeight="1">
      <c r="A339" s="4" t="s">
        <v>1575</v>
      </c>
      <c r="B339" s="4" t="s">
        <v>1576</v>
      </c>
      <c r="C339" s="4" t="s">
        <v>478</v>
      </c>
      <c r="D339" s="18"/>
      <c r="E339" s="18">
        <v>0</v>
      </c>
      <c r="F339" s="18">
        <v>0</v>
      </c>
      <c r="G339" s="4" t="s">
        <v>1577</v>
      </c>
      <c r="H339" s="4" t="s">
        <v>1578</v>
      </c>
      <c r="I339" s="5">
        <v>372</v>
      </c>
      <c r="J339" s="4"/>
      <c r="K339" s="4" t="s">
        <v>1579</v>
      </c>
      <c r="L339" s="4">
        <v>91130644</v>
      </c>
      <c r="M339" s="4"/>
    </row>
    <row r="340" spans="1:13" ht="15" customHeight="1">
      <c r="A340" s="4" t="s">
        <v>1580</v>
      </c>
      <c r="B340" s="4" t="s">
        <v>1377</v>
      </c>
      <c r="C340" s="4" t="s">
        <v>1378</v>
      </c>
      <c r="D340" s="18"/>
      <c r="E340" s="18">
        <v>0</v>
      </c>
      <c r="F340" s="18">
        <v>0</v>
      </c>
      <c r="G340" s="4" t="s">
        <v>1581</v>
      </c>
      <c r="H340" s="4" t="s">
        <v>1582</v>
      </c>
      <c r="I340" s="5">
        <v>0</v>
      </c>
      <c r="J340" s="4"/>
      <c r="K340" s="4" t="s">
        <v>1583</v>
      </c>
      <c r="L340" s="4">
        <v>489616</v>
      </c>
      <c r="M340" s="4"/>
    </row>
    <row r="341" spans="1:13" ht="15" customHeight="1">
      <c r="A341" s="4" t="s">
        <v>1584</v>
      </c>
      <c r="B341" s="4" t="s">
        <v>1585</v>
      </c>
      <c r="C341" s="4" t="s">
        <v>1586</v>
      </c>
      <c r="D341" s="18"/>
      <c r="E341" s="18">
        <v>0</v>
      </c>
      <c r="F341" s="18">
        <v>0</v>
      </c>
      <c r="G341" s="4" t="s">
        <v>1587</v>
      </c>
      <c r="H341" s="4" t="s">
        <v>1588</v>
      </c>
      <c r="I341" s="5">
        <v>1119</v>
      </c>
      <c r="J341" s="4"/>
      <c r="K341" s="4" t="s">
        <v>1589</v>
      </c>
      <c r="L341" s="4">
        <v>217542753</v>
      </c>
      <c r="M341" s="4"/>
    </row>
    <row r="342" spans="1:13" ht="15" customHeight="1">
      <c r="A342" s="4" t="s">
        <v>1590</v>
      </c>
      <c r="B342" s="4" t="s">
        <v>1591</v>
      </c>
      <c r="C342" s="4" t="s">
        <v>221</v>
      </c>
      <c r="D342" s="18"/>
      <c r="E342" s="18">
        <v>0</v>
      </c>
      <c r="F342" s="18">
        <v>0</v>
      </c>
      <c r="G342" s="4" t="s">
        <v>1592</v>
      </c>
      <c r="H342" s="4" t="s">
        <v>1593</v>
      </c>
      <c r="I342" s="5">
        <v>1004</v>
      </c>
      <c r="J342" s="4"/>
      <c r="K342" s="4" t="s">
        <v>1594</v>
      </c>
      <c r="L342" s="4">
        <v>298090542</v>
      </c>
      <c r="M342" s="4"/>
    </row>
    <row r="343" spans="1:13" ht="15" customHeight="1">
      <c r="A343" s="4" t="s">
        <v>1595</v>
      </c>
      <c r="B343" s="4" t="s">
        <v>1596</v>
      </c>
      <c r="C343" s="4" t="s">
        <v>131</v>
      </c>
      <c r="D343" s="18"/>
      <c r="E343" s="18">
        <v>0</v>
      </c>
      <c r="F343" s="18">
        <v>0</v>
      </c>
      <c r="G343" s="4" t="s">
        <v>1597</v>
      </c>
      <c r="H343" s="4" t="s">
        <v>1598</v>
      </c>
      <c r="I343" s="5">
        <v>12</v>
      </c>
      <c r="J343" s="4"/>
      <c r="K343" s="4" t="s">
        <v>752</v>
      </c>
      <c r="L343" s="4">
        <v>3135196</v>
      </c>
      <c r="M343" s="4"/>
    </row>
    <row r="344" spans="1:13" ht="15" customHeight="1">
      <c r="A344" s="4" t="s">
        <v>1599</v>
      </c>
      <c r="B344" s="4" t="s">
        <v>1600</v>
      </c>
      <c r="C344" s="4" t="s">
        <v>1601</v>
      </c>
      <c r="D344" s="18"/>
      <c r="E344" s="18">
        <v>0</v>
      </c>
      <c r="F344" s="18">
        <v>0</v>
      </c>
      <c r="G344" s="4" t="s">
        <v>1602</v>
      </c>
      <c r="H344" s="4" t="s">
        <v>1603</v>
      </c>
      <c r="I344" s="5">
        <v>1457</v>
      </c>
      <c r="J344" s="4"/>
      <c r="K344" s="4" t="s">
        <v>1604</v>
      </c>
      <c r="L344" s="4">
        <v>219930613</v>
      </c>
      <c r="M344" s="4"/>
    </row>
    <row r="345" spans="1:13" ht="15" customHeight="1">
      <c r="A345" s="4" t="s">
        <v>1605</v>
      </c>
      <c r="B345" s="4" t="s">
        <v>1606</v>
      </c>
      <c r="C345" s="4" t="s">
        <v>679</v>
      </c>
      <c r="D345" s="18"/>
      <c r="E345" s="18">
        <v>0</v>
      </c>
      <c r="F345" s="18">
        <v>0</v>
      </c>
      <c r="G345" s="4" t="s">
        <v>1607</v>
      </c>
      <c r="H345" s="4" t="s">
        <v>1608</v>
      </c>
      <c r="I345" s="5">
        <v>28</v>
      </c>
      <c r="J345" s="4"/>
      <c r="K345" s="4" t="s">
        <v>1609</v>
      </c>
      <c r="L345" s="4">
        <v>28452133</v>
      </c>
      <c r="M345" s="4"/>
    </row>
    <row r="346" spans="1:13" ht="15" customHeight="1">
      <c r="A346" s="4" t="s">
        <v>1610</v>
      </c>
      <c r="B346" s="4" t="s">
        <v>1611</v>
      </c>
      <c r="C346" s="4" t="s">
        <v>27</v>
      </c>
      <c r="D346" s="18"/>
      <c r="E346" s="18">
        <v>0</v>
      </c>
      <c r="F346" s="18">
        <v>0</v>
      </c>
      <c r="G346" s="4" t="s">
        <v>1612</v>
      </c>
      <c r="H346" s="4"/>
      <c r="I346" s="5">
        <v>0</v>
      </c>
      <c r="J346" s="4" t="s">
        <v>1613</v>
      </c>
      <c r="K346" s="4" t="s">
        <v>1614</v>
      </c>
      <c r="L346" s="4">
        <v>811754</v>
      </c>
      <c r="M346" s="4"/>
    </row>
    <row r="347" spans="1:13" ht="15" customHeight="1">
      <c r="A347" s="4" t="s">
        <v>1615</v>
      </c>
      <c r="B347" s="4" t="s">
        <v>1616</v>
      </c>
      <c r="C347" s="4" t="s">
        <v>21</v>
      </c>
      <c r="D347" s="18"/>
      <c r="E347" s="18">
        <v>0</v>
      </c>
      <c r="F347" s="18">
        <v>0</v>
      </c>
      <c r="G347" s="4" t="s">
        <v>1617</v>
      </c>
      <c r="H347" s="4"/>
      <c r="I347" s="5">
        <v>15</v>
      </c>
      <c r="J347" s="4"/>
      <c r="K347" s="4" t="s">
        <v>1618</v>
      </c>
      <c r="L347" s="4">
        <v>5496354</v>
      </c>
      <c r="M347" s="4"/>
    </row>
    <row r="348" spans="1:13" ht="15" customHeight="1">
      <c r="A348" s="4" t="s">
        <v>1619</v>
      </c>
      <c r="B348" s="4" t="s">
        <v>1620</v>
      </c>
      <c r="C348" s="4" t="s">
        <v>154</v>
      </c>
      <c r="D348" s="18"/>
      <c r="E348" s="18">
        <v>0</v>
      </c>
      <c r="F348" s="18">
        <v>0</v>
      </c>
      <c r="G348" s="4" t="s">
        <v>1621</v>
      </c>
      <c r="H348" s="4" t="s">
        <v>1622</v>
      </c>
      <c r="I348" s="5">
        <v>9903</v>
      </c>
      <c r="J348" s="4" t="s">
        <v>1623</v>
      </c>
      <c r="K348" s="4" t="s">
        <v>1624</v>
      </c>
      <c r="L348" s="4">
        <v>948949344</v>
      </c>
      <c r="M348" s="4" t="s">
        <v>852</v>
      </c>
    </row>
    <row r="349" spans="1:13" ht="15" customHeight="1">
      <c r="A349" s="4" t="s">
        <v>1625</v>
      </c>
      <c r="B349" s="4" t="s">
        <v>1626</v>
      </c>
      <c r="C349" s="4" t="s">
        <v>360</v>
      </c>
      <c r="D349" s="18"/>
      <c r="E349" s="18">
        <v>0</v>
      </c>
      <c r="F349" s="18">
        <v>0</v>
      </c>
      <c r="G349" s="4" t="s">
        <v>1627</v>
      </c>
      <c r="H349" s="4" t="s">
        <v>1628</v>
      </c>
      <c r="I349" s="5">
        <v>26</v>
      </c>
      <c r="J349" s="4" t="s">
        <v>1629</v>
      </c>
      <c r="K349" s="4" t="s">
        <v>1630</v>
      </c>
      <c r="L349" s="4">
        <v>19335728</v>
      </c>
      <c r="M349" s="4"/>
    </row>
    <row r="350" spans="1:13" ht="15" customHeight="1">
      <c r="A350" s="4" t="s">
        <v>1631</v>
      </c>
      <c r="B350" s="4" t="s">
        <v>1632</v>
      </c>
      <c r="C350" s="4" t="s">
        <v>1633</v>
      </c>
      <c r="D350" s="18"/>
      <c r="E350" s="18">
        <v>1121</v>
      </c>
      <c r="F350" s="18">
        <v>108</v>
      </c>
      <c r="G350" s="4" t="s">
        <v>1634</v>
      </c>
      <c r="H350" s="4" t="s">
        <v>1635</v>
      </c>
      <c r="I350" s="5">
        <v>243</v>
      </c>
      <c r="J350" s="4"/>
      <c r="K350" s="4" t="s">
        <v>1632</v>
      </c>
      <c r="L350" s="4">
        <v>21666407</v>
      </c>
      <c r="M350" s="4"/>
    </row>
    <row r="351" spans="1:13" ht="15" customHeight="1">
      <c r="A351" s="4" t="s">
        <v>1636</v>
      </c>
      <c r="B351" s="4" t="s">
        <v>1637</v>
      </c>
      <c r="C351" s="4" t="s">
        <v>360</v>
      </c>
      <c r="D351" s="18"/>
      <c r="E351" s="18">
        <v>0</v>
      </c>
      <c r="F351" s="18">
        <v>0</v>
      </c>
      <c r="G351" s="4" t="s">
        <v>1638</v>
      </c>
      <c r="H351" s="4" t="s">
        <v>1639</v>
      </c>
      <c r="I351" s="5">
        <v>2</v>
      </c>
      <c r="J351" s="4" t="s">
        <v>1640</v>
      </c>
      <c r="K351" s="4" t="s">
        <v>1641</v>
      </c>
      <c r="L351" s="4">
        <v>3055477</v>
      </c>
      <c r="M351" s="4"/>
    </row>
    <row r="352" spans="1:13" ht="15" customHeight="1">
      <c r="A352" s="4" t="s">
        <v>1642</v>
      </c>
      <c r="B352" s="4" t="s">
        <v>1643</v>
      </c>
      <c r="C352" s="4" t="s">
        <v>1644</v>
      </c>
      <c r="D352" s="18"/>
      <c r="E352" s="18">
        <v>0</v>
      </c>
      <c r="F352" s="18">
        <v>0</v>
      </c>
      <c r="G352" s="4" t="s">
        <v>1645</v>
      </c>
      <c r="H352" s="4" t="s">
        <v>1646</v>
      </c>
      <c r="I352" s="5">
        <v>0</v>
      </c>
      <c r="J352" s="4"/>
      <c r="K352" s="4" t="s">
        <v>1647</v>
      </c>
      <c r="L352" s="4">
        <v>2177494</v>
      </c>
      <c r="M352" s="4"/>
    </row>
    <row r="353" spans="1:13" ht="15" customHeight="1">
      <c r="A353" s="4" t="s">
        <v>1648</v>
      </c>
      <c r="B353" s="4" t="s">
        <v>1649</v>
      </c>
      <c r="C353" s="4" t="s">
        <v>360</v>
      </c>
      <c r="D353" s="18"/>
      <c r="E353" s="18">
        <v>0</v>
      </c>
      <c r="F353" s="18">
        <v>0</v>
      </c>
      <c r="G353" s="4" t="s">
        <v>1650</v>
      </c>
      <c r="H353" s="4"/>
      <c r="I353" s="5">
        <v>3</v>
      </c>
      <c r="J353" s="4" t="s">
        <v>1649</v>
      </c>
      <c r="K353" s="4" t="s">
        <v>1651</v>
      </c>
      <c r="L353" s="4">
        <v>1807396</v>
      </c>
      <c r="M353" s="4"/>
    </row>
    <row r="354" spans="1:13" ht="15" customHeight="1">
      <c r="A354" s="4" t="s">
        <v>1652</v>
      </c>
      <c r="B354" s="4" t="s">
        <v>1653</v>
      </c>
      <c r="C354" s="4" t="s">
        <v>679</v>
      </c>
      <c r="D354" s="18"/>
      <c r="E354" s="18">
        <v>0</v>
      </c>
      <c r="F354" s="18">
        <v>0</v>
      </c>
      <c r="G354" s="4" t="s">
        <v>1654</v>
      </c>
      <c r="H354" s="4" t="s">
        <v>1655</v>
      </c>
      <c r="I354" s="5">
        <v>791</v>
      </c>
      <c r="J354" s="4"/>
      <c r="K354" s="4" t="s">
        <v>1656</v>
      </c>
      <c r="L354" s="4">
        <v>312647783</v>
      </c>
      <c r="M354" s="4"/>
    </row>
    <row r="355" spans="1:13" ht="15" customHeight="1">
      <c r="A355" s="4" t="s">
        <v>1657</v>
      </c>
      <c r="B355" s="4" t="s">
        <v>1658</v>
      </c>
      <c r="C355" s="4" t="s">
        <v>679</v>
      </c>
      <c r="D355" s="18"/>
      <c r="E355" s="18">
        <v>0</v>
      </c>
      <c r="F355" s="18">
        <v>0</v>
      </c>
      <c r="G355" s="4" t="s">
        <v>1659</v>
      </c>
      <c r="H355" s="4" t="s">
        <v>1660</v>
      </c>
      <c r="I355" s="5">
        <v>190</v>
      </c>
      <c r="J355" s="4" t="s">
        <v>1661</v>
      </c>
      <c r="K355" s="4" t="s">
        <v>1662</v>
      </c>
      <c r="L355" s="4">
        <v>105496599</v>
      </c>
      <c r="M355" s="4"/>
    </row>
    <row r="356" spans="1:13" ht="15" customHeight="1">
      <c r="A356" s="4" t="s">
        <v>1663</v>
      </c>
      <c r="B356" s="4" t="s">
        <v>1664</v>
      </c>
      <c r="C356" s="4" t="s">
        <v>1665</v>
      </c>
      <c r="D356" s="18"/>
      <c r="E356" s="18">
        <v>0</v>
      </c>
      <c r="F356" s="18">
        <v>0</v>
      </c>
      <c r="G356" s="4" t="s">
        <v>1666</v>
      </c>
      <c r="H356" s="4" t="s">
        <v>1667</v>
      </c>
      <c r="I356" s="5">
        <v>246</v>
      </c>
      <c r="J356" s="4"/>
      <c r="K356" s="4"/>
      <c r="L356" s="4">
        <v>37205613</v>
      </c>
      <c r="M356" s="4"/>
    </row>
    <row r="357" spans="1:13" ht="15" customHeight="1">
      <c r="A357" s="4" t="s">
        <v>1668</v>
      </c>
      <c r="B357" s="4" t="s">
        <v>1669</v>
      </c>
      <c r="C357" s="4" t="s">
        <v>1670</v>
      </c>
      <c r="D357" s="18"/>
      <c r="E357" s="18">
        <v>0</v>
      </c>
      <c r="F357" s="18">
        <v>0</v>
      </c>
      <c r="G357" s="4" t="s">
        <v>1671</v>
      </c>
      <c r="H357" s="4" t="s">
        <v>1672</v>
      </c>
      <c r="I357" s="5">
        <v>20</v>
      </c>
      <c r="J357" s="4"/>
      <c r="K357" s="4"/>
      <c r="L357" s="4">
        <v>27149482</v>
      </c>
      <c r="M357" s="4"/>
    </row>
    <row r="358" spans="1:13" ht="15" customHeight="1">
      <c r="A358" s="4" t="s">
        <v>1673</v>
      </c>
      <c r="B358" s="4" t="s">
        <v>1674</v>
      </c>
      <c r="C358" s="4" t="s">
        <v>1675</v>
      </c>
      <c r="D358" s="18"/>
      <c r="E358" s="18">
        <v>0</v>
      </c>
      <c r="F358" s="18">
        <v>0</v>
      </c>
      <c r="G358" s="4" t="s">
        <v>1676</v>
      </c>
      <c r="H358" s="4" t="s">
        <v>1677</v>
      </c>
      <c r="I358" s="5">
        <v>22</v>
      </c>
      <c r="J358" s="4"/>
      <c r="K358" s="4" t="s">
        <v>1678</v>
      </c>
      <c r="L358" s="4">
        <v>34220213</v>
      </c>
      <c r="M358" s="4"/>
    </row>
    <row r="359" spans="1:13" ht="15" customHeight="1">
      <c r="A359" s="4" t="s">
        <v>1679</v>
      </c>
      <c r="B359" s="4" t="s">
        <v>1680</v>
      </c>
      <c r="C359" s="4" t="s">
        <v>188</v>
      </c>
      <c r="D359" s="18"/>
      <c r="E359" s="18">
        <v>0</v>
      </c>
      <c r="F359" s="18">
        <v>0</v>
      </c>
      <c r="G359" s="4" t="s">
        <v>1681</v>
      </c>
      <c r="H359" s="4" t="s">
        <v>1682</v>
      </c>
      <c r="I359" s="5">
        <v>104</v>
      </c>
      <c r="J359" s="4" t="s">
        <v>1683</v>
      </c>
      <c r="K359" s="4" t="s">
        <v>1684</v>
      </c>
      <c r="L359" s="4">
        <v>19283438</v>
      </c>
      <c r="M359" s="4"/>
    </row>
    <row r="360" spans="1:13" ht="15" customHeight="1">
      <c r="A360" s="4" t="s">
        <v>1685</v>
      </c>
      <c r="B360" s="4" t="s">
        <v>1686</v>
      </c>
      <c r="C360" s="4" t="s">
        <v>541</v>
      </c>
      <c r="D360" s="18"/>
      <c r="E360" s="18">
        <v>0</v>
      </c>
      <c r="F360" s="18">
        <v>0</v>
      </c>
      <c r="G360" s="4" t="s">
        <v>1687</v>
      </c>
      <c r="H360" s="4" t="s">
        <v>1688</v>
      </c>
      <c r="I360" s="5">
        <v>4</v>
      </c>
      <c r="J360" s="4"/>
      <c r="K360" s="4" t="s">
        <v>1689</v>
      </c>
      <c r="L360" s="4">
        <v>23313180</v>
      </c>
      <c r="M360" s="4"/>
    </row>
    <row r="361" spans="1:13" ht="15" customHeight="1">
      <c r="A361" s="4" t="s">
        <v>1690</v>
      </c>
      <c r="B361" s="4" t="s">
        <v>81</v>
      </c>
      <c r="C361" s="4" t="s">
        <v>51</v>
      </c>
      <c r="D361" s="18"/>
      <c r="E361" s="18">
        <v>0</v>
      </c>
      <c r="F361" s="18">
        <v>0</v>
      </c>
      <c r="G361" s="4" t="s">
        <v>1691</v>
      </c>
      <c r="H361" s="4"/>
      <c r="I361" s="5">
        <v>0</v>
      </c>
      <c r="J361" s="4"/>
      <c r="K361" s="4" t="s">
        <v>81</v>
      </c>
      <c r="L361" s="4">
        <v>152535</v>
      </c>
      <c r="M361" s="4"/>
    </row>
    <row r="362" spans="1:13" ht="15" customHeight="1">
      <c r="A362" s="4" t="s">
        <v>1692</v>
      </c>
      <c r="B362" s="4" t="s">
        <v>83</v>
      </c>
      <c r="C362" s="4" t="s">
        <v>51</v>
      </c>
      <c r="D362" s="18"/>
      <c r="E362" s="18">
        <v>0</v>
      </c>
      <c r="F362" s="18">
        <v>0</v>
      </c>
      <c r="G362" s="4" t="s">
        <v>1693</v>
      </c>
      <c r="H362" s="4" t="s">
        <v>1694</v>
      </c>
      <c r="I362" s="5">
        <v>0</v>
      </c>
      <c r="J362" s="4" t="s">
        <v>1695</v>
      </c>
      <c r="K362" s="4" t="s">
        <v>1696</v>
      </c>
      <c r="L362" s="4">
        <v>403200</v>
      </c>
      <c r="M362" s="4"/>
    </row>
    <row r="363" spans="1:13" ht="15" customHeight="1">
      <c r="A363" s="4" t="s">
        <v>1697</v>
      </c>
      <c r="B363" s="4" t="s">
        <v>1698</v>
      </c>
      <c r="C363" s="4" t="s">
        <v>131</v>
      </c>
      <c r="D363" s="18"/>
      <c r="E363" s="18">
        <v>0</v>
      </c>
      <c r="F363" s="18">
        <v>0</v>
      </c>
      <c r="G363" s="4" t="s">
        <v>1699</v>
      </c>
      <c r="H363" s="4" t="s">
        <v>1700</v>
      </c>
      <c r="I363" s="5">
        <v>32</v>
      </c>
      <c r="J363" s="4"/>
      <c r="K363" s="4" t="s">
        <v>1701</v>
      </c>
      <c r="L363" s="4">
        <v>8068421</v>
      </c>
      <c r="M363" s="4"/>
    </row>
    <row r="364" spans="1:13" ht="15" customHeight="1">
      <c r="A364" s="4" t="s">
        <v>1702</v>
      </c>
      <c r="B364" s="4" t="s">
        <v>1703</v>
      </c>
      <c r="C364" s="4" t="s">
        <v>1704</v>
      </c>
      <c r="D364" s="18"/>
      <c r="E364" s="18">
        <v>0</v>
      </c>
      <c r="F364" s="18">
        <v>0</v>
      </c>
      <c r="G364" s="4" t="s">
        <v>1705</v>
      </c>
      <c r="H364" s="4" t="s">
        <v>1706</v>
      </c>
      <c r="I364" s="5">
        <v>68</v>
      </c>
      <c r="J364" s="4" t="s">
        <v>1707</v>
      </c>
      <c r="K364" s="4" t="s">
        <v>1703</v>
      </c>
      <c r="L364" s="4">
        <v>7299841</v>
      </c>
      <c r="M364" s="4"/>
    </row>
    <row r="365" spans="1:13" ht="15" customHeight="1">
      <c r="A365" s="4" t="s">
        <v>1708</v>
      </c>
      <c r="B365" s="4" t="s">
        <v>1709</v>
      </c>
      <c r="C365" s="4" t="s">
        <v>1710</v>
      </c>
      <c r="D365" s="18"/>
      <c r="E365" s="18">
        <v>0</v>
      </c>
      <c r="F365" s="18">
        <v>0</v>
      </c>
      <c r="G365" s="4" t="s">
        <v>1711</v>
      </c>
      <c r="H365" s="4" t="s">
        <v>1712</v>
      </c>
      <c r="I365" s="5">
        <v>3393</v>
      </c>
      <c r="J365" s="4"/>
      <c r="K365" s="4" t="s">
        <v>1709</v>
      </c>
      <c r="L365" s="4">
        <v>211699205</v>
      </c>
      <c r="M365" s="4"/>
    </row>
    <row r="366" spans="1:13" ht="15" customHeight="1">
      <c r="A366" s="4" t="s">
        <v>1713</v>
      </c>
      <c r="B366" s="4" t="s">
        <v>1714</v>
      </c>
      <c r="C366" s="4" t="s">
        <v>679</v>
      </c>
      <c r="D366" s="18"/>
      <c r="E366" s="18">
        <v>35</v>
      </c>
      <c r="F366" s="18">
        <v>4</v>
      </c>
      <c r="G366" s="4" t="s">
        <v>1715</v>
      </c>
      <c r="H366" s="4" t="s">
        <v>1716</v>
      </c>
      <c r="I366" s="5">
        <v>214</v>
      </c>
      <c r="J366" s="4"/>
      <c r="K366" s="4" t="s">
        <v>1717</v>
      </c>
      <c r="L366" s="4">
        <v>217880128</v>
      </c>
      <c r="M366" s="4"/>
    </row>
    <row r="367" spans="1:13" ht="15" customHeight="1">
      <c r="A367" s="4" t="s">
        <v>1718</v>
      </c>
      <c r="B367" s="4" t="s">
        <v>1719</v>
      </c>
      <c r="C367" s="4" t="s">
        <v>592</v>
      </c>
      <c r="D367" s="18"/>
      <c r="E367" s="18">
        <v>61</v>
      </c>
      <c r="F367" s="18">
        <v>23</v>
      </c>
      <c r="G367" s="4" t="s">
        <v>1720</v>
      </c>
      <c r="H367" s="4"/>
      <c r="I367" s="5">
        <v>275</v>
      </c>
      <c r="J367" s="4" t="s">
        <v>1719</v>
      </c>
      <c r="K367" s="4" t="s">
        <v>1719</v>
      </c>
      <c r="L367" s="4">
        <v>108423038</v>
      </c>
      <c r="M367" s="4"/>
    </row>
    <row r="368" spans="1:13" ht="15" customHeight="1">
      <c r="A368" s="4" t="s">
        <v>1721</v>
      </c>
      <c r="B368" s="4" t="s">
        <v>1722</v>
      </c>
      <c r="C368" s="4" t="s">
        <v>592</v>
      </c>
      <c r="D368" s="18"/>
      <c r="E368" s="18">
        <v>508</v>
      </c>
      <c r="F368" s="18">
        <v>63</v>
      </c>
      <c r="G368" s="4" t="s">
        <v>1723</v>
      </c>
      <c r="H368" s="4" t="s">
        <v>1724</v>
      </c>
      <c r="I368" s="5">
        <v>2348</v>
      </c>
      <c r="J368" s="4" t="s">
        <v>1725</v>
      </c>
      <c r="K368" s="4" t="s">
        <v>605</v>
      </c>
      <c r="L368" s="4">
        <v>1361006319</v>
      </c>
      <c r="M368" s="4" t="s">
        <v>826</v>
      </c>
    </row>
    <row r="369" spans="1:13" ht="15" customHeight="1">
      <c r="A369" s="4" t="s">
        <v>1726</v>
      </c>
      <c r="B369" s="4" t="s">
        <v>1727</v>
      </c>
      <c r="C369" s="4" t="s">
        <v>742</v>
      </c>
      <c r="D369" s="18"/>
      <c r="E369" s="18">
        <v>0</v>
      </c>
      <c r="F369" s="18">
        <v>0</v>
      </c>
      <c r="G369" s="4" t="s">
        <v>1728</v>
      </c>
      <c r="H369" s="4" t="s">
        <v>1729</v>
      </c>
      <c r="I369" s="5">
        <v>877</v>
      </c>
      <c r="J369" s="4"/>
      <c r="K369" s="4" t="s">
        <v>1730</v>
      </c>
      <c r="L369" s="4">
        <v>436354509</v>
      </c>
      <c r="M369" s="4"/>
    </row>
    <row r="370" spans="1:13" ht="15" customHeight="1">
      <c r="A370" s="4" t="s">
        <v>1731</v>
      </c>
      <c r="B370" s="4" t="s">
        <v>1732</v>
      </c>
      <c r="C370" s="4" t="s">
        <v>466</v>
      </c>
      <c r="D370" s="18"/>
      <c r="E370" s="18">
        <v>0</v>
      </c>
      <c r="F370" s="18">
        <v>0</v>
      </c>
      <c r="G370" s="4" t="s">
        <v>1733</v>
      </c>
      <c r="H370" s="4" t="s">
        <v>1734</v>
      </c>
      <c r="I370" s="5">
        <v>666</v>
      </c>
      <c r="J370" s="4" t="s">
        <v>1735</v>
      </c>
      <c r="K370" s="4" t="s">
        <v>1732</v>
      </c>
      <c r="L370" s="4">
        <v>215249573</v>
      </c>
      <c r="M370" s="4"/>
    </row>
    <row r="371" spans="1:13" ht="15" customHeight="1">
      <c r="A371" s="4" t="s">
        <v>1736</v>
      </c>
      <c r="B371" s="4" t="s">
        <v>1737</v>
      </c>
      <c r="C371" s="4" t="s">
        <v>742</v>
      </c>
      <c r="D371" s="18"/>
      <c r="E371" s="18">
        <v>0</v>
      </c>
      <c r="F371" s="18">
        <v>0</v>
      </c>
      <c r="G371" s="4" t="s">
        <v>1738</v>
      </c>
      <c r="H371" s="4" t="s">
        <v>1739</v>
      </c>
      <c r="I371" s="5">
        <v>1220</v>
      </c>
      <c r="J371" s="4" t="s">
        <v>1740</v>
      </c>
      <c r="K371" s="4" t="s">
        <v>1741</v>
      </c>
      <c r="L371" s="4">
        <v>311749521</v>
      </c>
      <c r="M371" s="4"/>
    </row>
    <row r="372" spans="1:13" ht="15" customHeight="1">
      <c r="A372" s="4" t="s">
        <v>1742</v>
      </c>
      <c r="B372" s="4" t="s">
        <v>1743</v>
      </c>
      <c r="C372" s="4" t="s">
        <v>1744</v>
      </c>
      <c r="D372" s="18"/>
      <c r="E372" s="18">
        <v>3030</v>
      </c>
      <c r="F372" s="18">
        <v>1949</v>
      </c>
      <c r="G372" s="4" t="s">
        <v>1745</v>
      </c>
      <c r="H372" s="4" t="s">
        <v>1746</v>
      </c>
      <c r="I372" s="5">
        <v>556</v>
      </c>
      <c r="J372" s="4"/>
      <c r="K372" s="4" t="s">
        <v>1747</v>
      </c>
      <c r="L372" s="4">
        <v>243513643</v>
      </c>
      <c r="M372" s="4"/>
    </row>
    <row r="373" spans="1:13" ht="15" customHeight="1">
      <c r="A373" s="4" t="s">
        <v>1748</v>
      </c>
      <c r="B373" s="4" t="s">
        <v>1749</v>
      </c>
      <c r="C373" s="4" t="s">
        <v>679</v>
      </c>
      <c r="D373" s="18"/>
      <c r="E373" s="18">
        <v>0</v>
      </c>
      <c r="F373" s="18">
        <v>0</v>
      </c>
      <c r="G373" s="4" t="s">
        <v>1750</v>
      </c>
      <c r="H373" s="4"/>
      <c r="I373" s="5">
        <v>9</v>
      </c>
      <c r="J373" s="4"/>
      <c r="K373" s="4" t="s">
        <v>1291</v>
      </c>
      <c r="L373" s="4">
        <v>687618</v>
      </c>
      <c r="M373" s="4"/>
    </row>
    <row r="374" spans="1:13" ht="15" customHeight="1">
      <c r="A374" s="4" t="s">
        <v>1751</v>
      </c>
      <c r="B374" s="4" t="s">
        <v>1752</v>
      </c>
      <c r="C374" s="4" t="s">
        <v>679</v>
      </c>
      <c r="D374" s="18"/>
      <c r="E374" s="18">
        <v>15</v>
      </c>
      <c r="F374" s="18">
        <v>5</v>
      </c>
      <c r="G374" s="4" t="s">
        <v>1753</v>
      </c>
      <c r="H374" s="4" t="s">
        <v>1754</v>
      </c>
      <c r="I374" s="5">
        <v>17</v>
      </c>
      <c r="J374" s="4"/>
      <c r="K374" s="4" t="s">
        <v>1755</v>
      </c>
      <c r="L374" s="4">
        <v>34946039</v>
      </c>
      <c r="M374" s="4"/>
    </row>
    <row r="375" spans="1:13" ht="15" customHeight="1">
      <c r="A375" s="4" t="s">
        <v>1756</v>
      </c>
      <c r="B375" s="4" t="s">
        <v>1757</v>
      </c>
      <c r="C375" s="4" t="s">
        <v>650</v>
      </c>
      <c r="D375" s="18"/>
      <c r="E375" s="18">
        <v>0</v>
      </c>
      <c r="F375" s="18">
        <v>0</v>
      </c>
      <c r="G375" s="4" t="s">
        <v>1758</v>
      </c>
      <c r="H375" s="4"/>
      <c r="I375" s="5">
        <v>15</v>
      </c>
      <c r="J375" s="4"/>
      <c r="K375" s="4" t="s">
        <v>650</v>
      </c>
      <c r="L375" s="4">
        <v>4758200</v>
      </c>
      <c r="M375" s="4"/>
    </row>
    <row r="376" spans="1:13" ht="15" customHeight="1">
      <c r="A376" s="4" t="s">
        <v>1759</v>
      </c>
      <c r="B376" s="4" t="s">
        <v>1760</v>
      </c>
      <c r="C376" s="4" t="s">
        <v>1331</v>
      </c>
      <c r="D376" s="18"/>
      <c r="E376" s="18">
        <v>118332</v>
      </c>
      <c r="F376" s="18">
        <v>39248</v>
      </c>
      <c r="G376" s="4" t="s">
        <v>1761</v>
      </c>
      <c r="H376" s="4" t="s">
        <v>1762</v>
      </c>
      <c r="I376" s="5">
        <v>740</v>
      </c>
      <c r="J376" s="4"/>
      <c r="K376" s="4" t="s">
        <v>1763</v>
      </c>
      <c r="L376" s="4">
        <v>127092149</v>
      </c>
      <c r="M376" s="4"/>
    </row>
    <row r="377" spans="1:13" ht="15" customHeight="1">
      <c r="A377" s="4" t="s">
        <v>1764</v>
      </c>
      <c r="B377" s="4" t="s">
        <v>1765</v>
      </c>
      <c r="C377" s="4" t="s">
        <v>1766</v>
      </c>
      <c r="D377" s="18"/>
      <c r="E377" s="18">
        <v>0</v>
      </c>
      <c r="F377" s="18">
        <v>0</v>
      </c>
      <c r="G377" s="4" t="s">
        <v>1767</v>
      </c>
      <c r="H377" s="4"/>
      <c r="I377" s="5">
        <v>16</v>
      </c>
      <c r="J377" s="4"/>
      <c r="K377" s="4" t="s">
        <v>1768</v>
      </c>
      <c r="L377" s="4">
        <v>11978127</v>
      </c>
      <c r="M377" s="4"/>
    </row>
    <row r="378" spans="1:13" ht="15" customHeight="1">
      <c r="A378" s="4" t="s">
        <v>1769</v>
      </c>
      <c r="B378" s="4" t="s">
        <v>1770</v>
      </c>
      <c r="C378" s="4" t="s">
        <v>1771</v>
      </c>
      <c r="D378" s="18"/>
      <c r="E378" s="18">
        <v>0</v>
      </c>
      <c r="F378" s="18">
        <v>0</v>
      </c>
      <c r="G378" s="4" t="s">
        <v>1772</v>
      </c>
      <c r="H378" s="4" t="s">
        <v>1773</v>
      </c>
      <c r="I378" s="5">
        <v>10</v>
      </c>
      <c r="J378" s="4"/>
      <c r="K378" s="4" t="s">
        <v>1770</v>
      </c>
      <c r="L378" s="4">
        <v>3252187</v>
      </c>
      <c r="M378" s="4"/>
    </row>
    <row r="379" spans="1:13" ht="15" customHeight="1">
      <c r="A379" s="4" t="s">
        <v>1774</v>
      </c>
      <c r="B379" s="4" t="s">
        <v>1775</v>
      </c>
      <c r="C379" s="4" t="s">
        <v>1776</v>
      </c>
      <c r="D379" s="18"/>
      <c r="E379" s="18">
        <v>0</v>
      </c>
      <c r="F379" s="18">
        <v>0</v>
      </c>
      <c r="G379" s="4" t="s">
        <v>1777</v>
      </c>
      <c r="H379" s="4" t="s">
        <v>1778</v>
      </c>
      <c r="I379" s="5">
        <v>98</v>
      </c>
      <c r="J379" s="4" t="s">
        <v>1779</v>
      </c>
      <c r="K379" s="4" t="s">
        <v>1780</v>
      </c>
      <c r="L379" s="4">
        <v>30922488</v>
      </c>
      <c r="M379" s="4"/>
    </row>
    <row r="380" spans="1:13" ht="15" customHeight="1">
      <c r="A380" s="4" t="s">
        <v>1781</v>
      </c>
      <c r="B380" s="4" t="s">
        <v>1782</v>
      </c>
      <c r="C380" s="4" t="s">
        <v>1783</v>
      </c>
      <c r="D380" s="18"/>
      <c r="E380" s="18">
        <v>0</v>
      </c>
      <c r="F380" s="18">
        <v>0</v>
      </c>
      <c r="G380" s="4" t="s">
        <v>1784</v>
      </c>
      <c r="H380" s="4" t="s">
        <v>1785</v>
      </c>
      <c r="I380" s="5">
        <v>4659</v>
      </c>
      <c r="J380" s="4"/>
      <c r="K380" s="4" t="s">
        <v>1782</v>
      </c>
      <c r="L380" s="4">
        <v>1664352916</v>
      </c>
      <c r="M380" s="4" t="s">
        <v>468</v>
      </c>
    </row>
    <row r="381" spans="1:13" ht="15" customHeight="1">
      <c r="A381" s="4" t="s">
        <v>1786</v>
      </c>
      <c r="B381" s="4" t="s">
        <v>1787</v>
      </c>
      <c r="C381" s="4" t="s">
        <v>1788</v>
      </c>
      <c r="D381" s="18"/>
      <c r="E381" s="18">
        <v>0</v>
      </c>
      <c r="F381" s="18">
        <v>0</v>
      </c>
      <c r="G381" s="4" t="s">
        <v>1789</v>
      </c>
      <c r="H381" s="4" t="s">
        <v>1790</v>
      </c>
      <c r="I381" s="5">
        <v>122</v>
      </c>
      <c r="J381" s="4"/>
      <c r="K381" s="4" t="s">
        <v>1791</v>
      </c>
      <c r="L381" s="4">
        <v>69445700</v>
      </c>
      <c r="M381" s="4"/>
    </row>
    <row r="382" spans="1:13" ht="15" customHeight="1">
      <c r="A382" s="4" t="s">
        <v>1792</v>
      </c>
      <c r="B382" s="4" t="s">
        <v>1793</v>
      </c>
      <c r="C382" s="4" t="s">
        <v>643</v>
      </c>
      <c r="D382" s="18"/>
      <c r="E382" s="18">
        <v>186</v>
      </c>
      <c r="F382" s="18">
        <v>17</v>
      </c>
      <c r="G382" s="4" t="s">
        <v>1794</v>
      </c>
      <c r="H382" s="4" t="s">
        <v>1795</v>
      </c>
      <c r="I382" s="5">
        <v>585</v>
      </c>
      <c r="J382" s="4" t="s">
        <v>1793</v>
      </c>
      <c r="K382" s="4"/>
      <c r="L382" s="4">
        <v>299586451</v>
      </c>
      <c r="M382" s="4"/>
    </row>
    <row r="383" spans="1:13" ht="15" customHeight="1">
      <c r="A383" s="4" t="s">
        <v>1796</v>
      </c>
      <c r="B383" s="4" t="s">
        <v>1797</v>
      </c>
      <c r="C383" s="4" t="s">
        <v>42</v>
      </c>
      <c r="D383" s="18"/>
      <c r="E383" s="18">
        <v>0</v>
      </c>
      <c r="F383" s="18">
        <v>0</v>
      </c>
      <c r="G383" s="4" t="s">
        <v>1798</v>
      </c>
      <c r="H383" s="4" t="s">
        <v>1799</v>
      </c>
      <c r="I383" s="5">
        <v>568</v>
      </c>
      <c r="J383" s="4"/>
      <c r="K383" s="4" t="s">
        <v>1797</v>
      </c>
      <c r="L383" s="4">
        <v>367183468</v>
      </c>
      <c r="M383" s="4" t="s">
        <v>1264</v>
      </c>
    </row>
    <row r="384" spans="1:13" ht="15" customHeight="1">
      <c r="A384" s="4" t="s">
        <v>1800</v>
      </c>
      <c r="B384" s="4" t="s">
        <v>1801</v>
      </c>
      <c r="C384" s="4" t="s">
        <v>1802</v>
      </c>
      <c r="D384" s="18"/>
      <c r="E384" s="18">
        <v>0</v>
      </c>
      <c r="F384" s="18">
        <v>0</v>
      </c>
      <c r="G384" s="4" t="s">
        <v>1803</v>
      </c>
      <c r="H384" s="4" t="s">
        <v>1804</v>
      </c>
      <c r="I384" s="5">
        <v>6</v>
      </c>
      <c r="J384" s="4"/>
      <c r="K384" s="4"/>
      <c r="L384" s="4">
        <v>4571226</v>
      </c>
      <c r="M384" s="4"/>
    </row>
    <row r="385" spans="1:13" ht="15" customHeight="1">
      <c r="A385" s="4" t="s">
        <v>1805</v>
      </c>
      <c r="B385" s="4" t="s">
        <v>1806</v>
      </c>
      <c r="C385" s="4" t="s">
        <v>1807</v>
      </c>
      <c r="D385" s="18"/>
      <c r="E385" s="18">
        <v>874</v>
      </c>
      <c r="F385" s="18">
        <v>65</v>
      </c>
      <c r="G385" s="4" t="s">
        <v>1808</v>
      </c>
      <c r="H385" s="4" t="s">
        <v>1809</v>
      </c>
      <c r="I385" s="5">
        <v>459</v>
      </c>
      <c r="J385" s="4"/>
      <c r="K385" s="4" t="s">
        <v>1810</v>
      </c>
      <c r="L385" s="4">
        <v>338924292</v>
      </c>
      <c r="M385" s="4"/>
    </row>
    <row r="386" spans="1:13" ht="15" customHeight="1">
      <c r="A386" s="4" t="s">
        <v>1811</v>
      </c>
      <c r="B386" s="4" t="s">
        <v>1569</v>
      </c>
      <c r="C386" s="4" t="s">
        <v>42</v>
      </c>
      <c r="D386" s="18"/>
      <c r="E386" s="18">
        <v>0</v>
      </c>
      <c r="F386" s="18">
        <v>0</v>
      </c>
      <c r="G386" s="4" t="s">
        <v>1812</v>
      </c>
      <c r="H386" s="4" t="s">
        <v>1813</v>
      </c>
      <c r="I386" s="5">
        <v>1</v>
      </c>
      <c r="J386" s="4"/>
      <c r="K386" s="4" t="s">
        <v>1814</v>
      </c>
      <c r="L386" s="4">
        <v>334815</v>
      </c>
      <c r="M386" s="4"/>
    </row>
    <row r="387" spans="1:13" ht="15" customHeight="1">
      <c r="A387" s="4" t="s">
        <v>1815</v>
      </c>
      <c r="B387" s="4" t="s">
        <v>1816</v>
      </c>
      <c r="C387" s="4" t="s">
        <v>679</v>
      </c>
      <c r="D387" s="18"/>
      <c r="E387" s="18">
        <v>0</v>
      </c>
      <c r="F387" s="18">
        <v>0</v>
      </c>
      <c r="G387" s="4" t="s">
        <v>1817</v>
      </c>
      <c r="H387" s="4" t="s">
        <v>1818</v>
      </c>
      <c r="I387" s="5">
        <v>2620</v>
      </c>
      <c r="J387" s="4"/>
      <c r="K387" s="4" t="s">
        <v>1816</v>
      </c>
      <c r="L387" s="4">
        <v>618344312</v>
      </c>
      <c r="M387" s="4"/>
    </row>
    <row r="388" spans="1:13" ht="15" customHeight="1">
      <c r="A388" s="4" t="s">
        <v>1819</v>
      </c>
      <c r="B388" s="4" t="s">
        <v>1820</v>
      </c>
      <c r="C388" s="9" t="s">
        <v>679</v>
      </c>
      <c r="D388" s="18"/>
      <c r="E388" s="18">
        <v>0</v>
      </c>
      <c r="F388" s="18">
        <v>0</v>
      </c>
      <c r="G388" s="4" t="s">
        <v>1821</v>
      </c>
      <c r="H388" s="4" t="s">
        <v>1822</v>
      </c>
      <c r="I388" s="5">
        <v>2</v>
      </c>
      <c r="J388" s="4"/>
      <c r="K388" s="4" t="s">
        <v>1291</v>
      </c>
      <c r="L388" s="4">
        <v>3053937</v>
      </c>
      <c r="M388" s="4"/>
    </row>
    <row r="389" spans="1:13" ht="15" customHeight="1">
      <c r="A389" s="4" t="s">
        <v>1823</v>
      </c>
      <c r="B389" s="4" t="s">
        <v>1824</v>
      </c>
      <c r="C389" s="4" t="s">
        <v>466</v>
      </c>
      <c r="D389" s="18"/>
      <c r="E389" s="18">
        <v>0</v>
      </c>
      <c r="F389" s="18">
        <v>0</v>
      </c>
      <c r="G389" s="4" t="s">
        <v>1825</v>
      </c>
      <c r="H389" s="4" t="s">
        <v>1826</v>
      </c>
      <c r="I389" s="5">
        <v>159</v>
      </c>
      <c r="J389" s="4"/>
      <c r="K389" s="4" t="s">
        <v>1824</v>
      </c>
      <c r="L389" s="4">
        <v>38638268</v>
      </c>
      <c r="M389" s="4"/>
    </row>
    <row r="390" spans="1:13" ht="15" customHeight="1">
      <c r="A390" s="4" t="s">
        <v>1827</v>
      </c>
      <c r="B390" s="4" t="s">
        <v>105</v>
      </c>
      <c r="C390" s="4" t="s">
        <v>51</v>
      </c>
      <c r="D390" s="18"/>
      <c r="E390" s="18">
        <v>0</v>
      </c>
      <c r="F390" s="18">
        <v>0</v>
      </c>
      <c r="G390" s="4" t="s">
        <v>1828</v>
      </c>
      <c r="H390" s="4" t="s">
        <v>1829</v>
      </c>
      <c r="I390" s="5">
        <v>8</v>
      </c>
      <c r="J390" s="4"/>
      <c r="K390" s="4" t="s">
        <v>105</v>
      </c>
      <c r="L390" s="4">
        <v>1163456</v>
      </c>
      <c r="M390" s="4"/>
    </row>
    <row r="391" spans="1:13" ht="15" customHeight="1">
      <c r="A391" s="4" t="s">
        <v>1830</v>
      </c>
      <c r="B391" s="4" t="s">
        <v>79</v>
      </c>
      <c r="C391" s="4" t="s">
        <v>51</v>
      </c>
      <c r="D391" s="18"/>
      <c r="E391" s="18">
        <v>0</v>
      </c>
      <c r="F391" s="18">
        <v>0</v>
      </c>
      <c r="G391" s="4" t="s">
        <v>1831</v>
      </c>
      <c r="H391" s="4"/>
      <c r="I391" s="5">
        <v>0</v>
      </c>
      <c r="J391" s="4"/>
      <c r="K391" s="4" t="s">
        <v>1832</v>
      </c>
      <c r="L391" s="4">
        <v>263541</v>
      </c>
      <c r="M391" s="4"/>
    </row>
    <row r="392" spans="1:13" ht="15" customHeight="1">
      <c r="A392" s="4" t="s">
        <v>1833</v>
      </c>
      <c r="B392" s="4" t="s">
        <v>1834</v>
      </c>
      <c r="C392" s="4" t="s">
        <v>574</v>
      </c>
      <c r="D392" s="18"/>
      <c r="E392" s="18">
        <v>0</v>
      </c>
      <c r="F392" s="18">
        <v>0</v>
      </c>
      <c r="G392" s="4" t="s">
        <v>1835</v>
      </c>
      <c r="H392" s="4" t="s">
        <v>1836</v>
      </c>
      <c r="I392" s="5">
        <v>642</v>
      </c>
      <c r="J392" s="4"/>
      <c r="K392" s="4" t="s">
        <v>577</v>
      </c>
      <c r="L392" s="4">
        <v>197318709</v>
      </c>
      <c r="M392" s="4"/>
    </row>
    <row r="393" spans="1:13" ht="15" customHeight="1">
      <c r="A393" s="4" t="s">
        <v>1837</v>
      </c>
      <c r="B393" s="4" t="s">
        <v>1838</v>
      </c>
      <c r="C393" s="4" t="s">
        <v>1839</v>
      </c>
      <c r="D393" s="18"/>
      <c r="E393" s="18">
        <v>0</v>
      </c>
      <c r="F393" s="18">
        <v>0</v>
      </c>
      <c r="G393" s="4" t="s">
        <v>1840</v>
      </c>
      <c r="H393" s="4" t="s">
        <v>1841</v>
      </c>
      <c r="I393" s="5">
        <v>313</v>
      </c>
      <c r="J393" s="4" t="s">
        <v>1842</v>
      </c>
      <c r="K393" s="4" t="s">
        <v>1843</v>
      </c>
      <c r="L393" s="4">
        <v>63845647</v>
      </c>
      <c r="M393" s="4"/>
    </row>
    <row r="394" spans="1:13" ht="15" customHeight="1">
      <c r="A394" s="4" t="s">
        <v>1844</v>
      </c>
      <c r="B394" s="4" t="s">
        <v>1845</v>
      </c>
      <c r="C394" s="4" t="s">
        <v>1545</v>
      </c>
      <c r="D394" s="18"/>
      <c r="E394" s="18">
        <v>0</v>
      </c>
      <c r="F394" s="18">
        <v>0</v>
      </c>
      <c r="G394" s="4" t="s">
        <v>1846</v>
      </c>
      <c r="H394" s="4" t="s">
        <v>1847</v>
      </c>
      <c r="I394" s="5">
        <v>6677</v>
      </c>
      <c r="J394" s="4"/>
      <c r="K394" s="4" t="s">
        <v>1848</v>
      </c>
      <c r="L394" s="4">
        <v>833926032</v>
      </c>
      <c r="M394" s="4"/>
    </row>
    <row r="395" spans="1:13" ht="15" customHeight="1">
      <c r="A395" s="4" t="s">
        <v>1849</v>
      </c>
      <c r="B395" s="4" t="s">
        <v>1850</v>
      </c>
      <c r="C395" s="4" t="s">
        <v>154</v>
      </c>
      <c r="D395" s="18"/>
      <c r="E395" s="18">
        <v>0</v>
      </c>
      <c r="F395" s="18">
        <v>0</v>
      </c>
      <c r="G395" s="4" t="s">
        <v>1851</v>
      </c>
      <c r="H395" s="4"/>
      <c r="I395" s="5">
        <v>2206</v>
      </c>
      <c r="J395" s="4"/>
      <c r="K395" s="4" t="s">
        <v>378</v>
      </c>
      <c r="L395" s="4">
        <v>358806634</v>
      </c>
      <c r="M395" s="4"/>
    </row>
    <row r="396" spans="1:13" ht="15" customHeight="1">
      <c r="A396" s="4" t="s">
        <v>1852</v>
      </c>
      <c r="B396" s="4" t="s">
        <v>1853</v>
      </c>
      <c r="C396" s="4" t="s">
        <v>1854</v>
      </c>
      <c r="D396" s="18"/>
      <c r="E396" s="18">
        <v>0</v>
      </c>
      <c r="F396" s="18">
        <v>0</v>
      </c>
      <c r="G396" s="4" t="s">
        <v>1855</v>
      </c>
      <c r="H396" s="4" t="s">
        <v>1856</v>
      </c>
      <c r="I396" s="5">
        <v>166</v>
      </c>
      <c r="J396" s="4"/>
      <c r="K396" s="4"/>
      <c r="L396" s="4">
        <v>141841699</v>
      </c>
      <c r="M396" s="4"/>
    </row>
    <row r="397" spans="1:13" ht="15" customHeight="1">
      <c r="A397" s="4" t="s">
        <v>1857</v>
      </c>
      <c r="B397" s="4" t="s">
        <v>1858</v>
      </c>
      <c r="C397" s="4" t="s">
        <v>679</v>
      </c>
      <c r="D397" s="18"/>
      <c r="E397" s="18">
        <v>0</v>
      </c>
      <c r="F397" s="18">
        <v>0</v>
      </c>
      <c r="G397" s="4" t="s">
        <v>1859</v>
      </c>
      <c r="H397" s="4" t="s">
        <v>1860</v>
      </c>
      <c r="I397" s="5">
        <v>114</v>
      </c>
      <c r="J397" s="4"/>
      <c r="K397" s="4" t="s">
        <v>789</v>
      </c>
      <c r="L397" s="4">
        <v>23763965</v>
      </c>
      <c r="M397" s="4"/>
    </row>
    <row r="398" spans="1:13" ht="15" customHeight="1">
      <c r="A398" s="4" t="s">
        <v>1861</v>
      </c>
      <c r="B398" s="4" t="s">
        <v>1862</v>
      </c>
      <c r="C398" s="4" t="s">
        <v>679</v>
      </c>
      <c r="D398" s="18"/>
      <c r="E398" s="18">
        <v>0</v>
      </c>
      <c r="F398" s="18">
        <v>0</v>
      </c>
      <c r="G398" s="4" t="s">
        <v>1863</v>
      </c>
      <c r="H398" s="4" t="s">
        <v>1864</v>
      </c>
      <c r="I398" s="5">
        <v>255</v>
      </c>
      <c r="J398" s="4"/>
      <c r="K398" s="4" t="s">
        <v>1865</v>
      </c>
      <c r="L398" s="4">
        <v>96639417</v>
      </c>
      <c r="M398" s="4"/>
    </row>
    <row r="399" spans="1:13" ht="15" customHeight="1">
      <c r="A399" s="4" t="s">
        <v>1866</v>
      </c>
      <c r="B399" s="4" t="s">
        <v>1867</v>
      </c>
      <c r="C399" s="4" t="s">
        <v>621</v>
      </c>
      <c r="D399" s="18"/>
      <c r="E399" s="18">
        <v>0</v>
      </c>
      <c r="F399" s="18">
        <v>0</v>
      </c>
      <c r="G399" s="4" t="s">
        <v>1868</v>
      </c>
      <c r="H399" s="4" t="s">
        <v>1869</v>
      </c>
      <c r="I399" s="5">
        <v>1234</v>
      </c>
      <c r="J399" s="4"/>
      <c r="K399" s="4" t="s">
        <v>1867</v>
      </c>
      <c r="L399" s="4">
        <v>278158388</v>
      </c>
      <c r="M399" s="4"/>
    </row>
    <row r="400" spans="1:13" ht="15" customHeight="1">
      <c r="A400" s="4" t="s">
        <v>1870</v>
      </c>
      <c r="B400" s="4" t="s">
        <v>1871</v>
      </c>
      <c r="C400" s="4" t="s">
        <v>1872</v>
      </c>
      <c r="D400" s="18"/>
      <c r="E400" s="18">
        <v>0</v>
      </c>
      <c r="F400" s="18">
        <v>0</v>
      </c>
      <c r="G400" s="4" t="s">
        <v>1873</v>
      </c>
      <c r="H400" s="4" t="s">
        <v>1874</v>
      </c>
      <c r="I400" s="5">
        <v>1513</v>
      </c>
      <c r="J400" s="4"/>
      <c r="K400" s="4" t="s">
        <v>1875</v>
      </c>
      <c r="L400" s="4">
        <v>971283646</v>
      </c>
      <c r="M400" s="4" t="s">
        <v>1507</v>
      </c>
    </row>
    <row r="401" spans="1:13" ht="15" customHeight="1">
      <c r="A401" s="4" t="s">
        <v>1876</v>
      </c>
      <c r="B401" s="4" t="s">
        <v>1877</v>
      </c>
      <c r="C401" s="4" t="s">
        <v>395</v>
      </c>
      <c r="D401" s="18"/>
      <c r="E401" s="18">
        <v>0</v>
      </c>
      <c r="F401" s="18">
        <v>0</v>
      </c>
      <c r="G401" s="4" t="s">
        <v>1878</v>
      </c>
      <c r="H401" s="4" t="s">
        <v>1879</v>
      </c>
      <c r="I401" s="5">
        <v>149</v>
      </c>
      <c r="J401" s="4"/>
      <c r="K401" s="4" t="s">
        <v>397</v>
      </c>
      <c r="L401" s="4">
        <v>98709892</v>
      </c>
      <c r="M401" s="4"/>
    </row>
    <row r="402" spans="1:13" ht="15" customHeight="1">
      <c r="A402" s="4" t="s">
        <v>1880</v>
      </c>
      <c r="B402" s="4" t="s">
        <v>1881</v>
      </c>
      <c r="C402" s="4" t="s">
        <v>1882</v>
      </c>
      <c r="D402" s="18"/>
      <c r="E402" s="18">
        <v>0</v>
      </c>
      <c r="F402" s="18">
        <v>0</v>
      </c>
      <c r="G402" s="4" t="s">
        <v>1883</v>
      </c>
      <c r="H402" s="4" t="s">
        <v>1884</v>
      </c>
      <c r="I402" s="5">
        <v>1281</v>
      </c>
      <c r="J402" s="4"/>
      <c r="K402" s="4" t="s">
        <v>1885</v>
      </c>
      <c r="L402" s="4">
        <v>53235047</v>
      </c>
      <c r="M402" s="4"/>
    </row>
    <row r="403" spans="1:13" ht="15" customHeight="1">
      <c r="A403" s="4" t="s">
        <v>1886</v>
      </c>
      <c r="B403" s="4" t="s">
        <v>1887</v>
      </c>
      <c r="C403" s="4" t="s">
        <v>1888</v>
      </c>
      <c r="D403" s="18"/>
      <c r="E403" s="18">
        <v>0</v>
      </c>
      <c r="F403" s="18">
        <v>0</v>
      </c>
      <c r="G403" s="4" t="s">
        <v>1889</v>
      </c>
      <c r="H403" s="4"/>
      <c r="I403" s="5">
        <v>42</v>
      </c>
      <c r="J403" s="4"/>
      <c r="K403" s="4" t="s">
        <v>1887</v>
      </c>
      <c r="L403" s="4">
        <v>6085354</v>
      </c>
      <c r="M403" s="4"/>
    </row>
    <row r="404" spans="1:13" ht="15" customHeight="1">
      <c r="A404" s="4" t="s">
        <v>1890</v>
      </c>
      <c r="B404" s="4" t="s">
        <v>283</v>
      </c>
      <c r="C404" s="4" t="s">
        <v>1891</v>
      </c>
      <c r="D404" s="18"/>
      <c r="E404" s="18">
        <v>0</v>
      </c>
      <c r="F404" s="18">
        <v>0</v>
      </c>
      <c r="G404" s="4" t="s">
        <v>1892</v>
      </c>
      <c r="H404" s="4" t="s">
        <v>1893</v>
      </c>
      <c r="I404" s="5">
        <v>15</v>
      </c>
      <c r="J404" s="4"/>
      <c r="K404" s="4" t="s">
        <v>1894</v>
      </c>
      <c r="L404" s="4">
        <v>34309022</v>
      </c>
      <c r="M404" s="4"/>
    </row>
    <row r="405" spans="1:13" ht="15" customHeight="1">
      <c r="A405" s="4" t="s">
        <v>1895</v>
      </c>
      <c r="B405" s="4" t="s">
        <v>1896</v>
      </c>
      <c r="C405" s="25" t="s">
        <v>1897</v>
      </c>
      <c r="D405" s="18"/>
      <c r="E405" s="18">
        <v>0</v>
      </c>
      <c r="F405" s="18">
        <v>0</v>
      </c>
      <c r="G405" s="4" t="s">
        <v>1898</v>
      </c>
      <c r="H405" s="4" t="s">
        <v>1899</v>
      </c>
      <c r="I405" s="5">
        <v>0</v>
      </c>
      <c r="J405" s="4"/>
      <c r="K405" s="4"/>
      <c r="L405" s="4">
        <v>723571</v>
      </c>
      <c r="M405" s="4"/>
    </row>
    <row r="406" spans="1:13" ht="15" customHeight="1">
      <c r="A406" s="4" t="s">
        <v>1900</v>
      </c>
      <c r="B406" s="4" t="s">
        <v>1901</v>
      </c>
      <c r="C406" s="4" t="s">
        <v>498</v>
      </c>
      <c r="D406" s="18"/>
      <c r="E406" s="18">
        <v>0</v>
      </c>
      <c r="F406" s="18">
        <v>0</v>
      </c>
      <c r="G406" s="4" t="s">
        <v>1902</v>
      </c>
      <c r="H406" s="4" t="s">
        <v>1903</v>
      </c>
      <c r="I406" s="5">
        <v>293</v>
      </c>
      <c r="J406" s="4"/>
      <c r="K406" s="4" t="s">
        <v>1904</v>
      </c>
      <c r="L406" s="4">
        <v>87009373</v>
      </c>
      <c r="M406" s="4"/>
    </row>
    <row r="407" spans="1:13" ht="15" customHeight="1">
      <c r="A407" s="4" t="s">
        <v>1905</v>
      </c>
      <c r="B407" s="4" t="s">
        <v>1906</v>
      </c>
      <c r="C407" s="4" t="s">
        <v>1907</v>
      </c>
      <c r="D407" s="18"/>
      <c r="E407" s="18">
        <v>0</v>
      </c>
      <c r="F407" s="18">
        <v>0</v>
      </c>
      <c r="G407" s="4" t="s">
        <v>1908</v>
      </c>
      <c r="H407" s="4" t="s">
        <v>1909</v>
      </c>
      <c r="I407" s="5">
        <v>25</v>
      </c>
      <c r="J407" s="4"/>
      <c r="K407" s="4" t="s">
        <v>1910</v>
      </c>
      <c r="L407" s="4">
        <v>801778</v>
      </c>
      <c r="M407" s="4"/>
    </row>
    <row r="408" spans="1:13" ht="15" customHeight="1">
      <c r="A408" s="4" t="s">
        <v>1911</v>
      </c>
      <c r="B408" s="4" t="s">
        <v>1912</v>
      </c>
      <c r="C408" s="4" t="s">
        <v>650</v>
      </c>
      <c r="D408" s="18"/>
      <c r="E408" s="18">
        <v>0</v>
      </c>
      <c r="F408" s="18">
        <v>0</v>
      </c>
      <c r="G408" s="4" t="s">
        <v>1913</v>
      </c>
      <c r="H408" s="4" t="s">
        <v>1914</v>
      </c>
      <c r="I408" s="5">
        <v>1064</v>
      </c>
      <c r="J408" s="4" t="s">
        <v>1915</v>
      </c>
      <c r="K408" s="4" t="s">
        <v>1916</v>
      </c>
      <c r="L408" s="4">
        <v>179366306</v>
      </c>
      <c r="M408" s="4"/>
    </row>
    <row r="409" spans="1:13" ht="15" customHeight="1">
      <c r="A409" s="4" t="s">
        <v>1917</v>
      </c>
      <c r="B409" s="4" t="s">
        <v>1918</v>
      </c>
      <c r="C409" s="4" t="s">
        <v>935</v>
      </c>
      <c r="D409" s="18"/>
      <c r="E409" s="18">
        <v>0</v>
      </c>
      <c r="F409" s="18">
        <v>0</v>
      </c>
      <c r="G409" s="4" t="s">
        <v>1919</v>
      </c>
      <c r="H409" s="4" t="s">
        <v>1920</v>
      </c>
      <c r="I409" s="5">
        <v>0</v>
      </c>
      <c r="J409" s="4"/>
      <c r="K409" s="4" t="s">
        <v>1921</v>
      </c>
      <c r="L409" s="4">
        <v>1785293</v>
      </c>
      <c r="M409" s="4"/>
    </row>
    <row r="410" spans="1:13" ht="15" customHeight="1">
      <c r="A410" s="4" t="s">
        <v>1922</v>
      </c>
      <c r="B410" s="4" t="s">
        <v>1923</v>
      </c>
      <c r="C410" s="4" t="s">
        <v>478</v>
      </c>
      <c r="D410" s="18"/>
      <c r="E410" s="18">
        <v>0</v>
      </c>
      <c r="F410" s="18">
        <v>0</v>
      </c>
      <c r="G410" s="4" t="s">
        <v>1924</v>
      </c>
      <c r="H410" s="4" t="s">
        <v>1925</v>
      </c>
      <c r="I410" s="5">
        <v>777</v>
      </c>
      <c r="J410" s="4"/>
      <c r="K410" s="4" t="s">
        <v>1926</v>
      </c>
      <c r="L410" s="4">
        <v>131989323</v>
      </c>
      <c r="M410" s="4"/>
    </row>
    <row r="411" spans="1:13" ht="15" customHeight="1">
      <c r="A411" s="4" t="s">
        <v>1927</v>
      </c>
      <c r="B411" s="4" t="s">
        <v>1928</v>
      </c>
      <c r="C411" s="4" t="s">
        <v>1372</v>
      </c>
      <c r="D411" s="18"/>
      <c r="E411" s="18">
        <v>0</v>
      </c>
      <c r="F411" s="18">
        <v>0</v>
      </c>
      <c r="G411" s="4" t="s">
        <v>1929</v>
      </c>
      <c r="H411" s="4" t="s">
        <v>1930</v>
      </c>
      <c r="I411" s="5">
        <v>930</v>
      </c>
      <c r="J411" s="4"/>
      <c r="K411" s="4" t="s">
        <v>1928</v>
      </c>
      <c r="L411" s="4">
        <v>805636539</v>
      </c>
      <c r="M411" s="4"/>
    </row>
    <row r="412" spans="1:13" ht="15" customHeight="1">
      <c r="A412" s="4" t="s">
        <v>1931</v>
      </c>
      <c r="B412" s="4" t="s">
        <v>1932</v>
      </c>
      <c r="C412" s="4" t="s">
        <v>1933</v>
      </c>
      <c r="D412" s="18"/>
      <c r="E412" s="18">
        <v>0</v>
      </c>
      <c r="F412" s="18">
        <v>0</v>
      </c>
      <c r="G412" s="4" t="s">
        <v>1934</v>
      </c>
      <c r="H412" s="4" t="s">
        <v>1935</v>
      </c>
      <c r="I412" s="5">
        <v>665</v>
      </c>
      <c r="J412" s="4" t="s">
        <v>1936</v>
      </c>
      <c r="K412" s="4"/>
      <c r="L412" s="4">
        <v>88649267</v>
      </c>
      <c r="M412" s="4"/>
    </row>
    <row r="413" spans="1:13" ht="15" customHeight="1">
      <c r="A413" s="4" t="s">
        <v>1937</v>
      </c>
      <c r="B413" s="4" t="s">
        <v>85</v>
      </c>
      <c r="C413" s="4" t="s">
        <v>51</v>
      </c>
      <c r="D413" s="18"/>
      <c r="E413" s="18">
        <v>0</v>
      </c>
      <c r="F413" s="18">
        <v>0</v>
      </c>
      <c r="G413" s="4" t="s">
        <v>1938</v>
      </c>
      <c r="H413" s="4"/>
      <c r="I413" s="5">
        <v>0</v>
      </c>
      <c r="J413" s="4"/>
      <c r="K413" s="4" t="s">
        <v>85</v>
      </c>
      <c r="L413" s="4">
        <v>538222</v>
      </c>
      <c r="M413" s="4"/>
    </row>
    <row r="414" spans="1:13" ht="15" customHeight="1">
      <c r="A414" s="4" t="s">
        <v>1939</v>
      </c>
      <c r="B414" s="4" t="s">
        <v>1940</v>
      </c>
      <c r="C414" s="4" t="s">
        <v>1372</v>
      </c>
      <c r="D414" s="18"/>
      <c r="E414" s="18">
        <v>0</v>
      </c>
      <c r="F414" s="18">
        <v>0</v>
      </c>
      <c r="G414" s="4" t="s">
        <v>1941</v>
      </c>
      <c r="H414" s="4"/>
      <c r="I414" s="5">
        <v>4</v>
      </c>
      <c r="J414" s="4"/>
      <c r="K414" s="4" t="s">
        <v>1942</v>
      </c>
      <c r="L414" s="4">
        <v>786764</v>
      </c>
      <c r="M414" s="4"/>
    </row>
    <row r="415" spans="1:13" ht="15" customHeight="1">
      <c r="A415" s="4" t="s">
        <v>1943</v>
      </c>
      <c r="B415" s="4" t="s">
        <v>1944</v>
      </c>
      <c r="C415" s="4" t="s">
        <v>776</v>
      </c>
      <c r="D415" s="18"/>
      <c r="E415" s="18">
        <v>0</v>
      </c>
      <c r="F415" s="18">
        <v>0</v>
      </c>
      <c r="G415" s="4" t="s">
        <v>1945</v>
      </c>
      <c r="H415" s="4" t="s">
        <v>1946</v>
      </c>
      <c r="I415" s="5">
        <v>2</v>
      </c>
      <c r="J415" s="4"/>
      <c r="K415" s="4" t="s">
        <v>1947</v>
      </c>
      <c r="L415" s="4">
        <v>3606375</v>
      </c>
      <c r="M415" s="4"/>
    </row>
    <row r="416" spans="1:13" ht="15" customHeight="1">
      <c r="A416" s="4" t="s">
        <v>1948</v>
      </c>
      <c r="B416" s="4" t="s">
        <v>1949</v>
      </c>
      <c r="C416" s="4" t="s">
        <v>1950</v>
      </c>
      <c r="D416" s="18"/>
      <c r="E416" s="18">
        <v>0</v>
      </c>
      <c r="F416" s="18">
        <v>0</v>
      </c>
      <c r="G416" s="4" t="s">
        <v>1951</v>
      </c>
      <c r="H416" s="4"/>
      <c r="I416" s="5">
        <v>0</v>
      </c>
      <c r="J416" s="4"/>
      <c r="K416" s="4" t="s">
        <v>1952</v>
      </c>
      <c r="L416" s="4">
        <v>150461</v>
      </c>
      <c r="M416" s="4"/>
    </row>
    <row r="417" spans="1:13" ht="15" customHeight="1">
      <c r="A417" s="4" t="s">
        <v>1958</v>
      </c>
      <c r="B417" s="4" t="s">
        <v>1959</v>
      </c>
      <c r="C417" s="4" t="s">
        <v>348</v>
      </c>
      <c r="D417" s="18"/>
      <c r="E417" s="18">
        <v>0</v>
      </c>
      <c r="F417" s="18">
        <v>0</v>
      </c>
      <c r="G417" s="4" t="s">
        <v>1960</v>
      </c>
      <c r="H417" s="4" t="s">
        <v>1961</v>
      </c>
      <c r="I417" s="5">
        <v>657</v>
      </c>
      <c r="J417" s="4" t="s">
        <v>1962</v>
      </c>
      <c r="K417" s="4" t="s">
        <v>1963</v>
      </c>
      <c r="L417" s="4">
        <v>132933484</v>
      </c>
      <c r="M417" s="4"/>
    </row>
    <row r="418" spans="1:13" ht="15" customHeight="1">
      <c r="A418" s="4" t="s">
        <v>1964</v>
      </c>
      <c r="B418" s="4" t="s">
        <v>1965</v>
      </c>
      <c r="C418" s="4" t="s">
        <v>1966</v>
      </c>
      <c r="D418" s="18"/>
      <c r="E418" s="18">
        <v>0</v>
      </c>
      <c r="F418" s="18">
        <v>0</v>
      </c>
      <c r="G418" s="4" t="s">
        <v>1967</v>
      </c>
      <c r="H418" s="4"/>
      <c r="I418" s="5">
        <v>31</v>
      </c>
      <c r="J418" s="4"/>
      <c r="K418" s="4" t="s">
        <v>1968</v>
      </c>
      <c r="L418" s="4">
        <v>41691117</v>
      </c>
      <c r="M418" s="4"/>
    </row>
    <row r="419" spans="1:13" ht="15" customHeight="1">
      <c r="A419" s="4" t="s">
        <v>1969</v>
      </c>
      <c r="B419" s="4" t="s">
        <v>1970</v>
      </c>
      <c r="C419" s="4" t="s">
        <v>1971</v>
      </c>
      <c r="D419" s="18"/>
      <c r="E419" s="18">
        <v>54</v>
      </c>
      <c r="F419" s="18">
        <v>16</v>
      </c>
      <c r="G419" s="4" t="s">
        <v>1972</v>
      </c>
      <c r="H419" s="4" t="s">
        <v>1973</v>
      </c>
      <c r="I419" s="5">
        <v>96</v>
      </c>
      <c r="J419" s="4" t="s">
        <v>1974</v>
      </c>
      <c r="K419" s="4" t="s">
        <v>1975</v>
      </c>
      <c r="L419" s="4">
        <v>105856229</v>
      </c>
      <c r="M419" s="4"/>
    </row>
    <row r="420" spans="1:13" ht="15" customHeight="1">
      <c r="A420" s="4" t="s">
        <v>1976</v>
      </c>
      <c r="B420" s="4" t="s">
        <v>1977</v>
      </c>
      <c r="C420" s="4" t="s">
        <v>1978</v>
      </c>
      <c r="D420" s="18"/>
      <c r="E420" s="18">
        <v>0</v>
      </c>
      <c r="F420" s="18">
        <v>0</v>
      </c>
      <c r="G420" s="4" t="s">
        <v>1979</v>
      </c>
      <c r="H420" s="4" t="s">
        <v>1980</v>
      </c>
      <c r="I420" s="5">
        <v>14</v>
      </c>
      <c r="J420" s="4" t="s">
        <v>1981</v>
      </c>
      <c r="K420" s="4" t="s">
        <v>1982</v>
      </c>
      <c r="L420" s="4">
        <v>2915511</v>
      </c>
      <c r="M420" s="4"/>
    </row>
    <row r="421" spans="1:13" ht="15" customHeight="1">
      <c r="A421" s="4" t="s">
        <v>1983</v>
      </c>
      <c r="B421" s="4" t="s">
        <v>1984</v>
      </c>
      <c r="C421" s="4" t="s">
        <v>541</v>
      </c>
      <c r="D421" s="18"/>
      <c r="E421" s="18">
        <v>265</v>
      </c>
      <c r="F421" s="18">
        <v>125</v>
      </c>
      <c r="G421" s="4" t="s">
        <v>1985</v>
      </c>
      <c r="H421" s="4" t="s">
        <v>1986</v>
      </c>
      <c r="I421" s="5">
        <v>11</v>
      </c>
      <c r="J421" s="4"/>
      <c r="K421" s="4" t="s">
        <v>1987</v>
      </c>
      <c r="L421" s="4">
        <v>10218385</v>
      </c>
      <c r="M421" s="4"/>
    </row>
    <row r="422" spans="1:13" ht="15" customHeight="1">
      <c r="A422" s="4" t="s">
        <v>1988</v>
      </c>
      <c r="B422" s="4" t="s">
        <v>1989</v>
      </c>
      <c r="C422" s="4" t="s">
        <v>1990</v>
      </c>
      <c r="D422" s="18"/>
      <c r="E422" s="18">
        <v>0</v>
      </c>
      <c r="F422" s="18">
        <v>0</v>
      </c>
      <c r="G422" s="4" t="s">
        <v>1991</v>
      </c>
      <c r="H422" s="4" t="s">
        <v>1992</v>
      </c>
      <c r="I422" s="5">
        <v>882</v>
      </c>
      <c r="J422" s="4"/>
      <c r="K422" s="4" t="s">
        <v>1989</v>
      </c>
      <c r="L422" s="4">
        <v>93183291</v>
      </c>
      <c r="M422" s="4"/>
    </row>
    <row r="423" spans="1:13" ht="15" customHeight="1">
      <c r="A423" s="4" t="s">
        <v>1993</v>
      </c>
      <c r="B423" s="4" t="s">
        <v>1994</v>
      </c>
      <c r="C423" s="4" t="s">
        <v>1995</v>
      </c>
      <c r="D423" s="18"/>
      <c r="E423" s="18">
        <v>0</v>
      </c>
      <c r="F423" s="18">
        <v>0</v>
      </c>
      <c r="G423" s="4" t="s">
        <v>1996</v>
      </c>
      <c r="H423" s="4" t="s">
        <v>1997</v>
      </c>
      <c r="I423" s="5">
        <v>954</v>
      </c>
      <c r="J423" s="4" t="s">
        <v>1998</v>
      </c>
      <c r="K423" s="4" t="s">
        <v>1999</v>
      </c>
      <c r="L423" s="4">
        <v>187518496</v>
      </c>
      <c r="M423" s="4"/>
    </row>
    <row r="424" spans="1:13" ht="15" customHeight="1">
      <c r="A424" s="4" t="s">
        <v>2000</v>
      </c>
      <c r="B424" s="4" t="s">
        <v>2001</v>
      </c>
      <c r="C424" s="4" t="s">
        <v>2002</v>
      </c>
      <c r="D424" s="18"/>
      <c r="E424" s="18">
        <v>0</v>
      </c>
      <c r="F424" s="18">
        <v>0</v>
      </c>
      <c r="G424" s="4" t="s">
        <v>2003</v>
      </c>
      <c r="H424" s="4" t="s">
        <v>2004</v>
      </c>
      <c r="I424" s="5">
        <v>1</v>
      </c>
      <c r="J424" s="4" t="s">
        <v>2005</v>
      </c>
      <c r="K424" s="4" t="s">
        <v>2006</v>
      </c>
      <c r="L424" s="4">
        <v>709617</v>
      </c>
      <c r="M424" s="4"/>
    </row>
    <row r="425" spans="1:13" ht="15" customHeight="1">
      <c r="A425" s="4" t="s">
        <v>2007</v>
      </c>
      <c r="B425" s="4" t="s">
        <v>2008</v>
      </c>
      <c r="C425" s="4" t="s">
        <v>227</v>
      </c>
      <c r="D425" s="18"/>
      <c r="E425" s="18">
        <v>0</v>
      </c>
      <c r="F425" s="18">
        <v>0</v>
      </c>
      <c r="G425" s="4" t="s">
        <v>2009</v>
      </c>
      <c r="H425" s="4" t="s">
        <v>2010</v>
      </c>
      <c r="I425" s="5">
        <v>65</v>
      </c>
      <c r="J425" s="4"/>
      <c r="K425" s="4" t="s">
        <v>227</v>
      </c>
      <c r="L425" s="4">
        <v>35937366</v>
      </c>
      <c r="M425" s="4"/>
    </row>
    <row r="426" spans="1:13" ht="15" customHeight="1">
      <c r="A426" s="4" t="s">
        <v>2011</v>
      </c>
      <c r="B426" s="4" t="s">
        <v>2012</v>
      </c>
      <c r="C426" s="4" t="s">
        <v>2013</v>
      </c>
      <c r="D426" s="18"/>
      <c r="E426" s="18">
        <v>0</v>
      </c>
      <c r="F426" s="18">
        <v>0</v>
      </c>
      <c r="G426" s="4" t="s">
        <v>2014</v>
      </c>
      <c r="H426" s="4" t="s">
        <v>2015</v>
      </c>
      <c r="I426" s="5">
        <v>1499</v>
      </c>
      <c r="J426" s="4" t="s">
        <v>2016</v>
      </c>
      <c r="K426" s="4" t="s">
        <v>2017</v>
      </c>
      <c r="L426" s="4">
        <v>316782479</v>
      </c>
      <c r="M426" s="4"/>
    </row>
    <row r="427" spans="1:13" ht="15" customHeight="1">
      <c r="A427" s="4" t="s">
        <v>2018</v>
      </c>
      <c r="B427" s="4" t="s">
        <v>2019</v>
      </c>
      <c r="C427" s="4" t="s">
        <v>2020</v>
      </c>
      <c r="D427" s="18"/>
      <c r="E427" s="18">
        <v>0</v>
      </c>
      <c r="F427" s="18">
        <v>0</v>
      </c>
      <c r="G427" s="4" t="s">
        <v>2021</v>
      </c>
      <c r="H427" s="4" t="s">
        <v>2022</v>
      </c>
      <c r="I427" s="5">
        <v>152</v>
      </c>
      <c r="J427" s="4"/>
      <c r="K427" s="4" t="s">
        <v>2019</v>
      </c>
      <c r="L427" s="4">
        <v>63639298</v>
      </c>
      <c r="M427" s="4"/>
    </row>
    <row r="428" spans="1:13" ht="15" customHeight="1">
      <c r="A428" s="4" t="s">
        <v>2023</v>
      </c>
      <c r="B428" s="4" t="s">
        <v>2024</v>
      </c>
      <c r="C428" s="4" t="s">
        <v>2025</v>
      </c>
      <c r="D428" s="18"/>
      <c r="E428" s="18">
        <v>0</v>
      </c>
      <c r="F428" s="18">
        <v>0</v>
      </c>
      <c r="G428" s="4" t="s">
        <v>2026</v>
      </c>
      <c r="H428" s="4" t="s">
        <v>2027</v>
      </c>
      <c r="I428" s="5">
        <v>11672</v>
      </c>
      <c r="J428" s="4"/>
      <c r="K428" s="4" t="s">
        <v>2028</v>
      </c>
      <c r="L428" s="4">
        <v>685097488</v>
      </c>
      <c r="M428" s="4"/>
    </row>
    <row r="429" spans="1:13" ht="15" customHeight="1">
      <c r="A429" s="4" t="s">
        <v>2029</v>
      </c>
      <c r="B429" s="4" t="s">
        <v>2030</v>
      </c>
      <c r="C429" s="4" t="s">
        <v>2031</v>
      </c>
      <c r="D429" s="18"/>
      <c r="E429" s="18">
        <v>0</v>
      </c>
      <c r="F429" s="18">
        <v>0</v>
      </c>
      <c r="G429" s="4" t="s">
        <v>2032</v>
      </c>
      <c r="H429" s="4" t="s">
        <v>2033</v>
      </c>
      <c r="I429" s="5">
        <v>131</v>
      </c>
      <c r="J429" s="4"/>
      <c r="K429" s="4" t="s">
        <v>2034</v>
      </c>
      <c r="L429" s="4">
        <v>46588974</v>
      </c>
      <c r="M429" s="4"/>
    </row>
    <row r="430" spans="1:13" ht="15" customHeight="1">
      <c r="A430" s="4" t="s">
        <v>2035</v>
      </c>
      <c r="B430" s="4" t="s">
        <v>2036</v>
      </c>
      <c r="C430" s="4" t="s">
        <v>574</v>
      </c>
      <c r="D430" s="18"/>
      <c r="E430" s="18">
        <v>1948052</v>
      </c>
      <c r="F430" s="18">
        <v>295694</v>
      </c>
      <c r="G430" s="4" t="s">
        <v>2037</v>
      </c>
      <c r="H430" s="4" t="s">
        <v>2038</v>
      </c>
      <c r="I430" s="5">
        <v>2054</v>
      </c>
      <c r="J430" s="4" t="s">
        <v>2039</v>
      </c>
      <c r="K430" s="4" t="s">
        <v>2036</v>
      </c>
      <c r="L430" s="4">
        <v>2817053025</v>
      </c>
      <c r="M430" s="4" t="s">
        <v>2040</v>
      </c>
    </row>
    <row r="431" spans="1:13" ht="15" customHeight="1">
      <c r="A431" s="4" t="s">
        <v>2041</v>
      </c>
      <c r="B431" s="4" t="s">
        <v>2042</v>
      </c>
      <c r="C431" s="4" t="s">
        <v>2043</v>
      </c>
      <c r="D431" s="18"/>
      <c r="E431" s="18">
        <v>0</v>
      </c>
      <c r="F431" s="18">
        <v>0</v>
      </c>
      <c r="G431" s="4" t="s">
        <v>2044</v>
      </c>
      <c r="H431" s="4" t="s">
        <v>2045</v>
      </c>
      <c r="I431" s="5">
        <v>5878</v>
      </c>
      <c r="J431" s="4" t="s">
        <v>2042</v>
      </c>
      <c r="K431" s="4" t="s">
        <v>2042</v>
      </c>
      <c r="L431" s="4">
        <v>806381776</v>
      </c>
      <c r="M431" s="4" t="s">
        <v>235</v>
      </c>
    </row>
    <row r="432" spans="1:13" ht="15" customHeight="1">
      <c r="A432" s="4" t="s">
        <v>2046</v>
      </c>
      <c r="B432" s="4" t="s">
        <v>2047</v>
      </c>
      <c r="C432" s="4" t="s">
        <v>2048</v>
      </c>
      <c r="D432" s="18"/>
      <c r="E432" s="18">
        <v>0</v>
      </c>
      <c r="F432" s="18">
        <v>0</v>
      </c>
      <c r="G432" s="4" t="s">
        <v>2049</v>
      </c>
      <c r="H432" s="4" t="s">
        <v>2050</v>
      </c>
      <c r="I432" s="5">
        <v>474</v>
      </c>
      <c r="J432" s="4"/>
      <c r="K432" s="4" t="s">
        <v>2047</v>
      </c>
      <c r="L432" s="4">
        <v>194456218</v>
      </c>
      <c r="M432" s="4" t="s">
        <v>235</v>
      </c>
    </row>
    <row r="433" spans="1:13" ht="15" customHeight="1">
      <c r="A433" s="4" t="s">
        <v>2051</v>
      </c>
      <c r="B433" s="4" t="s">
        <v>711</v>
      </c>
      <c r="C433" s="10" t="s">
        <v>509</v>
      </c>
      <c r="D433" s="18"/>
      <c r="E433" s="18">
        <v>0</v>
      </c>
      <c r="F433" s="18">
        <v>0</v>
      </c>
      <c r="G433" s="4" t="s">
        <v>2052</v>
      </c>
      <c r="H433" s="4" t="s">
        <v>2053</v>
      </c>
      <c r="I433" s="5">
        <v>13</v>
      </c>
      <c r="J433" s="4"/>
      <c r="K433" s="4" t="s">
        <v>2054</v>
      </c>
      <c r="L433" s="4">
        <v>69550159</v>
      </c>
      <c r="M433" s="4"/>
    </row>
    <row r="434" spans="1:13" ht="15" customHeight="1">
      <c r="A434" s="4" t="s">
        <v>2055</v>
      </c>
      <c r="B434" s="4" t="s">
        <v>2056</v>
      </c>
      <c r="C434" s="4" t="s">
        <v>2057</v>
      </c>
      <c r="D434" s="18"/>
      <c r="E434" s="18">
        <v>0</v>
      </c>
      <c r="F434" s="18">
        <v>0</v>
      </c>
      <c r="G434" s="4" t="s">
        <v>2058</v>
      </c>
      <c r="H434" s="4" t="s">
        <v>2059</v>
      </c>
      <c r="I434" s="5">
        <v>24</v>
      </c>
      <c r="J434" s="4"/>
      <c r="K434" s="4" t="s">
        <v>2060</v>
      </c>
      <c r="L434" s="4">
        <v>6915969</v>
      </c>
      <c r="M434" s="4"/>
    </row>
    <row r="435" spans="1:13" ht="15" customHeight="1">
      <c r="A435" s="4" t="s">
        <v>2061</v>
      </c>
      <c r="B435" s="4" t="s">
        <v>2062</v>
      </c>
      <c r="C435" s="4" t="s">
        <v>2063</v>
      </c>
      <c r="D435" s="18"/>
      <c r="E435" s="18">
        <v>0</v>
      </c>
      <c r="F435" s="18">
        <v>0</v>
      </c>
      <c r="G435" s="4" t="s">
        <v>2064</v>
      </c>
      <c r="H435" s="4" t="s">
        <v>2065</v>
      </c>
      <c r="I435" s="5">
        <v>496</v>
      </c>
      <c r="J435" s="4"/>
      <c r="K435" s="4" t="s">
        <v>196</v>
      </c>
      <c r="L435" s="4">
        <v>51986972</v>
      </c>
      <c r="M435" s="4"/>
    </row>
    <row r="436" spans="1:13" ht="15" customHeight="1">
      <c r="A436" s="4" t="s">
        <v>2066</v>
      </c>
      <c r="B436" s="4" t="s">
        <v>2067</v>
      </c>
      <c r="C436" s="4" t="s">
        <v>2068</v>
      </c>
      <c r="D436" s="18"/>
      <c r="E436" s="18">
        <v>0</v>
      </c>
      <c r="F436" s="18">
        <v>0</v>
      </c>
      <c r="G436" s="4" t="s">
        <v>2069</v>
      </c>
      <c r="H436" s="4"/>
      <c r="I436" s="5">
        <v>5625</v>
      </c>
      <c r="J436" s="4"/>
      <c r="K436" s="4" t="s">
        <v>2070</v>
      </c>
      <c r="L436" s="4">
        <v>733581386</v>
      </c>
      <c r="M436" s="4"/>
    </row>
    <row r="437" spans="1:13" ht="15" customHeight="1">
      <c r="A437" s="4" t="s">
        <v>2071</v>
      </c>
      <c r="B437" s="4" t="s">
        <v>2072</v>
      </c>
      <c r="C437" s="4" t="s">
        <v>360</v>
      </c>
      <c r="D437" s="18"/>
      <c r="E437" s="18">
        <v>0</v>
      </c>
      <c r="F437" s="18">
        <v>0</v>
      </c>
      <c r="G437" s="4" t="s">
        <v>2073</v>
      </c>
      <c r="H437" s="4" t="s">
        <v>2074</v>
      </c>
      <c r="I437" s="5">
        <v>1908</v>
      </c>
      <c r="J437" s="4"/>
      <c r="K437" s="4" t="s">
        <v>2075</v>
      </c>
      <c r="L437" s="4">
        <v>346099555</v>
      </c>
      <c r="M437" s="4"/>
    </row>
    <row r="438" spans="1:13" ht="15" customHeight="1">
      <c r="A438" s="4" t="s">
        <v>2076</v>
      </c>
      <c r="B438" s="4" t="s">
        <v>2077</v>
      </c>
      <c r="C438" s="4" t="s">
        <v>541</v>
      </c>
      <c r="D438" s="18"/>
      <c r="E438" s="18">
        <v>0</v>
      </c>
      <c r="F438" s="18">
        <v>0</v>
      </c>
      <c r="G438" s="4" t="s">
        <v>2078</v>
      </c>
      <c r="H438" s="4" t="s">
        <v>2079</v>
      </c>
      <c r="I438" s="5">
        <v>10</v>
      </c>
      <c r="J438" s="4"/>
      <c r="K438" s="4" t="s">
        <v>2080</v>
      </c>
      <c r="L438" s="4">
        <v>8434119</v>
      </c>
      <c r="M438" s="4"/>
    </row>
    <row r="439" spans="1:13" ht="15" customHeight="1">
      <c r="A439" s="4" t="s">
        <v>2081</v>
      </c>
      <c r="B439" s="4" t="s">
        <v>2082</v>
      </c>
      <c r="C439" s="4" t="s">
        <v>2083</v>
      </c>
      <c r="D439" s="18"/>
      <c r="E439" s="18">
        <v>0</v>
      </c>
      <c r="F439" s="18">
        <v>0</v>
      </c>
      <c r="G439" s="4" t="s">
        <v>2084</v>
      </c>
      <c r="H439" s="4" t="s">
        <v>2085</v>
      </c>
      <c r="I439" s="5">
        <v>34</v>
      </c>
      <c r="J439" s="4"/>
      <c r="K439" s="4" t="s">
        <v>2086</v>
      </c>
      <c r="L439" s="4">
        <v>46570561</v>
      </c>
      <c r="M439" s="4"/>
    </row>
    <row r="440" spans="1:13" ht="15" customHeight="1">
      <c r="A440" s="4" t="s">
        <v>2087</v>
      </c>
      <c r="B440" s="4" t="s">
        <v>2088</v>
      </c>
      <c r="C440" s="4" t="s">
        <v>935</v>
      </c>
      <c r="D440" s="18"/>
      <c r="E440" s="18">
        <v>0</v>
      </c>
      <c r="F440" s="18">
        <v>0</v>
      </c>
      <c r="G440" s="4" t="s">
        <v>2089</v>
      </c>
      <c r="H440" s="4" t="s">
        <v>2090</v>
      </c>
      <c r="I440" s="5">
        <v>161</v>
      </c>
      <c r="J440" s="4"/>
      <c r="K440" s="4" t="s">
        <v>2091</v>
      </c>
      <c r="L440" s="4">
        <v>25274580</v>
      </c>
      <c r="M440" s="4"/>
    </row>
    <row r="441" spans="1:13" ht="15" customHeight="1">
      <c r="A441" s="4" t="s">
        <v>2092</v>
      </c>
      <c r="B441" s="4" t="s">
        <v>2093</v>
      </c>
      <c r="C441" s="4" t="s">
        <v>2094</v>
      </c>
      <c r="D441" s="18"/>
      <c r="E441" s="18">
        <v>0</v>
      </c>
      <c r="F441" s="18">
        <v>0</v>
      </c>
      <c r="G441" s="4" t="s">
        <v>2095</v>
      </c>
      <c r="H441" s="4" t="s">
        <v>2096</v>
      </c>
      <c r="I441" s="5">
        <v>853</v>
      </c>
      <c r="J441" s="4" t="s">
        <v>2097</v>
      </c>
      <c r="K441" s="4" t="s">
        <v>2098</v>
      </c>
      <c r="L441" s="4">
        <v>299210152</v>
      </c>
      <c r="M441" s="4"/>
    </row>
    <row r="442" spans="1:13" ht="15" customHeight="1">
      <c r="A442" s="4" t="s">
        <v>2099</v>
      </c>
      <c r="B442" s="4" t="s">
        <v>2100</v>
      </c>
      <c r="C442" s="4" t="s">
        <v>427</v>
      </c>
      <c r="D442" s="18"/>
      <c r="E442" s="18">
        <v>0</v>
      </c>
      <c r="F442" s="18">
        <v>0</v>
      </c>
      <c r="G442" s="4" t="s">
        <v>2101</v>
      </c>
      <c r="H442" s="4" t="s">
        <v>2102</v>
      </c>
      <c r="I442" s="5">
        <v>595</v>
      </c>
      <c r="J442" s="4"/>
      <c r="K442" s="4" t="s">
        <v>2103</v>
      </c>
      <c r="L442" s="4">
        <v>47566028</v>
      </c>
      <c r="M442" s="4"/>
    </row>
    <row r="443" spans="1:13" ht="15" customHeight="1">
      <c r="A443" s="4" t="s">
        <v>2104</v>
      </c>
      <c r="B443" s="4" t="s">
        <v>1377</v>
      </c>
      <c r="C443" s="4" t="s">
        <v>1378</v>
      </c>
      <c r="D443" s="18"/>
      <c r="E443" s="18">
        <v>0</v>
      </c>
      <c r="F443" s="18">
        <v>0</v>
      </c>
      <c r="G443" s="4" t="s">
        <v>2105</v>
      </c>
      <c r="H443" s="4" t="s">
        <v>2106</v>
      </c>
      <c r="I443" s="5">
        <v>109</v>
      </c>
      <c r="J443" s="4" t="s">
        <v>2107</v>
      </c>
      <c r="K443" s="4" t="s">
        <v>2108</v>
      </c>
      <c r="L443" s="4">
        <v>78622904</v>
      </c>
      <c r="M443" s="4"/>
    </row>
    <row r="444" spans="1:13" ht="15" customHeight="1">
      <c r="A444" s="4" t="s">
        <v>2109</v>
      </c>
      <c r="B444" t="s">
        <v>2110</v>
      </c>
      <c r="C444" s="4" t="s">
        <v>2111</v>
      </c>
      <c r="D444" s="18"/>
      <c r="E444" s="18">
        <v>0</v>
      </c>
      <c r="F444" s="18">
        <v>0</v>
      </c>
      <c r="G444" s="4" t="s">
        <v>2112</v>
      </c>
      <c r="H444" s="4" t="s">
        <v>2113</v>
      </c>
      <c r="I444" s="5">
        <v>191</v>
      </c>
      <c r="J444" s="4"/>
      <c r="K444" s="4" t="s">
        <v>2114</v>
      </c>
      <c r="L444" s="4">
        <v>105276091</v>
      </c>
      <c r="M444" s="4"/>
    </row>
    <row r="445" spans="1:13" ht="15" customHeight="1">
      <c r="A445" s="4" t="s">
        <v>2115</v>
      </c>
      <c r="B445" s="4" t="s">
        <v>2116</v>
      </c>
      <c r="C445" s="4" t="s">
        <v>776</v>
      </c>
      <c r="D445" s="18"/>
      <c r="E445" s="18">
        <v>0</v>
      </c>
      <c r="F445" s="18">
        <v>0</v>
      </c>
      <c r="G445" s="4" t="s">
        <v>2117</v>
      </c>
      <c r="H445" s="4" t="s">
        <v>2118</v>
      </c>
      <c r="I445" s="5">
        <v>889</v>
      </c>
      <c r="J445" s="4" t="s">
        <v>2119</v>
      </c>
      <c r="K445" s="4" t="s">
        <v>2116</v>
      </c>
      <c r="L445" s="4">
        <v>193133600</v>
      </c>
      <c r="M445" s="4"/>
    </row>
    <row r="446" spans="1:13" ht="15" customHeight="1">
      <c r="A446" s="4" t="s">
        <v>2120</v>
      </c>
      <c r="B446" s="4" t="s">
        <v>2121</v>
      </c>
      <c r="C446" s="4" t="s">
        <v>1545</v>
      </c>
      <c r="D446" s="18"/>
      <c r="E446" s="18">
        <v>0</v>
      </c>
      <c r="F446" s="18">
        <v>0</v>
      </c>
      <c r="G446" s="4" t="s">
        <v>2122</v>
      </c>
      <c r="H446" s="4" t="s">
        <v>2123</v>
      </c>
      <c r="I446" s="5">
        <v>131</v>
      </c>
      <c r="J446" s="4" t="s">
        <v>2124</v>
      </c>
      <c r="K446" s="4" t="s">
        <v>2121</v>
      </c>
      <c r="L446" s="4">
        <v>56720759</v>
      </c>
      <c r="M446" s="4"/>
    </row>
    <row r="447" spans="1:13" ht="15" customHeight="1">
      <c r="A447" s="4" t="s">
        <v>2125</v>
      </c>
      <c r="B447" s="4" t="s">
        <v>2126</v>
      </c>
      <c r="C447" s="4" t="s">
        <v>2127</v>
      </c>
      <c r="D447" s="18"/>
      <c r="E447" s="18">
        <v>0</v>
      </c>
      <c r="F447" s="18">
        <v>0</v>
      </c>
      <c r="G447" s="4" t="s">
        <v>2128</v>
      </c>
      <c r="H447" s="4"/>
      <c r="I447" s="5">
        <v>28</v>
      </c>
      <c r="J447" s="4"/>
      <c r="K447" s="4" t="s">
        <v>2129</v>
      </c>
      <c r="L447" s="4">
        <v>7951320</v>
      </c>
      <c r="M447" s="4"/>
    </row>
    <row r="448" spans="1:13" ht="15" customHeight="1">
      <c r="A448" s="4" t="s">
        <v>2130</v>
      </c>
      <c r="B448" s="4" t="s">
        <v>2131</v>
      </c>
      <c r="C448" s="4" t="s">
        <v>2132</v>
      </c>
      <c r="D448" s="18"/>
      <c r="E448" s="18">
        <v>0</v>
      </c>
      <c r="F448" s="18">
        <v>0</v>
      </c>
      <c r="G448" s="4" t="s">
        <v>2133</v>
      </c>
      <c r="H448" s="4" t="s">
        <v>2134</v>
      </c>
      <c r="I448" s="5">
        <v>866</v>
      </c>
      <c r="J448" s="4"/>
      <c r="K448" s="4" t="s">
        <v>2135</v>
      </c>
      <c r="L448" s="4">
        <v>124839208</v>
      </c>
      <c r="M448" s="4"/>
    </row>
    <row r="449" spans="1:13" ht="15" customHeight="1">
      <c r="A449" s="4" t="s">
        <v>2136</v>
      </c>
      <c r="B449" s="4" t="s">
        <v>2137</v>
      </c>
      <c r="C449" s="4" t="s">
        <v>1274</v>
      </c>
      <c r="D449" s="18"/>
      <c r="E449" s="18">
        <v>233</v>
      </c>
      <c r="F449" s="18">
        <v>120</v>
      </c>
      <c r="G449" s="4" t="s">
        <v>2138</v>
      </c>
      <c r="H449" s="4"/>
      <c r="I449" s="5">
        <v>2</v>
      </c>
      <c r="J449" s="4"/>
      <c r="K449" s="4" t="s">
        <v>2139</v>
      </c>
      <c r="L449" s="4">
        <v>8256998</v>
      </c>
      <c r="M449" s="4"/>
    </row>
    <row r="450" spans="1:13" ht="15" customHeight="1">
      <c r="A450" s="4" t="s">
        <v>2140</v>
      </c>
      <c r="B450" s="4" t="s">
        <v>2141</v>
      </c>
      <c r="C450" s="4" t="s">
        <v>154</v>
      </c>
      <c r="D450" s="18"/>
      <c r="E450" s="18">
        <v>1116715</v>
      </c>
      <c r="F450" s="18">
        <v>297452</v>
      </c>
      <c r="G450" s="4" t="s">
        <v>2142</v>
      </c>
      <c r="H450" s="4" t="s">
        <v>2143</v>
      </c>
      <c r="I450" s="5">
        <v>384</v>
      </c>
      <c r="J450" s="4"/>
      <c r="K450" s="4" t="s">
        <v>2144</v>
      </c>
      <c r="L450" s="4">
        <v>309787938</v>
      </c>
      <c r="M450" s="4" t="s">
        <v>852</v>
      </c>
    </row>
    <row r="451" spans="1:13" ht="15" customHeight="1">
      <c r="A451" s="4" t="s">
        <v>2145</v>
      </c>
      <c r="B451" s="4" t="s">
        <v>2146</v>
      </c>
      <c r="C451" s="4" t="s">
        <v>2147</v>
      </c>
      <c r="D451" s="18"/>
      <c r="E451" s="18">
        <v>0</v>
      </c>
      <c r="F451" s="18">
        <v>0</v>
      </c>
      <c r="G451" s="4" t="s">
        <v>2148</v>
      </c>
      <c r="H451" s="4" t="s">
        <v>2149</v>
      </c>
      <c r="I451" s="5">
        <v>7910</v>
      </c>
      <c r="J451" s="4"/>
      <c r="K451" s="4" t="s">
        <v>2150</v>
      </c>
      <c r="L451" s="4">
        <v>339448567</v>
      </c>
      <c r="M451" s="4" t="s">
        <v>1507</v>
      </c>
    </row>
    <row r="452" spans="1:13" ht="15" customHeight="1">
      <c r="A452" s="4" t="s">
        <v>2151</v>
      </c>
      <c r="B452" s="4" t="s">
        <v>2152</v>
      </c>
      <c r="C452" s="4" t="s">
        <v>42</v>
      </c>
      <c r="D452" s="18"/>
      <c r="E452" s="18">
        <v>0</v>
      </c>
      <c r="F452" s="18">
        <v>0</v>
      </c>
      <c r="G452" s="4" t="s">
        <v>2153</v>
      </c>
      <c r="H452" s="4"/>
      <c r="I452" s="5">
        <v>48</v>
      </c>
      <c r="J452" s="4"/>
      <c r="K452" s="4" t="s">
        <v>1797</v>
      </c>
      <c r="L452" s="4">
        <v>35231169</v>
      </c>
      <c r="M452" s="4"/>
    </row>
    <row r="453" spans="1:13" ht="15" customHeight="1">
      <c r="A453" s="4" t="s">
        <v>2154</v>
      </c>
      <c r="B453" s="4" t="s">
        <v>2155</v>
      </c>
      <c r="C453" s="4" t="s">
        <v>2156</v>
      </c>
      <c r="D453" s="18"/>
      <c r="E453" s="18">
        <v>0</v>
      </c>
      <c r="F453" s="18">
        <v>0</v>
      </c>
      <c r="G453" s="4" t="s">
        <v>2157</v>
      </c>
      <c r="H453" s="4" t="s">
        <v>2158</v>
      </c>
      <c r="I453" s="5">
        <v>0</v>
      </c>
      <c r="J453" s="4"/>
      <c r="K453" s="4" t="s">
        <v>2159</v>
      </c>
      <c r="L453" s="4">
        <v>63813</v>
      </c>
      <c r="M453" s="4"/>
    </row>
    <row r="454" spans="1:13" ht="15" customHeight="1">
      <c r="A454" s="4" t="s">
        <v>2160</v>
      </c>
      <c r="B454" s="4" t="s">
        <v>2161</v>
      </c>
      <c r="C454" s="4" t="s">
        <v>2162</v>
      </c>
      <c r="D454" s="18"/>
      <c r="E454" s="18">
        <v>0</v>
      </c>
      <c r="F454" s="18">
        <v>0</v>
      </c>
      <c r="G454" s="4" t="s">
        <v>2163</v>
      </c>
      <c r="H454" s="4" t="s">
        <v>2164</v>
      </c>
      <c r="I454" s="5">
        <v>695</v>
      </c>
      <c r="J454" s="4"/>
      <c r="K454" s="4"/>
      <c r="L454" s="4">
        <v>74927917</v>
      </c>
      <c r="M454" s="4"/>
    </row>
    <row r="455" spans="1:13" ht="15" customHeight="1">
      <c r="A455" s="4" t="s">
        <v>2165</v>
      </c>
      <c r="B455" s="4" t="s">
        <v>73</v>
      </c>
      <c r="C455" s="4" t="s">
        <v>51</v>
      </c>
      <c r="D455" s="18"/>
      <c r="E455" s="18">
        <v>0</v>
      </c>
      <c r="F455" s="18">
        <v>0</v>
      </c>
      <c r="G455" s="4" t="s">
        <v>2166</v>
      </c>
      <c r="H455" s="4" t="s">
        <v>2167</v>
      </c>
      <c r="I455" s="5">
        <v>0</v>
      </c>
      <c r="J455" s="4"/>
      <c r="K455" s="4" t="s">
        <v>73</v>
      </c>
      <c r="L455" s="4">
        <v>109889</v>
      </c>
      <c r="M455" s="4"/>
    </row>
    <row r="456" spans="1:13" ht="15" customHeight="1">
      <c r="A456" s="4" t="s">
        <v>2168</v>
      </c>
      <c r="B456" s="4" t="s">
        <v>2169</v>
      </c>
      <c r="C456" s="4" t="s">
        <v>27</v>
      </c>
      <c r="D456" s="18"/>
      <c r="E456" s="18">
        <v>0</v>
      </c>
      <c r="F456" s="18">
        <v>0</v>
      </c>
      <c r="G456" s="4" t="s">
        <v>2170</v>
      </c>
      <c r="H456" s="4" t="s">
        <v>2171</v>
      </c>
      <c r="I456" s="5">
        <v>6</v>
      </c>
      <c r="J456" s="4" t="s">
        <v>2169</v>
      </c>
      <c r="K456" s="4" t="s">
        <v>2172</v>
      </c>
      <c r="L456" s="4">
        <v>7489437</v>
      </c>
      <c r="M456" s="4"/>
    </row>
    <row r="457" spans="1:13" ht="15" customHeight="1">
      <c r="A457" s="4" t="s">
        <v>2173</v>
      </c>
      <c r="B457" s="4" t="s">
        <v>2174</v>
      </c>
      <c r="C457" s="4" t="s">
        <v>360</v>
      </c>
      <c r="D457" s="18"/>
      <c r="E457" s="18">
        <v>0</v>
      </c>
      <c r="F457" s="18">
        <v>0</v>
      </c>
      <c r="G457" s="4" t="s">
        <v>2175</v>
      </c>
      <c r="H457" s="4" t="s">
        <v>2176</v>
      </c>
      <c r="I457" s="5">
        <v>448</v>
      </c>
      <c r="J457" s="4" t="s">
        <v>2177</v>
      </c>
      <c r="K457" s="4" t="s">
        <v>2178</v>
      </c>
      <c r="L457" s="4">
        <v>175752637</v>
      </c>
      <c r="M457" s="4"/>
    </row>
    <row r="458" spans="1:13" ht="15" customHeight="1">
      <c r="A458" s="4" t="s">
        <v>2179</v>
      </c>
      <c r="B458" s="4" t="s">
        <v>2180</v>
      </c>
      <c r="C458" s="4" t="s">
        <v>643</v>
      </c>
      <c r="D458" s="18"/>
      <c r="E458" s="18">
        <v>0</v>
      </c>
      <c r="F458" s="18">
        <v>0</v>
      </c>
      <c r="G458" s="4" t="s">
        <v>2181</v>
      </c>
      <c r="H458" s="4" t="s">
        <v>2182</v>
      </c>
      <c r="I458" s="5">
        <v>940</v>
      </c>
      <c r="J458" s="4"/>
      <c r="K458" s="4" t="s">
        <v>2180</v>
      </c>
      <c r="L458" s="4">
        <v>781788079</v>
      </c>
      <c r="M458" s="4"/>
    </row>
    <row r="459" spans="1:13" ht="15" customHeight="1">
      <c r="A459" s="4" t="s">
        <v>2183</v>
      </c>
      <c r="B459" s="4" t="s">
        <v>2184</v>
      </c>
      <c r="C459" s="4" t="s">
        <v>2185</v>
      </c>
      <c r="D459" s="18"/>
      <c r="E459" s="18">
        <v>0</v>
      </c>
      <c r="F459" s="18">
        <v>0</v>
      </c>
      <c r="G459" s="4" t="s">
        <v>2186</v>
      </c>
      <c r="H459" s="4"/>
      <c r="I459" s="5">
        <v>327</v>
      </c>
      <c r="J459" s="4"/>
      <c r="K459" s="4" t="s">
        <v>2187</v>
      </c>
      <c r="L459" s="4">
        <v>60906696</v>
      </c>
      <c r="M459" s="4"/>
    </row>
    <row r="460" spans="1:13" ht="15" customHeight="1">
      <c r="A460" s="4" t="s">
        <v>2188</v>
      </c>
      <c r="B460" s="4" t="s">
        <v>2189</v>
      </c>
      <c r="C460" s="4" t="s">
        <v>131</v>
      </c>
      <c r="D460" s="18"/>
      <c r="E460" s="18">
        <v>0</v>
      </c>
      <c r="F460" s="18">
        <v>0</v>
      </c>
      <c r="G460" s="4" t="s">
        <v>2190</v>
      </c>
      <c r="H460" s="4" t="s">
        <v>2191</v>
      </c>
      <c r="I460" s="5">
        <v>290</v>
      </c>
      <c r="J460" s="4"/>
      <c r="K460" s="4" t="s">
        <v>2034</v>
      </c>
      <c r="L460" s="4">
        <v>53246846</v>
      </c>
      <c r="M460" s="4"/>
    </row>
    <row r="461" spans="1:13" ht="15" customHeight="1">
      <c r="A461" s="4" t="s">
        <v>2192</v>
      </c>
      <c r="B461" s="4" t="s">
        <v>2193</v>
      </c>
      <c r="C461" s="4" t="s">
        <v>131</v>
      </c>
      <c r="D461" s="18"/>
      <c r="E461" s="18">
        <v>0</v>
      </c>
      <c r="F461" s="18">
        <v>0</v>
      </c>
      <c r="G461" s="4" t="s">
        <v>2194</v>
      </c>
      <c r="H461" s="4"/>
      <c r="I461" s="5">
        <v>712</v>
      </c>
      <c r="J461" s="4"/>
      <c r="K461" s="4" t="s">
        <v>2195</v>
      </c>
      <c r="L461" s="4">
        <v>278023474</v>
      </c>
      <c r="M461" s="4"/>
    </row>
    <row r="462" spans="1:13" ht="15" customHeight="1">
      <c r="A462" s="4" t="s">
        <v>2196</v>
      </c>
      <c r="B462" s="4" t="s">
        <v>2197</v>
      </c>
      <c r="C462" s="4" t="s">
        <v>2198</v>
      </c>
      <c r="D462" s="18"/>
      <c r="E462" s="18">
        <v>0</v>
      </c>
      <c r="F462" s="18">
        <v>0</v>
      </c>
      <c r="G462" s="4" t="s">
        <v>2199</v>
      </c>
      <c r="H462" s="4" t="s">
        <v>2200</v>
      </c>
      <c r="I462" s="5">
        <v>61</v>
      </c>
      <c r="J462" s="4"/>
      <c r="K462" s="4" t="s">
        <v>2201</v>
      </c>
      <c r="L462" s="4">
        <v>32825301</v>
      </c>
      <c r="M462" s="4"/>
    </row>
    <row r="463" spans="1:13" ht="15" customHeight="1">
      <c r="A463" s="4" t="s">
        <v>2202</v>
      </c>
      <c r="B463" s="4" t="s">
        <v>2203</v>
      </c>
      <c r="C463" s="4" t="s">
        <v>1675</v>
      </c>
      <c r="D463" s="18"/>
      <c r="E463" s="18">
        <v>0</v>
      </c>
      <c r="F463" s="18">
        <v>0</v>
      </c>
      <c r="G463" s="4" t="s">
        <v>2204</v>
      </c>
      <c r="H463" s="4" t="s">
        <v>2205</v>
      </c>
      <c r="I463" s="5">
        <v>38</v>
      </c>
      <c r="J463" s="4"/>
      <c r="K463" s="4" t="s">
        <v>2203</v>
      </c>
      <c r="L463" s="4">
        <v>29358578</v>
      </c>
      <c r="M463" s="4"/>
    </row>
    <row r="464" spans="1:13" ht="15" customHeight="1">
      <c r="A464" s="4" t="s">
        <v>2206</v>
      </c>
      <c r="B464" s="4" t="s">
        <v>2207</v>
      </c>
      <c r="C464" s="4" t="s">
        <v>2208</v>
      </c>
      <c r="D464" s="18"/>
      <c r="E464" s="18">
        <v>0</v>
      </c>
      <c r="F464" s="18">
        <v>0</v>
      </c>
      <c r="G464" s="4" t="s">
        <v>2209</v>
      </c>
      <c r="H464" s="4" t="s">
        <v>2210</v>
      </c>
      <c r="I464" s="5">
        <v>34</v>
      </c>
      <c r="J464" s="4"/>
      <c r="K464" s="4" t="s">
        <v>2207</v>
      </c>
      <c r="L464" s="4">
        <v>36546010</v>
      </c>
      <c r="M464" s="4"/>
    </row>
    <row r="465" spans="1:13" ht="15" customHeight="1">
      <c r="A465" s="4" t="s">
        <v>2211</v>
      </c>
      <c r="B465" s="4" t="s">
        <v>2212</v>
      </c>
      <c r="C465" s="4" t="s">
        <v>2213</v>
      </c>
      <c r="D465" s="18"/>
      <c r="E465" s="18">
        <v>0</v>
      </c>
      <c r="F465" s="18">
        <v>0</v>
      </c>
      <c r="G465" s="4" t="s">
        <v>2214</v>
      </c>
      <c r="H465" s="4" t="s">
        <v>2215</v>
      </c>
      <c r="I465" s="5">
        <v>113</v>
      </c>
      <c r="J465" s="4"/>
      <c r="K465" s="4" t="s">
        <v>2216</v>
      </c>
      <c r="L465" s="4">
        <v>33715343</v>
      </c>
      <c r="M465" s="4"/>
    </row>
    <row r="466" spans="1:13" ht="15" customHeight="1">
      <c r="A466" s="4" t="s">
        <v>2217</v>
      </c>
      <c r="B466" s="4" t="s">
        <v>2218</v>
      </c>
      <c r="C466" s="4" t="s">
        <v>2219</v>
      </c>
      <c r="D466" s="18"/>
      <c r="E466" s="18">
        <v>0</v>
      </c>
      <c r="F466" s="18">
        <v>0</v>
      </c>
      <c r="G466" s="4" t="s">
        <v>2220</v>
      </c>
      <c r="H466" s="4" t="s">
        <v>2221</v>
      </c>
      <c r="I466" s="5">
        <v>12330</v>
      </c>
      <c r="J466" s="4"/>
      <c r="K466" s="4" t="s">
        <v>2222</v>
      </c>
      <c r="L466" s="4">
        <v>917329445</v>
      </c>
      <c r="M466" s="4" t="s">
        <v>2040</v>
      </c>
    </row>
    <row r="467" spans="1:13" ht="15" customHeight="1">
      <c r="A467" s="4" t="s">
        <v>2223</v>
      </c>
      <c r="B467" s="4" t="s">
        <v>2224</v>
      </c>
      <c r="C467" s="4" t="s">
        <v>2225</v>
      </c>
      <c r="D467" s="18"/>
      <c r="E467" s="18">
        <v>0</v>
      </c>
      <c r="F467" s="18">
        <v>0</v>
      </c>
      <c r="G467" s="4" t="s">
        <v>2226</v>
      </c>
      <c r="H467" s="4" t="s">
        <v>2227</v>
      </c>
      <c r="I467" s="5">
        <v>635</v>
      </c>
      <c r="J467" s="4" t="s">
        <v>2228</v>
      </c>
      <c r="K467" s="4" t="s">
        <v>2224</v>
      </c>
      <c r="L467" s="4">
        <v>333836783</v>
      </c>
      <c r="M467" s="4"/>
    </row>
    <row r="468" spans="1:13" ht="15" customHeight="1">
      <c r="A468" s="4" t="s">
        <v>2229</v>
      </c>
      <c r="B468" s="4" t="s">
        <v>2230</v>
      </c>
      <c r="C468" s="4" t="s">
        <v>227</v>
      </c>
      <c r="D468" s="18"/>
      <c r="E468" s="18">
        <v>0</v>
      </c>
      <c r="F468" s="18">
        <v>0</v>
      </c>
      <c r="G468" s="4" t="s">
        <v>2231</v>
      </c>
      <c r="H468" s="4" t="s">
        <v>2232</v>
      </c>
      <c r="I468" s="5">
        <v>2705</v>
      </c>
      <c r="J468" s="4" t="s">
        <v>2233</v>
      </c>
      <c r="K468" s="4" t="s">
        <v>2230</v>
      </c>
      <c r="L468" s="4">
        <v>420865010</v>
      </c>
      <c r="M468" s="4" t="s">
        <v>2040</v>
      </c>
    </row>
    <row r="469" spans="1:13" ht="15" customHeight="1">
      <c r="A469" s="4" t="s">
        <v>2234</v>
      </c>
      <c r="B469" s="4" t="s">
        <v>2235</v>
      </c>
      <c r="C469" s="4" t="s">
        <v>2236</v>
      </c>
      <c r="D469" s="18"/>
      <c r="E469" s="18">
        <v>0</v>
      </c>
      <c r="F469" s="18">
        <v>0</v>
      </c>
      <c r="G469" s="4" t="s">
        <v>2237</v>
      </c>
      <c r="H469" s="4"/>
      <c r="I469" s="5">
        <v>74</v>
      </c>
      <c r="J469" s="4"/>
      <c r="K469" s="4" t="s">
        <v>2238</v>
      </c>
      <c r="L469" s="4">
        <v>49986800</v>
      </c>
      <c r="M469" s="4"/>
    </row>
    <row r="470" spans="1:13" ht="15" customHeight="1">
      <c r="A470" s="4" t="s">
        <v>2239</v>
      </c>
      <c r="B470" s="4" t="s">
        <v>2240</v>
      </c>
      <c r="C470" s="4" t="s">
        <v>2241</v>
      </c>
      <c r="D470" s="18"/>
      <c r="E470" s="18">
        <v>0</v>
      </c>
      <c r="F470" s="18">
        <v>0</v>
      </c>
      <c r="G470" s="4" t="s">
        <v>2242</v>
      </c>
      <c r="H470" s="4" t="s">
        <v>2243</v>
      </c>
      <c r="I470" s="5">
        <v>2</v>
      </c>
      <c r="J470" s="4"/>
      <c r="K470" s="4" t="s">
        <v>2244</v>
      </c>
      <c r="L470" s="4">
        <v>397466</v>
      </c>
      <c r="M470" s="4"/>
    </row>
    <row r="471" spans="1:13" ht="15" customHeight="1">
      <c r="A471" s="4" t="s">
        <v>2245</v>
      </c>
      <c r="B471" s="4" t="s">
        <v>2246</v>
      </c>
      <c r="C471" s="4" t="s">
        <v>509</v>
      </c>
      <c r="D471" s="18"/>
      <c r="E471" s="18">
        <v>0</v>
      </c>
      <c r="F471" s="18">
        <v>0</v>
      </c>
      <c r="G471" s="4" t="s">
        <v>2247</v>
      </c>
      <c r="H471" s="4" t="s">
        <v>2248</v>
      </c>
      <c r="I471" s="5">
        <v>88</v>
      </c>
      <c r="J471" s="4" t="s">
        <v>2249</v>
      </c>
      <c r="K471" s="4" t="s">
        <v>2250</v>
      </c>
      <c r="L471" s="4">
        <v>71341082</v>
      </c>
      <c r="M471" s="4"/>
    </row>
    <row r="472" spans="1:13" ht="15" customHeight="1">
      <c r="A472" s="4" t="s">
        <v>2251</v>
      </c>
      <c r="B472" s="4" t="s">
        <v>2252</v>
      </c>
      <c r="C472" s="4" t="s">
        <v>2253</v>
      </c>
      <c r="D472" s="18"/>
      <c r="E472" s="18">
        <v>0</v>
      </c>
      <c r="F472" s="18">
        <v>0</v>
      </c>
      <c r="G472" s="4" t="s">
        <v>2254</v>
      </c>
      <c r="H472" s="4" t="s">
        <v>2255</v>
      </c>
      <c r="I472" s="5">
        <v>0</v>
      </c>
      <c r="J472" s="4"/>
      <c r="K472" s="4" t="s">
        <v>2256</v>
      </c>
      <c r="L472" s="4">
        <v>19888</v>
      </c>
      <c r="M472" s="4"/>
    </row>
    <row r="473" spans="1:13" ht="15" customHeight="1">
      <c r="A473" s="4" t="s">
        <v>2257</v>
      </c>
      <c r="B473" s="4" t="s">
        <v>2258</v>
      </c>
      <c r="C473" s="4" t="s">
        <v>509</v>
      </c>
      <c r="D473" s="18"/>
      <c r="E473" s="18">
        <v>0</v>
      </c>
      <c r="F473" s="18">
        <v>0</v>
      </c>
      <c r="G473" s="4" t="s">
        <v>2259</v>
      </c>
      <c r="H473" s="4" t="s">
        <v>2260</v>
      </c>
      <c r="I473" s="5">
        <v>439</v>
      </c>
      <c r="J473" s="4" t="s">
        <v>2261</v>
      </c>
      <c r="K473" s="4" t="s">
        <v>2262</v>
      </c>
      <c r="L473" s="4">
        <v>189255789</v>
      </c>
      <c r="M473" s="4"/>
    </row>
    <row r="474" spans="1:13" ht="15" customHeight="1">
      <c r="A474" s="4" t="s">
        <v>2263</v>
      </c>
      <c r="B474" s="4" t="s">
        <v>2264</v>
      </c>
      <c r="C474" s="4" t="s">
        <v>2265</v>
      </c>
      <c r="D474" s="18"/>
      <c r="E474" s="18">
        <v>0</v>
      </c>
      <c r="F474" s="18">
        <v>0</v>
      </c>
      <c r="G474" s="4" t="s">
        <v>2266</v>
      </c>
      <c r="H474" s="4" t="s">
        <v>2267</v>
      </c>
      <c r="I474" s="5">
        <v>11</v>
      </c>
      <c r="J474" s="4" t="s">
        <v>2268</v>
      </c>
      <c r="K474" s="4" t="s">
        <v>2269</v>
      </c>
      <c r="L474" s="4">
        <v>2500283</v>
      </c>
      <c r="M474" s="4"/>
    </row>
    <row r="475" spans="1:13" ht="15" customHeight="1">
      <c r="A475" s="4" t="s">
        <v>2270</v>
      </c>
      <c r="B475" s="4" t="s">
        <v>2271</v>
      </c>
      <c r="C475" s="4" t="s">
        <v>2272</v>
      </c>
      <c r="D475" s="18"/>
      <c r="E475" s="18">
        <v>0</v>
      </c>
      <c r="F475" s="18">
        <v>0</v>
      </c>
      <c r="G475" s="4" t="s">
        <v>2273</v>
      </c>
      <c r="H475" s="4" t="s">
        <v>2274</v>
      </c>
      <c r="I475" s="5">
        <v>22</v>
      </c>
      <c r="J475" s="4"/>
      <c r="K475" s="4" t="s">
        <v>2275</v>
      </c>
      <c r="L475" s="4">
        <v>19192935</v>
      </c>
      <c r="M475" s="4"/>
    </row>
    <row r="476" spans="1:13" ht="15" customHeight="1">
      <c r="A476" s="4" t="s">
        <v>2276</v>
      </c>
      <c r="B476" s="4" t="s">
        <v>2277</v>
      </c>
      <c r="C476" s="4" t="s">
        <v>524</v>
      </c>
      <c r="D476" s="18"/>
      <c r="E476" s="18">
        <v>0</v>
      </c>
      <c r="F476" s="18">
        <v>0</v>
      </c>
      <c r="G476" s="4" t="s">
        <v>2278</v>
      </c>
      <c r="H476" s="4" t="s">
        <v>2279</v>
      </c>
      <c r="I476" s="5">
        <v>2605</v>
      </c>
      <c r="J476" s="4" t="s">
        <v>2280</v>
      </c>
      <c r="K476" s="4" t="s">
        <v>2281</v>
      </c>
      <c r="L476" s="4">
        <v>366858722</v>
      </c>
      <c r="M476" s="4"/>
    </row>
    <row r="477" spans="1:13" ht="15" customHeight="1">
      <c r="A477" s="4" t="s">
        <v>2282</v>
      </c>
      <c r="B477" s="4" t="s">
        <v>2283</v>
      </c>
      <c r="C477" s="4" t="s">
        <v>227</v>
      </c>
      <c r="D477" s="18"/>
      <c r="E477" s="18">
        <v>0</v>
      </c>
      <c r="F477" s="18">
        <v>0</v>
      </c>
      <c r="G477" s="4" t="s">
        <v>2284</v>
      </c>
      <c r="H477" s="4" t="s">
        <v>2285</v>
      </c>
      <c r="I477" s="5">
        <v>906</v>
      </c>
      <c r="J477" s="4"/>
      <c r="K477" s="4" t="s">
        <v>2286</v>
      </c>
      <c r="L477" s="4">
        <v>156411344</v>
      </c>
      <c r="M477" s="4"/>
    </row>
    <row r="478" spans="1:13" ht="15" customHeight="1">
      <c r="A478" s="4" t="s">
        <v>2287</v>
      </c>
      <c r="B478" s="4" t="s">
        <v>2288</v>
      </c>
      <c r="C478" s="4" t="s">
        <v>2289</v>
      </c>
      <c r="D478" s="18"/>
      <c r="E478" s="18">
        <v>0</v>
      </c>
      <c r="F478" s="18">
        <v>0</v>
      </c>
      <c r="G478" s="4" t="s">
        <v>2290</v>
      </c>
      <c r="H478" s="4" t="s">
        <v>2291</v>
      </c>
      <c r="I478" s="5">
        <v>4675</v>
      </c>
      <c r="J478" s="4" t="s">
        <v>2292</v>
      </c>
      <c r="K478" s="4" t="s">
        <v>2288</v>
      </c>
      <c r="L478" s="4">
        <v>1654225376</v>
      </c>
      <c r="M478" s="4"/>
    </row>
    <row r="479" spans="1:13" ht="15" customHeight="1">
      <c r="A479" s="4" t="s">
        <v>2293</v>
      </c>
      <c r="B479" s="4" t="s">
        <v>2294</v>
      </c>
      <c r="C479" s="4" t="s">
        <v>1372</v>
      </c>
      <c r="D479" s="18"/>
      <c r="E479" s="18">
        <v>0</v>
      </c>
      <c r="F479" s="18">
        <v>0</v>
      </c>
      <c r="G479" s="4" t="s">
        <v>2295</v>
      </c>
      <c r="H479" s="4" t="s">
        <v>2296</v>
      </c>
      <c r="I479" s="5">
        <v>158</v>
      </c>
      <c r="J479" s="4"/>
      <c r="K479" s="4" t="s">
        <v>2297</v>
      </c>
      <c r="L479" s="4">
        <v>29528093</v>
      </c>
      <c r="M479" s="4"/>
    </row>
    <row r="480" spans="1:13" ht="15" customHeight="1">
      <c r="A480" s="4" t="s">
        <v>2298</v>
      </c>
      <c r="B480" s="4" t="s">
        <v>2299</v>
      </c>
      <c r="C480" s="4" t="s">
        <v>2300</v>
      </c>
      <c r="D480" s="18"/>
      <c r="E480" s="18">
        <v>0</v>
      </c>
      <c r="F480" s="18">
        <v>0</v>
      </c>
      <c r="G480" s="4" t="s">
        <v>2301</v>
      </c>
      <c r="H480" s="4" t="s">
        <v>2302</v>
      </c>
      <c r="I480" s="5">
        <v>144</v>
      </c>
      <c r="J480" s="4"/>
      <c r="K480" s="4" t="s">
        <v>2303</v>
      </c>
      <c r="L480" s="4">
        <v>96242509</v>
      </c>
      <c r="M480" s="4"/>
    </row>
    <row r="481" spans="1:13" ht="15" customHeight="1">
      <c r="A481" s="4" t="s">
        <v>2304</v>
      </c>
      <c r="B481" s="4" t="s">
        <v>625</v>
      </c>
      <c r="C481" s="4" t="s">
        <v>2305</v>
      </c>
      <c r="D481" s="18"/>
      <c r="E481" s="18">
        <v>0</v>
      </c>
      <c r="F481" s="18">
        <v>0</v>
      </c>
      <c r="G481" s="4" t="s">
        <v>2306</v>
      </c>
      <c r="H481" s="4" t="s">
        <v>2307</v>
      </c>
      <c r="I481" s="5">
        <v>31</v>
      </c>
      <c r="J481" s="4"/>
      <c r="K481" s="4" t="s">
        <v>2308</v>
      </c>
      <c r="L481" s="4">
        <v>20136844</v>
      </c>
      <c r="M481" s="4"/>
    </row>
    <row r="482" spans="1:13" ht="15" customHeight="1">
      <c r="A482" s="4" t="s">
        <v>2309</v>
      </c>
      <c r="B482" s="4" t="s">
        <v>2310</v>
      </c>
      <c r="C482" s="4" t="s">
        <v>2311</v>
      </c>
      <c r="D482" s="18"/>
      <c r="E482" s="18">
        <v>0</v>
      </c>
      <c r="F482" s="18">
        <v>0</v>
      </c>
      <c r="G482" s="4" t="s">
        <v>2312</v>
      </c>
      <c r="H482" s="4" t="s">
        <v>2313</v>
      </c>
      <c r="I482" s="5">
        <v>162</v>
      </c>
      <c r="J482" s="4" t="s">
        <v>2314</v>
      </c>
      <c r="K482" s="4" t="s">
        <v>2315</v>
      </c>
      <c r="L482" s="4">
        <v>62884699</v>
      </c>
      <c r="M482" s="4"/>
    </row>
    <row r="483" spans="1:13" ht="15" customHeight="1">
      <c r="A483" s="4" t="s">
        <v>2316</v>
      </c>
      <c r="B483" s="4" t="s">
        <v>2317</v>
      </c>
      <c r="C483" s="4" t="s">
        <v>1783</v>
      </c>
      <c r="D483" s="18"/>
      <c r="E483" s="18">
        <v>0</v>
      </c>
      <c r="F483" s="18">
        <v>0</v>
      </c>
      <c r="G483" s="4" t="s">
        <v>2318</v>
      </c>
      <c r="H483" s="4" t="s">
        <v>2319</v>
      </c>
      <c r="I483" s="5">
        <v>0</v>
      </c>
      <c r="J483" s="4"/>
      <c r="K483" s="4" t="s">
        <v>2320</v>
      </c>
      <c r="L483" s="4">
        <v>255036</v>
      </c>
      <c r="M483" s="4"/>
    </row>
    <row r="484" spans="1:13" ht="15" customHeight="1">
      <c r="A484" s="4" t="s">
        <v>2321</v>
      </c>
      <c r="B484" s="4" t="s">
        <v>2322</v>
      </c>
      <c r="C484" s="4" t="s">
        <v>2323</v>
      </c>
      <c r="D484" s="18"/>
      <c r="E484" s="18">
        <v>0</v>
      </c>
      <c r="F484" s="18">
        <v>0</v>
      </c>
      <c r="G484" s="4" t="s">
        <v>2324</v>
      </c>
      <c r="H484" s="4" t="s">
        <v>2325</v>
      </c>
      <c r="I484" s="5">
        <v>185</v>
      </c>
      <c r="J484" s="4"/>
      <c r="K484" s="4" t="s">
        <v>2326</v>
      </c>
      <c r="L484" s="4">
        <v>91894714</v>
      </c>
      <c r="M484" s="4"/>
    </row>
    <row r="485" spans="1:13" ht="15" customHeight="1">
      <c r="A485" s="4" t="s">
        <v>2327</v>
      </c>
      <c r="B485" s="4" t="s">
        <v>2328</v>
      </c>
      <c r="C485" s="4" t="s">
        <v>360</v>
      </c>
      <c r="D485" s="18"/>
      <c r="E485" s="18">
        <v>0</v>
      </c>
      <c r="F485" s="18">
        <v>0</v>
      </c>
      <c r="G485" s="4" t="s">
        <v>2329</v>
      </c>
      <c r="H485" s="4" t="s">
        <v>2330</v>
      </c>
      <c r="I485" s="5">
        <v>0</v>
      </c>
      <c r="J485" s="4"/>
      <c r="K485" s="4" t="s">
        <v>2331</v>
      </c>
      <c r="L485" s="4">
        <v>1500926</v>
      </c>
      <c r="M485" s="4"/>
    </row>
    <row r="486" spans="1:13" ht="15" customHeight="1">
      <c r="A486" s="4" t="s">
        <v>2332</v>
      </c>
      <c r="B486" s="4" t="s">
        <v>2333</v>
      </c>
      <c r="C486" s="4" t="s">
        <v>2334</v>
      </c>
      <c r="D486" s="18"/>
      <c r="E486" s="18">
        <v>0</v>
      </c>
      <c r="F486" s="18">
        <v>0</v>
      </c>
      <c r="G486" s="4" t="s">
        <v>2335</v>
      </c>
      <c r="H486" s="4" t="s">
        <v>2336</v>
      </c>
      <c r="I486" s="5">
        <v>380</v>
      </c>
      <c r="J486" s="4"/>
      <c r="K486" s="4" t="s">
        <v>2334</v>
      </c>
      <c r="L486" s="4">
        <v>45262675</v>
      </c>
      <c r="M486" s="4"/>
    </row>
    <row r="487" spans="1:13" ht="15" customHeight="1">
      <c r="A487" s="4" t="s">
        <v>2337</v>
      </c>
      <c r="B487" s="4" t="s">
        <v>2338</v>
      </c>
      <c r="C487" s="4" t="s">
        <v>2339</v>
      </c>
      <c r="D487" s="18"/>
      <c r="E487" s="18">
        <v>0</v>
      </c>
      <c r="F487" s="18">
        <v>0</v>
      </c>
      <c r="G487" s="4" t="s">
        <v>2340</v>
      </c>
      <c r="H487" s="4"/>
      <c r="I487" s="5">
        <v>3861</v>
      </c>
      <c r="J487" s="4"/>
      <c r="K487" s="4" t="s">
        <v>2338</v>
      </c>
      <c r="L487" s="4">
        <v>137998736</v>
      </c>
      <c r="M487" s="4"/>
    </row>
    <row r="488" spans="1:13" ht="15" customHeight="1">
      <c r="A488" s="4" t="s">
        <v>2341</v>
      </c>
      <c r="B488" s="4" t="s">
        <v>2342</v>
      </c>
      <c r="C488" s="4" t="s">
        <v>2343</v>
      </c>
      <c r="D488" s="18"/>
      <c r="E488" s="18">
        <v>0</v>
      </c>
      <c r="F488" s="18">
        <v>0</v>
      </c>
      <c r="G488" s="4" t="s">
        <v>2344</v>
      </c>
      <c r="H488" s="4" t="s">
        <v>2345</v>
      </c>
      <c r="I488" s="5">
        <v>2</v>
      </c>
      <c r="J488" s="4"/>
      <c r="K488" s="4" t="s">
        <v>2346</v>
      </c>
      <c r="L488" s="4">
        <v>169285</v>
      </c>
      <c r="M488" s="4"/>
    </row>
    <row r="489" spans="1:13" ht="15" customHeight="1">
      <c r="A489" s="4" t="s">
        <v>2347</v>
      </c>
      <c r="B489" s="4" t="s">
        <v>2348</v>
      </c>
      <c r="C489" s="4" t="s">
        <v>2349</v>
      </c>
      <c r="D489" s="18"/>
      <c r="E489" s="18">
        <v>0</v>
      </c>
      <c r="F489" s="18">
        <v>0</v>
      </c>
      <c r="G489" s="4" t="s">
        <v>2350</v>
      </c>
      <c r="H489" s="4"/>
      <c r="I489" s="5">
        <v>13</v>
      </c>
      <c r="J489" s="4"/>
      <c r="K489" s="4"/>
      <c r="L489" s="4">
        <v>1301647</v>
      </c>
      <c r="M489" s="4"/>
    </row>
    <row r="490" spans="1:13" ht="15" customHeight="1">
      <c r="A490" s="4" t="s">
        <v>2351</v>
      </c>
      <c r="B490" s="4" t="s">
        <v>2352</v>
      </c>
      <c r="C490" s="4" t="s">
        <v>2353</v>
      </c>
      <c r="D490" s="18"/>
      <c r="E490" s="18">
        <v>0</v>
      </c>
      <c r="F490" s="18">
        <v>0</v>
      </c>
      <c r="G490" s="4" t="s">
        <v>2354</v>
      </c>
      <c r="H490" s="4" t="s">
        <v>2355</v>
      </c>
      <c r="I490" s="5">
        <v>383</v>
      </c>
      <c r="J490" s="4" t="s">
        <v>2356</v>
      </c>
      <c r="K490" s="4" t="s">
        <v>2357</v>
      </c>
      <c r="L490" s="4">
        <v>184271216</v>
      </c>
      <c r="M490" s="4"/>
    </row>
    <row r="491" spans="1:13" ht="15" customHeight="1">
      <c r="A491" s="4" t="s">
        <v>2358</v>
      </c>
      <c r="B491" s="4" t="s">
        <v>2359</v>
      </c>
      <c r="C491" s="4" t="s">
        <v>2272</v>
      </c>
      <c r="D491" s="18"/>
      <c r="E491" s="18">
        <v>0</v>
      </c>
      <c r="F491" s="18">
        <v>0</v>
      </c>
      <c r="G491" s="4" t="s">
        <v>2360</v>
      </c>
      <c r="H491" s="4" t="s">
        <v>2361</v>
      </c>
      <c r="I491" s="5">
        <v>45</v>
      </c>
      <c r="J491" s="4"/>
      <c r="K491" s="4" t="s">
        <v>2362</v>
      </c>
      <c r="L491" s="4">
        <v>4556693</v>
      </c>
      <c r="M491" s="4"/>
    </row>
    <row r="492" spans="1:13" ht="15" customHeight="1">
      <c r="A492" s="4" t="s">
        <v>2363</v>
      </c>
      <c r="B492" s="4" t="s">
        <v>2364</v>
      </c>
      <c r="C492" s="4" t="s">
        <v>884</v>
      </c>
      <c r="D492" s="18"/>
      <c r="E492" s="18">
        <v>10</v>
      </c>
      <c r="F492" s="18">
        <v>2</v>
      </c>
      <c r="G492" s="4" t="s">
        <v>2365</v>
      </c>
      <c r="H492" s="4" t="s">
        <v>2366</v>
      </c>
      <c r="I492" s="5">
        <v>973</v>
      </c>
      <c r="J492" s="4" t="s">
        <v>2367</v>
      </c>
      <c r="K492" s="4" t="s">
        <v>2368</v>
      </c>
      <c r="L492" s="4">
        <v>120276397</v>
      </c>
      <c r="M492" s="4"/>
    </row>
    <row r="493" spans="1:13" ht="15" customHeight="1">
      <c r="A493" s="4" t="s">
        <v>2369</v>
      </c>
      <c r="B493" s="4" t="s">
        <v>2370</v>
      </c>
      <c r="C493" s="4" t="s">
        <v>884</v>
      </c>
      <c r="D493" s="18"/>
      <c r="E493" s="18">
        <v>12</v>
      </c>
      <c r="F493" s="18">
        <v>3</v>
      </c>
      <c r="G493" s="4" t="s">
        <v>2371</v>
      </c>
      <c r="H493" s="4" t="s">
        <v>2372</v>
      </c>
      <c r="I493" s="5">
        <v>595</v>
      </c>
      <c r="J493" s="4"/>
      <c r="K493" s="4" t="s">
        <v>2373</v>
      </c>
      <c r="L493" s="4">
        <v>51089154</v>
      </c>
      <c r="M493" s="4"/>
    </row>
    <row r="494" spans="1:13" ht="15" customHeight="1">
      <c r="A494" s="4" t="s">
        <v>2374</v>
      </c>
      <c r="B494" s="4" t="s">
        <v>2375</v>
      </c>
      <c r="C494" s="4" t="s">
        <v>884</v>
      </c>
      <c r="D494" s="18"/>
      <c r="E494" s="18">
        <v>11</v>
      </c>
      <c r="F494" s="18">
        <v>3</v>
      </c>
      <c r="G494" s="4" t="s">
        <v>2376</v>
      </c>
      <c r="H494" s="4" t="s">
        <v>2377</v>
      </c>
      <c r="I494" s="5">
        <v>328</v>
      </c>
      <c r="J494" s="4"/>
      <c r="K494" s="4" t="s">
        <v>2378</v>
      </c>
      <c r="L494" s="4">
        <v>26340486</v>
      </c>
      <c r="M494" s="4" t="s">
        <v>747</v>
      </c>
    </row>
    <row r="495" spans="1:13" ht="15" customHeight="1">
      <c r="A495" s="4" t="s">
        <v>2379</v>
      </c>
      <c r="B495" s="4" t="s">
        <v>2380</v>
      </c>
      <c r="C495" s="4" t="s">
        <v>884</v>
      </c>
      <c r="D495" s="18"/>
      <c r="E495" s="18">
        <v>13</v>
      </c>
      <c r="F495" s="18">
        <v>0</v>
      </c>
      <c r="G495" s="4" t="s">
        <v>2381</v>
      </c>
      <c r="H495" s="4" t="s">
        <v>2382</v>
      </c>
      <c r="I495" s="5">
        <v>1272</v>
      </c>
      <c r="J495" s="4"/>
      <c r="K495" s="4" t="s">
        <v>2383</v>
      </c>
      <c r="L495" s="4">
        <v>168084644</v>
      </c>
      <c r="M495" s="4"/>
    </row>
    <row r="496" spans="1:13" ht="15" customHeight="1">
      <c r="A496" s="4" t="s">
        <v>2384</v>
      </c>
      <c r="B496" s="4" t="s">
        <v>2385</v>
      </c>
      <c r="C496" s="4" t="s">
        <v>884</v>
      </c>
      <c r="D496" s="18"/>
      <c r="E496" s="18">
        <v>0</v>
      </c>
      <c r="F496" s="18">
        <v>0</v>
      </c>
      <c r="G496" s="4" t="s">
        <v>2386</v>
      </c>
      <c r="H496" s="4" t="s">
        <v>2387</v>
      </c>
      <c r="I496" s="5">
        <v>30</v>
      </c>
      <c r="J496" s="4" t="s">
        <v>2388</v>
      </c>
      <c r="K496" s="4" t="s">
        <v>2389</v>
      </c>
      <c r="L496" s="4">
        <v>19482999</v>
      </c>
      <c r="M496" s="4"/>
    </row>
    <row r="497" spans="1:13" ht="15" customHeight="1">
      <c r="A497" s="4" t="s">
        <v>2390</v>
      </c>
      <c r="B497" s="4" t="s">
        <v>2391</v>
      </c>
      <c r="C497" s="4" t="s">
        <v>884</v>
      </c>
      <c r="D497" s="18"/>
      <c r="E497" s="18">
        <v>10</v>
      </c>
      <c r="F497" s="18">
        <v>6</v>
      </c>
      <c r="G497" s="4" t="s">
        <v>2392</v>
      </c>
      <c r="H497" s="4" t="s">
        <v>2393</v>
      </c>
      <c r="I497" s="5">
        <v>680</v>
      </c>
      <c r="J497" s="4"/>
      <c r="K497" s="4" t="s">
        <v>2373</v>
      </c>
      <c r="L497" s="4">
        <v>184836616</v>
      </c>
      <c r="M497" s="4" t="s">
        <v>1507</v>
      </c>
    </row>
    <row r="498" spans="1:13" ht="15" customHeight="1">
      <c r="A498" s="4" t="s">
        <v>2394</v>
      </c>
      <c r="B498" s="4" t="s">
        <v>2395</v>
      </c>
      <c r="C498" s="4" t="s">
        <v>154</v>
      </c>
      <c r="D498" s="18"/>
      <c r="E498" s="18">
        <v>0</v>
      </c>
      <c r="F498" s="18">
        <v>0</v>
      </c>
      <c r="G498" s="4" t="s">
        <v>2396</v>
      </c>
      <c r="H498" s="4" t="s">
        <v>2397</v>
      </c>
      <c r="I498" s="5">
        <v>842</v>
      </c>
      <c r="J498" s="4"/>
      <c r="K498" s="4" t="s">
        <v>158</v>
      </c>
      <c r="L498" s="4">
        <v>354965188</v>
      </c>
      <c r="M498" s="4"/>
    </row>
    <row r="499" spans="1:13" ht="15" customHeight="1">
      <c r="A499" s="4" t="s">
        <v>2398</v>
      </c>
      <c r="B499" s="4" t="s">
        <v>2399</v>
      </c>
      <c r="C499" s="4" t="s">
        <v>2400</v>
      </c>
      <c r="D499" s="18"/>
      <c r="E499" s="18">
        <v>0</v>
      </c>
      <c r="F499" s="18">
        <v>0</v>
      </c>
      <c r="G499" s="4" t="s">
        <v>2401</v>
      </c>
      <c r="H499" s="4" t="s">
        <v>2402</v>
      </c>
      <c r="I499" s="5">
        <v>2419</v>
      </c>
      <c r="J499" s="4"/>
      <c r="K499" s="4" t="s">
        <v>2178</v>
      </c>
      <c r="L499" s="4">
        <v>649378790</v>
      </c>
      <c r="M499" s="4" t="s">
        <v>1224</v>
      </c>
    </row>
    <row r="500" spans="1:13" ht="15" customHeight="1">
      <c r="A500" s="4" t="s">
        <v>2403</v>
      </c>
      <c r="B500" s="4" t="s">
        <v>2404</v>
      </c>
      <c r="C500" s="4" t="s">
        <v>2405</v>
      </c>
      <c r="D500" s="18"/>
      <c r="E500" s="18">
        <v>0</v>
      </c>
      <c r="F500" s="18">
        <v>0</v>
      </c>
      <c r="G500" s="4" t="s">
        <v>2406</v>
      </c>
      <c r="H500" s="4" t="s">
        <v>2407</v>
      </c>
      <c r="I500" s="5">
        <v>2629</v>
      </c>
      <c r="J500" s="4" t="s">
        <v>2408</v>
      </c>
      <c r="K500" s="4" t="s">
        <v>2409</v>
      </c>
      <c r="L500" s="4">
        <v>838584003</v>
      </c>
      <c r="M500" s="4"/>
    </row>
    <row r="501" spans="1:13" ht="15" customHeight="1">
      <c r="A501" s="4" t="s">
        <v>2410</v>
      </c>
      <c r="B501" s="4" t="s">
        <v>2411</v>
      </c>
      <c r="C501" s="4" t="s">
        <v>1971</v>
      </c>
      <c r="D501" s="18"/>
      <c r="E501" s="18">
        <v>0</v>
      </c>
      <c r="F501" s="18">
        <v>0</v>
      </c>
      <c r="G501" s="4" t="s">
        <v>2412</v>
      </c>
      <c r="H501" s="4"/>
      <c r="I501" s="5">
        <v>111</v>
      </c>
      <c r="J501" s="4"/>
      <c r="K501" s="4" t="s">
        <v>2411</v>
      </c>
      <c r="L501" s="4">
        <v>87200383</v>
      </c>
      <c r="M501" s="4"/>
    </row>
    <row r="502" spans="1:13" ht="15" customHeight="1">
      <c r="A502" s="4" t="s">
        <v>2413</v>
      </c>
      <c r="B502" s="4" t="s">
        <v>2414</v>
      </c>
      <c r="C502" s="4" t="s">
        <v>679</v>
      </c>
      <c r="D502" s="18"/>
      <c r="E502" s="18">
        <v>0</v>
      </c>
      <c r="F502" s="18">
        <v>0</v>
      </c>
      <c r="G502" s="4" t="s">
        <v>2415</v>
      </c>
      <c r="H502" s="4" t="s">
        <v>2416</v>
      </c>
      <c r="I502" s="5">
        <v>3</v>
      </c>
      <c r="J502" s="4"/>
      <c r="K502" s="4" t="s">
        <v>2417</v>
      </c>
      <c r="L502" s="4">
        <v>248294</v>
      </c>
      <c r="M502" s="4"/>
    </row>
    <row r="503" spans="1:13" ht="15" customHeight="1">
      <c r="A503" s="4" t="s">
        <v>2418</v>
      </c>
      <c r="B503" s="4" t="s">
        <v>2419</v>
      </c>
      <c r="C503" s="4" t="s">
        <v>348</v>
      </c>
      <c r="D503" s="18"/>
      <c r="E503" s="18">
        <v>0</v>
      </c>
      <c r="F503" s="18">
        <v>0</v>
      </c>
      <c r="G503" s="4" t="s">
        <v>2420</v>
      </c>
      <c r="H503" s="4" t="s">
        <v>2421</v>
      </c>
      <c r="I503" s="5">
        <v>1314</v>
      </c>
      <c r="J503" s="4"/>
      <c r="K503" s="4" t="s">
        <v>1963</v>
      </c>
      <c r="L503" s="4">
        <v>615567054</v>
      </c>
      <c r="M503" s="4"/>
    </row>
    <row r="504" spans="1:13" ht="15" customHeight="1">
      <c r="A504" s="4" t="s">
        <v>2422</v>
      </c>
      <c r="B504" s="4" t="s">
        <v>2423</v>
      </c>
      <c r="C504" s="4" t="s">
        <v>2424</v>
      </c>
      <c r="D504" s="18"/>
      <c r="E504" s="18">
        <v>0</v>
      </c>
      <c r="F504" s="18">
        <v>0</v>
      </c>
      <c r="G504" s="4" t="s">
        <v>2425</v>
      </c>
      <c r="H504" s="4" t="s">
        <v>2426</v>
      </c>
      <c r="I504" s="5">
        <v>1</v>
      </c>
      <c r="J504" s="4"/>
      <c r="K504" s="4" t="s">
        <v>2427</v>
      </c>
      <c r="L504" s="4">
        <v>1307828</v>
      </c>
      <c r="M504" s="4"/>
    </row>
    <row r="505" spans="1:13" ht="15" customHeight="1">
      <c r="A505" s="4" t="s">
        <v>2428</v>
      </c>
      <c r="B505" s="4" t="s">
        <v>1153</v>
      </c>
      <c r="C505" s="4" t="s">
        <v>727</v>
      </c>
      <c r="D505" s="18"/>
      <c r="E505" s="18">
        <v>0</v>
      </c>
      <c r="F505" s="18">
        <v>0</v>
      </c>
      <c r="G505" s="4" t="s">
        <v>2429</v>
      </c>
      <c r="H505" s="4" t="s">
        <v>2430</v>
      </c>
      <c r="I505" s="5">
        <v>3</v>
      </c>
      <c r="J505" s="4"/>
      <c r="K505" s="4" t="s">
        <v>2431</v>
      </c>
      <c r="L505" s="4">
        <v>1599418</v>
      </c>
      <c r="M505" s="4"/>
    </row>
    <row r="506" spans="1:13" ht="15" customHeight="1">
      <c r="A506" s="4" t="s">
        <v>2432</v>
      </c>
      <c r="B506" s="4" t="s">
        <v>390</v>
      </c>
      <c r="C506" s="4" t="s">
        <v>154</v>
      </c>
      <c r="D506" s="18"/>
      <c r="E506" s="18">
        <v>0</v>
      </c>
      <c r="F506" s="18">
        <v>0</v>
      </c>
      <c r="G506" s="4" t="s">
        <v>2433</v>
      </c>
      <c r="H506" s="4"/>
      <c r="I506" s="5">
        <v>3</v>
      </c>
      <c r="J506" s="4"/>
      <c r="K506" s="4" t="s">
        <v>2434</v>
      </c>
      <c r="L506" s="4">
        <v>2062553</v>
      </c>
      <c r="M506" s="4"/>
    </row>
    <row r="507" spans="1:13" ht="15" customHeight="1">
      <c r="A507" s="4" t="s">
        <v>2435</v>
      </c>
      <c r="B507" s="4" t="s">
        <v>2436</v>
      </c>
      <c r="C507" s="4" t="s">
        <v>2437</v>
      </c>
      <c r="D507" s="18"/>
      <c r="E507" s="18">
        <v>0</v>
      </c>
      <c r="F507" s="18">
        <v>0</v>
      </c>
      <c r="G507" s="4" t="s">
        <v>2438</v>
      </c>
      <c r="H507" s="4" t="s">
        <v>2439</v>
      </c>
      <c r="I507" s="5">
        <v>836</v>
      </c>
      <c r="J507" s="4" t="s">
        <v>2440</v>
      </c>
      <c r="K507" s="4" t="s">
        <v>2441</v>
      </c>
      <c r="L507" s="4">
        <v>425527859</v>
      </c>
      <c r="M507" s="4"/>
    </row>
    <row r="508" spans="1:13" ht="15" customHeight="1">
      <c r="A508" s="4" t="s">
        <v>2442</v>
      </c>
      <c r="B508" s="4" t="s">
        <v>2443</v>
      </c>
      <c r="C508" s="4" t="s">
        <v>2444</v>
      </c>
      <c r="D508" s="18"/>
      <c r="E508" s="18">
        <v>0</v>
      </c>
      <c r="F508" s="18">
        <v>0</v>
      </c>
      <c r="G508" s="4" t="s">
        <v>2445</v>
      </c>
      <c r="H508" s="4" t="s">
        <v>2446</v>
      </c>
      <c r="I508" s="5">
        <v>32</v>
      </c>
      <c r="J508" s="4"/>
      <c r="K508" s="4" t="s">
        <v>2443</v>
      </c>
      <c r="L508" s="4">
        <v>11780919</v>
      </c>
      <c r="M508" s="4"/>
    </row>
    <row r="509" spans="1:13" ht="15" customHeight="1">
      <c r="A509" s="4" t="s">
        <v>2447</v>
      </c>
      <c r="B509" s="4" t="s">
        <v>2448</v>
      </c>
      <c r="C509" s="4" t="s">
        <v>2449</v>
      </c>
      <c r="D509" s="18"/>
      <c r="E509" s="18">
        <v>0</v>
      </c>
      <c r="F509" s="18">
        <v>0</v>
      </c>
      <c r="G509" s="4" t="s">
        <v>2450</v>
      </c>
      <c r="H509" s="4" t="s">
        <v>2451</v>
      </c>
      <c r="I509" s="5">
        <v>13</v>
      </c>
      <c r="J509" s="4"/>
      <c r="K509" s="4" t="s">
        <v>2452</v>
      </c>
      <c r="L509" s="4">
        <v>11489762</v>
      </c>
      <c r="M509" s="4"/>
    </row>
    <row r="510" spans="1:13" ht="15" customHeight="1">
      <c r="A510" s="4" t="s">
        <v>2453</v>
      </c>
      <c r="B510" s="4" t="s">
        <v>2454</v>
      </c>
      <c r="C510" s="4" t="s">
        <v>1250</v>
      </c>
      <c r="D510" s="18"/>
      <c r="E510" s="18">
        <v>0</v>
      </c>
      <c r="F510" s="18">
        <v>0</v>
      </c>
      <c r="G510" s="4" t="s">
        <v>2455</v>
      </c>
      <c r="H510" s="4" t="s">
        <v>2456</v>
      </c>
      <c r="I510" s="5">
        <v>3245</v>
      </c>
      <c r="J510" s="4" t="s">
        <v>2457</v>
      </c>
      <c r="K510" s="4" t="s">
        <v>2458</v>
      </c>
      <c r="L510" s="4">
        <v>517144129</v>
      </c>
      <c r="M510" s="4" t="s">
        <v>1264</v>
      </c>
    </row>
    <row r="511" spans="1:13" ht="15" customHeight="1">
      <c r="A511" s="4" t="s">
        <v>2459</v>
      </c>
      <c r="B511" s="4" t="s">
        <v>2460</v>
      </c>
      <c r="C511" s="4" t="s">
        <v>2461</v>
      </c>
      <c r="D511" s="18"/>
      <c r="E511" s="18">
        <v>0</v>
      </c>
      <c r="F511" s="18">
        <v>0</v>
      </c>
      <c r="G511" s="4" t="s">
        <v>2462</v>
      </c>
      <c r="H511" s="4"/>
      <c r="I511" s="5">
        <v>22</v>
      </c>
      <c r="J511" s="4" t="s">
        <v>2457</v>
      </c>
      <c r="K511" s="4" t="s">
        <v>1571</v>
      </c>
      <c r="L511" s="4">
        <v>4684725</v>
      </c>
      <c r="M511" s="4"/>
    </row>
    <row r="512" spans="1:13" ht="15" customHeight="1">
      <c r="A512" s="4" t="s">
        <v>2463</v>
      </c>
      <c r="B512" s="4" t="s">
        <v>2464</v>
      </c>
      <c r="C512" s="4" t="s">
        <v>2465</v>
      </c>
      <c r="D512" s="18"/>
      <c r="E512" s="18">
        <v>0</v>
      </c>
      <c r="F512" s="18">
        <v>0</v>
      </c>
      <c r="G512" s="4" t="s">
        <v>2466</v>
      </c>
      <c r="H512" s="4" t="s">
        <v>2467</v>
      </c>
      <c r="I512" s="5">
        <v>2568</v>
      </c>
      <c r="J512" s="4" t="s">
        <v>2468</v>
      </c>
      <c r="K512" s="4" t="s">
        <v>2469</v>
      </c>
      <c r="L512" s="4">
        <v>490983954</v>
      </c>
      <c r="M512" s="4"/>
    </row>
    <row r="513" spans="1:13" ht="15" customHeight="1">
      <c r="A513" s="4" t="s">
        <v>2470</v>
      </c>
      <c r="B513" s="4" t="s">
        <v>2471</v>
      </c>
      <c r="C513" s="4" t="s">
        <v>2472</v>
      </c>
      <c r="D513" s="18"/>
      <c r="E513" s="18">
        <v>0</v>
      </c>
      <c r="F513" s="18">
        <v>0</v>
      </c>
      <c r="G513" s="4" t="s">
        <v>2473</v>
      </c>
      <c r="H513" s="4" t="s">
        <v>2474</v>
      </c>
      <c r="I513" s="5">
        <v>2791</v>
      </c>
      <c r="J513" s="4" t="s">
        <v>2475</v>
      </c>
      <c r="K513" s="4" t="s">
        <v>2476</v>
      </c>
      <c r="L513" s="4">
        <v>969443371</v>
      </c>
      <c r="M513" s="4"/>
    </row>
    <row r="514" spans="1:13" ht="15" customHeight="1">
      <c r="A514" s="4" t="s">
        <v>2477</v>
      </c>
      <c r="B514" s="4" t="s">
        <v>2478</v>
      </c>
      <c r="C514" s="4" t="s">
        <v>2479</v>
      </c>
      <c r="D514" s="18"/>
      <c r="E514" s="18">
        <v>0</v>
      </c>
      <c r="F514" s="18">
        <v>0</v>
      </c>
      <c r="G514" s="4" t="s">
        <v>2480</v>
      </c>
      <c r="H514" s="4" t="s">
        <v>2481</v>
      </c>
      <c r="I514" s="5">
        <v>656</v>
      </c>
      <c r="J514" s="4" t="s">
        <v>2482</v>
      </c>
      <c r="K514" s="4" t="s">
        <v>2483</v>
      </c>
      <c r="L514" s="4">
        <v>366580503</v>
      </c>
      <c r="M514" s="4"/>
    </row>
    <row r="515" spans="1:13" ht="15" customHeight="1">
      <c r="A515" s="4" t="s">
        <v>2484</v>
      </c>
      <c r="B515" s="4" t="s">
        <v>2485</v>
      </c>
      <c r="C515" s="4" t="s">
        <v>2486</v>
      </c>
      <c r="D515" s="18"/>
      <c r="E515" s="18">
        <v>0</v>
      </c>
      <c r="F515" s="18">
        <v>0</v>
      </c>
      <c r="G515" s="4" t="s">
        <v>2487</v>
      </c>
      <c r="H515" s="4" t="s">
        <v>2488</v>
      </c>
      <c r="I515" s="5">
        <v>2</v>
      </c>
      <c r="J515" s="4"/>
      <c r="K515" s="4" t="s">
        <v>2489</v>
      </c>
      <c r="L515" s="4">
        <v>1862546</v>
      </c>
      <c r="M515" s="4"/>
    </row>
    <row r="516" spans="1:13" ht="15" customHeight="1">
      <c r="A516" s="4" t="s">
        <v>2490</v>
      </c>
      <c r="B516" s="4" t="s">
        <v>2491</v>
      </c>
      <c r="C516" s="4" t="s">
        <v>2492</v>
      </c>
      <c r="D516" s="18"/>
      <c r="E516" s="18">
        <v>0</v>
      </c>
      <c r="F516" s="18">
        <v>0</v>
      </c>
      <c r="G516" s="4" t="s">
        <v>2493</v>
      </c>
      <c r="H516" s="4" t="s">
        <v>2494</v>
      </c>
      <c r="I516" s="5">
        <v>3825</v>
      </c>
      <c r="J516" s="4" t="s">
        <v>2475</v>
      </c>
      <c r="K516" s="4" t="s">
        <v>2469</v>
      </c>
      <c r="L516" s="4">
        <v>745284121</v>
      </c>
      <c r="M516" s="4" t="s">
        <v>747</v>
      </c>
    </row>
    <row r="517" spans="1:13" ht="15" customHeight="1">
      <c r="A517" s="4" t="s">
        <v>2495</v>
      </c>
      <c r="B517" t="s">
        <v>2496</v>
      </c>
      <c r="C517" s="4" t="s">
        <v>2497</v>
      </c>
      <c r="D517" s="18"/>
      <c r="E517" s="18">
        <v>0</v>
      </c>
      <c r="F517" s="18">
        <v>0</v>
      </c>
      <c r="G517" s="4" t="s">
        <v>2498</v>
      </c>
      <c r="H517" s="4" t="s">
        <v>2499</v>
      </c>
      <c r="I517" s="5">
        <v>216</v>
      </c>
      <c r="J517" s="4" t="s">
        <v>2500</v>
      </c>
      <c r="K517" s="4" t="s">
        <v>2501</v>
      </c>
      <c r="L517" s="4">
        <v>89561778</v>
      </c>
      <c r="M517" s="4"/>
    </row>
    <row r="518" spans="1:13" ht="15" customHeight="1">
      <c r="A518" s="4" t="s">
        <v>2502</v>
      </c>
      <c r="B518" s="4" t="s">
        <v>2503</v>
      </c>
      <c r="C518" s="4" t="s">
        <v>1675</v>
      </c>
      <c r="D518" s="18"/>
      <c r="E518" s="18">
        <v>0</v>
      </c>
      <c r="F518" s="18">
        <v>0</v>
      </c>
      <c r="G518" s="4" t="s">
        <v>2504</v>
      </c>
      <c r="H518" s="4" t="s">
        <v>2505</v>
      </c>
      <c r="I518" s="5">
        <v>0</v>
      </c>
      <c r="J518" s="4"/>
      <c r="K518" s="4" t="s">
        <v>2506</v>
      </c>
      <c r="L518" s="4">
        <v>66935</v>
      </c>
      <c r="M518" s="4"/>
    </row>
    <row r="519" spans="1:13" ht="15" customHeight="1">
      <c r="A519" s="4" t="s">
        <v>2507</v>
      </c>
      <c r="B519" s="4" t="s">
        <v>2508</v>
      </c>
      <c r="C519" s="4" t="s">
        <v>2509</v>
      </c>
      <c r="D519" s="18"/>
      <c r="E519" s="18">
        <v>0</v>
      </c>
      <c r="F519" s="18">
        <v>0</v>
      </c>
      <c r="G519" s="4" t="s">
        <v>2510</v>
      </c>
      <c r="H519" s="4" t="s">
        <v>2511</v>
      </c>
      <c r="I519" s="5">
        <v>0</v>
      </c>
      <c r="J519" s="4"/>
      <c r="K519" s="4" t="s">
        <v>2512</v>
      </c>
      <c r="L519" s="4">
        <v>311918</v>
      </c>
      <c r="M519" s="4"/>
    </row>
    <row r="520" spans="1:13" ht="15" customHeight="1">
      <c r="A520" s="4" t="s">
        <v>2513</v>
      </c>
      <c r="B520" s="4" t="s">
        <v>1544</v>
      </c>
      <c r="C520" s="4" t="s">
        <v>1545</v>
      </c>
      <c r="D520" s="18"/>
      <c r="E520" s="18">
        <v>0</v>
      </c>
      <c r="F520" s="18">
        <v>0</v>
      </c>
      <c r="G520" s="4" t="s">
        <v>2514</v>
      </c>
      <c r="H520" s="4" t="s">
        <v>2515</v>
      </c>
      <c r="I520" s="5">
        <v>0</v>
      </c>
      <c r="J520" s="4"/>
      <c r="K520" s="4" t="s">
        <v>1544</v>
      </c>
      <c r="L520" s="4">
        <v>1339817</v>
      </c>
      <c r="M520" s="4"/>
    </row>
    <row r="521" spans="1:13" ht="15" customHeight="1">
      <c r="A521" s="4" t="s">
        <v>2516</v>
      </c>
      <c r="B521" s="4" t="s">
        <v>2517</v>
      </c>
      <c r="C521" s="4" t="s">
        <v>1545</v>
      </c>
      <c r="D521" s="18"/>
      <c r="E521" s="18">
        <v>0</v>
      </c>
      <c r="F521" s="18">
        <v>0</v>
      </c>
      <c r="G521" s="4" t="s">
        <v>2518</v>
      </c>
      <c r="H521" s="4"/>
      <c r="I521" s="5">
        <v>299</v>
      </c>
      <c r="J521" s="4"/>
      <c r="K521" s="4" t="s">
        <v>2517</v>
      </c>
      <c r="L521" s="4">
        <v>150545368</v>
      </c>
      <c r="M521" s="4"/>
    </row>
    <row r="522" spans="1:13" ht="15" customHeight="1">
      <c r="A522" s="4" t="s">
        <v>2519</v>
      </c>
      <c r="B522" s="4" t="s">
        <v>2520</v>
      </c>
      <c r="C522" s="4" t="s">
        <v>1545</v>
      </c>
      <c r="D522" s="18"/>
      <c r="E522" s="18">
        <v>0</v>
      </c>
      <c r="F522" s="18">
        <v>0</v>
      </c>
      <c r="G522" s="4" t="s">
        <v>2521</v>
      </c>
      <c r="H522" s="4" t="s">
        <v>2522</v>
      </c>
      <c r="I522" s="5">
        <v>148</v>
      </c>
      <c r="J522" s="4"/>
      <c r="K522" s="4" t="s">
        <v>2121</v>
      </c>
      <c r="L522" s="4">
        <v>66240603</v>
      </c>
      <c r="M522" s="4"/>
    </row>
    <row r="523" spans="1:13" ht="15" customHeight="1">
      <c r="A523" s="4" t="s">
        <v>2523</v>
      </c>
      <c r="B523" s="4" t="s">
        <v>2524</v>
      </c>
      <c r="C523" s="4" t="s">
        <v>1545</v>
      </c>
      <c r="D523" s="18"/>
      <c r="E523" s="18">
        <v>0</v>
      </c>
      <c r="F523" s="18">
        <v>0</v>
      </c>
      <c r="G523" s="4" t="s">
        <v>2525</v>
      </c>
      <c r="H523" s="4" t="s">
        <v>2526</v>
      </c>
      <c r="I523" s="5">
        <v>150</v>
      </c>
      <c r="J523" s="4"/>
      <c r="K523" s="4" t="s">
        <v>2527</v>
      </c>
      <c r="L523" s="4">
        <v>93495845</v>
      </c>
      <c r="M523" s="4"/>
    </row>
    <row r="524" spans="1:13" ht="15" customHeight="1">
      <c r="A524" s="4" t="s">
        <v>2528</v>
      </c>
      <c r="B524" s="4" t="s">
        <v>2529</v>
      </c>
      <c r="C524" s="4" t="s">
        <v>1545</v>
      </c>
      <c r="D524" s="18"/>
      <c r="E524" s="18">
        <v>0</v>
      </c>
      <c r="F524" s="18">
        <v>0</v>
      </c>
      <c r="G524" s="4" t="s">
        <v>2530</v>
      </c>
      <c r="H524" s="4" t="s">
        <v>2531</v>
      </c>
      <c r="I524" s="5">
        <v>337</v>
      </c>
      <c r="J524" s="4"/>
      <c r="K524" s="4" t="s">
        <v>1848</v>
      </c>
      <c r="L524" s="4">
        <v>92354085</v>
      </c>
      <c r="M524" s="4"/>
    </row>
    <row r="525" spans="1:13" ht="15" customHeight="1">
      <c r="A525" s="4" t="s">
        <v>2532</v>
      </c>
      <c r="B525" s="4" t="s">
        <v>2533</v>
      </c>
      <c r="C525" s="4" t="s">
        <v>2534</v>
      </c>
      <c r="D525" s="18"/>
      <c r="E525" s="18">
        <v>0</v>
      </c>
      <c r="F525" s="18">
        <v>0</v>
      </c>
      <c r="G525" s="4" t="s">
        <v>2535</v>
      </c>
      <c r="H525" s="4"/>
      <c r="I525" s="5">
        <v>272</v>
      </c>
      <c r="J525" s="4"/>
      <c r="K525" s="4" t="s">
        <v>2536</v>
      </c>
      <c r="L525" s="4">
        <v>135231093</v>
      </c>
      <c r="M525" s="4"/>
    </row>
    <row r="526" spans="1:13" ht="15" customHeight="1">
      <c r="A526" s="4" t="s">
        <v>2537</v>
      </c>
      <c r="B526" s="4" t="s">
        <v>2538</v>
      </c>
      <c r="C526" s="4" t="s">
        <v>2539</v>
      </c>
      <c r="D526" s="18"/>
      <c r="E526" s="18">
        <v>0</v>
      </c>
      <c r="F526" s="18">
        <v>0</v>
      </c>
      <c r="G526" s="4" t="s">
        <v>2540</v>
      </c>
      <c r="H526" s="4" t="s">
        <v>2541</v>
      </c>
      <c r="I526" s="5">
        <v>8</v>
      </c>
      <c r="J526" s="4"/>
      <c r="K526" s="4" t="s">
        <v>2542</v>
      </c>
      <c r="L526" s="4">
        <v>12386821</v>
      </c>
      <c r="M526" s="4"/>
    </row>
    <row r="527" spans="1:13" ht="15" customHeight="1">
      <c r="A527" s="4" t="s">
        <v>2543</v>
      </c>
      <c r="B527" s="4" t="s">
        <v>1216</v>
      </c>
      <c r="C527" s="4" t="s">
        <v>1217</v>
      </c>
      <c r="D527" s="18"/>
      <c r="E527" s="18">
        <v>0</v>
      </c>
      <c r="F527" s="18">
        <v>0</v>
      </c>
      <c r="G527" s="4" t="s">
        <v>2544</v>
      </c>
      <c r="H527" s="4" t="s">
        <v>2545</v>
      </c>
      <c r="I527" s="5">
        <v>2133</v>
      </c>
      <c r="J527" s="4"/>
      <c r="K527" s="4" t="s">
        <v>1216</v>
      </c>
      <c r="L527" s="4">
        <v>182047718</v>
      </c>
      <c r="M527" s="4"/>
    </row>
    <row r="528" spans="1:13" ht="15" customHeight="1">
      <c r="A528" s="4" t="s">
        <v>2546</v>
      </c>
      <c r="B528" s="4" t="s">
        <v>2547</v>
      </c>
      <c r="C528" s="4" t="s">
        <v>2548</v>
      </c>
      <c r="D528" s="18"/>
      <c r="E528" s="18">
        <v>227</v>
      </c>
      <c r="F528" s="18">
        <v>62</v>
      </c>
      <c r="G528" s="4" t="s">
        <v>2549</v>
      </c>
      <c r="H528" s="4" t="s">
        <v>2550</v>
      </c>
      <c r="I528" s="5">
        <v>955</v>
      </c>
      <c r="J528" s="4"/>
      <c r="K528" s="4" t="s">
        <v>2551</v>
      </c>
      <c r="L528" s="4">
        <v>442011874</v>
      </c>
      <c r="M528" s="4"/>
    </row>
    <row r="529" spans="1:13" ht="15" customHeight="1">
      <c r="A529" s="4" t="s">
        <v>2552</v>
      </c>
      <c r="B529" s="4" t="s">
        <v>2553</v>
      </c>
      <c r="C529" s="4" t="s">
        <v>2554</v>
      </c>
      <c r="D529" s="18"/>
      <c r="E529" s="18">
        <v>0</v>
      </c>
      <c r="F529" s="18">
        <v>0</v>
      </c>
      <c r="G529" s="4" t="s">
        <v>2555</v>
      </c>
      <c r="H529" s="4" t="s">
        <v>2556</v>
      </c>
      <c r="I529" s="5">
        <v>109</v>
      </c>
      <c r="J529" s="4"/>
      <c r="K529" s="4" t="s">
        <v>2557</v>
      </c>
      <c r="L529" s="4">
        <v>70388362</v>
      </c>
      <c r="M529" s="4"/>
    </row>
    <row r="530" spans="1:13" ht="15" customHeight="1">
      <c r="A530" s="4" t="s">
        <v>2558</v>
      </c>
      <c r="B530" s="4" t="s">
        <v>2559</v>
      </c>
      <c r="C530" s="4" t="s">
        <v>2560</v>
      </c>
      <c r="D530" s="18"/>
      <c r="E530" s="18">
        <v>0</v>
      </c>
      <c r="F530" s="18">
        <v>0</v>
      </c>
      <c r="G530" s="4" t="s">
        <v>2561</v>
      </c>
      <c r="H530" s="4" t="s">
        <v>2562</v>
      </c>
      <c r="I530" s="5">
        <v>1896</v>
      </c>
      <c r="J530" s="4" t="s">
        <v>2563</v>
      </c>
      <c r="K530" s="4" t="s">
        <v>2559</v>
      </c>
      <c r="L530" s="4">
        <v>648048491</v>
      </c>
      <c r="M530" s="4" t="s">
        <v>235</v>
      </c>
    </row>
    <row r="531" spans="1:13" ht="15" customHeight="1">
      <c r="A531" s="4" t="s">
        <v>2564</v>
      </c>
      <c r="B531" s="4" t="s">
        <v>2565</v>
      </c>
      <c r="C531" s="4" t="s">
        <v>679</v>
      </c>
      <c r="D531" s="18"/>
      <c r="E531" s="18">
        <v>30</v>
      </c>
      <c r="F531" s="18">
        <v>15</v>
      </c>
      <c r="G531" s="4" t="s">
        <v>2566</v>
      </c>
      <c r="H531" s="4" t="s">
        <v>2567</v>
      </c>
      <c r="I531" s="5">
        <v>1889</v>
      </c>
      <c r="J531" s="4"/>
      <c r="K531" s="4" t="s">
        <v>2568</v>
      </c>
      <c r="L531" s="4">
        <v>509219500</v>
      </c>
      <c r="M531" s="4"/>
    </row>
    <row r="532" spans="1:13" ht="15" customHeight="1">
      <c r="A532" s="4" t="s">
        <v>2569</v>
      </c>
      <c r="B532" s="4" t="s">
        <v>2570</v>
      </c>
      <c r="C532" s="4" t="s">
        <v>2571</v>
      </c>
      <c r="D532" s="18"/>
      <c r="E532" s="18">
        <v>0</v>
      </c>
      <c r="F532" s="18">
        <v>0</v>
      </c>
      <c r="G532" s="4" t="s">
        <v>2572</v>
      </c>
      <c r="H532" s="4" t="s">
        <v>2573</v>
      </c>
      <c r="I532" s="5">
        <v>569</v>
      </c>
      <c r="J532" s="4"/>
      <c r="K532" s="4" t="s">
        <v>2574</v>
      </c>
      <c r="L532" s="4">
        <v>274618058</v>
      </c>
      <c r="M532" s="4"/>
    </row>
    <row r="533" spans="1:13" ht="15" customHeight="1">
      <c r="A533" s="4" t="s">
        <v>2575</v>
      </c>
      <c r="B533" s="4" t="s">
        <v>2576</v>
      </c>
      <c r="C533" s="4" t="s">
        <v>2577</v>
      </c>
      <c r="D533" s="18"/>
      <c r="E533" s="18">
        <v>0</v>
      </c>
      <c r="F533" s="18">
        <v>0</v>
      </c>
      <c r="G533" s="4" t="s">
        <v>2578</v>
      </c>
      <c r="H533" s="4"/>
      <c r="I533" s="5">
        <v>44</v>
      </c>
      <c r="J533" s="4"/>
      <c r="K533" s="4" t="s">
        <v>2579</v>
      </c>
      <c r="L533" s="4">
        <v>9633281</v>
      </c>
      <c r="M533" s="4"/>
    </row>
    <row r="534" spans="1:13" ht="15" customHeight="1">
      <c r="A534" s="4" t="s">
        <v>2580</v>
      </c>
      <c r="B534" s="4" t="s">
        <v>2581</v>
      </c>
      <c r="C534" s="4" t="s">
        <v>1154</v>
      </c>
      <c r="D534" s="18"/>
      <c r="E534" s="18">
        <v>0</v>
      </c>
      <c r="F534" s="18">
        <v>0</v>
      </c>
      <c r="G534" s="4" t="s">
        <v>2582</v>
      </c>
      <c r="H534" s="4" t="s">
        <v>2583</v>
      </c>
      <c r="I534" s="5">
        <v>15</v>
      </c>
      <c r="J534" s="4"/>
      <c r="K534" s="4" t="s">
        <v>2584</v>
      </c>
      <c r="L534" s="4">
        <v>4642449</v>
      </c>
      <c r="M534" s="4"/>
    </row>
    <row r="535" spans="1:13" ht="15" customHeight="1">
      <c r="A535" s="4" t="s">
        <v>2585</v>
      </c>
      <c r="B535" s="4" t="s">
        <v>2370</v>
      </c>
      <c r="C535" s="4" t="s">
        <v>884</v>
      </c>
      <c r="D535" s="18"/>
      <c r="E535" s="18">
        <v>0</v>
      </c>
      <c r="F535" s="18">
        <v>0</v>
      </c>
      <c r="G535" s="4" t="s">
        <v>2586</v>
      </c>
      <c r="H535" s="4"/>
      <c r="I535" s="5">
        <v>25</v>
      </c>
      <c r="J535" s="4" t="s">
        <v>2370</v>
      </c>
      <c r="K535" s="4" t="s">
        <v>2373</v>
      </c>
      <c r="L535" s="4">
        <v>11854634</v>
      </c>
      <c r="M535" s="4"/>
    </row>
    <row r="536" spans="1:13" ht="15" customHeight="1">
      <c r="A536" s="4" t="s">
        <v>2587</v>
      </c>
      <c r="B536" s="4" t="s">
        <v>2588</v>
      </c>
      <c r="C536" s="4" t="s">
        <v>1030</v>
      </c>
      <c r="D536" s="18"/>
      <c r="E536" s="18">
        <v>0</v>
      </c>
      <c r="F536" s="18">
        <v>0</v>
      </c>
      <c r="G536" s="4" t="s">
        <v>2589</v>
      </c>
      <c r="H536" s="4" t="s">
        <v>2590</v>
      </c>
      <c r="I536" s="5">
        <v>1152</v>
      </c>
      <c r="J536" s="4" t="s">
        <v>2591</v>
      </c>
      <c r="K536" s="4" t="s">
        <v>2588</v>
      </c>
      <c r="L536" s="4">
        <v>305839358</v>
      </c>
      <c r="M536" s="4"/>
    </row>
    <row r="537" spans="1:13" ht="15" customHeight="1">
      <c r="A537" s="4" t="s">
        <v>2592</v>
      </c>
      <c r="B537" s="4" t="s">
        <v>2593</v>
      </c>
      <c r="C537" s="4" t="s">
        <v>2594</v>
      </c>
      <c r="D537" s="18"/>
      <c r="E537" s="18">
        <v>0</v>
      </c>
      <c r="F537" s="18">
        <v>0</v>
      </c>
      <c r="G537" s="4" t="s">
        <v>2595</v>
      </c>
      <c r="H537" s="4" t="s">
        <v>2596</v>
      </c>
      <c r="I537" s="5">
        <v>2246</v>
      </c>
      <c r="J537" s="4"/>
      <c r="K537" s="4" t="s">
        <v>2597</v>
      </c>
      <c r="L537" s="4">
        <v>226811237</v>
      </c>
      <c r="M537" s="4" t="s">
        <v>826</v>
      </c>
    </row>
    <row r="538" spans="1:13" ht="15" customHeight="1">
      <c r="A538" s="4" t="s">
        <v>2598</v>
      </c>
      <c r="B538" s="4" t="s">
        <v>2599</v>
      </c>
      <c r="C538" s="4" t="s">
        <v>2600</v>
      </c>
      <c r="D538" s="18"/>
      <c r="E538" s="18">
        <v>0</v>
      </c>
      <c r="F538" s="18">
        <v>0</v>
      </c>
      <c r="G538" s="4" t="s">
        <v>2601</v>
      </c>
      <c r="H538" s="4" t="s">
        <v>2602</v>
      </c>
      <c r="I538" s="5">
        <v>1</v>
      </c>
      <c r="J538" s="4"/>
      <c r="K538" s="4" t="s">
        <v>2603</v>
      </c>
      <c r="L538" s="4">
        <v>1921450</v>
      </c>
      <c r="M538" s="4"/>
    </row>
    <row r="539" spans="1:13" ht="15" customHeight="1">
      <c r="A539" s="4" t="s">
        <v>2604</v>
      </c>
      <c r="B539" s="4" t="s">
        <v>2605</v>
      </c>
      <c r="C539" s="4" t="s">
        <v>541</v>
      </c>
      <c r="D539" s="18"/>
      <c r="E539" s="18">
        <v>0</v>
      </c>
      <c r="F539" s="18">
        <v>0</v>
      </c>
      <c r="G539" s="4" t="s">
        <v>2606</v>
      </c>
      <c r="H539" s="4" t="s">
        <v>2607</v>
      </c>
      <c r="I539" s="5">
        <v>225</v>
      </c>
      <c r="J539" s="4"/>
      <c r="K539" s="4" t="s">
        <v>1689</v>
      </c>
      <c r="L539" s="4">
        <v>93174881</v>
      </c>
      <c r="M539" s="4"/>
    </row>
    <row r="540" spans="1:13" ht="15" customHeight="1">
      <c r="A540" s="4" t="s">
        <v>2608</v>
      </c>
      <c r="B540" s="4" t="s">
        <v>2517</v>
      </c>
      <c r="C540" s="4" t="s">
        <v>1545</v>
      </c>
      <c r="D540" s="18"/>
      <c r="E540" s="18">
        <v>0</v>
      </c>
      <c r="F540" s="18">
        <v>0</v>
      </c>
      <c r="G540" s="4" t="s">
        <v>2609</v>
      </c>
      <c r="H540" s="4" t="s">
        <v>2610</v>
      </c>
      <c r="I540" s="5">
        <v>0</v>
      </c>
      <c r="J540" s="4"/>
      <c r="K540" s="4" t="s">
        <v>2611</v>
      </c>
      <c r="L540" s="4">
        <v>813082</v>
      </c>
      <c r="M540" s="4"/>
    </row>
    <row r="541" spans="1:13" ht="15" customHeight="1">
      <c r="A541" s="4" t="s">
        <v>2612</v>
      </c>
      <c r="B541" s="4" t="s">
        <v>749</v>
      </c>
      <c r="C541" s="4" t="s">
        <v>131</v>
      </c>
      <c r="D541" s="18"/>
      <c r="E541" s="18">
        <v>0</v>
      </c>
      <c r="F541" s="18">
        <v>0</v>
      </c>
      <c r="G541" s="4" t="s">
        <v>2613</v>
      </c>
      <c r="H541" s="4" t="s">
        <v>2614</v>
      </c>
      <c r="I541" s="5">
        <v>3</v>
      </c>
      <c r="J541" s="4"/>
      <c r="K541" s="4" t="s">
        <v>2615</v>
      </c>
      <c r="L541" s="4">
        <v>379480</v>
      </c>
      <c r="M541" s="4"/>
    </row>
    <row r="542" spans="1:13" ht="15" customHeight="1">
      <c r="A542" s="4" t="s">
        <v>2616</v>
      </c>
      <c r="B542" s="4" t="s">
        <v>2617</v>
      </c>
      <c r="C542" s="4" t="s">
        <v>2618</v>
      </c>
      <c r="D542" s="18"/>
      <c r="E542" s="18">
        <v>0</v>
      </c>
      <c r="F542" s="18">
        <v>0</v>
      </c>
      <c r="G542" s="4" t="s">
        <v>2619</v>
      </c>
      <c r="H542" s="4" t="s">
        <v>2620</v>
      </c>
      <c r="I542" s="5">
        <v>0</v>
      </c>
      <c r="J542" s="4"/>
      <c r="K542" s="4" t="s">
        <v>2621</v>
      </c>
      <c r="L542" s="4">
        <v>1282697</v>
      </c>
      <c r="M542" s="4"/>
    </row>
    <row r="543" spans="1:13" ht="15" customHeight="1">
      <c r="A543" s="4" t="s">
        <v>2622</v>
      </c>
      <c r="B543" s="4" t="s">
        <v>2623</v>
      </c>
      <c r="C543" s="4" t="s">
        <v>2624</v>
      </c>
      <c r="D543" s="18"/>
      <c r="E543" s="18">
        <v>0</v>
      </c>
      <c r="F543" s="18">
        <v>0</v>
      </c>
      <c r="G543" s="4" t="s">
        <v>2625</v>
      </c>
      <c r="H543" s="4" t="s">
        <v>2626</v>
      </c>
      <c r="I543" s="5">
        <v>4</v>
      </c>
      <c r="J543" s="4"/>
      <c r="K543" s="4" t="s">
        <v>2623</v>
      </c>
      <c r="L543" s="4">
        <v>3366421</v>
      </c>
      <c r="M543" s="4"/>
    </row>
    <row r="544" spans="1:13" ht="15" customHeight="1">
      <c r="A544" s="4" t="s">
        <v>2627</v>
      </c>
      <c r="B544" s="4" t="s">
        <v>2628</v>
      </c>
      <c r="C544" s="4" t="s">
        <v>2629</v>
      </c>
      <c r="D544" s="18"/>
      <c r="E544" s="18">
        <v>0</v>
      </c>
      <c r="F544" s="18">
        <v>0</v>
      </c>
      <c r="G544" s="4" t="s">
        <v>2630</v>
      </c>
      <c r="H544" s="4" t="s">
        <v>2631</v>
      </c>
      <c r="I544" s="5">
        <v>1782</v>
      </c>
      <c r="J544" s="4"/>
      <c r="K544" s="4" t="s">
        <v>2628</v>
      </c>
      <c r="L544" s="4">
        <v>468038910</v>
      </c>
      <c r="M544" s="4"/>
    </row>
    <row r="545" spans="1:13" ht="15" customHeight="1">
      <c r="A545" s="4" t="s">
        <v>2632</v>
      </c>
      <c r="B545" s="4" t="s">
        <v>2633</v>
      </c>
      <c r="C545" s="4" t="s">
        <v>558</v>
      </c>
      <c r="D545" s="18"/>
      <c r="E545" s="18">
        <v>0</v>
      </c>
      <c r="F545" s="18">
        <v>0</v>
      </c>
      <c r="G545" s="4" t="s">
        <v>2634</v>
      </c>
      <c r="H545" s="4" t="s">
        <v>2635</v>
      </c>
      <c r="I545" s="5">
        <v>72</v>
      </c>
      <c r="J545" s="4"/>
      <c r="K545" s="4" t="s">
        <v>566</v>
      </c>
      <c r="L545" s="4">
        <v>18084890</v>
      </c>
      <c r="M545" s="4"/>
    </row>
    <row r="546" spans="1:13" ht="15" customHeight="1">
      <c r="A546" s="4" t="s">
        <v>2636</v>
      </c>
      <c r="B546" s="4" t="s">
        <v>2637</v>
      </c>
      <c r="C546" s="4" t="s">
        <v>574</v>
      </c>
      <c r="D546" s="18"/>
      <c r="E546" s="18">
        <v>0</v>
      </c>
      <c r="F546" s="18">
        <v>0</v>
      </c>
      <c r="G546" s="4" t="s">
        <v>2638</v>
      </c>
      <c r="H546" s="4" t="s">
        <v>2639</v>
      </c>
      <c r="I546" s="5">
        <v>118</v>
      </c>
      <c r="J546" s="4"/>
      <c r="K546" s="4" t="s">
        <v>2640</v>
      </c>
      <c r="L546" s="4">
        <v>90665327</v>
      </c>
      <c r="M546" s="4"/>
    </row>
    <row r="547" spans="1:13" ht="15" customHeight="1">
      <c r="A547" s="4" t="s">
        <v>2641</v>
      </c>
      <c r="B547" s="4" t="s">
        <v>2642</v>
      </c>
      <c r="C547" s="4" t="s">
        <v>2643</v>
      </c>
      <c r="D547" s="18"/>
      <c r="E547" s="18">
        <v>0</v>
      </c>
      <c r="F547" s="18">
        <v>0</v>
      </c>
      <c r="G547" s="4" t="s">
        <v>2644</v>
      </c>
      <c r="H547" s="4" t="s">
        <v>2645</v>
      </c>
      <c r="I547" s="5">
        <v>13217</v>
      </c>
      <c r="J547" s="4" t="s">
        <v>2642</v>
      </c>
      <c r="K547" s="4" t="s">
        <v>2642</v>
      </c>
      <c r="L547" s="4">
        <v>858384536</v>
      </c>
      <c r="M547" s="4"/>
    </row>
    <row r="548" spans="1:13" ht="15" customHeight="1">
      <c r="A548" s="4" t="s">
        <v>2646</v>
      </c>
      <c r="B548" s="4" t="s">
        <v>2647</v>
      </c>
      <c r="C548" s="4" t="s">
        <v>2648</v>
      </c>
      <c r="D548" s="18"/>
      <c r="E548" s="18">
        <v>0</v>
      </c>
      <c r="F548" s="18">
        <v>0</v>
      </c>
      <c r="G548" s="4" t="s">
        <v>2649</v>
      </c>
      <c r="H548" s="4"/>
      <c r="I548" s="5">
        <v>76</v>
      </c>
      <c r="J548" s="4"/>
      <c r="K548" s="4" t="s">
        <v>2650</v>
      </c>
      <c r="L548" s="4">
        <v>64516337</v>
      </c>
      <c r="M548" s="4"/>
    </row>
    <row r="549" spans="1:13" ht="15" customHeight="1">
      <c r="A549" s="4" t="s">
        <v>2651</v>
      </c>
      <c r="B549" s="4" t="s">
        <v>2395</v>
      </c>
      <c r="C549" s="4" t="s">
        <v>679</v>
      </c>
      <c r="D549" s="18"/>
      <c r="E549" s="18">
        <v>0</v>
      </c>
      <c r="F549" s="18">
        <v>0</v>
      </c>
      <c r="G549" s="4" t="s">
        <v>2652</v>
      </c>
      <c r="H549" s="4" t="s">
        <v>2653</v>
      </c>
      <c r="I549" s="5">
        <v>1634</v>
      </c>
      <c r="J549" s="4" t="s">
        <v>2654</v>
      </c>
      <c r="K549" s="4" t="s">
        <v>2655</v>
      </c>
      <c r="L549" s="4">
        <v>276969386</v>
      </c>
      <c r="M549" s="4"/>
    </row>
    <row r="550" spans="1:13" ht="15" customHeight="1">
      <c r="A550" s="4" t="s">
        <v>2656</v>
      </c>
      <c r="B550" s="4" t="s">
        <v>2657</v>
      </c>
      <c r="C550" s="4" t="s">
        <v>2658</v>
      </c>
      <c r="D550" s="18"/>
      <c r="E550" s="18">
        <v>0</v>
      </c>
      <c r="F550" s="18">
        <v>0</v>
      </c>
      <c r="G550" s="4" t="s">
        <v>2659</v>
      </c>
      <c r="H550" s="4" t="s">
        <v>2660</v>
      </c>
      <c r="I550" s="5">
        <v>242</v>
      </c>
      <c r="J550" s="4" t="s">
        <v>2661</v>
      </c>
      <c r="K550" s="4" t="s">
        <v>2657</v>
      </c>
      <c r="L550" s="4">
        <v>64561447</v>
      </c>
      <c r="M550" s="4"/>
    </row>
    <row r="551" spans="1:13" ht="15" customHeight="1">
      <c r="A551" s="4" t="s">
        <v>2662</v>
      </c>
      <c r="B551" s="4" t="s">
        <v>2663</v>
      </c>
      <c r="C551" s="4" t="s">
        <v>2664</v>
      </c>
      <c r="D551" s="18"/>
      <c r="E551" s="18">
        <v>0</v>
      </c>
      <c r="F551" s="18">
        <v>0</v>
      </c>
      <c r="G551" s="4" t="s">
        <v>2665</v>
      </c>
      <c r="H551" s="4"/>
      <c r="I551" s="5">
        <v>29</v>
      </c>
      <c r="J551" s="4"/>
      <c r="K551" s="4" t="s">
        <v>2666</v>
      </c>
      <c r="L551" s="4">
        <v>10858248</v>
      </c>
      <c r="M551" s="4"/>
    </row>
    <row r="552" spans="1:13" ht="15" customHeight="1">
      <c r="A552" s="4" t="s">
        <v>2667</v>
      </c>
      <c r="B552" s="4" t="s">
        <v>2668</v>
      </c>
      <c r="C552" s="4" t="s">
        <v>188</v>
      </c>
      <c r="D552" s="18"/>
      <c r="E552" s="18">
        <v>0</v>
      </c>
      <c r="F552" s="18">
        <v>0</v>
      </c>
      <c r="G552" s="4" t="s">
        <v>2669</v>
      </c>
      <c r="H552" s="4" t="s">
        <v>2670</v>
      </c>
      <c r="I552" s="5">
        <v>75</v>
      </c>
      <c r="J552" s="4"/>
      <c r="K552" s="4" t="s">
        <v>2671</v>
      </c>
      <c r="L552" s="4">
        <v>749161</v>
      </c>
      <c r="M552" s="4"/>
    </row>
    <row r="553" spans="1:13" ht="15" customHeight="1">
      <c r="A553" s="4" t="s">
        <v>2672</v>
      </c>
      <c r="B553" s="4" t="s">
        <v>10267</v>
      </c>
      <c r="C553" s="4" t="s">
        <v>2674</v>
      </c>
      <c r="D553" s="18"/>
      <c r="E553" s="18">
        <v>0</v>
      </c>
      <c r="F553" s="18">
        <v>0</v>
      </c>
      <c r="G553" s="4" t="s">
        <v>2675</v>
      </c>
      <c r="H553" s="4"/>
      <c r="I553" s="5">
        <v>2688</v>
      </c>
      <c r="J553" s="4"/>
      <c r="K553" s="4" t="s">
        <v>2676</v>
      </c>
      <c r="L553" s="4">
        <v>566920212</v>
      </c>
      <c r="M553" s="4"/>
    </row>
    <row r="554" spans="1:13" ht="15" customHeight="1">
      <c r="A554" s="4" t="s">
        <v>2677</v>
      </c>
      <c r="B554" s="4" t="s">
        <v>2678</v>
      </c>
      <c r="C554" s="4" t="s">
        <v>821</v>
      </c>
      <c r="D554" s="18"/>
      <c r="E554" s="18">
        <v>0</v>
      </c>
      <c r="F554" s="18">
        <v>0</v>
      </c>
      <c r="G554" s="4" t="s">
        <v>2679</v>
      </c>
      <c r="H554" s="4" t="s">
        <v>2680</v>
      </c>
      <c r="I554" s="5">
        <v>1</v>
      </c>
      <c r="J554" s="4" t="s">
        <v>2681</v>
      </c>
      <c r="K554" s="4" t="s">
        <v>2682</v>
      </c>
      <c r="L554" s="4">
        <v>2380111</v>
      </c>
      <c r="M554" s="4"/>
    </row>
    <row r="555" spans="1:13" ht="15" customHeight="1">
      <c r="A555" s="4" t="s">
        <v>2683</v>
      </c>
      <c r="B555" s="4" t="s">
        <v>1410</v>
      </c>
      <c r="C555" s="4" t="s">
        <v>146</v>
      </c>
      <c r="D555" s="18"/>
      <c r="E555" s="18">
        <v>0</v>
      </c>
      <c r="F555" s="18">
        <v>0</v>
      </c>
      <c r="G555" s="4" t="s">
        <v>2684</v>
      </c>
      <c r="H555" s="4" t="s">
        <v>2685</v>
      </c>
      <c r="I555" s="5">
        <v>0</v>
      </c>
      <c r="J555" s="4"/>
      <c r="K555" s="4" t="s">
        <v>2686</v>
      </c>
      <c r="L555" s="4">
        <v>1760027</v>
      </c>
      <c r="M555" s="4"/>
    </row>
    <row r="556" spans="1:13" ht="15" customHeight="1">
      <c r="A556" s="4" t="s">
        <v>2687</v>
      </c>
      <c r="B556" s="4" t="s">
        <v>2688</v>
      </c>
      <c r="C556" s="4" t="s">
        <v>245</v>
      </c>
      <c r="D556" s="18"/>
      <c r="E556" s="18">
        <v>46</v>
      </c>
      <c r="F556" s="18">
        <v>15</v>
      </c>
      <c r="G556" s="4" t="s">
        <v>2689</v>
      </c>
      <c r="H556" s="4"/>
      <c r="I556" s="5">
        <v>128</v>
      </c>
      <c r="J556" s="4" t="s">
        <v>2688</v>
      </c>
      <c r="K556" s="4"/>
      <c r="L556" s="4">
        <v>123847658</v>
      </c>
      <c r="M556" s="4"/>
    </row>
    <row r="557" spans="1:13" ht="15" customHeight="1">
      <c r="A557" s="4" t="s">
        <v>2690</v>
      </c>
      <c r="B557" s="4" t="s">
        <v>2235</v>
      </c>
      <c r="C557" s="4" t="s">
        <v>2236</v>
      </c>
      <c r="D557" s="18"/>
      <c r="E557" s="18">
        <v>0</v>
      </c>
      <c r="F557" s="18">
        <v>0</v>
      </c>
      <c r="G557" s="4" t="s">
        <v>2691</v>
      </c>
      <c r="H557" s="4" t="s">
        <v>2692</v>
      </c>
      <c r="I557" s="5">
        <v>1</v>
      </c>
      <c r="J557" s="4"/>
      <c r="K557" s="4" t="s">
        <v>2693</v>
      </c>
      <c r="L557" s="4">
        <v>6956107</v>
      </c>
      <c r="M557" s="4"/>
    </row>
    <row r="558" spans="1:13" ht="15" customHeight="1">
      <c r="A558" s="4" t="s">
        <v>2694</v>
      </c>
      <c r="B558" s="4" t="s">
        <v>2368</v>
      </c>
      <c r="C558" s="4" t="s">
        <v>884</v>
      </c>
      <c r="D558" s="18"/>
      <c r="E558" s="18">
        <v>35</v>
      </c>
      <c r="F558" s="18">
        <v>29</v>
      </c>
      <c r="G558" s="4" t="s">
        <v>2695</v>
      </c>
      <c r="H558" s="4" t="s">
        <v>2696</v>
      </c>
      <c r="I558" s="5">
        <v>17697</v>
      </c>
      <c r="J558" s="4" t="s">
        <v>2697</v>
      </c>
      <c r="K558" s="4" t="s">
        <v>2368</v>
      </c>
      <c r="L558" s="4">
        <v>1465329274</v>
      </c>
      <c r="M558" s="4" t="s">
        <v>704</v>
      </c>
    </row>
    <row r="559" spans="1:13" ht="15" customHeight="1">
      <c r="A559" s="4" t="s">
        <v>2698</v>
      </c>
      <c r="B559" s="4" t="s">
        <v>2699</v>
      </c>
      <c r="C559" s="4" t="s">
        <v>2700</v>
      </c>
      <c r="D559" s="18"/>
      <c r="E559" s="18">
        <v>0</v>
      </c>
      <c r="F559" s="18">
        <v>0</v>
      </c>
      <c r="G559" s="4" t="s">
        <v>2701</v>
      </c>
      <c r="H559" s="4" t="s">
        <v>2702</v>
      </c>
      <c r="I559" s="5">
        <v>1291</v>
      </c>
      <c r="J559" s="4" t="s">
        <v>2703</v>
      </c>
      <c r="K559" s="4" t="s">
        <v>2704</v>
      </c>
      <c r="L559" s="4">
        <v>363930254</v>
      </c>
      <c r="M559" s="4"/>
    </row>
    <row r="560" spans="1:13" ht="15" customHeight="1">
      <c r="A560" s="4" t="s">
        <v>2705</v>
      </c>
      <c r="B560" s="4" t="s">
        <v>2706</v>
      </c>
      <c r="C560" s="4" t="s">
        <v>2707</v>
      </c>
      <c r="D560" s="18"/>
      <c r="E560" s="18">
        <v>0</v>
      </c>
      <c r="F560" s="18">
        <v>0</v>
      </c>
      <c r="G560" s="4" t="s">
        <v>2708</v>
      </c>
      <c r="H560" s="4"/>
      <c r="I560" s="5">
        <v>0</v>
      </c>
      <c r="J560" s="4"/>
      <c r="K560" s="4" t="s">
        <v>2709</v>
      </c>
      <c r="L560" s="4">
        <v>11467905</v>
      </c>
      <c r="M560" s="4"/>
    </row>
    <row r="561" spans="1:13" ht="15" customHeight="1">
      <c r="A561" s="4" t="s">
        <v>2710</v>
      </c>
      <c r="B561" s="4" t="s">
        <v>2711</v>
      </c>
      <c r="C561" s="4" t="s">
        <v>478</v>
      </c>
      <c r="D561" s="18"/>
      <c r="E561" s="18">
        <v>0</v>
      </c>
      <c r="F561" s="18">
        <v>0</v>
      </c>
      <c r="G561" s="4" t="s">
        <v>2712</v>
      </c>
      <c r="H561" s="4" t="s">
        <v>2713</v>
      </c>
      <c r="I561" s="5">
        <v>20</v>
      </c>
      <c r="J561" s="4"/>
      <c r="K561" s="4" t="s">
        <v>2714</v>
      </c>
      <c r="L561" s="4">
        <v>8081323</v>
      </c>
      <c r="M561" s="4"/>
    </row>
    <row r="562" spans="1:13" ht="15" customHeight="1">
      <c r="A562" s="4" t="s">
        <v>2715</v>
      </c>
      <c r="B562" s="4" t="s">
        <v>2716</v>
      </c>
      <c r="C562" s="4" t="s">
        <v>215</v>
      </c>
      <c r="D562" s="18"/>
      <c r="E562" s="18">
        <v>0</v>
      </c>
      <c r="F562" s="18">
        <v>0</v>
      </c>
      <c r="G562" s="7" t="s">
        <v>2717</v>
      </c>
      <c r="H562" s="4" t="s">
        <v>2718</v>
      </c>
      <c r="I562" s="5">
        <v>9</v>
      </c>
      <c r="J562" s="4"/>
      <c r="K562" s="4" t="s">
        <v>2719</v>
      </c>
      <c r="L562" s="4">
        <v>16442640</v>
      </c>
      <c r="M562" s="4"/>
    </row>
    <row r="563" spans="1:13" ht="15" customHeight="1">
      <c r="A563" s="4" t="s">
        <v>2720</v>
      </c>
      <c r="B563" s="4" t="s">
        <v>2721</v>
      </c>
      <c r="C563" s="4" t="s">
        <v>215</v>
      </c>
      <c r="D563" s="18"/>
      <c r="E563" s="18">
        <v>0</v>
      </c>
      <c r="F563" s="18">
        <v>0</v>
      </c>
      <c r="G563" s="4" t="s">
        <v>2722</v>
      </c>
      <c r="H563" s="4" t="s">
        <v>2723</v>
      </c>
      <c r="I563" s="5">
        <v>62</v>
      </c>
      <c r="J563" s="4"/>
      <c r="K563" s="4" t="s">
        <v>2724</v>
      </c>
      <c r="L563" s="4">
        <v>35288991</v>
      </c>
      <c r="M563" s="4"/>
    </row>
    <row r="564" spans="1:13" ht="15" customHeight="1">
      <c r="A564" s="4" t="s">
        <v>2725</v>
      </c>
      <c r="B564" s="4" t="s">
        <v>2726</v>
      </c>
      <c r="C564" s="4" t="s">
        <v>2727</v>
      </c>
      <c r="D564" s="18"/>
      <c r="E564" s="18">
        <v>0</v>
      </c>
      <c r="F564" s="18">
        <v>0</v>
      </c>
      <c r="G564" s="4" t="s">
        <v>2728</v>
      </c>
      <c r="H564" s="4" t="s">
        <v>2729</v>
      </c>
      <c r="I564" s="5">
        <v>0</v>
      </c>
      <c r="J564" s="4"/>
      <c r="K564" s="4" t="s">
        <v>2730</v>
      </c>
      <c r="L564" s="4">
        <v>104686</v>
      </c>
      <c r="M564" s="4"/>
    </row>
    <row r="565" spans="1:13" ht="15" customHeight="1">
      <c r="A565" s="4" t="s">
        <v>2731</v>
      </c>
      <c r="B565" s="4" t="s">
        <v>2732</v>
      </c>
      <c r="C565" s="4" t="s">
        <v>2733</v>
      </c>
      <c r="D565" s="18"/>
      <c r="E565" s="18">
        <v>0</v>
      </c>
      <c r="F565" s="18">
        <v>0</v>
      </c>
      <c r="G565" s="4" t="s">
        <v>2734</v>
      </c>
      <c r="H565" s="4" t="s">
        <v>2735</v>
      </c>
      <c r="I565" s="5">
        <v>0</v>
      </c>
      <c r="J565" s="4" t="s">
        <v>2736</v>
      </c>
      <c r="K565" s="4" t="s">
        <v>2737</v>
      </c>
      <c r="L565" s="4">
        <v>1695354</v>
      </c>
      <c r="M565" s="4"/>
    </row>
    <row r="566" spans="1:13" ht="15" customHeight="1">
      <c r="A566" s="4" t="s">
        <v>2738</v>
      </c>
      <c r="B566" s="4" t="s">
        <v>2739</v>
      </c>
      <c r="C566" s="4" t="s">
        <v>238</v>
      </c>
      <c r="D566" s="18"/>
      <c r="E566" s="18">
        <v>0</v>
      </c>
      <c r="F566" s="18">
        <v>0</v>
      </c>
      <c r="G566" s="4" t="s">
        <v>2740</v>
      </c>
      <c r="H566" s="4" t="s">
        <v>2741</v>
      </c>
      <c r="I566" s="5">
        <v>245</v>
      </c>
      <c r="J566" s="4" t="s">
        <v>2742</v>
      </c>
      <c r="K566" s="4" t="s">
        <v>242</v>
      </c>
      <c r="L566" s="4">
        <v>65472016</v>
      </c>
      <c r="M566" s="4"/>
    </row>
    <row r="567" spans="1:13" ht="15" customHeight="1">
      <c r="A567" s="4" t="s">
        <v>2743</v>
      </c>
      <c r="B567" s="4" t="s">
        <v>2744</v>
      </c>
      <c r="C567" s="4" t="s">
        <v>2745</v>
      </c>
      <c r="D567" s="18"/>
      <c r="E567" s="18">
        <v>0</v>
      </c>
      <c r="F567" s="18">
        <v>0</v>
      </c>
      <c r="G567" s="7" t="s">
        <v>2746</v>
      </c>
      <c r="H567" s="4" t="s">
        <v>2747</v>
      </c>
      <c r="I567" s="5">
        <v>407</v>
      </c>
      <c r="J567" s="4" t="s">
        <v>2748</v>
      </c>
      <c r="K567" s="4" t="s">
        <v>2749</v>
      </c>
      <c r="L567" s="4">
        <v>145549019</v>
      </c>
      <c r="M567" s="4"/>
    </row>
    <row r="568" spans="1:13" ht="15" customHeight="1">
      <c r="A568" s="4" t="s">
        <v>2750</v>
      </c>
      <c r="B568" s="4" t="s">
        <v>2751</v>
      </c>
      <c r="C568" s="4" t="s">
        <v>2752</v>
      </c>
      <c r="D568" s="18"/>
      <c r="E568" s="18">
        <v>0</v>
      </c>
      <c r="F568" s="18">
        <v>0</v>
      </c>
      <c r="G568" s="4" t="s">
        <v>2753</v>
      </c>
      <c r="H568" s="4" t="s">
        <v>2754</v>
      </c>
      <c r="I568" s="5">
        <v>692</v>
      </c>
      <c r="J568" s="4"/>
      <c r="K568" s="4" t="s">
        <v>2751</v>
      </c>
      <c r="L568" s="4">
        <v>156262941</v>
      </c>
      <c r="M568" s="4"/>
    </row>
    <row r="569" spans="1:13" ht="15" customHeight="1">
      <c r="A569" s="4" t="s">
        <v>2755</v>
      </c>
      <c r="B569" s="4" t="s">
        <v>2756</v>
      </c>
      <c r="C569" s="4" t="s">
        <v>2757</v>
      </c>
      <c r="D569" s="18"/>
      <c r="E569" s="18">
        <v>0</v>
      </c>
      <c r="F569" s="18">
        <v>0</v>
      </c>
      <c r="G569" s="4" t="s">
        <v>2758</v>
      </c>
      <c r="H569" s="4" t="s">
        <v>2759</v>
      </c>
      <c r="I569" s="5">
        <v>21</v>
      </c>
      <c r="J569" s="4"/>
      <c r="K569" s="4" t="s">
        <v>2760</v>
      </c>
      <c r="L569" s="4">
        <v>6000406</v>
      </c>
      <c r="M569" s="4"/>
    </row>
    <row r="570" spans="1:13" ht="15" customHeight="1">
      <c r="A570" s="4" t="s">
        <v>2761</v>
      </c>
      <c r="B570" s="4" t="s">
        <v>2762</v>
      </c>
      <c r="C570" s="4" t="s">
        <v>227</v>
      </c>
      <c r="D570" s="18"/>
      <c r="E570" s="18">
        <v>0</v>
      </c>
      <c r="F570" s="18">
        <v>0</v>
      </c>
      <c r="G570" s="4" t="s">
        <v>2763</v>
      </c>
      <c r="H570" s="4" t="s">
        <v>2764</v>
      </c>
      <c r="I570" s="5">
        <v>3</v>
      </c>
      <c r="J570" s="4"/>
      <c r="K570" s="4" t="s">
        <v>2765</v>
      </c>
      <c r="L570" s="4">
        <v>6360920</v>
      </c>
      <c r="M570" s="4"/>
    </row>
    <row r="571" spans="1:13" ht="15" customHeight="1">
      <c r="A571" s="4" t="s">
        <v>2766</v>
      </c>
      <c r="B571" s="4" t="s">
        <v>2767</v>
      </c>
      <c r="C571" s="4" t="s">
        <v>1274</v>
      </c>
      <c r="D571" s="18"/>
      <c r="E571" s="18">
        <v>0</v>
      </c>
      <c r="F571" s="18">
        <v>0</v>
      </c>
      <c r="G571" s="4" t="s">
        <v>2768</v>
      </c>
      <c r="H571" s="4" t="s">
        <v>2769</v>
      </c>
      <c r="I571" s="5">
        <v>386</v>
      </c>
      <c r="J571" s="4"/>
      <c r="K571" s="4" t="s">
        <v>2770</v>
      </c>
      <c r="L571" s="4">
        <v>235303544</v>
      </c>
      <c r="M571" s="4"/>
    </row>
    <row r="572" spans="1:13" ht="15" customHeight="1">
      <c r="A572" s="4" t="s">
        <v>2771</v>
      </c>
      <c r="B572" s="4" t="s">
        <v>1949</v>
      </c>
      <c r="C572" s="4" t="s">
        <v>1950</v>
      </c>
      <c r="D572" s="18"/>
      <c r="E572" s="18">
        <v>0</v>
      </c>
      <c r="F572" s="18">
        <v>0</v>
      </c>
      <c r="G572" s="4" t="s">
        <v>2772</v>
      </c>
      <c r="H572" s="4" t="s">
        <v>2773</v>
      </c>
      <c r="I572" s="5">
        <v>273</v>
      </c>
      <c r="J572" s="4" t="s">
        <v>2774</v>
      </c>
      <c r="K572" s="4" t="s">
        <v>2775</v>
      </c>
      <c r="L572" s="4">
        <v>46216626</v>
      </c>
      <c r="M572" s="4"/>
    </row>
    <row r="573" spans="1:13" ht="15" customHeight="1">
      <c r="A573" s="4" t="s">
        <v>2776</v>
      </c>
      <c r="B573" s="4" t="s">
        <v>2777</v>
      </c>
      <c r="C573" s="4" t="s">
        <v>265</v>
      </c>
      <c r="D573" s="18"/>
      <c r="E573" s="18">
        <v>0</v>
      </c>
      <c r="F573" s="18">
        <v>0</v>
      </c>
      <c r="G573" s="4" t="s">
        <v>2778</v>
      </c>
      <c r="H573" s="4" t="s">
        <v>2779</v>
      </c>
      <c r="I573" s="5">
        <v>9</v>
      </c>
      <c r="J573" s="4"/>
      <c r="K573" s="4"/>
      <c r="L573" s="4">
        <v>5379194</v>
      </c>
      <c r="M573" s="4"/>
    </row>
    <row r="574" spans="1:13" ht="15" customHeight="1">
      <c r="A574" s="4" t="s">
        <v>2780</v>
      </c>
      <c r="B574" s="4" t="s">
        <v>2781</v>
      </c>
      <c r="C574" s="4" t="s">
        <v>265</v>
      </c>
      <c r="D574" s="18"/>
      <c r="E574" s="18">
        <v>0</v>
      </c>
      <c r="F574" s="18">
        <v>0</v>
      </c>
      <c r="G574" s="4" t="s">
        <v>2782</v>
      </c>
      <c r="H574" s="4" t="s">
        <v>2783</v>
      </c>
      <c r="I574" s="5">
        <v>1569</v>
      </c>
      <c r="J574" s="4"/>
      <c r="K574" s="4" t="s">
        <v>2784</v>
      </c>
      <c r="L574" s="4">
        <v>385518187</v>
      </c>
      <c r="M574" s="4"/>
    </row>
    <row r="575" spans="1:13" ht="15" customHeight="1">
      <c r="A575" s="4" t="s">
        <v>2785</v>
      </c>
      <c r="B575" s="4" t="s">
        <v>1235</v>
      </c>
      <c r="C575" s="4" t="s">
        <v>2786</v>
      </c>
      <c r="D575" s="18"/>
      <c r="E575" s="18">
        <v>0</v>
      </c>
      <c r="F575" s="18">
        <v>0</v>
      </c>
      <c r="G575" s="7" t="s">
        <v>2787</v>
      </c>
      <c r="H575" s="7" t="s">
        <v>2788</v>
      </c>
      <c r="I575" s="5">
        <v>16530</v>
      </c>
      <c r="J575" s="4"/>
      <c r="K575" s="4" t="s">
        <v>1235</v>
      </c>
      <c r="L575" s="4">
        <v>2168365576</v>
      </c>
      <c r="M575" s="4" t="s">
        <v>2789</v>
      </c>
    </row>
    <row r="576" spans="1:13" ht="15" customHeight="1">
      <c r="A576" s="4" t="s">
        <v>2790</v>
      </c>
      <c r="B576" s="4" t="s">
        <v>2791</v>
      </c>
      <c r="C576" s="4" t="s">
        <v>2792</v>
      </c>
      <c r="D576" s="18"/>
      <c r="E576" s="18">
        <v>0</v>
      </c>
      <c r="F576" s="18">
        <v>0</v>
      </c>
      <c r="G576" s="4" t="s">
        <v>2793</v>
      </c>
      <c r="H576" s="4" t="s">
        <v>2794</v>
      </c>
      <c r="I576" s="5">
        <v>4</v>
      </c>
      <c r="J576" s="4"/>
      <c r="K576" s="4" t="s">
        <v>2795</v>
      </c>
      <c r="L576" s="4">
        <v>931440</v>
      </c>
      <c r="M576" s="4"/>
    </row>
    <row r="577" spans="1:13" ht="15" customHeight="1">
      <c r="A577" s="4" t="s">
        <v>2796</v>
      </c>
      <c r="B577" s="4" t="s">
        <v>2797</v>
      </c>
      <c r="C577" s="4" t="s">
        <v>2798</v>
      </c>
      <c r="D577" s="18"/>
      <c r="E577" s="18">
        <v>0</v>
      </c>
      <c r="F577" s="18">
        <v>0</v>
      </c>
      <c r="G577" s="4" t="s">
        <v>2799</v>
      </c>
      <c r="H577" s="4" t="s">
        <v>2800</v>
      </c>
      <c r="I577" s="5">
        <v>10</v>
      </c>
      <c r="J577" s="4"/>
      <c r="K577" s="4" t="s">
        <v>2801</v>
      </c>
      <c r="L577" s="4">
        <v>1731390</v>
      </c>
      <c r="M577" s="4"/>
    </row>
    <row r="578" spans="1:13" ht="15" customHeight="1">
      <c r="A578" s="4" t="s">
        <v>2802</v>
      </c>
      <c r="B578" s="4" t="s">
        <v>2803</v>
      </c>
      <c r="C578" s="4" t="s">
        <v>650</v>
      </c>
      <c r="D578" s="18"/>
      <c r="E578" s="18">
        <v>0</v>
      </c>
      <c r="F578" s="18">
        <v>0</v>
      </c>
      <c r="G578" s="4" t="s">
        <v>2804</v>
      </c>
      <c r="H578" s="4" t="s">
        <v>2805</v>
      </c>
      <c r="I578" s="5">
        <v>335</v>
      </c>
      <c r="J578" s="4" t="s">
        <v>2806</v>
      </c>
      <c r="K578" s="4" t="s">
        <v>2807</v>
      </c>
      <c r="L578" s="4">
        <v>120843470</v>
      </c>
      <c r="M578" s="4"/>
    </row>
    <row r="579" spans="1:13" ht="15" customHeight="1">
      <c r="A579" s="4" t="s">
        <v>2808</v>
      </c>
      <c r="B579" s="4" t="s">
        <v>2809</v>
      </c>
      <c r="C579" s="4" t="s">
        <v>721</v>
      </c>
      <c r="D579" s="18"/>
      <c r="E579" s="18">
        <v>733</v>
      </c>
      <c r="F579" s="18">
        <v>143</v>
      </c>
      <c r="G579" s="4" t="s">
        <v>2810</v>
      </c>
      <c r="H579" s="4" t="s">
        <v>2811</v>
      </c>
      <c r="I579" s="5">
        <v>132</v>
      </c>
      <c r="J579" s="4"/>
      <c r="K579" s="4" t="s">
        <v>2812</v>
      </c>
      <c r="L579" s="4">
        <v>124838940</v>
      </c>
      <c r="M579" s="4"/>
    </row>
    <row r="580" spans="1:13" ht="15" customHeight="1">
      <c r="A580" s="4" t="s">
        <v>2813</v>
      </c>
      <c r="B580" s="4" t="s">
        <v>2814</v>
      </c>
      <c r="C580" s="4" t="s">
        <v>2272</v>
      </c>
      <c r="D580" s="18"/>
      <c r="E580" s="18">
        <v>0</v>
      </c>
      <c r="F580" s="18">
        <v>0</v>
      </c>
      <c r="G580" s="4" t="s">
        <v>2815</v>
      </c>
      <c r="H580" s="4" t="s">
        <v>2816</v>
      </c>
      <c r="I580" s="5">
        <v>24</v>
      </c>
      <c r="J580" s="4"/>
      <c r="K580" s="4" t="s">
        <v>2817</v>
      </c>
      <c r="L580" s="4">
        <v>16479947</v>
      </c>
      <c r="M580" s="4"/>
    </row>
    <row r="581" spans="1:13" ht="15" customHeight="1">
      <c r="A581" s="4" t="s">
        <v>2818</v>
      </c>
      <c r="B581" s="4" t="s">
        <v>2819</v>
      </c>
      <c r="C581" s="4" t="s">
        <v>2820</v>
      </c>
      <c r="D581" s="18"/>
      <c r="E581" s="18">
        <v>0</v>
      </c>
      <c r="F581" s="18">
        <v>0</v>
      </c>
      <c r="G581" s="4" t="s">
        <v>2821</v>
      </c>
      <c r="H581" s="4" t="s">
        <v>2822</v>
      </c>
      <c r="I581" s="5">
        <v>17</v>
      </c>
      <c r="J581" s="4"/>
      <c r="K581" s="4" t="s">
        <v>2823</v>
      </c>
      <c r="L581" s="4">
        <v>2181437</v>
      </c>
      <c r="M581" s="4"/>
    </row>
    <row r="582" spans="1:13" ht="15" customHeight="1">
      <c r="A582" s="4" t="s">
        <v>2824</v>
      </c>
      <c r="B582" s="4" t="s">
        <v>2825</v>
      </c>
      <c r="C582" s="4" t="s">
        <v>493</v>
      </c>
      <c r="D582" s="18"/>
      <c r="E582" s="18">
        <v>22741</v>
      </c>
      <c r="F582" s="18">
        <v>4681</v>
      </c>
      <c r="G582" s="4" t="s">
        <v>2826</v>
      </c>
      <c r="H582" s="4"/>
      <c r="I582" s="5">
        <v>518</v>
      </c>
      <c r="J582" s="4" t="s">
        <v>2825</v>
      </c>
      <c r="K582" s="4" t="s">
        <v>2825</v>
      </c>
      <c r="L582" s="4">
        <v>179916692</v>
      </c>
      <c r="M582" s="4" t="s">
        <v>1224</v>
      </c>
    </row>
    <row r="583" spans="1:13" ht="15" customHeight="1">
      <c r="A583" s="4" t="s">
        <v>2827</v>
      </c>
      <c r="B583" s="4" t="s">
        <v>2828</v>
      </c>
      <c r="C583" s="4" t="s">
        <v>434</v>
      </c>
      <c r="D583" s="18"/>
      <c r="E583" s="18">
        <v>0</v>
      </c>
      <c r="F583" s="18">
        <v>0</v>
      </c>
      <c r="G583" s="4" t="s">
        <v>2829</v>
      </c>
      <c r="H583" s="4" t="s">
        <v>2830</v>
      </c>
      <c r="I583" s="5">
        <v>83</v>
      </c>
      <c r="J583" s="4"/>
      <c r="K583" s="4"/>
      <c r="L583" s="4">
        <v>39935600</v>
      </c>
      <c r="M583" s="4"/>
    </row>
    <row r="584" spans="1:13" ht="15" customHeight="1">
      <c r="A584" s="4" t="s">
        <v>2831</v>
      </c>
      <c r="B584" s="4" t="s">
        <v>2832</v>
      </c>
      <c r="C584" s="4" t="s">
        <v>2833</v>
      </c>
      <c r="D584" s="18"/>
      <c r="E584" s="18">
        <v>0</v>
      </c>
      <c r="F584" s="18">
        <v>0</v>
      </c>
      <c r="G584" s="4" t="s">
        <v>2834</v>
      </c>
      <c r="H584" s="4" t="s">
        <v>2835</v>
      </c>
      <c r="I584" s="5">
        <v>1016</v>
      </c>
      <c r="J584" s="4"/>
      <c r="K584" s="4" t="s">
        <v>2836</v>
      </c>
      <c r="L584" s="4">
        <v>69264377</v>
      </c>
      <c r="M584" s="4"/>
    </row>
    <row r="585" spans="1:13" ht="15" customHeight="1">
      <c r="A585" s="4" t="s">
        <v>2837</v>
      </c>
      <c r="B585" s="4" t="s">
        <v>2838</v>
      </c>
      <c r="C585" s="4" t="s">
        <v>541</v>
      </c>
      <c r="D585" s="18"/>
      <c r="E585" s="18">
        <v>0</v>
      </c>
      <c r="F585" s="18">
        <v>0</v>
      </c>
      <c r="G585" s="4" t="s">
        <v>2839</v>
      </c>
      <c r="H585" s="4" t="s">
        <v>2840</v>
      </c>
      <c r="I585" s="5">
        <v>218</v>
      </c>
      <c r="J585" s="4"/>
      <c r="K585" s="4" t="s">
        <v>2841</v>
      </c>
      <c r="L585" s="4">
        <v>135606370</v>
      </c>
      <c r="M585" s="4"/>
    </row>
    <row r="586" spans="1:13" ht="15" customHeight="1">
      <c r="A586" s="4" t="s">
        <v>2842</v>
      </c>
      <c r="B586" s="4" t="s">
        <v>2843</v>
      </c>
      <c r="C586" s="4" t="s">
        <v>131</v>
      </c>
      <c r="D586" s="18"/>
      <c r="E586" s="18">
        <v>0</v>
      </c>
      <c r="F586" s="18">
        <v>0</v>
      </c>
      <c r="G586" s="4" t="s">
        <v>2844</v>
      </c>
      <c r="H586" s="4" t="s">
        <v>2845</v>
      </c>
      <c r="I586" s="5">
        <v>0</v>
      </c>
      <c r="J586" s="4"/>
      <c r="K586" s="4" t="s">
        <v>2846</v>
      </c>
      <c r="L586" s="4">
        <v>1919723</v>
      </c>
      <c r="M586" s="4"/>
    </row>
    <row r="587" spans="1:13" ht="15" customHeight="1">
      <c r="A587" s="4" t="s">
        <v>2847</v>
      </c>
      <c r="B587" s="4" t="s">
        <v>2848</v>
      </c>
      <c r="C587" s="4" t="s">
        <v>2849</v>
      </c>
      <c r="D587" s="18"/>
      <c r="E587" s="18">
        <v>0</v>
      </c>
      <c r="F587" s="18">
        <v>0</v>
      </c>
      <c r="G587" s="4" t="s">
        <v>2850</v>
      </c>
      <c r="H587" s="4" t="s">
        <v>2851</v>
      </c>
      <c r="I587" s="5">
        <v>0</v>
      </c>
      <c r="J587" s="4"/>
      <c r="K587" s="4" t="s">
        <v>2848</v>
      </c>
      <c r="L587" s="4">
        <v>46506</v>
      </c>
      <c r="M587" s="4"/>
    </row>
    <row r="588" spans="1:13" ht="15" customHeight="1">
      <c r="A588" s="4" t="s">
        <v>2852</v>
      </c>
      <c r="B588" s="4" t="s">
        <v>2853</v>
      </c>
      <c r="C588" s="4" t="s">
        <v>227</v>
      </c>
      <c r="D588" s="18"/>
      <c r="E588" s="18">
        <v>0</v>
      </c>
      <c r="F588" s="18">
        <v>0</v>
      </c>
      <c r="G588" s="4" t="s">
        <v>2854</v>
      </c>
      <c r="H588" s="4" t="s">
        <v>2855</v>
      </c>
      <c r="I588" s="5">
        <v>14</v>
      </c>
      <c r="J588" s="4" t="s">
        <v>2856</v>
      </c>
      <c r="K588" s="4" t="s">
        <v>2857</v>
      </c>
      <c r="L588" s="4">
        <v>10421588</v>
      </c>
      <c r="M588" s="4"/>
    </row>
    <row r="589" spans="1:13" ht="15" customHeight="1">
      <c r="A589" s="4" t="s">
        <v>2858</v>
      </c>
      <c r="B589" s="4" t="s">
        <v>2859</v>
      </c>
      <c r="C589" s="4" t="s">
        <v>2860</v>
      </c>
      <c r="D589" s="18"/>
      <c r="E589" s="18">
        <v>0</v>
      </c>
      <c r="F589" s="18">
        <v>0</v>
      </c>
      <c r="G589" s="4" t="s">
        <v>2861</v>
      </c>
      <c r="H589" s="4" t="s">
        <v>2862</v>
      </c>
      <c r="I589" s="5">
        <v>274</v>
      </c>
      <c r="J589" s="4" t="s">
        <v>2863</v>
      </c>
      <c r="K589" s="4" t="s">
        <v>2864</v>
      </c>
      <c r="L589" s="4">
        <v>106409525</v>
      </c>
      <c r="M589" s="4"/>
    </row>
    <row r="590" spans="1:13" ht="15" customHeight="1">
      <c r="A590" s="4" t="s">
        <v>2865</v>
      </c>
      <c r="B590" s="4" t="s">
        <v>2866</v>
      </c>
      <c r="C590" s="4" t="s">
        <v>2867</v>
      </c>
      <c r="D590" s="18"/>
      <c r="E590" s="18">
        <v>0</v>
      </c>
      <c r="F590" s="18">
        <v>0</v>
      </c>
      <c r="G590" s="4" t="s">
        <v>2868</v>
      </c>
      <c r="H590" s="4" t="s">
        <v>2869</v>
      </c>
      <c r="I590" s="5">
        <v>2536</v>
      </c>
      <c r="J590" s="4" t="s">
        <v>2870</v>
      </c>
      <c r="K590" s="4" t="s">
        <v>2871</v>
      </c>
      <c r="L590" s="4">
        <v>692439138</v>
      </c>
      <c r="M590" s="4" t="s">
        <v>431</v>
      </c>
    </row>
    <row r="591" spans="1:13" ht="15" customHeight="1">
      <c r="A591" s="4" t="s">
        <v>2872</v>
      </c>
      <c r="B591" s="4" t="s">
        <v>2873</v>
      </c>
      <c r="C591" s="4" t="s">
        <v>2874</v>
      </c>
      <c r="D591" s="18"/>
      <c r="E591" s="18">
        <v>48</v>
      </c>
      <c r="F591" s="18">
        <v>14</v>
      </c>
      <c r="G591" s="4" t="s">
        <v>2875</v>
      </c>
      <c r="H591" s="4" t="s">
        <v>2876</v>
      </c>
      <c r="I591" s="5">
        <v>160</v>
      </c>
      <c r="J591" s="4" t="s">
        <v>2877</v>
      </c>
      <c r="K591" s="4" t="s">
        <v>1287</v>
      </c>
      <c r="L591" s="4">
        <v>198418847</v>
      </c>
      <c r="M591" s="4"/>
    </row>
    <row r="592" spans="1:13" ht="15" customHeight="1">
      <c r="A592" s="4" t="s">
        <v>2878</v>
      </c>
      <c r="B592" s="4" t="s">
        <v>2879</v>
      </c>
      <c r="C592" s="4" t="s">
        <v>395</v>
      </c>
      <c r="D592" s="18"/>
      <c r="E592" s="18">
        <v>0</v>
      </c>
      <c r="F592" s="18">
        <v>0</v>
      </c>
      <c r="G592" s="4" t="s">
        <v>2880</v>
      </c>
      <c r="H592" s="4" t="s">
        <v>2881</v>
      </c>
      <c r="I592" s="5">
        <v>258</v>
      </c>
      <c r="J592" s="4"/>
      <c r="K592" s="4" t="s">
        <v>2882</v>
      </c>
      <c r="L592" s="4">
        <v>81450082</v>
      </c>
      <c r="M592" s="4"/>
    </row>
    <row r="593" spans="1:13" ht="15" customHeight="1">
      <c r="A593" s="4" t="s">
        <v>2883</v>
      </c>
      <c r="B593" s="4" t="s">
        <v>2884</v>
      </c>
      <c r="C593" s="4" t="s">
        <v>776</v>
      </c>
      <c r="D593" s="18"/>
      <c r="E593" s="18">
        <v>0</v>
      </c>
      <c r="F593" s="18">
        <v>0</v>
      </c>
      <c r="G593" s="4" t="s">
        <v>2885</v>
      </c>
      <c r="H593" s="4" t="s">
        <v>2886</v>
      </c>
      <c r="I593" s="5">
        <v>74</v>
      </c>
      <c r="J593" s="4" t="s">
        <v>2887</v>
      </c>
      <c r="K593" s="4" t="s">
        <v>2888</v>
      </c>
      <c r="L593" s="4">
        <v>55072286</v>
      </c>
      <c r="M593" s="4"/>
    </row>
    <row r="594" spans="1:13" ht="15" customHeight="1">
      <c r="A594" s="4" t="s">
        <v>2889</v>
      </c>
      <c r="B594" s="4" t="s">
        <v>2890</v>
      </c>
      <c r="C594" s="4" t="s">
        <v>776</v>
      </c>
      <c r="D594" s="18"/>
      <c r="E594" s="18">
        <v>0</v>
      </c>
      <c r="F594" s="18">
        <v>0</v>
      </c>
      <c r="G594" s="4" t="s">
        <v>2891</v>
      </c>
      <c r="H594" s="4" t="s">
        <v>2892</v>
      </c>
      <c r="I594" s="5">
        <v>198</v>
      </c>
      <c r="J594" s="4"/>
      <c r="K594" s="4" t="s">
        <v>2893</v>
      </c>
      <c r="L594" s="4">
        <v>57820423</v>
      </c>
      <c r="M594" s="4"/>
    </row>
    <row r="595" spans="1:13" ht="15" customHeight="1">
      <c r="A595" s="4" t="s">
        <v>2894</v>
      </c>
      <c r="B595" s="4" t="s">
        <v>1388</v>
      </c>
      <c r="C595" s="4" t="s">
        <v>1389</v>
      </c>
      <c r="D595" s="18"/>
      <c r="E595" s="18">
        <v>0</v>
      </c>
      <c r="F595" s="18">
        <v>0</v>
      </c>
      <c r="G595" s="4" t="s">
        <v>2895</v>
      </c>
      <c r="H595" s="4" t="s">
        <v>2896</v>
      </c>
      <c r="I595" s="5">
        <v>7</v>
      </c>
      <c r="J595" s="4"/>
      <c r="K595" s="4" t="s">
        <v>2897</v>
      </c>
      <c r="L595" s="4">
        <v>3793203</v>
      </c>
      <c r="M595" s="4"/>
    </row>
    <row r="596" spans="1:13" ht="15" customHeight="1">
      <c r="A596" s="4" t="s">
        <v>2898</v>
      </c>
      <c r="B596" s="4" t="s">
        <v>2899</v>
      </c>
      <c r="C596" s="4" t="s">
        <v>2900</v>
      </c>
      <c r="D596" s="18"/>
      <c r="E596" s="18">
        <v>0</v>
      </c>
      <c r="F596" s="18">
        <v>0</v>
      </c>
      <c r="G596" s="4" t="s">
        <v>2901</v>
      </c>
      <c r="H596" s="4"/>
      <c r="I596" s="5">
        <v>1972</v>
      </c>
      <c r="J596" s="4" t="s">
        <v>2902</v>
      </c>
      <c r="K596" s="4" t="s">
        <v>2899</v>
      </c>
      <c r="L596" s="4">
        <v>332489144</v>
      </c>
      <c r="M596" s="4"/>
    </row>
    <row r="597" spans="1:13" ht="15" customHeight="1">
      <c r="A597" s="4" t="s">
        <v>2903</v>
      </c>
      <c r="B597" s="4" t="s">
        <v>2576</v>
      </c>
      <c r="C597" s="4" t="s">
        <v>2577</v>
      </c>
      <c r="D597" s="18"/>
      <c r="E597" s="18">
        <v>0</v>
      </c>
      <c r="F597" s="18">
        <v>0</v>
      </c>
      <c r="G597" s="4" t="s">
        <v>2904</v>
      </c>
      <c r="H597" s="4" t="s">
        <v>2905</v>
      </c>
      <c r="I597" s="5">
        <v>0</v>
      </c>
      <c r="J597" s="4"/>
      <c r="K597" s="4" t="s">
        <v>2906</v>
      </c>
      <c r="L597" s="4">
        <v>1982892</v>
      </c>
      <c r="M597" s="4"/>
    </row>
    <row r="598" spans="1:13" ht="15" customHeight="1">
      <c r="A598" s="4" t="s">
        <v>2907</v>
      </c>
      <c r="B598" s="4" t="s">
        <v>2908</v>
      </c>
      <c r="C598" s="4" t="s">
        <v>1372</v>
      </c>
      <c r="D598" s="18"/>
      <c r="E598" s="18">
        <v>0</v>
      </c>
      <c r="F598" s="18">
        <v>0</v>
      </c>
      <c r="G598" s="4" t="s">
        <v>2909</v>
      </c>
      <c r="H598" s="4" t="s">
        <v>2910</v>
      </c>
      <c r="I598" s="5">
        <v>0</v>
      </c>
      <c r="J598" s="4"/>
      <c r="K598" s="4" t="s">
        <v>1928</v>
      </c>
      <c r="L598" s="4">
        <v>180267</v>
      </c>
      <c r="M598" s="4"/>
    </row>
    <row r="599" spans="1:13" ht="15" customHeight="1">
      <c r="A599" s="4" t="s">
        <v>2911</v>
      </c>
      <c r="B599" s="4" t="s">
        <v>2912</v>
      </c>
      <c r="C599" s="4" t="s">
        <v>935</v>
      </c>
      <c r="D599" s="18"/>
      <c r="E599" s="18">
        <v>0</v>
      </c>
      <c r="F599" s="18">
        <v>0</v>
      </c>
      <c r="G599" s="4" t="s">
        <v>2913</v>
      </c>
      <c r="H599" s="4" t="s">
        <v>2914</v>
      </c>
      <c r="I599" s="5">
        <v>473</v>
      </c>
      <c r="J599" s="4" t="s">
        <v>2915</v>
      </c>
      <c r="K599" s="4" t="s">
        <v>2912</v>
      </c>
      <c r="L599" s="4">
        <v>13389458</v>
      </c>
      <c r="M599" s="4"/>
    </row>
    <row r="600" spans="1:13" ht="15" customHeight="1">
      <c r="A600" s="4" t="s">
        <v>2916</v>
      </c>
      <c r="B600" s="4" t="s">
        <v>1357</v>
      </c>
      <c r="C600" s="4" t="s">
        <v>2272</v>
      </c>
      <c r="D600" s="18"/>
      <c r="E600" s="18">
        <v>0</v>
      </c>
      <c r="F600" s="18">
        <v>0</v>
      </c>
      <c r="G600" s="4" t="s">
        <v>2917</v>
      </c>
      <c r="H600" s="4" t="s">
        <v>2918</v>
      </c>
      <c r="I600" s="5">
        <v>209</v>
      </c>
      <c r="J600" s="4"/>
      <c r="K600" s="4" t="s">
        <v>2919</v>
      </c>
      <c r="L600" s="4">
        <v>808497193</v>
      </c>
      <c r="M600" s="4"/>
    </row>
    <row r="601" spans="1:13" ht="15" customHeight="1">
      <c r="A601" s="4" t="s">
        <v>2920</v>
      </c>
      <c r="B601" s="4" t="s">
        <v>2921</v>
      </c>
      <c r="C601" s="4" t="s">
        <v>2437</v>
      </c>
      <c r="D601" s="18"/>
      <c r="E601" s="18">
        <v>0</v>
      </c>
      <c r="F601" s="18">
        <v>0</v>
      </c>
      <c r="G601" s="4" t="s">
        <v>2922</v>
      </c>
      <c r="H601" s="4" t="s">
        <v>2923</v>
      </c>
      <c r="I601" s="5">
        <v>97</v>
      </c>
      <c r="J601" s="4" t="s">
        <v>2924</v>
      </c>
      <c r="K601" s="4" t="s">
        <v>2925</v>
      </c>
      <c r="L601" s="4">
        <v>69541837</v>
      </c>
      <c r="M601" s="4"/>
    </row>
    <row r="602" spans="1:13" ht="15" customHeight="1">
      <c r="A602" s="4" t="s">
        <v>2926</v>
      </c>
      <c r="B602" s="4" t="s">
        <v>2927</v>
      </c>
      <c r="C602" s="4" t="s">
        <v>1351</v>
      </c>
      <c r="D602" s="18"/>
      <c r="E602" s="18">
        <v>0</v>
      </c>
      <c r="F602" s="18">
        <v>0</v>
      </c>
      <c r="G602" s="4" t="s">
        <v>2928</v>
      </c>
      <c r="H602" s="4" t="s">
        <v>2929</v>
      </c>
      <c r="I602" s="5">
        <v>282</v>
      </c>
      <c r="J602" s="4" t="s">
        <v>2930</v>
      </c>
      <c r="K602" s="4" t="s">
        <v>2927</v>
      </c>
      <c r="L602" s="4">
        <v>74412849</v>
      </c>
      <c r="M602" s="4"/>
    </row>
    <row r="603" spans="1:13" ht="15" customHeight="1">
      <c r="A603" s="4" t="s">
        <v>2931</v>
      </c>
      <c r="B603" s="4" t="s">
        <v>2932</v>
      </c>
      <c r="C603" s="4" t="s">
        <v>2933</v>
      </c>
      <c r="D603" s="18"/>
      <c r="E603" s="18">
        <v>0</v>
      </c>
      <c r="F603" s="18">
        <v>0</v>
      </c>
      <c r="G603" s="4" t="s">
        <v>2934</v>
      </c>
      <c r="H603" s="4" t="s">
        <v>2935</v>
      </c>
      <c r="I603" s="5">
        <v>496</v>
      </c>
      <c r="J603" s="4"/>
      <c r="K603" s="4" t="s">
        <v>2936</v>
      </c>
      <c r="L603" s="4">
        <v>97718337</v>
      </c>
      <c r="M603" s="4"/>
    </row>
    <row r="604" spans="1:13" ht="15" customHeight="1">
      <c r="A604" s="4" t="s">
        <v>2937</v>
      </c>
      <c r="B604" s="4" t="s">
        <v>2938</v>
      </c>
      <c r="C604" s="4" t="s">
        <v>2939</v>
      </c>
      <c r="D604" s="18"/>
      <c r="E604" s="18">
        <v>0</v>
      </c>
      <c r="F604" s="18">
        <v>0</v>
      </c>
      <c r="G604" s="4" t="s">
        <v>2940</v>
      </c>
      <c r="H604" s="4" t="s">
        <v>2941</v>
      </c>
      <c r="I604" s="5">
        <v>347</v>
      </c>
      <c r="J604" s="4" t="s">
        <v>2942</v>
      </c>
      <c r="K604" s="4" t="s">
        <v>2943</v>
      </c>
      <c r="L604" s="4">
        <v>180632224</v>
      </c>
      <c r="M604" s="4"/>
    </row>
    <row r="605" spans="1:13" ht="15" customHeight="1">
      <c r="A605" s="4" t="s">
        <v>2944</v>
      </c>
      <c r="B605" s="4" t="s">
        <v>2945</v>
      </c>
      <c r="C605" s="4" t="s">
        <v>2946</v>
      </c>
      <c r="D605" s="18"/>
      <c r="E605" s="18">
        <v>0</v>
      </c>
      <c r="F605" s="18">
        <v>0</v>
      </c>
      <c r="G605" s="4" t="s">
        <v>2947</v>
      </c>
      <c r="H605" s="4" t="s">
        <v>2948</v>
      </c>
      <c r="I605" s="5">
        <v>340</v>
      </c>
      <c r="J605" s="4"/>
      <c r="K605" s="4" t="s">
        <v>2949</v>
      </c>
      <c r="L605" s="4">
        <v>76937271</v>
      </c>
      <c r="M605" s="4"/>
    </row>
    <row r="606" spans="1:13" ht="15" customHeight="1">
      <c r="A606" s="4" t="s">
        <v>2950</v>
      </c>
      <c r="B606" s="4" t="s">
        <v>2951</v>
      </c>
      <c r="C606" s="4" t="s">
        <v>742</v>
      </c>
      <c r="D606" s="18"/>
      <c r="E606" s="18">
        <v>0</v>
      </c>
      <c r="F606" s="18">
        <v>0</v>
      </c>
      <c r="G606" s="4" t="s">
        <v>2952</v>
      </c>
      <c r="H606" s="4" t="s">
        <v>2953</v>
      </c>
      <c r="I606" s="5">
        <v>11</v>
      </c>
      <c r="J606" s="4"/>
      <c r="K606" s="4" t="s">
        <v>1741</v>
      </c>
      <c r="L606" s="4">
        <v>11935303</v>
      </c>
      <c r="M606" s="4"/>
    </row>
    <row r="607" spans="1:13" ht="15" customHeight="1">
      <c r="A607" s="4" t="s">
        <v>2954</v>
      </c>
      <c r="B607" s="4" t="s">
        <v>1394</v>
      </c>
      <c r="C607" s="4" t="s">
        <v>679</v>
      </c>
      <c r="D607" s="18"/>
      <c r="E607" s="18">
        <v>0</v>
      </c>
      <c r="F607" s="18">
        <v>0</v>
      </c>
      <c r="G607" s="4" t="s">
        <v>2955</v>
      </c>
      <c r="H607" s="4" t="s">
        <v>2956</v>
      </c>
      <c r="I607" s="5">
        <v>2</v>
      </c>
      <c r="J607" s="4"/>
      <c r="K607" s="4" t="s">
        <v>2957</v>
      </c>
      <c r="L607" s="4">
        <v>518151</v>
      </c>
      <c r="M607" s="4"/>
    </row>
    <row r="608" spans="1:13" ht="15" customHeight="1">
      <c r="A608" s="4" t="s">
        <v>2958</v>
      </c>
      <c r="B608" s="4" t="s">
        <v>2959</v>
      </c>
      <c r="C608" s="4" t="s">
        <v>2960</v>
      </c>
      <c r="D608" s="18"/>
      <c r="E608" s="18">
        <v>0</v>
      </c>
      <c r="F608" s="18">
        <v>0</v>
      </c>
      <c r="G608" s="4" t="s">
        <v>2961</v>
      </c>
      <c r="H608" s="4" t="s">
        <v>2962</v>
      </c>
      <c r="I608" s="5">
        <v>44</v>
      </c>
      <c r="J608" s="4"/>
      <c r="K608" s="4" t="s">
        <v>2963</v>
      </c>
      <c r="L608" s="4">
        <v>16138143</v>
      </c>
      <c r="M608" s="4"/>
    </row>
    <row r="609" spans="1:13" ht="15" customHeight="1">
      <c r="A609" s="4" t="s">
        <v>2964</v>
      </c>
      <c r="B609" s="4" t="s">
        <v>220</v>
      </c>
      <c r="C609" s="4" t="s">
        <v>221</v>
      </c>
      <c r="D609" s="18"/>
      <c r="E609" s="18">
        <v>0</v>
      </c>
      <c r="F609" s="18">
        <v>0</v>
      </c>
      <c r="G609" s="4" t="s">
        <v>2965</v>
      </c>
      <c r="H609" s="4"/>
      <c r="I609" s="5">
        <v>0</v>
      </c>
      <c r="J609" s="4"/>
      <c r="K609" s="4" t="s">
        <v>2966</v>
      </c>
      <c r="L609" s="4">
        <v>323292</v>
      </c>
      <c r="M609" s="4"/>
    </row>
    <row r="610" spans="1:13" ht="15" customHeight="1">
      <c r="A610" s="4" t="s">
        <v>2967</v>
      </c>
      <c r="B610" s="4" t="s">
        <v>2968</v>
      </c>
      <c r="C610" s="4" t="s">
        <v>2969</v>
      </c>
      <c r="D610" s="18"/>
      <c r="E610" s="18">
        <v>0</v>
      </c>
      <c r="F610" s="18">
        <v>0</v>
      </c>
      <c r="G610" s="4" t="s">
        <v>2970</v>
      </c>
      <c r="H610" s="4" t="s">
        <v>2971</v>
      </c>
      <c r="I610" s="5">
        <v>2045</v>
      </c>
      <c r="J610" s="4"/>
      <c r="K610" s="4" t="s">
        <v>2972</v>
      </c>
      <c r="L610" s="4">
        <v>250489326</v>
      </c>
      <c r="M610" s="4" t="s">
        <v>1224</v>
      </c>
    </row>
    <row r="611" spans="1:13" ht="15" customHeight="1">
      <c r="A611" s="4" t="s">
        <v>2973</v>
      </c>
      <c r="B611" s="4" t="s">
        <v>2974</v>
      </c>
      <c r="C611" s="4" t="s">
        <v>2975</v>
      </c>
      <c r="D611" s="18"/>
      <c r="E611" s="18">
        <v>0</v>
      </c>
      <c r="F611" s="18">
        <v>0</v>
      </c>
      <c r="G611" s="4" t="s">
        <v>2976</v>
      </c>
      <c r="H611" s="4"/>
      <c r="I611" s="5">
        <v>5</v>
      </c>
      <c r="J611" s="4"/>
      <c r="K611" s="4" t="s">
        <v>2977</v>
      </c>
      <c r="L611" s="4">
        <v>1157770</v>
      </c>
      <c r="M611" s="4"/>
    </row>
    <row r="612" spans="1:13" ht="15" customHeight="1">
      <c r="A612" s="4" t="s">
        <v>2978</v>
      </c>
      <c r="B612" s="4" t="s">
        <v>2979</v>
      </c>
      <c r="C612" s="4" t="s">
        <v>2980</v>
      </c>
      <c r="D612" s="18"/>
      <c r="E612" s="18">
        <v>0</v>
      </c>
      <c r="F612" s="18">
        <v>0</v>
      </c>
      <c r="G612" s="4" t="s">
        <v>2981</v>
      </c>
      <c r="H612" s="4" t="s">
        <v>2982</v>
      </c>
      <c r="I612" s="5">
        <v>1</v>
      </c>
      <c r="J612" s="4"/>
      <c r="K612" s="4" t="s">
        <v>2983</v>
      </c>
      <c r="L612" s="4">
        <v>324322</v>
      </c>
      <c r="M612" s="4"/>
    </row>
    <row r="613" spans="1:13" ht="15" customHeight="1">
      <c r="A613" s="4" t="s">
        <v>2984</v>
      </c>
      <c r="B613" s="4" t="s">
        <v>2985</v>
      </c>
      <c r="C613" s="4" t="s">
        <v>558</v>
      </c>
      <c r="D613" s="18"/>
      <c r="E613" s="18">
        <v>0</v>
      </c>
      <c r="F613" s="18">
        <v>0</v>
      </c>
      <c r="G613" s="4" t="s">
        <v>2986</v>
      </c>
      <c r="H613" s="4" t="s">
        <v>2987</v>
      </c>
      <c r="I613" s="5">
        <v>3</v>
      </c>
      <c r="J613" s="4" t="s">
        <v>2988</v>
      </c>
      <c r="K613" s="4" t="s">
        <v>2989</v>
      </c>
      <c r="L613" s="4">
        <v>1052310</v>
      </c>
      <c r="M613" s="4"/>
    </row>
    <row r="614" spans="1:13" ht="15" customHeight="1">
      <c r="A614" s="4" t="s">
        <v>2990</v>
      </c>
      <c r="B614" s="4" t="s">
        <v>2991</v>
      </c>
      <c r="C614" s="4" t="s">
        <v>2992</v>
      </c>
      <c r="D614" s="18"/>
      <c r="E614" s="18">
        <v>2</v>
      </c>
      <c r="F614" s="18">
        <v>1</v>
      </c>
      <c r="G614" s="4" t="s">
        <v>2993</v>
      </c>
      <c r="H614" s="4" t="s">
        <v>2994</v>
      </c>
      <c r="I614" s="5">
        <v>155</v>
      </c>
      <c r="J614" s="4"/>
      <c r="K614" s="4" t="s">
        <v>2995</v>
      </c>
      <c r="L614" s="4">
        <v>64805611</v>
      </c>
      <c r="M614" s="4"/>
    </row>
    <row r="615" spans="1:13" ht="15" customHeight="1">
      <c r="A615" s="4" t="s">
        <v>2996</v>
      </c>
      <c r="B615" s="4" t="s">
        <v>2088</v>
      </c>
      <c r="C615" s="4" t="s">
        <v>935</v>
      </c>
      <c r="D615" s="18"/>
      <c r="E615" s="18">
        <v>0</v>
      </c>
      <c r="F615" s="18">
        <v>0</v>
      </c>
      <c r="G615" s="4" t="s">
        <v>2997</v>
      </c>
      <c r="H615" s="4" t="s">
        <v>2998</v>
      </c>
      <c r="I615" s="5">
        <v>3295</v>
      </c>
      <c r="J615" s="4"/>
      <c r="K615" s="4" t="s">
        <v>2999</v>
      </c>
      <c r="L615" s="4">
        <v>132388811</v>
      </c>
      <c r="M615" s="4" t="s">
        <v>852</v>
      </c>
    </row>
    <row r="616" spans="1:13" ht="15" customHeight="1">
      <c r="A616" s="4" t="s">
        <v>3000</v>
      </c>
      <c r="B616" s="4" t="s">
        <v>2212</v>
      </c>
      <c r="C616" s="4" t="s">
        <v>2213</v>
      </c>
      <c r="D616" s="18"/>
      <c r="E616" s="18">
        <v>0</v>
      </c>
      <c r="F616" s="18">
        <v>0</v>
      </c>
      <c r="G616" s="4" t="s">
        <v>3001</v>
      </c>
      <c r="H616" s="4" t="s">
        <v>3002</v>
      </c>
      <c r="I616" s="5">
        <v>6</v>
      </c>
      <c r="J616" s="4"/>
      <c r="K616" s="4" t="s">
        <v>3003</v>
      </c>
      <c r="L616" s="4">
        <v>12745241</v>
      </c>
      <c r="M616" s="4"/>
    </row>
    <row r="617" spans="1:13" ht="15" customHeight="1">
      <c r="A617" s="4" t="s">
        <v>3004</v>
      </c>
      <c r="B617" s="4" t="s">
        <v>3005</v>
      </c>
      <c r="C617" s="4" t="s">
        <v>782</v>
      </c>
      <c r="D617" s="18"/>
      <c r="E617" s="18">
        <v>0</v>
      </c>
      <c r="F617" s="18">
        <v>0</v>
      </c>
      <c r="G617" s="4" t="s">
        <v>3006</v>
      </c>
      <c r="H617" s="4" t="s">
        <v>3007</v>
      </c>
      <c r="I617" s="5">
        <v>197</v>
      </c>
      <c r="J617" s="4"/>
      <c r="K617" s="4" t="s">
        <v>3008</v>
      </c>
      <c r="L617" s="4">
        <v>86858299</v>
      </c>
      <c r="M617" s="4"/>
    </row>
    <row r="618" spans="1:13" ht="15" customHeight="1">
      <c r="A618" s="4" t="s">
        <v>3009</v>
      </c>
      <c r="B618" s="4" t="s">
        <v>3010</v>
      </c>
      <c r="C618" s="4" t="s">
        <v>3011</v>
      </c>
      <c r="D618" s="18"/>
      <c r="E618" s="18">
        <v>0</v>
      </c>
      <c r="F618" s="18">
        <v>0</v>
      </c>
      <c r="G618" s="4" t="s">
        <v>3012</v>
      </c>
      <c r="H618" s="4" t="s">
        <v>3013</v>
      </c>
      <c r="I618" s="5">
        <v>10</v>
      </c>
      <c r="J618" s="4"/>
      <c r="K618" s="4" t="s">
        <v>3014</v>
      </c>
      <c r="L618" s="4">
        <v>753707</v>
      </c>
      <c r="M618" s="4"/>
    </row>
    <row r="619" spans="1:13" ht="15" customHeight="1">
      <c r="A619" s="4" t="s">
        <v>3015</v>
      </c>
      <c r="B619" s="4" t="s">
        <v>1944</v>
      </c>
      <c r="C619" s="4" t="s">
        <v>776</v>
      </c>
      <c r="D619" s="18"/>
      <c r="E619" s="18">
        <v>0</v>
      </c>
      <c r="F619" s="18">
        <v>0</v>
      </c>
      <c r="G619" s="4" t="s">
        <v>3016</v>
      </c>
      <c r="H619" s="4"/>
      <c r="I619" s="5">
        <v>0</v>
      </c>
      <c r="J619" s="4" t="s">
        <v>1944</v>
      </c>
      <c r="K619" s="4" t="s">
        <v>3017</v>
      </c>
      <c r="L619" s="4">
        <v>199023</v>
      </c>
      <c r="M619" s="4"/>
    </row>
    <row r="620" spans="1:13" ht="15" customHeight="1">
      <c r="A620" s="4" t="s">
        <v>3018</v>
      </c>
      <c r="B620" s="4" t="s">
        <v>3019</v>
      </c>
      <c r="C620" s="4" t="s">
        <v>742</v>
      </c>
      <c r="D620" s="18"/>
      <c r="E620" s="18">
        <v>0</v>
      </c>
      <c r="F620" s="18">
        <v>0</v>
      </c>
      <c r="G620" s="4" t="s">
        <v>3020</v>
      </c>
      <c r="H620" s="4" t="s">
        <v>3021</v>
      </c>
      <c r="I620" s="5">
        <v>353</v>
      </c>
      <c r="J620" s="4"/>
      <c r="K620" s="4" t="s">
        <v>3022</v>
      </c>
      <c r="L620" s="4">
        <v>101139915</v>
      </c>
      <c r="M620" s="4"/>
    </row>
    <row r="621" spans="1:13" ht="15" customHeight="1">
      <c r="A621" s="4" t="s">
        <v>3023</v>
      </c>
      <c r="B621" s="4" t="s">
        <v>3024</v>
      </c>
      <c r="C621" s="4" t="s">
        <v>3025</v>
      </c>
      <c r="D621" s="18"/>
      <c r="E621" s="18">
        <v>0</v>
      </c>
      <c r="F621" s="18">
        <v>0</v>
      </c>
      <c r="G621" s="4" t="s">
        <v>3026</v>
      </c>
      <c r="H621" s="4" t="s">
        <v>3027</v>
      </c>
      <c r="I621" s="5">
        <v>500</v>
      </c>
      <c r="J621" s="4"/>
      <c r="K621" s="4" t="s">
        <v>3028</v>
      </c>
      <c r="L621" s="4">
        <v>178826067</v>
      </c>
      <c r="M621" s="4"/>
    </row>
    <row r="622" spans="1:13" ht="15" customHeight="1">
      <c r="A622" s="4" t="s">
        <v>3029</v>
      </c>
      <c r="B622" s="4" t="s">
        <v>3030</v>
      </c>
      <c r="C622" s="4" t="s">
        <v>3031</v>
      </c>
      <c r="D622" s="18"/>
      <c r="E622" s="18">
        <v>0</v>
      </c>
      <c r="F622" s="18">
        <v>0</v>
      </c>
      <c r="G622" s="4" t="s">
        <v>3032</v>
      </c>
      <c r="H622" s="4" t="s">
        <v>3033</v>
      </c>
      <c r="I622" s="5">
        <v>2</v>
      </c>
      <c r="J622" s="4"/>
      <c r="K622" s="4" t="s">
        <v>3030</v>
      </c>
      <c r="L622" s="4">
        <v>738635</v>
      </c>
      <c r="M622" s="4"/>
    </row>
    <row r="623" spans="1:13" ht="15" customHeight="1">
      <c r="A623" s="4" t="s">
        <v>3034</v>
      </c>
      <c r="B623" s="4" t="s">
        <v>3035</v>
      </c>
      <c r="C623" s="4" t="s">
        <v>3036</v>
      </c>
      <c r="D623" s="18"/>
      <c r="E623" s="18">
        <v>0</v>
      </c>
      <c r="F623" s="18">
        <v>0</v>
      </c>
      <c r="G623" s="4" t="s">
        <v>3037</v>
      </c>
      <c r="H623" s="4" t="s">
        <v>3038</v>
      </c>
      <c r="I623" s="4">
        <v>236</v>
      </c>
      <c r="J623" s="4"/>
      <c r="K623" s="4" t="s">
        <v>3039</v>
      </c>
      <c r="L623" s="4">
        <v>26084115</v>
      </c>
      <c r="M623" s="4" t="s">
        <v>202</v>
      </c>
    </row>
    <row r="624" spans="1:13" ht="15" customHeight="1">
      <c r="A624" s="4" t="s">
        <v>3040</v>
      </c>
      <c r="B624" s="4" t="s">
        <v>3041</v>
      </c>
      <c r="C624" s="4" t="s">
        <v>131</v>
      </c>
      <c r="D624" s="18"/>
      <c r="E624" s="18">
        <v>0</v>
      </c>
      <c r="F624" s="18">
        <v>0</v>
      </c>
      <c r="G624" s="4" t="s">
        <v>3042</v>
      </c>
      <c r="H624" s="4" t="s">
        <v>3043</v>
      </c>
      <c r="I624" s="4">
        <v>0</v>
      </c>
      <c r="J624" s="4"/>
      <c r="K624" s="4" t="s">
        <v>3044</v>
      </c>
      <c r="L624" s="4">
        <v>493220</v>
      </c>
      <c r="M624" s="4"/>
    </row>
    <row r="625" spans="1:13" ht="15" customHeight="1">
      <c r="A625" s="4" t="s">
        <v>3045</v>
      </c>
      <c r="B625" s="4" t="s">
        <v>3046</v>
      </c>
      <c r="C625" s="4" t="s">
        <v>670</v>
      </c>
      <c r="D625" s="18"/>
      <c r="E625" s="18">
        <v>0</v>
      </c>
      <c r="F625" s="18">
        <v>0</v>
      </c>
      <c r="G625" s="4" t="s">
        <v>3047</v>
      </c>
      <c r="H625" s="4" t="s">
        <v>3048</v>
      </c>
      <c r="I625" s="4">
        <v>2</v>
      </c>
      <c r="J625" s="4"/>
      <c r="K625" s="4" t="s">
        <v>672</v>
      </c>
      <c r="L625" s="4">
        <v>482295</v>
      </c>
      <c r="M625" s="4"/>
    </row>
    <row r="626" spans="1:13" ht="15" customHeight="1">
      <c r="A626" s="4" t="s">
        <v>3049</v>
      </c>
      <c r="B626" s="4" t="s">
        <v>3050</v>
      </c>
      <c r="C626" s="4" t="s">
        <v>1744</v>
      </c>
      <c r="D626" s="18"/>
      <c r="E626" s="18">
        <v>0</v>
      </c>
      <c r="F626" s="18">
        <v>0</v>
      </c>
      <c r="G626" s="4" t="s">
        <v>3051</v>
      </c>
      <c r="H626" s="4" t="s">
        <v>3052</v>
      </c>
      <c r="I626" s="4">
        <v>669</v>
      </c>
      <c r="J626" s="4"/>
      <c r="K626" s="4" t="s">
        <v>3053</v>
      </c>
      <c r="L626" s="4">
        <v>188212415</v>
      </c>
      <c r="M626" s="4"/>
    </row>
    <row r="627" spans="1:13" ht="15" customHeight="1">
      <c r="A627" s="4" t="s">
        <v>3054</v>
      </c>
      <c r="B627" s="4" t="s">
        <v>3055</v>
      </c>
      <c r="C627" s="4" t="s">
        <v>131</v>
      </c>
      <c r="D627" s="18"/>
      <c r="E627" s="18">
        <v>0</v>
      </c>
      <c r="F627" s="18">
        <v>0</v>
      </c>
      <c r="G627" s="4" t="s">
        <v>3056</v>
      </c>
      <c r="H627" s="4" t="s">
        <v>3057</v>
      </c>
      <c r="I627" s="4">
        <v>3</v>
      </c>
      <c r="J627" s="4"/>
      <c r="K627" s="4" t="s">
        <v>752</v>
      </c>
      <c r="L627" s="4">
        <v>2380374</v>
      </c>
      <c r="M627" s="4"/>
    </row>
    <row r="628" spans="1:13" ht="15" customHeight="1">
      <c r="A628" s="4" t="s">
        <v>3058</v>
      </c>
      <c r="B628" s="4" t="s">
        <v>3059</v>
      </c>
      <c r="C628" s="4" t="s">
        <v>1331</v>
      </c>
      <c r="D628" s="18"/>
      <c r="E628" s="18">
        <v>0</v>
      </c>
      <c r="F628" s="18">
        <v>0</v>
      </c>
      <c r="G628" s="4" t="s">
        <v>3060</v>
      </c>
      <c r="H628" s="4" t="s">
        <v>3061</v>
      </c>
      <c r="I628" s="4">
        <v>190</v>
      </c>
      <c r="J628" s="4"/>
      <c r="K628" s="4" t="s">
        <v>1763</v>
      </c>
      <c r="L628" s="4">
        <v>25846315</v>
      </c>
      <c r="M628" s="4"/>
    </row>
    <row r="629" spans="1:13" ht="15" customHeight="1">
      <c r="A629" s="4" t="s">
        <v>3062</v>
      </c>
      <c r="B629" s="4" t="s">
        <v>3063</v>
      </c>
      <c r="C629" s="4" t="s">
        <v>3064</v>
      </c>
      <c r="D629" s="18"/>
      <c r="E629" s="18">
        <v>0</v>
      </c>
      <c r="F629" s="18">
        <v>0</v>
      </c>
      <c r="G629" s="4" t="s">
        <v>3065</v>
      </c>
      <c r="H629" s="4" t="s">
        <v>3066</v>
      </c>
      <c r="I629" s="4">
        <v>4</v>
      </c>
      <c r="J629" s="4"/>
      <c r="K629" s="4" t="s">
        <v>3063</v>
      </c>
      <c r="L629" s="4">
        <v>8341298</v>
      </c>
      <c r="M629" s="4"/>
    </row>
    <row r="630" spans="1:13" ht="15" customHeight="1">
      <c r="A630" s="4" t="s">
        <v>3067</v>
      </c>
      <c r="B630" s="4" t="s">
        <v>3068</v>
      </c>
      <c r="C630" s="4" t="s">
        <v>3069</v>
      </c>
      <c r="D630" s="18"/>
      <c r="E630" s="18">
        <v>0</v>
      </c>
      <c r="F630" s="18">
        <v>0</v>
      </c>
      <c r="G630" s="4" t="s">
        <v>3070</v>
      </c>
      <c r="H630" s="4" t="s">
        <v>3071</v>
      </c>
      <c r="I630" s="4">
        <v>819</v>
      </c>
      <c r="J630" s="4"/>
      <c r="K630" s="4" t="s">
        <v>3072</v>
      </c>
      <c r="L630" s="4">
        <v>153425635</v>
      </c>
      <c r="M630" s="4"/>
    </row>
    <row r="631" spans="1:13" ht="15" customHeight="1">
      <c r="A631" s="4" t="s">
        <v>3073</v>
      </c>
      <c r="B631" s="4" t="s">
        <v>3074</v>
      </c>
      <c r="C631" s="4" t="s">
        <v>498</v>
      </c>
      <c r="D631" s="18"/>
      <c r="E631" s="18">
        <v>0</v>
      </c>
      <c r="F631" s="18">
        <v>0</v>
      </c>
      <c r="G631" s="4" t="s">
        <v>3075</v>
      </c>
      <c r="H631" s="4" t="s">
        <v>3076</v>
      </c>
      <c r="I631" s="4">
        <v>2</v>
      </c>
      <c r="J631" s="4"/>
      <c r="K631" s="4" t="s">
        <v>3077</v>
      </c>
      <c r="L631" s="4">
        <v>7303425</v>
      </c>
      <c r="M631" s="4"/>
    </row>
    <row r="632" spans="1:13" ht="15" customHeight="1">
      <c r="A632" s="4" t="s">
        <v>3078</v>
      </c>
      <c r="B632" s="4" t="s">
        <v>3079</v>
      </c>
      <c r="C632" s="4" t="s">
        <v>3080</v>
      </c>
      <c r="D632" s="18"/>
      <c r="E632" s="18">
        <v>0</v>
      </c>
      <c r="F632" s="18">
        <v>0</v>
      </c>
      <c r="G632" s="4" t="s">
        <v>3081</v>
      </c>
      <c r="H632" s="4" t="s">
        <v>3082</v>
      </c>
      <c r="I632" s="4">
        <v>30</v>
      </c>
      <c r="J632" s="4"/>
      <c r="K632" s="4" t="s">
        <v>3083</v>
      </c>
      <c r="L632" s="4">
        <v>3507425</v>
      </c>
      <c r="M632" s="4"/>
    </row>
    <row r="633" spans="1:13" ht="15" customHeight="1">
      <c r="A633" s="4" t="s">
        <v>3084</v>
      </c>
      <c r="B633" s="4" t="s">
        <v>126</v>
      </c>
      <c r="C633" s="4" t="s">
        <v>127</v>
      </c>
      <c r="D633" s="18"/>
      <c r="E633" s="18">
        <v>0</v>
      </c>
      <c r="F633" s="18">
        <v>0</v>
      </c>
      <c r="G633" s="4" t="s">
        <v>3085</v>
      </c>
      <c r="H633" s="4" t="s">
        <v>3086</v>
      </c>
      <c r="I633" s="4">
        <v>6399</v>
      </c>
      <c r="J633" s="4" t="s">
        <v>3087</v>
      </c>
      <c r="K633" s="4" t="s">
        <v>3088</v>
      </c>
      <c r="L633" s="4">
        <v>834285022</v>
      </c>
      <c r="M633" s="4" t="s">
        <v>534</v>
      </c>
    </row>
    <row r="634" spans="1:13" ht="15" customHeight="1">
      <c r="A634" s="4" t="s">
        <v>3089</v>
      </c>
      <c r="B634" s="4" t="s">
        <v>3090</v>
      </c>
      <c r="C634" s="4" t="s">
        <v>1366</v>
      </c>
      <c r="D634" s="18"/>
      <c r="E634" s="18">
        <v>0</v>
      </c>
      <c r="F634" s="18">
        <v>0</v>
      </c>
      <c r="G634" s="4" t="s">
        <v>3091</v>
      </c>
      <c r="H634" s="4" t="s">
        <v>3092</v>
      </c>
      <c r="I634" s="4">
        <v>0</v>
      </c>
      <c r="J634" s="4"/>
      <c r="K634" s="4" t="s">
        <v>3093</v>
      </c>
      <c r="L634" s="4">
        <v>74851</v>
      </c>
      <c r="M634" s="4"/>
    </row>
    <row r="635" spans="1:13" ht="15" customHeight="1">
      <c r="A635" s="4" t="s">
        <v>3094</v>
      </c>
      <c r="B635" s="4" t="s">
        <v>3095</v>
      </c>
      <c r="C635" s="4" t="s">
        <v>509</v>
      </c>
      <c r="D635" s="18"/>
      <c r="E635" s="18">
        <v>0</v>
      </c>
      <c r="F635" s="18">
        <v>0</v>
      </c>
      <c r="G635" s="4" t="s">
        <v>3096</v>
      </c>
      <c r="H635" s="4" t="s">
        <v>3097</v>
      </c>
      <c r="I635" s="4">
        <v>834</v>
      </c>
      <c r="J635" s="4"/>
      <c r="K635" s="4" t="s">
        <v>3098</v>
      </c>
      <c r="L635" s="4">
        <v>308693057</v>
      </c>
      <c r="M635" s="4"/>
    </row>
    <row r="636" spans="1:13" ht="15" customHeight="1">
      <c r="A636" s="4" t="s">
        <v>3099</v>
      </c>
      <c r="B636" s="4" t="s">
        <v>3100</v>
      </c>
      <c r="C636" s="4" t="s">
        <v>3101</v>
      </c>
      <c r="D636" s="18"/>
      <c r="E636" s="18">
        <v>0</v>
      </c>
      <c r="F636" s="18">
        <v>0</v>
      </c>
      <c r="G636" s="4" t="s">
        <v>3102</v>
      </c>
      <c r="H636" s="4" t="s">
        <v>3103</v>
      </c>
      <c r="I636" s="4">
        <v>6987</v>
      </c>
      <c r="J636" s="4" t="s">
        <v>3104</v>
      </c>
      <c r="K636" s="4" t="s">
        <v>3105</v>
      </c>
      <c r="L636" s="4">
        <v>1280393493</v>
      </c>
      <c r="M636" s="4"/>
    </row>
    <row r="637" spans="1:13" ht="15" customHeight="1">
      <c r="A637" s="4" t="s">
        <v>3106</v>
      </c>
      <c r="B637" s="4" t="s">
        <v>3107</v>
      </c>
      <c r="C637" s="4" t="s">
        <v>679</v>
      </c>
      <c r="D637" s="18" t="s">
        <v>3108</v>
      </c>
      <c r="E637" s="18">
        <v>285</v>
      </c>
      <c r="F637" s="18">
        <v>40</v>
      </c>
      <c r="G637" s="4" t="s">
        <v>3109</v>
      </c>
      <c r="H637" s="4" t="s">
        <v>3110</v>
      </c>
      <c r="I637" s="4">
        <v>1022</v>
      </c>
      <c r="J637" s="4"/>
      <c r="K637" s="4" t="s">
        <v>3107</v>
      </c>
      <c r="L637" s="4">
        <v>491095581</v>
      </c>
      <c r="M637" s="4" t="s">
        <v>826</v>
      </c>
    </row>
    <row r="638" spans="1:13" ht="15" customHeight="1">
      <c r="A638" s="4" t="s">
        <v>3111</v>
      </c>
      <c r="B638" s="4" t="s">
        <v>3112</v>
      </c>
      <c r="C638" s="4" t="s">
        <v>1331</v>
      </c>
      <c r="D638" s="18"/>
      <c r="E638" s="18">
        <v>0</v>
      </c>
      <c r="F638" s="18">
        <v>0</v>
      </c>
      <c r="G638" s="4" t="s">
        <v>3113</v>
      </c>
      <c r="H638" s="4" t="s">
        <v>3114</v>
      </c>
      <c r="I638" s="4">
        <v>463</v>
      </c>
      <c r="J638" s="4"/>
      <c r="K638" s="4" t="s">
        <v>1334</v>
      </c>
      <c r="L638" s="4">
        <v>41950349</v>
      </c>
      <c r="M638" s="4"/>
    </row>
    <row r="639" spans="1:13" ht="15" customHeight="1">
      <c r="A639" s="4" t="s">
        <v>3115</v>
      </c>
      <c r="B639" s="4" t="s">
        <v>3116</v>
      </c>
      <c r="C639" s="4" t="s">
        <v>3117</v>
      </c>
      <c r="D639" s="18"/>
      <c r="E639" s="18">
        <v>0</v>
      </c>
      <c r="F639" s="18">
        <v>0</v>
      </c>
      <c r="G639" s="4" t="s">
        <v>3118</v>
      </c>
      <c r="H639" s="4"/>
      <c r="I639" s="4">
        <v>218</v>
      </c>
      <c r="J639" s="4"/>
      <c r="K639" s="4" t="s">
        <v>3116</v>
      </c>
      <c r="L639" s="4">
        <v>46774286</v>
      </c>
      <c r="M639" s="4"/>
    </row>
    <row r="640" spans="1:13" ht="15" customHeight="1">
      <c r="A640" s="4" t="s">
        <v>3119</v>
      </c>
      <c r="B640" s="4" t="s">
        <v>3120</v>
      </c>
      <c r="C640" s="4" t="s">
        <v>1331</v>
      </c>
      <c r="D640" s="18"/>
      <c r="E640" s="18">
        <v>0</v>
      </c>
      <c r="F640" s="18">
        <v>0</v>
      </c>
      <c r="G640" s="4" t="s">
        <v>3121</v>
      </c>
      <c r="H640" s="4" t="s">
        <v>3122</v>
      </c>
      <c r="I640" s="4">
        <v>0</v>
      </c>
      <c r="J640" s="4"/>
      <c r="K640" s="4" t="s">
        <v>3123</v>
      </c>
      <c r="L640" s="4">
        <v>199012</v>
      </c>
      <c r="M640" s="4"/>
    </row>
    <row r="641" spans="1:13" ht="15" customHeight="1">
      <c r="A641" s="4" t="s">
        <v>3124</v>
      </c>
      <c r="B641" s="4" t="s">
        <v>3125</v>
      </c>
      <c r="C641" s="4" t="s">
        <v>3126</v>
      </c>
      <c r="D641" s="18"/>
      <c r="E641" s="18">
        <v>0</v>
      </c>
      <c r="F641" s="18">
        <v>0</v>
      </c>
      <c r="G641" s="4" t="s">
        <v>3127</v>
      </c>
      <c r="H641" s="4" t="s">
        <v>3128</v>
      </c>
      <c r="I641" s="4">
        <v>240</v>
      </c>
      <c r="J641" s="4"/>
      <c r="K641" s="4" t="s">
        <v>3129</v>
      </c>
      <c r="L641" s="4">
        <v>71736447</v>
      </c>
      <c r="M641" s="4"/>
    </row>
    <row r="642" spans="1:13" ht="15" customHeight="1">
      <c r="A642" s="4" t="s">
        <v>3130</v>
      </c>
      <c r="B642" s="4" t="s">
        <v>3131</v>
      </c>
      <c r="C642" s="4" t="s">
        <v>3132</v>
      </c>
      <c r="D642" s="18"/>
      <c r="E642" s="18">
        <v>0</v>
      </c>
      <c r="F642" s="18">
        <v>0</v>
      </c>
      <c r="G642" s="4" t="s">
        <v>3133</v>
      </c>
      <c r="H642" s="4" t="s">
        <v>3134</v>
      </c>
      <c r="I642" s="4">
        <v>98</v>
      </c>
      <c r="J642" s="4"/>
      <c r="K642" s="4" t="s">
        <v>3131</v>
      </c>
      <c r="L642" s="4">
        <v>12394708</v>
      </c>
      <c r="M642" s="4"/>
    </row>
    <row r="643" spans="1:13" ht="15" customHeight="1">
      <c r="A643" s="4" t="s">
        <v>3135</v>
      </c>
      <c r="B643" s="4" t="s">
        <v>3136</v>
      </c>
      <c r="C643" s="4" t="s">
        <v>3137</v>
      </c>
      <c r="D643" s="18"/>
      <c r="E643" s="18">
        <v>0</v>
      </c>
      <c r="F643" s="18">
        <v>0</v>
      </c>
      <c r="G643" s="4" t="s">
        <v>3138</v>
      </c>
      <c r="H643" s="4" t="s">
        <v>3139</v>
      </c>
      <c r="I643" s="4">
        <v>35</v>
      </c>
      <c r="J643" s="4"/>
      <c r="K643" s="4" t="s">
        <v>3136</v>
      </c>
      <c r="L643" s="4">
        <v>10840206</v>
      </c>
      <c r="M643" s="4"/>
    </row>
    <row r="644" spans="1:13" ht="15" customHeight="1">
      <c r="A644" s="4" t="s">
        <v>3140</v>
      </c>
      <c r="B644" s="4" t="s">
        <v>3141</v>
      </c>
      <c r="C644" s="4" t="s">
        <v>884</v>
      </c>
      <c r="D644" s="18" t="s">
        <v>3142</v>
      </c>
      <c r="E644" s="18">
        <v>14</v>
      </c>
      <c r="F644" s="18">
        <v>2</v>
      </c>
      <c r="G644" s="4" t="s">
        <v>3143</v>
      </c>
      <c r="H644" s="4" t="s">
        <v>3144</v>
      </c>
      <c r="I644" s="4">
        <v>711</v>
      </c>
      <c r="J644" s="4" t="s">
        <v>3145</v>
      </c>
      <c r="K644" s="4" t="s">
        <v>2373</v>
      </c>
      <c r="L644" s="4">
        <v>257991068</v>
      </c>
      <c r="M644" s="4" t="s">
        <v>826</v>
      </c>
    </row>
    <row r="645" spans="1:13" ht="15" customHeight="1">
      <c r="A645" s="4" t="s">
        <v>3146</v>
      </c>
      <c r="B645" s="4" t="s">
        <v>3147</v>
      </c>
      <c r="C645" s="4" t="s">
        <v>3148</v>
      </c>
      <c r="D645" s="18"/>
      <c r="E645" s="18">
        <v>0</v>
      </c>
      <c r="F645" s="18">
        <v>0</v>
      </c>
      <c r="G645" s="4" t="s">
        <v>3149</v>
      </c>
      <c r="H645" s="4" t="s">
        <v>3150</v>
      </c>
      <c r="I645" s="4">
        <v>1539</v>
      </c>
      <c r="J645" s="4"/>
      <c r="K645" s="4" t="s">
        <v>3147</v>
      </c>
      <c r="L645" s="4">
        <v>108550892</v>
      </c>
      <c r="M645" s="4"/>
    </row>
    <row r="646" spans="1:13" ht="15" customHeight="1">
      <c r="A646" s="4" t="s">
        <v>3151</v>
      </c>
      <c r="B646" s="4" t="s">
        <v>3152</v>
      </c>
      <c r="C646" s="4" t="s">
        <v>679</v>
      </c>
      <c r="D646" s="18"/>
      <c r="E646" s="18">
        <v>0</v>
      </c>
      <c r="F646" s="18">
        <v>0</v>
      </c>
      <c r="G646" s="4" t="s">
        <v>3153</v>
      </c>
      <c r="H646" s="4"/>
      <c r="I646" s="4">
        <v>55</v>
      </c>
      <c r="J646" s="4"/>
      <c r="K646" s="4" t="s">
        <v>1291</v>
      </c>
      <c r="L646" s="4">
        <v>37229937</v>
      </c>
      <c r="M646" s="4"/>
    </row>
    <row r="647" spans="1:13" ht="15" customHeight="1">
      <c r="A647" s="4" t="s">
        <v>3154</v>
      </c>
      <c r="B647" s="4" t="s">
        <v>3155</v>
      </c>
      <c r="C647" s="4" t="s">
        <v>3156</v>
      </c>
      <c r="D647" s="18"/>
      <c r="E647" s="18">
        <v>0</v>
      </c>
      <c r="F647" s="18">
        <v>0</v>
      </c>
      <c r="G647" s="4" t="s">
        <v>3157</v>
      </c>
      <c r="H647" s="4" t="s">
        <v>3158</v>
      </c>
      <c r="I647" s="4">
        <v>431</v>
      </c>
      <c r="J647" s="4"/>
      <c r="K647" s="4" t="s">
        <v>3159</v>
      </c>
      <c r="L647" s="4">
        <v>54579824</v>
      </c>
      <c r="M647" s="4"/>
    </row>
    <row r="648" spans="1:13" ht="15" customHeight="1">
      <c r="A648" s="4" t="s">
        <v>3160</v>
      </c>
      <c r="B648" s="4" t="s">
        <v>3161</v>
      </c>
      <c r="C648" s="4" t="s">
        <v>3162</v>
      </c>
      <c r="D648" s="18"/>
      <c r="E648" s="18">
        <v>0</v>
      </c>
      <c r="F648" s="18">
        <v>0</v>
      </c>
      <c r="G648" s="4" t="s">
        <v>3163</v>
      </c>
      <c r="H648" s="4" t="s">
        <v>3164</v>
      </c>
      <c r="I648" s="4">
        <v>1759</v>
      </c>
      <c r="J648" s="4"/>
      <c r="K648" s="4" t="s">
        <v>3161</v>
      </c>
      <c r="L648" s="4">
        <v>551836533</v>
      </c>
      <c r="M648" s="4"/>
    </row>
    <row r="649" spans="1:13" ht="15" customHeight="1">
      <c r="A649" s="4" t="s">
        <v>3165</v>
      </c>
      <c r="B649" s="4" t="s">
        <v>3166</v>
      </c>
      <c r="C649" s="4" t="s">
        <v>650</v>
      </c>
      <c r="D649" s="18"/>
      <c r="E649" s="18">
        <v>0</v>
      </c>
      <c r="F649" s="18">
        <v>0</v>
      </c>
      <c r="G649" s="4" t="s">
        <v>3167</v>
      </c>
      <c r="H649" s="4" t="s">
        <v>3168</v>
      </c>
      <c r="I649" s="4">
        <v>751</v>
      </c>
      <c r="J649" s="4" t="s">
        <v>3169</v>
      </c>
      <c r="K649" s="4" t="s">
        <v>3170</v>
      </c>
      <c r="L649" s="4">
        <v>157759348</v>
      </c>
      <c r="M649" s="4"/>
    </row>
    <row r="650" spans="1:13" ht="15" customHeight="1">
      <c r="A650" s="4" t="s">
        <v>3171</v>
      </c>
      <c r="B650" s="4" t="s">
        <v>3172</v>
      </c>
      <c r="C650" s="4" t="s">
        <v>517</v>
      </c>
      <c r="D650" s="18"/>
      <c r="E650" s="18">
        <v>0</v>
      </c>
      <c r="F650" s="18">
        <v>0</v>
      </c>
      <c r="G650" s="4"/>
      <c r="H650" s="4" t="s">
        <v>3173</v>
      </c>
      <c r="I650" s="4">
        <v>955</v>
      </c>
      <c r="J650" s="4"/>
      <c r="K650" s="4" t="s">
        <v>3174</v>
      </c>
      <c r="L650" s="4">
        <v>255026696</v>
      </c>
      <c r="M650" s="4"/>
    </row>
    <row r="651" spans="1:13" ht="15" customHeight="1">
      <c r="A651" s="4" t="s">
        <v>3175</v>
      </c>
      <c r="B651" s="4" t="s">
        <v>3176</v>
      </c>
      <c r="C651" s="4" t="s">
        <v>3177</v>
      </c>
      <c r="D651" s="18"/>
      <c r="E651" s="18">
        <v>0</v>
      </c>
      <c r="F651" s="18">
        <v>0</v>
      </c>
      <c r="G651" s="4" t="s">
        <v>3178</v>
      </c>
      <c r="H651" s="4" t="s">
        <v>3179</v>
      </c>
      <c r="I651" s="4">
        <v>8134</v>
      </c>
      <c r="J651" s="4"/>
      <c r="K651" s="4" t="s">
        <v>373</v>
      </c>
      <c r="L651" s="4">
        <v>429690273</v>
      </c>
      <c r="M651" s="4"/>
    </row>
    <row r="652" spans="1:13" ht="15" customHeight="1">
      <c r="A652" s="4" t="s">
        <v>3180</v>
      </c>
      <c r="B652" s="4" t="s">
        <v>3181</v>
      </c>
      <c r="C652" s="4" t="s">
        <v>3182</v>
      </c>
      <c r="D652" s="18">
        <v>0</v>
      </c>
      <c r="E652" s="18">
        <v>0</v>
      </c>
      <c r="F652" s="18"/>
      <c r="G652" s="4" t="s">
        <v>3183</v>
      </c>
      <c r="H652" s="4" t="s">
        <v>3184</v>
      </c>
      <c r="I652" s="4">
        <v>1735</v>
      </c>
      <c r="J652" s="4" t="s">
        <v>3185</v>
      </c>
      <c r="K652" s="4" t="s">
        <v>3181</v>
      </c>
      <c r="L652" s="4">
        <v>123868678</v>
      </c>
      <c r="M652" s="4"/>
    </row>
    <row r="653" spans="1:13" ht="15" customHeight="1">
      <c r="A653" s="4" t="s">
        <v>3186</v>
      </c>
      <c r="B653" s="4" t="s">
        <v>3181</v>
      </c>
      <c r="C653" s="4" t="s">
        <v>3182</v>
      </c>
      <c r="D653" s="18">
        <v>0</v>
      </c>
      <c r="E653" s="18">
        <v>0</v>
      </c>
      <c r="F653" s="18"/>
      <c r="G653" s="4" t="s">
        <v>3183</v>
      </c>
      <c r="H653" s="4" t="s">
        <v>3184</v>
      </c>
      <c r="I653" s="4">
        <v>1735</v>
      </c>
      <c r="J653" s="4" t="s">
        <v>3185</v>
      </c>
      <c r="K653" s="4" t="s">
        <v>3181</v>
      </c>
      <c r="L653" s="4">
        <v>123868678</v>
      </c>
      <c r="M653" s="4"/>
    </row>
    <row r="654" spans="1:13" ht="15" customHeight="1">
      <c r="A654" s="4" t="s">
        <v>3187</v>
      </c>
      <c r="B654" s="4" t="s">
        <v>3188</v>
      </c>
      <c r="C654" s="4" t="s">
        <v>3189</v>
      </c>
      <c r="D654" s="18">
        <v>0</v>
      </c>
      <c r="E654" s="18">
        <v>0</v>
      </c>
      <c r="F654" s="18"/>
      <c r="G654" s="4" t="s">
        <v>3190</v>
      </c>
      <c r="H654" s="4" t="s">
        <v>3191</v>
      </c>
      <c r="I654" s="4">
        <v>32</v>
      </c>
      <c r="J654" s="4" t="s">
        <v>3192</v>
      </c>
      <c r="K654" s="4" t="s">
        <v>3188</v>
      </c>
      <c r="L654" s="4">
        <v>7621238</v>
      </c>
      <c r="M654" s="4"/>
    </row>
    <row r="655" spans="1:13" ht="15" customHeight="1">
      <c r="A655" s="4" t="s">
        <v>3193</v>
      </c>
      <c r="B655" s="4" t="s">
        <v>3194</v>
      </c>
      <c r="C655" s="4" t="s">
        <v>154</v>
      </c>
      <c r="D655" s="18">
        <v>0</v>
      </c>
      <c r="E655" s="18">
        <v>0</v>
      </c>
      <c r="F655" s="18"/>
      <c r="G655" s="4" t="s">
        <v>3195</v>
      </c>
      <c r="H655" s="4"/>
      <c r="I655" s="4">
        <v>781</v>
      </c>
      <c r="J655" s="4"/>
      <c r="K655" s="4" t="s">
        <v>636</v>
      </c>
      <c r="L655" s="4">
        <v>282015307</v>
      </c>
      <c r="M655" s="4"/>
    </row>
    <row r="656" spans="1:13" ht="15" customHeight="1">
      <c r="A656" s="4" t="s">
        <v>3196</v>
      </c>
      <c r="B656" s="4" t="s">
        <v>3197</v>
      </c>
      <c r="C656" s="4" t="s">
        <v>3198</v>
      </c>
      <c r="D656" s="18">
        <v>0</v>
      </c>
      <c r="E656" s="18">
        <v>0</v>
      </c>
      <c r="F656" s="18"/>
      <c r="G656" s="4" t="s">
        <v>3199</v>
      </c>
      <c r="H656" s="4" t="s">
        <v>3200</v>
      </c>
      <c r="I656" s="4">
        <v>202</v>
      </c>
      <c r="J656" s="4"/>
      <c r="K656" s="4" t="s">
        <v>3197</v>
      </c>
      <c r="L656" s="4">
        <v>18674263</v>
      </c>
      <c r="M656" s="4"/>
    </row>
    <row r="657" spans="1:13" ht="15" customHeight="1">
      <c r="A657" s="4" t="s">
        <v>3201</v>
      </c>
      <c r="B657" s="4" t="s">
        <v>3202</v>
      </c>
      <c r="C657" s="4" t="s">
        <v>3203</v>
      </c>
      <c r="D657" s="18">
        <v>0</v>
      </c>
      <c r="E657" s="18">
        <v>0</v>
      </c>
      <c r="F657" s="18"/>
      <c r="G657" s="4" t="s">
        <v>3204</v>
      </c>
      <c r="H657" s="4" t="s">
        <v>3205</v>
      </c>
      <c r="I657" s="4">
        <v>208</v>
      </c>
      <c r="J657" s="4" t="s">
        <v>3206</v>
      </c>
      <c r="K657" s="4" t="s">
        <v>3207</v>
      </c>
      <c r="L657" s="4">
        <v>70133352</v>
      </c>
      <c r="M657" s="4"/>
    </row>
    <row r="658" spans="1:13" ht="15" customHeight="1">
      <c r="A658" s="4" t="s">
        <v>3208</v>
      </c>
      <c r="B658" s="4" t="s">
        <v>3209</v>
      </c>
      <c r="C658" s="4" t="s">
        <v>188</v>
      </c>
      <c r="D658" s="18">
        <v>1950384180</v>
      </c>
      <c r="E658" s="18">
        <v>1431686049</v>
      </c>
      <c r="F658" s="18" t="s">
        <v>3210</v>
      </c>
      <c r="G658" s="4" t="s">
        <v>3211</v>
      </c>
      <c r="H658" s="4" t="s">
        <v>3212</v>
      </c>
      <c r="I658" s="4">
        <v>733</v>
      </c>
      <c r="J658" s="4" t="s">
        <v>3213</v>
      </c>
      <c r="K658" s="4" t="s">
        <v>3209</v>
      </c>
      <c r="L658" s="4">
        <v>147169382</v>
      </c>
      <c r="M658" s="4" t="s">
        <v>202</v>
      </c>
    </row>
    <row r="659" spans="1:13" ht="15" customHeight="1">
      <c r="A659" s="4" t="s">
        <v>3214</v>
      </c>
      <c r="B659" s="4" t="s">
        <v>139</v>
      </c>
      <c r="C659" s="4" t="s">
        <v>140</v>
      </c>
      <c r="D659" s="18">
        <v>0</v>
      </c>
      <c r="E659" s="18">
        <v>0</v>
      </c>
      <c r="F659" s="18"/>
      <c r="G659" s="4" t="s">
        <v>3215</v>
      </c>
      <c r="H659" s="4" t="s">
        <v>3216</v>
      </c>
      <c r="I659" s="4">
        <v>9</v>
      </c>
      <c r="J659" s="4"/>
      <c r="K659" s="4" t="s">
        <v>3217</v>
      </c>
      <c r="L659" s="4">
        <v>2216699</v>
      </c>
      <c r="M659" s="4"/>
    </row>
    <row r="660" spans="1:13" ht="15" customHeight="1">
      <c r="A660" s="4" t="s">
        <v>3218</v>
      </c>
      <c r="B660" s="4" t="s">
        <v>1110</v>
      </c>
      <c r="C660" s="4" t="s">
        <v>679</v>
      </c>
      <c r="D660" s="18">
        <v>0</v>
      </c>
      <c r="E660" s="18">
        <v>0</v>
      </c>
      <c r="F660" s="18"/>
      <c r="G660" s="4" t="s">
        <v>3219</v>
      </c>
      <c r="H660" s="4" t="s">
        <v>3220</v>
      </c>
      <c r="I660" s="4">
        <v>344</v>
      </c>
      <c r="J660" s="4"/>
      <c r="K660" s="4" t="s">
        <v>1110</v>
      </c>
      <c r="L660" s="4">
        <v>98600843</v>
      </c>
      <c r="M660" s="4"/>
    </row>
    <row r="661" spans="1:13" ht="15" customHeight="1">
      <c r="A661" s="4" t="s">
        <v>3221</v>
      </c>
      <c r="B661" s="4" t="s">
        <v>3222</v>
      </c>
      <c r="C661" s="4" t="s">
        <v>154</v>
      </c>
      <c r="D661" s="18">
        <v>0</v>
      </c>
      <c r="E661" s="18">
        <v>0</v>
      </c>
      <c r="F661" s="18"/>
      <c r="G661" s="4" t="s">
        <v>3223</v>
      </c>
      <c r="H661" s="4" t="s">
        <v>3224</v>
      </c>
      <c r="I661" s="4">
        <v>1401</v>
      </c>
      <c r="J661" s="4" t="s">
        <v>3222</v>
      </c>
      <c r="K661" s="4" t="s">
        <v>640</v>
      </c>
      <c r="L661" s="4">
        <v>299369424</v>
      </c>
      <c r="M661" s="4"/>
    </row>
    <row r="662" spans="1:13" ht="15" customHeight="1">
      <c r="A662" s="4" t="s">
        <v>3225</v>
      </c>
      <c r="B662" s="4" t="s">
        <v>3120</v>
      </c>
      <c r="C662" s="4" t="s">
        <v>1331</v>
      </c>
      <c r="D662" s="18">
        <v>0</v>
      </c>
      <c r="E662" s="18">
        <v>0</v>
      </c>
      <c r="F662" s="18"/>
      <c r="G662" s="4" t="s">
        <v>3226</v>
      </c>
      <c r="H662" s="4" t="s">
        <v>3227</v>
      </c>
      <c r="I662" s="4">
        <v>17</v>
      </c>
      <c r="J662" s="4"/>
      <c r="K662" s="4" t="s">
        <v>3120</v>
      </c>
      <c r="L662" s="4">
        <v>9803663</v>
      </c>
      <c r="M662" s="4"/>
    </row>
    <row r="663" spans="1:13" ht="15" customHeight="1">
      <c r="A663" s="4" t="s">
        <v>3228</v>
      </c>
      <c r="B663" s="4" t="s">
        <v>3229</v>
      </c>
      <c r="C663" s="4" t="s">
        <v>1117</v>
      </c>
      <c r="D663" s="18">
        <v>0</v>
      </c>
      <c r="E663" s="18">
        <v>0</v>
      </c>
      <c r="F663" s="18"/>
      <c r="G663" s="4" t="s">
        <v>3230</v>
      </c>
      <c r="H663" s="4" t="s">
        <v>3231</v>
      </c>
      <c r="I663" s="4">
        <v>2959</v>
      </c>
      <c r="J663" s="4" t="s">
        <v>3232</v>
      </c>
      <c r="K663" s="4" t="s">
        <v>3233</v>
      </c>
      <c r="L663" s="4">
        <v>111657012</v>
      </c>
      <c r="M663" s="4"/>
    </row>
    <row r="664" spans="1:13" ht="15" customHeight="1">
      <c r="A664" s="4" t="s">
        <v>3234</v>
      </c>
      <c r="B664" s="4" t="s">
        <v>3234</v>
      </c>
      <c r="C664" s="4" t="s">
        <v>3235</v>
      </c>
      <c r="D664" s="18" t="s">
        <v>3236</v>
      </c>
      <c r="E664" s="18"/>
      <c r="F664" s="18"/>
      <c r="G664" s="4"/>
      <c r="H664" s="4"/>
      <c r="I664" s="4"/>
      <c r="J664" s="4"/>
      <c r="K664" s="4"/>
      <c r="L664" s="4"/>
      <c r="M664" s="4"/>
    </row>
    <row r="665" spans="1:13" ht="15" customHeight="1">
      <c r="A665" s="4" t="s">
        <v>3237</v>
      </c>
      <c r="B665" s="4" t="s">
        <v>3238</v>
      </c>
      <c r="C665" s="4" t="s">
        <v>1331</v>
      </c>
      <c r="D665" s="18">
        <v>0</v>
      </c>
      <c r="E665" s="18">
        <v>0</v>
      </c>
      <c r="F665" s="18"/>
      <c r="G665" s="4" t="s">
        <v>3239</v>
      </c>
      <c r="H665" s="4" t="s">
        <v>3240</v>
      </c>
      <c r="I665" s="4">
        <v>841</v>
      </c>
      <c r="J665" s="4"/>
      <c r="K665" s="4"/>
      <c r="L665" s="4">
        <v>167213252</v>
      </c>
      <c r="M665" s="4"/>
    </row>
    <row r="666" spans="1:13" ht="15" customHeight="1">
      <c r="A666" s="4" t="s">
        <v>3241</v>
      </c>
      <c r="B666" s="4" t="s">
        <v>3242</v>
      </c>
      <c r="C666" s="4" t="s">
        <v>3243</v>
      </c>
      <c r="D666" s="18">
        <v>0</v>
      </c>
      <c r="E666" s="18">
        <v>0</v>
      </c>
      <c r="F666" s="18"/>
      <c r="G666" s="4" t="s">
        <v>3244</v>
      </c>
      <c r="H666" s="4" t="s">
        <v>3245</v>
      </c>
      <c r="I666" s="4">
        <v>118</v>
      </c>
      <c r="J666" s="4"/>
      <c r="K666" s="4" t="s">
        <v>3242</v>
      </c>
      <c r="L666" s="4">
        <v>31347993</v>
      </c>
      <c r="M666" s="4"/>
    </row>
    <row r="667" spans="1:13" ht="15" customHeight="1">
      <c r="A667" s="4" t="s">
        <v>3246</v>
      </c>
      <c r="B667" s="4" t="s">
        <v>3247</v>
      </c>
      <c r="C667" s="4" t="s">
        <v>3248</v>
      </c>
      <c r="D667" s="18">
        <v>0</v>
      </c>
      <c r="E667" s="18">
        <v>0</v>
      </c>
      <c r="F667" s="18"/>
      <c r="G667" s="4" t="s">
        <v>3249</v>
      </c>
      <c r="H667" s="4" t="s">
        <v>3250</v>
      </c>
      <c r="I667" s="4">
        <v>4</v>
      </c>
      <c r="J667" s="4"/>
      <c r="K667" s="4" t="s">
        <v>3251</v>
      </c>
      <c r="L667" s="4">
        <v>2352335</v>
      </c>
      <c r="M667" s="4"/>
    </row>
    <row r="668" spans="1:13" ht="15" customHeight="1">
      <c r="A668" s="4" t="s">
        <v>642</v>
      </c>
      <c r="B668" s="4" t="s">
        <v>642</v>
      </c>
      <c r="C668" s="4" t="s">
        <v>131</v>
      </c>
      <c r="D668" s="18"/>
      <c r="E668" s="18"/>
      <c r="F668" s="18"/>
      <c r="G668" s="4"/>
      <c r="H668" s="4"/>
      <c r="I668" s="4"/>
      <c r="J668" s="4"/>
      <c r="K668" s="4"/>
      <c r="L668" s="4"/>
      <c r="M668" s="4"/>
    </row>
    <row r="669" spans="1:13" ht="15" customHeight="1">
      <c r="A669" s="4" t="s">
        <v>3252</v>
      </c>
      <c r="B669" s="4" t="s">
        <v>3253</v>
      </c>
      <c r="C669" s="4" t="s">
        <v>3254</v>
      </c>
      <c r="D669" s="18">
        <v>0</v>
      </c>
      <c r="E669" s="18">
        <v>0</v>
      </c>
      <c r="F669" s="18"/>
      <c r="G669" s="4" t="s">
        <v>3255</v>
      </c>
      <c r="H669" s="4"/>
      <c r="I669" s="4">
        <v>46</v>
      </c>
      <c r="J669" s="4"/>
      <c r="K669" s="4" t="s">
        <v>3253</v>
      </c>
      <c r="L669" s="4">
        <v>24820081</v>
      </c>
      <c r="M669" s="4"/>
    </row>
    <row r="670" spans="1:13" ht="15" customHeight="1">
      <c r="A670" s="4" t="s">
        <v>3256</v>
      </c>
      <c r="B670" s="4" t="s">
        <v>3257</v>
      </c>
      <c r="C670" s="4" t="s">
        <v>742</v>
      </c>
      <c r="D670" s="18">
        <v>0</v>
      </c>
      <c r="E670" s="18">
        <v>0</v>
      </c>
      <c r="F670" s="18"/>
      <c r="G670" s="4" t="s">
        <v>3258</v>
      </c>
      <c r="H670" s="4" t="s">
        <v>3259</v>
      </c>
      <c r="I670" s="4">
        <v>71</v>
      </c>
      <c r="J670" s="4"/>
      <c r="K670" s="4" t="s">
        <v>1730</v>
      </c>
      <c r="L670" s="4">
        <v>28168358</v>
      </c>
      <c r="M670" s="4"/>
    </row>
    <row r="671" spans="1:13" ht="15" customHeight="1">
      <c r="A671" s="4" t="s">
        <v>3260</v>
      </c>
      <c r="B671" s="4" t="s">
        <v>3261</v>
      </c>
      <c r="C671" s="4" t="s">
        <v>3262</v>
      </c>
      <c r="D671" s="18">
        <v>851211311</v>
      </c>
      <c r="E671" s="18">
        <v>498028830</v>
      </c>
      <c r="F671" s="18" t="s">
        <v>3263</v>
      </c>
      <c r="G671" s="4" t="s">
        <v>3264</v>
      </c>
      <c r="H671" s="4" t="s">
        <v>3265</v>
      </c>
      <c r="I671" s="4">
        <v>2154</v>
      </c>
      <c r="J671" s="4"/>
      <c r="K671" s="4" t="s">
        <v>3261</v>
      </c>
      <c r="L671" s="4">
        <v>442023152</v>
      </c>
      <c r="M671" s="4" t="s">
        <v>1224</v>
      </c>
    </row>
    <row r="672" spans="1:13" ht="15" customHeight="1">
      <c r="A672" s="4" t="s">
        <v>3266</v>
      </c>
      <c r="B672" s="4" t="s">
        <v>3267</v>
      </c>
      <c r="C672" s="4" t="s">
        <v>3268</v>
      </c>
      <c r="D672" s="18">
        <v>0</v>
      </c>
      <c r="E672" s="18">
        <v>0</v>
      </c>
      <c r="F672" s="18"/>
      <c r="G672" s="4" t="s">
        <v>3269</v>
      </c>
      <c r="H672" s="4"/>
      <c r="I672" s="4">
        <v>75</v>
      </c>
      <c r="J672" s="4"/>
      <c r="K672" s="4" t="s">
        <v>3270</v>
      </c>
      <c r="L672" s="4">
        <v>5523557</v>
      </c>
      <c r="M672" s="4" t="s">
        <v>293</v>
      </c>
    </row>
    <row r="673" spans="1:13" ht="15" customHeight="1">
      <c r="A673" s="4" t="s">
        <v>1977</v>
      </c>
      <c r="B673" s="4" t="s">
        <v>1977</v>
      </c>
      <c r="C673" s="4" t="s">
        <v>1978</v>
      </c>
      <c r="D673" s="18"/>
      <c r="E673" s="18"/>
      <c r="F673" s="18"/>
      <c r="G673" s="4" t="s">
        <v>1979</v>
      </c>
      <c r="H673" s="4" t="s">
        <v>1980</v>
      </c>
      <c r="I673" s="5">
        <v>14</v>
      </c>
      <c r="J673" s="4" t="s">
        <v>1981</v>
      </c>
      <c r="K673" s="4" t="s">
        <v>1982</v>
      </c>
      <c r="L673" s="4">
        <v>2915511</v>
      </c>
      <c r="M673" s="4"/>
    </row>
    <row r="674" spans="1:13" ht="15" customHeight="1">
      <c r="A674" s="4" t="s">
        <v>3271</v>
      </c>
      <c r="B674" s="4" t="s">
        <v>3271</v>
      </c>
      <c r="C674" s="4" t="s">
        <v>2733</v>
      </c>
      <c r="D674" s="18"/>
      <c r="E674" s="18"/>
      <c r="F674" s="18"/>
      <c r="G674" s="4"/>
      <c r="H674" s="4"/>
      <c r="I674" s="4"/>
      <c r="J674" s="4"/>
      <c r="K674" s="4"/>
      <c r="L674" s="4"/>
      <c r="M674" s="4"/>
    </row>
    <row r="675" spans="1:13" ht="15" customHeight="1">
      <c r="A675" s="4" t="s">
        <v>3272</v>
      </c>
      <c r="B675" s="4" t="s">
        <v>3273</v>
      </c>
      <c r="C675" s="4" t="s">
        <v>3274</v>
      </c>
      <c r="D675" s="18">
        <v>0</v>
      </c>
      <c r="E675" s="18">
        <v>0</v>
      </c>
      <c r="F675" s="18"/>
      <c r="G675" s="4" t="s">
        <v>3275</v>
      </c>
      <c r="H675" s="4" t="s">
        <v>3276</v>
      </c>
      <c r="I675" s="4">
        <v>1</v>
      </c>
      <c r="J675" s="4"/>
      <c r="K675" s="4" t="s">
        <v>3274</v>
      </c>
      <c r="L675" s="4">
        <v>5042930</v>
      </c>
      <c r="M675" s="4"/>
    </row>
    <row r="676" spans="1:13" ht="15" customHeight="1">
      <c r="A676" s="4" t="s">
        <v>3277</v>
      </c>
      <c r="B676" s="4" t="s">
        <v>3278</v>
      </c>
      <c r="C676" s="4" t="s">
        <v>3279</v>
      </c>
      <c r="D676" s="18">
        <v>0</v>
      </c>
      <c r="E676" s="18">
        <v>0</v>
      </c>
      <c r="F676" s="18"/>
      <c r="G676" s="4" t="s">
        <v>3280</v>
      </c>
      <c r="H676" s="4" t="s">
        <v>3281</v>
      </c>
      <c r="I676" s="4">
        <v>56</v>
      </c>
      <c r="J676" s="4"/>
      <c r="K676" s="4"/>
      <c r="L676" s="4">
        <v>29040336</v>
      </c>
      <c r="M676" s="4"/>
    </row>
    <row r="677" spans="1:13" ht="15" customHeight="1">
      <c r="A677" s="4" t="s">
        <v>3282</v>
      </c>
      <c r="B677" s="4" t="s">
        <v>3283</v>
      </c>
      <c r="C677" s="4" t="s">
        <v>3189</v>
      </c>
      <c r="D677" s="18">
        <v>0</v>
      </c>
      <c r="E677" s="18">
        <v>0</v>
      </c>
      <c r="F677" s="18"/>
      <c r="G677" s="4" t="s">
        <v>3284</v>
      </c>
      <c r="H677" s="4" t="s">
        <v>3285</v>
      </c>
      <c r="I677" s="4">
        <v>1</v>
      </c>
      <c r="J677" s="4"/>
      <c r="K677" s="4" t="s">
        <v>3286</v>
      </c>
      <c r="L677" s="4">
        <v>67588</v>
      </c>
      <c r="M677" s="4"/>
    </row>
    <row r="678" spans="1:13" ht="15" customHeight="1">
      <c r="A678" s="4" t="s">
        <v>3287</v>
      </c>
      <c r="B678" s="4" t="s">
        <v>2617</v>
      </c>
      <c r="C678" s="4" t="s">
        <v>3288</v>
      </c>
      <c r="D678" s="18">
        <v>0</v>
      </c>
      <c r="E678" s="18">
        <v>0</v>
      </c>
      <c r="F678" s="18"/>
      <c r="G678" s="4" t="s">
        <v>3289</v>
      </c>
      <c r="H678" s="4" t="s">
        <v>3290</v>
      </c>
      <c r="I678" s="4">
        <v>3</v>
      </c>
      <c r="J678" s="4"/>
      <c r="K678" s="4" t="s">
        <v>3291</v>
      </c>
      <c r="L678" s="4">
        <v>1118229</v>
      </c>
      <c r="M678" s="4"/>
    </row>
    <row r="679" spans="1:13" ht="15" customHeight="1">
      <c r="A679" s="4" t="s">
        <v>3292</v>
      </c>
      <c r="B679" s="4" t="s">
        <v>3293</v>
      </c>
      <c r="C679" s="4" t="s">
        <v>154</v>
      </c>
      <c r="D679" s="18">
        <v>0</v>
      </c>
      <c r="E679" s="18">
        <v>0</v>
      </c>
      <c r="F679" s="18"/>
      <c r="G679" s="4" t="s">
        <v>3294</v>
      </c>
      <c r="H679" s="4" t="s">
        <v>3295</v>
      </c>
      <c r="I679" s="4">
        <v>3341</v>
      </c>
      <c r="J679" s="4" t="s">
        <v>3296</v>
      </c>
      <c r="K679" s="4" t="s">
        <v>416</v>
      </c>
      <c r="L679" s="4">
        <v>372633239</v>
      </c>
      <c r="M679" s="4"/>
    </row>
    <row r="680" spans="1:13" ht="15" customHeight="1">
      <c r="A680" s="4" t="s">
        <v>3297</v>
      </c>
      <c r="B680" s="4" t="s">
        <v>3298</v>
      </c>
      <c r="C680" s="4" t="s">
        <v>2437</v>
      </c>
      <c r="D680" s="18">
        <v>752741189</v>
      </c>
      <c r="E680" s="18">
        <v>174687794</v>
      </c>
      <c r="F680" s="18" t="s">
        <v>3299</v>
      </c>
      <c r="G680" s="4" t="s">
        <v>3300</v>
      </c>
      <c r="H680" s="4" t="s">
        <v>3301</v>
      </c>
      <c r="I680" s="4">
        <v>97</v>
      </c>
      <c r="J680" s="4" t="s">
        <v>3302</v>
      </c>
      <c r="K680" s="4" t="s">
        <v>3303</v>
      </c>
      <c r="L680" s="4">
        <v>22243726</v>
      </c>
      <c r="M680" s="4"/>
    </row>
    <row r="681" spans="1:13" ht="15" customHeight="1">
      <c r="A681" s="4" t="s">
        <v>3304</v>
      </c>
      <c r="B681" s="4" t="s">
        <v>3305</v>
      </c>
      <c r="C681" s="4" t="s">
        <v>395</v>
      </c>
      <c r="D681" s="18">
        <v>0</v>
      </c>
      <c r="E681" s="18">
        <v>0</v>
      </c>
      <c r="F681" s="18"/>
      <c r="G681" s="4" t="s">
        <v>3306</v>
      </c>
      <c r="H681" s="4" t="s">
        <v>3307</v>
      </c>
      <c r="I681" s="4">
        <v>450</v>
      </c>
      <c r="J681" s="4"/>
      <c r="K681" s="4" t="s">
        <v>3308</v>
      </c>
      <c r="L681" s="4">
        <v>104949460</v>
      </c>
      <c r="M681" s="4"/>
    </row>
    <row r="682" spans="1:13" ht="15" customHeight="1">
      <c r="A682" s="4" t="s">
        <v>3309</v>
      </c>
      <c r="B682" s="4" t="s">
        <v>3310</v>
      </c>
      <c r="C682" s="4" t="s">
        <v>2334</v>
      </c>
      <c r="D682" s="18">
        <v>0</v>
      </c>
      <c r="E682" s="18">
        <v>0</v>
      </c>
      <c r="F682" s="18"/>
      <c r="G682" s="4" t="s">
        <v>3311</v>
      </c>
      <c r="H682" s="4" t="s">
        <v>3312</v>
      </c>
      <c r="I682" s="4">
        <v>0</v>
      </c>
      <c r="J682" s="4"/>
      <c r="K682" s="4" t="s">
        <v>3313</v>
      </c>
      <c r="L682" s="4">
        <v>468836</v>
      </c>
      <c r="M682" s="4"/>
    </row>
    <row r="683" spans="1:13" ht="15" customHeight="1">
      <c r="A683" s="4" t="s">
        <v>3314</v>
      </c>
      <c r="B683" s="4" t="s">
        <v>3123</v>
      </c>
      <c r="C683" s="4" t="s">
        <v>1331</v>
      </c>
      <c r="D683" s="18">
        <v>0</v>
      </c>
      <c r="E683" s="18">
        <v>0</v>
      </c>
      <c r="F683" s="18"/>
      <c r="G683" s="4" t="s">
        <v>3315</v>
      </c>
      <c r="H683" s="4" t="s">
        <v>3316</v>
      </c>
      <c r="I683" s="4">
        <v>88</v>
      </c>
      <c r="J683" s="4"/>
      <c r="K683" s="4" t="s">
        <v>3123</v>
      </c>
      <c r="L683" s="4">
        <v>28212140</v>
      </c>
      <c r="M683" s="4"/>
    </row>
    <row r="684" spans="1:13" ht="15" customHeight="1">
      <c r="A684" s="4" t="s">
        <v>3317</v>
      </c>
      <c r="B684" s="4" t="s">
        <v>3318</v>
      </c>
      <c r="C684" s="4" t="s">
        <v>3319</v>
      </c>
      <c r="D684" s="18">
        <v>0</v>
      </c>
      <c r="E684" s="18">
        <v>0</v>
      </c>
      <c r="F684" s="18"/>
      <c r="G684" s="4" t="s">
        <v>3320</v>
      </c>
      <c r="H684" s="4" t="s">
        <v>3321</v>
      </c>
      <c r="I684" s="4">
        <v>596</v>
      </c>
      <c r="J684" s="4" t="s">
        <v>3322</v>
      </c>
      <c r="K684" s="4" t="s">
        <v>3318</v>
      </c>
      <c r="L684" s="4">
        <v>171034240</v>
      </c>
      <c r="M684" s="4"/>
    </row>
    <row r="685" spans="1:13" ht="15" customHeight="1">
      <c r="A685" s="4" t="s">
        <v>3323</v>
      </c>
      <c r="B685" s="4" t="s">
        <v>3324</v>
      </c>
      <c r="C685" s="4" t="s">
        <v>2548</v>
      </c>
      <c r="D685" s="18">
        <v>0</v>
      </c>
      <c r="E685" s="18">
        <v>0</v>
      </c>
      <c r="F685" s="18"/>
      <c r="G685" s="4" t="s">
        <v>3325</v>
      </c>
      <c r="H685" s="4" t="s">
        <v>3326</v>
      </c>
      <c r="I685" s="4">
        <v>81</v>
      </c>
      <c r="J685" s="4"/>
      <c r="K685" s="4" t="s">
        <v>3327</v>
      </c>
      <c r="L685" s="4">
        <v>58517368</v>
      </c>
      <c r="M685" s="4"/>
    </row>
    <row r="686" spans="1:13" ht="15" customHeight="1">
      <c r="A686" s="4" t="s">
        <v>3328</v>
      </c>
      <c r="B686" s="4" t="s">
        <v>3329</v>
      </c>
      <c r="C686" s="4" t="s">
        <v>3330</v>
      </c>
      <c r="D686" s="18">
        <v>0</v>
      </c>
      <c r="E686" s="18">
        <v>0</v>
      </c>
      <c r="F686" s="18"/>
      <c r="G686" s="4" t="s">
        <v>3331</v>
      </c>
      <c r="H686" s="4" t="s">
        <v>3332</v>
      </c>
      <c r="I686" s="4">
        <v>217</v>
      </c>
      <c r="J686" s="4"/>
      <c r="K686" s="4" t="s">
        <v>3333</v>
      </c>
      <c r="L686" s="4">
        <v>60323377</v>
      </c>
      <c r="M686" s="4"/>
    </row>
    <row r="687" spans="1:13" ht="15" customHeight="1">
      <c r="A687" s="4" t="s">
        <v>3334</v>
      </c>
      <c r="B687" s="4" t="s">
        <v>3335</v>
      </c>
      <c r="C687" s="4" t="s">
        <v>3336</v>
      </c>
      <c r="D687" s="18">
        <v>0</v>
      </c>
      <c r="E687" s="18">
        <v>0</v>
      </c>
      <c r="F687" s="18"/>
      <c r="G687" s="4" t="s">
        <v>3337</v>
      </c>
      <c r="H687" s="4"/>
      <c r="I687" s="4">
        <v>202</v>
      </c>
      <c r="J687" s="4"/>
      <c r="K687" s="4" t="s">
        <v>1768</v>
      </c>
      <c r="L687" s="4">
        <v>40006301</v>
      </c>
      <c r="M687" s="4"/>
    </row>
    <row r="688" spans="1:13" ht="15" customHeight="1">
      <c r="A688" s="4" t="s">
        <v>678</v>
      </c>
      <c r="B688" s="4" t="s">
        <v>678</v>
      </c>
      <c r="C688" s="4" t="s">
        <v>679</v>
      </c>
      <c r="D688" s="18"/>
      <c r="E688" s="18">
        <v>1032</v>
      </c>
      <c r="F688" s="18">
        <v>165</v>
      </c>
      <c r="G688" s="4" t="s">
        <v>680</v>
      </c>
      <c r="H688" s="4" t="s">
        <v>681</v>
      </c>
      <c r="I688" s="5">
        <v>138</v>
      </c>
      <c r="J688" s="4"/>
      <c r="K688" s="4" t="s">
        <v>678</v>
      </c>
      <c r="L688" s="4">
        <v>64920351</v>
      </c>
      <c r="M688" s="4"/>
    </row>
    <row r="689" spans="1:13" ht="15" customHeight="1">
      <c r="A689" s="4" t="s">
        <v>3338</v>
      </c>
      <c r="B689" s="4" t="s">
        <v>3339</v>
      </c>
      <c r="C689" s="4" t="s">
        <v>154</v>
      </c>
      <c r="D689" s="18">
        <v>0</v>
      </c>
      <c r="E689" s="18">
        <v>0</v>
      </c>
      <c r="F689" s="18"/>
      <c r="G689" s="4" t="s">
        <v>3340</v>
      </c>
      <c r="H689" s="4"/>
      <c r="I689" s="4">
        <v>2262</v>
      </c>
      <c r="J689" s="4"/>
      <c r="K689" s="4" t="s">
        <v>257</v>
      </c>
      <c r="L689" s="4">
        <v>596824149</v>
      </c>
      <c r="M689" s="4"/>
    </row>
    <row r="690" spans="1:13" ht="15" customHeight="1">
      <c r="A690" s="4" t="s">
        <v>3341</v>
      </c>
      <c r="B690" s="4" t="s">
        <v>3342</v>
      </c>
      <c r="C690" s="4" t="s">
        <v>1331</v>
      </c>
      <c r="D690" s="18"/>
      <c r="E690" s="18">
        <v>0</v>
      </c>
      <c r="F690" s="18">
        <v>0</v>
      </c>
      <c r="G690" s="4" t="s">
        <v>3343</v>
      </c>
      <c r="H690" s="4" t="s">
        <v>3344</v>
      </c>
      <c r="I690" s="4">
        <v>829</v>
      </c>
      <c r="J690" s="4"/>
      <c r="K690" s="4" t="s">
        <v>3345</v>
      </c>
      <c r="L690" s="4">
        <v>205069474</v>
      </c>
      <c r="M690" s="4"/>
    </row>
    <row r="691" spans="1:13" ht="15" customHeight="1">
      <c r="A691" s="4" t="s">
        <v>3346</v>
      </c>
      <c r="B691" s="4" t="s">
        <v>3347</v>
      </c>
      <c r="C691" s="4" t="s">
        <v>3348</v>
      </c>
      <c r="D691" s="18"/>
      <c r="E691" s="18">
        <v>0</v>
      </c>
      <c r="F691" s="18">
        <v>0</v>
      </c>
      <c r="G691" s="4" t="s">
        <v>3349</v>
      </c>
      <c r="H691" s="4" t="s">
        <v>3350</v>
      </c>
      <c r="I691" s="4">
        <v>1120</v>
      </c>
      <c r="J691" s="4"/>
      <c r="K691" s="4" t="s">
        <v>3123</v>
      </c>
      <c r="L691" s="4">
        <v>360359966</v>
      </c>
      <c r="M691" s="4"/>
    </row>
    <row r="692" spans="1:13" ht="15" customHeight="1">
      <c r="A692" s="4" t="s">
        <v>3351</v>
      </c>
      <c r="B692" s="4" t="s">
        <v>3352</v>
      </c>
      <c r="C692" s="4" t="s">
        <v>1331</v>
      </c>
      <c r="D692" s="18"/>
      <c r="E692" s="18">
        <v>0</v>
      </c>
      <c r="F692" s="18">
        <v>0</v>
      </c>
      <c r="G692" s="4" t="s">
        <v>3353</v>
      </c>
      <c r="H692" s="4" t="s">
        <v>3354</v>
      </c>
      <c r="I692" s="4">
        <v>134</v>
      </c>
      <c r="J692" s="4"/>
      <c r="K692" s="4" t="s">
        <v>3352</v>
      </c>
      <c r="L692" s="4">
        <v>60141031</v>
      </c>
      <c r="M692" s="4"/>
    </row>
    <row r="693" spans="1:13" ht="15" customHeight="1">
      <c r="A693" s="4" t="s">
        <v>3355</v>
      </c>
      <c r="B693" s="4" t="s">
        <v>3356</v>
      </c>
      <c r="C693" s="4" t="s">
        <v>154</v>
      </c>
      <c r="D693" s="18"/>
      <c r="E693" s="18">
        <v>0</v>
      </c>
      <c r="F693" s="18">
        <v>0</v>
      </c>
      <c r="G693" s="4" t="s">
        <v>3357</v>
      </c>
      <c r="H693" s="4" t="s">
        <v>3358</v>
      </c>
      <c r="I693" s="4">
        <v>8968</v>
      </c>
      <c r="J693" s="4"/>
      <c r="K693" s="4" t="s">
        <v>257</v>
      </c>
      <c r="L693" s="4">
        <v>639985095</v>
      </c>
      <c r="M693" s="4"/>
    </row>
    <row r="694" spans="1:13" ht="15" customHeight="1">
      <c r="A694" s="4" t="s">
        <v>3359</v>
      </c>
      <c r="B694" s="4" t="s">
        <v>3360</v>
      </c>
      <c r="C694" s="4" t="s">
        <v>3361</v>
      </c>
      <c r="D694" s="18"/>
      <c r="E694" s="18">
        <v>0</v>
      </c>
      <c r="F694" s="18">
        <v>0</v>
      </c>
      <c r="G694" s="4" t="s">
        <v>3362</v>
      </c>
      <c r="H694" s="4" t="s">
        <v>3363</v>
      </c>
      <c r="I694" s="4">
        <v>177</v>
      </c>
      <c r="J694" s="4"/>
      <c r="K694" s="4" t="s">
        <v>3364</v>
      </c>
      <c r="L694" s="4">
        <v>48129425</v>
      </c>
      <c r="M694" s="4"/>
    </row>
    <row r="695" spans="1:13" ht="15" customHeight="1">
      <c r="A695" s="4" t="s">
        <v>3365</v>
      </c>
      <c r="B695" s="4" t="s">
        <v>3366</v>
      </c>
      <c r="C695" s="4" t="s">
        <v>3367</v>
      </c>
      <c r="D695" s="18"/>
      <c r="E695" s="18">
        <v>0</v>
      </c>
      <c r="F695" s="18">
        <v>0</v>
      </c>
      <c r="G695" s="4" t="s">
        <v>3368</v>
      </c>
      <c r="H695" s="4" t="s">
        <v>3369</v>
      </c>
      <c r="I695" s="4">
        <v>43</v>
      </c>
      <c r="J695" s="4" t="s">
        <v>3370</v>
      </c>
      <c r="K695" s="4" t="s">
        <v>3371</v>
      </c>
      <c r="L695" s="4">
        <v>21412730</v>
      </c>
      <c r="M695" s="4"/>
    </row>
    <row r="696" spans="1:13" ht="15" customHeight="1">
      <c r="A696" s="4" t="s">
        <v>3372</v>
      </c>
      <c r="B696" s="4" t="s">
        <v>3373</v>
      </c>
      <c r="C696" s="4" t="s">
        <v>175</v>
      </c>
      <c r="D696" s="4"/>
      <c r="E696" s="4">
        <v>0</v>
      </c>
      <c r="F696" s="4">
        <v>0</v>
      </c>
      <c r="G696" s="4" t="s">
        <v>3374</v>
      </c>
      <c r="H696" s="4" t="s">
        <v>3375</v>
      </c>
      <c r="I696" s="4">
        <v>1074</v>
      </c>
      <c r="J696" s="4"/>
      <c r="K696" s="4" t="s">
        <v>3376</v>
      </c>
      <c r="L696" s="4">
        <v>349860283</v>
      </c>
      <c r="M696" s="4"/>
    </row>
    <row r="697" spans="1:13" ht="15">
      <c r="A697" s="4" t="s">
        <v>3377</v>
      </c>
      <c r="B697" s="4" t="s">
        <v>3378</v>
      </c>
      <c r="C697" s="4" t="s">
        <v>3379</v>
      </c>
      <c r="D697" s="4"/>
      <c r="E697" s="4">
        <v>0</v>
      </c>
      <c r="F697" s="4">
        <v>0</v>
      </c>
      <c r="G697" s="4" t="s">
        <v>3380</v>
      </c>
      <c r="H697" s="4" t="s">
        <v>3381</v>
      </c>
      <c r="I697" s="4">
        <v>830</v>
      </c>
      <c r="J697" s="4" t="s">
        <v>3382</v>
      </c>
      <c r="K697" s="4" t="s">
        <v>3383</v>
      </c>
      <c r="L697" s="4">
        <v>698873134</v>
      </c>
      <c r="M697" s="4"/>
    </row>
    <row r="698" spans="1:13" ht="15">
      <c r="A698" s="4" t="s">
        <v>3384</v>
      </c>
      <c r="B698" s="4" t="s">
        <v>1896</v>
      </c>
      <c r="C698" s="4" t="s">
        <v>1897</v>
      </c>
      <c r="D698" s="4"/>
      <c r="E698" s="4">
        <v>0</v>
      </c>
      <c r="F698" s="4">
        <v>0</v>
      </c>
      <c r="G698" s="4" t="s">
        <v>3385</v>
      </c>
      <c r="H698" s="4"/>
      <c r="I698" s="4">
        <v>79</v>
      </c>
      <c r="J698" s="4"/>
      <c r="K698" s="4" t="s">
        <v>3386</v>
      </c>
      <c r="L698" s="4">
        <v>17451675</v>
      </c>
      <c r="M698" s="4"/>
    </row>
    <row r="699" spans="1:13" ht="15">
      <c r="A699" s="4" t="s">
        <v>3387</v>
      </c>
      <c r="B699" s="4" t="s">
        <v>3388</v>
      </c>
      <c r="C699" s="4" t="s">
        <v>154</v>
      </c>
      <c r="D699" s="4" t="s">
        <v>3389</v>
      </c>
      <c r="E699" s="4">
        <v>5028</v>
      </c>
      <c r="F699" s="4">
        <v>155</v>
      </c>
      <c r="G699" s="4" t="s">
        <v>3390</v>
      </c>
      <c r="H699" s="4" t="s">
        <v>3391</v>
      </c>
      <c r="I699" s="4">
        <v>5420</v>
      </c>
      <c r="J699" s="4"/>
      <c r="K699" s="4" t="s">
        <v>158</v>
      </c>
      <c r="L699" s="4">
        <v>382573562</v>
      </c>
      <c r="M699" s="4"/>
    </row>
    <row r="700" spans="1:13" ht="15">
      <c r="A700" s="4" t="s">
        <v>3392</v>
      </c>
      <c r="B700" s="4" t="s">
        <v>3393</v>
      </c>
      <c r="C700" s="4" t="s">
        <v>1331</v>
      </c>
      <c r="D700" s="4"/>
      <c r="E700" s="4">
        <v>0</v>
      </c>
      <c r="F700" s="4">
        <v>0</v>
      </c>
      <c r="G700" s="4" t="s">
        <v>3394</v>
      </c>
      <c r="H700" s="4" t="s">
        <v>3395</v>
      </c>
      <c r="I700" s="4">
        <v>269</v>
      </c>
      <c r="J700" s="4" t="s">
        <v>3396</v>
      </c>
      <c r="K700" s="4" t="s">
        <v>3397</v>
      </c>
      <c r="L700" s="4">
        <v>162536625</v>
      </c>
      <c r="M700" s="4"/>
    </row>
    <row r="701" spans="1:13" ht="15">
      <c r="A701" s="4" t="s">
        <v>3398</v>
      </c>
      <c r="B701" s="4" t="s">
        <v>3399</v>
      </c>
      <c r="C701" s="4" t="s">
        <v>3400</v>
      </c>
      <c r="D701" s="4"/>
      <c r="E701" s="4">
        <v>0</v>
      </c>
      <c r="F701" s="4">
        <v>0</v>
      </c>
      <c r="G701" s="4" t="s">
        <v>3401</v>
      </c>
      <c r="H701" s="4" t="s">
        <v>3402</v>
      </c>
      <c r="I701" s="4">
        <v>1339</v>
      </c>
      <c r="J701" s="4"/>
      <c r="K701" s="4" t="s">
        <v>3403</v>
      </c>
      <c r="L701" s="4">
        <v>570127969</v>
      </c>
      <c r="M701" s="4"/>
    </row>
    <row r="702" spans="1:13" ht="15">
      <c r="A702" s="4" t="s">
        <v>3404</v>
      </c>
      <c r="B702" s="4" t="s">
        <v>3405</v>
      </c>
      <c r="C702" s="4" t="s">
        <v>3406</v>
      </c>
      <c r="D702" s="4"/>
      <c r="E702" s="4">
        <v>0</v>
      </c>
      <c r="F702" s="4">
        <v>0</v>
      </c>
      <c r="G702" s="4" t="s">
        <v>3407</v>
      </c>
      <c r="H702" s="4" t="s">
        <v>3408</v>
      </c>
      <c r="I702" s="4">
        <v>1976</v>
      </c>
      <c r="J702" s="4"/>
      <c r="K702" s="4" t="s">
        <v>262</v>
      </c>
      <c r="L702" s="4">
        <v>451667350</v>
      </c>
      <c r="M702" s="4" t="s">
        <v>322</v>
      </c>
    </row>
    <row r="703" spans="1:13" ht="15">
      <c r="A703" s="4" t="s">
        <v>3409</v>
      </c>
      <c r="B703" s="4" t="s">
        <v>3410</v>
      </c>
      <c r="C703" s="4" t="s">
        <v>3411</v>
      </c>
      <c r="D703" s="4"/>
      <c r="E703" s="4">
        <v>0</v>
      </c>
      <c r="F703" s="4">
        <v>0</v>
      </c>
      <c r="G703" s="4" t="s">
        <v>3412</v>
      </c>
      <c r="H703" s="4" t="s">
        <v>3413</v>
      </c>
      <c r="I703" s="4">
        <v>16</v>
      </c>
      <c r="J703" s="4"/>
      <c r="K703" s="4" t="s">
        <v>3410</v>
      </c>
      <c r="L703" s="4">
        <v>13443964</v>
      </c>
      <c r="M703" s="4"/>
    </row>
    <row r="704" spans="1:13" ht="15">
      <c r="A704" s="4" t="s">
        <v>3414</v>
      </c>
      <c r="B704" s="4" t="s">
        <v>3415</v>
      </c>
      <c r="C704" s="4" t="s">
        <v>742</v>
      </c>
      <c r="D704" s="4"/>
      <c r="E704" s="4">
        <v>0</v>
      </c>
      <c r="F704" s="4">
        <v>0</v>
      </c>
      <c r="G704" s="4" t="s">
        <v>3416</v>
      </c>
      <c r="H704" s="4" t="s">
        <v>3417</v>
      </c>
      <c r="I704" s="4">
        <v>36</v>
      </c>
      <c r="J704" s="4"/>
      <c r="K704" s="4"/>
      <c r="L704" s="4">
        <v>29643037</v>
      </c>
      <c r="M704" s="4"/>
    </row>
    <row r="705" spans="1:13" ht="15">
      <c r="A705" s="4" t="s">
        <v>3418</v>
      </c>
      <c r="B705" s="4" t="s">
        <v>3419</v>
      </c>
      <c r="C705" s="4" t="s">
        <v>3420</v>
      </c>
      <c r="D705" s="4"/>
      <c r="E705" s="4">
        <v>0</v>
      </c>
      <c r="F705" s="4">
        <v>0</v>
      </c>
      <c r="G705" s="4" t="s">
        <v>3421</v>
      </c>
      <c r="H705" s="4" t="s">
        <v>3422</v>
      </c>
      <c r="I705" s="4">
        <v>5317</v>
      </c>
      <c r="J705" s="4" t="s">
        <v>3423</v>
      </c>
      <c r="K705" s="4" t="s">
        <v>3419</v>
      </c>
      <c r="L705" s="4">
        <v>843572009</v>
      </c>
      <c r="M705" s="4" t="s">
        <v>2789</v>
      </c>
    </row>
    <row r="706" spans="1:13" ht="15">
      <c r="A706" s="4" t="s">
        <v>3424</v>
      </c>
      <c r="B706" s="4" t="s">
        <v>3425</v>
      </c>
      <c r="C706" s="4" t="s">
        <v>1331</v>
      </c>
      <c r="D706" s="4"/>
      <c r="E706" s="4">
        <v>0</v>
      </c>
      <c r="F706" s="4">
        <v>0</v>
      </c>
      <c r="G706" s="4" t="s">
        <v>3426</v>
      </c>
      <c r="H706" s="4" t="s">
        <v>3427</v>
      </c>
      <c r="I706" s="4">
        <v>64</v>
      </c>
      <c r="J706" s="4"/>
      <c r="K706" s="4" t="s">
        <v>1763</v>
      </c>
      <c r="L706" s="4">
        <v>15363963</v>
      </c>
      <c r="M706" s="4"/>
    </row>
    <row r="707" spans="1:13" ht="15">
      <c r="A707" s="4" t="s">
        <v>3428</v>
      </c>
      <c r="B707" s="4" t="s">
        <v>134</v>
      </c>
      <c r="C707" s="4" t="s">
        <v>135</v>
      </c>
      <c r="D707" s="4"/>
      <c r="E707" s="4">
        <v>0</v>
      </c>
      <c r="F707" s="4">
        <v>0</v>
      </c>
      <c r="G707" s="4" t="s">
        <v>3429</v>
      </c>
      <c r="H707" s="4" t="s">
        <v>3430</v>
      </c>
      <c r="I707" s="4">
        <v>369</v>
      </c>
      <c r="J707" s="4"/>
      <c r="K707" s="4" t="s">
        <v>3431</v>
      </c>
      <c r="L707" s="4">
        <v>29391170</v>
      </c>
      <c r="M707" s="4"/>
    </row>
    <row r="708" spans="1:13" ht="15">
      <c r="A708" s="4" t="s">
        <v>3432</v>
      </c>
      <c r="B708" s="4" t="s">
        <v>3433</v>
      </c>
      <c r="C708" s="4" t="s">
        <v>131</v>
      </c>
      <c r="D708" s="4"/>
      <c r="E708" s="4">
        <v>0</v>
      </c>
      <c r="F708" s="4">
        <v>0</v>
      </c>
      <c r="G708" s="4" t="s">
        <v>3434</v>
      </c>
      <c r="H708" s="4" t="s">
        <v>3435</v>
      </c>
      <c r="I708" s="4">
        <v>28</v>
      </c>
      <c r="J708" s="4"/>
      <c r="K708" s="4" t="s">
        <v>2189</v>
      </c>
      <c r="L708" s="4">
        <v>14497038</v>
      </c>
      <c r="M708" s="4"/>
    </row>
    <row r="709" spans="1:13" ht="15">
      <c r="A709" s="4" t="s">
        <v>3436</v>
      </c>
      <c r="B709" s="4" t="s">
        <v>3437</v>
      </c>
      <c r="C709" s="4" t="s">
        <v>679</v>
      </c>
      <c r="D709" s="4"/>
      <c r="E709" s="4">
        <v>0</v>
      </c>
      <c r="F709" s="4">
        <v>0</v>
      </c>
      <c r="G709" s="4" t="s">
        <v>3438</v>
      </c>
      <c r="H709" s="4" t="s">
        <v>3439</v>
      </c>
      <c r="I709" s="4">
        <v>145</v>
      </c>
      <c r="J709" s="4"/>
      <c r="K709" s="4" t="s">
        <v>789</v>
      </c>
      <c r="L709" s="4">
        <v>57152134</v>
      </c>
      <c r="M709" s="4"/>
    </row>
    <row r="710" spans="1:13" ht="15">
      <c r="A710" s="4" t="s">
        <v>3440</v>
      </c>
      <c r="B710" s="4" t="s">
        <v>3441</v>
      </c>
      <c r="C710" s="4" t="s">
        <v>679</v>
      </c>
      <c r="D710" s="4" t="s">
        <v>3442</v>
      </c>
      <c r="E710" s="4">
        <v>28</v>
      </c>
      <c r="F710" s="4">
        <v>4</v>
      </c>
      <c r="G710" s="4" t="s">
        <v>3443</v>
      </c>
      <c r="H710" s="4"/>
      <c r="I710" s="4">
        <v>170</v>
      </c>
      <c r="J710" s="4" t="s">
        <v>3441</v>
      </c>
      <c r="K710" s="4" t="s">
        <v>3441</v>
      </c>
      <c r="L710" s="4">
        <v>59072110</v>
      </c>
      <c r="M710" s="4"/>
    </row>
    <row r="711" spans="1:13" ht="15">
      <c r="A711" s="4" t="s">
        <v>3444</v>
      </c>
      <c r="B711" s="4" t="s">
        <v>3445</v>
      </c>
      <c r="C711" s="4" t="s">
        <v>1670</v>
      </c>
      <c r="D711" s="4"/>
      <c r="E711" s="4">
        <v>0</v>
      </c>
      <c r="F711" s="4">
        <v>0</v>
      </c>
      <c r="G711" s="4" t="s">
        <v>3446</v>
      </c>
      <c r="H711" s="4"/>
      <c r="I711" s="4">
        <v>0</v>
      </c>
      <c r="J711" s="4"/>
      <c r="K711" s="4" t="s">
        <v>3447</v>
      </c>
      <c r="L711" s="4">
        <v>597328</v>
      </c>
      <c r="M711" s="4"/>
    </row>
    <row r="712" spans="1:13" ht="15">
      <c r="A712" s="4" t="s">
        <v>3448</v>
      </c>
      <c r="B712" s="4" t="s">
        <v>3449</v>
      </c>
      <c r="C712" s="4" t="s">
        <v>3011</v>
      </c>
      <c r="D712" s="4"/>
      <c r="E712" s="4">
        <v>0</v>
      </c>
      <c r="F712" s="4">
        <v>0</v>
      </c>
      <c r="G712" s="4" t="s">
        <v>3450</v>
      </c>
      <c r="H712" s="4" t="s">
        <v>3451</v>
      </c>
      <c r="I712" s="4">
        <v>910</v>
      </c>
      <c r="J712" s="4"/>
      <c r="K712" s="4" t="s">
        <v>3452</v>
      </c>
      <c r="L712" s="4">
        <v>110160655</v>
      </c>
      <c r="M712" s="4"/>
    </row>
    <row r="713" spans="1:13" ht="15">
      <c r="A713" s="4" t="s">
        <v>3453</v>
      </c>
      <c r="B713" s="4" t="s">
        <v>3454</v>
      </c>
      <c r="C713" s="4" t="s">
        <v>3455</v>
      </c>
      <c r="D713" s="4"/>
      <c r="E713" s="4">
        <v>0</v>
      </c>
      <c r="F713" s="4">
        <v>0</v>
      </c>
      <c r="G713" s="4" t="s">
        <v>3456</v>
      </c>
      <c r="H713" s="4" t="s">
        <v>3457</v>
      </c>
      <c r="I713" s="4">
        <v>10</v>
      </c>
      <c r="J713" s="4" t="s">
        <v>3458</v>
      </c>
      <c r="K713" s="4" t="s">
        <v>3459</v>
      </c>
      <c r="L713" s="4">
        <v>861479</v>
      </c>
      <c r="M713" s="4"/>
    </row>
    <row r="714" spans="1:13" ht="15">
      <c r="A714" s="4" t="s">
        <v>3460</v>
      </c>
      <c r="B714" s="4" t="s">
        <v>3461</v>
      </c>
      <c r="C714" s="4" t="s">
        <v>3462</v>
      </c>
      <c r="D714" s="4"/>
      <c r="E714" s="4">
        <v>0</v>
      </c>
      <c r="F714" s="4">
        <v>0</v>
      </c>
      <c r="G714" s="4" t="s">
        <v>3463</v>
      </c>
      <c r="H714" s="4"/>
      <c r="I714" s="4">
        <v>54</v>
      </c>
      <c r="J714" s="4"/>
      <c r="K714" s="4" t="s">
        <v>3461</v>
      </c>
      <c r="L714" s="4">
        <v>11328017</v>
      </c>
      <c r="M714" s="4"/>
    </row>
    <row r="715" spans="1:13" ht="15">
      <c r="A715" s="4" t="s">
        <v>3464</v>
      </c>
      <c r="B715" s="4" t="s">
        <v>3465</v>
      </c>
      <c r="C715" s="4" t="s">
        <v>3462</v>
      </c>
      <c r="D715" s="4"/>
      <c r="E715" s="4">
        <v>0</v>
      </c>
      <c r="F715" s="4">
        <v>0</v>
      </c>
      <c r="G715" s="4" t="s">
        <v>3466</v>
      </c>
      <c r="H715" s="4" t="s">
        <v>3467</v>
      </c>
      <c r="I715" s="4">
        <v>30</v>
      </c>
      <c r="J715" s="4"/>
      <c r="K715" s="4" t="s">
        <v>3465</v>
      </c>
      <c r="L715" s="4">
        <v>420772</v>
      </c>
      <c r="M715" s="4"/>
    </row>
    <row r="716" spans="1:13" ht="15">
      <c r="A716" s="4" t="s">
        <v>3468</v>
      </c>
      <c r="B716" s="4" t="s">
        <v>3469</v>
      </c>
      <c r="C716" s="4" t="s">
        <v>154</v>
      </c>
      <c r="D716" s="4"/>
      <c r="E716" s="4">
        <v>0</v>
      </c>
      <c r="F716" s="4">
        <v>0</v>
      </c>
      <c r="G716" s="4" t="s">
        <v>3470</v>
      </c>
      <c r="H716" s="4"/>
      <c r="I716" s="4">
        <v>4254</v>
      </c>
      <c r="J716" s="4"/>
      <c r="K716" s="4" t="s">
        <v>292</v>
      </c>
      <c r="L716" s="4">
        <v>493686852</v>
      </c>
      <c r="M716" s="4"/>
    </row>
    <row r="717" spans="1:13" ht="15">
      <c r="A717" s="4" t="s">
        <v>3471</v>
      </c>
      <c r="B717" s="4" t="s">
        <v>3095</v>
      </c>
      <c r="C717" s="4" t="s">
        <v>3472</v>
      </c>
      <c r="D717" s="4"/>
      <c r="E717" s="4">
        <v>0</v>
      </c>
      <c r="F717" s="4">
        <v>0</v>
      </c>
      <c r="G717" s="4" t="s">
        <v>3473</v>
      </c>
      <c r="H717" s="4"/>
      <c r="I717" s="4">
        <v>9</v>
      </c>
      <c r="J717" s="4"/>
      <c r="K717" s="4" t="s">
        <v>3474</v>
      </c>
      <c r="L717" s="4">
        <v>696626</v>
      </c>
      <c r="M717" s="4"/>
    </row>
    <row r="718" spans="1:13" ht="15">
      <c r="A718" s="4" t="s">
        <v>3475</v>
      </c>
      <c r="B718" s="4" t="s">
        <v>3476</v>
      </c>
      <c r="C718" s="4" t="s">
        <v>3477</v>
      </c>
      <c r="D718" s="4"/>
      <c r="E718" s="4">
        <v>0</v>
      </c>
      <c r="F718" s="4">
        <v>0</v>
      </c>
      <c r="G718" s="4" t="s">
        <v>3478</v>
      </c>
      <c r="H718" s="4"/>
      <c r="I718" s="4">
        <v>5</v>
      </c>
      <c r="J718" s="4"/>
      <c r="K718" s="4" t="s">
        <v>3476</v>
      </c>
      <c r="L718" s="4">
        <v>56546</v>
      </c>
      <c r="M718" s="4"/>
    </row>
    <row r="719" spans="1:13" ht="15">
      <c r="A719" s="4" t="s">
        <v>3479</v>
      </c>
      <c r="B719" s="4" t="s">
        <v>3480</v>
      </c>
      <c r="C719" s="4" t="s">
        <v>1457</v>
      </c>
      <c r="D719" s="4"/>
      <c r="E719" s="4">
        <v>0</v>
      </c>
      <c r="F719" s="4">
        <v>0</v>
      </c>
      <c r="G719" s="4" t="s">
        <v>3481</v>
      </c>
      <c r="H719" s="4" t="s">
        <v>3482</v>
      </c>
      <c r="I719" s="4">
        <v>339</v>
      </c>
      <c r="J719" s="4" t="s">
        <v>3483</v>
      </c>
      <c r="K719" s="4" t="s">
        <v>3484</v>
      </c>
      <c r="L719" s="4">
        <v>197159453</v>
      </c>
      <c r="M719" s="4"/>
    </row>
    <row r="720" spans="1:13" ht="15">
      <c r="A720" s="4" t="s">
        <v>3485</v>
      </c>
      <c r="B720" s="4" t="s">
        <v>3486</v>
      </c>
      <c r="C720" s="4" t="s">
        <v>2225</v>
      </c>
      <c r="D720" s="4"/>
      <c r="E720" s="4">
        <v>0</v>
      </c>
      <c r="F720" s="4">
        <v>0</v>
      </c>
      <c r="G720" s="4" t="s">
        <v>3487</v>
      </c>
      <c r="H720" s="4"/>
      <c r="I720" s="4">
        <v>11</v>
      </c>
      <c r="J720" s="4" t="s">
        <v>3486</v>
      </c>
      <c r="K720" s="4" t="s">
        <v>3486</v>
      </c>
      <c r="L720" s="4">
        <v>2675569</v>
      </c>
      <c r="M720" s="4"/>
    </row>
    <row r="721" spans="1:13" ht="15">
      <c r="A721" s="4" t="s">
        <v>3488</v>
      </c>
      <c r="B721" s="4" t="s">
        <v>3489</v>
      </c>
      <c r="C721" s="4" t="s">
        <v>3490</v>
      </c>
      <c r="D721" s="4"/>
      <c r="E721" s="4">
        <v>0</v>
      </c>
      <c r="F721" s="4">
        <v>0</v>
      </c>
      <c r="G721" s="4" t="s">
        <v>3491</v>
      </c>
      <c r="H721" s="4" t="s">
        <v>3492</v>
      </c>
      <c r="I721" s="4">
        <v>138</v>
      </c>
      <c r="J721" s="4"/>
      <c r="K721" s="4" t="s">
        <v>3493</v>
      </c>
      <c r="L721" s="4">
        <v>93943426</v>
      </c>
      <c r="M721" s="4"/>
    </row>
    <row r="722" spans="1:13" ht="15">
      <c r="A722" s="4" t="s">
        <v>3494</v>
      </c>
      <c r="B722" s="4" t="s">
        <v>3495</v>
      </c>
      <c r="C722" s="4" t="s">
        <v>3496</v>
      </c>
      <c r="D722" s="4"/>
      <c r="E722" s="4">
        <v>0</v>
      </c>
      <c r="F722" s="4">
        <v>0</v>
      </c>
      <c r="G722" s="4" t="s">
        <v>3497</v>
      </c>
      <c r="H722" s="4" t="s">
        <v>3498</v>
      </c>
      <c r="I722" s="4">
        <v>444</v>
      </c>
      <c r="J722" s="4"/>
      <c r="K722" s="4" t="s">
        <v>3499</v>
      </c>
      <c r="L722" s="4">
        <v>93052303</v>
      </c>
      <c r="M722" s="4"/>
    </row>
    <row r="723" spans="1:13" ht="15">
      <c r="A723" s="4" t="s">
        <v>3500</v>
      </c>
      <c r="B723" s="4" t="s">
        <v>3501</v>
      </c>
      <c r="C723" s="4" t="s">
        <v>154</v>
      </c>
      <c r="D723" s="4" t="s">
        <v>3502</v>
      </c>
      <c r="E723" s="4">
        <v>71193</v>
      </c>
      <c r="F723" s="4">
        <v>5295</v>
      </c>
      <c r="G723" s="4" t="s">
        <v>3503</v>
      </c>
      <c r="H723" s="4" t="s">
        <v>3504</v>
      </c>
      <c r="I723" s="4">
        <v>1425</v>
      </c>
      <c r="J723" s="4"/>
      <c r="K723" s="4" t="s">
        <v>1026</v>
      </c>
      <c r="L723" s="4">
        <v>901923247</v>
      </c>
      <c r="M723" s="4"/>
    </row>
    <row r="724" spans="1:13" ht="15">
      <c r="A724" s="4" t="s">
        <v>3505</v>
      </c>
      <c r="B724" s="4" t="s">
        <v>3506</v>
      </c>
      <c r="C724" s="4" t="s">
        <v>1545</v>
      </c>
      <c r="D724" s="4"/>
      <c r="E724" s="4">
        <v>0</v>
      </c>
      <c r="F724" s="4">
        <v>0</v>
      </c>
      <c r="G724" s="4" t="s">
        <v>3507</v>
      </c>
      <c r="H724" s="4" t="s">
        <v>3508</v>
      </c>
      <c r="I724" s="4">
        <v>9</v>
      </c>
      <c r="J724" s="4" t="s">
        <v>3509</v>
      </c>
      <c r="K724" s="4" t="s">
        <v>3510</v>
      </c>
      <c r="L724" s="4">
        <v>7110077</v>
      </c>
      <c r="M724" s="4"/>
    </row>
    <row r="725" spans="1:13" ht="15">
      <c r="A725" s="4" t="s">
        <v>3511</v>
      </c>
      <c r="B725" s="4" t="s">
        <v>6393</v>
      </c>
      <c r="C725" s="4" t="s">
        <v>3512</v>
      </c>
      <c r="D725" s="4"/>
      <c r="E725" s="4">
        <v>0</v>
      </c>
      <c r="F725" s="4">
        <v>0</v>
      </c>
      <c r="G725" s="4" t="s">
        <v>3513</v>
      </c>
      <c r="H725" s="4"/>
      <c r="I725" s="4">
        <v>54</v>
      </c>
      <c r="J725" s="4"/>
      <c r="K725" s="4" t="s">
        <v>3514</v>
      </c>
      <c r="L725" s="4">
        <v>19774972</v>
      </c>
      <c r="M725" s="4"/>
    </row>
    <row r="726" spans="1:13" ht="15">
      <c r="A726" s="4" t="s">
        <v>3515</v>
      </c>
      <c r="B726" s="4" t="s">
        <v>3516</v>
      </c>
      <c r="C726" s="4" t="s">
        <v>1331</v>
      </c>
      <c r="D726" s="4"/>
      <c r="E726" s="4">
        <v>0</v>
      </c>
      <c r="F726" s="4">
        <v>0</v>
      </c>
      <c r="G726" s="4" t="s">
        <v>3517</v>
      </c>
      <c r="H726" s="4" t="s">
        <v>3518</v>
      </c>
      <c r="I726" s="4">
        <v>227</v>
      </c>
      <c r="J726" s="4"/>
      <c r="K726" s="4" t="s">
        <v>1763</v>
      </c>
      <c r="L726" s="4">
        <v>34465095</v>
      </c>
      <c r="M726" s="4"/>
    </row>
    <row r="727" spans="1:13" ht="15">
      <c r="A727" s="4" t="s">
        <v>3520</v>
      </c>
      <c r="B727" s="4" t="s">
        <v>3521</v>
      </c>
      <c r="C727" s="4" t="s">
        <v>3522</v>
      </c>
      <c r="D727" s="4"/>
      <c r="E727" s="4">
        <v>0</v>
      </c>
      <c r="F727" s="4">
        <v>0</v>
      </c>
      <c r="G727" s="4" t="s">
        <v>3523</v>
      </c>
      <c r="H727" s="4"/>
      <c r="I727" s="4">
        <v>448</v>
      </c>
      <c r="J727" s="4"/>
      <c r="K727" s="4" t="s">
        <v>3521</v>
      </c>
      <c r="L727" s="4">
        <v>64033545</v>
      </c>
      <c r="M727" s="4" t="s">
        <v>1224</v>
      </c>
    </row>
    <row r="728" spans="1:13" ht="15">
      <c r="A728" s="4" t="s">
        <v>3524</v>
      </c>
      <c r="B728" s="4" t="s">
        <v>6390</v>
      </c>
      <c r="C728" s="4" t="s">
        <v>6389</v>
      </c>
      <c r="D728" s="4"/>
      <c r="E728" s="4">
        <v>0</v>
      </c>
      <c r="F728" s="4">
        <v>0</v>
      </c>
      <c r="G728" s="4" t="s">
        <v>3525</v>
      </c>
      <c r="H728" s="4"/>
      <c r="I728" s="4">
        <v>2</v>
      </c>
      <c r="J728" s="4"/>
      <c r="K728" s="4" t="s">
        <v>3526</v>
      </c>
      <c r="L728" s="4">
        <v>1437978</v>
      </c>
      <c r="M728" s="4"/>
    </row>
    <row r="729" spans="1:13" ht="15">
      <c r="A729" s="4"/>
      <c r="B729" s="4"/>
      <c r="C729" s="4"/>
      <c r="D729" s="4"/>
      <c r="E729" s="4"/>
      <c r="F729" s="4"/>
      <c r="G729" s="4"/>
      <c r="H729" s="4"/>
      <c r="I729" s="4"/>
      <c r="J729" s="4"/>
      <c r="K729" s="4"/>
      <c r="L729" s="4"/>
      <c r="M729" s="4"/>
    </row>
    <row r="730" spans="1:13" ht="15">
      <c r="A730" s="4"/>
      <c r="B730" s="4"/>
      <c r="C730" s="4"/>
      <c r="D730" s="4"/>
      <c r="E730" s="4"/>
      <c r="F730" s="4"/>
      <c r="G730" s="4"/>
      <c r="H730" s="4"/>
      <c r="I730" s="4"/>
      <c r="J730" s="4"/>
      <c r="K730" s="4"/>
      <c r="L730" s="4"/>
      <c r="M730" s="4"/>
    </row>
    <row r="731" spans="1:13" ht="15">
      <c r="A731" s="4"/>
      <c r="B731" s="4"/>
      <c r="C731" s="4"/>
      <c r="D731" s="4"/>
      <c r="E731" s="4"/>
      <c r="F731" s="4"/>
      <c r="G731" s="4"/>
      <c r="H731" s="4"/>
      <c r="I731" s="4"/>
      <c r="J731" s="4"/>
      <c r="K731" s="4"/>
      <c r="L731" s="4"/>
      <c r="M731" s="4"/>
    </row>
    <row r="732" spans="1:13" ht="15">
      <c r="A732" s="4"/>
      <c r="B732" s="4"/>
      <c r="C732" s="4"/>
      <c r="D732" s="4"/>
      <c r="E732" s="4"/>
      <c r="F732" s="4"/>
      <c r="G732" s="4"/>
      <c r="H732" s="4"/>
      <c r="I732" s="4"/>
      <c r="J732" s="4"/>
      <c r="K732" s="4"/>
      <c r="L732" s="4"/>
      <c r="M732" s="4"/>
    </row>
    <row r="733" spans="1:13" ht="15">
      <c r="A733" s="4"/>
      <c r="B733" s="4"/>
      <c r="C733" s="4"/>
      <c r="D733" s="4"/>
      <c r="E733" s="4"/>
      <c r="F733" s="4"/>
      <c r="G733" s="4"/>
      <c r="H733" s="4"/>
      <c r="I733" s="4"/>
      <c r="J733" s="4"/>
      <c r="K733" s="4"/>
      <c r="L733" s="4"/>
      <c r="M733" s="4"/>
    </row>
    <row r="734" spans="1:13" ht="15">
      <c r="A734" s="4"/>
      <c r="B734" s="4"/>
      <c r="C734" s="4"/>
      <c r="D734" s="4"/>
      <c r="E734" s="4"/>
      <c r="F734" s="4"/>
      <c r="G734" s="4"/>
      <c r="H734" s="4"/>
      <c r="I734" s="4"/>
      <c r="J734" s="4"/>
      <c r="K734" s="4"/>
      <c r="L734" s="4"/>
      <c r="M734" s="4"/>
    </row>
    <row r="735" spans="1:13" ht="15">
      <c r="A735" s="4"/>
      <c r="B735" s="4"/>
      <c r="C735" s="4"/>
      <c r="D735" s="4"/>
      <c r="E735" s="4"/>
      <c r="F735" s="4"/>
      <c r="G735" s="4"/>
      <c r="H735" s="4"/>
      <c r="I735" s="4"/>
      <c r="J735" s="4"/>
      <c r="K735" s="4"/>
      <c r="L735" s="4"/>
      <c r="M735" s="4"/>
    </row>
    <row r="736" spans="1:13" ht="15">
      <c r="A736" s="4"/>
      <c r="B736" s="4"/>
      <c r="C736" s="4"/>
      <c r="D736" s="4"/>
      <c r="E736" s="4"/>
      <c r="F736" s="4"/>
      <c r="G736" s="4"/>
      <c r="H736" s="4"/>
      <c r="I736" s="4"/>
      <c r="J736" s="4"/>
      <c r="K736" s="4"/>
      <c r="L736" s="4"/>
      <c r="M736" s="4"/>
    </row>
    <row r="737" spans="1:13" ht="15">
      <c r="A737" s="4"/>
      <c r="B737" s="4"/>
      <c r="C737" s="4"/>
      <c r="D737" s="4"/>
      <c r="E737" s="4"/>
      <c r="F737" s="4"/>
      <c r="G737" s="4"/>
      <c r="H737" s="4"/>
      <c r="I737" s="4"/>
      <c r="J737" s="4"/>
      <c r="K737" s="4"/>
      <c r="L737" s="4"/>
      <c r="M737" s="4"/>
    </row>
    <row r="738" spans="1:13" ht="15">
      <c r="A738" s="4"/>
      <c r="B738" s="4"/>
      <c r="C738" s="4"/>
      <c r="D738" s="4"/>
      <c r="E738" s="4"/>
      <c r="F738" s="4"/>
      <c r="G738" s="4"/>
      <c r="H738" s="4"/>
      <c r="I738" s="4"/>
      <c r="J738" s="4"/>
      <c r="K738" s="4"/>
      <c r="L738" s="4"/>
      <c r="M738" s="4"/>
    </row>
    <row r="739" spans="1:13" ht="15">
      <c r="A739" s="4"/>
      <c r="B739" s="4"/>
      <c r="C739" s="4"/>
      <c r="D739" s="4"/>
      <c r="E739" s="4"/>
      <c r="F739" s="4"/>
      <c r="G739" s="4"/>
      <c r="H739" s="4"/>
      <c r="I739" s="4"/>
      <c r="J739" s="4"/>
      <c r="K739" s="4"/>
      <c r="L739" s="4"/>
      <c r="M739" s="4"/>
    </row>
    <row r="740" spans="1:13" ht="15">
      <c r="A740" s="4"/>
      <c r="B740" s="4"/>
      <c r="C740" s="4"/>
      <c r="D740" s="4"/>
      <c r="E740" s="4"/>
      <c r="F740" s="4"/>
      <c r="G740" s="4"/>
      <c r="H740" s="4"/>
      <c r="I740" s="4"/>
      <c r="J740" s="4"/>
      <c r="K740" s="4"/>
      <c r="L740" s="4"/>
      <c r="M740" s="4"/>
    </row>
    <row r="741" spans="1:13" ht="15">
      <c r="A741" s="4"/>
      <c r="B741" s="4"/>
      <c r="C741" s="4"/>
      <c r="D741" s="4"/>
      <c r="E741" s="4"/>
      <c r="F741" s="4"/>
      <c r="G741" s="4"/>
      <c r="H741" s="4"/>
      <c r="I741" s="4"/>
      <c r="J741" s="4"/>
      <c r="K741" s="4"/>
      <c r="L741" s="4"/>
      <c r="M741" s="4"/>
    </row>
    <row r="742" spans="1:13" ht="15">
      <c r="A742" s="4"/>
      <c r="B742" s="4"/>
      <c r="C742" s="4"/>
      <c r="D742" s="4"/>
      <c r="E742" s="4"/>
      <c r="F742" s="4"/>
      <c r="G742" s="4"/>
      <c r="H742" s="4"/>
      <c r="I742" s="4"/>
      <c r="J742" s="4"/>
      <c r="K742" s="4"/>
      <c r="L742" s="4"/>
      <c r="M742" s="4"/>
    </row>
    <row r="743" spans="1:13" ht="15">
      <c r="A743" s="4"/>
      <c r="B743" s="4"/>
      <c r="C743" s="4"/>
      <c r="D743" s="4"/>
      <c r="E743" s="4"/>
      <c r="F743" s="4"/>
      <c r="G743" s="4"/>
      <c r="H743" s="4"/>
      <c r="I743" s="4"/>
      <c r="J743" s="4"/>
      <c r="K743" s="4"/>
      <c r="L743" s="4"/>
      <c r="M743" s="4"/>
    </row>
    <row r="744" spans="1:13" ht="15">
      <c r="A744" s="4"/>
      <c r="B744" s="4"/>
      <c r="C744" s="4"/>
      <c r="D744" s="4"/>
      <c r="E744" s="4"/>
      <c r="F744" s="4"/>
      <c r="G744" s="4"/>
      <c r="H744" s="4"/>
      <c r="I744" s="4"/>
      <c r="J744" s="4"/>
      <c r="K744" s="4"/>
      <c r="L744" s="4"/>
      <c r="M744" s="4"/>
    </row>
    <row r="745" spans="1:13" ht="15">
      <c r="A745" s="4"/>
      <c r="B745" s="4"/>
      <c r="C745" s="4"/>
      <c r="D745" s="4"/>
      <c r="E745" s="4"/>
      <c r="F745" s="4"/>
      <c r="G745" s="4"/>
      <c r="H745" s="4"/>
      <c r="I745" s="4"/>
      <c r="J745" s="4"/>
      <c r="K745" s="4"/>
      <c r="L745" s="4"/>
      <c r="M745" s="4"/>
    </row>
    <row r="746" spans="1:13" ht="15">
      <c r="A746" s="4"/>
      <c r="B746" s="4"/>
      <c r="C746" s="4"/>
      <c r="D746" s="4"/>
      <c r="E746" s="4"/>
      <c r="F746" s="4"/>
      <c r="G746" s="4"/>
      <c r="H746" s="4"/>
      <c r="I746" s="4"/>
      <c r="J746" s="4"/>
      <c r="K746" s="4"/>
      <c r="L746" s="4"/>
      <c r="M746" s="4"/>
    </row>
    <row r="747" spans="1:13" ht="15">
      <c r="A747" s="4"/>
      <c r="B747" s="4"/>
      <c r="C747" s="4"/>
      <c r="D747" s="4"/>
      <c r="E747" s="4"/>
      <c r="F747" s="4"/>
      <c r="G747" s="4"/>
      <c r="H747" s="4"/>
      <c r="I747" s="4"/>
      <c r="J747" s="4"/>
      <c r="K747" s="4"/>
      <c r="L747" s="4"/>
      <c r="M747" s="4"/>
    </row>
    <row r="748" spans="1:13" ht="15">
      <c r="A748" s="4"/>
      <c r="B748" s="4"/>
      <c r="C748" s="4"/>
      <c r="D748" s="4"/>
      <c r="E748" s="4"/>
      <c r="F748" s="4"/>
      <c r="G748" s="4"/>
      <c r="H748" s="4"/>
      <c r="I748" s="4"/>
      <c r="J748" s="4"/>
      <c r="K748" s="4"/>
      <c r="L748" s="4"/>
      <c r="M748" s="4"/>
    </row>
    <row r="749" spans="1:13" ht="15">
      <c r="A749" s="4"/>
      <c r="B749" s="4"/>
      <c r="C749" s="4"/>
      <c r="D749" s="4"/>
      <c r="E749" s="4"/>
      <c r="F749" s="4"/>
      <c r="G749" s="4"/>
      <c r="H749" s="4"/>
      <c r="I749" s="4"/>
      <c r="J749" s="4"/>
      <c r="K749" s="4"/>
      <c r="L749" s="4"/>
      <c r="M749" s="4"/>
    </row>
    <row r="750" spans="1:13" ht="15">
      <c r="A750" s="4"/>
      <c r="B750" s="4"/>
      <c r="C750" s="4"/>
      <c r="D750" s="4"/>
      <c r="E750" s="4"/>
      <c r="F750" s="4"/>
      <c r="G750" s="4"/>
      <c r="H750" s="4"/>
      <c r="I750" s="4"/>
      <c r="J750" s="4"/>
      <c r="K750" s="4"/>
      <c r="L750" s="4"/>
      <c r="M750" s="4"/>
    </row>
    <row r="751" spans="1:13" ht="15">
      <c r="A751" s="4"/>
      <c r="B751" s="4"/>
      <c r="C751" s="4"/>
      <c r="D751" s="4"/>
      <c r="E751" s="4"/>
      <c r="F751" s="4"/>
      <c r="G751" s="4"/>
      <c r="H751" s="4"/>
      <c r="I751" s="4"/>
      <c r="J751" s="4"/>
      <c r="K751" s="4"/>
      <c r="L751" s="4"/>
      <c r="M751" s="4"/>
    </row>
    <row r="752" spans="1:13" ht="15">
      <c r="A752" s="4"/>
      <c r="B752" s="4"/>
      <c r="C752" s="4"/>
      <c r="D752" s="4"/>
      <c r="E752" s="4"/>
      <c r="F752" s="4"/>
      <c r="G752" s="4"/>
      <c r="H752" s="4"/>
      <c r="I752" s="4"/>
      <c r="J752" s="4"/>
      <c r="K752" s="4"/>
      <c r="L752" s="4"/>
      <c r="M752" s="4"/>
    </row>
    <row r="753" spans="1:13" ht="15">
      <c r="A753" s="4"/>
      <c r="B753" s="4"/>
      <c r="C753" s="4"/>
      <c r="D753" s="4"/>
      <c r="E753" s="4"/>
      <c r="F753" s="4"/>
      <c r="G753" s="4"/>
      <c r="H753" s="4"/>
      <c r="I753" s="4"/>
      <c r="J753" s="4"/>
      <c r="K753" s="4"/>
      <c r="L753" s="4"/>
      <c r="M753" s="4"/>
    </row>
  </sheetData>
  <autoFilter ref="A1:M651" xr:uid="{00000000-0009-0000-0000-000000000000}"/>
  <phoneticPr fontId="1" type="noConversion"/>
  <conditionalFormatting sqref="A712">
    <cfRule type="duplicateValues" dxfId="5" priority="1"/>
  </conditionalFormatting>
  <conditionalFormatting sqref="B713:B1048576 B634:B711 B1:B10">
    <cfRule type="duplicateValues" dxfId="4" priority="2"/>
  </conditionalFormatting>
  <hyperlinks>
    <hyperlink ref="C42" r:id="rId1" display="https://baike.baidu.com/item/HOYO-MiX/15441055?fromModule=lemma_inlink" xr:uid="{00000000-0004-0000-0000-000000000000}"/>
    <hyperlink ref="G101" r:id="rId2" xr:uid="{00000000-0004-0000-0000-000001000000}"/>
    <hyperlink ref="G109" r:id="rId3" xr:uid="{00000000-0004-0000-0000-000002000000}"/>
    <hyperlink ref="G562" r:id="rId4" xr:uid="{00000000-0004-0000-0000-000003000000}"/>
    <hyperlink ref="G567" r:id="rId5" xr:uid="{00000000-0004-0000-0000-000004000000}"/>
    <hyperlink ref="G575" r:id="rId6" xr:uid="{00000000-0004-0000-0000-000005000000}"/>
    <hyperlink ref="H575" r:id="rId7" xr:uid="{00000000-0004-0000-0000-000006000000}"/>
  </hyperlinks>
  <pageMargins left="0.75" right="0.75" top="1" bottom="1" header="0.5" footer="0.5"/>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ED82-7D5C-4880-A5E4-68FD9509F89D}">
  <sheetPr codeName="Sheet2" filterMode="1"/>
  <dimension ref="A1:Q755"/>
  <sheetViews>
    <sheetView zoomScale="85" zoomScaleNormal="85" workbookViewId="0">
      <pane ySplit="1" topLeftCell="A441" activePane="bottomLeft" state="frozen"/>
      <selection pane="bottomLeft" activeCell="P1" sqref="P1"/>
    </sheetView>
  </sheetViews>
  <sheetFormatPr defaultRowHeight="13.5"/>
  <cols>
    <col min="1" max="1" width="26.73046875" customWidth="1"/>
    <col min="2" max="2" width="31.33203125" customWidth="1"/>
    <col min="3" max="3" width="12.73046875" customWidth="1"/>
    <col min="4" max="4" width="12.73046875" style="19" hidden="1" customWidth="1"/>
    <col min="5" max="5" width="12.19921875" style="19" hidden="1" customWidth="1"/>
    <col min="6" max="6" width="10.73046875" style="19" hidden="1" customWidth="1"/>
    <col min="7" max="7" width="12.53125" hidden="1" customWidth="1"/>
    <col min="8" max="8" width="9.73046875" hidden="1" customWidth="1"/>
    <col min="9" max="9" width="10.9296875" style="1" hidden="1" customWidth="1"/>
    <col min="10" max="10" width="20.33203125" hidden="1" customWidth="1"/>
    <col min="12" max="12" width="12.59765625" customWidth="1"/>
    <col min="13" max="13" width="15" customWidth="1"/>
    <col min="14" max="14" width="14.46484375" style="29" customWidth="1"/>
  </cols>
  <sheetData>
    <row r="1" spans="1:17" s="2" customFormat="1" ht="15.75" customHeight="1">
      <c r="A1" s="3" t="s">
        <v>0</v>
      </c>
      <c r="B1" s="3" t="s">
        <v>1</v>
      </c>
      <c r="C1" s="3" t="s">
        <v>2</v>
      </c>
      <c r="D1" s="21" t="s">
        <v>3</v>
      </c>
      <c r="E1" s="22" t="s">
        <v>4</v>
      </c>
      <c r="F1" s="22" t="s">
        <v>5</v>
      </c>
      <c r="G1" s="3" t="s">
        <v>6</v>
      </c>
      <c r="H1" s="3" t="s">
        <v>7</v>
      </c>
      <c r="I1" s="3" t="s">
        <v>8</v>
      </c>
      <c r="J1" s="3" t="s">
        <v>9</v>
      </c>
      <c r="K1" s="3" t="s">
        <v>10</v>
      </c>
      <c r="L1" s="3" t="s">
        <v>11</v>
      </c>
      <c r="M1" s="3" t="s">
        <v>12</v>
      </c>
      <c r="N1" s="28" t="s">
        <v>7397</v>
      </c>
      <c r="O1" s="27" t="s">
        <v>7398</v>
      </c>
      <c r="P1" s="2" t="s">
        <v>7399</v>
      </c>
    </row>
    <row r="2" spans="1:17" s="2" customFormat="1" ht="15" hidden="1" customHeight="1">
      <c r="A2" s="4" t="s">
        <v>13</v>
      </c>
      <c r="B2" s="4" t="s">
        <v>14</v>
      </c>
      <c r="C2" s="4" t="s">
        <v>15</v>
      </c>
      <c r="D2" s="18"/>
      <c r="E2" s="18">
        <v>0</v>
      </c>
      <c r="F2" s="18">
        <v>0</v>
      </c>
      <c r="G2" s="4" t="s">
        <v>16</v>
      </c>
      <c r="H2" s="4" t="s">
        <v>17</v>
      </c>
      <c r="I2" s="5">
        <v>129</v>
      </c>
      <c r="J2" s="4"/>
      <c r="K2" s="4" t="s">
        <v>18</v>
      </c>
      <c r="L2" s="4">
        <v>122109069</v>
      </c>
      <c r="M2" s="4"/>
      <c r="N2" s="2" t="e">
        <f>VLOOKUP(B2,歌单!B:C,2,0)</f>
        <v>#N/A</v>
      </c>
      <c r="O2" s="2">
        <f>_xlfn.IFNA(IF(IFERROR(SEARCH(N2,C2),0)&gt;0,0,1),0)</f>
        <v>1</v>
      </c>
      <c r="P2" t="e">
        <f>VLOOKUP(B2,歌单!B:C,1,0)</f>
        <v>#N/A</v>
      </c>
      <c r="Q2" s="2" t="b">
        <f>IFERROR(SEARCH(N2,C2),0)&gt;0</f>
        <v>0</v>
      </c>
    </row>
    <row r="3" spans="1:17" ht="15" hidden="1" customHeight="1">
      <c r="A3" s="32" t="s">
        <v>19</v>
      </c>
      <c r="B3" s="4" t="s">
        <v>20</v>
      </c>
      <c r="C3" s="4" t="s">
        <v>21</v>
      </c>
      <c r="D3" s="18"/>
      <c r="E3" s="18">
        <v>0</v>
      </c>
      <c r="F3" s="18">
        <v>0</v>
      </c>
      <c r="G3" s="4" t="s">
        <v>22</v>
      </c>
      <c r="H3" s="4" t="s">
        <v>23</v>
      </c>
      <c r="I3" s="5">
        <v>16</v>
      </c>
      <c r="J3" s="4"/>
      <c r="K3" s="4" t="s">
        <v>24</v>
      </c>
      <c r="L3" s="4">
        <v>3227968</v>
      </c>
      <c r="M3" s="4"/>
      <c r="N3" s="30" t="str">
        <f>VLOOKUP(B3,歌单!B:C,2,0)</f>
        <v>徐佳莹</v>
      </c>
      <c r="O3" s="2">
        <f t="shared" ref="O3:O66" si="0">_xlfn.IFNA(IF(IFERROR(SEARCH(N3,C3),0)&gt;0,0,1),0)</f>
        <v>1</v>
      </c>
      <c r="P3" t="str">
        <f>VLOOKUP(B3,歌单!B:C,1,0)</f>
        <v>人啊</v>
      </c>
      <c r="Q3" s="2"/>
    </row>
    <row r="4" spans="1:17" ht="15" hidden="1" customHeight="1">
      <c r="A4" s="4" t="s">
        <v>25</v>
      </c>
      <c r="B4" s="4" t="s">
        <v>26</v>
      </c>
      <c r="C4" s="4" t="s">
        <v>27</v>
      </c>
      <c r="D4" s="18"/>
      <c r="E4" s="18">
        <v>72</v>
      </c>
      <c r="F4" s="18">
        <v>18</v>
      </c>
      <c r="G4" s="4" t="s">
        <v>28</v>
      </c>
      <c r="H4" s="4"/>
      <c r="I4" s="5">
        <v>51</v>
      </c>
      <c r="J4" s="4"/>
      <c r="K4" s="4" t="s">
        <v>26</v>
      </c>
      <c r="L4" s="4">
        <v>13227275</v>
      </c>
      <c r="M4" s="4"/>
      <c r="N4" s="2" t="str">
        <f>VLOOKUP(B4,歌单!B:C,2,0)</f>
        <v>徐佳莹</v>
      </c>
      <c r="O4" s="2">
        <f>_xlfn.IFNA(IF(IFERROR(SEARCH(N4,C4),0)&gt;0,0,1),0)</f>
        <v>0</v>
      </c>
      <c r="P4" t="str">
        <f>VLOOKUP(B4,歌单!B:C,1,0)</f>
        <v>失落沙洲</v>
      </c>
      <c r="Q4" s="2" t="b">
        <f t="shared" ref="Q4:Q14" si="1">IFERROR(SEARCH(N4,C4),0)&gt;0</f>
        <v>1</v>
      </c>
    </row>
    <row r="5" spans="1:17" ht="15" hidden="1" customHeight="1">
      <c r="A5" s="4" t="s">
        <v>29</v>
      </c>
      <c r="B5" s="4" t="s">
        <v>30</v>
      </c>
      <c r="C5" s="4" t="s">
        <v>15</v>
      </c>
      <c r="D5" s="18"/>
      <c r="E5" s="18">
        <v>0</v>
      </c>
      <c r="F5" s="18">
        <v>0</v>
      </c>
      <c r="G5" s="4" t="s">
        <v>31</v>
      </c>
      <c r="H5" s="4" t="s">
        <v>32</v>
      </c>
      <c r="I5" s="5">
        <v>1858</v>
      </c>
      <c r="J5" s="4"/>
      <c r="K5" s="4" t="s">
        <v>33</v>
      </c>
      <c r="L5" s="4">
        <v>282780877</v>
      </c>
      <c r="M5" s="4" t="s">
        <v>34</v>
      </c>
      <c r="N5" s="2" t="str">
        <f>VLOOKUP(B5,歌单!B:C,2,0)</f>
        <v>南拳妈妈</v>
      </c>
      <c r="O5" s="2">
        <f>_xlfn.IFNA(IF(IFERROR(SEARCH(N5,C5),0)&gt;0,0,1),0)</f>
        <v>0</v>
      </c>
      <c r="P5" t="str">
        <f>VLOOKUP(B5,歌单!B:C,1,0)</f>
        <v>下雨天</v>
      </c>
      <c r="Q5" s="2" t="b">
        <f t="shared" si="1"/>
        <v>1</v>
      </c>
    </row>
    <row r="6" spans="1:17" ht="15" hidden="1" customHeight="1">
      <c r="A6" s="4" t="s">
        <v>35</v>
      </c>
      <c r="B6" s="4" t="s">
        <v>36</v>
      </c>
      <c r="C6" s="4" t="s">
        <v>37</v>
      </c>
      <c r="D6" s="18"/>
      <c r="E6" s="18">
        <v>0</v>
      </c>
      <c r="F6" s="18">
        <v>0</v>
      </c>
      <c r="G6" s="4" t="s">
        <v>38</v>
      </c>
      <c r="H6" s="4" t="s">
        <v>39</v>
      </c>
      <c r="I6" s="5">
        <v>938</v>
      </c>
      <c r="J6" s="4"/>
      <c r="K6" s="4" t="s">
        <v>36</v>
      </c>
      <c r="L6" s="4">
        <v>127569700</v>
      </c>
      <c r="M6" s="4"/>
      <c r="N6" s="2" t="str">
        <f>VLOOKUP(B6,歌单!B:C,2,0)</f>
        <v>卢广仲</v>
      </c>
      <c r="O6" s="2">
        <f t="shared" si="0"/>
        <v>0</v>
      </c>
      <c r="P6" t="str">
        <f>VLOOKUP(B6,歌单!B:C,1,0)</f>
        <v>刻在我心底的名字</v>
      </c>
      <c r="Q6" s="2" t="b">
        <f t="shared" si="1"/>
        <v>1</v>
      </c>
    </row>
    <row r="7" spans="1:17" ht="15" hidden="1" customHeight="1">
      <c r="A7" s="4" t="s">
        <v>40</v>
      </c>
      <c r="B7" s="4" t="s">
        <v>41</v>
      </c>
      <c r="C7" s="4" t="s">
        <v>42</v>
      </c>
      <c r="D7" s="18"/>
      <c r="E7" s="18">
        <v>0</v>
      </c>
      <c r="F7" s="18">
        <v>0</v>
      </c>
      <c r="G7" s="4" t="s">
        <v>43</v>
      </c>
      <c r="H7" s="4" t="s">
        <v>44</v>
      </c>
      <c r="I7" s="5">
        <v>436</v>
      </c>
      <c r="J7" s="4"/>
      <c r="K7" s="4" t="s">
        <v>45</v>
      </c>
      <c r="L7" s="4">
        <v>54926711</v>
      </c>
      <c r="M7" s="4"/>
      <c r="N7" s="2" t="str">
        <f>VLOOKUP(B7,歌单!B:C,2,0)</f>
        <v>黄龄</v>
      </c>
      <c r="O7" s="2">
        <f t="shared" si="0"/>
        <v>0</v>
      </c>
      <c r="P7" t="str">
        <f>VLOOKUP(B7,歌单!B:C,1,0)</f>
        <v>繁华梦</v>
      </c>
      <c r="Q7" s="2" t="b">
        <f t="shared" si="1"/>
        <v>1</v>
      </c>
    </row>
    <row r="8" spans="1:17" ht="15" hidden="1" customHeight="1">
      <c r="A8" s="4" t="s">
        <v>46</v>
      </c>
      <c r="B8" s="4" t="s">
        <v>47</v>
      </c>
      <c r="C8" s="4" t="s">
        <v>21</v>
      </c>
      <c r="D8" s="18"/>
      <c r="E8" s="18">
        <v>0</v>
      </c>
      <c r="F8" s="18">
        <v>0</v>
      </c>
      <c r="G8" s="4" t="s">
        <v>48</v>
      </c>
      <c r="H8" s="4" t="s">
        <v>49</v>
      </c>
      <c r="I8" s="5">
        <v>298</v>
      </c>
      <c r="J8" s="4"/>
      <c r="K8" s="4" t="s">
        <v>47</v>
      </c>
      <c r="L8" s="4">
        <v>21106106</v>
      </c>
      <c r="M8" s="4"/>
      <c r="N8" s="2" t="str">
        <f>VLOOKUP(B8,歌单!B:C,2,0)</f>
        <v>单依纯</v>
      </c>
      <c r="O8" s="2">
        <f t="shared" si="0"/>
        <v>0</v>
      </c>
      <c r="P8" t="str">
        <f>VLOOKUP(B8,歌单!B:C,1,0)</f>
        <v>在夜里跳舞</v>
      </c>
      <c r="Q8" s="2" t="b">
        <f t="shared" si="1"/>
        <v>1</v>
      </c>
    </row>
    <row r="9" spans="1:17" ht="15" hidden="1" customHeight="1">
      <c r="A9" s="8" t="s">
        <v>50</v>
      </c>
      <c r="B9" s="4" t="s">
        <v>50</v>
      </c>
      <c r="C9" s="4" t="s">
        <v>51</v>
      </c>
      <c r="D9" s="19" t="s">
        <v>52</v>
      </c>
      <c r="F9" s="2"/>
      <c r="G9" s="8"/>
      <c r="H9" s="8"/>
      <c r="I9" s="8"/>
      <c r="J9" s="8"/>
      <c r="K9" s="8"/>
      <c r="L9" s="8"/>
      <c r="M9" s="8"/>
      <c r="N9" s="2" t="e">
        <f>VLOOKUP(B9,歌单!B:C,2,0)</f>
        <v>#N/A</v>
      </c>
      <c r="O9" s="2">
        <f>_xlfn.IFNA(IF(IFERROR(SEARCH(N9,C9),0)&gt;0,0,1),0)</f>
        <v>1</v>
      </c>
      <c r="P9" t="e">
        <f>VLOOKUP(B9,歌单!B:C,1,0)</f>
        <v>#N/A</v>
      </c>
      <c r="Q9" s="2" t="b">
        <f t="shared" si="1"/>
        <v>0</v>
      </c>
    </row>
    <row r="10" spans="1:17" ht="15" hidden="1" customHeight="1">
      <c r="A10" s="8" t="s">
        <v>53</v>
      </c>
      <c r="B10" s="4" t="s">
        <v>53</v>
      </c>
      <c r="C10" s="4" t="s">
        <v>51</v>
      </c>
      <c r="D10" s="19" t="s">
        <v>54</v>
      </c>
      <c r="F10" s="2"/>
      <c r="G10" s="8"/>
      <c r="H10" s="8"/>
      <c r="I10" s="8"/>
      <c r="J10" s="8"/>
      <c r="K10" s="8"/>
      <c r="L10" s="8"/>
      <c r="M10" s="8"/>
      <c r="N10" s="2" t="e">
        <f>VLOOKUP(B10,歌单!B:C,2,0)</f>
        <v>#N/A</v>
      </c>
      <c r="O10" s="2">
        <f t="shared" si="0"/>
        <v>1</v>
      </c>
      <c r="P10" t="e">
        <f>VLOOKUP(B10,歌单!B:C,1,0)</f>
        <v>#N/A</v>
      </c>
      <c r="Q10" s="2" t="b">
        <f t="shared" si="1"/>
        <v>0</v>
      </c>
    </row>
    <row r="11" spans="1:17" ht="15" hidden="1" customHeight="1">
      <c r="A11" s="33" t="s">
        <v>55</v>
      </c>
      <c r="B11" s="4" t="s">
        <v>55</v>
      </c>
      <c r="C11" s="4" t="s">
        <v>51</v>
      </c>
      <c r="D11" s="19" t="s">
        <v>56</v>
      </c>
      <c r="F11" s="2"/>
      <c r="G11" s="8"/>
      <c r="H11" s="8"/>
      <c r="I11" s="8"/>
      <c r="J11" s="8"/>
      <c r="K11" s="8"/>
      <c r="L11" s="8"/>
      <c r="M11" s="8"/>
      <c r="N11" s="28" t="str">
        <f>VLOOKUP(B11,歌单!B:C,2,0)</f>
        <v>妮莉安/说说/纱依</v>
      </c>
      <c r="O11" s="2">
        <f>_xlfn.IFNA(IF(IFERROR(SEARCH(N11,C11),0)&gt;0,0,1),0)</f>
        <v>1</v>
      </c>
      <c r="P11" t="str">
        <f>VLOOKUP(B11,歌单!B:C,1,0)</f>
        <v>人间未满</v>
      </c>
      <c r="Q11" s="2"/>
    </row>
    <row r="12" spans="1:17" ht="15" hidden="1" customHeight="1">
      <c r="A12" s="8" t="s">
        <v>57</v>
      </c>
      <c r="B12" s="4" t="s">
        <v>57</v>
      </c>
      <c r="C12" s="4" t="s">
        <v>51</v>
      </c>
      <c r="D12" s="19" t="s">
        <v>58</v>
      </c>
      <c r="F12" s="2"/>
      <c r="G12" s="8"/>
      <c r="H12" s="8"/>
      <c r="I12" s="8"/>
      <c r="J12" s="8"/>
      <c r="K12" s="8"/>
      <c r="L12" s="8"/>
      <c r="M12" s="8"/>
      <c r="N12" s="2" t="e">
        <f>VLOOKUP(B12,歌单!B:C,2,0)</f>
        <v>#N/A</v>
      </c>
      <c r="O12" s="2">
        <f t="shared" si="0"/>
        <v>1</v>
      </c>
      <c r="P12" t="e">
        <f>VLOOKUP(B12,歌单!B:C,1,0)</f>
        <v>#N/A</v>
      </c>
      <c r="Q12" s="2" t="b">
        <f t="shared" si="1"/>
        <v>0</v>
      </c>
    </row>
    <row r="13" spans="1:17" ht="15" hidden="1" customHeight="1">
      <c r="A13" s="8" t="s">
        <v>59</v>
      </c>
      <c r="B13" s="4" t="s">
        <v>59</v>
      </c>
      <c r="C13" s="4" t="s">
        <v>51</v>
      </c>
      <c r="D13" s="19" t="s">
        <v>60</v>
      </c>
      <c r="F13" s="2"/>
      <c r="G13" s="8"/>
      <c r="H13" s="8"/>
      <c r="I13" s="8"/>
      <c r="J13" s="8"/>
      <c r="K13" s="8"/>
      <c r="L13" s="8"/>
      <c r="M13" s="8"/>
      <c r="N13" s="2" t="str">
        <f>VLOOKUP(B13,歌单!B:C,2,0)</f>
        <v>说说Crystal</v>
      </c>
      <c r="O13" s="2">
        <f t="shared" si="0"/>
        <v>0</v>
      </c>
      <c r="P13" t="str">
        <f>VLOOKUP(B13,歌单!B:C,1,0)</f>
        <v>长夜杯空</v>
      </c>
      <c r="Q13" s="2" t="b">
        <f t="shared" si="1"/>
        <v>1</v>
      </c>
    </row>
    <row r="14" spans="1:17" ht="15" hidden="1" customHeight="1">
      <c r="A14" s="8" t="s">
        <v>61</v>
      </c>
      <c r="B14" s="4" t="s">
        <v>61</v>
      </c>
      <c r="C14" s="4" t="s">
        <v>51</v>
      </c>
      <c r="D14" s="19" t="s">
        <v>62</v>
      </c>
      <c r="F14" s="2"/>
      <c r="G14" s="8"/>
      <c r="H14" s="8"/>
      <c r="I14" s="8"/>
      <c r="J14" s="8"/>
      <c r="K14" s="8"/>
      <c r="L14" s="8"/>
      <c r="M14" s="8"/>
      <c r="N14" s="2" t="e">
        <f>VLOOKUP(B14,歌单!B:C,2,0)</f>
        <v>#N/A</v>
      </c>
      <c r="O14" s="2">
        <f t="shared" si="0"/>
        <v>1</v>
      </c>
      <c r="P14" t="e">
        <f>VLOOKUP(B14,歌单!B:C,1,0)</f>
        <v>#N/A</v>
      </c>
      <c r="Q14" s="2" t="b">
        <f t="shared" si="1"/>
        <v>0</v>
      </c>
    </row>
    <row r="15" spans="1:17" ht="15" hidden="1" customHeight="1">
      <c r="A15" s="8" t="s">
        <v>63</v>
      </c>
      <c r="B15" s="4" t="s">
        <v>63</v>
      </c>
      <c r="C15" s="4" t="s">
        <v>51</v>
      </c>
      <c r="D15" s="19" t="s">
        <v>64</v>
      </c>
      <c r="F15" s="2"/>
      <c r="G15" s="8"/>
      <c r="H15" s="8"/>
      <c r="I15" s="8"/>
      <c r="J15" s="8"/>
      <c r="K15" s="8"/>
      <c r="L15" s="8"/>
      <c r="M15" s="8"/>
      <c r="N15" s="2" t="e">
        <f>VLOOKUP(B15,歌单!B:C,2,0)</f>
        <v>#N/A</v>
      </c>
      <c r="O15" s="2">
        <f t="shared" si="0"/>
        <v>1</v>
      </c>
      <c r="P15" t="e">
        <f>VLOOKUP(B15,歌单!B:C,1,0)</f>
        <v>#N/A</v>
      </c>
    </row>
    <row r="16" spans="1:17" ht="15" hidden="1" customHeight="1">
      <c r="A16" s="8" t="s">
        <v>65</v>
      </c>
      <c r="B16" s="4" t="s">
        <v>65</v>
      </c>
      <c r="C16" s="4" t="s">
        <v>51</v>
      </c>
      <c r="D16" s="19" t="s">
        <v>66</v>
      </c>
      <c r="F16" s="2"/>
      <c r="G16" s="8"/>
      <c r="H16" s="8"/>
      <c r="I16" s="8"/>
      <c r="J16" s="8"/>
      <c r="K16" s="8"/>
      <c r="L16" s="8"/>
      <c r="M16" s="8"/>
      <c r="N16" s="2" t="str">
        <f>VLOOKUP(B16,歌单!B:C,2,0)</f>
        <v>说说</v>
      </c>
      <c r="O16" s="2">
        <f t="shared" si="0"/>
        <v>0</v>
      </c>
      <c r="P16" t="str">
        <f>VLOOKUP(B16,歌单!B:C,1,0)</f>
        <v>天知河</v>
      </c>
    </row>
    <row r="17" spans="1:17" ht="15" hidden="1" customHeight="1">
      <c r="A17" s="8" t="s">
        <v>67</v>
      </c>
      <c r="B17" s="4" t="s">
        <v>67</v>
      </c>
      <c r="C17" s="4" t="s">
        <v>51</v>
      </c>
      <c r="D17" s="19" t="s">
        <v>68</v>
      </c>
      <c r="F17" s="2"/>
      <c r="G17" s="8"/>
      <c r="H17" s="8"/>
      <c r="I17" s="8"/>
      <c r="J17" s="8"/>
      <c r="K17" s="8"/>
      <c r="L17" s="8"/>
      <c r="M17" s="8"/>
      <c r="N17" s="2" t="e">
        <f>VLOOKUP(B17,歌单!B:C,2,0)</f>
        <v>#N/A</v>
      </c>
      <c r="O17" s="2">
        <f t="shared" si="0"/>
        <v>1</v>
      </c>
      <c r="P17" t="e">
        <f>VLOOKUP(B17,歌单!B:C,1,0)</f>
        <v>#N/A</v>
      </c>
    </row>
    <row r="18" spans="1:17" ht="15" hidden="1" customHeight="1">
      <c r="A18" s="8" t="s">
        <v>69</v>
      </c>
      <c r="B18" s="4" t="s">
        <v>69</v>
      </c>
      <c r="C18" s="4" t="s">
        <v>51</v>
      </c>
      <c r="D18" s="19" t="s">
        <v>70</v>
      </c>
      <c r="F18" s="2"/>
      <c r="G18" s="8"/>
      <c r="H18" s="8"/>
      <c r="I18" s="8"/>
      <c r="J18" s="8"/>
      <c r="K18" s="8"/>
      <c r="L18" s="8"/>
      <c r="M18" s="8"/>
      <c r="N18" s="2" t="e">
        <f>VLOOKUP(B18,歌单!B:C,2,0)</f>
        <v>#N/A</v>
      </c>
      <c r="O18" s="2">
        <f t="shared" si="0"/>
        <v>1</v>
      </c>
      <c r="P18" t="e">
        <f>VLOOKUP(B18,歌单!B:C,1,0)</f>
        <v>#N/A</v>
      </c>
    </row>
    <row r="19" spans="1:17" ht="15" hidden="1" customHeight="1">
      <c r="A19" s="8" t="s">
        <v>71</v>
      </c>
      <c r="B19" s="4" t="s">
        <v>71</v>
      </c>
      <c r="C19" s="4" t="s">
        <v>51</v>
      </c>
      <c r="D19" s="19" t="s">
        <v>72</v>
      </c>
      <c r="F19" s="2"/>
      <c r="G19" s="8"/>
      <c r="H19" s="8"/>
      <c r="I19" s="8"/>
      <c r="J19" s="8"/>
      <c r="K19" s="8"/>
      <c r="L19" s="8"/>
      <c r="M19" s="8"/>
      <c r="N19" s="2" t="e">
        <f>VLOOKUP(B19,歌单!B:C,2,0)</f>
        <v>#N/A</v>
      </c>
      <c r="O19" s="2">
        <f t="shared" si="0"/>
        <v>1</v>
      </c>
      <c r="P19" t="e">
        <f>VLOOKUP(B19,歌单!B:C,1,0)</f>
        <v>#N/A</v>
      </c>
    </row>
    <row r="20" spans="1:17" ht="15" hidden="1" customHeight="1">
      <c r="A20" s="8" t="s">
        <v>73</v>
      </c>
      <c r="B20" s="4" t="s">
        <v>73</v>
      </c>
      <c r="C20" s="4" t="s">
        <v>51</v>
      </c>
      <c r="D20" s="19" t="s">
        <v>74</v>
      </c>
      <c r="F20" s="2"/>
      <c r="G20" s="8"/>
      <c r="H20" s="8"/>
      <c r="I20" s="8"/>
      <c r="J20" s="8"/>
      <c r="K20" s="8"/>
      <c r="L20" s="8"/>
      <c r="M20" s="8"/>
      <c r="N20" s="2" t="e">
        <f>VLOOKUP(B20,歌单!B:C,2,0)</f>
        <v>#N/A</v>
      </c>
      <c r="O20" s="2">
        <f t="shared" si="0"/>
        <v>1</v>
      </c>
      <c r="P20" t="e">
        <f>VLOOKUP(B20,歌单!B:C,1,0)</f>
        <v>#N/A</v>
      </c>
    </row>
    <row r="21" spans="1:17" ht="15" hidden="1" customHeight="1">
      <c r="A21" s="8" t="s">
        <v>75</v>
      </c>
      <c r="B21" s="4" t="s">
        <v>75</v>
      </c>
      <c r="C21" s="4" t="s">
        <v>51</v>
      </c>
      <c r="D21" s="19" t="s">
        <v>76</v>
      </c>
      <c r="F21" s="2"/>
      <c r="G21" s="8"/>
      <c r="H21" s="8"/>
      <c r="I21" s="8"/>
      <c r="J21" s="8"/>
      <c r="K21" s="8"/>
      <c r="L21" s="8"/>
      <c r="M21" s="8"/>
      <c r="N21" s="2" t="str">
        <f>VLOOKUP(B21,歌单!B:C,2,0)</f>
        <v>说说Crystal</v>
      </c>
      <c r="O21" s="2">
        <f t="shared" si="0"/>
        <v>0</v>
      </c>
      <c r="P21" t="str">
        <f>VLOOKUP(B21,歌单!B:C,1,0)</f>
        <v>布虎记</v>
      </c>
    </row>
    <row r="22" spans="1:17" ht="15" hidden="1" customHeight="1">
      <c r="A22" s="8" t="s">
        <v>77</v>
      </c>
      <c r="B22" s="4" t="s">
        <v>77</v>
      </c>
      <c r="C22" s="4" t="s">
        <v>51</v>
      </c>
      <c r="D22" s="19" t="s">
        <v>78</v>
      </c>
      <c r="F22" s="2"/>
      <c r="G22" s="8"/>
      <c r="H22" s="8"/>
      <c r="I22" s="8"/>
      <c r="J22" s="8"/>
      <c r="K22" s="8"/>
      <c r="L22" s="8"/>
      <c r="M22" s="8"/>
      <c r="N22" s="2" t="e">
        <f>VLOOKUP(B22,歌单!B:C,2,0)</f>
        <v>#N/A</v>
      </c>
      <c r="O22" s="2">
        <f t="shared" si="0"/>
        <v>1</v>
      </c>
      <c r="P22" t="e">
        <f>VLOOKUP(B22,歌单!B:C,1,0)</f>
        <v>#N/A</v>
      </c>
    </row>
    <row r="23" spans="1:17" ht="15" hidden="1" customHeight="1">
      <c r="A23" s="8" t="s">
        <v>79</v>
      </c>
      <c r="B23" s="4" t="s">
        <v>79</v>
      </c>
      <c r="C23" s="4" t="s">
        <v>51</v>
      </c>
      <c r="D23" s="19" t="s">
        <v>80</v>
      </c>
      <c r="F23" s="2"/>
      <c r="G23" s="8"/>
      <c r="H23" s="8"/>
      <c r="I23" s="8"/>
      <c r="J23" s="8"/>
      <c r="K23" s="8"/>
      <c r="L23" s="8"/>
      <c r="M23" s="8"/>
      <c r="N23" s="2" t="e">
        <f>VLOOKUP(B23,歌单!B:C,2,0)</f>
        <v>#N/A</v>
      </c>
      <c r="O23" s="2">
        <f t="shared" si="0"/>
        <v>1</v>
      </c>
      <c r="P23" t="e">
        <f>VLOOKUP(B23,歌单!B:C,1,0)</f>
        <v>#N/A</v>
      </c>
    </row>
    <row r="24" spans="1:17" ht="15" hidden="1" customHeight="1">
      <c r="A24" s="8" t="s">
        <v>81</v>
      </c>
      <c r="B24" s="4" t="s">
        <v>81</v>
      </c>
      <c r="C24" s="4" t="s">
        <v>51</v>
      </c>
      <c r="D24" s="19" t="s">
        <v>82</v>
      </c>
      <c r="F24" s="2"/>
      <c r="G24" s="8"/>
      <c r="H24" s="8"/>
      <c r="I24" s="8"/>
      <c r="J24" s="8"/>
      <c r="K24" s="8"/>
      <c r="L24" s="8"/>
      <c r="M24" s="8"/>
      <c r="N24" s="2" t="e">
        <f>VLOOKUP(B24,歌单!B:C,2,0)</f>
        <v>#N/A</v>
      </c>
      <c r="O24" s="2">
        <f t="shared" si="0"/>
        <v>1</v>
      </c>
      <c r="P24" t="e">
        <f>VLOOKUP(B24,歌单!B:C,1,0)</f>
        <v>#N/A</v>
      </c>
    </row>
    <row r="25" spans="1:17" ht="15" hidden="1" customHeight="1">
      <c r="A25" s="8" t="s">
        <v>83</v>
      </c>
      <c r="B25" s="4" t="s">
        <v>83</v>
      </c>
      <c r="C25" s="4" t="s">
        <v>51</v>
      </c>
      <c r="D25" s="19" t="s">
        <v>84</v>
      </c>
      <c r="F25" s="2"/>
      <c r="G25" s="8"/>
      <c r="H25" s="8"/>
      <c r="I25" s="8"/>
      <c r="J25" s="8"/>
      <c r="K25" s="8"/>
      <c r="L25" s="8"/>
      <c r="M25" s="8"/>
      <c r="N25" s="2" t="e">
        <f>VLOOKUP(B25,歌单!B:C,2,0)</f>
        <v>#N/A</v>
      </c>
      <c r="O25" s="2">
        <f t="shared" si="0"/>
        <v>1</v>
      </c>
      <c r="P25" t="e">
        <f>VLOOKUP(B25,歌单!B:C,1,0)</f>
        <v>#N/A</v>
      </c>
    </row>
    <row r="26" spans="1:17" ht="15" hidden="1" customHeight="1">
      <c r="A26" s="8" t="s">
        <v>85</v>
      </c>
      <c r="B26" s="4" t="s">
        <v>85</v>
      </c>
      <c r="C26" s="4" t="s">
        <v>51</v>
      </c>
      <c r="D26" s="19" t="s">
        <v>86</v>
      </c>
      <c r="F26" s="2"/>
      <c r="G26" s="8"/>
      <c r="H26" s="8"/>
      <c r="I26" s="8"/>
      <c r="J26" s="8"/>
      <c r="K26" s="8"/>
      <c r="L26" s="8"/>
      <c r="M26" s="8"/>
      <c r="N26" s="2" t="e">
        <f>VLOOKUP(B26,歌单!B:C,2,0)</f>
        <v>#N/A</v>
      </c>
      <c r="O26" s="2">
        <f t="shared" si="0"/>
        <v>1</v>
      </c>
      <c r="P26" t="e">
        <f>VLOOKUP(B26,歌单!B:C,1,0)</f>
        <v>#N/A</v>
      </c>
    </row>
    <row r="27" spans="1:17" ht="15" hidden="1" customHeight="1">
      <c r="A27" s="8" t="s">
        <v>87</v>
      </c>
      <c r="B27" s="4" t="s">
        <v>87</v>
      </c>
      <c r="C27" s="4" t="s">
        <v>51</v>
      </c>
      <c r="D27" s="19" t="s">
        <v>88</v>
      </c>
      <c r="F27" s="2"/>
      <c r="G27" s="8"/>
      <c r="H27" s="8"/>
      <c r="I27" s="8"/>
      <c r="J27" s="8"/>
      <c r="K27" s="8"/>
      <c r="L27" s="8"/>
      <c r="M27" s="8"/>
      <c r="N27" s="2" t="e">
        <f>VLOOKUP(B27,歌单!B:C,2,0)</f>
        <v>#N/A</v>
      </c>
      <c r="O27" s="2">
        <f t="shared" si="0"/>
        <v>1</v>
      </c>
      <c r="P27" t="e">
        <f>VLOOKUP(B27,歌单!B:C,1,0)</f>
        <v>#N/A</v>
      </c>
    </row>
    <row r="28" spans="1:17" ht="15" hidden="1" customHeight="1">
      <c r="A28" s="8" t="s">
        <v>89</v>
      </c>
      <c r="B28" s="4" t="s">
        <v>89</v>
      </c>
      <c r="C28" s="4" t="s">
        <v>51</v>
      </c>
      <c r="D28" s="19" t="s">
        <v>90</v>
      </c>
      <c r="F28" s="2"/>
      <c r="G28" s="8"/>
      <c r="H28" s="8"/>
      <c r="I28" s="8"/>
      <c r="J28" s="8"/>
      <c r="K28" s="8"/>
      <c r="L28" s="8"/>
      <c r="M28" s="8"/>
      <c r="N28" s="2" t="e">
        <f>VLOOKUP(B28,歌单!B:C,2,0)</f>
        <v>#N/A</v>
      </c>
      <c r="O28" s="2">
        <f t="shared" si="0"/>
        <v>1</v>
      </c>
      <c r="P28" t="e">
        <f>VLOOKUP(B28,歌单!B:C,1,0)</f>
        <v>#N/A</v>
      </c>
    </row>
    <row r="29" spans="1:17" ht="15" hidden="1" customHeight="1">
      <c r="A29" s="8" t="s">
        <v>91</v>
      </c>
      <c r="B29" s="4" t="s">
        <v>91</v>
      </c>
      <c r="C29" s="4" t="s">
        <v>51</v>
      </c>
      <c r="D29" s="19" t="s">
        <v>92</v>
      </c>
      <c r="F29" s="2"/>
      <c r="G29" s="8"/>
      <c r="H29" s="8"/>
      <c r="I29" s="8"/>
      <c r="J29" s="8"/>
      <c r="K29" s="8"/>
      <c r="L29" s="8"/>
      <c r="M29" s="8"/>
      <c r="N29" s="2" t="e">
        <f>VLOOKUP(B29,歌单!B:C,2,0)</f>
        <v>#N/A</v>
      </c>
      <c r="O29" s="2">
        <f t="shared" si="0"/>
        <v>1</v>
      </c>
      <c r="P29" t="e">
        <f>VLOOKUP(B29,歌单!B:C,1,0)</f>
        <v>#N/A</v>
      </c>
    </row>
    <row r="30" spans="1:17" ht="15" hidden="1" customHeight="1">
      <c r="A30" s="8" t="s">
        <v>93</v>
      </c>
      <c r="B30" s="4" t="s">
        <v>93</v>
      </c>
      <c r="C30" s="4" t="s">
        <v>51</v>
      </c>
      <c r="D30" s="19" t="s">
        <v>94</v>
      </c>
      <c r="F30" s="2"/>
      <c r="G30" s="8"/>
      <c r="H30" s="8"/>
      <c r="I30" s="8"/>
      <c r="J30" s="8"/>
      <c r="K30" s="8"/>
      <c r="L30" s="8"/>
      <c r="M30" s="8"/>
      <c r="N30" s="2" t="str">
        <f>VLOOKUP(B30,歌单!B:C,2,0)</f>
        <v>说说Crystal</v>
      </c>
      <c r="O30" s="2">
        <f t="shared" si="0"/>
        <v>0</v>
      </c>
      <c r="P30" t="str">
        <f>VLOOKUP(B30,歌单!B:C,1,0)</f>
        <v>罗敷</v>
      </c>
    </row>
    <row r="31" spans="1:17" ht="15" hidden="1" customHeight="1">
      <c r="A31" s="8" t="s">
        <v>95</v>
      </c>
      <c r="B31" s="4" t="s">
        <v>95</v>
      </c>
      <c r="C31" s="4" t="s">
        <v>51</v>
      </c>
      <c r="D31" s="19" t="s">
        <v>96</v>
      </c>
      <c r="F31" s="2"/>
      <c r="G31" s="8"/>
      <c r="H31" s="8"/>
      <c r="I31" s="8"/>
      <c r="J31" s="8"/>
      <c r="K31" s="8"/>
      <c r="L31" s="8"/>
      <c r="M31" s="8"/>
      <c r="N31" s="2" t="str">
        <f>VLOOKUP(B31,歌单!B:C,2,0)</f>
        <v>说说</v>
      </c>
      <c r="O31" s="2">
        <f t="shared" si="0"/>
        <v>0</v>
      </c>
      <c r="P31" t="str">
        <f>VLOOKUP(B31,歌单!B:C,1,0)</f>
        <v>不问天</v>
      </c>
      <c r="Q31">
        <f>IFERROR(SEARCH(N31,C31),0)</f>
        <v>1</v>
      </c>
    </row>
    <row r="32" spans="1:17" ht="15" hidden="1" customHeight="1">
      <c r="A32" s="8" t="s">
        <v>97</v>
      </c>
      <c r="B32" s="4" t="s">
        <v>97</v>
      </c>
      <c r="C32" s="4" t="s">
        <v>51</v>
      </c>
      <c r="D32" s="19" t="s">
        <v>98</v>
      </c>
      <c r="F32" s="2"/>
      <c r="G32" s="8"/>
      <c r="H32" s="8"/>
      <c r="I32" s="8"/>
      <c r="J32" s="8"/>
      <c r="K32" s="8"/>
      <c r="L32" s="8"/>
      <c r="M32" s="8"/>
      <c r="N32" s="2" t="e">
        <f>VLOOKUP(B32,歌单!B:C,2,0)</f>
        <v>#N/A</v>
      </c>
      <c r="O32" s="2">
        <f t="shared" si="0"/>
        <v>1</v>
      </c>
      <c r="P32" t="e">
        <f>VLOOKUP(B32,歌单!B:C,1,0)</f>
        <v>#N/A</v>
      </c>
    </row>
    <row r="33" spans="1:16" ht="15" hidden="1" customHeight="1">
      <c r="A33" s="8" t="s">
        <v>99</v>
      </c>
      <c r="B33" s="4" t="s">
        <v>99</v>
      </c>
      <c r="C33" s="4" t="s">
        <v>51</v>
      </c>
      <c r="D33" s="19" t="s">
        <v>100</v>
      </c>
      <c r="F33" s="2"/>
      <c r="G33" s="8"/>
      <c r="H33" s="8"/>
      <c r="I33" s="8"/>
      <c r="J33" s="8"/>
      <c r="K33" s="8"/>
      <c r="L33" s="8"/>
      <c r="M33" s="8"/>
      <c r="N33" s="2" t="e">
        <f>VLOOKUP(B33,歌单!B:C,2,0)</f>
        <v>#N/A</v>
      </c>
      <c r="O33" s="2">
        <f t="shared" si="0"/>
        <v>1</v>
      </c>
      <c r="P33" t="e">
        <f>VLOOKUP(B33,歌单!B:C,1,0)</f>
        <v>#N/A</v>
      </c>
    </row>
    <row r="34" spans="1:16" ht="15" hidden="1" customHeight="1">
      <c r="A34" s="8" t="s">
        <v>101</v>
      </c>
      <c r="B34" s="4" t="s">
        <v>101</v>
      </c>
      <c r="C34" s="4" t="s">
        <v>51</v>
      </c>
      <c r="D34" s="19" t="s">
        <v>102</v>
      </c>
      <c r="F34" s="2"/>
      <c r="G34" s="8"/>
      <c r="H34" s="8"/>
      <c r="I34" s="8"/>
      <c r="J34" s="8"/>
      <c r="K34" s="8"/>
      <c r="L34" s="8"/>
      <c r="M34" s="8"/>
      <c r="N34" s="2" t="e">
        <f>VLOOKUP(B34,歌单!B:C,2,0)</f>
        <v>#N/A</v>
      </c>
      <c r="O34" s="2">
        <f t="shared" si="0"/>
        <v>1</v>
      </c>
      <c r="P34" t="e">
        <f>VLOOKUP(B34,歌单!B:C,1,0)</f>
        <v>#N/A</v>
      </c>
    </row>
    <row r="35" spans="1:16" ht="15" hidden="1" customHeight="1">
      <c r="A35" s="8" t="s">
        <v>103</v>
      </c>
      <c r="B35" s="4" t="s">
        <v>103</v>
      </c>
      <c r="C35" s="4" t="s">
        <v>51</v>
      </c>
      <c r="D35" s="19" t="s">
        <v>104</v>
      </c>
      <c r="F35" s="2"/>
      <c r="G35" s="8"/>
      <c r="H35" s="8"/>
      <c r="I35" s="8"/>
      <c r="J35" s="8"/>
      <c r="K35" s="8"/>
      <c r="L35" s="8"/>
      <c r="M35" s="8"/>
      <c r="N35" s="2" t="e">
        <f>VLOOKUP(B35,歌单!B:C,2,0)</f>
        <v>#N/A</v>
      </c>
      <c r="O35" s="2">
        <f t="shared" si="0"/>
        <v>1</v>
      </c>
      <c r="P35" t="e">
        <f>VLOOKUP(B35,歌单!B:C,1,0)</f>
        <v>#N/A</v>
      </c>
    </row>
    <row r="36" spans="1:16" ht="15" hidden="1" customHeight="1">
      <c r="A36" s="8" t="s">
        <v>105</v>
      </c>
      <c r="B36" s="4" t="s">
        <v>105</v>
      </c>
      <c r="C36" s="4" t="s">
        <v>51</v>
      </c>
      <c r="D36" s="19" t="s">
        <v>106</v>
      </c>
      <c r="F36" s="2"/>
      <c r="G36" s="8"/>
      <c r="H36" s="8"/>
      <c r="I36" s="8"/>
      <c r="J36" s="8"/>
      <c r="K36" s="8"/>
      <c r="L36" s="8"/>
      <c r="M36" s="8"/>
      <c r="N36" s="2" t="e">
        <f>VLOOKUP(B36,歌单!B:C,2,0)</f>
        <v>#N/A</v>
      </c>
      <c r="O36" s="2">
        <f t="shared" si="0"/>
        <v>1</v>
      </c>
      <c r="P36" t="e">
        <f>VLOOKUP(B36,歌单!B:C,1,0)</f>
        <v>#N/A</v>
      </c>
    </row>
    <row r="37" spans="1:16" ht="15" hidden="1" customHeight="1">
      <c r="A37" s="8" t="s">
        <v>107</v>
      </c>
      <c r="B37" s="4" t="s">
        <v>107</v>
      </c>
      <c r="C37" s="4" t="s">
        <v>51</v>
      </c>
      <c r="D37" s="19" t="s">
        <v>108</v>
      </c>
      <c r="F37" s="2"/>
      <c r="G37" s="8"/>
      <c r="H37" s="8"/>
      <c r="I37" s="8"/>
      <c r="J37" s="8"/>
      <c r="K37" s="8"/>
      <c r="L37" s="8"/>
      <c r="M37" s="8"/>
      <c r="N37" s="2" t="e">
        <f>VLOOKUP(B37,歌单!B:C,2,0)</f>
        <v>#N/A</v>
      </c>
      <c r="O37" s="2">
        <f t="shared" si="0"/>
        <v>1</v>
      </c>
      <c r="P37" t="e">
        <f>VLOOKUP(B37,歌单!B:C,1,0)</f>
        <v>#N/A</v>
      </c>
    </row>
    <row r="38" spans="1:16" ht="15" hidden="1" customHeight="1">
      <c r="A38" s="8" t="s">
        <v>109</v>
      </c>
      <c r="B38" s="4" t="s">
        <v>109</v>
      </c>
      <c r="C38" s="4" t="s">
        <v>51</v>
      </c>
      <c r="D38" s="19" t="s">
        <v>110</v>
      </c>
      <c r="F38" s="2"/>
      <c r="G38" s="8"/>
      <c r="H38" s="8"/>
      <c r="I38" s="8"/>
      <c r="J38" s="8"/>
      <c r="K38" s="8"/>
      <c r="L38" s="8"/>
      <c r="M38" s="8"/>
      <c r="N38" s="2" t="e">
        <f>VLOOKUP(B38,歌单!B:C,2,0)</f>
        <v>#N/A</v>
      </c>
      <c r="O38" s="2">
        <f t="shared" si="0"/>
        <v>1</v>
      </c>
      <c r="P38" t="e">
        <f>VLOOKUP(B38,歌单!B:C,1,0)</f>
        <v>#N/A</v>
      </c>
    </row>
    <row r="39" spans="1:16" ht="15" hidden="1" customHeight="1">
      <c r="A39" s="8" t="s">
        <v>111</v>
      </c>
      <c r="B39" s="4" t="s">
        <v>111</v>
      </c>
      <c r="C39" s="4" t="s">
        <v>51</v>
      </c>
      <c r="D39" s="19" t="s">
        <v>112</v>
      </c>
      <c r="F39" s="2"/>
      <c r="G39" s="8"/>
      <c r="H39" s="8"/>
      <c r="I39" s="8"/>
      <c r="J39" s="8"/>
      <c r="K39" s="8"/>
      <c r="L39" s="8"/>
      <c r="M39" s="8"/>
      <c r="N39" s="2" t="e">
        <f>VLOOKUP(B39,歌单!B:C,2,0)</f>
        <v>#N/A</v>
      </c>
      <c r="O39" s="2">
        <f t="shared" si="0"/>
        <v>1</v>
      </c>
      <c r="P39" t="e">
        <f>VLOOKUP(B39,歌单!B:C,1,0)</f>
        <v>#N/A</v>
      </c>
    </row>
    <row r="40" spans="1:16" ht="15" hidden="1" customHeight="1">
      <c r="A40" s="8" t="s">
        <v>113</v>
      </c>
      <c r="B40" s="4" t="s">
        <v>113</v>
      </c>
      <c r="C40" s="4" t="s">
        <v>51</v>
      </c>
      <c r="D40" s="19" t="s">
        <v>114</v>
      </c>
      <c r="F40" s="2"/>
      <c r="G40" s="8"/>
      <c r="H40" s="8"/>
      <c r="I40" s="8"/>
      <c r="J40" s="8"/>
      <c r="K40" s="8"/>
      <c r="L40" s="8"/>
      <c r="M40" s="8"/>
      <c r="N40" s="2" t="e">
        <f>VLOOKUP(B40,歌单!B:C,2,0)</f>
        <v>#N/A</v>
      </c>
      <c r="O40" s="2">
        <f t="shared" si="0"/>
        <v>1</v>
      </c>
      <c r="P40" t="e">
        <f>VLOOKUP(B40,歌单!B:C,1,0)</f>
        <v>#N/A</v>
      </c>
    </row>
    <row r="41" spans="1:16" ht="15" hidden="1" customHeight="1">
      <c r="A41" s="4" t="s">
        <v>115</v>
      </c>
      <c r="B41" s="4" t="s">
        <v>115</v>
      </c>
      <c r="C41" s="4" t="s">
        <v>116</v>
      </c>
      <c r="D41" s="19" t="s">
        <v>117</v>
      </c>
      <c r="F41" s="2"/>
      <c r="G41" s="8"/>
      <c r="H41" s="8"/>
      <c r="I41" s="8"/>
      <c r="J41" s="8"/>
      <c r="K41" s="8"/>
      <c r="L41" s="8"/>
      <c r="M41" s="8"/>
      <c r="N41" s="2" t="e">
        <f>VLOOKUP(B41,歌单!B:C,2,0)</f>
        <v>#N/A</v>
      </c>
      <c r="O41" s="2">
        <f t="shared" si="0"/>
        <v>1</v>
      </c>
      <c r="P41" t="e">
        <f>VLOOKUP(B41,歌单!B:C,1,0)</f>
        <v>#N/A</v>
      </c>
    </row>
    <row r="42" spans="1:16" ht="15" hidden="1" customHeight="1">
      <c r="A42" s="33" t="s">
        <v>118</v>
      </c>
      <c r="B42" s="4" t="s">
        <v>118</v>
      </c>
      <c r="C42" s="4" t="s">
        <v>119</v>
      </c>
      <c r="F42" s="2"/>
      <c r="G42" s="8"/>
      <c r="H42" s="8"/>
      <c r="I42" s="8"/>
      <c r="J42" s="8"/>
      <c r="K42" s="8"/>
      <c r="L42" s="8"/>
      <c r="M42" s="8"/>
      <c r="N42" s="28" t="str">
        <f>VLOOKUP(B42,歌单!B:C,2,0)</f>
        <v>杨扬</v>
      </c>
      <c r="O42" s="2">
        <f t="shared" si="0"/>
        <v>1</v>
      </c>
      <c r="P42" t="str">
        <f>VLOOKUP(B42,歌单!B:C,1,0)</f>
        <v>神女劈观</v>
      </c>
    </row>
    <row r="43" spans="1:16" hidden="1">
      <c r="A43" s="8" t="s">
        <v>120</v>
      </c>
      <c r="B43" s="8" t="s">
        <v>120</v>
      </c>
      <c r="C43" s="8" t="s">
        <v>121</v>
      </c>
      <c r="D43" s="19" t="s">
        <v>122</v>
      </c>
      <c r="F43" s="2"/>
      <c r="G43" s="8"/>
      <c r="H43" s="8"/>
      <c r="I43" s="8"/>
      <c r="J43" s="8"/>
      <c r="K43" s="8"/>
      <c r="L43" s="8"/>
      <c r="M43" s="8"/>
      <c r="N43" s="2" t="e">
        <f>VLOOKUP(B43,歌单!B:C,2,0)</f>
        <v>#N/A</v>
      </c>
      <c r="O43" s="2">
        <f t="shared" si="0"/>
        <v>1</v>
      </c>
      <c r="P43" t="e">
        <f>VLOOKUP(B43,歌单!B:C,1,0)</f>
        <v>#N/A</v>
      </c>
    </row>
    <row r="44" spans="1:16" hidden="1">
      <c r="A44" s="8" t="s">
        <v>123</v>
      </c>
      <c r="B44" s="8" t="s">
        <v>123</v>
      </c>
      <c r="C44" s="8" t="s">
        <v>124</v>
      </c>
      <c r="D44" s="19" t="s">
        <v>125</v>
      </c>
      <c r="F44" s="2"/>
      <c r="G44" s="8"/>
      <c r="H44" s="8"/>
      <c r="I44" s="8"/>
      <c r="J44" s="8"/>
      <c r="K44" s="8"/>
      <c r="L44" s="8"/>
      <c r="M44" s="8"/>
      <c r="N44" s="2" t="e">
        <f>VLOOKUP(B44,歌单!B:C,2,0)</f>
        <v>#N/A</v>
      </c>
      <c r="O44" s="2">
        <f t="shared" si="0"/>
        <v>1</v>
      </c>
      <c r="P44" t="e">
        <f>VLOOKUP(B44,歌单!B:C,1,0)</f>
        <v>#N/A</v>
      </c>
    </row>
    <row r="45" spans="1:16" hidden="1">
      <c r="A45" s="8" t="s">
        <v>126</v>
      </c>
      <c r="B45" s="8" t="s">
        <v>126</v>
      </c>
      <c r="C45" s="8" t="s">
        <v>127</v>
      </c>
      <c r="F45" s="2"/>
      <c r="G45" s="8"/>
      <c r="H45" s="8"/>
      <c r="I45" s="8"/>
      <c r="J45" s="8"/>
      <c r="K45" s="8"/>
      <c r="L45" s="8"/>
      <c r="M45" s="8"/>
      <c r="N45" s="2" t="str">
        <f>VLOOKUP(B45,歌单!B:C,2,0)</f>
        <v>江语晨</v>
      </c>
      <c r="O45" s="2">
        <f t="shared" si="0"/>
        <v>0</v>
      </c>
      <c r="P45" t="str">
        <f>VLOOKUP(B45,歌单!B:C,1,0)</f>
        <v>最后一页</v>
      </c>
    </row>
    <row r="46" spans="1:16" hidden="1">
      <c r="A46" s="8" t="s">
        <v>128</v>
      </c>
      <c r="B46" s="8" t="s">
        <v>128</v>
      </c>
      <c r="C46" s="8" t="s">
        <v>129</v>
      </c>
      <c r="F46" s="2"/>
      <c r="G46" s="8"/>
      <c r="H46" s="8"/>
      <c r="I46" s="8"/>
      <c r="J46" s="8"/>
      <c r="K46" s="8"/>
      <c r="L46" s="8"/>
      <c r="M46" s="8"/>
      <c r="N46" s="2" t="e">
        <f>VLOOKUP(B46,歌单!B:C,2,0)</f>
        <v>#N/A</v>
      </c>
      <c r="O46" s="2">
        <f t="shared" si="0"/>
        <v>1</v>
      </c>
      <c r="P46" t="e">
        <f>VLOOKUP(B46,歌单!B:C,1,0)</f>
        <v>#N/A</v>
      </c>
    </row>
    <row r="47" spans="1:16" hidden="1">
      <c r="A47" s="8" t="s">
        <v>130</v>
      </c>
      <c r="B47" s="8" t="s">
        <v>130</v>
      </c>
      <c r="C47" s="8" t="s">
        <v>131</v>
      </c>
      <c r="F47" s="2"/>
      <c r="G47" s="8"/>
      <c r="H47" s="8"/>
      <c r="I47" s="8"/>
      <c r="J47" s="8"/>
      <c r="K47" s="8"/>
      <c r="L47" s="8"/>
      <c r="M47" s="8"/>
      <c r="N47" s="2" t="e">
        <f>VLOOKUP(B47,歌单!B:C,2,0)</f>
        <v>#N/A</v>
      </c>
      <c r="O47" s="2">
        <f t="shared" si="0"/>
        <v>1</v>
      </c>
      <c r="P47" t="e">
        <f>VLOOKUP(B47,歌单!B:C,1,0)</f>
        <v>#N/A</v>
      </c>
    </row>
    <row r="48" spans="1:16" ht="13.9" hidden="1" customHeight="1">
      <c r="A48" s="8" t="s">
        <v>132</v>
      </c>
      <c r="B48" s="8" t="s">
        <v>132</v>
      </c>
      <c r="C48" s="8" t="s">
        <v>133</v>
      </c>
      <c r="D48" s="20"/>
      <c r="F48" s="2"/>
      <c r="G48" s="8"/>
      <c r="H48" s="8"/>
      <c r="I48" s="8"/>
      <c r="J48" s="8"/>
      <c r="K48" s="8"/>
      <c r="L48" s="8"/>
      <c r="M48" s="8"/>
      <c r="N48" s="2" t="e">
        <f>VLOOKUP(B48,歌单!B:C,2,0)</f>
        <v>#N/A</v>
      </c>
      <c r="O48" s="2">
        <f t="shared" si="0"/>
        <v>1</v>
      </c>
      <c r="P48" t="e">
        <f>VLOOKUP(B48,歌单!B:C,1,0)</f>
        <v>#N/A</v>
      </c>
    </row>
    <row r="49" spans="1:16" ht="13.9" hidden="1" customHeight="1">
      <c r="A49" s="33" t="s">
        <v>3428</v>
      </c>
      <c r="B49" s="8" t="s">
        <v>134</v>
      </c>
      <c r="C49" s="8" t="s">
        <v>135</v>
      </c>
      <c r="D49" s="20"/>
      <c r="F49" s="2"/>
      <c r="G49" s="8"/>
      <c r="H49" s="8"/>
      <c r="I49" s="8"/>
      <c r="J49" s="8"/>
      <c r="K49" s="8"/>
      <c r="L49" s="8"/>
      <c r="M49" s="8"/>
      <c r="N49" s="28" t="str">
        <f>VLOOKUP(B49,歌单!B:C,2,0)</f>
        <v>邓紫棋/张靓颖</v>
      </c>
      <c r="O49" s="2">
        <f t="shared" si="0"/>
        <v>1</v>
      </c>
      <c r="P49" t="str">
        <f>VLOOKUP(B49,歌单!B:C,1,0)</f>
        <v>雨蝶</v>
      </c>
    </row>
    <row r="50" spans="1:16" hidden="1">
      <c r="A50" s="8" t="s">
        <v>136</v>
      </c>
      <c r="B50" s="8" t="s">
        <v>136</v>
      </c>
      <c r="C50" s="8" t="s">
        <v>21</v>
      </c>
      <c r="F50" s="2"/>
      <c r="G50" s="8"/>
      <c r="H50" s="8"/>
      <c r="I50" s="8"/>
      <c r="J50" s="8"/>
      <c r="K50" s="8"/>
      <c r="L50" s="8"/>
      <c r="M50" s="8"/>
      <c r="N50" s="2" t="str">
        <f>VLOOKUP(B50,歌单!B:C,2,0)</f>
        <v>单依纯</v>
      </c>
      <c r="O50" s="2">
        <f t="shared" si="0"/>
        <v>0</v>
      </c>
      <c r="P50" t="str">
        <f>VLOOKUP(B50,歌单!B:C,1,0)</f>
        <v>续写</v>
      </c>
    </row>
    <row r="51" spans="1:16" hidden="1">
      <c r="A51" s="8" t="s">
        <v>137</v>
      </c>
      <c r="B51" s="8" t="s">
        <v>137</v>
      </c>
      <c r="C51" s="8" t="s">
        <v>138</v>
      </c>
      <c r="F51" s="2"/>
      <c r="G51" s="8"/>
      <c r="H51" s="8"/>
      <c r="I51" s="8"/>
      <c r="J51" s="8"/>
      <c r="K51" s="8"/>
      <c r="L51" s="8"/>
      <c r="M51" s="8"/>
      <c r="N51" s="2" t="e">
        <f>VLOOKUP(B51,歌单!B:C,2,0)</f>
        <v>#N/A</v>
      </c>
      <c r="O51" s="2">
        <f t="shared" si="0"/>
        <v>1</v>
      </c>
      <c r="P51" t="e">
        <f>VLOOKUP(B51,歌单!B:C,1,0)</f>
        <v>#N/A</v>
      </c>
    </row>
    <row r="52" spans="1:16" hidden="1">
      <c r="A52" s="8" t="s">
        <v>139</v>
      </c>
      <c r="B52" s="8" t="s">
        <v>139</v>
      </c>
      <c r="C52" s="8" t="s">
        <v>140</v>
      </c>
      <c r="F52" s="2"/>
      <c r="G52" s="8"/>
      <c r="H52" s="8"/>
      <c r="I52" s="8"/>
      <c r="J52" s="8"/>
      <c r="K52" s="8"/>
      <c r="L52" s="8"/>
      <c r="M52" s="8"/>
      <c r="N52" s="2" t="e">
        <f>VLOOKUP(B52,歌单!B:C,2,0)</f>
        <v>#N/A</v>
      </c>
      <c r="O52" s="2">
        <f t="shared" si="0"/>
        <v>1</v>
      </c>
      <c r="P52" t="e">
        <f>VLOOKUP(B52,歌单!B:C,1,0)</f>
        <v>#N/A</v>
      </c>
    </row>
    <row r="53" spans="1:16" hidden="1">
      <c r="A53" s="8" t="s">
        <v>141</v>
      </c>
      <c r="B53" s="8" t="s">
        <v>141</v>
      </c>
      <c r="C53" s="8" t="s">
        <v>142</v>
      </c>
      <c r="F53" s="2"/>
      <c r="G53" s="8"/>
      <c r="H53" s="8"/>
      <c r="I53" s="8"/>
      <c r="J53" s="8"/>
      <c r="K53" s="8"/>
      <c r="L53" s="8"/>
      <c r="M53" s="8"/>
      <c r="N53" s="2" t="e">
        <f>VLOOKUP(B53,歌单!B:C,2,0)</f>
        <v>#N/A</v>
      </c>
      <c r="O53" s="2">
        <f t="shared" si="0"/>
        <v>1</v>
      </c>
      <c r="P53" t="e">
        <f>VLOOKUP(B53,歌单!B:C,1,0)</f>
        <v>#N/A</v>
      </c>
    </row>
    <row r="54" spans="1:16" hidden="1">
      <c r="A54" s="8" t="s">
        <v>143</v>
      </c>
      <c r="B54" s="8" t="s">
        <v>143</v>
      </c>
      <c r="C54" s="8" t="s">
        <v>144</v>
      </c>
      <c r="F54" s="2"/>
      <c r="G54" s="8"/>
      <c r="H54" s="8"/>
      <c r="I54" s="8"/>
      <c r="J54" s="8"/>
      <c r="K54" s="8"/>
      <c r="L54" s="8"/>
      <c r="M54" s="8"/>
      <c r="N54" s="2" t="e">
        <f>VLOOKUP(B54,歌单!B:C,2,0)</f>
        <v>#N/A</v>
      </c>
      <c r="O54" s="2">
        <f t="shared" si="0"/>
        <v>1</v>
      </c>
      <c r="P54" t="e">
        <f>VLOOKUP(B54,歌单!B:C,1,0)</f>
        <v>#N/A</v>
      </c>
    </row>
    <row r="55" spans="1:16" hidden="1">
      <c r="A55" s="8" t="s">
        <v>145</v>
      </c>
      <c r="B55" s="8" t="s">
        <v>145</v>
      </c>
      <c r="C55" s="8" t="s">
        <v>146</v>
      </c>
      <c r="F55" s="2"/>
      <c r="G55" s="8"/>
      <c r="H55" s="8"/>
      <c r="I55" s="8"/>
      <c r="J55" s="8"/>
      <c r="K55" s="8"/>
      <c r="L55" s="8"/>
      <c r="M55" s="8"/>
      <c r="N55" s="2" t="e">
        <f>VLOOKUP(B55,歌单!B:C,2,0)</f>
        <v>#N/A</v>
      </c>
      <c r="O55" s="2">
        <f t="shared" si="0"/>
        <v>1</v>
      </c>
      <c r="P55" t="e">
        <f>VLOOKUP(B55,歌单!B:C,1,0)</f>
        <v>#N/A</v>
      </c>
    </row>
    <row r="56" spans="1:16" hidden="1">
      <c r="A56" s="8" t="s">
        <v>147</v>
      </c>
      <c r="B56" s="8" t="s">
        <v>147</v>
      </c>
      <c r="C56" s="8" t="s">
        <v>148</v>
      </c>
      <c r="F56" s="2"/>
      <c r="G56" s="8"/>
      <c r="H56" s="8"/>
      <c r="I56" s="8"/>
      <c r="J56" s="8"/>
      <c r="K56" s="8"/>
      <c r="L56" s="8"/>
      <c r="M56" s="8"/>
      <c r="N56" s="2" t="str">
        <f>VLOOKUP(B56,歌单!B:C,2,0)</f>
        <v>艾薇</v>
      </c>
      <c r="O56" s="2">
        <f t="shared" si="0"/>
        <v>0</v>
      </c>
      <c r="P56" t="str">
        <f>VLOOKUP(B56,歌单!B:C,1,0)</f>
        <v>悲伤的五个步骤</v>
      </c>
    </row>
    <row r="57" spans="1:16" ht="15" hidden="1" customHeight="1">
      <c r="A57" s="32" t="s">
        <v>149</v>
      </c>
      <c r="B57" s="4" t="s">
        <v>150</v>
      </c>
      <c r="C57" s="4" t="s">
        <v>151</v>
      </c>
      <c r="D57" s="18"/>
      <c r="E57" s="18">
        <v>277</v>
      </c>
      <c r="F57" s="18">
        <v>2</v>
      </c>
      <c r="G57" s="4"/>
      <c r="H57" s="4"/>
      <c r="I57" s="5">
        <v>156</v>
      </c>
      <c r="J57" s="4"/>
      <c r="K57" s="4"/>
      <c r="L57" s="4">
        <v>71832236</v>
      </c>
      <c r="M57" s="4"/>
      <c r="N57" s="2" t="str">
        <f>VLOOKUP(B57,歌单!B:C,2,0)</f>
        <v>泠鸢yousa</v>
      </c>
      <c r="O57" s="2">
        <f t="shared" si="0"/>
        <v>1</v>
      </c>
      <c r="P57" t="str">
        <f>VLOOKUP(B57,歌单!B:C,1,0)</f>
        <v>繁华唱遍</v>
      </c>
    </row>
    <row r="58" spans="1:16" ht="15" hidden="1" customHeight="1">
      <c r="A58" s="32" t="s">
        <v>152</v>
      </c>
      <c r="B58" s="4" t="s">
        <v>153</v>
      </c>
      <c r="C58" s="4" t="s">
        <v>154</v>
      </c>
      <c r="D58" s="18"/>
      <c r="E58" s="18">
        <v>0</v>
      </c>
      <c r="F58" s="18">
        <v>0</v>
      </c>
      <c r="G58" s="4" t="s">
        <v>155</v>
      </c>
      <c r="H58" s="4" t="s">
        <v>156</v>
      </c>
      <c r="I58" s="5">
        <v>689</v>
      </c>
      <c r="J58" s="4" t="s">
        <v>157</v>
      </c>
      <c r="K58" s="4" t="s">
        <v>158</v>
      </c>
      <c r="L58" s="4">
        <v>220057953</v>
      </c>
      <c r="M58" s="4"/>
      <c r="N58" s="28" t="str">
        <f>VLOOKUP(B58,歌单!B:C,2,0)</f>
        <v>林宥嘉</v>
      </c>
      <c r="O58" s="2">
        <f t="shared" si="0"/>
        <v>1</v>
      </c>
      <c r="P58" t="str">
        <f>VLOOKUP(B58,歌单!B:C,1,0)</f>
        <v>听见下雨的声音</v>
      </c>
    </row>
    <row r="59" spans="1:16" ht="15" hidden="1" customHeight="1">
      <c r="A59" s="4" t="s">
        <v>159</v>
      </c>
      <c r="B59" s="4" t="s">
        <v>160</v>
      </c>
      <c r="C59" s="4" t="s">
        <v>161</v>
      </c>
      <c r="D59" s="18"/>
      <c r="E59" s="18">
        <v>0</v>
      </c>
      <c r="F59" s="18">
        <v>0</v>
      </c>
      <c r="G59" s="4" t="s">
        <v>162</v>
      </c>
      <c r="H59" s="4" t="s">
        <v>163</v>
      </c>
      <c r="I59" s="5">
        <v>75</v>
      </c>
      <c r="J59" s="4" t="s">
        <v>164</v>
      </c>
      <c r="K59" s="4" t="s">
        <v>165</v>
      </c>
      <c r="L59" s="4">
        <v>19576567</v>
      </c>
      <c r="M59" s="4"/>
      <c r="N59" s="2" t="e">
        <f>VLOOKUP(B59,歌单!B:C,2,0)</f>
        <v>#N/A</v>
      </c>
      <c r="O59" s="2">
        <f t="shared" si="0"/>
        <v>1</v>
      </c>
      <c r="P59" t="e">
        <f>VLOOKUP(B59,歌单!B:C,1,0)</f>
        <v>#N/A</v>
      </c>
    </row>
    <row r="60" spans="1:16" ht="15" hidden="1" customHeight="1">
      <c r="A60" s="32" t="s">
        <v>166</v>
      </c>
      <c r="B60" s="4" t="s">
        <v>167</v>
      </c>
      <c r="C60" s="4" t="s">
        <v>168</v>
      </c>
      <c r="D60" s="18"/>
      <c r="E60" s="18">
        <v>0</v>
      </c>
      <c r="F60" s="18">
        <v>0</v>
      </c>
      <c r="G60" s="4" t="s">
        <v>169</v>
      </c>
      <c r="H60" s="4" t="s">
        <v>170</v>
      </c>
      <c r="I60" s="5">
        <v>224</v>
      </c>
      <c r="J60" s="4" t="s">
        <v>171</v>
      </c>
      <c r="K60" s="4" t="s">
        <v>172</v>
      </c>
      <c r="L60" s="4">
        <v>116853011</v>
      </c>
      <c r="M60" s="4"/>
      <c r="N60" s="2" t="str">
        <f>VLOOKUP(B60,歌单!B:C,2,0)</f>
        <v>吴碧霞</v>
      </c>
      <c r="O60" s="2">
        <f t="shared" si="0"/>
        <v>1</v>
      </c>
      <c r="P60" t="str">
        <f>VLOOKUP(B60,歌单!B:C,1,0)</f>
        <v>枉凝眉</v>
      </c>
    </row>
    <row r="61" spans="1:16" ht="15" hidden="1" customHeight="1">
      <c r="A61" s="4" t="s">
        <v>173</v>
      </c>
      <c r="B61" s="4" t="s">
        <v>174</v>
      </c>
      <c r="C61" s="4" t="s">
        <v>175</v>
      </c>
      <c r="D61" s="18"/>
      <c r="E61" s="18">
        <v>0</v>
      </c>
      <c r="F61" s="18">
        <v>0</v>
      </c>
      <c r="G61" s="4" t="s">
        <v>176</v>
      </c>
      <c r="H61" s="4" t="s">
        <v>177</v>
      </c>
      <c r="I61" s="5">
        <v>379</v>
      </c>
      <c r="J61" s="4"/>
      <c r="K61" s="4" t="s">
        <v>178</v>
      </c>
      <c r="L61" s="4">
        <v>64254104</v>
      </c>
      <c r="M61" s="4"/>
      <c r="N61" s="2" t="str">
        <f>VLOOKUP(B61,歌单!B:C,2,0)</f>
        <v>刘欢</v>
      </c>
      <c r="O61" s="2">
        <f t="shared" si="0"/>
        <v>0</v>
      </c>
      <c r="P61" t="str">
        <f>VLOOKUP(B61,歌单!B:C,1,0)</f>
        <v>凤凰于飞</v>
      </c>
    </row>
    <row r="62" spans="1:16" ht="15" hidden="1" customHeight="1">
      <c r="A62" s="32" t="s">
        <v>179</v>
      </c>
      <c r="B62" s="4" t="s">
        <v>180</v>
      </c>
      <c r="C62" s="4" t="s">
        <v>181</v>
      </c>
      <c r="D62" s="18"/>
      <c r="E62" s="18">
        <v>0</v>
      </c>
      <c r="F62" s="18">
        <v>0</v>
      </c>
      <c r="G62" s="4" t="s">
        <v>182</v>
      </c>
      <c r="H62" s="4" t="s">
        <v>183</v>
      </c>
      <c r="I62" s="5">
        <v>1394</v>
      </c>
      <c r="J62" s="4" t="s">
        <v>184</v>
      </c>
      <c r="K62" s="4" t="s">
        <v>185</v>
      </c>
      <c r="L62" s="4">
        <v>365899290</v>
      </c>
      <c r="M62" s="4"/>
      <c r="N62" s="28" t="str">
        <f>VLOOKUP(B62,歌单!B:C,2,0)</f>
        <v>周深</v>
      </c>
      <c r="O62" s="2">
        <f t="shared" si="0"/>
        <v>1</v>
      </c>
      <c r="P62" t="str">
        <f>VLOOKUP(B62,歌单!B:C,1,0)</f>
        <v>雪落下的声音</v>
      </c>
    </row>
    <row r="63" spans="1:16" ht="15" customHeight="1">
      <c r="A63" s="4" t="s">
        <v>186</v>
      </c>
      <c r="B63" s="4" t="s">
        <v>187</v>
      </c>
      <c r="C63" s="4" t="s">
        <v>188</v>
      </c>
      <c r="D63" s="18"/>
      <c r="E63" s="18">
        <v>516030</v>
      </c>
      <c r="F63" s="18">
        <v>96155</v>
      </c>
      <c r="G63" s="4" t="s">
        <v>189</v>
      </c>
      <c r="H63" s="4" t="s">
        <v>190</v>
      </c>
      <c r="I63" s="5">
        <v>4410</v>
      </c>
      <c r="J63" s="4"/>
      <c r="K63" s="4" t="s">
        <v>187</v>
      </c>
      <c r="L63" s="4">
        <v>217211932</v>
      </c>
      <c r="M63" s="4"/>
      <c r="N63" s="2">
        <f>VLOOKUP(B63,歌单!B:C,2,0)</f>
        <v>0</v>
      </c>
      <c r="O63" s="2">
        <f t="shared" si="0"/>
        <v>1</v>
      </c>
      <c r="P63" t="str">
        <f>VLOOKUP(B63,歌单!B:C,1,0)</f>
        <v>Rubia</v>
      </c>
    </row>
    <row r="64" spans="1:16" ht="15" hidden="1" customHeight="1">
      <c r="A64" s="32" t="s">
        <v>191</v>
      </c>
      <c r="B64" s="4" t="s">
        <v>192</v>
      </c>
      <c r="C64" s="4" t="s">
        <v>193</v>
      </c>
      <c r="D64" s="18"/>
      <c r="E64" s="18">
        <v>0</v>
      </c>
      <c r="F64" s="18">
        <v>0</v>
      </c>
      <c r="G64" s="4" t="s">
        <v>194</v>
      </c>
      <c r="H64" s="4" t="s">
        <v>195</v>
      </c>
      <c r="I64" s="5">
        <v>68</v>
      </c>
      <c r="J64" s="4"/>
      <c r="K64" s="4" t="s">
        <v>196</v>
      </c>
      <c r="L64" s="4">
        <v>14971574</v>
      </c>
      <c r="M64" s="4"/>
      <c r="N64" s="2" t="str">
        <f>VLOOKUP(B64,歌单!B:C,2,0)</f>
        <v>泠鸢yousa</v>
      </c>
      <c r="O64" s="2">
        <f t="shared" si="0"/>
        <v>1</v>
      </c>
      <c r="P64" t="str">
        <f>VLOOKUP(B64,歌单!B:C,1,0)</f>
        <v>流年如歌</v>
      </c>
    </row>
    <row r="65" spans="1:17" ht="15" hidden="1" customHeight="1">
      <c r="A65" s="4" t="s">
        <v>197</v>
      </c>
      <c r="B65" s="4" t="s">
        <v>198</v>
      </c>
      <c r="C65" s="4" t="s">
        <v>199</v>
      </c>
      <c r="D65" s="18"/>
      <c r="E65" s="18">
        <v>0</v>
      </c>
      <c r="F65" s="18">
        <v>0</v>
      </c>
      <c r="G65" s="4" t="s">
        <v>200</v>
      </c>
      <c r="H65" s="4" t="s">
        <v>201</v>
      </c>
      <c r="I65" s="5">
        <v>2851</v>
      </c>
      <c r="J65" s="4"/>
      <c r="K65" s="4" t="s">
        <v>198</v>
      </c>
      <c r="L65" s="4">
        <v>1563883536</v>
      </c>
      <c r="M65" s="4" t="s">
        <v>202</v>
      </c>
      <c r="N65" s="2" t="str">
        <f>VLOOKUP(B65,歌单!B:C,2,0)</f>
        <v>祖海</v>
      </c>
      <c r="O65" s="2">
        <f t="shared" si="0"/>
        <v>0</v>
      </c>
      <c r="P65" t="str">
        <f>VLOOKUP(B65,歌单!B:C,1,0)</f>
        <v>好运来</v>
      </c>
    </row>
    <row r="66" spans="1:17" ht="15" hidden="1" customHeight="1">
      <c r="A66" s="4" t="s">
        <v>203</v>
      </c>
      <c r="B66" s="4" t="s">
        <v>95</v>
      </c>
      <c r="C66" s="4" t="s">
        <v>51</v>
      </c>
      <c r="D66" s="18"/>
      <c r="E66" s="18">
        <v>0</v>
      </c>
      <c r="F66" s="18">
        <v>0</v>
      </c>
      <c r="G66" s="4" t="s">
        <v>204</v>
      </c>
      <c r="H66" s="4" t="s">
        <v>205</v>
      </c>
      <c r="I66" s="5">
        <v>149</v>
      </c>
      <c r="J66" s="4"/>
      <c r="K66" s="4" t="s">
        <v>206</v>
      </c>
      <c r="L66" s="4">
        <v>33137051</v>
      </c>
      <c r="M66" s="4"/>
      <c r="N66" s="2" t="str">
        <f>VLOOKUP(B66,歌单!B:C,2,0)</f>
        <v>说说</v>
      </c>
      <c r="O66" s="2">
        <f t="shared" si="0"/>
        <v>0</v>
      </c>
      <c r="P66" t="str">
        <f>VLOOKUP(B66,歌单!B:C,1,0)</f>
        <v>不问天</v>
      </c>
      <c r="Q66">
        <f>IFERROR(SEARCH(N66,C66),0)</f>
        <v>1</v>
      </c>
    </row>
    <row r="67" spans="1:17" ht="15" hidden="1" customHeight="1">
      <c r="A67" s="4" t="s">
        <v>207</v>
      </c>
      <c r="B67" s="4" t="s">
        <v>208</v>
      </c>
      <c r="C67" s="4" t="s">
        <v>209</v>
      </c>
      <c r="D67" s="18"/>
      <c r="E67" s="18">
        <v>0</v>
      </c>
      <c r="F67" s="18">
        <v>0</v>
      </c>
      <c r="G67" s="4" t="s">
        <v>210</v>
      </c>
      <c r="H67" s="4" t="s">
        <v>211</v>
      </c>
      <c r="I67" s="5">
        <v>1270</v>
      </c>
      <c r="J67" s="4"/>
      <c r="K67" s="4" t="s">
        <v>212</v>
      </c>
      <c r="L67" s="4">
        <v>256686027</v>
      </c>
      <c r="M67" s="4"/>
      <c r="N67" s="2" t="str">
        <f>VLOOKUP(B67,歌单!B:C,2,0)</f>
        <v>黄诗扶</v>
      </c>
      <c r="O67" s="2">
        <f t="shared" ref="O67:O130" si="2">_xlfn.IFNA(IF(IFERROR(SEARCH(N67,C67),0)&gt;0,0,1),0)</f>
        <v>0</v>
      </c>
      <c r="P67" t="str">
        <f>VLOOKUP(B67,歌单!B:C,1,0)</f>
        <v>九万字</v>
      </c>
    </row>
    <row r="68" spans="1:17" ht="15" hidden="1" customHeight="1">
      <c r="A68" s="4" t="s">
        <v>213</v>
      </c>
      <c r="B68" s="4" t="s">
        <v>214</v>
      </c>
      <c r="C68" s="4" t="s">
        <v>215</v>
      </c>
      <c r="D68" s="18"/>
      <c r="E68" s="18">
        <v>0</v>
      </c>
      <c r="F68" s="18">
        <v>0</v>
      </c>
      <c r="G68" s="4" t="s">
        <v>216</v>
      </c>
      <c r="H68" s="4" t="s">
        <v>217</v>
      </c>
      <c r="I68" s="5">
        <v>554</v>
      </c>
      <c r="J68" s="4"/>
      <c r="K68" s="4" t="s">
        <v>218</v>
      </c>
      <c r="L68" s="4">
        <v>217626434</v>
      </c>
      <c r="M68" s="4"/>
      <c r="N68" s="2" t="str">
        <f>VLOOKUP(B68,歌单!B:C,2,0)</f>
        <v>毛阿敏</v>
      </c>
      <c r="O68" s="2">
        <f t="shared" si="2"/>
        <v>0</v>
      </c>
      <c r="P68" t="str">
        <f>VLOOKUP(B68,歌单!B:C,1,0)</f>
        <v>相思</v>
      </c>
    </row>
    <row r="69" spans="1:17" ht="15" hidden="1" customHeight="1">
      <c r="A69" s="4" t="s">
        <v>219</v>
      </c>
      <c r="B69" s="4" t="s">
        <v>220</v>
      </c>
      <c r="C69" s="4" t="s">
        <v>221</v>
      </c>
      <c r="D69" s="18"/>
      <c r="E69" s="18">
        <v>1071</v>
      </c>
      <c r="F69" s="18">
        <v>194</v>
      </c>
      <c r="G69" s="4" t="s">
        <v>222</v>
      </c>
      <c r="H69" s="4" t="s">
        <v>223</v>
      </c>
      <c r="I69" s="5">
        <v>905</v>
      </c>
      <c r="J69" s="4"/>
      <c r="K69" s="4" t="s">
        <v>224</v>
      </c>
      <c r="L69" s="4">
        <v>132554728</v>
      </c>
      <c r="M69" s="4"/>
      <c r="N69" s="2" t="str">
        <f>VLOOKUP(B69,歌单!B:C,2,0)</f>
        <v>毛不易</v>
      </c>
      <c r="O69" s="2">
        <f t="shared" si="2"/>
        <v>0</v>
      </c>
      <c r="P69" t="str">
        <f>VLOOKUP(B69,歌单!B:C,1,0)</f>
        <v>一荤一素</v>
      </c>
    </row>
    <row r="70" spans="1:17" ht="15" hidden="1" customHeight="1">
      <c r="A70" s="4" t="s">
        <v>225</v>
      </c>
      <c r="B70" s="4" t="s">
        <v>226</v>
      </c>
      <c r="C70" s="4" t="s">
        <v>227</v>
      </c>
      <c r="D70" s="18"/>
      <c r="E70" s="18">
        <v>0</v>
      </c>
      <c r="F70" s="18">
        <v>0</v>
      </c>
      <c r="G70" s="4" t="s">
        <v>228</v>
      </c>
      <c r="H70" s="4" t="s">
        <v>229</v>
      </c>
      <c r="I70" s="5">
        <v>8985</v>
      </c>
      <c r="J70" s="4" t="s">
        <v>230</v>
      </c>
      <c r="K70" s="4" t="s">
        <v>226</v>
      </c>
      <c r="L70" s="4">
        <v>520502983</v>
      </c>
      <c r="M70" s="4"/>
      <c r="N70" s="2" t="str">
        <f>VLOOKUP(B70,歌单!B:C,2,0)</f>
        <v>王菲</v>
      </c>
      <c r="O70" s="2">
        <f t="shared" si="2"/>
        <v>0</v>
      </c>
      <c r="P70" t="str">
        <f>VLOOKUP(B70,歌单!B:C,1,0)</f>
        <v>如愿</v>
      </c>
    </row>
    <row r="71" spans="1:17" ht="15" hidden="1" customHeight="1">
      <c r="A71" s="4" t="s">
        <v>231</v>
      </c>
      <c r="B71" s="4" t="s">
        <v>232</v>
      </c>
      <c r="C71" s="4" t="s">
        <v>233</v>
      </c>
      <c r="D71" s="18"/>
      <c r="E71" s="18">
        <v>43546</v>
      </c>
      <c r="F71" s="18">
        <v>6440</v>
      </c>
      <c r="G71" s="4" t="s">
        <v>234</v>
      </c>
      <c r="H71" s="4"/>
      <c r="I71" s="5">
        <v>2370</v>
      </c>
      <c r="J71" s="4"/>
      <c r="K71" s="4" t="s">
        <v>232</v>
      </c>
      <c r="L71" s="4">
        <v>316650487</v>
      </c>
      <c r="M71" s="4" t="s">
        <v>235</v>
      </c>
      <c r="N71" s="2" t="str">
        <f>VLOOKUP(B71,歌单!B:C,2,0)</f>
        <v>刘瑾睿</v>
      </c>
      <c r="O71" s="2">
        <f t="shared" si="2"/>
        <v>0</v>
      </c>
      <c r="P71" t="str">
        <f>VLOOKUP(B71,歌单!B:C,1,0)</f>
        <v>若把你</v>
      </c>
      <c r="Q71">
        <f>IFERROR(SEARCH(N71,C71),0)</f>
        <v>7</v>
      </c>
    </row>
    <row r="72" spans="1:17" ht="15" hidden="1" customHeight="1">
      <c r="A72" s="4" t="s">
        <v>236</v>
      </c>
      <c r="B72" s="4" t="s">
        <v>237</v>
      </c>
      <c r="C72" s="4" t="s">
        <v>238</v>
      </c>
      <c r="D72" s="18"/>
      <c r="E72" s="18">
        <v>0</v>
      </c>
      <c r="F72" s="18">
        <v>0</v>
      </c>
      <c r="G72" s="4" t="s">
        <v>239</v>
      </c>
      <c r="H72" s="4" t="s">
        <v>240</v>
      </c>
      <c r="I72" s="5">
        <v>95</v>
      </c>
      <c r="J72" s="4" t="s">
        <v>241</v>
      </c>
      <c r="K72" s="4" t="s">
        <v>242</v>
      </c>
      <c r="L72" s="4">
        <v>40070424</v>
      </c>
      <c r="M72" s="4"/>
      <c r="N72" s="2" t="str">
        <f>VLOOKUP(B72,歌单!B:C,2,0)</f>
        <v>姚贝娜</v>
      </c>
      <c r="O72" s="2">
        <f t="shared" si="2"/>
        <v>0</v>
      </c>
      <c r="P72" t="str">
        <f>VLOOKUP(B72,歌单!B:C,1,0)</f>
        <v>菩萨蛮</v>
      </c>
    </row>
    <row r="73" spans="1:17" ht="15" hidden="1" customHeight="1">
      <c r="A73" s="32" t="s">
        <v>243</v>
      </c>
      <c r="B73" s="4" t="s">
        <v>244</v>
      </c>
      <c r="C73" s="4" t="s">
        <v>245</v>
      </c>
      <c r="D73" s="18"/>
      <c r="E73" s="18">
        <v>0</v>
      </c>
      <c r="F73" s="18">
        <v>0</v>
      </c>
      <c r="G73" s="4" t="s">
        <v>246</v>
      </c>
      <c r="H73" s="4" t="s">
        <v>247</v>
      </c>
      <c r="I73" s="5">
        <v>4856</v>
      </c>
      <c r="J73" s="4" t="s">
        <v>248</v>
      </c>
      <c r="K73" s="4" t="s">
        <v>244</v>
      </c>
      <c r="L73" s="4">
        <v>508621070</v>
      </c>
      <c r="M73" s="4"/>
      <c r="N73" s="28" t="str">
        <f>VLOOKUP(B73,歌单!B:C,2,0)</f>
        <v>alin</v>
      </c>
      <c r="O73" s="2">
        <f t="shared" si="2"/>
        <v>1</v>
      </c>
      <c r="P73" t="str">
        <f>VLOOKUP(B73,歌单!B:C,1,0)</f>
        <v>天若有情</v>
      </c>
    </row>
    <row r="74" spans="1:17" ht="15" hidden="1" customHeight="1">
      <c r="A74" s="4" t="s">
        <v>249</v>
      </c>
      <c r="B74" s="4" t="s">
        <v>250</v>
      </c>
      <c r="C74" s="4" t="s">
        <v>42</v>
      </c>
      <c r="D74" s="18"/>
      <c r="E74" s="18">
        <v>0</v>
      </c>
      <c r="F74" s="18">
        <v>0</v>
      </c>
      <c r="G74" s="4" t="s">
        <v>251</v>
      </c>
      <c r="H74" s="4" t="s">
        <v>252</v>
      </c>
      <c r="I74" s="5">
        <v>2739</v>
      </c>
      <c r="J74" s="4" t="s">
        <v>253</v>
      </c>
      <c r="K74" s="4" t="s">
        <v>250</v>
      </c>
      <c r="L74" s="4">
        <v>119060924</v>
      </c>
      <c r="M74" s="4"/>
      <c r="N74" s="2" t="str">
        <f>VLOOKUP(B74,歌单!B:C,2,0)</f>
        <v>黄龄</v>
      </c>
      <c r="O74" s="2">
        <f t="shared" si="2"/>
        <v>0</v>
      </c>
      <c r="P74" t="str">
        <f>VLOOKUP(B74,歌单!B:C,1,0)</f>
        <v>入画江南</v>
      </c>
    </row>
    <row r="75" spans="1:17" ht="15" hidden="1" customHeight="1">
      <c r="A75" s="4" t="s">
        <v>254</v>
      </c>
      <c r="B75" s="4" t="s">
        <v>255</v>
      </c>
      <c r="C75" s="4" t="s">
        <v>154</v>
      </c>
      <c r="D75" s="18"/>
      <c r="E75" s="18">
        <v>0</v>
      </c>
      <c r="F75" s="18">
        <v>0</v>
      </c>
      <c r="G75" s="4" t="s">
        <v>256</v>
      </c>
      <c r="H75" s="4"/>
      <c r="I75" s="5">
        <v>1261</v>
      </c>
      <c r="J75" s="4"/>
      <c r="K75" s="4" t="s">
        <v>257</v>
      </c>
      <c r="L75" s="4">
        <v>396368679</v>
      </c>
      <c r="M75" s="4"/>
      <c r="N75" s="2" t="str">
        <f>VLOOKUP(B75,歌单!B:C,2,0)</f>
        <v>周杰伦</v>
      </c>
      <c r="O75" s="2">
        <f t="shared" si="2"/>
        <v>0</v>
      </c>
      <c r="P75" t="str">
        <f>VLOOKUP(B75,歌单!B:C,1,0)</f>
        <v>安静</v>
      </c>
    </row>
    <row r="76" spans="1:17" ht="15" hidden="1" customHeight="1">
      <c r="A76" s="4" t="s">
        <v>258</v>
      </c>
      <c r="B76" s="4" t="s">
        <v>259</v>
      </c>
      <c r="C76" s="4" t="s">
        <v>154</v>
      </c>
      <c r="D76" s="18"/>
      <c r="E76" s="18">
        <v>0</v>
      </c>
      <c r="F76" s="18">
        <v>0</v>
      </c>
      <c r="G76" s="4" t="s">
        <v>260</v>
      </c>
      <c r="H76" s="4" t="s">
        <v>261</v>
      </c>
      <c r="I76" s="5">
        <v>6002</v>
      </c>
      <c r="J76" s="4"/>
      <c r="K76" s="4" t="s">
        <v>262</v>
      </c>
      <c r="L76" s="4">
        <v>560749777</v>
      </c>
      <c r="M76" s="4"/>
      <c r="N76" s="2" t="str">
        <f>VLOOKUP(B76,歌单!B:C,2,0)</f>
        <v>周杰伦</v>
      </c>
      <c r="O76" s="2">
        <f t="shared" si="2"/>
        <v>0</v>
      </c>
      <c r="P76" t="str">
        <f>VLOOKUP(B76,歌单!B:C,1,0)</f>
        <v>枫</v>
      </c>
    </row>
    <row r="77" spans="1:17" ht="15" hidden="1" customHeight="1">
      <c r="A77" s="4" t="s">
        <v>263</v>
      </c>
      <c r="B77" s="4" t="s">
        <v>264</v>
      </c>
      <c r="C77" s="4" t="s">
        <v>265</v>
      </c>
      <c r="D77" s="18"/>
      <c r="E77" s="18">
        <v>0</v>
      </c>
      <c r="F77" s="18">
        <v>0</v>
      </c>
      <c r="G77" s="4" t="s">
        <v>266</v>
      </c>
      <c r="H77" s="4" t="s">
        <v>267</v>
      </c>
      <c r="I77" s="5">
        <v>396</v>
      </c>
      <c r="J77" s="4"/>
      <c r="K77" s="4" t="s">
        <v>268</v>
      </c>
      <c r="L77" s="4">
        <v>134528215</v>
      </c>
      <c r="M77" s="4"/>
      <c r="N77" s="2" t="str">
        <f>VLOOKUP(B77,歌单!B:C,2,0)</f>
        <v>蔡依林</v>
      </c>
      <c r="O77" s="2">
        <f t="shared" si="2"/>
        <v>0</v>
      </c>
      <c r="P77" t="str">
        <f>VLOOKUP(B77,歌单!B:C,1,0)</f>
        <v>舞娘</v>
      </c>
    </row>
    <row r="78" spans="1:17" ht="15" hidden="1" customHeight="1">
      <c r="A78" s="4" t="s">
        <v>269</v>
      </c>
      <c r="B78" s="4" t="s">
        <v>270</v>
      </c>
      <c r="C78" s="4" t="s">
        <v>265</v>
      </c>
      <c r="D78" s="18"/>
      <c r="E78" s="18">
        <v>0</v>
      </c>
      <c r="F78" s="18">
        <v>0</v>
      </c>
      <c r="G78" s="4" t="s">
        <v>271</v>
      </c>
      <c r="H78" s="4" t="s">
        <v>272</v>
      </c>
      <c r="I78" s="5">
        <v>13</v>
      </c>
      <c r="J78" s="4"/>
      <c r="K78" s="4" t="s">
        <v>264</v>
      </c>
      <c r="L78" s="4">
        <v>6717554</v>
      </c>
      <c r="M78" s="4"/>
      <c r="N78" s="2" t="e">
        <f>VLOOKUP(B78,歌单!B:C,2,0)</f>
        <v>#N/A</v>
      </c>
      <c r="O78" s="2">
        <f t="shared" si="2"/>
        <v>1</v>
      </c>
      <c r="P78" t="e">
        <f>VLOOKUP(B78,歌单!B:C,1,0)</f>
        <v>#N/A</v>
      </c>
    </row>
    <row r="79" spans="1:17" ht="15" hidden="1" customHeight="1">
      <c r="A79" s="4" t="s">
        <v>273</v>
      </c>
      <c r="B79" s="4" t="s">
        <v>93</v>
      </c>
      <c r="C79" s="4" t="s">
        <v>51</v>
      </c>
      <c r="D79" s="18"/>
      <c r="E79" s="18">
        <v>0</v>
      </c>
      <c r="F79" s="18">
        <v>0</v>
      </c>
      <c r="G79" s="4" t="s">
        <v>274</v>
      </c>
      <c r="H79" s="4"/>
      <c r="I79" s="5">
        <v>0</v>
      </c>
      <c r="J79" s="4"/>
      <c r="K79" s="4" t="s">
        <v>275</v>
      </c>
      <c r="L79" s="4">
        <v>323164</v>
      </c>
      <c r="M79" s="4"/>
      <c r="N79" s="2" t="str">
        <f>VLOOKUP(B79,歌单!B:C,2,0)</f>
        <v>说说Crystal</v>
      </c>
      <c r="O79" s="2">
        <f t="shared" si="2"/>
        <v>0</v>
      </c>
      <c r="P79" t="str">
        <f>VLOOKUP(B79,歌单!B:C,1,0)</f>
        <v>罗敷</v>
      </c>
    </row>
    <row r="80" spans="1:17" ht="15" hidden="1" customHeight="1">
      <c r="A80" s="4" t="s">
        <v>276</v>
      </c>
      <c r="B80" s="4" t="s">
        <v>277</v>
      </c>
      <c r="C80" s="4" t="s">
        <v>278</v>
      </c>
      <c r="D80" s="18"/>
      <c r="E80" s="18">
        <v>112849</v>
      </c>
      <c r="F80" s="18">
        <v>9885</v>
      </c>
      <c r="G80" s="4" t="s">
        <v>279</v>
      </c>
      <c r="H80" s="4" t="s">
        <v>280</v>
      </c>
      <c r="I80" s="5">
        <v>5582</v>
      </c>
      <c r="J80" s="4"/>
      <c r="K80" s="4" t="s">
        <v>281</v>
      </c>
      <c r="L80" s="4">
        <v>101589317</v>
      </c>
      <c r="M80" s="4"/>
      <c r="N80" s="2" t="e">
        <f>VLOOKUP(B80,歌单!B:C,2,0)</f>
        <v>#N/A</v>
      </c>
      <c r="O80" s="2">
        <f t="shared" si="2"/>
        <v>1</v>
      </c>
      <c r="P80" t="e">
        <f>VLOOKUP(B80,歌单!B:C,1,0)</f>
        <v>#N/A</v>
      </c>
    </row>
    <row r="81" spans="1:17" ht="15" hidden="1" customHeight="1">
      <c r="A81" s="4" t="s">
        <v>282</v>
      </c>
      <c r="B81" s="4" t="s">
        <v>283</v>
      </c>
      <c r="C81" s="4" t="s">
        <v>284</v>
      </c>
      <c r="D81" s="18"/>
      <c r="E81" s="18">
        <v>0</v>
      </c>
      <c r="F81" s="18">
        <v>0</v>
      </c>
      <c r="G81" s="4" t="s">
        <v>285</v>
      </c>
      <c r="H81" s="4" t="s">
        <v>286</v>
      </c>
      <c r="I81" s="5">
        <v>0</v>
      </c>
      <c r="J81" s="4"/>
      <c r="K81" s="4" t="s">
        <v>287</v>
      </c>
      <c r="L81" s="4">
        <v>275248</v>
      </c>
      <c r="M81" s="4"/>
      <c r="N81" s="2" t="e">
        <f>VLOOKUP(B81,歌单!B:C,2,0)</f>
        <v>#N/A</v>
      </c>
      <c r="O81" s="2">
        <f t="shared" si="2"/>
        <v>1</v>
      </c>
      <c r="P81" t="e">
        <f>VLOOKUP(B81,歌单!B:C,1,0)</f>
        <v>#N/A</v>
      </c>
    </row>
    <row r="82" spans="1:17" ht="15" hidden="1" customHeight="1">
      <c r="A82" s="4" t="s">
        <v>288</v>
      </c>
      <c r="B82" s="4" t="s">
        <v>289</v>
      </c>
      <c r="C82" s="4" t="s">
        <v>154</v>
      </c>
      <c r="D82" s="18"/>
      <c r="E82" s="18">
        <v>0</v>
      </c>
      <c r="F82" s="18">
        <v>0</v>
      </c>
      <c r="G82" s="4" t="s">
        <v>290</v>
      </c>
      <c r="H82" s="4" t="s">
        <v>291</v>
      </c>
      <c r="I82" s="5">
        <v>3451</v>
      </c>
      <c r="J82" s="4" t="s">
        <v>289</v>
      </c>
      <c r="K82" s="4" t="s">
        <v>292</v>
      </c>
      <c r="L82" s="4">
        <v>424774252</v>
      </c>
      <c r="M82" s="4" t="s">
        <v>293</v>
      </c>
      <c r="N82" s="2" t="str">
        <f>VLOOKUP(B82,歌单!B:C,2,0)</f>
        <v>周杰伦</v>
      </c>
      <c r="O82" s="2">
        <f t="shared" si="2"/>
        <v>0</v>
      </c>
      <c r="P82" t="str">
        <f>VLOOKUP(B82,歌单!B:C,1,0)</f>
        <v>明明就</v>
      </c>
    </row>
    <row r="83" spans="1:17" ht="15" hidden="1" customHeight="1">
      <c r="A83" s="4" t="s">
        <v>294</v>
      </c>
      <c r="B83" s="4" t="s">
        <v>295</v>
      </c>
      <c r="C83" s="4" t="s">
        <v>154</v>
      </c>
      <c r="D83" s="18"/>
      <c r="E83" s="18">
        <v>10838</v>
      </c>
      <c r="F83" s="18">
        <v>384</v>
      </c>
      <c r="G83" s="4" t="s">
        <v>296</v>
      </c>
      <c r="H83" s="4" t="s">
        <v>297</v>
      </c>
      <c r="I83" s="5">
        <v>2938</v>
      </c>
      <c r="J83" s="4" t="s">
        <v>298</v>
      </c>
      <c r="K83" s="4" t="s">
        <v>299</v>
      </c>
      <c r="L83" s="4">
        <v>525140241</v>
      </c>
      <c r="M83" s="4"/>
      <c r="N83" s="2" t="str">
        <f>VLOOKUP(B83,歌单!B:C,2,0)</f>
        <v>周杰伦</v>
      </c>
      <c r="O83" s="2">
        <f t="shared" si="2"/>
        <v>0</v>
      </c>
      <c r="P83" t="str">
        <f>VLOOKUP(B83,歌单!B:C,1,0)</f>
        <v>不能说的秘密</v>
      </c>
    </row>
    <row r="84" spans="1:17" ht="15" hidden="1" customHeight="1">
      <c r="A84" s="32" t="s">
        <v>300</v>
      </c>
      <c r="B84" s="4" t="s">
        <v>301</v>
      </c>
      <c r="C84" s="4" t="s">
        <v>302</v>
      </c>
      <c r="D84" s="18"/>
      <c r="E84" s="18">
        <v>0</v>
      </c>
      <c r="F84" s="18">
        <v>0</v>
      </c>
      <c r="G84" s="4" t="s">
        <v>303</v>
      </c>
      <c r="H84" s="4" t="s">
        <v>304</v>
      </c>
      <c r="I84" s="5">
        <v>3601</v>
      </c>
      <c r="J84" s="4"/>
      <c r="K84" s="4" t="s">
        <v>301</v>
      </c>
      <c r="L84" s="4">
        <v>1067845676</v>
      </c>
      <c r="M84" s="4"/>
      <c r="N84" s="2" t="str">
        <f>VLOOKUP(B84,歌单!B:C,2,0)</f>
        <v>汪睿</v>
      </c>
      <c r="O84" s="2">
        <f t="shared" si="2"/>
        <v>1</v>
      </c>
      <c r="P84" t="str">
        <f>VLOOKUP(B84,歌单!B:C,1,0)</f>
        <v>桃花笑</v>
      </c>
    </row>
    <row r="85" spans="1:17" ht="15" hidden="1" customHeight="1">
      <c r="A85" s="4" t="s">
        <v>305</v>
      </c>
      <c r="B85" s="4" t="s">
        <v>306</v>
      </c>
      <c r="C85" s="4" t="s">
        <v>307</v>
      </c>
      <c r="D85" s="18"/>
      <c r="E85" s="18">
        <v>0</v>
      </c>
      <c r="F85" s="18">
        <v>0</v>
      </c>
      <c r="G85" s="4" t="s">
        <v>308</v>
      </c>
      <c r="H85" s="4" t="s">
        <v>309</v>
      </c>
      <c r="I85" s="5">
        <v>225</v>
      </c>
      <c r="J85" s="4" t="s">
        <v>310</v>
      </c>
      <c r="K85" s="4" t="s">
        <v>311</v>
      </c>
      <c r="L85" s="4">
        <v>116322553</v>
      </c>
      <c r="M85" s="4"/>
      <c r="N85" s="2" t="str">
        <f>VLOOKUP(B85,歌单!B:C,2,0)</f>
        <v>鹿先森乐队</v>
      </c>
      <c r="O85" s="2">
        <f t="shared" si="2"/>
        <v>0</v>
      </c>
      <c r="P85" t="str">
        <f>VLOOKUP(B85,歌单!B:C,1,0)</f>
        <v>春风十里</v>
      </c>
    </row>
    <row r="86" spans="1:17" ht="15" hidden="1" customHeight="1">
      <c r="A86" s="32" t="s">
        <v>312</v>
      </c>
      <c r="B86" s="4" t="s">
        <v>313</v>
      </c>
      <c r="C86" s="4" t="s">
        <v>314</v>
      </c>
      <c r="D86" s="18"/>
      <c r="E86" s="18">
        <v>0</v>
      </c>
      <c r="F86" s="18">
        <v>0</v>
      </c>
      <c r="G86" s="4" t="s">
        <v>315</v>
      </c>
      <c r="H86" s="4" t="s">
        <v>316</v>
      </c>
      <c r="I86" s="5">
        <v>1717</v>
      </c>
      <c r="J86" s="4"/>
      <c r="K86" s="4" t="s">
        <v>317</v>
      </c>
      <c r="L86" s="4">
        <v>79378829</v>
      </c>
      <c r="M86" s="4"/>
      <c r="N86" s="28" t="str">
        <f>VLOOKUP(B86,歌单!B:C,2,0)</f>
        <v>降央卓玛</v>
      </c>
      <c r="O86" s="2">
        <f t="shared" si="2"/>
        <v>1</v>
      </c>
      <c r="P86" t="str">
        <f>VLOOKUP(B86,歌单!B:C,1,0)</f>
        <v>鸿雁</v>
      </c>
    </row>
    <row r="87" spans="1:17" ht="15" hidden="1" customHeight="1">
      <c r="A87" s="4" t="s">
        <v>318</v>
      </c>
      <c r="B87" s="4" t="s">
        <v>319</v>
      </c>
      <c r="C87" s="4" t="s">
        <v>154</v>
      </c>
      <c r="D87" s="18"/>
      <c r="E87" s="18">
        <v>5048</v>
      </c>
      <c r="F87" s="18">
        <v>135</v>
      </c>
      <c r="G87" s="4" t="s">
        <v>320</v>
      </c>
      <c r="H87" s="4"/>
      <c r="I87" s="5">
        <v>15983</v>
      </c>
      <c r="J87" s="4"/>
      <c r="K87" s="4" t="s">
        <v>321</v>
      </c>
      <c r="L87" s="4">
        <v>1497162616</v>
      </c>
      <c r="M87" s="4" t="s">
        <v>322</v>
      </c>
      <c r="N87" s="2" t="str">
        <f>VLOOKUP(B87,歌单!B:C,2,0)</f>
        <v>周杰伦</v>
      </c>
      <c r="O87" s="2">
        <f t="shared" si="2"/>
        <v>0</v>
      </c>
      <c r="P87" t="str">
        <f>VLOOKUP(B87,歌单!B:C,1,0)</f>
        <v>晴天</v>
      </c>
    </row>
    <row r="88" spans="1:17" ht="15" hidden="1" customHeight="1">
      <c r="A88" s="32" t="s">
        <v>323</v>
      </c>
      <c r="B88" s="4" t="s">
        <v>324</v>
      </c>
      <c r="C88" s="4" t="s">
        <v>325</v>
      </c>
      <c r="D88" s="18"/>
      <c r="E88" s="18">
        <v>0</v>
      </c>
      <c r="F88" s="18">
        <v>0</v>
      </c>
      <c r="G88" s="4" t="s">
        <v>326</v>
      </c>
      <c r="H88" s="4"/>
      <c r="I88" s="5">
        <v>3362</v>
      </c>
      <c r="J88" s="4"/>
      <c r="K88" s="4" t="s">
        <v>324</v>
      </c>
      <c r="L88" s="4">
        <v>258996748</v>
      </c>
      <c r="M88" s="4"/>
      <c r="N88" s="2" t="str">
        <f>VLOOKUP(B88,歌单!B:C,2,0)</f>
        <v>yihuik苡慧</v>
      </c>
      <c r="O88" s="2">
        <f t="shared" si="2"/>
        <v>1</v>
      </c>
      <c r="P88" t="str">
        <f>VLOOKUP(B88,歌单!B:C,1,0)</f>
        <v>致你</v>
      </c>
    </row>
    <row r="89" spans="1:17" ht="15" hidden="1" customHeight="1">
      <c r="A89" s="4" t="s">
        <v>327</v>
      </c>
      <c r="B89" s="4" t="s">
        <v>328</v>
      </c>
      <c r="C89" s="4" t="s">
        <v>154</v>
      </c>
      <c r="D89" s="18"/>
      <c r="E89" s="18">
        <v>0</v>
      </c>
      <c r="F89" s="18">
        <v>0</v>
      </c>
      <c r="G89" s="4" t="s">
        <v>329</v>
      </c>
      <c r="H89" s="4" t="s">
        <v>330</v>
      </c>
      <c r="I89" s="5">
        <v>757</v>
      </c>
      <c r="J89" s="4"/>
      <c r="K89" s="4" t="s">
        <v>262</v>
      </c>
      <c r="L89" s="4">
        <v>267490941</v>
      </c>
      <c r="M89" s="4"/>
      <c r="N89" s="2" t="e">
        <f>VLOOKUP(B89,歌单!B:C,2,0)</f>
        <v>#N/A</v>
      </c>
      <c r="O89" s="2">
        <f t="shared" si="2"/>
        <v>1</v>
      </c>
      <c r="P89" t="e">
        <f>VLOOKUP(B89,歌单!B:C,1,0)</f>
        <v>#N/A</v>
      </c>
    </row>
    <row r="90" spans="1:17" ht="15" hidden="1" customHeight="1">
      <c r="A90" s="4" t="s">
        <v>331</v>
      </c>
      <c r="B90" s="4" t="s">
        <v>332</v>
      </c>
      <c r="C90" s="4" t="s">
        <v>333</v>
      </c>
      <c r="D90" s="18"/>
      <c r="E90" s="18">
        <v>0</v>
      </c>
      <c r="F90" s="18">
        <v>0</v>
      </c>
      <c r="G90" s="4" t="s">
        <v>334</v>
      </c>
      <c r="H90" s="4" t="s">
        <v>335</v>
      </c>
      <c r="I90" s="5">
        <v>173</v>
      </c>
      <c r="J90" s="4"/>
      <c r="K90" s="4"/>
      <c r="L90" s="4">
        <v>25997684</v>
      </c>
      <c r="M90" s="4"/>
      <c r="N90" s="2" t="str">
        <f>VLOOKUP(B90,歌单!B:C,2,0)</f>
        <v>常思思</v>
      </c>
      <c r="O90" s="2">
        <f t="shared" si="2"/>
        <v>0</v>
      </c>
      <c r="P90" t="str">
        <f>VLOOKUP(B90,歌单!B:C,1,0)</f>
        <v>春天的芭蕾</v>
      </c>
    </row>
    <row r="91" spans="1:17" ht="15" hidden="1" customHeight="1">
      <c r="A91" s="4" t="s">
        <v>336</v>
      </c>
      <c r="B91" s="4" t="s">
        <v>337</v>
      </c>
      <c r="C91" s="4" t="s">
        <v>333</v>
      </c>
      <c r="D91" s="18"/>
      <c r="E91" s="18">
        <v>0</v>
      </c>
      <c r="F91" s="18">
        <v>0</v>
      </c>
      <c r="G91" s="4" t="s">
        <v>338</v>
      </c>
      <c r="H91" s="4" t="s">
        <v>339</v>
      </c>
      <c r="I91" s="5">
        <v>6</v>
      </c>
      <c r="J91" s="4"/>
      <c r="K91" s="4" t="s">
        <v>340</v>
      </c>
      <c r="L91" s="4">
        <v>3469898</v>
      </c>
      <c r="M91" s="4"/>
      <c r="N91" s="2" t="str">
        <f>VLOOKUP(B91,歌单!B:C,2,0)</f>
        <v>常思思</v>
      </c>
      <c r="O91" s="2">
        <f t="shared" si="2"/>
        <v>0</v>
      </c>
      <c r="P91" t="str">
        <f>VLOOKUP(B91,歌单!B:C,1,0)</f>
        <v>玛依拉变奏曲</v>
      </c>
    </row>
    <row r="92" spans="1:17" ht="15" hidden="1" customHeight="1">
      <c r="A92" s="4" t="s">
        <v>341</v>
      </c>
      <c r="B92" s="4" t="s">
        <v>342</v>
      </c>
      <c r="C92" s="4" t="s">
        <v>343</v>
      </c>
      <c r="D92" s="18"/>
      <c r="E92" s="18">
        <v>0</v>
      </c>
      <c r="F92" s="18">
        <v>0</v>
      </c>
      <c r="G92" s="4" t="s">
        <v>344</v>
      </c>
      <c r="H92" s="4" t="s">
        <v>345</v>
      </c>
      <c r="I92" s="5">
        <v>620</v>
      </c>
      <c r="J92" s="4"/>
      <c r="K92" s="4"/>
      <c r="L92" s="4">
        <v>86381272</v>
      </c>
      <c r="M92" s="4"/>
      <c r="N92" s="2" t="str">
        <f>VLOOKUP(B92,歌单!B:C,2,0)</f>
        <v>周深</v>
      </c>
      <c r="O92" s="2">
        <f t="shared" si="2"/>
        <v>0</v>
      </c>
      <c r="P92" t="str">
        <f>VLOOKUP(B92,歌单!B:C,1,0)</f>
        <v>灯火里的中国</v>
      </c>
      <c r="Q92">
        <f>IFERROR(SEARCH(N92,C92),0)</f>
        <v>6</v>
      </c>
    </row>
    <row r="93" spans="1:17" ht="15" customHeight="1">
      <c r="A93" s="4" t="s">
        <v>346</v>
      </c>
      <c r="B93" s="4" t="s">
        <v>347</v>
      </c>
      <c r="C93" s="4" t="s">
        <v>348</v>
      </c>
      <c r="D93" s="18"/>
      <c r="E93" s="18">
        <v>0</v>
      </c>
      <c r="F93" s="18">
        <v>0</v>
      </c>
      <c r="G93" s="4" t="s">
        <v>349</v>
      </c>
      <c r="H93" s="4" t="s">
        <v>350</v>
      </c>
      <c r="I93" s="5">
        <v>39</v>
      </c>
      <c r="J93" s="4"/>
      <c r="K93" s="4" t="s">
        <v>351</v>
      </c>
      <c r="L93" s="4">
        <v>13683214</v>
      </c>
      <c r="M93" s="4"/>
      <c r="N93" s="2">
        <f>VLOOKUP(B93,歌单!B:C,2,0)</f>
        <v>0</v>
      </c>
      <c r="O93" s="2">
        <f t="shared" si="2"/>
        <v>1</v>
      </c>
      <c r="P93" t="str">
        <f>VLOOKUP(B93,歌单!B:C,1,0)</f>
        <v>雨樱花</v>
      </c>
    </row>
    <row r="94" spans="1:17" ht="15" hidden="1" customHeight="1">
      <c r="A94" s="32" t="s">
        <v>352</v>
      </c>
      <c r="B94" s="4" t="s">
        <v>353</v>
      </c>
      <c r="C94" s="4" t="s">
        <v>354</v>
      </c>
      <c r="D94" s="18"/>
      <c r="E94" s="18">
        <v>0</v>
      </c>
      <c r="F94" s="18">
        <v>0</v>
      </c>
      <c r="G94" s="4" t="s">
        <v>355</v>
      </c>
      <c r="H94" s="4" t="s">
        <v>356</v>
      </c>
      <c r="I94" s="5">
        <v>1423</v>
      </c>
      <c r="J94" s="4"/>
      <c r="K94" s="4" t="s">
        <v>357</v>
      </c>
      <c r="L94" s="4">
        <v>184930045</v>
      </c>
      <c r="M94" s="4"/>
      <c r="N94" s="2" t="str">
        <f>VLOOKUP(B94,歌单!B:C,2,0)</f>
        <v>李玟 / 周杰伦</v>
      </c>
      <c r="O94" s="2">
        <f t="shared" si="2"/>
        <v>1</v>
      </c>
      <c r="P94" t="str">
        <f>VLOOKUP(B94,歌单!B:C,1,0)</f>
        <v>刀马旦</v>
      </c>
    </row>
    <row r="95" spans="1:17" ht="15" hidden="1" customHeight="1">
      <c r="A95" s="4" t="s">
        <v>358</v>
      </c>
      <c r="B95" s="4" t="s">
        <v>359</v>
      </c>
      <c r="C95" s="4" t="s">
        <v>360</v>
      </c>
      <c r="D95" s="18"/>
      <c r="E95" s="18">
        <v>0</v>
      </c>
      <c r="F95" s="18">
        <v>0</v>
      </c>
      <c r="G95" s="4" t="s">
        <v>361</v>
      </c>
      <c r="H95" s="4" t="s">
        <v>362</v>
      </c>
      <c r="I95" s="5">
        <v>314</v>
      </c>
      <c r="J95" s="4" t="s">
        <v>363</v>
      </c>
      <c r="K95" s="4" t="s">
        <v>364</v>
      </c>
      <c r="L95" s="4">
        <v>93242865</v>
      </c>
      <c r="M95" s="4"/>
      <c r="N95" s="2" t="str">
        <f>VLOOKUP(B95,歌单!B:C,2,0)</f>
        <v>张碧晨</v>
      </c>
      <c r="O95" s="2">
        <f t="shared" si="2"/>
        <v>0</v>
      </c>
      <c r="P95" t="str">
        <f>VLOOKUP(B95,歌单!B:C,1,0)</f>
        <v>不要忘记我爱你</v>
      </c>
    </row>
    <row r="96" spans="1:17" ht="15" customHeight="1">
      <c r="A96" s="4" t="s">
        <v>365</v>
      </c>
      <c r="B96" s="4" t="s">
        <v>366</v>
      </c>
      <c r="C96" s="4" t="s">
        <v>367</v>
      </c>
      <c r="D96" s="18"/>
      <c r="E96" s="18">
        <v>0</v>
      </c>
      <c r="F96" s="18">
        <v>0</v>
      </c>
      <c r="G96" s="4" t="s">
        <v>368</v>
      </c>
      <c r="H96" s="4"/>
      <c r="I96" s="5">
        <v>4</v>
      </c>
      <c r="J96" s="4"/>
      <c r="K96" s="4"/>
      <c r="L96" s="4">
        <v>5415807</v>
      </c>
      <c r="M96" s="4"/>
      <c r="N96" s="2">
        <f>VLOOKUP(B96,歌单!B:C,2,0)</f>
        <v>0</v>
      </c>
      <c r="O96" s="2">
        <f t="shared" si="2"/>
        <v>1</v>
      </c>
      <c r="P96" t="str">
        <f>VLOOKUP(B96,歌单!B:C,1,0)</f>
        <v>难忘今宵</v>
      </c>
    </row>
    <row r="97" spans="1:17" ht="15" customHeight="1">
      <c r="A97" s="4" t="s">
        <v>369</v>
      </c>
      <c r="B97" s="4" t="s">
        <v>370</v>
      </c>
      <c r="C97" s="4" t="s">
        <v>154</v>
      </c>
      <c r="D97" s="18"/>
      <c r="E97" s="18">
        <v>0</v>
      </c>
      <c r="F97" s="18">
        <v>0</v>
      </c>
      <c r="G97" s="4" t="s">
        <v>371</v>
      </c>
      <c r="H97" s="4" t="s">
        <v>372</v>
      </c>
      <c r="I97" s="5">
        <v>1203</v>
      </c>
      <c r="J97" s="4"/>
      <c r="K97" s="4" t="s">
        <v>373</v>
      </c>
      <c r="L97" s="4">
        <v>318249236</v>
      </c>
      <c r="M97" s="4"/>
      <c r="N97" s="2">
        <f>VLOOKUP(B97,歌单!B:C,2,0)</f>
        <v>0</v>
      </c>
      <c r="O97" s="2">
        <f t="shared" si="2"/>
        <v>1</v>
      </c>
      <c r="P97" t="str">
        <f>VLOOKUP(B97,歌单!B:C,1,0)</f>
        <v>星晴</v>
      </c>
    </row>
    <row r="98" spans="1:17" ht="15" hidden="1" customHeight="1">
      <c r="A98" s="4" t="s">
        <v>374</v>
      </c>
      <c r="B98" s="4" t="s">
        <v>375</v>
      </c>
      <c r="C98" s="4" t="s">
        <v>154</v>
      </c>
      <c r="D98" s="18"/>
      <c r="E98" s="18">
        <v>0</v>
      </c>
      <c r="F98" s="18">
        <v>0</v>
      </c>
      <c r="G98" s="4" t="s">
        <v>376</v>
      </c>
      <c r="H98" s="4"/>
      <c r="I98" s="5">
        <v>1340</v>
      </c>
      <c r="J98" s="4" t="s">
        <v>377</v>
      </c>
      <c r="K98" s="4" t="s">
        <v>378</v>
      </c>
      <c r="L98" s="4">
        <v>394249952</v>
      </c>
      <c r="M98" s="4"/>
      <c r="N98" s="2" t="str">
        <f>VLOOKUP(B98,歌单!B:C,2,0)</f>
        <v>周杰伦</v>
      </c>
      <c r="O98" s="2">
        <f t="shared" si="2"/>
        <v>0</v>
      </c>
      <c r="P98" t="str">
        <f>VLOOKUP(B98,歌单!B:C,1,0)</f>
        <v>彩虹</v>
      </c>
    </row>
    <row r="99" spans="1:17" ht="15" hidden="1" customHeight="1">
      <c r="A99" s="4" t="s">
        <v>379</v>
      </c>
      <c r="B99" s="4" t="s">
        <v>380</v>
      </c>
      <c r="C99" s="4" t="s">
        <v>154</v>
      </c>
      <c r="D99" s="18"/>
      <c r="E99" s="18">
        <v>80914</v>
      </c>
      <c r="F99" s="18">
        <v>13096</v>
      </c>
      <c r="G99" s="4" t="s">
        <v>381</v>
      </c>
      <c r="H99" s="4" t="s">
        <v>382</v>
      </c>
      <c r="I99" s="5">
        <v>2038</v>
      </c>
      <c r="J99" s="4"/>
      <c r="K99" s="4" t="s">
        <v>380</v>
      </c>
      <c r="L99" s="4">
        <v>419569575</v>
      </c>
      <c r="M99" s="4"/>
      <c r="N99" s="2" t="str">
        <f>VLOOKUP(B99,歌单!B:C,2,0)</f>
        <v>周杰伦</v>
      </c>
      <c r="O99" s="2">
        <f t="shared" si="2"/>
        <v>0</v>
      </c>
      <c r="P99" t="str">
        <f>VLOOKUP(B99,歌单!B:C,1,0)</f>
        <v>等你下课</v>
      </c>
    </row>
    <row r="100" spans="1:17" ht="15" hidden="1" customHeight="1">
      <c r="A100" s="4" t="s">
        <v>383</v>
      </c>
      <c r="B100" s="4" t="s">
        <v>384</v>
      </c>
      <c r="C100" s="4" t="s">
        <v>385</v>
      </c>
      <c r="D100" s="18"/>
      <c r="E100" s="18">
        <v>0</v>
      </c>
      <c r="F100" s="18">
        <v>0</v>
      </c>
      <c r="G100" s="4" t="s">
        <v>386</v>
      </c>
      <c r="H100" s="4" t="s">
        <v>387</v>
      </c>
      <c r="I100" s="5">
        <v>0</v>
      </c>
      <c r="J100" s="4"/>
      <c r="K100" s="4" t="s">
        <v>388</v>
      </c>
      <c r="L100" s="4">
        <v>436159</v>
      </c>
      <c r="M100" s="4"/>
      <c r="N100" s="2" t="str">
        <f>VLOOKUP(B100,歌单!B:C,2,0)</f>
        <v>黄龄</v>
      </c>
      <c r="O100" s="2">
        <f t="shared" si="2"/>
        <v>0</v>
      </c>
      <c r="P100" t="str">
        <f>VLOOKUP(B100,歌单!B:C,1,0)</f>
        <v>恰好</v>
      </c>
      <c r="Q100">
        <f>IFERROR(SEARCH(N100,C100),0)</f>
        <v>1</v>
      </c>
    </row>
    <row r="101" spans="1:17" ht="15" hidden="1" customHeight="1">
      <c r="A101" s="4" t="s">
        <v>389</v>
      </c>
      <c r="B101" s="4" t="s">
        <v>390</v>
      </c>
      <c r="C101" s="4" t="s">
        <v>154</v>
      </c>
      <c r="D101" s="18"/>
      <c r="E101" s="18">
        <v>0</v>
      </c>
      <c r="F101" s="18">
        <v>0</v>
      </c>
      <c r="G101" s="4" t="s">
        <v>391</v>
      </c>
      <c r="H101" s="4" t="s">
        <v>392</v>
      </c>
      <c r="I101" s="5">
        <v>4083</v>
      </c>
      <c r="J101" s="4"/>
      <c r="K101" s="4" t="s">
        <v>373</v>
      </c>
      <c r="L101" s="4">
        <v>457122858</v>
      </c>
      <c r="M101" s="4"/>
      <c r="N101" s="2" t="str">
        <f>VLOOKUP(B101,歌单!B:C,2,0)</f>
        <v>周杰伦</v>
      </c>
      <c r="O101" s="2">
        <f t="shared" si="2"/>
        <v>0</v>
      </c>
      <c r="P101" t="str">
        <f>VLOOKUP(B101,歌单!B:C,1,0)</f>
        <v>龙卷风</v>
      </c>
    </row>
    <row r="102" spans="1:17" ht="15" hidden="1" customHeight="1">
      <c r="A102" s="4" t="s">
        <v>393</v>
      </c>
      <c r="B102" s="4" t="s">
        <v>394</v>
      </c>
      <c r="C102" s="4" t="s">
        <v>395</v>
      </c>
      <c r="D102" s="18"/>
      <c r="E102" s="18">
        <v>0</v>
      </c>
      <c r="F102" s="18">
        <v>0</v>
      </c>
      <c r="G102" s="7" t="s">
        <v>396</v>
      </c>
      <c r="H102" s="4"/>
      <c r="I102" s="5">
        <v>2174</v>
      </c>
      <c r="J102" s="4"/>
      <c r="K102" s="4" t="s">
        <v>397</v>
      </c>
      <c r="L102" s="4">
        <v>383197673</v>
      </c>
      <c r="M102" s="4" t="s">
        <v>293</v>
      </c>
      <c r="N102" s="2" t="str">
        <f>VLOOKUP(B102,歌单!B:C,2,0)</f>
        <v>S.H.E</v>
      </c>
      <c r="O102" s="2">
        <f t="shared" si="2"/>
        <v>0</v>
      </c>
      <c r="P102" t="str">
        <f>VLOOKUP(B102,歌单!B:C,1,0)</f>
        <v>RingRingRing</v>
      </c>
    </row>
    <row r="103" spans="1:17" ht="15" hidden="1" customHeight="1">
      <c r="A103" s="4" t="s">
        <v>398</v>
      </c>
      <c r="B103" s="4" t="s">
        <v>399</v>
      </c>
      <c r="C103" s="4" t="s">
        <v>400</v>
      </c>
      <c r="D103" s="18"/>
      <c r="E103" s="18">
        <v>0</v>
      </c>
      <c r="F103" s="18">
        <v>0</v>
      </c>
      <c r="G103" s="4" t="s">
        <v>401</v>
      </c>
      <c r="H103" s="4"/>
      <c r="I103" s="5">
        <v>65</v>
      </c>
      <c r="J103" s="4"/>
      <c r="K103" s="4" t="s">
        <v>402</v>
      </c>
      <c r="L103" s="4">
        <v>14743388</v>
      </c>
      <c r="M103" s="4"/>
      <c r="N103" s="2" t="e">
        <f>VLOOKUP(B103,歌单!B:C,2,0)</f>
        <v>#N/A</v>
      </c>
      <c r="O103" s="2">
        <f t="shared" si="2"/>
        <v>1</v>
      </c>
      <c r="P103" t="e">
        <f>VLOOKUP(B103,歌单!B:C,1,0)</f>
        <v>#N/A</v>
      </c>
    </row>
    <row r="104" spans="1:17" ht="15" hidden="1" customHeight="1">
      <c r="A104" s="4" t="s">
        <v>403</v>
      </c>
      <c r="B104" s="4" t="s">
        <v>404</v>
      </c>
      <c r="C104" s="4" t="s">
        <v>131</v>
      </c>
      <c r="D104" s="18"/>
      <c r="E104" s="18">
        <v>0</v>
      </c>
      <c r="F104" s="18">
        <v>0</v>
      </c>
      <c r="G104" s="4" t="s">
        <v>405</v>
      </c>
      <c r="H104" s="4" t="s">
        <v>406</v>
      </c>
      <c r="I104" s="5">
        <v>29</v>
      </c>
      <c r="J104" s="4"/>
      <c r="K104" s="4" t="s">
        <v>407</v>
      </c>
      <c r="L104" s="4">
        <v>4935297</v>
      </c>
      <c r="M104" s="4"/>
      <c r="N104" s="2" t="e">
        <f>VLOOKUP(B104,歌单!B:C,2,0)</f>
        <v>#N/A</v>
      </c>
      <c r="O104" s="2">
        <f t="shared" si="2"/>
        <v>1</v>
      </c>
      <c r="P104" t="e">
        <f>VLOOKUP(B104,歌单!B:C,1,0)</f>
        <v>#N/A</v>
      </c>
    </row>
    <row r="105" spans="1:17" ht="15" hidden="1" customHeight="1">
      <c r="A105" s="4" t="s">
        <v>408</v>
      </c>
      <c r="B105" s="4" t="s">
        <v>409</v>
      </c>
      <c r="C105" s="4" t="s">
        <v>410</v>
      </c>
      <c r="D105" s="18"/>
      <c r="E105" s="18">
        <v>0</v>
      </c>
      <c r="F105" s="18">
        <v>0</v>
      </c>
      <c r="G105" s="4" t="s">
        <v>411</v>
      </c>
      <c r="H105" s="4" t="s">
        <v>412</v>
      </c>
      <c r="I105" s="5">
        <v>838</v>
      </c>
      <c r="J105" s="4"/>
      <c r="K105" s="4"/>
      <c r="L105" s="4">
        <v>100019249</v>
      </c>
      <c r="M105" s="4"/>
      <c r="N105" s="2" t="str">
        <f>VLOOKUP(B105,歌单!B:C,2,0)</f>
        <v>Fine乐团</v>
      </c>
      <c r="O105" s="2">
        <f t="shared" si="2"/>
        <v>0</v>
      </c>
      <c r="P105" t="str">
        <f>VLOOKUP(B105,歌单!B:C,1,0)</f>
        <v>呼吸决定</v>
      </c>
    </row>
    <row r="106" spans="1:17" ht="15" hidden="1" customHeight="1">
      <c r="A106" s="4" t="s">
        <v>413</v>
      </c>
      <c r="B106" s="4" t="s">
        <v>414</v>
      </c>
      <c r="C106" s="4" t="s">
        <v>154</v>
      </c>
      <c r="D106" s="18"/>
      <c r="E106" s="18">
        <v>0</v>
      </c>
      <c r="F106" s="18">
        <v>0</v>
      </c>
      <c r="G106" s="4" t="s">
        <v>415</v>
      </c>
      <c r="H106" s="4"/>
      <c r="I106" s="5">
        <v>2791</v>
      </c>
      <c r="J106" s="4"/>
      <c r="K106" s="4" t="s">
        <v>416</v>
      </c>
      <c r="L106" s="4">
        <v>787100295</v>
      </c>
      <c r="M106" s="4"/>
      <c r="N106" s="2" t="str">
        <f>VLOOKUP(B106,歌单!B:C,2,0)</f>
        <v>周杰伦</v>
      </c>
      <c r="O106" s="2">
        <f t="shared" si="2"/>
        <v>0</v>
      </c>
      <c r="P106" t="str">
        <f>VLOOKUP(B106,歌单!B:C,1,0)</f>
        <v>告白气球</v>
      </c>
    </row>
    <row r="107" spans="1:17" ht="15" customHeight="1">
      <c r="A107" s="4" t="s">
        <v>417</v>
      </c>
      <c r="B107" s="4" t="s">
        <v>418</v>
      </c>
      <c r="C107" s="4" t="s">
        <v>154</v>
      </c>
      <c r="D107" s="18"/>
      <c r="E107" s="18">
        <v>0</v>
      </c>
      <c r="F107" s="18">
        <v>0</v>
      </c>
      <c r="G107" s="4" t="s">
        <v>419</v>
      </c>
      <c r="H107" s="4" t="s">
        <v>420</v>
      </c>
      <c r="I107" s="5">
        <v>1115</v>
      </c>
      <c r="J107" s="4"/>
      <c r="K107" s="4" t="s">
        <v>378</v>
      </c>
      <c r="L107" s="4">
        <v>514709406</v>
      </c>
      <c r="M107" s="4"/>
      <c r="N107" s="2">
        <f>VLOOKUP(B107,歌单!B:C,2,0)</f>
        <v>0</v>
      </c>
      <c r="O107" s="2">
        <f t="shared" si="2"/>
        <v>1</v>
      </c>
      <c r="P107" t="str">
        <f>VLOOKUP(B107,歌单!B:C,1,0)</f>
        <v>甜甜的</v>
      </c>
    </row>
    <row r="108" spans="1:17" ht="15" hidden="1" customHeight="1">
      <c r="A108" s="4" t="s">
        <v>421</v>
      </c>
      <c r="B108" s="4" t="s">
        <v>422</v>
      </c>
      <c r="C108" s="4" t="s">
        <v>154</v>
      </c>
      <c r="D108" s="18"/>
      <c r="E108" s="18">
        <v>0</v>
      </c>
      <c r="F108" s="18">
        <v>0</v>
      </c>
      <c r="G108" s="4" t="s">
        <v>423</v>
      </c>
      <c r="H108" s="4" t="s">
        <v>424</v>
      </c>
      <c r="I108" s="5">
        <v>984</v>
      </c>
      <c r="J108" s="4" t="s">
        <v>422</v>
      </c>
      <c r="K108" s="4" t="s">
        <v>416</v>
      </c>
      <c r="L108" s="4">
        <v>226606662</v>
      </c>
      <c r="M108" s="4"/>
      <c r="N108" s="2" t="str">
        <f>VLOOKUP(B108,歌单!B:C,2,0)</f>
        <v>周杰伦</v>
      </c>
      <c r="O108" s="2">
        <f t="shared" si="2"/>
        <v>0</v>
      </c>
      <c r="P108" t="str">
        <f>VLOOKUP(B108,歌单!B:C,1,0)</f>
        <v>爱情废柴</v>
      </c>
    </row>
    <row r="109" spans="1:17" ht="15" hidden="1" customHeight="1">
      <c r="A109" s="4" t="s">
        <v>425</v>
      </c>
      <c r="B109" s="4" t="s">
        <v>426</v>
      </c>
      <c r="C109" s="4" t="s">
        <v>427</v>
      </c>
      <c r="D109" s="18"/>
      <c r="E109" s="18">
        <v>0</v>
      </c>
      <c r="F109" s="18">
        <v>0</v>
      </c>
      <c r="G109" s="4" t="s">
        <v>428</v>
      </c>
      <c r="H109" s="4" t="s">
        <v>429</v>
      </c>
      <c r="I109" s="5">
        <v>876</v>
      </c>
      <c r="J109" s="4" t="s">
        <v>430</v>
      </c>
      <c r="K109" s="4" t="s">
        <v>426</v>
      </c>
      <c r="L109" s="4">
        <v>263880895</v>
      </c>
      <c r="M109" s="4" t="s">
        <v>431</v>
      </c>
      <c r="N109" s="2" t="str">
        <f>VLOOKUP(B109,歌单!B:C,2,0)</f>
        <v>袁娅维</v>
      </c>
      <c r="O109" s="2">
        <f t="shared" si="2"/>
        <v>0</v>
      </c>
      <c r="P109" t="str">
        <f>VLOOKUP(B109,歌单!B:C,1,0)</f>
        <v>说散就散</v>
      </c>
      <c r="Q109">
        <f t="shared" ref="Q109" si="3">IFERROR(SEARCH(N109,C109),0)</f>
        <v>1</v>
      </c>
    </row>
    <row r="110" spans="1:17" ht="15" hidden="1" customHeight="1">
      <c r="A110" s="32" t="s">
        <v>432</v>
      </c>
      <c r="B110" s="4" t="s">
        <v>433</v>
      </c>
      <c r="C110" s="4" t="s">
        <v>434</v>
      </c>
      <c r="D110" s="18"/>
      <c r="E110" s="18">
        <v>0</v>
      </c>
      <c r="F110" s="18">
        <v>0</v>
      </c>
      <c r="G110" s="7" t="s">
        <v>435</v>
      </c>
      <c r="H110" s="4" t="s">
        <v>436</v>
      </c>
      <c r="I110" s="5">
        <v>587</v>
      </c>
      <c r="J110" s="4"/>
      <c r="K110" s="4" t="s">
        <v>437</v>
      </c>
      <c r="L110" s="4">
        <v>163210062</v>
      </c>
      <c r="M110" s="4"/>
      <c r="N110" s="28" t="str">
        <f>VLOOKUP(B110,歌单!B:C,2,0)</f>
        <v>Beyond</v>
      </c>
      <c r="O110" s="2">
        <f t="shared" si="2"/>
        <v>1</v>
      </c>
      <c r="P110" t="str">
        <f>VLOOKUP(B110,歌单!B:C,1,0)</f>
        <v>喜欢你</v>
      </c>
    </row>
    <row r="111" spans="1:17" ht="15" customHeight="1">
      <c r="A111" s="4" t="s">
        <v>438</v>
      </c>
      <c r="B111" s="4" t="s">
        <v>439</v>
      </c>
      <c r="C111" s="4" t="s">
        <v>440</v>
      </c>
      <c r="D111" s="18"/>
      <c r="E111" s="18">
        <v>0</v>
      </c>
      <c r="F111" s="18">
        <v>0</v>
      </c>
      <c r="G111" s="4" t="s">
        <v>441</v>
      </c>
      <c r="H111" s="4" t="s">
        <v>442</v>
      </c>
      <c r="I111" s="5">
        <v>4479</v>
      </c>
      <c r="J111" s="4"/>
      <c r="K111" s="4" t="s">
        <v>443</v>
      </c>
      <c r="L111" s="4">
        <v>273561007</v>
      </c>
      <c r="M111" s="4"/>
      <c r="N111" s="2">
        <f>VLOOKUP(B111,歌单!B:C,2,0)</f>
        <v>0</v>
      </c>
      <c r="O111" s="2">
        <f t="shared" si="2"/>
        <v>1</v>
      </c>
      <c r="P111" t="str">
        <f>VLOOKUP(B111,歌单!B:C,1,0)</f>
        <v>Can't Take My Eyes Off You</v>
      </c>
    </row>
    <row r="112" spans="1:17" ht="15" hidden="1" customHeight="1">
      <c r="A112" s="32" t="s">
        <v>444</v>
      </c>
      <c r="B112" s="4" t="s">
        <v>445</v>
      </c>
      <c r="C112" s="4" t="s">
        <v>446</v>
      </c>
      <c r="D112" s="18"/>
      <c r="E112" s="18">
        <v>0</v>
      </c>
      <c r="F112" s="18">
        <v>0</v>
      </c>
      <c r="G112" s="4" t="s">
        <v>447</v>
      </c>
      <c r="H112" s="4" t="s">
        <v>448</v>
      </c>
      <c r="I112" s="5">
        <v>181</v>
      </c>
      <c r="J112" s="4"/>
      <c r="K112" s="4" t="s">
        <v>449</v>
      </c>
      <c r="L112" s="4">
        <v>44513923</v>
      </c>
      <c r="M112" s="4"/>
      <c r="N112" s="2" t="str">
        <f>VLOOKUP(B112,歌单!B:C,2,0)</f>
        <v>萱萱</v>
      </c>
      <c r="O112" s="2">
        <f t="shared" si="2"/>
        <v>1</v>
      </c>
      <c r="P112" t="str">
        <f>VLOOKUP(B112,歌单!B:C,1,0)</f>
        <v>残酷月光</v>
      </c>
    </row>
    <row r="113" spans="1:16" ht="15" hidden="1" customHeight="1">
      <c r="A113" s="4" t="s">
        <v>450</v>
      </c>
      <c r="B113" s="4" t="s">
        <v>451</v>
      </c>
      <c r="C113" s="4" t="s">
        <v>446</v>
      </c>
      <c r="D113" s="18"/>
      <c r="E113" s="18">
        <v>0</v>
      </c>
      <c r="F113" s="18">
        <v>0</v>
      </c>
      <c r="G113" s="4" t="s">
        <v>452</v>
      </c>
      <c r="H113" s="4" t="s">
        <v>453</v>
      </c>
      <c r="I113" s="5">
        <v>87</v>
      </c>
      <c r="J113" s="4"/>
      <c r="K113" s="4" t="s">
        <v>454</v>
      </c>
      <c r="L113" s="4">
        <v>47590404</v>
      </c>
      <c r="M113" s="4"/>
      <c r="N113" s="2" t="str">
        <f>VLOOKUP(B113,歌单!B:C,2,0)</f>
        <v>林宥嘉</v>
      </c>
      <c r="O113" s="2">
        <f t="shared" si="2"/>
        <v>0</v>
      </c>
      <c r="P113" t="str">
        <f>VLOOKUP(B113,歌单!B:C,1,0)</f>
        <v>浪费</v>
      </c>
    </row>
    <row r="114" spans="1:16" ht="15" hidden="1" customHeight="1">
      <c r="A114" s="4" t="s">
        <v>455</v>
      </c>
      <c r="B114" s="4" t="s">
        <v>456</v>
      </c>
      <c r="C114" s="4" t="s">
        <v>457</v>
      </c>
      <c r="D114" s="18"/>
      <c r="E114" s="18">
        <v>0</v>
      </c>
      <c r="F114" s="18">
        <v>0</v>
      </c>
      <c r="G114" s="4" t="s">
        <v>458</v>
      </c>
      <c r="H114" s="4" t="s">
        <v>459</v>
      </c>
      <c r="I114" s="5">
        <v>189</v>
      </c>
      <c r="J114" s="4"/>
      <c r="K114" s="4" t="s">
        <v>460</v>
      </c>
      <c r="L114" s="4">
        <v>61806044</v>
      </c>
      <c r="M114" s="4"/>
      <c r="N114" s="2" t="str">
        <f>VLOOKUP(B114,歌单!B:C,2,0)</f>
        <v>曾轶可</v>
      </c>
      <c r="O114" s="2">
        <f t="shared" si="2"/>
        <v>0</v>
      </c>
      <c r="P114" t="str">
        <f>VLOOKUP(B114,歌单!B:C,1,0)</f>
        <v>有可能的夜晚</v>
      </c>
    </row>
    <row r="115" spans="1:16" ht="15" hidden="1" customHeight="1">
      <c r="A115" s="4" t="s">
        <v>461</v>
      </c>
      <c r="B115" s="4" t="s">
        <v>462</v>
      </c>
      <c r="C115" s="4" t="s">
        <v>188</v>
      </c>
      <c r="D115" s="18"/>
      <c r="E115" s="18">
        <v>315938</v>
      </c>
      <c r="F115" s="18">
        <v>67117</v>
      </c>
      <c r="G115" s="4" t="s">
        <v>463</v>
      </c>
      <c r="H115" s="4"/>
      <c r="I115" s="5">
        <v>831</v>
      </c>
      <c r="J115" s="4"/>
      <c r="K115" s="4" t="s">
        <v>462</v>
      </c>
      <c r="L115" s="4">
        <v>80359568</v>
      </c>
      <c r="M115" s="4" t="s">
        <v>322</v>
      </c>
      <c r="N115" s="2" t="str">
        <f>VLOOKUP(B115,歌单!B:C,2,0)</f>
        <v>周深</v>
      </c>
      <c r="O115" s="2">
        <f t="shared" si="2"/>
        <v>0</v>
      </c>
      <c r="P115" t="str">
        <f>VLOOKUP(B115,歌单!B:C,1,0)</f>
        <v>人是_</v>
      </c>
    </row>
    <row r="116" spans="1:16" ht="15" hidden="1" customHeight="1">
      <c r="A116" s="4" t="s">
        <v>464</v>
      </c>
      <c r="B116" s="4" t="s">
        <v>465</v>
      </c>
      <c r="C116" s="4" t="s">
        <v>466</v>
      </c>
      <c r="D116" s="18"/>
      <c r="E116" s="18">
        <v>0</v>
      </c>
      <c r="F116" s="18">
        <v>0</v>
      </c>
      <c r="G116" s="4" t="s">
        <v>467</v>
      </c>
      <c r="H116" s="4"/>
      <c r="I116" s="5">
        <v>1229</v>
      </c>
      <c r="J116" s="4"/>
      <c r="K116" s="4" t="s">
        <v>465</v>
      </c>
      <c r="L116" s="4">
        <v>77607898</v>
      </c>
      <c r="M116" s="4" t="s">
        <v>468</v>
      </c>
      <c r="N116" s="2" t="str">
        <f>VLOOKUP(B116,歌单!B:C,2,0)</f>
        <v>郁可唯</v>
      </c>
      <c r="O116" s="2">
        <f t="shared" si="2"/>
        <v>0</v>
      </c>
      <c r="P116" t="str">
        <f>VLOOKUP(B116,歌单!B:C,1,0)</f>
        <v>去有风的地方</v>
      </c>
    </row>
    <row r="117" spans="1:16" ht="15" hidden="1" customHeight="1">
      <c r="A117" s="4" t="s">
        <v>469</v>
      </c>
      <c r="B117" s="4" t="s">
        <v>470</v>
      </c>
      <c r="C117" s="4" t="s">
        <v>471</v>
      </c>
      <c r="D117" s="18"/>
      <c r="E117" s="18">
        <v>0</v>
      </c>
      <c r="F117" s="18">
        <v>0</v>
      </c>
      <c r="G117" s="4" t="s">
        <v>472</v>
      </c>
      <c r="H117" s="4" t="s">
        <v>473</v>
      </c>
      <c r="I117" s="5">
        <v>319</v>
      </c>
      <c r="J117" s="4" t="s">
        <v>474</v>
      </c>
      <c r="K117" s="4" t="s">
        <v>475</v>
      </c>
      <c r="L117" s="4">
        <v>55140884</v>
      </c>
      <c r="M117" s="4"/>
      <c r="N117" s="2" t="str">
        <f>VLOOKUP(B117,歌单!B:C,2,0)</f>
        <v>古巨基</v>
      </c>
      <c r="O117" s="2">
        <f t="shared" si="2"/>
        <v>0</v>
      </c>
      <c r="P117" t="str">
        <f>VLOOKUP(B117,歌单!B:C,1,0)</f>
        <v>好想好想</v>
      </c>
    </row>
    <row r="118" spans="1:16" ht="15" hidden="1" customHeight="1">
      <c r="A118" s="4" t="s">
        <v>476</v>
      </c>
      <c r="B118" s="4" t="s">
        <v>477</v>
      </c>
      <c r="C118" s="4" t="s">
        <v>478</v>
      </c>
      <c r="D118" s="18"/>
      <c r="E118" s="18">
        <v>0</v>
      </c>
      <c r="F118" s="18">
        <v>0</v>
      </c>
      <c r="G118" s="4" t="s">
        <v>479</v>
      </c>
      <c r="H118" s="4" t="s">
        <v>480</v>
      </c>
      <c r="I118" s="5">
        <v>486</v>
      </c>
      <c r="J118" s="4"/>
      <c r="K118" s="4" t="s">
        <v>481</v>
      </c>
      <c r="L118" s="4">
        <v>196147959</v>
      </c>
      <c r="M118" s="4"/>
      <c r="N118" s="2" t="str">
        <f>VLOOKUP(B118,歌单!B:C,2,0)</f>
        <v>邓丽君</v>
      </c>
      <c r="O118" s="2">
        <f t="shared" si="2"/>
        <v>0</v>
      </c>
      <c r="P118" t="str">
        <f>VLOOKUP(B118,歌单!B:C,1,0)</f>
        <v>我只在乎你</v>
      </c>
    </row>
    <row r="119" spans="1:16" ht="15" hidden="1" customHeight="1">
      <c r="A119" s="4" t="s">
        <v>482</v>
      </c>
      <c r="B119" s="4" t="s">
        <v>483</v>
      </c>
      <c r="C119" s="4" t="s">
        <v>484</v>
      </c>
      <c r="D119" s="18"/>
      <c r="E119" s="18">
        <v>0</v>
      </c>
      <c r="F119" s="18">
        <v>0</v>
      </c>
      <c r="G119" s="4" t="s">
        <v>485</v>
      </c>
      <c r="H119" s="4"/>
      <c r="I119" s="5">
        <v>73</v>
      </c>
      <c r="J119" s="4"/>
      <c r="K119" s="4" t="s">
        <v>486</v>
      </c>
      <c r="L119" s="4">
        <v>22973704</v>
      </c>
      <c r="M119" s="4"/>
      <c r="N119" s="2" t="str">
        <f>VLOOKUP(B119,歌单!B:C,2,0)</f>
        <v>洛天依</v>
      </c>
      <c r="O119" s="2">
        <f t="shared" si="2"/>
        <v>0</v>
      </c>
      <c r="P119" t="str">
        <f>VLOOKUP(B119,歌单!B:C,1,0)</f>
        <v>三月雨</v>
      </c>
    </row>
    <row r="120" spans="1:16" ht="15" hidden="1" customHeight="1">
      <c r="A120" s="32" t="s">
        <v>487</v>
      </c>
      <c r="B120" s="4" t="s">
        <v>488</v>
      </c>
      <c r="C120" s="4" t="s">
        <v>21</v>
      </c>
      <c r="D120" s="18"/>
      <c r="E120" s="18">
        <v>0</v>
      </c>
      <c r="F120" s="18">
        <v>0</v>
      </c>
      <c r="G120" s="4" t="s">
        <v>489</v>
      </c>
      <c r="H120" s="4"/>
      <c r="I120" s="5">
        <v>32</v>
      </c>
      <c r="J120" s="4"/>
      <c r="K120" s="4" t="s">
        <v>490</v>
      </c>
      <c r="L120" s="4">
        <v>13362616</v>
      </c>
      <c r="M120" s="4"/>
      <c r="N120" s="31" t="str">
        <f>VLOOKUP(B120,歌单!B:C,2,0)</f>
        <v>何佳乐</v>
      </c>
      <c r="O120" s="2">
        <f t="shared" si="2"/>
        <v>1</v>
      </c>
      <c r="P120" t="str">
        <f>VLOOKUP(B120,歌单!B:C,1,0)</f>
        <v>如此</v>
      </c>
    </row>
    <row r="121" spans="1:16" ht="15" hidden="1" customHeight="1">
      <c r="A121" s="4" t="s">
        <v>491</v>
      </c>
      <c r="B121" s="4" t="s">
        <v>492</v>
      </c>
      <c r="C121" s="4" t="s">
        <v>493</v>
      </c>
      <c r="D121" s="18"/>
      <c r="E121" s="18">
        <v>658</v>
      </c>
      <c r="F121" s="18">
        <v>85</v>
      </c>
      <c r="G121" s="4" t="s">
        <v>494</v>
      </c>
      <c r="H121" s="4"/>
      <c r="I121" s="5">
        <v>125</v>
      </c>
      <c r="J121" s="4" t="s">
        <v>492</v>
      </c>
      <c r="K121" s="4" t="s">
        <v>495</v>
      </c>
      <c r="L121" s="4">
        <v>87463982</v>
      </c>
      <c r="M121" s="4"/>
      <c r="N121" s="2" t="str">
        <f>VLOOKUP(B121,歌单!B:C,2,0)</f>
        <v>薛之谦</v>
      </c>
      <c r="O121" s="2">
        <f t="shared" si="2"/>
        <v>0</v>
      </c>
      <c r="P121" t="str">
        <f>VLOOKUP(B121,歌单!B:C,1,0)</f>
        <v>像风一样</v>
      </c>
    </row>
    <row r="122" spans="1:16" ht="15" hidden="1" customHeight="1">
      <c r="A122" s="4" t="s">
        <v>496</v>
      </c>
      <c r="B122" s="4" t="s">
        <v>497</v>
      </c>
      <c r="C122" s="4" t="s">
        <v>498</v>
      </c>
      <c r="D122" s="18"/>
      <c r="E122" s="18">
        <v>0</v>
      </c>
      <c r="F122" s="18">
        <v>0</v>
      </c>
      <c r="G122" s="4" t="s">
        <v>499</v>
      </c>
      <c r="H122" s="4" t="s">
        <v>500</v>
      </c>
      <c r="I122" s="5">
        <v>192</v>
      </c>
      <c r="J122" s="4"/>
      <c r="K122" s="4" t="s">
        <v>501</v>
      </c>
      <c r="L122" s="4">
        <v>47527216</v>
      </c>
      <c r="M122" s="4"/>
      <c r="N122" s="2" t="str">
        <f>VLOOKUP(B122,歌单!B:C,2,0)</f>
        <v>蔡琴</v>
      </c>
      <c r="O122" s="2">
        <f t="shared" si="2"/>
        <v>0</v>
      </c>
      <c r="P122" t="str">
        <f>VLOOKUP(B122,歌单!B:C,1,0)</f>
        <v>给电影人的情书</v>
      </c>
    </row>
    <row r="123" spans="1:16" ht="15" hidden="1" customHeight="1">
      <c r="A123" s="4" t="s">
        <v>502</v>
      </c>
      <c r="B123" s="4" t="s">
        <v>503</v>
      </c>
      <c r="C123" s="4" t="s">
        <v>131</v>
      </c>
      <c r="D123" s="18"/>
      <c r="E123" s="18">
        <v>0</v>
      </c>
      <c r="F123" s="18">
        <v>0</v>
      </c>
      <c r="G123" s="4" t="s">
        <v>504</v>
      </c>
      <c r="H123" s="4" t="s">
        <v>505</v>
      </c>
      <c r="I123" s="5">
        <v>2</v>
      </c>
      <c r="J123" s="4"/>
      <c r="K123" s="4" t="s">
        <v>506</v>
      </c>
      <c r="L123" s="4">
        <v>1885829</v>
      </c>
      <c r="M123" s="4"/>
      <c r="N123" s="2" t="e">
        <f>VLOOKUP(B123,歌单!B:C,2,0)</f>
        <v>#N/A</v>
      </c>
      <c r="O123" s="2">
        <f t="shared" si="2"/>
        <v>1</v>
      </c>
      <c r="P123" t="e">
        <f>VLOOKUP(B123,歌单!B:C,1,0)</f>
        <v>#N/A</v>
      </c>
    </row>
    <row r="124" spans="1:16" ht="15" hidden="1" customHeight="1">
      <c r="A124" s="4" t="s">
        <v>507</v>
      </c>
      <c r="B124" s="4" t="s">
        <v>508</v>
      </c>
      <c r="C124" s="4" t="s">
        <v>509</v>
      </c>
      <c r="D124" s="18"/>
      <c r="E124" s="18">
        <v>0</v>
      </c>
      <c r="F124" s="18">
        <v>0</v>
      </c>
      <c r="G124" s="4" t="s">
        <v>510</v>
      </c>
      <c r="H124" s="4" t="s">
        <v>511</v>
      </c>
      <c r="I124" s="5">
        <v>346</v>
      </c>
      <c r="J124" s="4"/>
      <c r="K124" s="4" t="s">
        <v>508</v>
      </c>
      <c r="L124" s="4">
        <v>81243338</v>
      </c>
      <c r="M124" s="4" t="s">
        <v>512</v>
      </c>
      <c r="N124" s="2" t="str">
        <f>VLOOKUP(B124,歌单!B:C,2,0)</f>
        <v>张韶涵</v>
      </c>
      <c r="O124" s="2">
        <f t="shared" si="2"/>
        <v>0</v>
      </c>
      <c r="P124" t="str">
        <f>VLOOKUP(B124,歌单!B:C,1,0)</f>
        <v>有形的翅膀</v>
      </c>
    </row>
    <row r="125" spans="1:16" ht="15" hidden="1" customHeight="1">
      <c r="A125" s="4" t="s">
        <v>513</v>
      </c>
      <c r="B125" s="4" t="s">
        <v>65</v>
      </c>
      <c r="C125" s="4" t="s">
        <v>51</v>
      </c>
      <c r="D125" s="18"/>
      <c r="E125" s="18">
        <v>63471</v>
      </c>
      <c r="F125" s="18">
        <v>19895</v>
      </c>
      <c r="G125" s="4" t="s">
        <v>514</v>
      </c>
      <c r="H125" s="4"/>
      <c r="I125" s="5">
        <v>106</v>
      </c>
      <c r="J125" s="4"/>
      <c r="K125" s="4" t="s">
        <v>65</v>
      </c>
      <c r="L125" s="4">
        <v>3294592</v>
      </c>
      <c r="M125" s="4"/>
      <c r="N125" s="2" t="str">
        <f>VLOOKUP(B125,歌单!B:C,2,0)</f>
        <v>说说</v>
      </c>
      <c r="O125" s="2">
        <f t="shared" si="2"/>
        <v>0</v>
      </c>
      <c r="P125" t="str">
        <f>VLOOKUP(B125,歌单!B:C,1,0)</f>
        <v>天知河</v>
      </c>
    </row>
    <row r="126" spans="1:16" ht="15" hidden="1" customHeight="1">
      <c r="A126" s="4" t="s">
        <v>515</v>
      </c>
      <c r="B126" s="4" t="s">
        <v>516</v>
      </c>
      <c r="C126" s="4" t="s">
        <v>517</v>
      </c>
      <c r="D126" s="18"/>
      <c r="E126" s="18">
        <v>0</v>
      </c>
      <c r="F126" s="18">
        <v>0</v>
      </c>
      <c r="G126" s="4" t="s">
        <v>518</v>
      </c>
      <c r="H126" s="4" t="s">
        <v>519</v>
      </c>
      <c r="I126" s="5">
        <v>210</v>
      </c>
      <c r="J126" s="4" t="s">
        <v>520</v>
      </c>
      <c r="K126" s="4" t="s">
        <v>521</v>
      </c>
      <c r="L126" s="4">
        <v>33115292</v>
      </c>
      <c r="M126" s="4"/>
      <c r="N126" s="2" t="str">
        <f>VLOOKUP(B126,歌单!B:C,2,0)</f>
        <v>方大同</v>
      </c>
      <c r="O126" s="2">
        <f t="shared" si="2"/>
        <v>0</v>
      </c>
      <c r="P126" t="str">
        <f>VLOOKUP(B126,歌单!B:C,1,0)</f>
        <v>三人游</v>
      </c>
    </row>
    <row r="127" spans="1:16" ht="15" hidden="1" customHeight="1">
      <c r="A127" s="32" t="s">
        <v>522</v>
      </c>
      <c r="B127" s="4" t="s">
        <v>523</v>
      </c>
      <c r="C127" s="4" t="s">
        <v>524</v>
      </c>
      <c r="D127" s="18"/>
      <c r="E127" s="18">
        <v>0</v>
      </c>
      <c r="F127" s="18">
        <v>0</v>
      </c>
      <c r="G127" s="4" t="s">
        <v>525</v>
      </c>
      <c r="H127" s="4" t="s">
        <v>526</v>
      </c>
      <c r="I127" s="5">
        <v>46</v>
      </c>
      <c r="J127" s="4" t="s">
        <v>527</v>
      </c>
      <c r="K127" s="4" t="s">
        <v>528</v>
      </c>
      <c r="L127" s="4">
        <v>22119844</v>
      </c>
      <c r="M127" s="4"/>
      <c r="N127" s="28" t="str">
        <f>VLOOKUP(B127,歌单!B:C,2,0)</f>
        <v>徐佳莹</v>
      </c>
      <c r="O127" s="2">
        <f t="shared" si="2"/>
        <v>1</v>
      </c>
      <c r="P127" t="str">
        <f>VLOOKUP(B127,歌单!B:C,1,0)</f>
        <v>不醉不会</v>
      </c>
    </row>
    <row r="128" spans="1:16" ht="15" hidden="1" customHeight="1">
      <c r="A128" s="4" t="s">
        <v>529</v>
      </c>
      <c r="B128" s="4" t="s">
        <v>530</v>
      </c>
      <c r="C128" s="4" t="s">
        <v>27</v>
      </c>
      <c r="D128" s="18"/>
      <c r="E128" s="18">
        <v>0</v>
      </c>
      <c r="F128" s="18">
        <v>0</v>
      </c>
      <c r="G128" s="4" t="s">
        <v>531</v>
      </c>
      <c r="H128" s="4" t="s">
        <v>532</v>
      </c>
      <c r="I128" s="5">
        <v>1245</v>
      </c>
      <c r="J128" s="4"/>
      <c r="K128" s="4" t="s">
        <v>533</v>
      </c>
      <c r="L128" s="4">
        <v>198103765</v>
      </c>
      <c r="M128" s="4" t="s">
        <v>534</v>
      </c>
      <c r="N128" s="2" t="str">
        <f>VLOOKUP(B128,歌单!B:C,2,0)</f>
        <v>徐佳莹</v>
      </c>
      <c r="O128" s="2">
        <f t="shared" si="2"/>
        <v>0</v>
      </c>
      <c r="P128" t="str">
        <f>VLOOKUP(B128,歌单!B:C,1,0)</f>
        <v>身骑白马</v>
      </c>
    </row>
    <row r="129" spans="1:17" ht="15" hidden="1" customHeight="1">
      <c r="A129" s="4" t="s">
        <v>535</v>
      </c>
      <c r="B129" s="4" t="s">
        <v>536</v>
      </c>
      <c r="C129" s="4" t="s">
        <v>154</v>
      </c>
      <c r="D129" s="18"/>
      <c r="E129" s="18">
        <v>179425</v>
      </c>
      <c r="F129" s="18">
        <v>61254</v>
      </c>
      <c r="G129" s="4" t="s">
        <v>537</v>
      </c>
      <c r="H129" s="4"/>
      <c r="I129" s="5">
        <v>17510</v>
      </c>
      <c r="J129" s="4"/>
      <c r="K129" s="4" t="s">
        <v>538</v>
      </c>
      <c r="L129" s="4">
        <v>237302125</v>
      </c>
      <c r="M129" s="4" t="s">
        <v>202</v>
      </c>
      <c r="N129" s="2" t="str">
        <f>VLOOKUP(B129,歌单!B:C,2,0)</f>
        <v>周杰伦</v>
      </c>
      <c r="O129" s="2">
        <f t="shared" si="2"/>
        <v>0</v>
      </c>
      <c r="P129" t="str">
        <f>VLOOKUP(B129,歌单!B:C,1,0)</f>
        <v>红颜如霜</v>
      </c>
    </row>
    <row r="130" spans="1:17" ht="15" hidden="1" customHeight="1">
      <c r="A130" s="4" t="s">
        <v>539</v>
      </c>
      <c r="B130" s="4" t="s">
        <v>540</v>
      </c>
      <c r="C130" s="4" t="s">
        <v>541</v>
      </c>
      <c r="D130" s="18"/>
      <c r="E130" s="18">
        <v>0</v>
      </c>
      <c r="F130" s="18">
        <v>0</v>
      </c>
      <c r="G130" s="4" t="s">
        <v>542</v>
      </c>
      <c r="H130" s="4" t="s">
        <v>543</v>
      </c>
      <c r="I130" s="5">
        <v>131</v>
      </c>
      <c r="J130" s="4"/>
      <c r="K130" s="4" t="s">
        <v>544</v>
      </c>
      <c r="L130" s="4">
        <v>70228527</v>
      </c>
      <c r="M130" s="4"/>
      <c r="N130" s="2" t="str">
        <f>VLOOKUP(B130,歌单!B:C,2,0)</f>
        <v>张惠妹</v>
      </c>
      <c r="O130" s="2">
        <f t="shared" si="2"/>
        <v>0</v>
      </c>
      <c r="P130" t="str">
        <f>VLOOKUP(B130,歌单!B:C,1,0)</f>
        <v>如果你也听说</v>
      </c>
    </row>
    <row r="131" spans="1:17" ht="15" hidden="1" customHeight="1">
      <c r="A131" s="4" t="s">
        <v>545</v>
      </c>
      <c r="B131" s="4" t="s">
        <v>546</v>
      </c>
      <c r="C131" s="4" t="s">
        <v>427</v>
      </c>
      <c r="D131" s="18"/>
      <c r="E131" s="18">
        <v>0</v>
      </c>
      <c r="F131" s="18">
        <v>0</v>
      </c>
      <c r="G131" s="4" t="s">
        <v>547</v>
      </c>
      <c r="H131" s="4" t="s">
        <v>548</v>
      </c>
      <c r="I131" s="5">
        <v>139</v>
      </c>
      <c r="J131" s="4"/>
      <c r="K131" s="4" t="s">
        <v>546</v>
      </c>
      <c r="L131" s="4">
        <v>27303668</v>
      </c>
      <c r="M131" s="4"/>
      <c r="N131" s="2" t="str">
        <f>VLOOKUP(B131,歌单!B:C,2,0)</f>
        <v>袁娅维</v>
      </c>
      <c r="O131" s="2">
        <f t="shared" ref="O131:O194" si="4">_xlfn.IFNA(IF(IFERROR(SEARCH(N131,C131),0)&gt;0,0,1),0)</f>
        <v>0</v>
      </c>
      <c r="P131" t="str">
        <f>VLOOKUP(B131,歌单!B:C,1,0)</f>
        <v>阿楚姑娘</v>
      </c>
      <c r="Q131">
        <f t="shared" ref="Q131" si="5">IFERROR(SEARCH(N131,C131),0)</f>
        <v>1</v>
      </c>
    </row>
    <row r="132" spans="1:17" ht="15" hidden="1" customHeight="1">
      <c r="A132" s="32" t="s">
        <v>549</v>
      </c>
      <c r="B132" s="4" t="s">
        <v>550</v>
      </c>
      <c r="C132" s="4" t="s">
        <v>551</v>
      </c>
      <c r="D132" s="18"/>
      <c r="E132" s="18">
        <v>0</v>
      </c>
      <c r="F132" s="18">
        <v>0</v>
      </c>
      <c r="G132" s="4" t="s">
        <v>552</v>
      </c>
      <c r="H132" s="4" t="s">
        <v>553</v>
      </c>
      <c r="I132" s="5">
        <v>1651</v>
      </c>
      <c r="J132" s="4" t="s">
        <v>554</v>
      </c>
      <c r="K132" s="4" t="s">
        <v>555</v>
      </c>
      <c r="L132" s="4">
        <v>197851447</v>
      </c>
      <c r="M132" s="4"/>
      <c r="N132" s="28" t="str">
        <f>VLOOKUP(B132,歌单!B:C,2,0)</f>
        <v>袁娅维</v>
      </c>
      <c r="O132" s="2">
        <f t="shared" si="4"/>
        <v>1</v>
      </c>
      <c r="P132" t="str">
        <f>VLOOKUP(B132,歌单!B:C,1,0)</f>
        <v>靠近</v>
      </c>
    </row>
    <row r="133" spans="1:17" ht="15" hidden="1" customHeight="1">
      <c r="A133" s="4" t="s">
        <v>556</v>
      </c>
      <c r="B133" s="4" t="s">
        <v>557</v>
      </c>
      <c r="C133" s="4" t="s">
        <v>558</v>
      </c>
      <c r="D133" s="18"/>
      <c r="E133" s="18">
        <v>0</v>
      </c>
      <c r="F133" s="18">
        <v>0</v>
      </c>
      <c r="G133" s="4" t="s">
        <v>559</v>
      </c>
      <c r="H133" s="4" t="s">
        <v>560</v>
      </c>
      <c r="I133" s="5">
        <v>6</v>
      </c>
      <c r="J133" s="4"/>
      <c r="K133" s="4" t="s">
        <v>561</v>
      </c>
      <c r="L133" s="4">
        <v>6950668</v>
      </c>
      <c r="M133" s="4"/>
      <c r="N133" s="2" t="e">
        <f>VLOOKUP(B133,歌单!B:C,2,0)</f>
        <v>#N/A</v>
      </c>
      <c r="O133" s="2">
        <f t="shared" si="4"/>
        <v>1</v>
      </c>
      <c r="P133" t="e">
        <f>VLOOKUP(B133,歌单!B:C,1,0)</f>
        <v>#N/A</v>
      </c>
    </row>
    <row r="134" spans="1:17" ht="15" hidden="1" customHeight="1">
      <c r="A134" s="4" t="s">
        <v>562</v>
      </c>
      <c r="B134" s="4" t="s">
        <v>563</v>
      </c>
      <c r="C134" s="4" t="s">
        <v>558</v>
      </c>
      <c r="D134" s="18"/>
      <c r="E134" s="18">
        <v>0</v>
      </c>
      <c r="F134" s="18">
        <v>0</v>
      </c>
      <c r="G134" s="4" t="s">
        <v>564</v>
      </c>
      <c r="H134" s="4" t="s">
        <v>565</v>
      </c>
      <c r="I134" s="5">
        <v>3</v>
      </c>
      <c r="J134" s="4"/>
      <c r="K134" s="4" t="s">
        <v>566</v>
      </c>
      <c r="L134" s="4">
        <v>4837871</v>
      </c>
      <c r="M134" s="4"/>
      <c r="N134" s="2" t="str">
        <f>VLOOKUP(B134,歌单!B:C,2,0)</f>
        <v>谭晶</v>
      </c>
      <c r="O134" s="2">
        <f t="shared" si="4"/>
        <v>0</v>
      </c>
      <c r="P134" t="str">
        <f>VLOOKUP(B134,歌单!B:C,1,0)</f>
        <v>龙文</v>
      </c>
    </row>
    <row r="135" spans="1:17" ht="15" hidden="1" customHeight="1">
      <c r="A135" s="32" t="s">
        <v>567</v>
      </c>
      <c r="B135" s="4" t="s">
        <v>568</v>
      </c>
      <c r="C135" s="4" t="s">
        <v>569</v>
      </c>
      <c r="D135" s="18"/>
      <c r="E135" s="18">
        <v>0</v>
      </c>
      <c r="F135" s="18">
        <v>0</v>
      </c>
      <c r="G135" s="4" t="s">
        <v>570</v>
      </c>
      <c r="H135" s="4"/>
      <c r="I135" s="5">
        <v>1</v>
      </c>
      <c r="J135" s="4"/>
      <c r="K135" s="4" t="s">
        <v>571</v>
      </c>
      <c r="L135" s="4">
        <v>3736054</v>
      </c>
      <c r="M135" s="4"/>
      <c r="N135" s="30" t="str">
        <f>VLOOKUP(B135,歌单!B:C,2,0)</f>
        <v>李荣浩</v>
      </c>
      <c r="O135" s="2">
        <f t="shared" si="4"/>
        <v>1</v>
      </c>
      <c r="P135" t="str">
        <f>VLOOKUP(B135,歌单!B:C,1,0)</f>
        <v>乌梅子酱</v>
      </c>
    </row>
    <row r="136" spans="1:17" ht="15" hidden="1" customHeight="1">
      <c r="A136" s="4" t="s">
        <v>572</v>
      </c>
      <c r="B136" s="4" t="s">
        <v>573</v>
      </c>
      <c r="C136" s="4" t="s">
        <v>574</v>
      </c>
      <c r="D136" s="18"/>
      <c r="E136" s="18">
        <v>0</v>
      </c>
      <c r="F136" s="18">
        <v>0</v>
      </c>
      <c r="G136" s="4" t="s">
        <v>575</v>
      </c>
      <c r="H136" s="4" t="s">
        <v>576</v>
      </c>
      <c r="I136" s="5">
        <v>662</v>
      </c>
      <c r="J136" s="4"/>
      <c r="K136" s="4" t="s">
        <v>577</v>
      </c>
      <c r="L136" s="4">
        <v>297394501</v>
      </c>
      <c r="M136" s="4"/>
      <c r="N136" s="2" t="str">
        <f>VLOOKUP(B136,歌单!B:C,2,0)</f>
        <v>陈奕迅</v>
      </c>
      <c r="O136" s="2">
        <f t="shared" si="4"/>
        <v>0</v>
      </c>
      <c r="P136" t="str">
        <f>VLOOKUP(B136,歌单!B:C,1,0)</f>
        <v>红玫瑰</v>
      </c>
    </row>
    <row r="137" spans="1:17" ht="15" hidden="1" customHeight="1">
      <c r="A137" s="4" t="s">
        <v>578</v>
      </c>
      <c r="B137" s="4" t="s">
        <v>579</v>
      </c>
      <c r="C137" s="4" t="s">
        <v>580</v>
      </c>
      <c r="D137" s="18"/>
      <c r="E137" s="18">
        <v>0</v>
      </c>
      <c r="F137" s="18">
        <v>0</v>
      </c>
      <c r="G137" s="4" t="s">
        <v>581</v>
      </c>
      <c r="H137" s="4" t="s">
        <v>582</v>
      </c>
      <c r="I137" s="5">
        <v>3207</v>
      </c>
      <c r="J137" s="4" t="s">
        <v>583</v>
      </c>
      <c r="K137" s="4" t="s">
        <v>584</v>
      </c>
      <c r="L137" s="4">
        <v>276993628</v>
      </c>
      <c r="M137" s="4"/>
      <c r="N137" s="2" t="str">
        <f>VLOOKUP(B137,歌单!B:C,2,0)</f>
        <v>胡彦斌</v>
      </c>
      <c r="O137" s="2">
        <f t="shared" si="4"/>
        <v>0</v>
      </c>
      <c r="P137" t="str">
        <f>VLOOKUP(B137,歌单!B:C,1,0)</f>
        <v>月光</v>
      </c>
    </row>
    <row r="138" spans="1:17" ht="15" customHeight="1">
      <c r="A138" s="4" t="s">
        <v>585</v>
      </c>
      <c r="B138" s="4" t="s">
        <v>586</v>
      </c>
      <c r="C138" s="4" t="s">
        <v>587</v>
      </c>
      <c r="D138" s="18"/>
      <c r="E138" s="18">
        <v>0</v>
      </c>
      <c r="F138" s="18">
        <v>0</v>
      </c>
      <c r="G138" s="4" t="s">
        <v>588</v>
      </c>
      <c r="H138" s="4" t="s">
        <v>589</v>
      </c>
      <c r="I138" s="5">
        <v>64</v>
      </c>
      <c r="J138" s="4"/>
      <c r="K138" s="4"/>
      <c r="L138" s="4">
        <v>16563722</v>
      </c>
      <c r="M138" s="4"/>
      <c r="N138" s="2">
        <f>VLOOKUP(B138,歌单!B:C,2,0)</f>
        <v>0</v>
      </c>
      <c r="O138" s="2">
        <f t="shared" si="4"/>
        <v>1</v>
      </c>
      <c r="P138" t="str">
        <f>VLOOKUP(B138,歌单!B:C,1,0)</f>
        <v>没有意外</v>
      </c>
    </row>
    <row r="139" spans="1:17" ht="15" hidden="1" customHeight="1">
      <c r="A139" s="4" t="s">
        <v>590</v>
      </c>
      <c r="B139" s="4" t="s">
        <v>591</v>
      </c>
      <c r="C139" s="4" t="s">
        <v>592</v>
      </c>
      <c r="D139" s="18"/>
      <c r="E139" s="18">
        <v>0</v>
      </c>
      <c r="F139" s="18">
        <v>0</v>
      </c>
      <c r="G139" s="4" t="s">
        <v>593</v>
      </c>
      <c r="H139" s="4" t="s">
        <v>594</v>
      </c>
      <c r="I139" s="5">
        <v>142</v>
      </c>
      <c r="J139" s="4"/>
      <c r="K139" s="4" t="s">
        <v>595</v>
      </c>
      <c r="L139" s="4">
        <v>66377472</v>
      </c>
      <c r="M139" s="4"/>
      <c r="N139" s="2" t="str">
        <f>VLOOKUP(B139,歌单!B:C,2,0)</f>
        <v>蔡健雅</v>
      </c>
      <c r="O139" s="2">
        <f t="shared" si="4"/>
        <v>0</v>
      </c>
      <c r="P139" t="str">
        <f>VLOOKUP(B139,歌单!B:C,1,0)</f>
        <v>别找我麻烦</v>
      </c>
    </row>
    <row r="140" spans="1:17" ht="15" hidden="1" customHeight="1">
      <c r="A140" s="4" t="s">
        <v>596</v>
      </c>
      <c r="B140" s="4" t="s">
        <v>597</v>
      </c>
      <c r="C140" s="4" t="s">
        <v>592</v>
      </c>
      <c r="D140" s="18"/>
      <c r="E140" s="18">
        <v>0</v>
      </c>
      <c r="F140" s="18">
        <v>0</v>
      </c>
      <c r="G140" s="4" t="s">
        <v>598</v>
      </c>
      <c r="H140" s="4" t="s">
        <v>599</v>
      </c>
      <c r="I140" s="5">
        <v>6</v>
      </c>
      <c r="J140" s="4" t="s">
        <v>600</v>
      </c>
      <c r="K140" s="4" t="s">
        <v>597</v>
      </c>
      <c r="L140" s="4">
        <v>7862640</v>
      </c>
      <c r="M140" s="4"/>
      <c r="N140" s="2" t="str">
        <f>VLOOKUP(B140,歌单!B:C,2,0)</f>
        <v>蔡健雅</v>
      </c>
      <c r="O140" s="2">
        <f t="shared" si="4"/>
        <v>0</v>
      </c>
      <c r="P140" t="str">
        <f>VLOOKUP(B140,歌单!B:C,1,0)</f>
        <v>十万毫升泪水</v>
      </c>
    </row>
    <row r="141" spans="1:17" ht="15" hidden="1" customHeight="1">
      <c r="A141" s="4" t="s">
        <v>601</v>
      </c>
      <c r="B141" s="4" t="s">
        <v>602</v>
      </c>
      <c r="C141" s="4" t="s">
        <v>592</v>
      </c>
      <c r="D141" s="18"/>
      <c r="E141" s="18">
        <v>0</v>
      </c>
      <c r="F141" s="18">
        <v>0</v>
      </c>
      <c r="G141" s="4" t="s">
        <v>603</v>
      </c>
      <c r="H141" s="4" t="s">
        <v>604</v>
      </c>
      <c r="I141" s="5">
        <v>0</v>
      </c>
      <c r="J141" s="4"/>
      <c r="K141" s="4" t="s">
        <v>605</v>
      </c>
      <c r="L141" s="4">
        <v>1605044</v>
      </c>
      <c r="M141" s="4"/>
      <c r="N141" s="2" t="e">
        <f>VLOOKUP(B141,歌单!B:C,2,0)</f>
        <v>#N/A</v>
      </c>
      <c r="O141" s="2">
        <f t="shared" si="4"/>
        <v>1</v>
      </c>
      <c r="P141" t="e">
        <f>VLOOKUP(B141,歌单!B:C,1,0)</f>
        <v>#N/A</v>
      </c>
    </row>
    <row r="142" spans="1:17" ht="15" hidden="1" customHeight="1">
      <c r="A142" s="4" t="s">
        <v>606</v>
      </c>
      <c r="B142" s="4" t="s">
        <v>607</v>
      </c>
      <c r="C142" s="4" t="s">
        <v>592</v>
      </c>
      <c r="D142" s="18"/>
      <c r="E142" s="18">
        <v>0</v>
      </c>
      <c r="F142" s="18">
        <v>0</v>
      </c>
      <c r="G142" s="4" t="s">
        <v>608</v>
      </c>
      <c r="H142" s="4" t="s">
        <v>609</v>
      </c>
      <c r="I142" s="5">
        <v>1051</v>
      </c>
      <c r="J142" s="4" t="s">
        <v>610</v>
      </c>
      <c r="K142" s="4" t="s">
        <v>611</v>
      </c>
      <c r="L142" s="4">
        <v>114809007</v>
      </c>
      <c r="M142" s="4"/>
      <c r="N142" s="2" t="str">
        <f>VLOOKUP(B142,歌单!B:C,2,0)</f>
        <v>蔡健雅</v>
      </c>
      <c r="O142" s="2">
        <f t="shared" si="4"/>
        <v>0</v>
      </c>
      <c r="P142" t="str">
        <f>VLOOKUP(B142,歌单!B:C,1,0)</f>
        <v>紫</v>
      </c>
    </row>
    <row r="143" spans="1:17" ht="15" hidden="1" customHeight="1">
      <c r="A143" s="4" t="s">
        <v>612</v>
      </c>
      <c r="B143" s="4" t="s">
        <v>613</v>
      </c>
      <c r="C143" s="4" t="s">
        <v>614</v>
      </c>
      <c r="D143" s="18"/>
      <c r="E143" s="18">
        <v>0</v>
      </c>
      <c r="F143" s="18">
        <v>0</v>
      </c>
      <c r="G143" s="4" t="s">
        <v>615</v>
      </c>
      <c r="H143" s="4" t="s">
        <v>616</v>
      </c>
      <c r="I143" s="5">
        <v>3780</v>
      </c>
      <c r="J143" s="4" t="s">
        <v>617</v>
      </c>
      <c r="K143" s="4" t="s">
        <v>618</v>
      </c>
      <c r="L143" s="4">
        <v>702290705</v>
      </c>
      <c r="M143" s="4"/>
      <c r="N143" s="2" t="str">
        <f>VLOOKUP(B143,歌单!B:C,2,0)</f>
        <v>韩红</v>
      </c>
      <c r="O143" s="2">
        <f t="shared" si="4"/>
        <v>0</v>
      </c>
      <c r="P143" t="str">
        <f>VLOOKUP(B143,歌单!B:C,1,0)</f>
        <v>美丽的神话</v>
      </c>
      <c r="Q143">
        <f>IFERROR(SEARCH(N143,C143),0)</f>
        <v>4</v>
      </c>
    </row>
    <row r="144" spans="1:17" ht="15" hidden="1" customHeight="1">
      <c r="A144" s="4" t="s">
        <v>619</v>
      </c>
      <c r="B144" s="4" t="s">
        <v>620</v>
      </c>
      <c r="C144" s="4" t="s">
        <v>621</v>
      </c>
      <c r="D144" s="18"/>
      <c r="E144" s="18">
        <v>0</v>
      </c>
      <c r="F144" s="18">
        <v>0</v>
      </c>
      <c r="G144" s="4" t="s">
        <v>622</v>
      </c>
      <c r="H144" s="4" t="s">
        <v>623</v>
      </c>
      <c r="I144" s="5">
        <v>1717</v>
      </c>
      <c r="J144" s="4"/>
      <c r="K144" s="4" t="s">
        <v>620</v>
      </c>
      <c r="L144" s="4">
        <v>176570518</v>
      </c>
      <c r="M144" s="4"/>
      <c r="N144" s="2" t="str">
        <f>VLOOKUP(B144,歌单!B:C,2,0)</f>
        <v>司南</v>
      </c>
      <c r="O144" s="2">
        <f t="shared" si="4"/>
        <v>0</v>
      </c>
      <c r="P144" t="str">
        <f>VLOOKUP(B144,歌单!B:C,1,0)</f>
        <v>春三月</v>
      </c>
    </row>
    <row r="145" spans="1:17" ht="15" hidden="1" customHeight="1">
      <c r="A145" s="4" t="s">
        <v>624</v>
      </c>
      <c r="B145" s="4" t="s">
        <v>625</v>
      </c>
      <c r="C145" s="4" t="s">
        <v>626</v>
      </c>
      <c r="D145" s="18"/>
      <c r="E145" s="18">
        <v>0</v>
      </c>
      <c r="F145" s="18">
        <v>0</v>
      </c>
      <c r="G145" s="4" t="s">
        <v>627</v>
      </c>
      <c r="H145" s="4" t="s">
        <v>628</v>
      </c>
      <c r="I145" s="5">
        <v>24523</v>
      </c>
      <c r="J145" s="4" t="s">
        <v>629</v>
      </c>
      <c r="K145" s="4" t="s">
        <v>630</v>
      </c>
      <c r="L145" s="4">
        <v>7050600351</v>
      </c>
      <c r="M145" s="4" t="s">
        <v>631</v>
      </c>
      <c r="N145" s="2" t="str">
        <f>VLOOKUP(B145,歌单!B:C,2,0)</f>
        <v>买辣椒</v>
      </c>
      <c r="O145" s="2">
        <f t="shared" si="4"/>
        <v>0</v>
      </c>
      <c r="P145" t="str">
        <f>VLOOKUP(B145,歌单!B:C,1,0)</f>
        <v>起风了</v>
      </c>
      <c r="Q145">
        <f>IFERROR(SEARCH(N145,C145),0)</f>
        <v>1</v>
      </c>
    </row>
    <row r="146" spans="1:17" ht="15" hidden="1" customHeight="1">
      <c r="A146" s="4" t="s">
        <v>632</v>
      </c>
      <c r="B146" s="4" t="s">
        <v>633</v>
      </c>
      <c r="C146" s="4" t="s">
        <v>154</v>
      </c>
      <c r="D146" s="18"/>
      <c r="E146" s="18">
        <v>2979</v>
      </c>
      <c r="F146" s="18">
        <v>36</v>
      </c>
      <c r="G146" s="4" t="s">
        <v>634</v>
      </c>
      <c r="H146" s="4" t="s">
        <v>635</v>
      </c>
      <c r="I146" s="5">
        <v>976</v>
      </c>
      <c r="J146" s="4" t="s">
        <v>633</v>
      </c>
      <c r="K146" s="4" t="s">
        <v>636</v>
      </c>
      <c r="L146" s="4">
        <v>335567107</v>
      </c>
      <c r="M146" s="4" t="s">
        <v>34</v>
      </c>
      <c r="N146" s="2" t="str">
        <f>VLOOKUP(B146,歌单!B:C,2,0)</f>
        <v>周杰伦</v>
      </c>
      <c r="O146" s="2">
        <f t="shared" si="4"/>
        <v>0</v>
      </c>
      <c r="P146" t="str">
        <f>VLOOKUP(B146,歌单!B:C,1,0)</f>
        <v>菊花台</v>
      </c>
    </row>
    <row r="147" spans="1:17" ht="15" hidden="1" customHeight="1">
      <c r="A147" s="4" t="s">
        <v>637</v>
      </c>
      <c r="B147" s="4" t="s">
        <v>638</v>
      </c>
      <c r="C147" s="4" t="s">
        <v>154</v>
      </c>
      <c r="D147" s="18"/>
      <c r="E147" s="18">
        <v>0</v>
      </c>
      <c r="F147" s="18">
        <v>0</v>
      </c>
      <c r="G147" s="4" t="s">
        <v>639</v>
      </c>
      <c r="H147" s="4"/>
      <c r="I147" s="5">
        <v>4120</v>
      </c>
      <c r="J147" s="4"/>
      <c r="K147" s="4" t="s">
        <v>640</v>
      </c>
      <c r="L147" s="4">
        <v>593603418</v>
      </c>
      <c r="M147" s="4"/>
      <c r="N147" s="2" t="str">
        <f>VLOOKUP(B147,歌单!B:C,2,0)</f>
        <v>周杰伦</v>
      </c>
      <c r="O147" s="2">
        <f t="shared" si="4"/>
        <v>0</v>
      </c>
      <c r="P147" t="str">
        <f>VLOOKUP(B147,歌单!B:C,1,0)</f>
        <v>搁浅</v>
      </c>
    </row>
    <row r="148" spans="1:17" ht="15" hidden="1" customHeight="1">
      <c r="A148" s="4" t="s">
        <v>641</v>
      </c>
      <c r="B148" s="4" t="s">
        <v>642</v>
      </c>
      <c r="C148" s="4" t="s">
        <v>643</v>
      </c>
      <c r="D148" s="18"/>
      <c r="E148" s="18">
        <v>0</v>
      </c>
      <c r="F148" s="18">
        <v>0</v>
      </c>
      <c r="G148" s="4" t="s">
        <v>644</v>
      </c>
      <c r="H148" s="4" t="s">
        <v>645</v>
      </c>
      <c r="I148" s="5">
        <v>44</v>
      </c>
      <c r="J148" s="4" t="s">
        <v>646</v>
      </c>
      <c r="K148" s="4" t="s">
        <v>647</v>
      </c>
      <c r="L148" s="4">
        <v>28182657</v>
      </c>
      <c r="M148" s="4"/>
      <c r="N148" s="2" t="str">
        <f>VLOOKUP(B148,歌单!B:C,2,0)</f>
        <v>杨丞琳</v>
      </c>
      <c r="O148" s="2">
        <f t="shared" si="4"/>
        <v>0</v>
      </c>
      <c r="P148" t="str">
        <f>VLOOKUP(B148,歌单!B:C,1,0)</f>
        <v>左边</v>
      </c>
    </row>
    <row r="149" spans="1:17" ht="15" hidden="1" customHeight="1">
      <c r="A149" s="4" t="s">
        <v>648</v>
      </c>
      <c r="B149" s="4" t="s">
        <v>649</v>
      </c>
      <c r="C149" s="4" t="s">
        <v>650</v>
      </c>
      <c r="D149" s="18"/>
      <c r="E149" s="18">
        <v>0</v>
      </c>
      <c r="F149" s="18">
        <v>0</v>
      </c>
      <c r="G149" s="4" t="s">
        <v>651</v>
      </c>
      <c r="H149" s="4" t="s">
        <v>652</v>
      </c>
      <c r="I149" s="5">
        <v>410</v>
      </c>
      <c r="J149" s="4" t="s">
        <v>653</v>
      </c>
      <c r="K149" s="4" t="s">
        <v>650</v>
      </c>
      <c r="L149" s="4">
        <v>92493052</v>
      </c>
      <c r="M149" s="4"/>
      <c r="N149" s="2" t="str">
        <f>VLOOKUP(B149,歌单!B:C,2,0)</f>
        <v>李健</v>
      </c>
      <c r="O149" s="2">
        <f t="shared" si="4"/>
        <v>0</v>
      </c>
      <c r="P149" t="str">
        <f>VLOOKUP(B149,歌单!B:C,1,0)</f>
        <v>假如爱有天意</v>
      </c>
    </row>
    <row r="150" spans="1:17" ht="15" hidden="1" customHeight="1">
      <c r="A150" s="4" t="s">
        <v>654</v>
      </c>
      <c r="B150" s="4" t="s">
        <v>655</v>
      </c>
      <c r="C150" s="4" t="s">
        <v>466</v>
      </c>
      <c r="D150" s="18"/>
      <c r="E150" s="18">
        <v>17966</v>
      </c>
      <c r="F150" s="18">
        <v>8458</v>
      </c>
      <c r="G150" s="4" t="s">
        <v>656</v>
      </c>
      <c r="H150" s="4" t="s">
        <v>657</v>
      </c>
      <c r="I150" s="5">
        <v>1296</v>
      </c>
      <c r="J150" s="4"/>
      <c r="K150" s="4" t="s">
        <v>655</v>
      </c>
      <c r="L150" s="4">
        <v>218547878</v>
      </c>
      <c r="M150" s="4" t="s">
        <v>534</v>
      </c>
      <c r="N150" s="2" t="str">
        <f>VLOOKUP(B150,歌单!B:C,2,0)</f>
        <v>郁可唯</v>
      </c>
      <c r="O150" s="2">
        <f t="shared" si="4"/>
        <v>0</v>
      </c>
      <c r="P150" t="str">
        <f>VLOOKUP(B150,歌单!B:C,1,0)</f>
        <v>路过人间</v>
      </c>
    </row>
    <row r="151" spans="1:17" ht="15" hidden="1" customHeight="1">
      <c r="A151" s="4" t="s">
        <v>658</v>
      </c>
      <c r="B151" s="4" t="s">
        <v>659</v>
      </c>
      <c r="C151" s="4" t="s">
        <v>660</v>
      </c>
      <c r="D151" s="18"/>
      <c r="E151" s="18">
        <v>0</v>
      </c>
      <c r="F151" s="18">
        <v>0</v>
      </c>
      <c r="G151" s="4" t="s">
        <v>661</v>
      </c>
      <c r="H151" s="4" t="s">
        <v>662</v>
      </c>
      <c r="I151" s="5">
        <v>737</v>
      </c>
      <c r="J151" s="4"/>
      <c r="K151" s="4" t="s">
        <v>663</v>
      </c>
      <c r="L151" s="4">
        <v>223366660</v>
      </c>
      <c r="M151" s="4"/>
      <c r="N151" s="2" t="str">
        <f>VLOOKUP(B151,歌单!B:C,2,0)</f>
        <v>张信哲</v>
      </c>
      <c r="O151" s="2">
        <f t="shared" si="4"/>
        <v>0</v>
      </c>
      <c r="P151" t="str">
        <f>VLOOKUP(B151,歌单!B:C,1,0)</f>
        <v>爱就一个字</v>
      </c>
    </row>
    <row r="152" spans="1:17" ht="15" hidden="1" customHeight="1">
      <c r="A152" s="32" t="s">
        <v>664</v>
      </c>
      <c r="B152" s="4" t="s">
        <v>665</v>
      </c>
      <c r="C152" s="4" t="s">
        <v>666</v>
      </c>
      <c r="D152" s="18"/>
      <c r="E152" s="18">
        <v>0</v>
      </c>
      <c r="F152" s="18">
        <v>0</v>
      </c>
      <c r="G152" s="4" t="s">
        <v>667</v>
      </c>
      <c r="H152" s="4"/>
      <c r="I152" s="5">
        <v>20</v>
      </c>
      <c r="J152" s="4"/>
      <c r="K152" s="4" t="s">
        <v>666</v>
      </c>
      <c r="L152" s="4">
        <v>1073991</v>
      </c>
      <c r="M152" s="4"/>
      <c r="N152" s="2" t="str">
        <f>VLOOKUP(B152,歌单!B:C,2,0)</f>
        <v>/</v>
      </c>
      <c r="O152" s="2">
        <f t="shared" si="4"/>
        <v>1</v>
      </c>
      <c r="P152" t="str">
        <f>VLOOKUP(B152,歌单!B:C,1,0)</f>
        <v>Caro mio ben</v>
      </c>
    </row>
    <row r="153" spans="1:17" ht="15" hidden="1" customHeight="1">
      <c r="A153" s="32" t="s">
        <v>668</v>
      </c>
      <c r="B153" s="4" t="s">
        <v>669</v>
      </c>
      <c r="C153" s="4" t="s">
        <v>670</v>
      </c>
      <c r="D153" s="18"/>
      <c r="E153" s="18">
        <v>0</v>
      </c>
      <c r="F153" s="18">
        <v>0</v>
      </c>
      <c r="G153" s="4" t="s">
        <v>671</v>
      </c>
      <c r="H153" s="4"/>
      <c r="I153" s="5">
        <v>4</v>
      </c>
      <c r="J153" s="4"/>
      <c r="K153" s="4" t="s">
        <v>672</v>
      </c>
      <c r="L153" s="4">
        <v>789902</v>
      </c>
      <c r="M153" s="4"/>
      <c r="N153" s="2" t="str">
        <f>VLOOKUP(B153,歌单!B:C,2,0)</f>
        <v>/</v>
      </c>
      <c r="O153" s="2">
        <f t="shared" si="4"/>
        <v>1</v>
      </c>
      <c r="P153" t="str">
        <f>VLOOKUP(B153,歌单!B:C,1,0)</f>
        <v>Caro mio ben</v>
      </c>
    </row>
    <row r="154" spans="1:17" ht="15" hidden="1" customHeight="1">
      <c r="A154" s="4" t="s">
        <v>673</v>
      </c>
      <c r="B154" s="4" t="s">
        <v>674</v>
      </c>
      <c r="C154" s="4" t="s">
        <v>675</v>
      </c>
      <c r="D154" s="18"/>
      <c r="E154" s="18">
        <v>54575</v>
      </c>
      <c r="F154" s="18">
        <v>8902</v>
      </c>
      <c r="G154" s="4" t="s">
        <v>676</v>
      </c>
      <c r="H154" s="4"/>
      <c r="I154" s="5">
        <v>22</v>
      </c>
      <c r="J154" s="4"/>
      <c r="K154" s="4" t="s">
        <v>674</v>
      </c>
      <c r="L154" s="4">
        <v>2354363</v>
      </c>
      <c r="M154" s="4"/>
      <c r="N154" s="2" t="str">
        <f>VLOOKUP(B154,歌单!B:C,2,0)</f>
        <v>Pomelo安妮</v>
      </c>
      <c r="O154" s="2">
        <f t="shared" si="4"/>
        <v>0</v>
      </c>
      <c r="P154" t="str">
        <f>VLOOKUP(B154,歌单!B:C,1,0)</f>
        <v>先生</v>
      </c>
    </row>
    <row r="155" spans="1:17" ht="15" hidden="1" customHeight="1">
      <c r="A155" s="4" t="s">
        <v>677</v>
      </c>
      <c r="B155" s="4" t="s">
        <v>678</v>
      </c>
      <c r="C155" s="4" t="s">
        <v>679</v>
      </c>
      <c r="D155" s="18"/>
      <c r="E155" s="18">
        <v>1032</v>
      </c>
      <c r="F155" s="18">
        <v>165</v>
      </c>
      <c r="G155" s="4" t="s">
        <v>680</v>
      </c>
      <c r="H155" s="4" t="s">
        <v>681</v>
      </c>
      <c r="I155" s="5">
        <v>138</v>
      </c>
      <c r="J155" s="4"/>
      <c r="K155" s="4" t="s">
        <v>678</v>
      </c>
      <c r="L155" s="4">
        <v>64920351</v>
      </c>
      <c r="M155" s="4"/>
      <c r="N155" s="2" t="e">
        <f>VLOOKUP(B155,歌单!B:C,2,0)</f>
        <v>#N/A</v>
      </c>
      <c r="O155" s="2">
        <f t="shared" si="4"/>
        <v>1</v>
      </c>
      <c r="P155" t="e">
        <f>VLOOKUP(B155,歌单!B:C,1,0)</f>
        <v>#N/A</v>
      </c>
    </row>
    <row r="156" spans="1:17" ht="15" hidden="1" customHeight="1">
      <c r="A156" s="4" t="s">
        <v>682</v>
      </c>
      <c r="B156" s="4" t="s">
        <v>683</v>
      </c>
      <c r="C156" s="4" t="s">
        <v>679</v>
      </c>
      <c r="D156" s="18"/>
      <c r="E156" s="18">
        <v>0</v>
      </c>
      <c r="F156" s="18">
        <v>0</v>
      </c>
      <c r="G156" s="4" t="s">
        <v>684</v>
      </c>
      <c r="H156" s="4" t="s">
        <v>685</v>
      </c>
      <c r="I156" s="5">
        <v>17</v>
      </c>
      <c r="J156" s="4"/>
      <c r="K156" s="4" t="s">
        <v>686</v>
      </c>
      <c r="L156" s="4">
        <v>30870161</v>
      </c>
      <c r="M156" s="4"/>
      <c r="N156" s="2" t="e">
        <f>VLOOKUP(B156,歌单!B:C,2,0)</f>
        <v>#N/A</v>
      </c>
      <c r="O156" s="2">
        <f t="shared" si="4"/>
        <v>1</v>
      </c>
      <c r="P156" t="e">
        <f>VLOOKUP(B156,歌单!B:C,1,0)</f>
        <v>#N/A</v>
      </c>
    </row>
    <row r="157" spans="1:17" ht="15" hidden="1" customHeight="1">
      <c r="A157" s="4" t="s">
        <v>687</v>
      </c>
      <c r="B157" s="4" t="s">
        <v>688</v>
      </c>
      <c r="C157" s="4" t="s">
        <v>679</v>
      </c>
      <c r="D157" s="18"/>
      <c r="E157" s="18">
        <v>314</v>
      </c>
      <c r="F157" s="18">
        <v>49</v>
      </c>
      <c r="G157" s="4" t="s">
        <v>689</v>
      </c>
      <c r="H157" s="4" t="s">
        <v>690</v>
      </c>
      <c r="I157" s="5">
        <v>765</v>
      </c>
      <c r="J157" s="4"/>
      <c r="K157" s="4" t="s">
        <v>691</v>
      </c>
      <c r="L157" s="4">
        <v>287090873</v>
      </c>
      <c r="M157" s="4"/>
      <c r="N157" s="2" t="str">
        <f>VLOOKUP(B157,歌单!B:C,2,0)</f>
        <v>林俊杰</v>
      </c>
      <c r="O157" s="2">
        <f t="shared" si="4"/>
        <v>0</v>
      </c>
      <c r="P157" t="str">
        <f>VLOOKUP(B157,歌单!B:C,1,0)</f>
        <v>关键词</v>
      </c>
    </row>
    <row r="158" spans="1:17" ht="15" customHeight="1">
      <c r="A158" s="4" t="s">
        <v>692</v>
      </c>
      <c r="B158" s="4" t="s">
        <v>693</v>
      </c>
      <c r="C158" s="4" t="s">
        <v>154</v>
      </c>
      <c r="D158" s="18"/>
      <c r="E158" s="18">
        <v>0</v>
      </c>
      <c r="F158" s="18">
        <v>0</v>
      </c>
      <c r="G158" s="4" t="s">
        <v>694</v>
      </c>
      <c r="H158" s="4"/>
      <c r="I158" s="5">
        <v>265</v>
      </c>
      <c r="J158" s="4"/>
      <c r="K158" s="4" t="s">
        <v>321</v>
      </c>
      <c r="L158" s="4">
        <v>186750231</v>
      </c>
      <c r="M158" s="4"/>
      <c r="N158" s="2">
        <f>VLOOKUP(B158,歌单!B:C,2,0)</f>
        <v>0</v>
      </c>
      <c r="O158" s="2">
        <f t="shared" si="4"/>
        <v>1</v>
      </c>
      <c r="P158" t="str">
        <f>VLOOKUP(B158,歌单!B:C,1,0)</f>
        <v>爱情悬崖</v>
      </c>
    </row>
    <row r="159" spans="1:17" ht="15" hidden="1" customHeight="1">
      <c r="A159" s="4" t="s">
        <v>695</v>
      </c>
      <c r="B159" s="4" t="s">
        <v>696</v>
      </c>
      <c r="C159" s="4" t="s">
        <v>21</v>
      </c>
      <c r="D159" s="18"/>
      <c r="E159" s="18">
        <v>0</v>
      </c>
      <c r="F159" s="18">
        <v>0</v>
      </c>
      <c r="G159" s="4" t="s">
        <v>697</v>
      </c>
      <c r="H159" s="4"/>
      <c r="I159" s="5">
        <v>13</v>
      </c>
      <c r="J159" s="4"/>
      <c r="K159" s="4" t="s">
        <v>696</v>
      </c>
      <c r="L159" s="4">
        <v>3245965</v>
      </c>
      <c r="M159" s="4"/>
      <c r="N159" s="2" t="str">
        <f>VLOOKUP(B159,歌单!B:C,2,0)</f>
        <v>单依纯</v>
      </c>
      <c r="O159" s="2">
        <f t="shared" si="4"/>
        <v>0</v>
      </c>
      <c r="P159" t="str">
        <f>VLOOKUP(B159,歌单!B:C,1,0)</f>
        <v>分身</v>
      </c>
    </row>
    <row r="160" spans="1:17" ht="15" hidden="1" customHeight="1">
      <c r="A160" s="4" t="s">
        <v>698</v>
      </c>
      <c r="B160" s="4" t="s">
        <v>699</v>
      </c>
      <c r="C160" s="4" t="s">
        <v>700</v>
      </c>
      <c r="D160" s="18"/>
      <c r="E160" s="18">
        <v>100657</v>
      </c>
      <c r="F160" s="18">
        <v>21121</v>
      </c>
      <c r="G160" s="4" t="s">
        <v>701</v>
      </c>
      <c r="H160" s="4" t="s">
        <v>702</v>
      </c>
      <c r="I160" s="5">
        <v>18948</v>
      </c>
      <c r="J160" s="4"/>
      <c r="K160" s="4" t="s">
        <v>703</v>
      </c>
      <c r="L160" s="4">
        <v>1973644689</v>
      </c>
      <c r="M160" s="4" t="s">
        <v>704</v>
      </c>
      <c r="N160" s="2" t="str">
        <f>VLOOKUP(B160,歌单!B:C,2,0)</f>
        <v>郭顶</v>
      </c>
      <c r="O160" s="2">
        <f t="shared" si="4"/>
        <v>0</v>
      </c>
      <c r="P160" t="str">
        <f>VLOOKUP(B160,歌单!B:C,1,0)</f>
        <v>凄美地</v>
      </c>
    </row>
    <row r="161" spans="1:16" ht="15" hidden="1" customHeight="1">
      <c r="A161" s="4" t="s">
        <v>705</v>
      </c>
      <c r="B161" s="4" t="s">
        <v>706</v>
      </c>
      <c r="C161" s="4" t="s">
        <v>707</v>
      </c>
      <c r="D161" s="18"/>
      <c r="E161" s="18">
        <v>0</v>
      </c>
      <c r="F161" s="18">
        <v>0</v>
      </c>
      <c r="G161" s="4" t="s">
        <v>708</v>
      </c>
      <c r="H161" s="4"/>
      <c r="I161" s="5">
        <v>1656</v>
      </c>
      <c r="J161" s="4"/>
      <c r="K161" s="4" t="s">
        <v>709</v>
      </c>
      <c r="L161" s="4">
        <v>409143030</v>
      </c>
      <c r="M161" s="4"/>
      <c r="N161" s="2" t="str">
        <f>VLOOKUP(B161,歌单!B:C,2,0)</f>
        <v>陈粒</v>
      </c>
      <c r="O161" s="2">
        <f t="shared" si="4"/>
        <v>0</v>
      </c>
      <c r="P161" t="str">
        <f>VLOOKUP(B161,歌单!B:C,1,0)</f>
        <v>易燃易爆炸</v>
      </c>
    </row>
    <row r="162" spans="1:16" ht="15" hidden="1" customHeight="1">
      <c r="A162" s="4" t="s">
        <v>710</v>
      </c>
      <c r="B162" s="4" t="s">
        <v>711</v>
      </c>
      <c r="C162" s="4" t="s">
        <v>509</v>
      </c>
      <c r="D162" s="18"/>
      <c r="E162" s="18">
        <v>0</v>
      </c>
      <c r="F162" s="18">
        <v>0</v>
      </c>
      <c r="G162" s="4" t="s">
        <v>712</v>
      </c>
      <c r="H162" s="4" t="s">
        <v>713</v>
      </c>
      <c r="I162" s="5">
        <v>0</v>
      </c>
      <c r="J162" s="4"/>
      <c r="K162" s="4" t="s">
        <v>714</v>
      </c>
      <c r="L162" s="4">
        <v>190631</v>
      </c>
      <c r="M162" s="4"/>
      <c r="N162" s="2" t="str">
        <f>VLOOKUP(B162,歌单!B:C,2,0)</f>
        <v>张韶涵</v>
      </c>
      <c r="O162" s="2">
        <f t="shared" si="4"/>
        <v>0</v>
      </c>
      <c r="P162" t="str">
        <f>VLOOKUP(B162,歌单!B:C,1,0)</f>
        <v>阿刁</v>
      </c>
    </row>
    <row r="163" spans="1:16" ht="15" hidden="1" customHeight="1">
      <c r="A163" s="4" t="s">
        <v>715</v>
      </c>
      <c r="B163" s="4" t="s">
        <v>716</v>
      </c>
      <c r="C163" s="4" t="s">
        <v>509</v>
      </c>
      <c r="D163" s="18"/>
      <c r="E163" s="18">
        <v>0</v>
      </c>
      <c r="F163" s="18">
        <v>0</v>
      </c>
      <c r="G163" s="4" t="s">
        <v>717</v>
      </c>
      <c r="H163" s="4" t="s">
        <v>718</v>
      </c>
      <c r="I163" s="5">
        <v>2669</v>
      </c>
      <c r="J163" s="4"/>
      <c r="K163" s="4" t="s">
        <v>716</v>
      </c>
      <c r="L163" s="4">
        <v>157739697</v>
      </c>
      <c r="M163" s="4"/>
      <c r="N163" s="2" t="str">
        <f>VLOOKUP(B163,歌单!B:C,2,0)</f>
        <v>张韶涵</v>
      </c>
      <c r="O163" s="2">
        <f t="shared" si="4"/>
        <v>0</v>
      </c>
      <c r="P163" t="str">
        <f>VLOOKUP(B163,歌单!B:C,1,0)</f>
        <v>梦里花</v>
      </c>
    </row>
    <row r="164" spans="1:16" ht="15" customHeight="1">
      <c r="A164" s="4" t="s">
        <v>719</v>
      </c>
      <c r="B164" s="4" t="s">
        <v>720</v>
      </c>
      <c r="C164" s="4" t="s">
        <v>721</v>
      </c>
      <c r="D164" s="18"/>
      <c r="E164" s="18">
        <v>3387</v>
      </c>
      <c r="F164" s="18">
        <v>845</v>
      </c>
      <c r="G164" s="4" t="s">
        <v>722</v>
      </c>
      <c r="H164" s="4" t="s">
        <v>723</v>
      </c>
      <c r="I164" s="5">
        <v>60</v>
      </c>
      <c r="J164" s="4"/>
      <c r="K164" s="4" t="s">
        <v>724</v>
      </c>
      <c r="L164" s="4">
        <v>41008288</v>
      </c>
      <c r="M164" s="4"/>
      <c r="N164" s="2">
        <f>VLOOKUP(B164,歌单!B:C,2,0)</f>
        <v>0</v>
      </c>
      <c r="O164" s="2">
        <f t="shared" si="4"/>
        <v>1</v>
      </c>
      <c r="P164" t="str">
        <f>VLOOKUP(B164,歌单!B:C,1,0)</f>
        <v>落叶归根</v>
      </c>
    </row>
    <row r="165" spans="1:16" ht="15" customHeight="1">
      <c r="A165" s="4" t="s">
        <v>725</v>
      </c>
      <c r="B165" s="4" t="s">
        <v>726</v>
      </c>
      <c r="C165" s="4" t="s">
        <v>727</v>
      </c>
      <c r="D165" s="18"/>
      <c r="E165" s="18">
        <v>0</v>
      </c>
      <c r="F165" s="18">
        <v>0</v>
      </c>
      <c r="G165" s="4" t="s">
        <v>728</v>
      </c>
      <c r="H165" s="4" t="s">
        <v>729</v>
      </c>
      <c r="I165" s="5">
        <v>39</v>
      </c>
      <c r="J165" s="4"/>
      <c r="K165" s="4" t="s">
        <v>730</v>
      </c>
      <c r="L165" s="4">
        <v>14230993</v>
      </c>
      <c r="M165" s="4"/>
      <c r="N165" s="2">
        <f>VLOOKUP(B165,歌单!B:C,2,0)</f>
        <v>0</v>
      </c>
      <c r="O165" s="2">
        <f t="shared" si="4"/>
        <v>1</v>
      </c>
      <c r="P165" t="str">
        <f>VLOOKUP(B165,歌单!B:C,1,0)</f>
        <v>茉莉花</v>
      </c>
    </row>
    <row r="166" spans="1:16" ht="15" hidden="1" customHeight="1">
      <c r="A166" s="4" t="s">
        <v>731</v>
      </c>
      <c r="B166" s="4" t="s">
        <v>732</v>
      </c>
      <c r="C166" s="4" t="s">
        <v>154</v>
      </c>
      <c r="D166" s="18"/>
      <c r="E166" s="18">
        <v>0</v>
      </c>
      <c r="F166" s="18">
        <v>0</v>
      </c>
      <c r="G166" s="4" t="s">
        <v>733</v>
      </c>
      <c r="H166" s="4"/>
      <c r="I166" s="5">
        <v>2471</v>
      </c>
      <c r="J166" s="4"/>
      <c r="K166" s="4" t="s">
        <v>640</v>
      </c>
      <c r="L166" s="4">
        <v>492310935</v>
      </c>
      <c r="M166" s="4" t="s">
        <v>734</v>
      </c>
      <c r="N166" s="2" t="str">
        <f>VLOOKUP(B166,歌单!B:C,2,0)</f>
        <v>周杰伦</v>
      </c>
      <c r="O166" s="2">
        <f t="shared" si="4"/>
        <v>0</v>
      </c>
      <c r="P166" t="str">
        <f>VLOOKUP(B166,歌单!B:C,1,0)</f>
        <v>园游会</v>
      </c>
    </row>
    <row r="167" spans="1:16" ht="15" hidden="1" customHeight="1">
      <c r="A167" s="4" t="s">
        <v>735</v>
      </c>
      <c r="B167" s="4" t="s">
        <v>736</v>
      </c>
      <c r="C167" s="4" t="s">
        <v>737</v>
      </c>
      <c r="D167" s="18"/>
      <c r="E167" s="18">
        <v>0</v>
      </c>
      <c r="F167" s="18">
        <v>0</v>
      </c>
      <c r="G167" s="4" t="s">
        <v>738</v>
      </c>
      <c r="H167" s="4"/>
      <c r="I167" s="5">
        <v>2</v>
      </c>
      <c r="J167" s="4"/>
      <c r="K167" s="4" t="s">
        <v>739</v>
      </c>
      <c r="L167" s="4">
        <v>4126537</v>
      </c>
      <c r="M167" s="4"/>
      <c r="N167" s="2" t="e">
        <f>VLOOKUP(B167,歌单!B:C,2,0)</f>
        <v>#N/A</v>
      </c>
      <c r="O167" s="2">
        <f t="shared" si="4"/>
        <v>1</v>
      </c>
      <c r="P167" t="e">
        <f>VLOOKUP(B167,歌单!B:C,1,0)</f>
        <v>#N/A</v>
      </c>
    </row>
    <row r="168" spans="1:16" ht="15" hidden="1" customHeight="1">
      <c r="A168" s="4" t="s">
        <v>740</v>
      </c>
      <c r="B168" s="4" t="s">
        <v>741</v>
      </c>
      <c r="C168" s="4" t="s">
        <v>742</v>
      </c>
      <c r="D168" s="18"/>
      <c r="E168" s="18">
        <v>0</v>
      </c>
      <c r="F168" s="18">
        <v>0</v>
      </c>
      <c r="G168" s="4" t="s">
        <v>743</v>
      </c>
      <c r="H168" s="4" t="s">
        <v>744</v>
      </c>
      <c r="I168" s="5">
        <v>1290</v>
      </c>
      <c r="J168" s="4" t="s">
        <v>745</v>
      </c>
      <c r="K168" s="4" t="s">
        <v>746</v>
      </c>
      <c r="L168" s="4">
        <v>486888927</v>
      </c>
      <c r="M168" s="4" t="s">
        <v>747</v>
      </c>
      <c r="N168" s="2" t="str">
        <f>VLOOKUP(B168,歌单!B:C,2,0)</f>
        <v>孙燕姿</v>
      </c>
      <c r="O168" s="2">
        <f t="shared" si="4"/>
        <v>0</v>
      </c>
      <c r="P168" t="str">
        <f>VLOOKUP(B168,歌单!B:C,1,0)</f>
        <v>遇见</v>
      </c>
    </row>
    <row r="169" spans="1:16" ht="15" hidden="1" customHeight="1">
      <c r="A169" s="4" t="s">
        <v>748</v>
      </c>
      <c r="B169" s="4" t="s">
        <v>749</v>
      </c>
      <c r="C169" s="4" t="s">
        <v>131</v>
      </c>
      <c r="D169" s="18"/>
      <c r="E169" s="18">
        <v>0</v>
      </c>
      <c r="F169" s="18">
        <v>0</v>
      </c>
      <c r="G169" s="4" t="s">
        <v>750</v>
      </c>
      <c r="H169" s="4" t="s">
        <v>751</v>
      </c>
      <c r="I169" s="5">
        <v>6140</v>
      </c>
      <c r="J169" s="4"/>
      <c r="K169" s="4" t="s">
        <v>752</v>
      </c>
      <c r="L169" s="4">
        <v>400198699</v>
      </c>
      <c r="M169" s="4" t="s">
        <v>235</v>
      </c>
      <c r="N169" s="2" t="str">
        <f>VLOOKUP(B169,歌单!B:C,2,0)</f>
        <v>苏打绿</v>
      </c>
      <c r="O169" s="2">
        <f t="shared" si="4"/>
        <v>0</v>
      </c>
      <c r="P169" t="str">
        <f>VLOOKUP(B169,歌单!B:C,1,0)</f>
        <v>我好想你</v>
      </c>
    </row>
    <row r="170" spans="1:16" ht="15" hidden="1" customHeight="1">
      <c r="A170" s="4" t="s">
        <v>753</v>
      </c>
      <c r="B170" s="4" t="s">
        <v>754</v>
      </c>
      <c r="C170" s="4" t="s">
        <v>755</v>
      </c>
      <c r="D170" s="18"/>
      <c r="E170" s="18">
        <v>0</v>
      </c>
      <c r="F170" s="18">
        <v>0</v>
      </c>
      <c r="G170" s="4" t="s">
        <v>756</v>
      </c>
      <c r="H170" s="4" t="s">
        <v>757</v>
      </c>
      <c r="I170" s="5">
        <v>18</v>
      </c>
      <c r="J170" s="4"/>
      <c r="K170" s="4" t="s">
        <v>758</v>
      </c>
      <c r="L170" s="4">
        <v>11454087</v>
      </c>
      <c r="M170" s="4"/>
      <c r="N170" s="2" t="str">
        <f>VLOOKUP(B170,歌单!B:C,2,0)</f>
        <v>郁一凡</v>
      </c>
      <c r="O170" s="2">
        <f t="shared" si="4"/>
        <v>0</v>
      </c>
      <c r="P170" t="str">
        <f>VLOOKUP(B170,歌单!B:C,1,0)</f>
        <v>台风</v>
      </c>
    </row>
    <row r="171" spans="1:16" ht="15" hidden="1" customHeight="1">
      <c r="A171" s="4" t="s">
        <v>759</v>
      </c>
      <c r="B171" s="4" t="s">
        <v>760</v>
      </c>
      <c r="C171" s="4" t="s">
        <v>154</v>
      </c>
      <c r="D171" s="18"/>
      <c r="E171" s="18">
        <v>0</v>
      </c>
      <c r="F171" s="18">
        <v>0</v>
      </c>
      <c r="G171" s="4" t="s">
        <v>761</v>
      </c>
      <c r="H171" s="4"/>
      <c r="I171" s="5">
        <v>724</v>
      </c>
      <c r="J171" s="4"/>
      <c r="K171" s="4" t="s">
        <v>292</v>
      </c>
      <c r="L171" s="4">
        <v>252697838</v>
      </c>
      <c r="M171" s="4"/>
      <c r="N171" s="2" t="str">
        <f>VLOOKUP(B171,歌单!B:C,2,0)</f>
        <v>周杰伦</v>
      </c>
      <c r="O171" s="2">
        <f t="shared" si="4"/>
        <v>0</v>
      </c>
      <c r="P171" t="str">
        <f>VLOOKUP(B171,歌单!B:C,1,0)</f>
        <v>大笨钟</v>
      </c>
    </row>
    <row r="172" spans="1:16" ht="15" hidden="1" customHeight="1">
      <c r="A172" s="4" t="s">
        <v>762</v>
      </c>
      <c r="B172" s="4" t="s">
        <v>763</v>
      </c>
      <c r="C172" s="4" t="s">
        <v>21</v>
      </c>
      <c r="D172" s="18"/>
      <c r="E172" s="18">
        <v>0</v>
      </c>
      <c r="F172" s="18">
        <v>0</v>
      </c>
      <c r="G172" s="4" t="s">
        <v>764</v>
      </c>
      <c r="H172" s="4" t="s">
        <v>765</v>
      </c>
      <c r="I172" s="5">
        <v>90</v>
      </c>
      <c r="J172" s="4"/>
      <c r="K172" s="4" t="s">
        <v>763</v>
      </c>
      <c r="L172" s="4">
        <v>9314230</v>
      </c>
      <c r="M172" s="4"/>
      <c r="N172" s="2" t="str">
        <f>VLOOKUP(B172,歌单!B:C,2,0)</f>
        <v>单依纯</v>
      </c>
      <c r="O172" s="2">
        <f t="shared" si="4"/>
        <v>0</v>
      </c>
      <c r="P172" t="str">
        <f>VLOOKUP(B172,歌单!B:C,1,0)</f>
        <v>喂</v>
      </c>
    </row>
    <row r="173" spans="1:16" ht="15" hidden="1" customHeight="1">
      <c r="A173" s="4" t="s">
        <v>766</v>
      </c>
      <c r="B173" s="4" t="s">
        <v>767</v>
      </c>
      <c r="C173" s="4" t="s">
        <v>660</v>
      </c>
      <c r="D173" s="18"/>
      <c r="E173" s="18">
        <v>0</v>
      </c>
      <c r="F173" s="18">
        <v>0</v>
      </c>
      <c r="G173" s="4" t="s">
        <v>768</v>
      </c>
      <c r="H173" s="4" t="s">
        <v>769</v>
      </c>
      <c r="I173" s="5">
        <v>421</v>
      </c>
      <c r="J173" s="4"/>
      <c r="K173" s="4" t="s">
        <v>770</v>
      </c>
      <c r="L173" s="4">
        <v>159595948</v>
      </c>
      <c r="M173" s="4"/>
      <c r="N173" s="2" t="str">
        <f>VLOOKUP(B173,歌单!B:C,2,0)</f>
        <v>张信哲</v>
      </c>
      <c r="O173" s="2">
        <f t="shared" si="4"/>
        <v>0</v>
      </c>
      <c r="P173" t="str">
        <f>VLOOKUP(B173,歌单!B:C,1,0)</f>
        <v>爱如潮水</v>
      </c>
    </row>
    <row r="174" spans="1:16" ht="15" hidden="1" customHeight="1">
      <c r="A174" s="4" t="s">
        <v>771</v>
      </c>
      <c r="B174" s="4" t="s">
        <v>772</v>
      </c>
      <c r="C174" s="4" t="s">
        <v>119</v>
      </c>
      <c r="D174" s="18"/>
      <c r="E174" s="18">
        <v>371028</v>
      </c>
      <c r="F174" s="18">
        <v>46827</v>
      </c>
      <c r="G174" s="4" t="s">
        <v>773</v>
      </c>
      <c r="H174" s="4"/>
      <c r="I174" s="5">
        <v>6426</v>
      </c>
      <c r="J174" s="4"/>
      <c r="K174" s="4" t="s">
        <v>772</v>
      </c>
      <c r="L174" s="4">
        <v>127070294</v>
      </c>
      <c r="M174" s="4" t="s">
        <v>704</v>
      </c>
      <c r="N174" s="2" t="str">
        <f>VLOOKUP(B174,歌单!B:C,2,0)</f>
        <v>HOYO-MIX</v>
      </c>
      <c r="O174" s="2">
        <f t="shared" si="4"/>
        <v>0</v>
      </c>
      <c r="P174" t="str">
        <f>VLOOKUP(B174,歌单!B:C,1,0)</f>
        <v>Da Capo</v>
      </c>
    </row>
    <row r="175" spans="1:16" ht="15" hidden="1" customHeight="1">
      <c r="A175" s="4" t="s">
        <v>774</v>
      </c>
      <c r="B175" s="4" t="s">
        <v>775</v>
      </c>
      <c r="C175" s="4" t="s">
        <v>776</v>
      </c>
      <c r="D175" s="18"/>
      <c r="E175" s="18">
        <v>0</v>
      </c>
      <c r="F175" s="18">
        <v>0</v>
      </c>
      <c r="G175" s="4" t="s">
        <v>777</v>
      </c>
      <c r="H175" s="4" t="s">
        <v>778</v>
      </c>
      <c r="I175" s="5">
        <v>227</v>
      </c>
      <c r="J175" s="4" t="s">
        <v>779</v>
      </c>
      <c r="K175" s="4" t="s">
        <v>775</v>
      </c>
      <c r="L175" s="4">
        <v>55474043</v>
      </c>
      <c r="M175" s="4"/>
      <c r="N175" s="2" t="str">
        <f>VLOOKUP(B175,歌单!B:C,2,0)</f>
        <v>张靓颖</v>
      </c>
      <c r="O175" s="2">
        <f t="shared" si="4"/>
        <v>0</v>
      </c>
      <c r="P175" t="str">
        <f>VLOOKUP(B175,歌单!B:C,1,0)</f>
        <v>我的梦</v>
      </c>
    </row>
    <row r="176" spans="1:16" ht="15" hidden="1" customHeight="1">
      <c r="A176" s="4" t="s">
        <v>780</v>
      </c>
      <c r="B176" s="4" t="s">
        <v>781</v>
      </c>
      <c r="C176" s="4" t="s">
        <v>782</v>
      </c>
      <c r="D176" s="18"/>
      <c r="E176" s="18">
        <v>0</v>
      </c>
      <c r="F176" s="18">
        <v>0</v>
      </c>
      <c r="G176" s="4" t="s">
        <v>783</v>
      </c>
      <c r="H176" s="4" t="s">
        <v>784</v>
      </c>
      <c r="I176" s="5">
        <v>668</v>
      </c>
      <c r="J176" s="4"/>
      <c r="K176" s="4" t="s">
        <v>781</v>
      </c>
      <c r="L176" s="4">
        <v>101119426</v>
      </c>
      <c r="M176" s="4"/>
      <c r="N176" s="2" t="str">
        <f>VLOOKUP(B176,歌单!B:C,2,0)</f>
        <v>容祖儿</v>
      </c>
      <c r="O176" s="2">
        <f t="shared" si="4"/>
        <v>0</v>
      </c>
      <c r="P176" t="str">
        <f>VLOOKUP(B176,歌单!B:C,1,0)</f>
        <v>小小</v>
      </c>
    </row>
    <row r="177" spans="1:17" ht="15" hidden="1" customHeight="1">
      <c r="A177" s="4" t="s">
        <v>785</v>
      </c>
      <c r="B177" s="4" t="s">
        <v>786</v>
      </c>
      <c r="C177" s="4" t="s">
        <v>679</v>
      </c>
      <c r="D177" s="18"/>
      <c r="E177" s="18">
        <v>0</v>
      </c>
      <c r="F177" s="18">
        <v>0</v>
      </c>
      <c r="G177" s="4" t="s">
        <v>787</v>
      </c>
      <c r="H177" s="4" t="s">
        <v>788</v>
      </c>
      <c r="I177" s="5">
        <v>1583</v>
      </c>
      <c r="J177" s="4"/>
      <c r="K177" s="4" t="s">
        <v>789</v>
      </c>
      <c r="L177" s="4">
        <v>140930479</v>
      </c>
      <c r="M177" s="4"/>
      <c r="N177" s="2" t="e">
        <f>VLOOKUP(B177,歌单!B:C,2,0)</f>
        <v>#N/A</v>
      </c>
      <c r="O177" s="2">
        <f t="shared" si="4"/>
        <v>1</v>
      </c>
      <c r="P177" t="e">
        <f>VLOOKUP(B177,歌单!B:C,1,0)</f>
        <v>#N/A</v>
      </c>
    </row>
    <row r="178" spans="1:17" ht="15" hidden="1" customHeight="1">
      <c r="A178" s="32" t="s">
        <v>790</v>
      </c>
      <c r="B178" s="4" t="s">
        <v>791</v>
      </c>
      <c r="C178" s="4" t="s">
        <v>792</v>
      </c>
      <c r="D178" s="18"/>
      <c r="E178" s="18">
        <v>0</v>
      </c>
      <c r="F178" s="18">
        <v>0</v>
      </c>
      <c r="G178" s="4" t="s">
        <v>793</v>
      </c>
      <c r="H178" s="4" t="s">
        <v>794</v>
      </c>
      <c r="I178" s="5">
        <v>411</v>
      </c>
      <c r="J178" s="4" t="s">
        <v>795</v>
      </c>
      <c r="K178" s="4" t="s">
        <v>796</v>
      </c>
      <c r="L178" s="4">
        <v>32102012</v>
      </c>
      <c r="M178" s="4"/>
      <c r="N178" s="28" t="str">
        <f>VLOOKUP(B178,歌单!B:C,2,0)</f>
        <v>袁娅维</v>
      </c>
      <c r="O178" s="2">
        <f t="shared" si="4"/>
        <v>1</v>
      </c>
      <c r="P178" t="str">
        <f>VLOOKUP(B178,歌单!B:C,1,0)</f>
        <v>问情</v>
      </c>
    </row>
    <row r="179" spans="1:17" ht="15" hidden="1" customHeight="1">
      <c r="A179" s="32" t="s">
        <v>797</v>
      </c>
      <c r="B179" s="4" t="s">
        <v>798</v>
      </c>
      <c r="C179" s="4" t="s">
        <v>799</v>
      </c>
      <c r="D179" s="18"/>
      <c r="E179" s="18">
        <v>0</v>
      </c>
      <c r="F179" s="18">
        <v>0</v>
      </c>
      <c r="G179" s="4" t="s">
        <v>800</v>
      </c>
      <c r="H179" s="4" t="s">
        <v>801</v>
      </c>
      <c r="I179" s="5">
        <v>850</v>
      </c>
      <c r="J179" s="4"/>
      <c r="K179" s="4" t="s">
        <v>798</v>
      </c>
      <c r="L179" s="4">
        <v>168699816</v>
      </c>
      <c r="M179" s="4"/>
      <c r="N179" s="28" t="str">
        <f>VLOOKUP(B179,歌单!B:C,2,0)</f>
        <v>潘虹</v>
      </c>
      <c r="O179" s="2">
        <f t="shared" si="4"/>
        <v>1</v>
      </c>
      <c r="P179" t="str">
        <f>VLOOKUP(B179,歌单!B:C,1,0)</f>
        <v>让她降落</v>
      </c>
    </row>
    <row r="180" spans="1:17" ht="15" hidden="1" customHeight="1">
      <c r="A180" s="4" t="s">
        <v>802</v>
      </c>
      <c r="B180" s="4" t="s">
        <v>803</v>
      </c>
      <c r="C180" s="4" t="s">
        <v>804</v>
      </c>
      <c r="D180" s="18"/>
      <c r="E180" s="18">
        <v>0</v>
      </c>
      <c r="F180" s="18">
        <v>0</v>
      </c>
      <c r="G180" s="4" t="s">
        <v>805</v>
      </c>
      <c r="H180" s="4" t="s">
        <v>806</v>
      </c>
      <c r="I180" s="5">
        <v>46</v>
      </c>
      <c r="J180" s="4" t="s">
        <v>803</v>
      </c>
      <c r="K180" s="4" t="s">
        <v>804</v>
      </c>
      <c r="L180" s="4">
        <v>11174372</v>
      </c>
      <c r="M180" s="4"/>
      <c r="N180" s="2" t="e">
        <f>VLOOKUP(B180,歌单!B:C,2,0)</f>
        <v>#N/A</v>
      </c>
      <c r="O180" s="2">
        <f t="shared" si="4"/>
        <v>1</v>
      </c>
      <c r="P180" t="e">
        <f>VLOOKUP(B180,歌单!B:C,1,0)</f>
        <v>#N/A</v>
      </c>
    </row>
    <row r="181" spans="1:17" ht="15" hidden="1" customHeight="1">
      <c r="A181" s="4" t="s">
        <v>807</v>
      </c>
      <c r="B181" s="4" t="s">
        <v>808</v>
      </c>
      <c r="C181" s="4" t="s">
        <v>154</v>
      </c>
      <c r="D181" s="18"/>
      <c r="E181" s="18">
        <v>0</v>
      </c>
      <c r="F181" s="18">
        <v>0</v>
      </c>
      <c r="G181" s="4" t="s">
        <v>809</v>
      </c>
      <c r="H181" s="4" t="s">
        <v>810</v>
      </c>
      <c r="I181" s="5">
        <v>529</v>
      </c>
      <c r="J181" s="4"/>
      <c r="K181" s="4" t="s">
        <v>257</v>
      </c>
      <c r="L181" s="4">
        <v>224985389</v>
      </c>
      <c r="M181" s="4"/>
      <c r="N181" s="2" t="e">
        <f>VLOOKUP(B181,歌单!B:C,2,0)</f>
        <v>#N/A</v>
      </c>
      <c r="O181" s="2">
        <f t="shared" si="4"/>
        <v>1</v>
      </c>
      <c r="P181" t="e">
        <f>VLOOKUP(B181,歌单!B:C,1,0)</f>
        <v>#N/A</v>
      </c>
    </row>
    <row r="182" spans="1:17" ht="15" hidden="1" customHeight="1">
      <c r="A182" s="4" t="s">
        <v>811</v>
      </c>
      <c r="B182" s="4" t="s">
        <v>812</v>
      </c>
      <c r="C182" s="4" t="s">
        <v>131</v>
      </c>
      <c r="D182" s="18"/>
      <c r="E182" s="18">
        <v>0</v>
      </c>
      <c r="F182" s="18">
        <v>0</v>
      </c>
      <c r="G182" s="4" t="s">
        <v>813</v>
      </c>
      <c r="H182" s="4"/>
      <c r="I182" s="5">
        <v>14</v>
      </c>
      <c r="J182" s="4"/>
      <c r="K182" s="4" t="s">
        <v>814</v>
      </c>
      <c r="L182" s="4">
        <v>3649724</v>
      </c>
      <c r="M182" s="4"/>
      <c r="N182" s="2" t="e">
        <f>VLOOKUP(B182,歌单!B:C,2,0)</f>
        <v>#N/A</v>
      </c>
      <c r="O182" s="2">
        <f t="shared" si="4"/>
        <v>1</v>
      </c>
      <c r="P182" t="e">
        <f>VLOOKUP(B182,歌单!B:C,1,0)</f>
        <v>#N/A</v>
      </c>
    </row>
    <row r="183" spans="1:17" ht="15" hidden="1" customHeight="1">
      <c r="A183" s="4" t="s">
        <v>815</v>
      </c>
      <c r="B183" s="4" t="s">
        <v>816</v>
      </c>
      <c r="C183" s="4" t="s">
        <v>154</v>
      </c>
      <c r="D183" s="18"/>
      <c r="E183" s="18">
        <v>0</v>
      </c>
      <c r="F183" s="18">
        <v>0</v>
      </c>
      <c r="G183" s="4" t="s">
        <v>817</v>
      </c>
      <c r="H183" s="4" t="s">
        <v>818</v>
      </c>
      <c r="I183" s="5">
        <v>1670</v>
      </c>
      <c r="J183" s="4"/>
      <c r="K183" s="4" t="s">
        <v>257</v>
      </c>
      <c r="L183" s="4">
        <v>374265212</v>
      </c>
      <c r="M183" s="4"/>
      <c r="N183" s="2" t="str">
        <f>VLOOKUP(B183,歌单!B:C,2,0)</f>
        <v>周杰伦</v>
      </c>
      <c r="O183" s="2">
        <f t="shared" si="4"/>
        <v>0</v>
      </c>
      <c r="P183" t="str">
        <f>VLOOKUP(B183,歌单!B:C,1,0)</f>
        <v>开不了口</v>
      </c>
    </row>
    <row r="184" spans="1:17" ht="15" hidden="1" customHeight="1">
      <c r="A184" s="4" t="s">
        <v>819</v>
      </c>
      <c r="B184" s="4" t="s">
        <v>820</v>
      </c>
      <c r="C184" s="4" t="s">
        <v>821</v>
      </c>
      <c r="D184" s="18"/>
      <c r="E184" s="18">
        <v>0</v>
      </c>
      <c r="F184" s="18">
        <v>0</v>
      </c>
      <c r="G184" s="4" t="s">
        <v>822</v>
      </c>
      <c r="H184" s="4" t="s">
        <v>823</v>
      </c>
      <c r="I184" s="5">
        <v>3108</v>
      </c>
      <c r="J184" s="4" t="s">
        <v>824</v>
      </c>
      <c r="K184" s="4" t="s">
        <v>825</v>
      </c>
      <c r="L184" s="4">
        <v>860841206</v>
      </c>
      <c r="M184" s="4" t="s">
        <v>826</v>
      </c>
      <c r="N184" s="2" t="str">
        <f>VLOOKUP(B184,歌单!B:C,2,0)</f>
        <v>邓紫棋</v>
      </c>
      <c r="O184" s="2">
        <f t="shared" si="4"/>
        <v>0</v>
      </c>
      <c r="P184" t="str">
        <f>VLOOKUP(B184,歌单!B:C,1,0)</f>
        <v>桃花诺</v>
      </c>
      <c r="Q184">
        <f t="shared" ref="Q184:Q186" si="6">IFERROR(SEARCH(N184,C184),0)</f>
        <v>7</v>
      </c>
    </row>
    <row r="185" spans="1:17" ht="15" hidden="1" customHeight="1">
      <c r="A185" s="32" t="s">
        <v>827</v>
      </c>
      <c r="B185" s="4" t="s">
        <v>828</v>
      </c>
      <c r="C185" s="4" t="s">
        <v>829</v>
      </c>
      <c r="D185" s="18"/>
      <c r="E185" s="18">
        <v>0</v>
      </c>
      <c r="F185" s="18">
        <v>0</v>
      </c>
      <c r="G185" s="4" t="s">
        <v>830</v>
      </c>
      <c r="H185" s="4" t="s">
        <v>831</v>
      </c>
      <c r="I185" s="5">
        <v>41</v>
      </c>
      <c r="J185" s="4"/>
      <c r="K185" s="4" t="s">
        <v>832</v>
      </c>
      <c r="L185" s="4">
        <v>29260153</v>
      </c>
      <c r="M185" s="4"/>
      <c r="N185" s="31" t="s">
        <v>7401</v>
      </c>
      <c r="O185" s="2">
        <f t="shared" si="4"/>
        <v>1</v>
      </c>
      <c r="P185" t="str">
        <f>VLOOKUP(B185,歌单!B:C,1,0)</f>
        <v>离不开你</v>
      </c>
    </row>
    <row r="186" spans="1:17" ht="15" hidden="1" customHeight="1">
      <c r="A186" s="4" t="s">
        <v>833</v>
      </c>
      <c r="B186" s="4" t="s">
        <v>834</v>
      </c>
      <c r="C186" s="4" t="s">
        <v>835</v>
      </c>
      <c r="D186" s="18"/>
      <c r="E186" s="18">
        <v>0</v>
      </c>
      <c r="F186" s="18">
        <v>0</v>
      </c>
      <c r="G186" s="4" t="s">
        <v>836</v>
      </c>
      <c r="H186" s="4" t="s">
        <v>837</v>
      </c>
      <c r="I186" s="5">
        <v>766</v>
      </c>
      <c r="J186" s="4"/>
      <c r="K186" s="4" t="s">
        <v>834</v>
      </c>
      <c r="L186" s="4">
        <v>198812540</v>
      </c>
      <c r="M186" s="4"/>
      <c r="N186" s="2" t="str">
        <f>VLOOKUP(B186,歌单!B:C,2,0)</f>
        <v>银临</v>
      </c>
      <c r="O186" s="2">
        <f t="shared" si="4"/>
        <v>0</v>
      </c>
      <c r="P186" t="str">
        <f>VLOOKUP(B186,歌单!B:C,1,0)</f>
        <v>锦鲤抄</v>
      </c>
      <c r="Q186">
        <f t="shared" si="6"/>
        <v>1</v>
      </c>
    </row>
    <row r="187" spans="1:17" ht="15" hidden="1" customHeight="1">
      <c r="A187" s="4" t="s">
        <v>838</v>
      </c>
      <c r="B187" s="4" t="s">
        <v>640</v>
      </c>
      <c r="C187" s="4" t="s">
        <v>154</v>
      </c>
      <c r="D187" s="18"/>
      <c r="E187" s="18">
        <v>6714</v>
      </c>
      <c r="F187" s="18">
        <v>200</v>
      </c>
      <c r="G187" s="4" t="s">
        <v>839</v>
      </c>
      <c r="H187" s="4"/>
      <c r="I187" s="5">
        <v>13878</v>
      </c>
      <c r="J187" s="4"/>
      <c r="K187" s="4" t="s">
        <v>640</v>
      </c>
      <c r="L187" s="4">
        <v>1124988076</v>
      </c>
      <c r="M187" s="4" t="s">
        <v>431</v>
      </c>
      <c r="N187" s="2" t="str">
        <f>VLOOKUP(B187,歌单!B:C,2,0)</f>
        <v>周杰伦</v>
      </c>
      <c r="O187" s="2">
        <f t="shared" si="4"/>
        <v>0</v>
      </c>
      <c r="P187" t="str">
        <f>VLOOKUP(B187,歌单!B:C,1,0)</f>
        <v>七里香</v>
      </c>
    </row>
    <row r="188" spans="1:17" ht="15" hidden="1" customHeight="1">
      <c r="A188" s="4" t="s">
        <v>840</v>
      </c>
      <c r="B188" s="4" t="s">
        <v>841</v>
      </c>
      <c r="C188" s="4" t="s">
        <v>333</v>
      </c>
      <c r="D188" s="18"/>
      <c r="E188" s="18">
        <v>0</v>
      </c>
      <c r="F188" s="18">
        <v>0</v>
      </c>
      <c r="G188" s="4" t="s">
        <v>842</v>
      </c>
      <c r="H188" s="4" t="s">
        <v>843</v>
      </c>
      <c r="I188" s="5">
        <v>10</v>
      </c>
      <c r="J188" s="4"/>
      <c r="K188" s="4" t="s">
        <v>844</v>
      </c>
      <c r="L188" s="4">
        <v>13953335</v>
      </c>
      <c r="M188" s="4"/>
      <c r="N188" s="2" t="str">
        <f>VLOOKUP(B188,歌单!B:C,2,0)</f>
        <v>常思思</v>
      </c>
      <c r="O188" s="2">
        <f t="shared" si="4"/>
        <v>0</v>
      </c>
      <c r="P188" t="str">
        <f>VLOOKUP(B188,歌单!B:C,1,0)</f>
        <v>炫境</v>
      </c>
    </row>
    <row r="189" spans="1:17" ht="15" hidden="1" customHeight="1">
      <c r="A189" s="4" t="s">
        <v>845</v>
      </c>
      <c r="B189" s="4" t="s">
        <v>846</v>
      </c>
      <c r="C189" s="4" t="s">
        <v>847</v>
      </c>
      <c r="D189" s="18"/>
      <c r="E189" s="18">
        <v>0</v>
      </c>
      <c r="F189" s="18">
        <v>0</v>
      </c>
      <c r="G189" s="4" t="s">
        <v>848</v>
      </c>
      <c r="H189" s="4" t="s">
        <v>849</v>
      </c>
      <c r="I189" s="5">
        <v>1334</v>
      </c>
      <c r="J189" s="4" t="s">
        <v>850</v>
      </c>
      <c r="K189" s="4" t="s">
        <v>851</v>
      </c>
      <c r="L189" s="4">
        <v>594956132</v>
      </c>
      <c r="M189" s="4" t="s">
        <v>852</v>
      </c>
      <c r="N189" s="2" t="str">
        <f>VLOOKUP(B189,歌单!B:C,2,0)</f>
        <v>萨顶顶</v>
      </c>
      <c r="O189" s="2">
        <f t="shared" si="4"/>
        <v>0</v>
      </c>
      <c r="P189" t="str">
        <f>VLOOKUP(B189,歌单!B:C,1,0)</f>
        <v>左手指月</v>
      </c>
    </row>
    <row r="190" spans="1:17" ht="15" hidden="1" customHeight="1">
      <c r="A190" s="32" t="s">
        <v>853</v>
      </c>
      <c r="B190" s="4" t="s">
        <v>854</v>
      </c>
      <c r="C190" s="4" t="s">
        <v>146</v>
      </c>
      <c r="D190" s="18"/>
      <c r="E190" s="18">
        <v>0</v>
      </c>
      <c r="F190" s="18">
        <v>0</v>
      </c>
      <c r="G190" s="4" t="s">
        <v>855</v>
      </c>
      <c r="H190" s="4" t="s">
        <v>856</v>
      </c>
      <c r="I190" s="5">
        <v>357</v>
      </c>
      <c r="J190" s="4" t="s">
        <v>857</v>
      </c>
      <c r="K190" s="4" t="s">
        <v>858</v>
      </c>
      <c r="L190" s="4">
        <v>173322581</v>
      </c>
      <c r="M190" s="4"/>
      <c r="N190" s="28" t="str">
        <f>VLOOKUP(B190,歌单!B:C,2,0)</f>
        <v>胡莎莎</v>
      </c>
      <c r="O190" s="2">
        <f t="shared" si="4"/>
        <v>1</v>
      </c>
      <c r="P190" t="str">
        <f>VLOOKUP(B190,歌单!B:C,1,0)</f>
        <v>九儿</v>
      </c>
    </row>
    <row r="191" spans="1:17" ht="15" hidden="1" customHeight="1">
      <c r="A191" s="4" t="s">
        <v>859</v>
      </c>
      <c r="B191" s="4" t="s">
        <v>860</v>
      </c>
      <c r="C191" s="4" t="s">
        <v>333</v>
      </c>
      <c r="D191" s="18"/>
      <c r="E191" s="18">
        <v>0</v>
      </c>
      <c r="F191" s="18">
        <v>0</v>
      </c>
      <c r="G191" s="4" t="s">
        <v>861</v>
      </c>
      <c r="H191" s="4" t="s">
        <v>862</v>
      </c>
      <c r="I191" s="5">
        <v>1</v>
      </c>
      <c r="J191" s="4"/>
      <c r="K191" s="4" t="s">
        <v>863</v>
      </c>
      <c r="L191" s="4">
        <v>1335190</v>
      </c>
      <c r="M191" s="4"/>
      <c r="N191" s="2" t="str">
        <f>VLOOKUP(B191,歌单!B:C,2,0)</f>
        <v>常思思</v>
      </c>
      <c r="O191" s="2">
        <f t="shared" si="4"/>
        <v>0</v>
      </c>
      <c r="P191" t="str">
        <f>VLOOKUP(B191,歌单!B:C,1,0)</f>
        <v>秋水长天</v>
      </c>
    </row>
    <row r="192" spans="1:17" ht="15" hidden="1" customHeight="1">
      <c r="A192" s="4" t="s">
        <v>864</v>
      </c>
      <c r="B192" s="4" t="s">
        <v>568</v>
      </c>
      <c r="C192" s="4" t="s">
        <v>865</v>
      </c>
      <c r="D192" s="18"/>
      <c r="E192" s="18">
        <v>0</v>
      </c>
      <c r="F192" s="18">
        <v>0</v>
      </c>
      <c r="G192" s="4" t="s">
        <v>866</v>
      </c>
      <c r="H192" s="4" t="s">
        <v>867</v>
      </c>
      <c r="I192" s="5">
        <v>6745</v>
      </c>
      <c r="J192" s="4"/>
      <c r="K192" s="4" t="s">
        <v>568</v>
      </c>
      <c r="L192" s="4">
        <v>215251902</v>
      </c>
      <c r="M192" s="4" t="s">
        <v>704</v>
      </c>
      <c r="N192" s="2" t="str">
        <f>VLOOKUP(B192,歌单!B:C,2,0)</f>
        <v>李荣浩</v>
      </c>
      <c r="O192" s="2">
        <f t="shared" si="4"/>
        <v>0</v>
      </c>
      <c r="P192" t="str">
        <f>VLOOKUP(B192,歌单!B:C,1,0)</f>
        <v>乌梅子酱</v>
      </c>
    </row>
    <row r="193" spans="1:16" ht="15" hidden="1" customHeight="1">
      <c r="A193" s="4" t="s">
        <v>868</v>
      </c>
      <c r="B193" s="4" t="s">
        <v>869</v>
      </c>
      <c r="C193" s="4" t="s">
        <v>154</v>
      </c>
      <c r="D193" s="18"/>
      <c r="E193" s="18">
        <v>0</v>
      </c>
      <c r="F193" s="18">
        <v>0</v>
      </c>
      <c r="G193" s="4" t="s">
        <v>870</v>
      </c>
      <c r="H193" s="4"/>
      <c r="I193" s="5">
        <v>9226</v>
      </c>
      <c r="J193" s="4"/>
      <c r="K193" s="4" t="s">
        <v>378</v>
      </c>
      <c r="L193" s="4">
        <v>1341173223</v>
      </c>
      <c r="M193" s="4" t="s">
        <v>322</v>
      </c>
      <c r="N193" s="2" t="str">
        <f>VLOOKUP(B193,歌单!B:C,2,0)</f>
        <v>周杰伦</v>
      </c>
      <c r="O193" s="2">
        <f t="shared" si="4"/>
        <v>0</v>
      </c>
      <c r="P193" t="str">
        <f>VLOOKUP(B193,歌单!B:C,1,0)</f>
        <v>青花瓷</v>
      </c>
    </row>
    <row r="194" spans="1:16" ht="15" hidden="1" customHeight="1">
      <c r="A194" s="4" t="s">
        <v>871</v>
      </c>
      <c r="B194" s="4" t="s">
        <v>872</v>
      </c>
      <c r="C194" s="4" t="s">
        <v>27</v>
      </c>
      <c r="D194" s="18"/>
      <c r="E194" s="18">
        <v>0</v>
      </c>
      <c r="F194" s="18">
        <v>0</v>
      </c>
      <c r="G194" s="4" t="s">
        <v>873</v>
      </c>
      <c r="H194" s="4" t="s">
        <v>874</v>
      </c>
      <c r="I194" s="5">
        <v>1830</v>
      </c>
      <c r="J194" s="4"/>
      <c r="K194" s="4" t="s">
        <v>533</v>
      </c>
      <c r="L194" s="4">
        <v>312017425</v>
      </c>
      <c r="M194" s="4"/>
      <c r="N194" s="2" t="str">
        <f>VLOOKUP(B194,歌单!B:C,2,0)</f>
        <v>徐佳莹</v>
      </c>
      <c r="O194" s="2">
        <f t="shared" si="4"/>
        <v>0</v>
      </c>
      <c r="P194" t="str">
        <f>VLOOKUP(B194,歌单!B:C,1,0)</f>
        <v>一样的月光</v>
      </c>
    </row>
    <row r="195" spans="1:16" ht="15" hidden="1" customHeight="1">
      <c r="A195" s="32" t="s">
        <v>875</v>
      </c>
      <c r="B195" s="4" t="s">
        <v>791</v>
      </c>
      <c r="C195" s="4" t="s">
        <v>792</v>
      </c>
      <c r="D195" s="18"/>
      <c r="E195" s="18">
        <v>0</v>
      </c>
      <c r="F195" s="18">
        <v>0</v>
      </c>
      <c r="G195" s="4" t="s">
        <v>876</v>
      </c>
      <c r="H195" s="4" t="s">
        <v>877</v>
      </c>
      <c r="I195" s="5">
        <v>0</v>
      </c>
      <c r="J195" s="4"/>
      <c r="K195" s="4" t="s">
        <v>791</v>
      </c>
      <c r="L195" s="4">
        <v>631131</v>
      </c>
      <c r="M195" s="4"/>
      <c r="N195" s="28" t="str">
        <f>VLOOKUP(B195,歌单!B:C,2,0)</f>
        <v>袁娅维</v>
      </c>
      <c r="O195" s="2">
        <f t="shared" ref="O195:O258" si="7">_xlfn.IFNA(IF(IFERROR(SEARCH(N195,C195),0)&gt;0,0,1),0)</f>
        <v>1</v>
      </c>
      <c r="P195" t="str">
        <f>VLOOKUP(B195,歌单!B:C,1,0)</f>
        <v>问情</v>
      </c>
    </row>
    <row r="196" spans="1:16" ht="15" hidden="1" customHeight="1">
      <c r="A196" s="4" t="s">
        <v>878</v>
      </c>
      <c r="B196" s="4" t="s">
        <v>879</v>
      </c>
      <c r="C196" s="4" t="s">
        <v>154</v>
      </c>
      <c r="D196" s="18"/>
      <c r="E196" s="18">
        <v>0</v>
      </c>
      <c r="F196" s="18">
        <v>0</v>
      </c>
      <c r="G196" s="4" t="s">
        <v>880</v>
      </c>
      <c r="H196" s="4" t="s">
        <v>881</v>
      </c>
      <c r="I196" s="5">
        <v>5236</v>
      </c>
      <c r="J196" s="4"/>
      <c r="K196" s="4" t="s">
        <v>262</v>
      </c>
      <c r="L196" s="4">
        <v>561545897</v>
      </c>
      <c r="M196" s="4"/>
      <c r="N196" s="2" t="str">
        <f>VLOOKUP(B196,歌单!B:C,2,0)</f>
        <v>周杰伦</v>
      </c>
      <c r="O196" s="2">
        <f t="shared" si="7"/>
        <v>0</v>
      </c>
      <c r="P196" t="str">
        <f>VLOOKUP(B196,歌单!B:C,1,0)</f>
        <v>发如雪</v>
      </c>
    </row>
    <row r="197" spans="1:16" ht="15" hidden="1" customHeight="1">
      <c r="A197" s="4" t="s">
        <v>882</v>
      </c>
      <c r="B197" s="4" t="s">
        <v>883</v>
      </c>
      <c r="C197" s="4" t="s">
        <v>884</v>
      </c>
      <c r="D197" s="18"/>
      <c r="E197" s="18">
        <v>0</v>
      </c>
      <c r="F197" s="18">
        <v>0</v>
      </c>
      <c r="G197" s="4" t="s">
        <v>885</v>
      </c>
      <c r="H197" s="4" t="s">
        <v>886</v>
      </c>
      <c r="I197" s="5">
        <v>1078</v>
      </c>
      <c r="J197" s="4"/>
      <c r="K197" s="4" t="s">
        <v>887</v>
      </c>
      <c r="L197" s="4">
        <v>152298390</v>
      </c>
      <c r="M197" s="4"/>
      <c r="N197" s="2" t="str">
        <f>VLOOKUP(B197,歌单!B:C,2,0)</f>
        <v>王心凌</v>
      </c>
      <c r="O197" s="2">
        <f t="shared" si="7"/>
        <v>0</v>
      </c>
      <c r="P197" t="str">
        <f>VLOOKUP(B197,歌单!B:C,1,0)</f>
        <v>大眠</v>
      </c>
    </row>
    <row r="198" spans="1:16" ht="15" hidden="1" customHeight="1">
      <c r="A198" s="4" t="s">
        <v>888</v>
      </c>
      <c r="B198" s="4" t="s">
        <v>889</v>
      </c>
      <c r="C198" s="4" t="s">
        <v>890</v>
      </c>
      <c r="D198" s="18"/>
      <c r="E198" s="18">
        <v>0</v>
      </c>
      <c r="F198" s="18">
        <v>0</v>
      </c>
      <c r="G198" s="4" t="s">
        <v>891</v>
      </c>
      <c r="H198" s="4" t="s">
        <v>892</v>
      </c>
      <c r="I198" s="5">
        <v>5373</v>
      </c>
      <c r="J198" s="4"/>
      <c r="K198" s="4" t="s">
        <v>889</v>
      </c>
      <c r="L198" s="4">
        <v>1130927274</v>
      </c>
      <c r="M198" s="4"/>
      <c r="N198" s="2" t="str">
        <f>VLOOKUP(B198,歌单!B:C,2,0)</f>
        <v>银临</v>
      </c>
      <c r="O198" s="2">
        <f t="shared" si="7"/>
        <v>0</v>
      </c>
      <c r="P198" t="str">
        <f>VLOOKUP(B198,歌单!B:C,1,0)</f>
        <v>牵丝戏</v>
      </c>
    </row>
    <row r="199" spans="1:16" ht="15" hidden="1" customHeight="1">
      <c r="A199" s="4" t="s">
        <v>893</v>
      </c>
      <c r="B199" s="4" t="s">
        <v>894</v>
      </c>
      <c r="C199" s="4" t="s">
        <v>42</v>
      </c>
      <c r="D199" s="18"/>
      <c r="E199" s="18">
        <v>0</v>
      </c>
      <c r="F199" s="18">
        <v>0</v>
      </c>
      <c r="G199" s="4" t="s">
        <v>895</v>
      </c>
      <c r="H199" s="4" t="s">
        <v>896</v>
      </c>
      <c r="I199" s="5">
        <v>3174</v>
      </c>
      <c r="J199" s="4" t="s">
        <v>897</v>
      </c>
      <c r="K199" s="4" t="s">
        <v>894</v>
      </c>
      <c r="L199" s="4">
        <v>152096732</v>
      </c>
      <c r="M199" s="4"/>
      <c r="N199" s="2" t="str">
        <f>VLOOKUP(B199,歌单!B:C,2,0)</f>
        <v>黄龄</v>
      </c>
      <c r="O199" s="2">
        <f t="shared" si="7"/>
        <v>0</v>
      </c>
      <c r="P199" t="str">
        <f>VLOOKUP(B199,歌单!B:C,1,0)</f>
        <v>星河叹</v>
      </c>
    </row>
    <row r="200" spans="1:16" ht="15" hidden="1" customHeight="1">
      <c r="A200" s="4" t="s">
        <v>898</v>
      </c>
      <c r="B200" s="4" t="s">
        <v>899</v>
      </c>
      <c r="C200" s="4" t="s">
        <v>580</v>
      </c>
      <c r="D200" s="18"/>
      <c r="E200" s="18">
        <v>0</v>
      </c>
      <c r="F200" s="18">
        <v>0</v>
      </c>
      <c r="G200" s="4" t="s">
        <v>900</v>
      </c>
      <c r="H200" s="4" t="s">
        <v>901</v>
      </c>
      <c r="I200" s="5">
        <v>8</v>
      </c>
      <c r="J200" s="4"/>
      <c r="K200" s="4" t="s">
        <v>902</v>
      </c>
      <c r="L200" s="4">
        <v>3422991</v>
      </c>
      <c r="M200" s="4"/>
      <c r="N200" s="2" t="e">
        <f>VLOOKUP(B200,歌单!B:C,2,0)</f>
        <v>#N/A</v>
      </c>
      <c r="O200" s="2">
        <f t="shared" si="7"/>
        <v>1</v>
      </c>
      <c r="P200" t="e">
        <f>VLOOKUP(B200,歌单!B:C,1,0)</f>
        <v>#N/A</v>
      </c>
    </row>
    <row r="201" spans="1:16" ht="15" hidden="1" customHeight="1">
      <c r="A201" s="4" t="s">
        <v>903</v>
      </c>
      <c r="B201" s="4" t="s">
        <v>904</v>
      </c>
      <c r="C201" s="4" t="s">
        <v>154</v>
      </c>
      <c r="D201" s="18"/>
      <c r="E201" s="18">
        <v>0</v>
      </c>
      <c r="F201" s="18">
        <v>0</v>
      </c>
      <c r="G201" s="4" t="s">
        <v>905</v>
      </c>
      <c r="H201" s="4" t="s">
        <v>906</v>
      </c>
      <c r="I201" s="5">
        <v>2850</v>
      </c>
      <c r="J201" s="4" t="s">
        <v>904</v>
      </c>
      <c r="K201" s="4" t="s">
        <v>907</v>
      </c>
      <c r="L201" s="4">
        <v>416774055</v>
      </c>
      <c r="M201" s="4"/>
      <c r="N201" s="2" t="e">
        <f>VLOOKUP(B201,歌单!B:C,2,0)</f>
        <v>#N/A</v>
      </c>
      <c r="O201" s="2">
        <f t="shared" si="7"/>
        <v>1</v>
      </c>
      <c r="P201" t="e">
        <f>VLOOKUP(B201,歌单!B:C,1,0)</f>
        <v>#N/A</v>
      </c>
    </row>
    <row r="202" spans="1:16" ht="15" hidden="1" customHeight="1">
      <c r="A202" s="4" t="s">
        <v>908</v>
      </c>
      <c r="B202" s="4" t="s">
        <v>909</v>
      </c>
      <c r="C202" s="4" t="s">
        <v>910</v>
      </c>
      <c r="D202" s="18"/>
      <c r="E202" s="18">
        <v>36024</v>
      </c>
      <c r="F202" s="18">
        <v>5360</v>
      </c>
      <c r="G202" s="4" t="s">
        <v>911</v>
      </c>
      <c r="H202" s="4"/>
      <c r="I202" s="5">
        <v>1337</v>
      </c>
      <c r="J202" s="4"/>
      <c r="K202" s="4" t="s">
        <v>912</v>
      </c>
      <c r="L202" s="4">
        <v>106771637</v>
      </c>
      <c r="M202" s="4" t="s">
        <v>293</v>
      </c>
      <c r="N202" s="2" t="str">
        <f>VLOOKUP(B202,歌单!B:C,2,0)</f>
        <v>唐汉霄</v>
      </c>
      <c r="O202" s="2">
        <f t="shared" si="7"/>
        <v>0</v>
      </c>
      <c r="P202" t="str">
        <f>VLOOKUP(B202,歌单!B:C,1,0)</f>
        <v>再见深海</v>
      </c>
    </row>
    <row r="203" spans="1:16" ht="15" customHeight="1">
      <c r="A203" s="4" t="s">
        <v>913</v>
      </c>
      <c r="B203" s="4" t="s">
        <v>914</v>
      </c>
      <c r="C203" s="4" t="s">
        <v>915</v>
      </c>
      <c r="D203" s="18"/>
      <c r="E203" s="18">
        <v>0</v>
      </c>
      <c r="F203" s="18">
        <v>0</v>
      </c>
      <c r="G203" s="4" t="s">
        <v>916</v>
      </c>
      <c r="H203" s="4"/>
      <c r="I203" s="5">
        <v>1552</v>
      </c>
      <c r="J203" s="4"/>
      <c r="K203" s="4" t="s">
        <v>914</v>
      </c>
      <c r="L203" s="4">
        <v>219738813</v>
      </c>
      <c r="M203" s="4"/>
      <c r="N203" s="2">
        <f>VLOOKUP(B203,歌单!B:C,2,0)</f>
        <v>0</v>
      </c>
      <c r="O203" s="2">
        <f t="shared" si="7"/>
        <v>1</v>
      </c>
      <c r="P203" t="str">
        <f>VLOOKUP(B203,歌单!B:C,1,0)</f>
        <v>小城谣</v>
      </c>
    </row>
    <row r="204" spans="1:16" ht="15" hidden="1" customHeight="1">
      <c r="A204" s="4" t="s">
        <v>917</v>
      </c>
      <c r="B204" s="4" t="s">
        <v>918</v>
      </c>
      <c r="C204" s="4" t="s">
        <v>154</v>
      </c>
      <c r="D204" s="18"/>
      <c r="E204" s="18">
        <v>0</v>
      </c>
      <c r="F204" s="18">
        <v>0</v>
      </c>
      <c r="G204" s="4" t="s">
        <v>919</v>
      </c>
      <c r="H204" s="4"/>
      <c r="I204" s="5">
        <v>8346</v>
      </c>
      <c r="J204" s="4"/>
      <c r="K204" s="4" t="s">
        <v>920</v>
      </c>
      <c r="L204" s="4">
        <v>445692889</v>
      </c>
      <c r="M204" s="4"/>
      <c r="N204" s="2" t="str">
        <f>VLOOKUP(B204,歌单!B:C,2,0)</f>
        <v>周杰伦</v>
      </c>
      <c r="O204" s="2">
        <f t="shared" si="7"/>
        <v>0</v>
      </c>
      <c r="P204" t="str">
        <f>VLOOKUP(B204,歌单!B:C,1,0)</f>
        <v>暗号</v>
      </c>
    </row>
    <row r="205" spans="1:16" ht="15" hidden="1" customHeight="1">
      <c r="A205" s="4" t="s">
        <v>921</v>
      </c>
      <c r="B205" s="4" t="s">
        <v>922</v>
      </c>
      <c r="C205" s="4" t="s">
        <v>478</v>
      </c>
      <c r="D205" s="18"/>
      <c r="E205" s="18">
        <v>0</v>
      </c>
      <c r="F205" s="18">
        <v>0</v>
      </c>
      <c r="G205" s="4" t="s">
        <v>923</v>
      </c>
      <c r="H205" s="4" t="s">
        <v>924</v>
      </c>
      <c r="I205" s="5">
        <v>233</v>
      </c>
      <c r="J205" s="4"/>
      <c r="K205" s="4"/>
      <c r="L205" s="4">
        <v>131757764</v>
      </c>
      <c r="M205" s="4"/>
      <c r="N205" s="2" t="str">
        <f>VLOOKUP(B205,歌单!B:C,2,0)</f>
        <v>邓丽君</v>
      </c>
      <c r="O205" s="2">
        <f t="shared" si="7"/>
        <v>0</v>
      </c>
      <c r="P205" t="str">
        <f>VLOOKUP(B205,歌单!B:C,1,0)</f>
        <v>月亮代表我的心</v>
      </c>
    </row>
    <row r="206" spans="1:16" ht="15" hidden="1" customHeight="1">
      <c r="A206" s="32" t="s">
        <v>925</v>
      </c>
      <c r="B206" s="4" t="s">
        <v>118</v>
      </c>
      <c r="C206" s="4" t="s">
        <v>119</v>
      </c>
      <c r="D206" s="18"/>
      <c r="E206" s="18">
        <v>2103209</v>
      </c>
      <c r="F206" s="18">
        <v>767801</v>
      </c>
      <c r="G206" s="4" t="s">
        <v>926</v>
      </c>
      <c r="H206" s="4" t="s">
        <v>927</v>
      </c>
      <c r="I206" s="5">
        <v>11361</v>
      </c>
      <c r="J206" s="4"/>
      <c r="K206" s="4" t="s">
        <v>928</v>
      </c>
      <c r="L206" s="4">
        <v>345148142</v>
      </c>
      <c r="M206" s="4"/>
      <c r="N206" s="28" t="str">
        <f>VLOOKUP(B206,歌单!B:C,2,0)</f>
        <v>杨扬</v>
      </c>
      <c r="O206" s="2">
        <f t="shared" si="7"/>
        <v>1</v>
      </c>
      <c r="P206" t="str">
        <f>VLOOKUP(B206,歌单!B:C,1,0)</f>
        <v>神女劈观</v>
      </c>
    </row>
    <row r="207" spans="1:16" ht="15" hidden="1" customHeight="1">
      <c r="A207" s="32" t="s">
        <v>929</v>
      </c>
      <c r="B207" s="4" t="s">
        <v>930</v>
      </c>
      <c r="C207" s="4" t="s">
        <v>51</v>
      </c>
      <c r="D207" s="18"/>
      <c r="E207" s="18">
        <v>0</v>
      </c>
      <c r="F207" s="18">
        <v>0</v>
      </c>
      <c r="G207" s="4" t="s">
        <v>931</v>
      </c>
      <c r="H207" s="4" t="s">
        <v>932</v>
      </c>
      <c r="I207" s="5">
        <v>1</v>
      </c>
      <c r="J207" s="4"/>
      <c r="K207" s="4" t="s">
        <v>930</v>
      </c>
      <c r="L207" s="4">
        <v>514547</v>
      </c>
      <c r="M207" s="4"/>
      <c r="N207" s="28" t="str">
        <f>VLOOKUP(B207,歌单!B:C,2,0)</f>
        <v>牛奶咖啡</v>
      </c>
      <c r="O207" s="2">
        <f t="shared" si="7"/>
        <v>1</v>
      </c>
      <c r="P207" t="str">
        <f>VLOOKUP(B207,歌单!B:C,1,0)</f>
        <v>蝶恋花</v>
      </c>
    </row>
    <row r="208" spans="1:16" ht="15" hidden="1" customHeight="1">
      <c r="A208" s="4" t="s">
        <v>933</v>
      </c>
      <c r="B208" s="4" t="s">
        <v>934</v>
      </c>
      <c r="C208" s="4" t="s">
        <v>935</v>
      </c>
      <c r="D208" s="18"/>
      <c r="E208" s="18">
        <v>0</v>
      </c>
      <c r="F208" s="18">
        <v>0</v>
      </c>
      <c r="G208" s="4" t="s">
        <v>936</v>
      </c>
      <c r="H208" s="4" t="s">
        <v>937</v>
      </c>
      <c r="I208" s="5">
        <v>382</v>
      </c>
      <c r="J208" s="4"/>
      <c r="K208" s="4" t="s">
        <v>938</v>
      </c>
      <c r="L208" s="4">
        <v>19549830</v>
      </c>
      <c r="M208" s="4"/>
      <c r="N208" s="2" t="str">
        <f>VLOOKUP(B208,歌单!B:C,2,0)</f>
        <v>谭维维</v>
      </c>
      <c r="O208" s="2">
        <f t="shared" si="7"/>
        <v>0</v>
      </c>
      <c r="P208" t="str">
        <f>VLOOKUP(B208,歌单!B:C,1,0)</f>
        <v>敕勒歌</v>
      </c>
    </row>
    <row r="209" spans="1:16" ht="15" hidden="1" customHeight="1">
      <c r="A209" s="32" t="s">
        <v>939</v>
      </c>
      <c r="B209" s="4" t="s">
        <v>940</v>
      </c>
      <c r="C209" s="4" t="s">
        <v>941</v>
      </c>
      <c r="D209" s="18"/>
      <c r="E209" s="18">
        <v>0</v>
      </c>
      <c r="F209" s="18">
        <v>0</v>
      </c>
      <c r="G209" s="4" t="s">
        <v>942</v>
      </c>
      <c r="H209" s="4" t="s">
        <v>943</v>
      </c>
      <c r="I209" s="5">
        <v>0</v>
      </c>
      <c r="J209" s="4"/>
      <c r="K209" s="4" t="s">
        <v>944</v>
      </c>
      <c r="L209" s="4">
        <v>83682</v>
      </c>
      <c r="M209" s="4"/>
      <c r="N209" s="2" t="str">
        <f>VLOOKUP(B209,歌单!B:C,2,0)</f>
        <v>黄宣</v>
      </c>
      <c r="O209" s="2">
        <f t="shared" si="7"/>
        <v>1</v>
      </c>
      <c r="P209" t="str">
        <f>VLOOKUP(B209,歌单!B:C,1,0)</f>
        <v>思念</v>
      </c>
    </row>
    <row r="210" spans="1:16" ht="15" customHeight="1">
      <c r="A210" s="4" t="s">
        <v>945</v>
      </c>
      <c r="B210" s="4" t="s">
        <v>946</v>
      </c>
      <c r="C210" s="4" t="s">
        <v>154</v>
      </c>
      <c r="D210" s="18"/>
      <c r="E210" s="18">
        <v>0</v>
      </c>
      <c r="F210" s="18">
        <v>0</v>
      </c>
      <c r="G210" s="4" t="s">
        <v>947</v>
      </c>
      <c r="H210" s="4"/>
      <c r="I210" s="5">
        <v>6537</v>
      </c>
      <c r="J210" s="4"/>
      <c r="K210" s="4" t="s">
        <v>920</v>
      </c>
      <c r="L210" s="4">
        <v>569248560</v>
      </c>
      <c r="M210" s="4"/>
      <c r="N210" s="2">
        <f>VLOOKUP(B210,歌单!B:C,2,0)</f>
        <v>0</v>
      </c>
      <c r="O210" s="2">
        <f t="shared" si="7"/>
        <v>1</v>
      </c>
      <c r="P210" t="str">
        <f>VLOOKUP(B210,歌单!B:C,1,0)</f>
        <v>半岛铁盒</v>
      </c>
    </row>
    <row r="211" spans="1:16" ht="15" hidden="1" customHeight="1">
      <c r="A211" s="4" t="s">
        <v>948</v>
      </c>
      <c r="B211" s="4" t="s">
        <v>949</v>
      </c>
      <c r="C211" s="4" t="s">
        <v>950</v>
      </c>
      <c r="D211" s="18"/>
      <c r="E211" s="18">
        <v>0</v>
      </c>
      <c r="F211" s="18">
        <v>0</v>
      </c>
      <c r="G211" s="4" t="s">
        <v>951</v>
      </c>
      <c r="H211" s="4" t="s">
        <v>952</v>
      </c>
      <c r="I211" s="5">
        <v>363</v>
      </c>
      <c r="J211" s="4"/>
      <c r="K211" s="4" t="s">
        <v>949</v>
      </c>
      <c r="L211" s="4">
        <v>68722656</v>
      </c>
      <c r="M211" s="4"/>
      <c r="N211" s="2" t="str">
        <f>VLOOKUP(B211,歌单!B:C,2,0)</f>
        <v>郭静</v>
      </c>
      <c r="O211" s="2">
        <f t="shared" si="7"/>
        <v>0</v>
      </c>
      <c r="P211" t="str">
        <f>VLOOKUP(B211,歌单!B:C,1,0)</f>
        <v>在树上唱歌</v>
      </c>
    </row>
    <row r="212" spans="1:16" ht="15" hidden="1" customHeight="1">
      <c r="A212" s="4" t="s">
        <v>953</v>
      </c>
      <c r="B212" s="4" t="s">
        <v>954</v>
      </c>
      <c r="C212" s="4" t="s">
        <v>955</v>
      </c>
      <c r="D212" s="18"/>
      <c r="E212" s="18">
        <v>0</v>
      </c>
      <c r="F212" s="18">
        <v>0</v>
      </c>
      <c r="G212" s="4" t="s">
        <v>956</v>
      </c>
      <c r="H212" s="4" t="s">
        <v>957</v>
      </c>
      <c r="I212" s="5">
        <v>41</v>
      </c>
      <c r="J212" s="4"/>
      <c r="K212" s="4" t="s">
        <v>958</v>
      </c>
      <c r="L212" s="4">
        <v>24033103</v>
      </c>
      <c r="M212" s="4"/>
      <c r="N212" s="2" t="e">
        <f>VLOOKUP(B212,歌单!B:C,2,0)</f>
        <v>#N/A</v>
      </c>
      <c r="O212" s="2">
        <f t="shared" si="7"/>
        <v>1</v>
      </c>
      <c r="P212" t="e">
        <f>VLOOKUP(B212,歌单!B:C,1,0)</f>
        <v>#N/A</v>
      </c>
    </row>
    <row r="213" spans="1:16" ht="15" hidden="1" customHeight="1">
      <c r="A213" s="4" t="s">
        <v>959</v>
      </c>
      <c r="B213" s="4" t="s">
        <v>960</v>
      </c>
      <c r="C213" s="4" t="s">
        <v>961</v>
      </c>
      <c r="D213" s="18"/>
      <c r="E213" s="18">
        <v>518</v>
      </c>
      <c r="F213" s="18">
        <v>145</v>
      </c>
      <c r="G213" s="4" t="s">
        <v>962</v>
      </c>
      <c r="H213" s="4" t="s">
        <v>963</v>
      </c>
      <c r="I213" s="5">
        <v>473</v>
      </c>
      <c r="J213" s="4"/>
      <c r="K213" s="4" t="s">
        <v>964</v>
      </c>
      <c r="L213" s="4">
        <v>115959006</v>
      </c>
      <c r="M213" s="4"/>
      <c r="N213" s="2" t="str">
        <f>VLOOKUP(B213,歌单!B:C,2,0)</f>
        <v>杨丞琳</v>
      </c>
      <c r="O213" s="2">
        <f t="shared" si="7"/>
        <v>0</v>
      </c>
      <c r="P213" t="str">
        <f>VLOOKUP(B213,歌单!B:C,1,0)</f>
        <v>带我走</v>
      </c>
    </row>
    <row r="214" spans="1:16" ht="15" hidden="1" customHeight="1">
      <c r="A214" s="4" t="s">
        <v>965</v>
      </c>
      <c r="B214" s="4" t="s">
        <v>6391</v>
      </c>
      <c r="C214" s="4" t="s">
        <v>6392</v>
      </c>
      <c r="D214" s="18"/>
      <c r="E214" s="18">
        <v>0</v>
      </c>
      <c r="F214" s="18">
        <v>0</v>
      </c>
      <c r="G214" s="4"/>
      <c r="H214" s="4"/>
      <c r="I214" s="5"/>
      <c r="J214" s="4"/>
      <c r="K214" s="4"/>
      <c r="L214" s="4"/>
      <c r="M214" s="4"/>
      <c r="N214" s="2" t="str">
        <f>VLOOKUP(B214,歌单!B:C,2,0)</f>
        <v>刘瑞琦</v>
      </c>
      <c r="O214" s="2">
        <f t="shared" si="7"/>
        <v>0</v>
      </c>
      <c r="P214" t="str">
        <f>VLOOKUP(B214,歌单!B:C,1,0)</f>
        <v>房间</v>
      </c>
    </row>
    <row r="215" spans="1:16" ht="15" hidden="1" customHeight="1">
      <c r="A215" s="4" t="s">
        <v>966</v>
      </c>
      <c r="B215" s="4" t="s">
        <v>967</v>
      </c>
      <c r="C215" s="4" t="s">
        <v>42</v>
      </c>
      <c r="D215" s="18"/>
      <c r="E215" s="18">
        <v>0</v>
      </c>
      <c r="F215" s="18">
        <v>0</v>
      </c>
      <c r="G215" s="4" t="s">
        <v>968</v>
      </c>
      <c r="H215" s="4" t="s">
        <v>969</v>
      </c>
      <c r="I215" s="5">
        <v>2250</v>
      </c>
      <c r="J215" s="4"/>
      <c r="K215" s="4" t="s">
        <v>967</v>
      </c>
      <c r="L215" s="4">
        <v>63947645</v>
      </c>
      <c r="M215" s="4"/>
      <c r="N215" s="2" t="str">
        <f>VLOOKUP(B215,歌单!B:C,2,0)</f>
        <v>黄龄</v>
      </c>
      <c r="O215" s="2">
        <f t="shared" si="7"/>
        <v>0</v>
      </c>
      <c r="P215" t="str">
        <f>VLOOKUP(B215,歌单!B:C,1,0)</f>
        <v>小雨</v>
      </c>
    </row>
    <row r="216" spans="1:16" ht="15" hidden="1" customHeight="1">
      <c r="A216" s="4" t="s">
        <v>970</v>
      </c>
      <c r="B216" s="4" t="s">
        <v>971</v>
      </c>
      <c r="C216" s="4" t="s">
        <v>950</v>
      </c>
      <c r="D216" s="18"/>
      <c r="E216" s="18">
        <v>0</v>
      </c>
      <c r="F216" s="18">
        <v>0</v>
      </c>
      <c r="G216" s="4" t="s">
        <v>972</v>
      </c>
      <c r="H216" s="4" t="s">
        <v>973</v>
      </c>
      <c r="I216" s="5">
        <v>4204</v>
      </c>
      <c r="J216" s="4"/>
      <c r="K216" s="4" t="s">
        <v>949</v>
      </c>
      <c r="L216" s="4">
        <v>446507354</v>
      </c>
      <c r="M216" s="4"/>
      <c r="N216" s="2" t="str">
        <f>VLOOKUP(B216,歌单!B:C,2,0)</f>
        <v>郭静</v>
      </c>
      <c r="O216" s="2">
        <f t="shared" si="7"/>
        <v>0</v>
      </c>
      <c r="P216" t="str">
        <f>VLOOKUP(B216,歌单!B:C,1,0)</f>
        <v>心墙</v>
      </c>
    </row>
    <row r="217" spans="1:16" ht="15" hidden="1" customHeight="1">
      <c r="A217" s="32" t="s">
        <v>974</v>
      </c>
      <c r="B217" s="4" t="s">
        <v>975</v>
      </c>
      <c r="C217" s="4" t="s">
        <v>976</v>
      </c>
      <c r="D217" s="18"/>
      <c r="E217" s="18">
        <v>0</v>
      </c>
      <c r="F217" s="18">
        <v>0</v>
      </c>
      <c r="G217" s="4" t="s">
        <v>977</v>
      </c>
      <c r="H217" s="4" t="s">
        <v>978</v>
      </c>
      <c r="I217" s="5">
        <v>35</v>
      </c>
      <c r="J217" s="4"/>
      <c r="K217" s="4" t="s">
        <v>975</v>
      </c>
      <c r="L217" s="4">
        <v>16660903</v>
      </c>
      <c r="M217" s="4"/>
      <c r="N217" s="28" t="str">
        <f>VLOOKUP(B217,歌单!B:C,2,0)</f>
        <v>郁可唯</v>
      </c>
      <c r="O217" s="2">
        <f t="shared" si="7"/>
        <v>1</v>
      </c>
      <c r="P217" t="str">
        <f>VLOOKUP(B217,歌单!B:C,1,0)</f>
        <v>如果云知道</v>
      </c>
    </row>
    <row r="218" spans="1:16" ht="15" hidden="1" customHeight="1">
      <c r="A218" s="4" t="s">
        <v>979</v>
      </c>
      <c r="B218" s="4" t="s">
        <v>980</v>
      </c>
      <c r="C218" s="4" t="s">
        <v>21</v>
      </c>
      <c r="D218" s="18"/>
      <c r="E218" s="18">
        <v>0</v>
      </c>
      <c r="F218" s="18">
        <v>0</v>
      </c>
      <c r="G218" s="4" t="s">
        <v>981</v>
      </c>
      <c r="H218" s="4" t="s">
        <v>982</v>
      </c>
      <c r="I218" s="5">
        <v>3</v>
      </c>
      <c r="J218" s="4"/>
      <c r="K218" s="4" t="s">
        <v>983</v>
      </c>
      <c r="L218" s="4">
        <v>1875423</v>
      </c>
      <c r="M218" s="4"/>
      <c r="N218" s="2" t="e">
        <f>VLOOKUP(B218,歌单!B:C,2,0)</f>
        <v>#N/A</v>
      </c>
      <c r="O218" s="2">
        <f t="shared" si="7"/>
        <v>1</v>
      </c>
      <c r="P218" t="e">
        <f>VLOOKUP(B218,歌单!B:C,1,0)</f>
        <v>#N/A</v>
      </c>
    </row>
    <row r="219" spans="1:16" ht="15" hidden="1" customHeight="1">
      <c r="A219" s="4" t="s">
        <v>984</v>
      </c>
      <c r="B219" s="4" t="s">
        <v>985</v>
      </c>
      <c r="C219" s="4" t="s">
        <v>154</v>
      </c>
      <c r="D219" s="18"/>
      <c r="E219" s="18">
        <v>0</v>
      </c>
      <c r="F219" s="18">
        <v>0</v>
      </c>
      <c r="G219" s="4" t="s">
        <v>986</v>
      </c>
      <c r="H219" s="4" t="s">
        <v>987</v>
      </c>
      <c r="I219" s="5">
        <v>1040</v>
      </c>
      <c r="J219" s="4"/>
      <c r="K219" s="4" t="s">
        <v>373</v>
      </c>
      <c r="L219" s="4">
        <v>294619498</v>
      </c>
      <c r="M219" s="4"/>
      <c r="N219" s="2" t="str">
        <f>VLOOKUP(B219,歌单!B:C,2,0)</f>
        <v>周杰伦</v>
      </c>
      <c r="O219" s="2">
        <f t="shared" si="7"/>
        <v>0</v>
      </c>
      <c r="P219" t="str">
        <f>VLOOKUP(B219,歌单!B:C,1,0)</f>
        <v>黑色幽默</v>
      </c>
    </row>
    <row r="220" spans="1:16" ht="15" hidden="1" customHeight="1">
      <c r="A220" s="4" t="s">
        <v>988</v>
      </c>
      <c r="B220" s="4" t="s">
        <v>989</v>
      </c>
      <c r="C220" s="4" t="s">
        <v>154</v>
      </c>
      <c r="D220" s="18"/>
      <c r="E220" s="18">
        <v>0</v>
      </c>
      <c r="F220" s="18">
        <v>0</v>
      </c>
      <c r="G220" s="4" t="s">
        <v>990</v>
      </c>
      <c r="H220" s="4" t="s">
        <v>991</v>
      </c>
      <c r="I220" s="5">
        <v>6076</v>
      </c>
      <c r="J220" s="4"/>
      <c r="K220" s="4" t="s">
        <v>992</v>
      </c>
      <c r="L220" s="4">
        <v>448639596</v>
      </c>
      <c r="M220" s="4"/>
      <c r="N220" s="2" t="e">
        <f>VLOOKUP(B220,歌单!B:C,2,0)</f>
        <v>#N/A</v>
      </c>
      <c r="O220" s="2">
        <f t="shared" si="7"/>
        <v>1</v>
      </c>
      <c r="P220" t="e">
        <f>VLOOKUP(B220,歌单!B:C,1,0)</f>
        <v>#N/A</v>
      </c>
    </row>
    <row r="221" spans="1:16" ht="15" hidden="1" customHeight="1">
      <c r="A221" s="4" t="s">
        <v>993</v>
      </c>
      <c r="B221" s="4" t="s">
        <v>994</v>
      </c>
      <c r="C221" s="4" t="s">
        <v>995</v>
      </c>
      <c r="D221" s="18"/>
      <c r="E221" s="18">
        <v>0</v>
      </c>
      <c r="F221" s="18">
        <v>0</v>
      </c>
      <c r="G221" s="4" t="s">
        <v>996</v>
      </c>
      <c r="H221" s="4" t="s">
        <v>997</v>
      </c>
      <c r="I221" s="5">
        <v>1217</v>
      </c>
      <c r="J221" s="4"/>
      <c r="K221" s="4" t="s">
        <v>636</v>
      </c>
      <c r="L221" s="4">
        <v>391200362</v>
      </c>
      <c r="M221" s="4"/>
      <c r="N221" s="2" t="str">
        <f>VLOOKUP(B221,歌单!B:C,2,0)</f>
        <v>费玉清</v>
      </c>
      <c r="O221" s="2">
        <f t="shared" si="7"/>
        <v>0</v>
      </c>
      <c r="P221" t="str">
        <f>VLOOKUP(B221,歌单!B:C,1,0)</f>
        <v>千里之外</v>
      </c>
    </row>
    <row r="222" spans="1:16" ht="15" customHeight="1">
      <c r="A222" s="4" t="s">
        <v>998</v>
      </c>
      <c r="B222" s="4" t="s">
        <v>999</v>
      </c>
      <c r="C222" s="4" t="s">
        <v>1000</v>
      </c>
      <c r="D222" s="18"/>
      <c r="E222" s="18">
        <v>0</v>
      </c>
      <c r="F222" s="18">
        <v>0</v>
      </c>
      <c r="G222" s="4" t="s">
        <v>1001</v>
      </c>
      <c r="H222" s="4" t="s">
        <v>1002</v>
      </c>
      <c r="I222" s="5">
        <v>1</v>
      </c>
      <c r="J222" s="4"/>
      <c r="K222" s="4" t="s">
        <v>1003</v>
      </c>
      <c r="L222" s="4">
        <v>230857</v>
      </c>
      <c r="M222" s="4"/>
      <c r="N222" s="2">
        <f>VLOOKUP(B222,歌单!B:C,2,0)</f>
        <v>0</v>
      </c>
      <c r="O222" s="2">
        <f t="shared" si="7"/>
        <v>1</v>
      </c>
      <c r="P222" t="str">
        <f>VLOOKUP(B222,歌单!B:C,1,0)</f>
        <v>被雨伤透</v>
      </c>
    </row>
    <row r="223" spans="1:16" ht="15" hidden="1" customHeight="1">
      <c r="A223" s="4" t="s">
        <v>1004</v>
      </c>
      <c r="B223" s="4" t="s">
        <v>1005</v>
      </c>
      <c r="C223" s="4" t="s">
        <v>935</v>
      </c>
      <c r="D223" s="18"/>
      <c r="E223" s="18">
        <v>0</v>
      </c>
      <c r="F223" s="18">
        <v>0</v>
      </c>
      <c r="G223" s="4" t="s">
        <v>1006</v>
      </c>
      <c r="H223" s="4" t="s">
        <v>1007</v>
      </c>
      <c r="I223" s="5">
        <v>251</v>
      </c>
      <c r="J223" s="4"/>
      <c r="K223" s="4" t="s">
        <v>1008</v>
      </c>
      <c r="L223" s="4">
        <v>55662569</v>
      </c>
      <c r="M223" s="4"/>
      <c r="N223" s="2" t="str">
        <f>VLOOKUP(B223,歌单!B:C,2,0)</f>
        <v>谭维维</v>
      </c>
      <c r="O223" s="2">
        <f t="shared" si="7"/>
        <v>0</v>
      </c>
      <c r="P223" t="str">
        <f>VLOOKUP(B223,歌单!B:C,1,0)</f>
        <v>如果有来生</v>
      </c>
    </row>
    <row r="224" spans="1:16" ht="15" hidden="1" customHeight="1">
      <c r="A224" s="4" t="s">
        <v>1009</v>
      </c>
      <c r="B224" s="4" t="s">
        <v>1010</v>
      </c>
      <c r="C224" s="4" t="s">
        <v>154</v>
      </c>
      <c r="D224" s="18"/>
      <c r="E224" s="18">
        <v>0</v>
      </c>
      <c r="F224" s="18">
        <v>0</v>
      </c>
      <c r="G224" s="4" t="s">
        <v>1011</v>
      </c>
      <c r="H224" s="4" t="s">
        <v>1012</v>
      </c>
      <c r="I224" s="5">
        <v>900</v>
      </c>
      <c r="J224" s="4"/>
      <c r="K224" s="4" t="s">
        <v>262</v>
      </c>
      <c r="L224" s="4">
        <v>294942325</v>
      </c>
      <c r="M224" s="4"/>
      <c r="N224" s="2" t="str">
        <f>VLOOKUP(B224,歌单!B:C,2,0)</f>
        <v>周杰伦</v>
      </c>
      <c r="O224" s="2">
        <f t="shared" si="7"/>
        <v>0</v>
      </c>
      <c r="P224" t="str">
        <f>VLOOKUP(B224,歌单!B:C,1,0)</f>
        <v>黑色毛衣</v>
      </c>
    </row>
    <row r="225" spans="1:16" ht="15" hidden="1" customHeight="1">
      <c r="A225" s="4" t="s">
        <v>1013</v>
      </c>
      <c r="B225" s="4" t="s">
        <v>1014</v>
      </c>
      <c r="C225" s="4" t="s">
        <v>154</v>
      </c>
      <c r="D225" s="18"/>
      <c r="E225" s="18">
        <v>0</v>
      </c>
      <c r="F225" s="18">
        <v>0</v>
      </c>
      <c r="G225" s="4" t="s">
        <v>1015</v>
      </c>
      <c r="H225" s="4" t="s">
        <v>1016</v>
      </c>
      <c r="I225" s="5">
        <v>1135</v>
      </c>
      <c r="J225" s="4" t="s">
        <v>1014</v>
      </c>
      <c r="K225" s="4" t="s">
        <v>636</v>
      </c>
      <c r="L225" s="4">
        <v>327291034</v>
      </c>
      <c r="M225" s="4" t="s">
        <v>468</v>
      </c>
      <c r="N225" s="2" t="str">
        <f>VLOOKUP(B225,歌单!B:C,2,0)</f>
        <v>周杰伦</v>
      </c>
      <c r="O225" s="2">
        <f t="shared" si="7"/>
        <v>0</v>
      </c>
      <c r="P225" t="str">
        <f>VLOOKUP(B225,歌单!B:C,1,0)</f>
        <v>退后</v>
      </c>
    </row>
    <row r="226" spans="1:16" ht="15" hidden="1" customHeight="1">
      <c r="A226" s="32" t="s">
        <v>1017</v>
      </c>
      <c r="B226" s="4" t="s">
        <v>1018</v>
      </c>
      <c r="C226" s="4" t="s">
        <v>1019</v>
      </c>
      <c r="D226" s="18"/>
      <c r="E226" s="18">
        <v>0</v>
      </c>
      <c r="F226" s="18">
        <v>0</v>
      </c>
      <c r="G226" s="4" t="s">
        <v>1020</v>
      </c>
      <c r="H226" s="4" t="s">
        <v>1021</v>
      </c>
      <c r="I226" s="5">
        <v>13</v>
      </c>
      <c r="J226" s="4"/>
      <c r="K226" s="4" t="s">
        <v>1022</v>
      </c>
      <c r="L226" s="4">
        <v>4061048</v>
      </c>
      <c r="M226" s="4"/>
      <c r="N226" s="30" t="s">
        <v>10229</v>
      </c>
      <c r="O226" s="2">
        <f t="shared" si="7"/>
        <v>1</v>
      </c>
      <c r="P226" t="str">
        <f>VLOOKUP(B226,歌单!B:C,1,0)</f>
        <v>月满西楼</v>
      </c>
    </row>
    <row r="227" spans="1:16" ht="15" hidden="1" customHeight="1">
      <c r="A227" s="4" t="s">
        <v>1023</v>
      </c>
      <c r="B227" s="4" t="s">
        <v>1024</v>
      </c>
      <c r="C227" s="4" t="s">
        <v>154</v>
      </c>
      <c r="D227" s="18"/>
      <c r="E227" s="18">
        <v>0</v>
      </c>
      <c r="F227" s="18">
        <v>0</v>
      </c>
      <c r="G227" s="4" t="s">
        <v>1025</v>
      </c>
      <c r="H227" s="4"/>
      <c r="I227" s="5">
        <v>28515</v>
      </c>
      <c r="J227" s="4"/>
      <c r="K227" s="4" t="s">
        <v>1026</v>
      </c>
      <c r="L227" s="4">
        <v>2546158396</v>
      </c>
      <c r="M227" s="4" t="s">
        <v>1027</v>
      </c>
      <c r="N227" s="2" t="str">
        <f>VLOOKUP(B227,歌单!B:C,2,0)</f>
        <v>周杰伦</v>
      </c>
      <c r="O227" s="2">
        <f t="shared" si="7"/>
        <v>0</v>
      </c>
      <c r="P227" t="str">
        <f>VLOOKUP(B227,歌单!B:C,1,0)</f>
        <v>兰亭序</v>
      </c>
    </row>
    <row r="228" spans="1:16" ht="15" hidden="1" customHeight="1">
      <c r="A228" s="4" t="s">
        <v>1028</v>
      </c>
      <c r="B228" s="4" t="s">
        <v>1029</v>
      </c>
      <c r="C228" s="4" t="s">
        <v>1030</v>
      </c>
      <c r="D228" s="18"/>
      <c r="E228" s="18">
        <v>0</v>
      </c>
      <c r="F228" s="18">
        <v>0</v>
      </c>
      <c r="G228" s="4" t="s">
        <v>1031</v>
      </c>
      <c r="H228" s="4" t="s">
        <v>1032</v>
      </c>
      <c r="I228" s="5">
        <v>67</v>
      </c>
      <c r="J228" s="4" t="s">
        <v>1033</v>
      </c>
      <c r="K228" s="4" t="s">
        <v>1034</v>
      </c>
      <c r="L228" s="4">
        <v>40740970</v>
      </c>
      <c r="M228" s="4"/>
      <c r="N228" s="2" t="str">
        <f>VLOOKUP(B228,歌单!B:C,2,0)</f>
        <v>那英</v>
      </c>
      <c r="O228" s="2">
        <f t="shared" si="7"/>
        <v>0</v>
      </c>
      <c r="P228" t="str">
        <f>VLOOKUP(B228,歌单!B:C,1,0)</f>
        <v>梦一场</v>
      </c>
    </row>
    <row r="229" spans="1:16" ht="15" hidden="1" customHeight="1">
      <c r="A229" s="4" t="s">
        <v>1035</v>
      </c>
      <c r="B229" s="4" t="s">
        <v>1036</v>
      </c>
      <c r="C229" s="4" t="s">
        <v>154</v>
      </c>
      <c r="D229" s="18"/>
      <c r="E229" s="18">
        <v>0</v>
      </c>
      <c r="F229" s="18">
        <v>0</v>
      </c>
      <c r="G229" s="4" t="s">
        <v>1037</v>
      </c>
      <c r="H229" s="4" t="s">
        <v>1038</v>
      </c>
      <c r="I229" s="5">
        <v>599</v>
      </c>
      <c r="J229" s="4" t="s">
        <v>1036</v>
      </c>
      <c r="K229" s="4" t="s">
        <v>920</v>
      </c>
      <c r="L229" s="4">
        <v>198909539</v>
      </c>
      <c r="M229" s="4"/>
      <c r="N229" s="2" t="e">
        <f>VLOOKUP(B229,歌单!B:C,2,0)</f>
        <v>#N/A</v>
      </c>
      <c r="O229" s="2">
        <f t="shared" si="7"/>
        <v>1</v>
      </c>
      <c r="P229" t="e">
        <f>VLOOKUP(B229,歌单!B:C,1,0)</f>
        <v>#N/A</v>
      </c>
    </row>
    <row r="230" spans="1:16" ht="15" hidden="1" customHeight="1">
      <c r="A230" s="4" t="s">
        <v>1039</v>
      </c>
      <c r="B230" s="4" t="s">
        <v>1040</v>
      </c>
      <c r="C230" s="4" t="s">
        <v>154</v>
      </c>
      <c r="D230" s="18"/>
      <c r="E230" s="18">
        <v>0</v>
      </c>
      <c r="F230" s="18">
        <v>0</v>
      </c>
      <c r="G230" s="4" t="s">
        <v>1041</v>
      </c>
      <c r="H230" s="4"/>
      <c r="I230" s="5">
        <v>1532</v>
      </c>
      <c r="J230" s="4" t="s">
        <v>1042</v>
      </c>
      <c r="K230" s="4" t="s">
        <v>907</v>
      </c>
      <c r="L230" s="4">
        <v>336737849</v>
      </c>
      <c r="M230" s="4"/>
      <c r="N230" s="2" t="e">
        <f>VLOOKUP(B230,歌单!B:C,2,0)</f>
        <v>#N/A</v>
      </c>
      <c r="O230" s="2">
        <f t="shared" si="7"/>
        <v>1</v>
      </c>
      <c r="P230" t="e">
        <f>VLOOKUP(B230,歌单!B:C,1,0)</f>
        <v>#N/A</v>
      </c>
    </row>
    <row r="231" spans="1:16" ht="15" hidden="1" customHeight="1">
      <c r="A231" s="4" t="s">
        <v>1043</v>
      </c>
      <c r="B231" s="4" t="s">
        <v>1044</v>
      </c>
      <c r="C231" s="4" t="s">
        <v>154</v>
      </c>
      <c r="D231" s="18"/>
      <c r="E231" s="18">
        <v>0</v>
      </c>
      <c r="F231" s="18">
        <v>0</v>
      </c>
      <c r="G231" s="4" t="s">
        <v>1045</v>
      </c>
      <c r="H231" s="4" t="s">
        <v>1046</v>
      </c>
      <c r="I231" s="5">
        <v>9979</v>
      </c>
      <c r="J231" s="4"/>
      <c r="K231" s="4" t="s">
        <v>1026</v>
      </c>
      <c r="L231" s="4">
        <v>933132694</v>
      </c>
      <c r="M231" s="4" t="s">
        <v>631</v>
      </c>
      <c r="N231" s="2" t="str">
        <f>VLOOKUP(B231,歌单!B:C,2,0)</f>
        <v>周杰伦</v>
      </c>
      <c r="O231" s="2">
        <f t="shared" si="7"/>
        <v>0</v>
      </c>
      <c r="P231" t="str">
        <f>VLOOKUP(B231,歌单!B:C,1,0)</f>
        <v>花海</v>
      </c>
    </row>
    <row r="232" spans="1:16" ht="15" hidden="1" customHeight="1">
      <c r="A232" s="4" t="s">
        <v>1047</v>
      </c>
      <c r="B232" s="4" t="s">
        <v>1048</v>
      </c>
      <c r="C232" s="4" t="s">
        <v>154</v>
      </c>
      <c r="D232" s="18"/>
      <c r="E232" s="18">
        <v>0</v>
      </c>
      <c r="F232" s="18">
        <v>0</v>
      </c>
      <c r="G232" s="4" t="s">
        <v>1049</v>
      </c>
      <c r="H232" s="4" t="s">
        <v>1050</v>
      </c>
      <c r="I232" s="5">
        <v>2220</v>
      </c>
      <c r="J232" s="4" t="s">
        <v>1048</v>
      </c>
      <c r="K232" s="4" t="s">
        <v>992</v>
      </c>
      <c r="L232" s="4">
        <v>288931916</v>
      </c>
      <c r="M232" s="4"/>
      <c r="N232" s="2" t="str">
        <f>VLOOKUP(B232,歌单!B:C,2,0)</f>
        <v>周杰伦</v>
      </c>
      <c r="O232" s="2">
        <f t="shared" si="7"/>
        <v>0</v>
      </c>
      <c r="P232" t="str">
        <f>VLOOKUP(B232,歌单!B:C,1,0)</f>
        <v>雨下一整晚</v>
      </c>
    </row>
    <row r="233" spans="1:16" ht="15" hidden="1" customHeight="1">
      <c r="A233" s="4" t="s">
        <v>1051</v>
      </c>
      <c r="B233" s="4" t="s">
        <v>1052</v>
      </c>
      <c r="C233" s="4" t="s">
        <v>51</v>
      </c>
      <c r="D233" s="18"/>
      <c r="E233" s="18">
        <v>0</v>
      </c>
      <c r="F233" s="18">
        <v>0</v>
      </c>
      <c r="G233" s="4" t="s">
        <v>1053</v>
      </c>
      <c r="H233" s="4" t="s">
        <v>1054</v>
      </c>
      <c r="I233" s="5">
        <v>0</v>
      </c>
      <c r="J233" s="4"/>
      <c r="K233" s="4" t="s">
        <v>1055</v>
      </c>
      <c r="L233" s="4">
        <v>264744</v>
      </c>
      <c r="M233" s="4"/>
      <c r="N233" s="2" t="e">
        <f>VLOOKUP(B233,歌单!B:C,2,0)</f>
        <v>#N/A</v>
      </c>
      <c r="O233" s="2">
        <f t="shared" si="7"/>
        <v>1</v>
      </c>
      <c r="P233" t="e">
        <f>VLOOKUP(B233,歌单!B:C,1,0)</f>
        <v>#N/A</v>
      </c>
    </row>
    <row r="234" spans="1:16" ht="15" hidden="1" customHeight="1">
      <c r="A234" s="32" t="s">
        <v>1056</v>
      </c>
      <c r="B234" s="4" t="s">
        <v>75</v>
      </c>
      <c r="C234" s="4" t="s">
        <v>1057</v>
      </c>
      <c r="D234" s="18"/>
      <c r="E234" s="18">
        <v>0</v>
      </c>
      <c r="F234" s="18">
        <v>0</v>
      </c>
      <c r="G234" s="4" t="s">
        <v>1058</v>
      </c>
      <c r="H234" s="4"/>
      <c r="I234" s="5">
        <v>0</v>
      </c>
      <c r="J234" s="4"/>
      <c r="K234" s="4" t="s">
        <v>1059</v>
      </c>
      <c r="L234" s="4">
        <v>1512793</v>
      </c>
      <c r="M234" s="4"/>
      <c r="N234" s="2" t="str">
        <f>VLOOKUP(B234,歌单!B:C,2,0)</f>
        <v>说说Crystal</v>
      </c>
      <c r="O234" s="2">
        <f t="shared" si="7"/>
        <v>1</v>
      </c>
      <c r="P234" t="str">
        <f>VLOOKUP(B234,歌单!B:C,1,0)</f>
        <v>布虎记</v>
      </c>
    </row>
    <row r="235" spans="1:16" ht="15" hidden="1" customHeight="1">
      <c r="A235" s="4" t="s">
        <v>1060</v>
      </c>
      <c r="B235" s="4" t="s">
        <v>1061</v>
      </c>
      <c r="C235" s="4" t="s">
        <v>1062</v>
      </c>
      <c r="D235" s="18"/>
      <c r="E235" s="18">
        <v>0</v>
      </c>
      <c r="F235" s="18">
        <v>0</v>
      </c>
      <c r="G235" s="4" t="s">
        <v>1063</v>
      </c>
      <c r="H235" s="4" t="s">
        <v>1064</v>
      </c>
      <c r="I235" s="5">
        <v>200</v>
      </c>
      <c r="J235" s="4"/>
      <c r="K235" s="4" t="s">
        <v>1065</v>
      </c>
      <c r="L235" s="4">
        <v>12824406</v>
      </c>
      <c r="M235" s="4"/>
      <c r="N235" s="2" t="e">
        <f>VLOOKUP(B235,歌单!B:C,2,0)</f>
        <v>#N/A</v>
      </c>
      <c r="O235" s="2">
        <f t="shared" si="7"/>
        <v>1</v>
      </c>
      <c r="P235" t="e">
        <f>VLOOKUP(B235,歌单!B:C,1,0)</f>
        <v>#N/A</v>
      </c>
    </row>
    <row r="236" spans="1:16" ht="15" hidden="1" customHeight="1">
      <c r="A236" s="4" t="s">
        <v>1066</v>
      </c>
      <c r="B236" s="4" t="s">
        <v>1067</v>
      </c>
      <c r="C236" s="4" t="s">
        <v>1068</v>
      </c>
      <c r="D236" s="18"/>
      <c r="E236" s="18">
        <v>0</v>
      </c>
      <c r="F236" s="18">
        <v>0</v>
      </c>
      <c r="G236" s="4" t="s">
        <v>1069</v>
      </c>
      <c r="H236" s="4" t="s">
        <v>1070</v>
      </c>
      <c r="I236" s="5">
        <v>1013</v>
      </c>
      <c r="J236" s="4"/>
      <c r="K236" s="4" t="s">
        <v>1071</v>
      </c>
      <c r="L236" s="4">
        <v>291250605</v>
      </c>
      <c r="M236" s="4"/>
      <c r="N236" s="2" t="str">
        <f>VLOOKUP(B236,歌单!B:C,2,0)</f>
        <v>周兴哲</v>
      </c>
      <c r="O236" s="2">
        <f t="shared" si="7"/>
        <v>0</v>
      </c>
      <c r="P236" t="str">
        <f>VLOOKUP(B236,歌单!B:C,1,0)</f>
        <v>永不失联的爱</v>
      </c>
    </row>
    <row r="237" spans="1:16" ht="15" hidden="1" customHeight="1">
      <c r="A237" s="4" t="s">
        <v>1072</v>
      </c>
      <c r="B237" s="4" t="s">
        <v>1073</v>
      </c>
      <c r="C237" s="4" t="s">
        <v>265</v>
      </c>
      <c r="D237" s="18"/>
      <c r="E237" s="18">
        <v>0</v>
      </c>
      <c r="F237" s="18">
        <v>0</v>
      </c>
      <c r="G237" s="4" t="s">
        <v>1074</v>
      </c>
      <c r="H237" s="4" t="s">
        <v>1075</v>
      </c>
      <c r="I237" s="5">
        <v>2</v>
      </c>
      <c r="J237" s="4"/>
      <c r="K237" s="4" t="s">
        <v>1076</v>
      </c>
      <c r="L237" s="4">
        <v>3494554</v>
      </c>
      <c r="M237" s="4"/>
      <c r="N237" s="2" t="e">
        <f>VLOOKUP(B237,歌单!B:C,2,0)</f>
        <v>#N/A</v>
      </c>
      <c r="O237" s="2">
        <f t="shared" si="7"/>
        <v>1</v>
      </c>
      <c r="P237" t="e">
        <f>VLOOKUP(B237,歌单!B:C,1,0)</f>
        <v>#N/A</v>
      </c>
    </row>
    <row r="238" spans="1:16" ht="15" hidden="1" customHeight="1">
      <c r="A238" s="4" t="s">
        <v>1077</v>
      </c>
      <c r="B238" s="4" t="s">
        <v>1078</v>
      </c>
      <c r="C238" s="4" t="s">
        <v>154</v>
      </c>
      <c r="D238" s="18"/>
      <c r="E238" s="18">
        <v>0</v>
      </c>
      <c r="F238" s="18">
        <v>0</v>
      </c>
      <c r="G238" s="4" t="s">
        <v>1079</v>
      </c>
      <c r="H238" s="4" t="s">
        <v>1080</v>
      </c>
      <c r="I238" s="5">
        <v>2026</v>
      </c>
      <c r="J238" s="4"/>
      <c r="K238" s="4" t="s">
        <v>378</v>
      </c>
      <c r="L238" s="4">
        <v>437092203</v>
      </c>
      <c r="M238" s="4"/>
      <c r="N238" s="2" t="str">
        <f>VLOOKUP(B238,歌单!B:C,2,0)</f>
        <v>周杰伦</v>
      </c>
      <c r="O238" s="2">
        <f t="shared" si="7"/>
        <v>0</v>
      </c>
      <c r="P238" t="str">
        <f>VLOOKUP(B238,歌单!B:C,1,0)</f>
        <v>最长的电影</v>
      </c>
    </row>
    <row r="239" spans="1:16" ht="15" hidden="1" customHeight="1">
      <c r="A239" s="4" t="s">
        <v>1081</v>
      </c>
      <c r="B239" s="4" t="s">
        <v>1082</v>
      </c>
      <c r="C239" s="4" t="s">
        <v>1083</v>
      </c>
      <c r="D239" s="18"/>
      <c r="E239" s="18">
        <v>0</v>
      </c>
      <c r="F239" s="18">
        <v>0</v>
      </c>
      <c r="G239" s="4" t="s">
        <v>1084</v>
      </c>
      <c r="H239" s="4" t="s">
        <v>1085</v>
      </c>
      <c r="I239" s="5">
        <v>43</v>
      </c>
      <c r="J239" s="4"/>
      <c r="K239" s="4" t="s">
        <v>1086</v>
      </c>
      <c r="L239" s="4">
        <v>20951606</v>
      </c>
      <c r="M239" s="4"/>
      <c r="N239" s="2" t="str">
        <f>VLOOKUP(B239,歌单!B:C,2,0)</f>
        <v>张玉华</v>
      </c>
      <c r="O239" s="2">
        <f t="shared" si="7"/>
        <v>0</v>
      </c>
      <c r="P239" t="str">
        <f>VLOOKUP(B239,歌单!B:C,1,0)</f>
        <v>原谅</v>
      </c>
    </row>
    <row r="240" spans="1:16" ht="15" hidden="1" customHeight="1">
      <c r="A240" s="4" t="s">
        <v>1087</v>
      </c>
      <c r="B240" s="4" t="s">
        <v>1088</v>
      </c>
      <c r="C240" s="4" t="s">
        <v>466</v>
      </c>
      <c r="D240" s="18"/>
      <c r="E240" s="18">
        <v>0</v>
      </c>
      <c r="F240" s="18">
        <v>0</v>
      </c>
      <c r="G240" s="4" t="s">
        <v>1089</v>
      </c>
      <c r="H240" s="4" t="s">
        <v>1090</v>
      </c>
      <c r="I240" s="5">
        <v>0</v>
      </c>
      <c r="J240" s="4" t="s">
        <v>1091</v>
      </c>
      <c r="K240" s="4" t="s">
        <v>1088</v>
      </c>
      <c r="L240" s="4">
        <v>2086840</v>
      </c>
      <c r="M240" s="4"/>
      <c r="N240" s="2" t="str">
        <f>VLOOKUP(B240,歌单!B:C,2,0)</f>
        <v>郁可唯</v>
      </c>
      <c r="O240" s="2">
        <f t="shared" si="7"/>
        <v>0</v>
      </c>
      <c r="P240" t="str">
        <f>VLOOKUP(B240,歌单!B:C,1,0)</f>
        <v>落在胸口的星星</v>
      </c>
    </row>
    <row r="241" spans="1:16" ht="15" hidden="1" customHeight="1">
      <c r="A241" s="4" t="s">
        <v>1092</v>
      </c>
      <c r="B241" s="4" t="s">
        <v>1093</v>
      </c>
      <c r="C241" s="4" t="s">
        <v>1094</v>
      </c>
      <c r="D241" s="18"/>
      <c r="E241" s="18">
        <v>0</v>
      </c>
      <c r="F241" s="18">
        <v>0</v>
      </c>
      <c r="G241" s="4" t="s">
        <v>1095</v>
      </c>
      <c r="H241" s="4" t="s">
        <v>1096</v>
      </c>
      <c r="I241" s="5">
        <v>565</v>
      </c>
      <c r="J241" s="4"/>
      <c r="K241" s="4" t="s">
        <v>1093</v>
      </c>
      <c r="L241" s="4">
        <v>52168799</v>
      </c>
      <c r="M241" s="4"/>
      <c r="N241" s="2" t="e">
        <f>VLOOKUP(B241,歌单!B:C,2,0)</f>
        <v>#N/A</v>
      </c>
      <c r="O241" s="2">
        <f t="shared" si="7"/>
        <v>1</v>
      </c>
      <c r="P241" t="e">
        <f>VLOOKUP(B241,歌单!B:C,1,0)</f>
        <v>#N/A</v>
      </c>
    </row>
    <row r="242" spans="1:16" ht="15" hidden="1" customHeight="1">
      <c r="A242" s="4" t="s">
        <v>1097</v>
      </c>
      <c r="B242" s="4" t="s">
        <v>1098</v>
      </c>
      <c r="C242" s="4" t="s">
        <v>154</v>
      </c>
      <c r="D242" s="18"/>
      <c r="E242" s="18">
        <v>0</v>
      </c>
      <c r="F242" s="18">
        <v>0</v>
      </c>
      <c r="G242" s="4" t="s">
        <v>1099</v>
      </c>
      <c r="H242" s="4" t="s">
        <v>1100</v>
      </c>
      <c r="I242" s="5">
        <v>2198</v>
      </c>
      <c r="J242" s="4" t="s">
        <v>1098</v>
      </c>
      <c r="K242" s="4" t="s">
        <v>321</v>
      </c>
      <c r="L242" s="4">
        <v>280199234</v>
      </c>
      <c r="M242" s="4"/>
      <c r="N242" s="2" t="e">
        <f>VLOOKUP(B242,歌单!B:C,2,0)</f>
        <v>#N/A</v>
      </c>
      <c r="O242" s="2">
        <f t="shared" si="7"/>
        <v>1</v>
      </c>
      <c r="P242" t="e">
        <f>VLOOKUP(B242,歌单!B:C,1,0)</f>
        <v>#N/A</v>
      </c>
    </row>
    <row r="243" spans="1:16" ht="15" hidden="1" customHeight="1">
      <c r="A243" s="4" t="s">
        <v>1101</v>
      </c>
      <c r="B243" s="4" t="s">
        <v>1102</v>
      </c>
      <c r="C243" s="4" t="s">
        <v>427</v>
      </c>
      <c r="D243" s="18"/>
      <c r="E243" s="18">
        <v>0</v>
      </c>
      <c r="F243" s="18">
        <v>0</v>
      </c>
      <c r="G243" s="4" t="s">
        <v>1103</v>
      </c>
      <c r="H243" s="4"/>
      <c r="I243" s="5">
        <v>541</v>
      </c>
      <c r="J243" s="4" t="s">
        <v>1104</v>
      </c>
      <c r="K243" s="4" t="s">
        <v>1105</v>
      </c>
      <c r="L243" s="4">
        <v>100001088</v>
      </c>
      <c r="M243" s="4"/>
      <c r="N243" s="2" t="str">
        <f>VLOOKUP(B243,歌单!B:C,2,0)</f>
        <v>袁娅维</v>
      </c>
      <c r="O243" s="2">
        <f t="shared" si="7"/>
        <v>0</v>
      </c>
      <c r="P243" t="str">
        <f>VLOOKUP(B243,歌单!B:C,1,0)</f>
        <v>一生等你</v>
      </c>
    </row>
    <row r="244" spans="1:16" ht="15" hidden="1" customHeight="1">
      <c r="A244" s="4" t="s">
        <v>1106</v>
      </c>
      <c r="B244" s="4" t="s">
        <v>1107</v>
      </c>
      <c r="C244" s="4" t="s">
        <v>679</v>
      </c>
      <c r="D244" s="18"/>
      <c r="E244" s="18">
        <v>0</v>
      </c>
      <c r="F244" s="18">
        <v>0</v>
      </c>
      <c r="G244" s="4" t="s">
        <v>1108</v>
      </c>
      <c r="H244" s="4" t="s">
        <v>1109</v>
      </c>
      <c r="I244" s="5">
        <v>412</v>
      </c>
      <c r="J244" s="4"/>
      <c r="K244" s="4" t="s">
        <v>1110</v>
      </c>
      <c r="L244" s="4">
        <v>192890831</v>
      </c>
      <c r="M244" s="4"/>
      <c r="N244" s="2" t="str">
        <f>VLOOKUP(B244,歌单!B:C,2,0)</f>
        <v>林俊杰</v>
      </c>
      <c r="O244" s="2">
        <f t="shared" si="7"/>
        <v>0</v>
      </c>
      <c r="P244" t="str">
        <f>VLOOKUP(B244,歌单!B:C,1,0)</f>
        <v>那些你很冒险的梦</v>
      </c>
    </row>
    <row r="245" spans="1:16" ht="15" hidden="1" customHeight="1">
      <c r="A245" s="4" t="s">
        <v>1111</v>
      </c>
      <c r="B245" s="4" t="s">
        <v>1112</v>
      </c>
      <c r="C245" s="4" t="s">
        <v>670</v>
      </c>
      <c r="D245" s="18"/>
      <c r="E245" s="18">
        <v>0</v>
      </c>
      <c r="F245" s="18">
        <v>0</v>
      </c>
      <c r="G245" s="4" t="s">
        <v>1113</v>
      </c>
      <c r="H245" s="4" t="s">
        <v>1114</v>
      </c>
      <c r="I245" s="5">
        <v>0</v>
      </c>
      <c r="J245" s="4"/>
      <c r="K245" s="4" t="s">
        <v>672</v>
      </c>
      <c r="L245" s="4">
        <v>206797</v>
      </c>
      <c r="M245" s="4"/>
      <c r="N245" s="2" t="e">
        <f>VLOOKUP(B245,歌单!B:C,2,0)</f>
        <v>#N/A</v>
      </c>
      <c r="O245" s="2">
        <f t="shared" si="7"/>
        <v>1</v>
      </c>
      <c r="P245" t="e">
        <f>VLOOKUP(B245,歌单!B:C,1,0)</f>
        <v>#N/A</v>
      </c>
    </row>
    <row r="246" spans="1:16" ht="15" hidden="1" customHeight="1">
      <c r="A246" s="4" t="s">
        <v>1115</v>
      </c>
      <c r="B246" s="4" t="s">
        <v>1116</v>
      </c>
      <c r="C246" s="4" t="s">
        <v>1117</v>
      </c>
      <c r="D246" s="18"/>
      <c r="E246" s="18">
        <v>0</v>
      </c>
      <c r="F246" s="18">
        <v>0</v>
      </c>
      <c r="G246" s="4" t="s">
        <v>1118</v>
      </c>
      <c r="H246" s="4" t="s">
        <v>1119</v>
      </c>
      <c r="I246" s="5">
        <v>0</v>
      </c>
      <c r="J246" s="4"/>
      <c r="K246" s="4" t="s">
        <v>1120</v>
      </c>
      <c r="L246" s="4">
        <v>574539</v>
      </c>
      <c r="M246" s="4"/>
      <c r="N246" s="2" t="e">
        <f>VLOOKUP(B246,歌单!B:C,2,0)</f>
        <v>#N/A</v>
      </c>
      <c r="O246" s="2">
        <f t="shared" si="7"/>
        <v>1</v>
      </c>
      <c r="P246" t="e">
        <f>VLOOKUP(B246,歌单!B:C,1,0)</f>
        <v>#N/A</v>
      </c>
    </row>
    <row r="247" spans="1:16" ht="15" hidden="1" customHeight="1">
      <c r="A247" s="4" t="s">
        <v>1121</v>
      </c>
      <c r="B247" s="4" t="s">
        <v>1122</v>
      </c>
      <c r="C247" s="4" t="s">
        <v>1123</v>
      </c>
      <c r="D247" s="18"/>
      <c r="E247" s="18">
        <v>0</v>
      </c>
      <c r="F247" s="18">
        <v>0</v>
      </c>
      <c r="G247" s="4" t="s">
        <v>1124</v>
      </c>
      <c r="H247" s="4"/>
      <c r="I247" s="5">
        <v>0</v>
      </c>
      <c r="J247" s="4" t="s">
        <v>1125</v>
      </c>
      <c r="K247" s="4" t="s">
        <v>1126</v>
      </c>
      <c r="L247" s="4">
        <v>214685</v>
      </c>
      <c r="M247" s="4"/>
      <c r="N247" s="2" t="e">
        <f>VLOOKUP(B247,歌单!B:C,2,0)</f>
        <v>#N/A</v>
      </c>
      <c r="O247" s="2">
        <f t="shared" si="7"/>
        <v>1</v>
      </c>
      <c r="P247" t="e">
        <f>VLOOKUP(B247,歌单!B:C,1,0)</f>
        <v>#N/A</v>
      </c>
    </row>
    <row r="248" spans="1:16" ht="15" hidden="1" customHeight="1">
      <c r="A248" s="4" t="s">
        <v>1127</v>
      </c>
      <c r="B248" s="4" t="s">
        <v>1128</v>
      </c>
      <c r="C248" s="4" t="s">
        <v>1129</v>
      </c>
      <c r="D248" s="18"/>
      <c r="E248" s="18">
        <v>0</v>
      </c>
      <c r="F248" s="18">
        <v>0</v>
      </c>
      <c r="G248" s="4" t="s">
        <v>1130</v>
      </c>
      <c r="H248" s="4"/>
      <c r="I248" s="5">
        <v>1</v>
      </c>
      <c r="J248" s="4"/>
      <c r="K248" s="4" t="s">
        <v>1131</v>
      </c>
      <c r="L248" s="4">
        <v>185415</v>
      </c>
      <c r="M248" s="4"/>
      <c r="N248" s="2" t="e">
        <f>VLOOKUP(B248,歌单!B:C,2,0)</f>
        <v>#N/A</v>
      </c>
      <c r="O248" s="2">
        <f t="shared" si="7"/>
        <v>1</v>
      </c>
      <c r="P248" t="e">
        <f>VLOOKUP(B248,歌单!B:C,1,0)</f>
        <v>#N/A</v>
      </c>
    </row>
    <row r="249" spans="1:16" ht="15" hidden="1" customHeight="1">
      <c r="A249" s="4" t="s">
        <v>1132</v>
      </c>
      <c r="B249" s="4" t="s">
        <v>1133</v>
      </c>
      <c r="C249" s="4" t="s">
        <v>541</v>
      </c>
      <c r="D249" s="18"/>
      <c r="E249" s="18">
        <v>0</v>
      </c>
      <c r="F249" s="18">
        <v>0</v>
      </c>
      <c r="G249" s="4" t="s">
        <v>1134</v>
      </c>
      <c r="H249" s="4" t="s">
        <v>1135</v>
      </c>
      <c r="I249" s="5">
        <v>50</v>
      </c>
      <c r="J249" s="4"/>
      <c r="K249" s="4" t="s">
        <v>1136</v>
      </c>
      <c r="L249" s="4">
        <v>32238564</v>
      </c>
      <c r="M249" s="4" t="s">
        <v>747</v>
      </c>
      <c r="N249" s="2" t="str">
        <f>VLOOKUP(B249,歌单!B:C,2,0)</f>
        <v>张惠妹</v>
      </c>
      <c r="O249" s="2">
        <f t="shared" si="7"/>
        <v>0</v>
      </c>
      <c r="P249" t="str">
        <f>VLOOKUP(B249,歌单!B:C,1,0)</f>
        <v>掉了</v>
      </c>
    </row>
    <row r="250" spans="1:16" ht="15" hidden="1" customHeight="1">
      <c r="A250" s="4" t="s">
        <v>1137</v>
      </c>
      <c r="B250" s="4" t="s">
        <v>1138</v>
      </c>
      <c r="C250" s="4" t="s">
        <v>541</v>
      </c>
      <c r="D250" s="18"/>
      <c r="E250" s="18">
        <v>0</v>
      </c>
      <c r="F250" s="18">
        <v>0</v>
      </c>
      <c r="G250" s="4" t="s">
        <v>1139</v>
      </c>
      <c r="H250" s="4" t="s">
        <v>1140</v>
      </c>
      <c r="I250" s="5">
        <v>39</v>
      </c>
      <c r="J250" s="4"/>
      <c r="K250" s="4" t="s">
        <v>1141</v>
      </c>
      <c r="L250" s="4">
        <v>25180382</v>
      </c>
      <c r="M250" s="4"/>
      <c r="N250" s="2" t="str">
        <f>VLOOKUP(B250,歌单!B:C,2,0)</f>
        <v>张惠妹</v>
      </c>
      <c r="O250" s="2">
        <f t="shared" si="7"/>
        <v>0</v>
      </c>
      <c r="P250" t="str">
        <f>VLOOKUP(B250,歌单!B:C,1,0)</f>
        <v>我最亲爱的</v>
      </c>
    </row>
    <row r="251" spans="1:16" ht="15" hidden="1" customHeight="1">
      <c r="A251" s="4" t="s">
        <v>1142</v>
      </c>
      <c r="B251" s="4" t="s">
        <v>1143</v>
      </c>
      <c r="C251" s="4" t="s">
        <v>154</v>
      </c>
      <c r="D251" s="18"/>
      <c r="E251" s="18">
        <v>82980</v>
      </c>
      <c r="F251" s="18">
        <v>5843</v>
      </c>
      <c r="G251" s="4" t="s">
        <v>1144</v>
      </c>
      <c r="H251" s="4"/>
      <c r="I251" s="5">
        <v>7881</v>
      </c>
      <c r="J251" s="4"/>
      <c r="K251" s="4" t="s">
        <v>1026</v>
      </c>
      <c r="L251" s="4">
        <v>2525440964</v>
      </c>
      <c r="M251" s="4" t="s">
        <v>631</v>
      </c>
      <c r="N251" s="2" t="str">
        <f>VLOOKUP(B251,歌单!B:C,2,0)</f>
        <v>周杰伦</v>
      </c>
      <c r="O251" s="2">
        <f t="shared" si="7"/>
        <v>0</v>
      </c>
      <c r="P251" t="str">
        <f>VLOOKUP(B251,歌单!B:C,1,0)</f>
        <v>稻香</v>
      </c>
    </row>
    <row r="252" spans="1:16" ht="15" customHeight="1">
      <c r="A252" s="4" t="s">
        <v>1145</v>
      </c>
      <c r="B252" s="4" t="s">
        <v>1146</v>
      </c>
      <c r="C252" s="4" t="s">
        <v>1147</v>
      </c>
      <c r="D252" s="18"/>
      <c r="E252" s="18">
        <v>0</v>
      </c>
      <c r="F252" s="18">
        <v>0</v>
      </c>
      <c r="G252" s="4" t="s">
        <v>1148</v>
      </c>
      <c r="H252" s="4" t="s">
        <v>1149</v>
      </c>
      <c r="I252" s="5">
        <v>2359</v>
      </c>
      <c r="J252" s="4" t="s">
        <v>1150</v>
      </c>
      <c r="K252" s="4" t="s">
        <v>1151</v>
      </c>
      <c r="L252" s="4">
        <v>377806178</v>
      </c>
      <c r="M252" s="4"/>
      <c r="N252" s="2">
        <f>VLOOKUP(B252,歌单!B:C,2,0)</f>
        <v>0</v>
      </c>
      <c r="O252" s="2">
        <f t="shared" si="7"/>
        <v>1</v>
      </c>
      <c r="P252" t="str">
        <f>VLOOKUP(B252,歌单!B:C,1,0)</f>
        <v>Baby</v>
      </c>
    </row>
    <row r="253" spans="1:16" ht="15" customHeight="1">
      <c r="A253" s="4" t="s">
        <v>1152</v>
      </c>
      <c r="B253" s="4" t="s">
        <v>1153</v>
      </c>
      <c r="C253" s="4" t="s">
        <v>1154</v>
      </c>
      <c r="D253" s="18"/>
      <c r="E253" s="18">
        <v>0</v>
      </c>
      <c r="F253" s="18">
        <v>0</v>
      </c>
      <c r="G253" s="4" t="s">
        <v>1155</v>
      </c>
      <c r="H253" s="4" t="s">
        <v>1156</v>
      </c>
      <c r="I253" s="5">
        <v>0</v>
      </c>
      <c r="J253" s="4"/>
      <c r="K253" s="4" t="s">
        <v>1157</v>
      </c>
      <c r="L253" s="4">
        <v>88189</v>
      </c>
      <c r="M253" s="4"/>
      <c r="N253" s="2">
        <f>VLOOKUP(B253,歌单!B:C,2,0)</f>
        <v>0</v>
      </c>
      <c r="O253" s="2">
        <f t="shared" si="7"/>
        <v>1</v>
      </c>
      <c r="P253" t="str">
        <f>VLOOKUP(B253,歌单!B:C,1,0)</f>
        <v>让我们荡起双桨</v>
      </c>
    </row>
    <row r="254" spans="1:16" ht="15" hidden="1" customHeight="1">
      <c r="A254" s="4" t="s">
        <v>1158</v>
      </c>
      <c r="B254" s="4" t="s">
        <v>1159</v>
      </c>
      <c r="C254" s="4" t="s">
        <v>1160</v>
      </c>
      <c r="D254" s="18"/>
      <c r="E254" s="18">
        <v>0</v>
      </c>
      <c r="F254" s="18">
        <v>0</v>
      </c>
      <c r="G254" s="4" t="s">
        <v>1161</v>
      </c>
      <c r="H254" s="4" t="s">
        <v>1162</v>
      </c>
      <c r="I254" s="5">
        <v>642</v>
      </c>
      <c r="J254" s="4" t="s">
        <v>1163</v>
      </c>
      <c r="K254" s="4" t="s">
        <v>1159</v>
      </c>
      <c r="L254" s="4">
        <v>87672374</v>
      </c>
      <c r="M254" s="4"/>
      <c r="N254" s="2" t="str">
        <f>VLOOKUP(B254,歌单!B:C,2,0)</f>
        <v>曲锦楠</v>
      </c>
      <c r="O254" s="2">
        <f t="shared" si="7"/>
        <v>0</v>
      </c>
      <c r="P254" t="str">
        <f>VLOOKUP(B254,歌单!B:C,1,0)</f>
        <v>霞光</v>
      </c>
    </row>
    <row r="255" spans="1:16" ht="15" hidden="1" customHeight="1">
      <c r="A255" s="4" t="s">
        <v>1164</v>
      </c>
      <c r="B255" s="4" t="s">
        <v>1165</v>
      </c>
      <c r="C255" s="4" t="s">
        <v>227</v>
      </c>
      <c r="D255" s="18"/>
      <c r="E255" s="18">
        <v>0</v>
      </c>
      <c r="F255" s="18">
        <v>0</v>
      </c>
      <c r="G255" s="4" t="s">
        <v>1166</v>
      </c>
      <c r="H255" s="4" t="s">
        <v>1167</v>
      </c>
      <c r="I255" s="5">
        <v>1418</v>
      </c>
      <c r="J255" s="4"/>
      <c r="K255" s="4" t="s">
        <v>1168</v>
      </c>
      <c r="L255" s="4">
        <v>155681177</v>
      </c>
      <c r="M255" s="4" t="s">
        <v>852</v>
      </c>
      <c r="N255" s="2" t="str">
        <f>VLOOKUP(B255,歌单!B:C,2,0)</f>
        <v>王菲</v>
      </c>
      <c r="O255" s="2">
        <f t="shared" si="7"/>
        <v>0</v>
      </c>
      <c r="P255" t="str">
        <f>VLOOKUP(B255,歌单!B:C,1,0)</f>
        <v>百年孤寂</v>
      </c>
    </row>
    <row r="256" spans="1:16" ht="15" hidden="1" customHeight="1">
      <c r="A256" s="4" t="s">
        <v>1169</v>
      </c>
      <c r="B256" s="4" t="s">
        <v>1170</v>
      </c>
      <c r="C256" s="4" t="s">
        <v>227</v>
      </c>
      <c r="D256" s="18"/>
      <c r="E256" s="18">
        <v>0</v>
      </c>
      <c r="F256" s="18">
        <v>0</v>
      </c>
      <c r="G256" s="4" t="s">
        <v>1171</v>
      </c>
      <c r="H256" s="4" t="s">
        <v>1172</v>
      </c>
      <c r="I256" s="5">
        <v>33</v>
      </c>
      <c r="J256" s="4"/>
      <c r="K256" s="4"/>
      <c r="L256" s="4">
        <v>17175894</v>
      </c>
      <c r="M256" s="4"/>
      <c r="N256" s="2" t="str">
        <f>VLOOKUP(B256,歌单!B:C,2,0)</f>
        <v>王菲</v>
      </c>
      <c r="O256" s="2">
        <f t="shared" si="7"/>
        <v>0</v>
      </c>
      <c r="P256" t="str">
        <f>VLOOKUP(B256,歌单!B:C,1,0)</f>
        <v>矜持</v>
      </c>
    </row>
    <row r="257" spans="1:16" ht="15" hidden="1" customHeight="1">
      <c r="A257" s="4" t="s">
        <v>1173</v>
      </c>
      <c r="B257" s="4" t="s">
        <v>1174</v>
      </c>
      <c r="C257" s="4" t="s">
        <v>1175</v>
      </c>
      <c r="D257" s="18"/>
      <c r="E257" s="18">
        <v>0</v>
      </c>
      <c r="F257" s="18">
        <v>0</v>
      </c>
      <c r="G257" s="4" t="s">
        <v>1176</v>
      </c>
      <c r="H257" s="4" t="s">
        <v>1177</v>
      </c>
      <c r="I257" s="5">
        <v>2</v>
      </c>
      <c r="J257" s="4"/>
      <c r="K257" s="4" t="s">
        <v>1178</v>
      </c>
      <c r="L257" s="4">
        <v>1631890</v>
      </c>
      <c r="M257" s="4"/>
      <c r="N257" s="2" t="e">
        <f>VLOOKUP(B257,歌单!B:C,2,0)</f>
        <v>#N/A</v>
      </c>
      <c r="O257" s="2">
        <f t="shared" si="7"/>
        <v>1</v>
      </c>
      <c r="P257" t="e">
        <f>VLOOKUP(B257,歌单!B:C,1,0)</f>
        <v>#N/A</v>
      </c>
    </row>
    <row r="258" spans="1:16" ht="15" hidden="1" customHeight="1">
      <c r="A258" s="4" t="s">
        <v>1179</v>
      </c>
      <c r="B258" s="4" t="s">
        <v>1180</v>
      </c>
      <c r="C258" s="4" t="s">
        <v>541</v>
      </c>
      <c r="D258" s="18"/>
      <c r="E258" s="18">
        <v>0</v>
      </c>
      <c r="F258" s="18">
        <v>0</v>
      </c>
      <c r="G258" s="4" t="s">
        <v>1181</v>
      </c>
      <c r="H258" s="4" t="s">
        <v>1182</v>
      </c>
      <c r="I258" s="5">
        <v>17</v>
      </c>
      <c r="J258" s="4"/>
      <c r="K258" s="4" t="s">
        <v>1180</v>
      </c>
      <c r="L258" s="4">
        <v>6260891</v>
      </c>
      <c r="M258" s="4"/>
      <c r="N258" s="2" t="str">
        <f>VLOOKUP(B258,歌单!B:C,2,0)</f>
        <v>张惠妹</v>
      </c>
      <c r="O258" s="2">
        <f t="shared" si="7"/>
        <v>0</v>
      </c>
      <c r="P258" t="str">
        <f>VLOOKUP(B258,歌单!B:C,1,0)</f>
        <v>真实</v>
      </c>
    </row>
    <row r="259" spans="1:16" ht="15" hidden="1" customHeight="1">
      <c r="A259" s="4" t="s">
        <v>1183</v>
      </c>
      <c r="B259" s="4" t="s">
        <v>1184</v>
      </c>
      <c r="C259" s="4" t="s">
        <v>131</v>
      </c>
      <c r="D259" s="18"/>
      <c r="E259" s="18">
        <v>0</v>
      </c>
      <c r="F259" s="18">
        <v>0</v>
      </c>
      <c r="G259" s="4" t="s">
        <v>1185</v>
      </c>
      <c r="H259" s="4" t="s">
        <v>1186</v>
      </c>
      <c r="I259" s="5">
        <v>13</v>
      </c>
      <c r="J259" s="4"/>
      <c r="K259" s="4" t="s">
        <v>1187</v>
      </c>
      <c r="L259" s="4">
        <v>6139411</v>
      </c>
      <c r="M259" s="4"/>
      <c r="N259" s="2" t="e">
        <f>VLOOKUP(B259,歌单!B:C,2,0)</f>
        <v>#N/A</v>
      </c>
      <c r="O259" s="2">
        <f t="shared" ref="O259:O322" si="8">_xlfn.IFNA(IF(IFERROR(SEARCH(N259,C259),0)&gt;0,0,1),0)</f>
        <v>1</v>
      </c>
      <c r="P259" t="e">
        <f>VLOOKUP(B259,歌单!B:C,1,0)</f>
        <v>#N/A</v>
      </c>
    </row>
    <row r="260" spans="1:16" ht="15" hidden="1" customHeight="1">
      <c r="A260" s="4" t="s">
        <v>1188</v>
      </c>
      <c r="B260" s="4" t="s">
        <v>1189</v>
      </c>
      <c r="C260" s="4" t="s">
        <v>265</v>
      </c>
      <c r="D260" s="18"/>
      <c r="E260" s="18">
        <v>0</v>
      </c>
      <c r="F260" s="18">
        <v>0</v>
      </c>
      <c r="G260" s="4" t="s">
        <v>1190</v>
      </c>
      <c r="H260" s="4" t="s">
        <v>1191</v>
      </c>
      <c r="I260" s="5">
        <v>1269</v>
      </c>
      <c r="J260" s="4" t="s">
        <v>1192</v>
      </c>
      <c r="K260" s="4" t="s">
        <v>1193</v>
      </c>
      <c r="L260" s="4">
        <v>347528057</v>
      </c>
      <c r="M260" s="4"/>
      <c r="N260" s="2" t="str">
        <f>VLOOKUP(B260,歌单!B:C,2,0)</f>
        <v>蔡依林</v>
      </c>
      <c r="O260" s="2">
        <f t="shared" si="8"/>
        <v>0</v>
      </c>
      <c r="P260" t="str">
        <f>VLOOKUP(B260,歌单!B:C,1,0)</f>
        <v>说爱你</v>
      </c>
    </row>
    <row r="261" spans="1:16" ht="15" hidden="1" customHeight="1">
      <c r="A261" s="4" t="s">
        <v>1194</v>
      </c>
      <c r="B261" s="4" t="s">
        <v>1195</v>
      </c>
      <c r="C261" s="4" t="s">
        <v>265</v>
      </c>
      <c r="D261" s="18"/>
      <c r="E261" s="18">
        <v>0</v>
      </c>
      <c r="F261" s="18">
        <v>0</v>
      </c>
      <c r="G261" s="4" t="s">
        <v>1196</v>
      </c>
      <c r="H261" s="4" t="s">
        <v>1197</v>
      </c>
      <c r="I261" s="5">
        <v>23031</v>
      </c>
      <c r="J261" s="4"/>
      <c r="K261" s="4" t="s">
        <v>1198</v>
      </c>
      <c r="L261" s="4">
        <v>1372935531</v>
      </c>
      <c r="M261" s="4" t="s">
        <v>631</v>
      </c>
      <c r="N261" s="2" t="e">
        <f>VLOOKUP(B261,歌单!B:C,2,0)</f>
        <v>#N/A</v>
      </c>
      <c r="O261" s="2">
        <f t="shared" si="8"/>
        <v>1</v>
      </c>
      <c r="P261" t="e">
        <f>VLOOKUP(B261,歌单!B:C,1,0)</f>
        <v>#N/A</v>
      </c>
    </row>
    <row r="262" spans="1:16" ht="15" hidden="1" customHeight="1">
      <c r="A262" s="4" t="s">
        <v>1199</v>
      </c>
      <c r="B262" s="4" t="s">
        <v>1200</v>
      </c>
      <c r="C262" s="4" t="s">
        <v>265</v>
      </c>
      <c r="D262" s="18"/>
      <c r="E262" s="18">
        <v>0</v>
      </c>
      <c r="F262" s="18">
        <v>0</v>
      </c>
      <c r="G262" s="4" t="s">
        <v>1201</v>
      </c>
      <c r="H262" s="4" t="s">
        <v>1202</v>
      </c>
      <c r="I262" s="5">
        <v>320</v>
      </c>
      <c r="J262" s="4" t="s">
        <v>1203</v>
      </c>
      <c r="K262" s="4" t="s">
        <v>1204</v>
      </c>
      <c r="L262" s="4">
        <v>180093278</v>
      </c>
      <c r="M262" s="4"/>
      <c r="N262" s="2" t="str">
        <f>VLOOKUP(B262,歌单!B:C,2,0)</f>
        <v>蔡依林</v>
      </c>
      <c r="O262" s="2">
        <f t="shared" si="8"/>
        <v>0</v>
      </c>
      <c r="P262" t="str">
        <f>VLOOKUP(B262,歌单!B:C,1,0)</f>
        <v>倒带</v>
      </c>
    </row>
    <row r="263" spans="1:16" ht="15" hidden="1" customHeight="1">
      <c r="A263" s="32" t="s">
        <v>1205</v>
      </c>
      <c r="B263" s="4" t="s">
        <v>1206</v>
      </c>
      <c r="C263" s="4" t="s">
        <v>245</v>
      </c>
      <c r="D263" s="18"/>
      <c r="E263" s="18">
        <v>0</v>
      </c>
      <c r="F263" s="18">
        <v>0</v>
      </c>
      <c r="G263" s="4" t="s">
        <v>1207</v>
      </c>
      <c r="H263" s="4" t="s">
        <v>1208</v>
      </c>
      <c r="I263" s="5">
        <v>388</v>
      </c>
      <c r="J263" s="4"/>
      <c r="K263" s="4" t="s">
        <v>1209</v>
      </c>
      <c r="L263" s="4">
        <v>75022447</v>
      </c>
      <c r="M263" s="4"/>
      <c r="N263" s="28" t="str">
        <f>VLOOKUP(B263,歌单!B:C,2,0)</f>
        <v>alin</v>
      </c>
      <c r="O263" s="2">
        <f t="shared" si="8"/>
        <v>1</v>
      </c>
      <c r="P263" t="str">
        <f>VLOOKUP(B263,歌单!B:C,1,0)</f>
        <v>给我一个理由忘记</v>
      </c>
    </row>
    <row r="264" spans="1:16" ht="15" hidden="1" customHeight="1">
      <c r="A264" s="4" t="s">
        <v>1210</v>
      </c>
      <c r="B264" s="4" t="s">
        <v>378</v>
      </c>
      <c r="C264" s="4" t="s">
        <v>1211</v>
      </c>
      <c r="D264" s="18"/>
      <c r="E264" s="18">
        <v>0</v>
      </c>
      <c r="F264" s="18">
        <v>0</v>
      </c>
      <c r="G264" s="4" t="s">
        <v>1212</v>
      </c>
      <c r="H264" s="4" t="s">
        <v>1213</v>
      </c>
      <c r="I264" s="5">
        <v>2</v>
      </c>
      <c r="J264" s="4"/>
      <c r="K264" s="4" t="s">
        <v>1214</v>
      </c>
      <c r="L264" s="4">
        <v>2445092</v>
      </c>
      <c r="M264" s="4"/>
      <c r="N264" s="2" t="e">
        <f>VLOOKUP(B264,歌单!B:C,2,0)</f>
        <v>#N/A</v>
      </c>
      <c r="O264" s="2">
        <f t="shared" si="8"/>
        <v>1</v>
      </c>
      <c r="P264" t="e">
        <f>VLOOKUP(B264,歌单!B:C,1,0)</f>
        <v>#N/A</v>
      </c>
    </row>
    <row r="265" spans="1:16" ht="15" hidden="1" customHeight="1">
      <c r="A265" s="4" t="s">
        <v>1215</v>
      </c>
      <c r="B265" s="4" t="s">
        <v>1216</v>
      </c>
      <c r="C265" s="4" t="s">
        <v>1217</v>
      </c>
      <c r="D265" s="18"/>
      <c r="E265" s="18">
        <v>0</v>
      </c>
      <c r="F265" s="18">
        <v>0</v>
      </c>
      <c r="G265" s="4" t="s">
        <v>1218</v>
      </c>
      <c r="H265" s="4" t="s">
        <v>1219</v>
      </c>
      <c r="I265" s="5">
        <v>4</v>
      </c>
      <c r="J265" s="4" t="s">
        <v>1220</v>
      </c>
      <c r="K265" s="4" t="s">
        <v>1216</v>
      </c>
      <c r="L265" s="4">
        <v>5997802</v>
      </c>
      <c r="M265" s="4"/>
      <c r="N265" s="2" t="str">
        <f>VLOOKUP(B265,歌单!B:C,2,0)</f>
        <v>雷雨心</v>
      </c>
      <c r="O265" s="2">
        <f t="shared" si="8"/>
        <v>0</v>
      </c>
      <c r="P265" t="str">
        <f>VLOOKUP(B265,歌单!B:C,1,0)</f>
        <v>记念</v>
      </c>
    </row>
    <row r="266" spans="1:16" ht="15" customHeight="1">
      <c r="A266" s="4" t="s">
        <v>1221</v>
      </c>
      <c r="B266" s="4" t="s">
        <v>1222</v>
      </c>
      <c r="C266" s="4" t="s">
        <v>721</v>
      </c>
      <c r="D266" s="18"/>
      <c r="E266" s="18">
        <v>29709</v>
      </c>
      <c r="F266" s="18">
        <v>4401</v>
      </c>
      <c r="G266" s="4" t="s">
        <v>1223</v>
      </c>
      <c r="H266" s="4"/>
      <c r="I266" s="5">
        <v>1235</v>
      </c>
      <c r="J266" s="4"/>
      <c r="K266" s="4" t="s">
        <v>724</v>
      </c>
      <c r="L266" s="4">
        <v>249141822</v>
      </c>
      <c r="M266" s="4" t="s">
        <v>1224</v>
      </c>
      <c r="N266" s="2">
        <f>VLOOKUP(B266,歌单!B:C,2,0)</f>
        <v>0</v>
      </c>
      <c r="O266" s="2">
        <f t="shared" si="8"/>
        <v>1</v>
      </c>
      <c r="P266" t="str">
        <f>VLOOKUP(B266,歌单!B:C,1,0)</f>
        <v>我们的歌</v>
      </c>
    </row>
    <row r="267" spans="1:16" ht="15" hidden="1" customHeight="1">
      <c r="A267" s="4" t="s">
        <v>1225</v>
      </c>
      <c r="B267" s="4" t="s">
        <v>1226</v>
      </c>
      <c r="C267" s="4" t="s">
        <v>721</v>
      </c>
      <c r="D267" s="18"/>
      <c r="E267" s="18">
        <v>547</v>
      </c>
      <c r="F267" s="18">
        <v>47</v>
      </c>
      <c r="G267" s="4" t="s">
        <v>1227</v>
      </c>
      <c r="H267" s="4"/>
      <c r="I267" s="5">
        <v>157</v>
      </c>
      <c r="J267" s="4" t="s">
        <v>1226</v>
      </c>
      <c r="K267" s="4"/>
      <c r="L267" s="4">
        <v>96065912</v>
      </c>
      <c r="M267" s="4"/>
      <c r="N267" s="2" t="str">
        <f>VLOOKUP(B267,歌单!B:C,2,0)</f>
        <v>王力宏</v>
      </c>
      <c r="O267" s="2">
        <f t="shared" si="8"/>
        <v>0</v>
      </c>
      <c r="P267" t="str">
        <f>VLOOKUP(B267,歌单!B:C,1,0)</f>
        <v>你不知道的事</v>
      </c>
    </row>
    <row r="268" spans="1:16" ht="15" hidden="1" customHeight="1">
      <c r="A268" s="4" t="s">
        <v>1228</v>
      </c>
      <c r="B268" s="4" t="s">
        <v>1229</v>
      </c>
      <c r="C268" s="4" t="s">
        <v>1230</v>
      </c>
      <c r="D268" s="18"/>
      <c r="E268" s="18">
        <v>0</v>
      </c>
      <c r="F268" s="18">
        <v>0</v>
      </c>
      <c r="G268" s="4" t="s">
        <v>1231</v>
      </c>
      <c r="H268" s="4" t="s">
        <v>1232</v>
      </c>
      <c r="I268" s="5">
        <v>558</v>
      </c>
      <c r="J268" s="4" t="s">
        <v>1233</v>
      </c>
      <c r="K268" s="4" t="s">
        <v>1229</v>
      </c>
      <c r="L268" s="4">
        <v>70470580</v>
      </c>
      <c r="M268" s="4"/>
      <c r="N268" s="2" t="str">
        <f>VLOOKUP(B268,歌单!B:C,2,0)</f>
        <v>尤长靖</v>
      </c>
      <c r="O268" s="2">
        <f t="shared" si="8"/>
        <v>0</v>
      </c>
      <c r="P268" t="str">
        <f>VLOOKUP(B268,歌单!B:C,1,0)</f>
        <v>昨日青空</v>
      </c>
    </row>
    <row r="269" spans="1:16" ht="15" hidden="1" customHeight="1">
      <c r="A269" s="32" t="s">
        <v>1234</v>
      </c>
      <c r="B269" s="4" t="s">
        <v>1235</v>
      </c>
      <c r="C269" s="4" t="s">
        <v>154</v>
      </c>
      <c r="D269" s="18"/>
      <c r="E269" s="18">
        <v>6709</v>
      </c>
      <c r="F269" s="18">
        <v>265</v>
      </c>
      <c r="G269" s="4" t="s">
        <v>1236</v>
      </c>
      <c r="H269" s="4"/>
      <c r="I269" s="5">
        <v>349</v>
      </c>
      <c r="J269" s="4" t="s">
        <v>1237</v>
      </c>
      <c r="K269" s="4" t="s">
        <v>292</v>
      </c>
      <c r="L269" s="4">
        <v>182820128</v>
      </c>
      <c r="M269" s="4"/>
      <c r="N269" s="2" t="str">
        <f>VLOOKUP(B269,歌单!B:C,2,0)</f>
        <v>队长</v>
      </c>
      <c r="O269" s="2">
        <f t="shared" si="8"/>
        <v>1</v>
      </c>
      <c r="P269" t="str">
        <f>VLOOKUP(B269,歌单!B:C,1,0)</f>
        <v>哪里都是你</v>
      </c>
    </row>
    <row r="270" spans="1:16" ht="15" customHeight="1">
      <c r="A270" s="4" t="s">
        <v>1238</v>
      </c>
      <c r="B270" s="4" t="s">
        <v>1239</v>
      </c>
      <c r="C270" s="4" t="s">
        <v>1240</v>
      </c>
      <c r="D270" s="18"/>
      <c r="E270" s="18">
        <v>0</v>
      </c>
      <c r="F270" s="18">
        <v>0</v>
      </c>
      <c r="G270" s="4" t="s">
        <v>1241</v>
      </c>
      <c r="H270" s="4" t="s">
        <v>1242</v>
      </c>
      <c r="I270" s="5">
        <v>1014</v>
      </c>
      <c r="J270" s="4" t="s">
        <v>1243</v>
      </c>
      <c r="K270" s="4" t="s">
        <v>1239</v>
      </c>
      <c r="L270" s="4">
        <v>263295360</v>
      </c>
      <c r="M270" s="4"/>
      <c r="N270" s="2">
        <f>VLOOKUP(B270,歌单!B:C,2,0)</f>
        <v>0</v>
      </c>
      <c r="O270" s="2">
        <f t="shared" si="8"/>
        <v>1</v>
      </c>
      <c r="P270" t="str">
        <f>VLOOKUP(B270,歌单!B:C,1,0)</f>
        <v>送别</v>
      </c>
    </row>
    <row r="271" spans="1:16" ht="15" hidden="1" customHeight="1">
      <c r="A271" s="4" t="s">
        <v>1244</v>
      </c>
      <c r="B271" s="4" t="s">
        <v>1245</v>
      </c>
      <c r="C271" s="4" t="s">
        <v>154</v>
      </c>
      <c r="D271" s="18"/>
      <c r="E271" s="18">
        <v>0</v>
      </c>
      <c r="F271" s="18">
        <v>0</v>
      </c>
      <c r="G271" s="4" t="s">
        <v>1246</v>
      </c>
      <c r="H271" s="4" t="s">
        <v>1247</v>
      </c>
      <c r="I271" s="5">
        <v>566</v>
      </c>
      <c r="J271" s="4"/>
      <c r="K271" s="4" t="s">
        <v>636</v>
      </c>
      <c r="L271" s="4">
        <v>295581552</v>
      </c>
      <c r="M271" s="4"/>
      <c r="N271" s="2" t="str">
        <f>VLOOKUP(B271,歌单!B:C,2,0)</f>
        <v>周杰伦</v>
      </c>
      <c r="O271" s="2">
        <f t="shared" si="8"/>
        <v>0</v>
      </c>
      <c r="P271" t="str">
        <f>VLOOKUP(B271,歌单!B:C,1,0)</f>
        <v>迷迭香</v>
      </c>
    </row>
    <row r="272" spans="1:16" ht="15" hidden="1" customHeight="1">
      <c r="A272" s="4" t="s">
        <v>1248</v>
      </c>
      <c r="B272" s="4" t="s">
        <v>1249</v>
      </c>
      <c r="C272" s="4" t="s">
        <v>1250</v>
      </c>
      <c r="D272" s="18"/>
      <c r="E272" s="18">
        <v>0</v>
      </c>
      <c r="F272" s="18">
        <v>0</v>
      </c>
      <c r="G272" s="4" t="s">
        <v>1251</v>
      </c>
      <c r="H272" s="4" t="s">
        <v>1252</v>
      </c>
      <c r="I272" s="5">
        <v>68</v>
      </c>
      <c r="J272" s="4"/>
      <c r="K272" s="4" t="s">
        <v>1253</v>
      </c>
      <c r="L272" s="4">
        <v>21952216</v>
      </c>
      <c r="M272" s="4"/>
      <c r="N272" s="2" t="str">
        <f>VLOOKUP(B272,歌单!B:C,2,0)</f>
        <v>阿桑</v>
      </c>
      <c r="O272" s="2">
        <f t="shared" si="8"/>
        <v>0</v>
      </c>
      <c r="P272" t="str">
        <f>VLOOKUP(B272,歌单!B:C,1,0)</f>
        <v>叶子</v>
      </c>
    </row>
    <row r="273" spans="1:16" ht="15" hidden="1" customHeight="1">
      <c r="A273" s="4" t="s">
        <v>1254</v>
      </c>
      <c r="B273" s="4" t="s">
        <v>1255</v>
      </c>
      <c r="C273" s="4" t="s">
        <v>131</v>
      </c>
      <c r="D273" s="18"/>
      <c r="E273" s="18">
        <v>0</v>
      </c>
      <c r="F273" s="18">
        <v>0</v>
      </c>
      <c r="G273" s="4" t="s">
        <v>1256</v>
      </c>
      <c r="H273" s="4" t="s">
        <v>1257</v>
      </c>
      <c r="I273" s="5">
        <v>11</v>
      </c>
      <c r="J273" s="4"/>
      <c r="K273" s="4"/>
      <c r="L273" s="4">
        <v>4994709</v>
      </c>
      <c r="M273" s="4"/>
      <c r="N273" s="2" t="e">
        <f>VLOOKUP(B273,歌单!B:C,2,0)</f>
        <v>#N/A</v>
      </c>
      <c r="O273" s="2">
        <f t="shared" si="8"/>
        <v>1</v>
      </c>
      <c r="P273" t="e">
        <f>VLOOKUP(B273,歌单!B:C,1,0)</f>
        <v>#N/A</v>
      </c>
    </row>
    <row r="274" spans="1:16" ht="15" hidden="1" customHeight="1">
      <c r="A274" s="4" t="s">
        <v>1258</v>
      </c>
      <c r="B274" s="4" t="s">
        <v>1259</v>
      </c>
      <c r="C274" s="4" t="s">
        <v>1260</v>
      </c>
      <c r="D274" s="18"/>
      <c r="E274" s="18">
        <v>0</v>
      </c>
      <c r="F274" s="18">
        <v>0</v>
      </c>
      <c r="G274" s="4" t="s">
        <v>1261</v>
      </c>
      <c r="H274" s="4" t="s">
        <v>1262</v>
      </c>
      <c r="I274" s="5">
        <v>408</v>
      </c>
      <c r="J274" s="4"/>
      <c r="K274" s="4" t="s">
        <v>1263</v>
      </c>
      <c r="L274" s="4">
        <v>82776763</v>
      </c>
      <c r="M274" s="4" t="s">
        <v>1264</v>
      </c>
      <c r="N274" s="2" t="str">
        <f>VLOOKUP(B274,歌单!B:C,2,0)</f>
        <v>李玟</v>
      </c>
      <c r="O274" s="2">
        <f t="shared" si="8"/>
        <v>0</v>
      </c>
      <c r="P274" t="str">
        <f>VLOOKUP(B274,歌单!B:C,1,0)</f>
        <v>想你的365天</v>
      </c>
    </row>
    <row r="275" spans="1:16" ht="15" hidden="1" customHeight="1">
      <c r="A275" s="4" t="s">
        <v>1265</v>
      </c>
      <c r="B275" s="4" t="s">
        <v>1266</v>
      </c>
      <c r="C275" s="4" t="s">
        <v>1267</v>
      </c>
      <c r="D275" s="18"/>
      <c r="E275" s="18">
        <v>0</v>
      </c>
      <c r="F275" s="18">
        <v>0</v>
      </c>
      <c r="G275" s="4" t="s">
        <v>1268</v>
      </c>
      <c r="H275" s="4" t="s">
        <v>1269</v>
      </c>
      <c r="I275" s="5">
        <v>64</v>
      </c>
      <c r="J275" s="4" t="s">
        <v>1270</v>
      </c>
      <c r="K275" s="4" t="s">
        <v>1271</v>
      </c>
      <c r="L275" s="4">
        <v>15785405</v>
      </c>
      <c r="M275" s="4"/>
      <c r="N275" s="2" t="e">
        <f>VLOOKUP(B275,歌单!B:C,2,0)</f>
        <v>#N/A</v>
      </c>
      <c r="O275" s="2">
        <f t="shared" si="8"/>
        <v>1</v>
      </c>
      <c r="P275" t="e">
        <f>VLOOKUP(B275,歌单!B:C,1,0)</f>
        <v>#N/A</v>
      </c>
    </row>
    <row r="276" spans="1:16" ht="15" hidden="1" customHeight="1">
      <c r="A276" s="4" t="s">
        <v>1272</v>
      </c>
      <c r="B276" s="4" t="s">
        <v>1273</v>
      </c>
      <c r="C276" s="4" t="s">
        <v>1274</v>
      </c>
      <c r="D276" s="18"/>
      <c r="E276" s="18">
        <v>0</v>
      </c>
      <c r="F276" s="18">
        <v>0</v>
      </c>
      <c r="G276" s="4" t="s">
        <v>1275</v>
      </c>
      <c r="H276" s="4" t="s">
        <v>1276</v>
      </c>
      <c r="I276" s="5">
        <v>2369</v>
      </c>
      <c r="J276" s="4" t="s">
        <v>1277</v>
      </c>
      <c r="K276" s="4" t="s">
        <v>1273</v>
      </c>
      <c r="L276" s="4">
        <v>672798547</v>
      </c>
      <c r="M276" s="4"/>
      <c r="N276" s="2" t="str">
        <f>VLOOKUP(B276,歌单!B:C,2,0)</f>
        <v>莫文蔚</v>
      </c>
      <c r="O276" s="2">
        <f t="shared" si="8"/>
        <v>0</v>
      </c>
      <c r="P276" t="str">
        <f>VLOOKUP(B276,歌单!B:C,1,0)</f>
        <v>这世界那么多人</v>
      </c>
    </row>
    <row r="277" spans="1:16" ht="15" hidden="1" customHeight="1">
      <c r="A277" s="4" t="s">
        <v>1278</v>
      </c>
      <c r="B277" s="4" t="s">
        <v>1279</v>
      </c>
      <c r="C277" s="4" t="s">
        <v>42</v>
      </c>
      <c r="D277" s="18"/>
      <c r="E277" s="18">
        <v>0</v>
      </c>
      <c r="F277" s="18">
        <v>0</v>
      </c>
      <c r="G277" s="4" t="s">
        <v>1280</v>
      </c>
      <c r="H277" s="4" t="s">
        <v>1281</v>
      </c>
      <c r="I277" s="5">
        <v>3</v>
      </c>
      <c r="J277" s="4" t="s">
        <v>1282</v>
      </c>
      <c r="K277" s="4" t="s">
        <v>1279</v>
      </c>
      <c r="L277" s="4">
        <v>4976715</v>
      </c>
      <c r="M277" s="4"/>
      <c r="N277" s="2" t="e">
        <f>VLOOKUP(B277,歌单!B:C,2,0)</f>
        <v>#N/A</v>
      </c>
      <c r="O277" s="2">
        <f t="shared" si="8"/>
        <v>1</v>
      </c>
      <c r="P277" t="e">
        <f>VLOOKUP(B277,歌单!B:C,1,0)</f>
        <v>#N/A</v>
      </c>
    </row>
    <row r="278" spans="1:16" ht="15" hidden="1" customHeight="1">
      <c r="A278" s="4" t="s">
        <v>1283</v>
      </c>
      <c r="B278" s="4" t="s">
        <v>1284</v>
      </c>
      <c r="C278" s="4" t="s">
        <v>679</v>
      </c>
      <c r="D278" s="18"/>
      <c r="E278" s="18">
        <v>0</v>
      </c>
      <c r="F278" s="18">
        <v>0</v>
      </c>
      <c r="G278" s="4" t="s">
        <v>1285</v>
      </c>
      <c r="H278" s="4" t="s">
        <v>1286</v>
      </c>
      <c r="I278" s="5">
        <v>240</v>
      </c>
      <c r="J278" s="4"/>
      <c r="K278" s="4" t="s">
        <v>1287</v>
      </c>
      <c r="L278" s="4">
        <v>177898408</v>
      </c>
      <c r="M278" s="4"/>
      <c r="N278" s="2" t="e">
        <f>VLOOKUP(B278,歌单!B:C,2,0)</f>
        <v>#N/A</v>
      </c>
      <c r="O278" s="2">
        <f t="shared" si="8"/>
        <v>1</v>
      </c>
      <c r="P278" t="e">
        <f>VLOOKUP(B278,歌单!B:C,1,0)</f>
        <v>#N/A</v>
      </c>
    </row>
    <row r="279" spans="1:16" ht="15" hidden="1" customHeight="1">
      <c r="A279" s="4" t="s">
        <v>1288</v>
      </c>
      <c r="B279" s="4" t="s">
        <v>1289</v>
      </c>
      <c r="C279" s="4" t="s">
        <v>679</v>
      </c>
      <c r="D279" s="18"/>
      <c r="E279" s="18">
        <v>0</v>
      </c>
      <c r="F279" s="18">
        <v>0</v>
      </c>
      <c r="G279" s="4" t="s">
        <v>1290</v>
      </c>
      <c r="H279" s="4"/>
      <c r="I279" s="5">
        <v>79</v>
      </c>
      <c r="J279" s="4"/>
      <c r="K279" s="4" t="s">
        <v>1291</v>
      </c>
      <c r="L279" s="4">
        <v>19753956</v>
      </c>
      <c r="M279" s="4"/>
      <c r="N279" s="2" t="e">
        <f>VLOOKUP(B279,歌单!B:C,2,0)</f>
        <v>#N/A</v>
      </c>
      <c r="O279" s="2">
        <f t="shared" si="8"/>
        <v>1</v>
      </c>
      <c r="P279" t="e">
        <f>VLOOKUP(B279,歌单!B:C,1,0)</f>
        <v>#N/A</v>
      </c>
    </row>
    <row r="280" spans="1:16" ht="15" hidden="1" customHeight="1">
      <c r="A280" s="4" t="s">
        <v>1292</v>
      </c>
      <c r="B280" s="4" t="s">
        <v>1293</v>
      </c>
      <c r="C280" s="4" t="s">
        <v>360</v>
      </c>
      <c r="D280" s="18"/>
      <c r="E280" s="18">
        <v>73046</v>
      </c>
      <c r="F280" s="18">
        <v>13534</v>
      </c>
      <c r="G280" s="4" t="s">
        <v>1294</v>
      </c>
      <c r="H280" s="4"/>
      <c r="I280" s="5">
        <v>2627</v>
      </c>
      <c r="J280" s="4"/>
      <c r="K280" s="4" t="s">
        <v>1293</v>
      </c>
      <c r="L280" s="4">
        <v>313156503</v>
      </c>
      <c r="M280" s="4" t="s">
        <v>704</v>
      </c>
      <c r="N280" s="2" t="str">
        <f>VLOOKUP(B280,歌单!B:C,2,0)</f>
        <v>张碧晨</v>
      </c>
      <c r="O280" s="2">
        <f t="shared" si="8"/>
        <v>0</v>
      </c>
      <c r="P280" t="str">
        <f>VLOOKUP(B280,歌单!B:C,1,0)</f>
        <v>笼</v>
      </c>
    </row>
    <row r="281" spans="1:16" ht="15" hidden="1" customHeight="1">
      <c r="A281" s="32" t="s">
        <v>1295</v>
      </c>
      <c r="B281" s="4" t="s">
        <v>1296</v>
      </c>
      <c r="C281" s="4" t="s">
        <v>188</v>
      </c>
      <c r="D281" s="18"/>
      <c r="E281" s="18">
        <v>0</v>
      </c>
      <c r="F281" s="18">
        <v>0</v>
      </c>
      <c r="G281" s="4" t="s">
        <v>1297</v>
      </c>
      <c r="H281" s="4"/>
      <c r="I281" s="5">
        <v>179</v>
      </c>
      <c r="J281" s="4"/>
      <c r="K281" s="4" t="s">
        <v>1298</v>
      </c>
      <c r="L281" s="4">
        <v>61503981</v>
      </c>
      <c r="M281" s="4"/>
      <c r="N281" s="31" t="str">
        <f>VLOOKUP(B281,歌单!B:C,2,0)</f>
        <v>霍尊</v>
      </c>
      <c r="O281" s="2">
        <f t="shared" si="8"/>
        <v>1</v>
      </c>
      <c r="P281" t="str">
        <f>VLOOKUP(B281,歌单!B:C,1,0)</f>
        <v>卷珠帘</v>
      </c>
    </row>
    <row r="282" spans="1:16" ht="15" hidden="1" customHeight="1">
      <c r="A282" s="4" t="s">
        <v>1299</v>
      </c>
      <c r="B282" s="4" t="s">
        <v>99</v>
      </c>
      <c r="C282" s="4" t="s">
        <v>51</v>
      </c>
      <c r="D282" s="18"/>
      <c r="E282" s="18">
        <v>0</v>
      </c>
      <c r="F282" s="18">
        <v>0</v>
      </c>
      <c r="G282" s="4" t="s">
        <v>1300</v>
      </c>
      <c r="H282" s="4" t="s">
        <v>1301</v>
      </c>
      <c r="I282" s="5">
        <v>0</v>
      </c>
      <c r="J282" s="4"/>
      <c r="K282" s="4" t="s">
        <v>99</v>
      </c>
      <c r="L282" s="4">
        <v>94693</v>
      </c>
      <c r="M282" s="4"/>
      <c r="N282" s="2" t="e">
        <f>VLOOKUP(B282,歌单!B:C,2,0)</f>
        <v>#N/A</v>
      </c>
      <c r="O282" s="2">
        <f t="shared" si="8"/>
        <v>1</v>
      </c>
      <c r="P282" t="e">
        <f>VLOOKUP(B282,歌单!B:C,1,0)</f>
        <v>#N/A</v>
      </c>
    </row>
    <row r="283" spans="1:16" ht="15" hidden="1" customHeight="1">
      <c r="A283" s="4" t="s">
        <v>1302</v>
      </c>
      <c r="B283" s="4" t="s">
        <v>103</v>
      </c>
      <c r="C283" s="4" t="s">
        <v>51</v>
      </c>
      <c r="D283" s="18"/>
      <c r="E283" s="18">
        <v>0</v>
      </c>
      <c r="F283" s="18">
        <v>0</v>
      </c>
      <c r="G283" s="4" t="s">
        <v>1303</v>
      </c>
      <c r="H283" s="4"/>
      <c r="I283" s="5">
        <v>0</v>
      </c>
      <c r="J283" s="4"/>
      <c r="K283" s="4" t="s">
        <v>103</v>
      </c>
      <c r="L283" s="4">
        <v>64479</v>
      </c>
      <c r="M283" s="4"/>
      <c r="N283" s="2" t="e">
        <f>VLOOKUP(B283,歌单!B:C,2,0)</f>
        <v>#N/A</v>
      </c>
      <c r="O283" s="2">
        <f t="shared" si="8"/>
        <v>1</v>
      </c>
      <c r="P283" t="e">
        <f>VLOOKUP(B283,歌单!B:C,1,0)</f>
        <v>#N/A</v>
      </c>
    </row>
    <row r="284" spans="1:16" ht="15" hidden="1" customHeight="1">
      <c r="A284" s="4" t="s">
        <v>1304</v>
      </c>
      <c r="B284" s="4" t="s">
        <v>1305</v>
      </c>
      <c r="C284" s="4" t="s">
        <v>1306</v>
      </c>
      <c r="D284" s="18"/>
      <c r="E284" s="18">
        <v>0</v>
      </c>
      <c r="F284" s="18">
        <v>0</v>
      </c>
      <c r="G284" s="4" t="s">
        <v>1307</v>
      </c>
      <c r="H284" s="4" t="s">
        <v>1308</v>
      </c>
      <c r="I284" s="5">
        <v>1718</v>
      </c>
      <c r="J284" s="4" t="s">
        <v>1309</v>
      </c>
      <c r="K284" s="4" t="s">
        <v>1310</v>
      </c>
      <c r="L284" s="4">
        <v>544027498</v>
      </c>
      <c r="M284" s="4"/>
      <c r="N284" s="2" t="str">
        <f>VLOOKUP(B284,歌单!B:C,2,0)</f>
        <v>张小斐</v>
      </c>
      <c r="O284" s="2">
        <f t="shared" si="8"/>
        <v>0</v>
      </c>
      <c r="P284" t="str">
        <f>VLOOKUP(B284,歌单!B:C,1,0)</f>
        <v>萱草花</v>
      </c>
    </row>
    <row r="285" spans="1:16" ht="15" hidden="1" customHeight="1">
      <c r="A285" s="4" t="s">
        <v>1311</v>
      </c>
      <c r="B285" s="4" t="s">
        <v>1312</v>
      </c>
      <c r="C285" s="4" t="s">
        <v>1313</v>
      </c>
      <c r="D285" s="18"/>
      <c r="E285" s="18">
        <v>0</v>
      </c>
      <c r="F285" s="18">
        <v>0</v>
      </c>
      <c r="G285" s="4" t="s">
        <v>1314</v>
      </c>
      <c r="H285" s="4" t="s">
        <v>1315</v>
      </c>
      <c r="I285" s="5">
        <v>23</v>
      </c>
      <c r="J285" s="4"/>
      <c r="K285" s="4" t="s">
        <v>1312</v>
      </c>
      <c r="L285" s="4">
        <v>2997679</v>
      </c>
      <c r="M285" s="4"/>
      <c r="N285" s="2" t="e">
        <f>VLOOKUP(B285,歌单!B:C,2,0)</f>
        <v>#N/A</v>
      </c>
      <c r="O285" s="2">
        <f t="shared" si="8"/>
        <v>1</v>
      </c>
      <c r="P285" t="e">
        <f>VLOOKUP(B285,歌单!B:C,1,0)</f>
        <v>#N/A</v>
      </c>
    </row>
    <row r="286" spans="1:16" ht="15" hidden="1" customHeight="1">
      <c r="A286" s="4" t="s">
        <v>1316</v>
      </c>
      <c r="B286" s="4" t="s">
        <v>1317</v>
      </c>
      <c r="C286" s="4" t="s">
        <v>427</v>
      </c>
      <c r="D286" s="18"/>
      <c r="E286" s="18">
        <v>0</v>
      </c>
      <c r="F286" s="18">
        <v>0</v>
      </c>
      <c r="G286" s="4" t="s">
        <v>1318</v>
      </c>
      <c r="H286" s="4"/>
      <c r="I286" s="5">
        <v>79</v>
      </c>
      <c r="J286" s="4"/>
      <c r="K286" s="4" t="s">
        <v>1317</v>
      </c>
      <c r="L286" s="4">
        <v>12717948</v>
      </c>
      <c r="M286" s="4"/>
      <c r="N286" s="2" t="str">
        <f>VLOOKUP(B286,歌单!B:C,2,0)</f>
        <v>袁娅维</v>
      </c>
      <c r="O286" s="2">
        <f t="shared" si="8"/>
        <v>0</v>
      </c>
      <c r="P286" t="str">
        <f>VLOOKUP(B286,歌单!B:C,1,0)</f>
        <v>旅行中忘记</v>
      </c>
    </row>
    <row r="287" spans="1:16" ht="15" hidden="1" customHeight="1">
      <c r="A287" s="4" t="s">
        <v>1319</v>
      </c>
      <c r="B287" s="4" t="s">
        <v>1320</v>
      </c>
      <c r="C287" s="4" t="s">
        <v>1321</v>
      </c>
      <c r="D287" s="18"/>
      <c r="E287" s="18">
        <v>0</v>
      </c>
      <c r="F287" s="18">
        <v>0</v>
      </c>
      <c r="G287" s="4" t="s">
        <v>1322</v>
      </c>
      <c r="H287" s="4" t="s">
        <v>1323</v>
      </c>
      <c r="I287" s="5">
        <v>0</v>
      </c>
      <c r="J287" s="4"/>
      <c r="K287" s="4" t="s">
        <v>1324</v>
      </c>
      <c r="L287" s="4">
        <v>216487</v>
      </c>
      <c r="M287" s="4"/>
      <c r="N287" s="2" t="str">
        <f>VLOOKUP(B287,歌单!B:C,2,0)</f>
        <v>袁娅维</v>
      </c>
      <c r="O287" s="2">
        <f t="shared" si="8"/>
        <v>0</v>
      </c>
      <c r="P287" t="str">
        <f>VLOOKUP(B287,歌单!B:C,1,0)</f>
        <v>消失的爱人</v>
      </c>
    </row>
    <row r="288" spans="1:16" ht="15" hidden="1" customHeight="1">
      <c r="A288" s="4" t="s">
        <v>1325</v>
      </c>
      <c r="B288" s="4" t="s">
        <v>1326</v>
      </c>
      <c r="C288" s="4" t="s">
        <v>154</v>
      </c>
      <c r="D288" s="18"/>
      <c r="E288" s="18">
        <v>0</v>
      </c>
      <c r="F288" s="18">
        <v>0</v>
      </c>
      <c r="G288" s="4" t="s">
        <v>1327</v>
      </c>
      <c r="H288" s="4" t="s">
        <v>1328</v>
      </c>
      <c r="I288" s="5">
        <v>1661</v>
      </c>
      <c r="J288" s="4" t="s">
        <v>1326</v>
      </c>
      <c r="K288" s="4" t="s">
        <v>321</v>
      </c>
      <c r="L288" s="4">
        <v>406111219</v>
      </c>
      <c r="M288" s="4"/>
      <c r="N288" s="2" t="e">
        <f>VLOOKUP(B288,歌单!B:C,2,0)</f>
        <v>#N/A</v>
      </c>
      <c r="O288" s="2">
        <f t="shared" si="8"/>
        <v>1</v>
      </c>
      <c r="P288" t="e">
        <f>VLOOKUP(B288,歌单!B:C,1,0)</f>
        <v>#N/A</v>
      </c>
    </row>
    <row r="289" spans="1:16" ht="15" hidden="1" customHeight="1">
      <c r="A289" s="4" t="s">
        <v>1329</v>
      </c>
      <c r="B289" s="4" t="s">
        <v>1330</v>
      </c>
      <c r="C289" s="4" t="s">
        <v>1331</v>
      </c>
      <c r="D289" s="18"/>
      <c r="E289" s="18">
        <v>0</v>
      </c>
      <c r="F289" s="18">
        <v>0</v>
      </c>
      <c r="G289" s="4" t="s">
        <v>1332</v>
      </c>
      <c r="H289" s="4" t="s">
        <v>1333</v>
      </c>
      <c r="I289" s="5">
        <v>1120</v>
      </c>
      <c r="J289" s="4"/>
      <c r="K289" s="4" t="s">
        <v>1334</v>
      </c>
      <c r="L289" s="4">
        <v>113992875</v>
      </c>
      <c r="M289" s="4"/>
      <c r="N289" s="2" t="str">
        <f>VLOOKUP(B289,歌单!B:C,2,0)</f>
        <v>陶喆</v>
      </c>
      <c r="O289" s="2">
        <f t="shared" si="8"/>
        <v>0</v>
      </c>
      <c r="P289" t="str">
        <f>VLOOKUP(B289,歌单!B:C,1,0)</f>
        <v>melody</v>
      </c>
    </row>
    <row r="290" spans="1:16" ht="15" hidden="1" customHeight="1">
      <c r="A290" s="4" t="s">
        <v>1335</v>
      </c>
      <c r="B290" s="4" t="s">
        <v>1336</v>
      </c>
      <c r="C290" s="4" t="s">
        <v>154</v>
      </c>
      <c r="D290" s="18"/>
      <c r="E290" s="18">
        <v>0</v>
      </c>
      <c r="F290" s="18">
        <v>0</v>
      </c>
      <c r="G290" s="4" t="s">
        <v>1337</v>
      </c>
      <c r="H290" s="4" t="s">
        <v>1338</v>
      </c>
      <c r="I290" s="5">
        <v>16922</v>
      </c>
      <c r="J290" s="4"/>
      <c r="K290" s="4" t="s">
        <v>992</v>
      </c>
      <c r="L290" s="4">
        <v>691447981</v>
      </c>
      <c r="M290" s="4"/>
      <c r="N290" s="2" t="str">
        <f>VLOOKUP(B290,歌单!B:C,2,0)</f>
        <v>周杰伦</v>
      </c>
      <c r="O290" s="2">
        <f t="shared" si="8"/>
        <v>0</v>
      </c>
      <c r="P290" t="str">
        <f>VLOOKUP(B290,歌单!B:C,1,0)</f>
        <v>烟花易冷</v>
      </c>
    </row>
    <row r="291" spans="1:16" ht="15" hidden="1" customHeight="1">
      <c r="A291" s="4" t="s">
        <v>1339</v>
      </c>
      <c r="B291" s="4" t="s">
        <v>1340</v>
      </c>
      <c r="C291" s="4" t="s">
        <v>1331</v>
      </c>
      <c r="D291" s="18"/>
      <c r="E291" s="18">
        <v>0</v>
      </c>
      <c r="F291" s="18">
        <v>0</v>
      </c>
      <c r="G291" s="4" t="s">
        <v>1341</v>
      </c>
      <c r="H291" s="4" t="s">
        <v>1342</v>
      </c>
      <c r="I291" s="5">
        <v>535</v>
      </c>
      <c r="J291" s="4"/>
      <c r="K291" s="4" t="s">
        <v>1343</v>
      </c>
      <c r="L291" s="4">
        <v>82012532</v>
      </c>
      <c r="M291" s="4"/>
      <c r="N291" s="2" t="str">
        <f>VLOOKUP(B291,歌单!B:C,2,0)</f>
        <v>陶喆</v>
      </c>
      <c r="O291" s="2">
        <f t="shared" si="8"/>
        <v>0</v>
      </c>
      <c r="P291" t="str">
        <f>VLOOKUP(B291,歌单!B:C,1,0)</f>
        <v>天天</v>
      </c>
    </row>
    <row r="292" spans="1:16" ht="15" hidden="1" customHeight="1">
      <c r="A292" s="4" t="s">
        <v>1344</v>
      </c>
      <c r="B292" s="4" t="s">
        <v>1345</v>
      </c>
      <c r="C292" s="4" t="s">
        <v>1346</v>
      </c>
      <c r="D292" s="18"/>
      <c r="E292" s="18">
        <v>0</v>
      </c>
      <c r="F292" s="18">
        <v>0</v>
      </c>
      <c r="G292" s="4" t="s">
        <v>1347</v>
      </c>
      <c r="H292" s="4" t="s">
        <v>1348</v>
      </c>
      <c r="I292" s="5">
        <v>293</v>
      </c>
      <c r="J292" s="4"/>
      <c r="K292" s="4"/>
      <c r="L292" s="4">
        <v>59748120</v>
      </c>
      <c r="M292" s="4"/>
      <c r="N292" s="2" t="e">
        <f>VLOOKUP(B292,歌单!B:C,2,0)</f>
        <v>#N/A</v>
      </c>
      <c r="O292" s="2">
        <f t="shared" si="8"/>
        <v>1</v>
      </c>
      <c r="P292" t="e">
        <f>VLOOKUP(B292,歌单!B:C,1,0)</f>
        <v>#N/A</v>
      </c>
    </row>
    <row r="293" spans="1:16" ht="15" hidden="1" customHeight="1">
      <c r="A293" s="4" t="s">
        <v>1349</v>
      </c>
      <c r="B293" s="4" t="s">
        <v>1350</v>
      </c>
      <c r="C293" s="4" t="s">
        <v>1351</v>
      </c>
      <c r="D293" s="18"/>
      <c r="E293" s="18">
        <v>0</v>
      </c>
      <c r="F293" s="18">
        <v>0</v>
      </c>
      <c r="G293" s="4" t="s">
        <v>1352</v>
      </c>
      <c r="H293" s="4" t="s">
        <v>1353</v>
      </c>
      <c r="I293" s="5">
        <v>232</v>
      </c>
      <c r="J293" s="4" t="s">
        <v>1354</v>
      </c>
      <c r="K293" s="4"/>
      <c r="L293" s="4">
        <v>114183476</v>
      </c>
      <c r="M293" s="4"/>
      <c r="N293" s="2" t="str">
        <f>VLOOKUP(B293,歌单!B:C,2,0)</f>
        <v>任素汐</v>
      </c>
      <c r="O293" s="2">
        <f t="shared" si="8"/>
        <v>0</v>
      </c>
      <c r="P293" t="str">
        <f>VLOOKUP(B293,歌单!B:C,1,0)</f>
        <v>我要你</v>
      </c>
    </row>
    <row r="294" spans="1:16" ht="15" hidden="1" customHeight="1">
      <c r="A294" s="4" t="s">
        <v>1355</v>
      </c>
      <c r="B294" s="4" t="s">
        <v>1356</v>
      </c>
      <c r="C294" s="4" t="s">
        <v>1357</v>
      </c>
      <c r="D294" s="18"/>
      <c r="E294" s="18">
        <v>0</v>
      </c>
      <c r="F294" s="18">
        <v>0</v>
      </c>
      <c r="G294" s="4" t="s">
        <v>1358</v>
      </c>
      <c r="H294" s="4"/>
      <c r="I294" s="5">
        <v>15</v>
      </c>
      <c r="J294" s="4"/>
      <c r="K294" s="4" t="s">
        <v>1359</v>
      </c>
      <c r="L294" s="4">
        <v>35028061</v>
      </c>
      <c r="M294" s="4"/>
      <c r="N294" s="2" t="str">
        <f>VLOOKUP(B294,歌单!B:C,2,0)</f>
        <v>李香兰</v>
      </c>
      <c r="O294" s="2">
        <f t="shared" si="8"/>
        <v>0</v>
      </c>
      <c r="P294" t="str">
        <f>VLOOKUP(B294,歌单!B:C,1,0)</f>
        <v>夜来香</v>
      </c>
    </row>
    <row r="295" spans="1:16" ht="15" hidden="1" customHeight="1">
      <c r="A295" s="4" t="s">
        <v>1360</v>
      </c>
      <c r="B295" s="4" t="s">
        <v>1361</v>
      </c>
      <c r="C295" s="4" t="s">
        <v>478</v>
      </c>
      <c r="D295" s="18"/>
      <c r="E295" s="18">
        <v>0</v>
      </c>
      <c r="F295" s="18">
        <v>0</v>
      </c>
      <c r="G295" s="4" t="s">
        <v>1362</v>
      </c>
      <c r="H295" s="4"/>
      <c r="I295" s="5">
        <v>21</v>
      </c>
      <c r="J295" s="4"/>
      <c r="K295" s="4" t="s">
        <v>1363</v>
      </c>
      <c r="L295" s="4">
        <v>36042656</v>
      </c>
      <c r="M295" s="4"/>
      <c r="N295" s="2" t="e">
        <f>VLOOKUP(B295,歌单!B:C,2,0)</f>
        <v>#N/A</v>
      </c>
      <c r="O295" s="2">
        <f t="shared" si="8"/>
        <v>1</v>
      </c>
      <c r="P295" t="e">
        <f>VLOOKUP(B295,歌单!B:C,1,0)</f>
        <v>#N/A</v>
      </c>
    </row>
    <row r="296" spans="1:16" ht="15" hidden="1" customHeight="1">
      <c r="A296" s="4" t="s">
        <v>1364</v>
      </c>
      <c r="B296" s="4" t="s">
        <v>1365</v>
      </c>
      <c r="C296" s="4" t="s">
        <v>1366</v>
      </c>
      <c r="D296" s="18"/>
      <c r="E296" s="18">
        <v>0</v>
      </c>
      <c r="F296" s="18">
        <v>0</v>
      </c>
      <c r="G296" s="4" t="s">
        <v>1367</v>
      </c>
      <c r="H296" s="4" t="s">
        <v>1368</v>
      </c>
      <c r="I296" s="5">
        <v>7</v>
      </c>
      <c r="J296" s="4"/>
      <c r="K296" s="4" t="s">
        <v>1369</v>
      </c>
      <c r="L296" s="4">
        <v>2752773</v>
      </c>
      <c r="M296" s="4"/>
      <c r="N296" s="2" t="e">
        <f>VLOOKUP(B296,歌单!B:C,2,0)</f>
        <v>#N/A</v>
      </c>
      <c r="O296" s="2">
        <f t="shared" si="8"/>
        <v>1</v>
      </c>
      <c r="P296" t="e">
        <f>VLOOKUP(B296,歌单!B:C,1,0)</f>
        <v>#N/A</v>
      </c>
    </row>
    <row r="297" spans="1:16" ht="15" customHeight="1">
      <c r="A297" s="4" t="s">
        <v>1370</v>
      </c>
      <c r="B297" s="4" t="s">
        <v>1371</v>
      </c>
      <c r="C297" s="4" t="s">
        <v>1372</v>
      </c>
      <c r="D297" s="18"/>
      <c r="E297" s="18">
        <v>0</v>
      </c>
      <c r="F297" s="18">
        <v>0</v>
      </c>
      <c r="G297" s="4" t="s">
        <v>1373</v>
      </c>
      <c r="H297" s="4" t="s">
        <v>1374</v>
      </c>
      <c r="I297" s="5">
        <v>218</v>
      </c>
      <c r="J297" s="4"/>
      <c r="K297" s="4" t="s">
        <v>1375</v>
      </c>
      <c r="L297" s="4">
        <v>79469412</v>
      </c>
      <c r="M297" s="4"/>
      <c r="N297" s="2">
        <f>VLOOKUP(B297,歌单!B:C,2,0)</f>
        <v>0</v>
      </c>
      <c r="O297" s="2">
        <f t="shared" si="8"/>
        <v>1</v>
      </c>
      <c r="P297" t="str">
        <f>VLOOKUP(B297,歌单!B:C,1,0)</f>
        <v>大地飞歌</v>
      </c>
    </row>
    <row r="298" spans="1:16" ht="15" hidden="1" customHeight="1">
      <c r="A298" s="32" t="s">
        <v>1376</v>
      </c>
      <c r="B298" s="4" t="s">
        <v>1377</v>
      </c>
      <c r="C298" s="4" t="s">
        <v>1378</v>
      </c>
      <c r="D298" s="18"/>
      <c r="E298" s="18">
        <v>0</v>
      </c>
      <c r="F298" s="18">
        <v>0</v>
      </c>
      <c r="G298" s="4" t="s">
        <v>1379</v>
      </c>
      <c r="H298" s="4" t="s">
        <v>1380</v>
      </c>
      <c r="I298" s="5">
        <v>0</v>
      </c>
      <c r="J298" s="4"/>
      <c r="K298" s="4" t="s">
        <v>1381</v>
      </c>
      <c r="L298" s="4">
        <v>37994</v>
      </c>
      <c r="M298" s="4"/>
      <c r="N298" s="2" t="str">
        <f>VLOOKUP(B298,歌单!B:C,2,0)</f>
        <v>云南弥渡山歌</v>
      </c>
      <c r="O298" s="2">
        <f t="shared" si="8"/>
        <v>1</v>
      </c>
      <c r="P298" t="str">
        <f>VLOOKUP(B298,歌单!B:C,1,0)</f>
        <v>小河淌水</v>
      </c>
    </row>
    <row r="299" spans="1:16" ht="15" hidden="1" customHeight="1">
      <c r="A299" s="32" t="s">
        <v>1382</v>
      </c>
      <c r="B299" s="4" t="s">
        <v>1383</v>
      </c>
      <c r="C299" s="4" t="s">
        <v>1384</v>
      </c>
      <c r="D299" s="18"/>
      <c r="E299" s="18">
        <v>0</v>
      </c>
      <c r="F299" s="18">
        <v>0</v>
      </c>
      <c r="G299" s="4" t="s">
        <v>1385</v>
      </c>
      <c r="H299" s="4" t="s">
        <v>1386</v>
      </c>
      <c r="I299" s="5">
        <v>627</v>
      </c>
      <c r="J299" s="4"/>
      <c r="K299" s="4" t="s">
        <v>1383</v>
      </c>
      <c r="L299" s="4">
        <v>133126146</v>
      </c>
      <c r="M299" s="4"/>
      <c r="N299" s="28" t="str">
        <f>VLOOKUP(B299,歌单!B:C,2,0)</f>
        <v>林俊杰、韩红</v>
      </c>
      <c r="O299" s="2">
        <f t="shared" si="8"/>
        <v>1</v>
      </c>
      <c r="P299" t="str">
        <f>VLOOKUP(B299,歌单!B:C,1,0)</f>
        <v>飞云之下</v>
      </c>
    </row>
    <row r="300" spans="1:16" ht="15" hidden="1" customHeight="1">
      <c r="A300" s="32" t="s">
        <v>1387</v>
      </c>
      <c r="B300" s="4" t="s">
        <v>1388</v>
      </c>
      <c r="C300" s="4" t="s">
        <v>1389</v>
      </c>
      <c r="D300" s="18"/>
      <c r="E300" s="18">
        <v>0</v>
      </c>
      <c r="F300" s="18">
        <v>0</v>
      </c>
      <c r="G300" s="4" t="s">
        <v>1390</v>
      </c>
      <c r="H300" s="4" t="s">
        <v>1391</v>
      </c>
      <c r="I300" s="5">
        <v>35</v>
      </c>
      <c r="J300" s="4"/>
      <c r="K300" s="4" t="s">
        <v>1392</v>
      </c>
      <c r="L300" s="4">
        <v>6033596</v>
      </c>
      <c r="M300" s="4"/>
      <c r="N300" s="28" t="str">
        <f>VLOOKUP(B300,歌单!B:C,2,0)</f>
        <v>韩红</v>
      </c>
      <c r="O300" s="2">
        <f t="shared" si="8"/>
        <v>1</v>
      </c>
      <c r="P300" t="str">
        <f>VLOOKUP(B300,歌单!B:C,1,0)</f>
        <v>梨花又开放</v>
      </c>
    </row>
    <row r="301" spans="1:16" ht="15" hidden="1" customHeight="1">
      <c r="A301" s="4" t="s">
        <v>1393</v>
      </c>
      <c r="B301" s="4" t="s">
        <v>1394</v>
      </c>
      <c r="C301" s="4" t="s">
        <v>679</v>
      </c>
      <c r="D301" s="18"/>
      <c r="E301" s="18">
        <v>0</v>
      </c>
      <c r="F301" s="18">
        <v>0</v>
      </c>
      <c r="G301" s="4"/>
      <c r="H301" s="4"/>
      <c r="I301" s="5">
        <v>0</v>
      </c>
      <c r="J301" s="4" t="s">
        <v>1394</v>
      </c>
      <c r="K301" s="4" t="s">
        <v>1394</v>
      </c>
      <c r="L301" s="4">
        <v>2204723</v>
      </c>
      <c r="M301" s="4"/>
      <c r="N301" s="2" t="e">
        <f>VLOOKUP(B301,歌单!B:C,2,0)</f>
        <v>#N/A</v>
      </c>
      <c r="O301" s="2">
        <f t="shared" si="8"/>
        <v>1</v>
      </c>
      <c r="P301" t="e">
        <f>VLOOKUP(B301,歌单!B:C,1,0)</f>
        <v>#N/A</v>
      </c>
    </row>
    <row r="302" spans="1:16" ht="15" hidden="1" customHeight="1">
      <c r="A302" s="4" t="s">
        <v>1395</v>
      </c>
      <c r="B302" s="4" t="s">
        <v>1396</v>
      </c>
      <c r="C302" s="4" t="s">
        <v>146</v>
      </c>
      <c r="D302" s="18"/>
      <c r="E302" s="18">
        <v>0</v>
      </c>
      <c r="F302" s="18">
        <v>0</v>
      </c>
      <c r="G302" s="4" t="s">
        <v>1397</v>
      </c>
      <c r="H302" s="4" t="s">
        <v>1398</v>
      </c>
      <c r="I302" s="5">
        <v>20</v>
      </c>
      <c r="J302" s="4"/>
      <c r="K302" s="4" t="s">
        <v>1399</v>
      </c>
      <c r="L302" s="4">
        <v>29779114</v>
      </c>
      <c r="M302" s="4"/>
      <c r="N302" s="2" t="str">
        <f>VLOOKUP(B302,歌单!B:C,2,0)</f>
        <v>韩红</v>
      </c>
      <c r="O302" s="2">
        <f t="shared" si="8"/>
        <v>0</v>
      </c>
      <c r="P302" t="str">
        <f>VLOOKUP(B302,歌单!B:C,1,0)</f>
        <v>那片海</v>
      </c>
    </row>
    <row r="303" spans="1:16" ht="15" hidden="1" customHeight="1">
      <c r="A303" s="4" t="s">
        <v>1400</v>
      </c>
      <c r="B303" s="4" t="s">
        <v>1401</v>
      </c>
      <c r="C303" s="4" t="s">
        <v>1402</v>
      </c>
      <c r="D303" s="18"/>
      <c r="E303" s="18">
        <v>0</v>
      </c>
      <c r="F303" s="18">
        <v>0</v>
      </c>
      <c r="G303" s="4" t="s">
        <v>1403</v>
      </c>
      <c r="H303" s="4" t="s">
        <v>1404</v>
      </c>
      <c r="I303" s="5">
        <v>428</v>
      </c>
      <c r="J303" s="4"/>
      <c r="K303" s="4" t="s">
        <v>1401</v>
      </c>
      <c r="L303" s="4">
        <v>112923360</v>
      </c>
      <c r="M303" s="4"/>
      <c r="N303" s="2" t="str">
        <f>VLOOKUP(B303,歌单!B:C,2,0)</f>
        <v>李娜</v>
      </c>
      <c r="O303" s="2">
        <f t="shared" si="8"/>
        <v>0</v>
      </c>
      <c r="P303" t="str">
        <f>VLOOKUP(B303,歌单!B:C,1,0)</f>
        <v>青藏高原</v>
      </c>
    </row>
    <row r="304" spans="1:16" ht="15" hidden="1" customHeight="1">
      <c r="A304" s="4" t="s">
        <v>1405</v>
      </c>
      <c r="B304" s="4" t="s">
        <v>1406</v>
      </c>
      <c r="C304" s="4" t="s">
        <v>146</v>
      </c>
      <c r="D304" s="18"/>
      <c r="E304" s="18">
        <v>0</v>
      </c>
      <c r="F304" s="18">
        <v>0</v>
      </c>
      <c r="G304" s="4" t="s">
        <v>1407</v>
      </c>
      <c r="H304" s="4" t="s">
        <v>1408</v>
      </c>
      <c r="I304" s="5">
        <v>175</v>
      </c>
      <c r="J304" s="4"/>
      <c r="K304" s="4" t="s">
        <v>1399</v>
      </c>
      <c r="L304" s="4">
        <v>92788477</v>
      </c>
      <c r="M304" s="4"/>
      <c r="N304" s="2" t="str">
        <f>VLOOKUP(B304,歌单!B:C,2,0)</f>
        <v>韩红</v>
      </c>
      <c r="O304" s="2">
        <f t="shared" si="8"/>
        <v>0</v>
      </c>
      <c r="P304" t="str">
        <f>VLOOKUP(B304,歌单!B:C,1,0)</f>
        <v>天亮了</v>
      </c>
    </row>
    <row r="305" spans="1:16" ht="15" hidden="1" customHeight="1">
      <c r="A305" s="4" t="s">
        <v>1409</v>
      </c>
      <c r="B305" s="4" t="s">
        <v>1410</v>
      </c>
      <c r="C305" s="4" t="s">
        <v>146</v>
      </c>
      <c r="D305" s="18"/>
      <c r="E305" s="18">
        <v>0</v>
      </c>
      <c r="F305" s="18">
        <v>0</v>
      </c>
      <c r="G305" s="4" t="s">
        <v>1411</v>
      </c>
      <c r="H305" s="4" t="s">
        <v>1412</v>
      </c>
      <c r="I305" s="5">
        <v>186</v>
      </c>
      <c r="J305" s="4"/>
      <c r="K305" s="4" t="s">
        <v>1413</v>
      </c>
      <c r="L305" s="4">
        <v>55710732</v>
      </c>
      <c r="M305" s="4"/>
      <c r="N305" s="2" t="str">
        <f>VLOOKUP(B305,歌单!B:C,2,0)</f>
        <v>韩红</v>
      </c>
      <c r="O305" s="2">
        <f t="shared" si="8"/>
        <v>0</v>
      </c>
      <c r="P305" t="str">
        <f>VLOOKUP(B305,歌单!B:C,1,0)</f>
        <v>天路</v>
      </c>
    </row>
    <row r="306" spans="1:16" ht="15" hidden="1" customHeight="1">
      <c r="A306" s="4" t="s">
        <v>1414</v>
      </c>
      <c r="B306" s="4" t="s">
        <v>1415</v>
      </c>
      <c r="C306" s="4" t="s">
        <v>1331</v>
      </c>
      <c r="D306" s="18"/>
      <c r="E306" s="18">
        <v>0</v>
      </c>
      <c r="F306" s="18">
        <v>0</v>
      </c>
      <c r="G306" s="4" t="s">
        <v>1416</v>
      </c>
      <c r="H306" s="4" t="s">
        <v>1417</v>
      </c>
      <c r="I306" s="5">
        <v>343</v>
      </c>
      <c r="J306" s="4"/>
      <c r="K306" s="4" t="s">
        <v>1334</v>
      </c>
      <c r="L306" s="4">
        <v>50077794</v>
      </c>
      <c r="M306" s="4"/>
      <c r="N306" s="2" t="e">
        <f>VLOOKUP(B306,歌单!B:C,2,0)</f>
        <v>#N/A</v>
      </c>
      <c r="O306" s="2">
        <f t="shared" si="8"/>
        <v>1</v>
      </c>
      <c r="P306" t="e">
        <f>VLOOKUP(B306,歌单!B:C,1,0)</f>
        <v>#N/A</v>
      </c>
    </row>
    <row r="307" spans="1:16" ht="15" hidden="1" customHeight="1">
      <c r="A307" s="4" t="s">
        <v>1418</v>
      </c>
      <c r="B307" s="4" t="s">
        <v>1419</v>
      </c>
      <c r="C307" s="4" t="s">
        <v>1420</v>
      </c>
      <c r="D307" s="18"/>
      <c r="E307" s="18">
        <v>0</v>
      </c>
      <c r="F307" s="18">
        <v>0</v>
      </c>
      <c r="G307" s="4" t="s">
        <v>1421</v>
      </c>
      <c r="H307" s="4"/>
      <c r="I307" s="5">
        <v>828</v>
      </c>
      <c r="J307" s="4"/>
      <c r="K307" s="4" t="s">
        <v>1343</v>
      </c>
      <c r="L307" s="4">
        <v>137417227</v>
      </c>
      <c r="M307" s="4"/>
      <c r="N307" s="2" t="str">
        <f>VLOOKUP(B307,歌单!B:C,2,0)</f>
        <v>陶喆</v>
      </c>
      <c r="O307" s="2">
        <f t="shared" si="8"/>
        <v>0</v>
      </c>
      <c r="P307" t="str">
        <f>VLOOKUP(B307,歌单!B:C,1,0)</f>
        <v>普通朋友</v>
      </c>
    </row>
    <row r="308" spans="1:16" ht="15" hidden="1" customHeight="1">
      <c r="A308" s="4" t="s">
        <v>1422</v>
      </c>
      <c r="B308" s="4" t="s">
        <v>1423</v>
      </c>
      <c r="C308" s="4" t="s">
        <v>679</v>
      </c>
      <c r="D308" s="18"/>
      <c r="E308" s="18">
        <v>0</v>
      </c>
      <c r="F308" s="18">
        <v>0</v>
      </c>
      <c r="G308" s="4" t="s">
        <v>1424</v>
      </c>
      <c r="H308" s="4" t="s">
        <v>1425</v>
      </c>
      <c r="I308" s="5">
        <v>1053</v>
      </c>
      <c r="J308" s="4"/>
      <c r="K308" s="4" t="s">
        <v>1426</v>
      </c>
      <c r="L308" s="4">
        <v>371141890</v>
      </c>
      <c r="M308" s="4" t="s">
        <v>1027</v>
      </c>
      <c r="N308" s="2" t="str">
        <f>VLOOKUP(B308,歌单!B:C,2,0)</f>
        <v>林俊杰</v>
      </c>
      <c r="O308" s="2">
        <f t="shared" si="8"/>
        <v>0</v>
      </c>
      <c r="P308" t="str">
        <f>VLOOKUP(B308,歌单!B:C,1,0)</f>
        <v>修炼爱情</v>
      </c>
    </row>
    <row r="309" spans="1:16" ht="15" hidden="1" customHeight="1">
      <c r="A309" s="32" t="s">
        <v>1427</v>
      </c>
      <c r="B309" s="4" t="s">
        <v>1428</v>
      </c>
      <c r="C309" s="4" t="s">
        <v>1429</v>
      </c>
      <c r="D309" s="18"/>
      <c r="E309" s="18">
        <v>0</v>
      </c>
      <c r="F309" s="18">
        <v>0</v>
      </c>
      <c r="G309" s="4" t="s">
        <v>1430</v>
      </c>
      <c r="H309" s="4" t="s">
        <v>1431</v>
      </c>
      <c r="I309" s="5">
        <v>4</v>
      </c>
      <c r="J309" s="4"/>
      <c r="K309" s="4" t="s">
        <v>1432</v>
      </c>
      <c r="L309" s="4">
        <v>3929581</v>
      </c>
      <c r="M309" s="4"/>
      <c r="N309" s="2" t="str">
        <f>VLOOKUP(B309,歌单!B:C,2,0)</f>
        <v>韩红</v>
      </c>
      <c r="O309" s="2">
        <f t="shared" si="8"/>
        <v>1</v>
      </c>
      <c r="P309" t="str">
        <f>VLOOKUP(B309,歌单!B:C,1,0)</f>
        <v>一个人</v>
      </c>
    </row>
    <row r="310" spans="1:16" ht="15" hidden="1" customHeight="1">
      <c r="A310" s="4" t="s">
        <v>1433</v>
      </c>
      <c r="B310" s="4" t="s">
        <v>1434</v>
      </c>
      <c r="C310" s="4" t="s">
        <v>1435</v>
      </c>
      <c r="D310" s="18"/>
      <c r="E310" s="18">
        <v>0</v>
      </c>
      <c r="F310" s="18">
        <v>0</v>
      </c>
      <c r="G310" s="4" t="s">
        <v>1436</v>
      </c>
      <c r="H310" s="4" t="s">
        <v>1437</v>
      </c>
      <c r="I310" s="5">
        <v>576</v>
      </c>
      <c r="J310" s="4" t="s">
        <v>1438</v>
      </c>
      <c r="K310" s="4" t="s">
        <v>1439</v>
      </c>
      <c r="L310" s="4">
        <v>61646853</v>
      </c>
      <c r="M310" s="4"/>
      <c r="N310" s="2" t="str">
        <f>VLOOKUP(B310,歌单!B:C,2,0)</f>
        <v>魏如萱</v>
      </c>
      <c r="O310" s="2">
        <f t="shared" si="8"/>
        <v>0</v>
      </c>
      <c r="P310" t="str">
        <f>VLOOKUP(B310,歌单!B:C,1,0)</f>
        <v>你啊你啊</v>
      </c>
    </row>
    <row r="311" spans="1:16" ht="15" hidden="1" customHeight="1">
      <c r="A311" s="4" t="s">
        <v>1440</v>
      </c>
      <c r="B311" s="4" t="s">
        <v>1441</v>
      </c>
      <c r="C311" s="4" t="s">
        <v>509</v>
      </c>
      <c r="D311" s="18"/>
      <c r="E311" s="18">
        <v>0</v>
      </c>
      <c r="F311" s="18">
        <v>0</v>
      </c>
      <c r="G311" s="4" t="s">
        <v>1442</v>
      </c>
      <c r="H311" s="4" t="s">
        <v>1443</v>
      </c>
      <c r="I311" s="5">
        <v>550</v>
      </c>
      <c r="J311" s="4" t="s">
        <v>1444</v>
      </c>
      <c r="K311" s="4" t="s">
        <v>1445</v>
      </c>
      <c r="L311" s="4">
        <v>168634997</v>
      </c>
      <c r="M311" s="4"/>
      <c r="N311" s="2" t="str">
        <f>VLOOKUP(B311,歌单!B:C,2,0)</f>
        <v>张韶涵</v>
      </c>
      <c r="O311" s="2">
        <f t="shared" si="8"/>
        <v>0</v>
      </c>
      <c r="P311" t="str">
        <f>VLOOKUP(B311,歌单!B:C,1,0)</f>
        <v>看得最远的地方</v>
      </c>
    </row>
    <row r="312" spans="1:16" ht="15" hidden="1" customHeight="1">
      <c r="A312" s="4" t="s">
        <v>1446</v>
      </c>
      <c r="B312" s="4" t="s">
        <v>1447</v>
      </c>
      <c r="C312" s="4" t="s">
        <v>509</v>
      </c>
      <c r="D312" s="18"/>
      <c r="E312" s="18">
        <v>0</v>
      </c>
      <c r="F312" s="18">
        <v>0</v>
      </c>
      <c r="G312" s="4" t="s">
        <v>1448</v>
      </c>
      <c r="H312" s="4" t="s">
        <v>1449</v>
      </c>
      <c r="I312" s="5">
        <v>1024</v>
      </c>
      <c r="J312" s="4"/>
      <c r="K312" s="4" t="s">
        <v>508</v>
      </c>
      <c r="L312" s="4">
        <v>184926363</v>
      </c>
      <c r="M312" s="4"/>
      <c r="N312" s="2" t="str">
        <f>VLOOKUP(B312,歌单!B:C,2,0)</f>
        <v>张韶涵</v>
      </c>
      <c r="O312" s="2">
        <f t="shared" si="8"/>
        <v>0</v>
      </c>
      <c r="P312" t="str">
        <f>VLOOKUP(B312,歌单!B:C,1,0)</f>
        <v>淋雨一直走</v>
      </c>
    </row>
    <row r="313" spans="1:16" ht="15" hidden="1" customHeight="1">
      <c r="A313" s="32" t="s">
        <v>1450</v>
      </c>
      <c r="B313" s="4" t="s">
        <v>1451</v>
      </c>
      <c r="C313" s="4" t="s">
        <v>1274</v>
      </c>
      <c r="D313" s="18"/>
      <c r="E313" s="18">
        <v>0</v>
      </c>
      <c r="F313" s="18">
        <v>0</v>
      </c>
      <c r="G313" s="4" t="s">
        <v>1452</v>
      </c>
      <c r="H313" s="4" t="s">
        <v>1453</v>
      </c>
      <c r="I313" s="5">
        <v>85</v>
      </c>
      <c r="J313" s="4"/>
      <c r="K313" s="4" t="s">
        <v>1454</v>
      </c>
      <c r="L313" s="4">
        <v>21188773</v>
      </c>
      <c r="M313" s="4"/>
      <c r="N313" s="28" t="str">
        <f>VLOOKUP(B313,歌单!B:C,2,0)</f>
        <v>小虎队</v>
      </c>
      <c r="O313" s="2">
        <f t="shared" si="8"/>
        <v>1</v>
      </c>
      <c r="P313" t="str">
        <f>VLOOKUP(B313,歌单!B:C,1,0)</f>
        <v>爱</v>
      </c>
    </row>
    <row r="314" spans="1:16" ht="15" hidden="1" customHeight="1">
      <c r="A314" s="4" t="s">
        <v>1455</v>
      </c>
      <c r="B314" s="4" t="s">
        <v>1456</v>
      </c>
      <c r="C314" s="4" t="s">
        <v>1457</v>
      </c>
      <c r="D314" s="18"/>
      <c r="E314" s="18">
        <v>0</v>
      </c>
      <c r="F314" s="18">
        <v>0</v>
      </c>
      <c r="G314" s="4" t="s">
        <v>1458</v>
      </c>
      <c r="H314" s="4" t="s">
        <v>1459</v>
      </c>
      <c r="I314" s="5">
        <v>144</v>
      </c>
      <c r="J314" s="4"/>
      <c r="K314" s="4" t="s">
        <v>1460</v>
      </c>
      <c r="L314" s="4">
        <v>89378664</v>
      </c>
      <c r="M314" s="4"/>
      <c r="N314" s="2" t="e">
        <f>VLOOKUP(B314,歌单!B:C,2,0)</f>
        <v>#N/A</v>
      </c>
      <c r="O314" s="2">
        <f t="shared" si="8"/>
        <v>1</v>
      </c>
      <c r="P314" t="e">
        <f>VLOOKUP(B314,歌单!B:C,1,0)</f>
        <v>#N/A</v>
      </c>
    </row>
    <row r="315" spans="1:16" ht="15" hidden="1" customHeight="1">
      <c r="A315" s="4" t="s">
        <v>1461</v>
      </c>
      <c r="B315" s="4" t="s">
        <v>879</v>
      </c>
      <c r="C315" s="4" t="s">
        <v>1462</v>
      </c>
      <c r="D315" s="18"/>
      <c r="E315" s="18">
        <v>0</v>
      </c>
      <c r="F315" s="18">
        <v>0</v>
      </c>
      <c r="G315" s="4" t="s">
        <v>1463</v>
      </c>
      <c r="H315" s="4"/>
      <c r="I315" s="5">
        <v>3</v>
      </c>
      <c r="J315" s="4"/>
      <c r="K315" s="4" t="s">
        <v>1462</v>
      </c>
      <c r="L315" s="4">
        <v>2589419</v>
      </c>
      <c r="M315" s="4"/>
      <c r="N315" s="2" t="str">
        <f>VLOOKUP(B315,歌单!B:C,2,0)</f>
        <v>周杰伦</v>
      </c>
      <c r="O315" s="2">
        <f t="shared" si="8"/>
        <v>0</v>
      </c>
      <c r="P315" t="str">
        <f>VLOOKUP(B315,歌单!B:C,1,0)</f>
        <v>发如雪</v>
      </c>
    </row>
    <row r="316" spans="1:16" ht="15" hidden="1" customHeight="1">
      <c r="A316" s="4" t="s">
        <v>1464</v>
      </c>
      <c r="B316" s="4" t="s">
        <v>1465</v>
      </c>
      <c r="C316" s="4" t="s">
        <v>1466</v>
      </c>
      <c r="D316" s="18"/>
      <c r="E316" s="18">
        <v>0</v>
      </c>
      <c r="F316" s="18">
        <v>0</v>
      </c>
      <c r="G316" s="4" t="s">
        <v>1467</v>
      </c>
      <c r="H316" s="4"/>
      <c r="I316" s="5">
        <v>705</v>
      </c>
      <c r="J316" s="4"/>
      <c r="K316" s="4" t="s">
        <v>1468</v>
      </c>
      <c r="L316" s="4">
        <v>270809489</v>
      </c>
      <c r="M316" s="4"/>
      <c r="N316" s="2" t="str">
        <f>VLOOKUP(B316,歌单!B:C,2,0)</f>
        <v>金玟岐</v>
      </c>
      <c r="O316" s="2">
        <f t="shared" si="8"/>
        <v>0</v>
      </c>
      <c r="P316" t="str">
        <f>VLOOKUP(B316,歌单!B:C,1,0)</f>
        <v>岁月神偷</v>
      </c>
    </row>
    <row r="317" spans="1:16" ht="15" hidden="1" customHeight="1">
      <c r="A317" s="4" t="s">
        <v>1469</v>
      </c>
      <c r="B317" s="4" t="s">
        <v>1470</v>
      </c>
      <c r="C317" s="4" t="s">
        <v>131</v>
      </c>
      <c r="D317" s="18"/>
      <c r="E317" s="18">
        <v>0</v>
      </c>
      <c r="F317" s="18">
        <v>0</v>
      </c>
      <c r="G317" s="4" t="s">
        <v>1471</v>
      </c>
      <c r="H317" s="4" t="s">
        <v>1472</v>
      </c>
      <c r="I317" s="5">
        <v>0</v>
      </c>
      <c r="J317" s="4"/>
      <c r="K317" s="4" t="s">
        <v>752</v>
      </c>
      <c r="L317" s="4">
        <v>1677928</v>
      </c>
      <c r="M317" s="4"/>
      <c r="N317" s="2" t="e">
        <f>VLOOKUP(B317,歌单!B:C,2,0)</f>
        <v>#N/A</v>
      </c>
      <c r="O317" s="2">
        <f t="shared" si="8"/>
        <v>1</v>
      </c>
      <c r="P317" t="e">
        <f>VLOOKUP(B317,歌单!B:C,1,0)</f>
        <v>#N/A</v>
      </c>
    </row>
    <row r="318" spans="1:16" ht="15" hidden="1" customHeight="1">
      <c r="A318" s="4" t="s">
        <v>1473</v>
      </c>
      <c r="B318" s="4" t="s">
        <v>1474</v>
      </c>
      <c r="C318" s="4" t="s">
        <v>679</v>
      </c>
      <c r="D318" s="18"/>
      <c r="E318" s="18">
        <v>0</v>
      </c>
      <c r="F318" s="18">
        <v>0</v>
      </c>
      <c r="G318" s="4" t="s">
        <v>1475</v>
      </c>
      <c r="H318" s="4" t="s">
        <v>1476</v>
      </c>
      <c r="I318" s="5">
        <v>25</v>
      </c>
      <c r="J318" s="4"/>
      <c r="K318" s="4" t="s">
        <v>1110</v>
      </c>
      <c r="L318" s="4">
        <v>18991884</v>
      </c>
      <c r="M318" s="4"/>
      <c r="N318" s="2" t="e">
        <f>VLOOKUP(B318,歌单!B:C,2,0)</f>
        <v>#N/A</v>
      </c>
      <c r="O318" s="2">
        <f t="shared" si="8"/>
        <v>1</v>
      </c>
      <c r="P318" t="e">
        <f>VLOOKUP(B318,歌单!B:C,1,0)</f>
        <v>#N/A</v>
      </c>
    </row>
    <row r="319" spans="1:16" ht="15" hidden="1" customHeight="1">
      <c r="A319" s="4" t="s">
        <v>1477</v>
      </c>
      <c r="B319" s="4" t="s">
        <v>1478</v>
      </c>
      <c r="C319" s="4" t="s">
        <v>21</v>
      </c>
      <c r="D319" s="18"/>
      <c r="E319" s="18">
        <v>0</v>
      </c>
      <c r="F319" s="18">
        <v>0</v>
      </c>
      <c r="G319" s="4" t="s">
        <v>1479</v>
      </c>
      <c r="H319" s="4"/>
      <c r="I319" s="5">
        <v>710</v>
      </c>
      <c r="J319" s="4"/>
      <c r="K319" s="4" t="s">
        <v>1478</v>
      </c>
      <c r="L319" s="4">
        <v>48566163</v>
      </c>
      <c r="M319" s="4"/>
      <c r="N319" s="2" t="str">
        <f>VLOOKUP(B319,歌单!B:C,2,0)</f>
        <v>单依纯</v>
      </c>
      <c r="O319" s="2">
        <f t="shared" si="8"/>
        <v>0</v>
      </c>
      <c r="P319" t="str">
        <f>VLOOKUP(B319,歌单!B:C,1,0)</f>
        <v>想你时风起</v>
      </c>
    </row>
    <row r="320" spans="1:16" ht="15" hidden="1" customHeight="1">
      <c r="A320" s="4" t="s">
        <v>1480</v>
      </c>
      <c r="B320" s="4" t="s">
        <v>1350</v>
      </c>
      <c r="C320" s="4" t="s">
        <v>1351</v>
      </c>
      <c r="D320" s="18"/>
      <c r="E320" s="18">
        <v>0</v>
      </c>
      <c r="F320" s="18">
        <v>0</v>
      </c>
      <c r="G320" s="4" t="s">
        <v>1481</v>
      </c>
      <c r="H320" s="4"/>
      <c r="I320" s="5">
        <v>6</v>
      </c>
      <c r="J320" s="4"/>
      <c r="K320" s="4" t="s">
        <v>1482</v>
      </c>
      <c r="L320" s="4">
        <v>2946170</v>
      </c>
      <c r="M320" s="4"/>
      <c r="N320" s="2" t="str">
        <f>VLOOKUP(B320,歌单!B:C,2,0)</f>
        <v>任素汐</v>
      </c>
      <c r="O320" s="2">
        <f t="shared" si="8"/>
        <v>0</v>
      </c>
      <c r="P320" t="str">
        <f>VLOOKUP(B320,歌单!B:C,1,0)</f>
        <v>我要你</v>
      </c>
    </row>
    <row r="321" spans="1:16" ht="15" hidden="1" customHeight="1">
      <c r="A321" s="4" t="s">
        <v>1483</v>
      </c>
      <c r="B321" s="4" t="s">
        <v>1484</v>
      </c>
      <c r="C321" s="4" t="s">
        <v>541</v>
      </c>
      <c r="D321" s="18"/>
      <c r="E321" s="18">
        <v>30</v>
      </c>
      <c r="F321" s="18">
        <v>12</v>
      </c>
      <c r="G321" s="4" t="s">
        <v>1485</v>
      </c>
      <c r="H321" s="4" t="s">
        <v>1486</v>
      </c>
      <c r="I321" s="5">
        <v>174</v>
      </c>
      <c r="J321" s="4"/>
      <c r="K321" s="4" t="s">
        <v>1487</v>
      </c>
      <c r="L321" s="4">
        <v>103633402</v>
      </c>
      <c r="M321" s="4"/>
      <c r="N321" s="2" t="str">
        <f>VLOOKUP(B321,歌单!B:C,2,0)</f>
        <v>张惠妹</v>
      </c>
      <c r="O321" s="2">
        <f t="shared" si="8"/>
        <v>0</v>
      </c>
      <c r="P321" t="str">
        <f>VLOOKUP(B321,歌单!B:C,1,0)</f>
        <v>听海</v>
      </c>
    </row>
    <row r="322" spans="1:16" ht="15" hidden="1" customHeight="1">
      <c r="A322" s="32" t="s">
        <v>1488</v>
      </c>
      <c r="B322" s="4" t="s">
        <v>1489</v>
      </c>
      <c r="C322" s="4" t="s">
        <v>1490</v>
      </c>
      <c r="D322" s="18"/>
      <c r="E322" s="18">
        <v>0</v>
      </c>
      <c r="F322" s="18">
        <v>0</v>
      </c>
      <c r="G322" s="4" t="s">
        <v>1491</v>
      </c>
      <c r="H322" s="4" t="s">
        <v>1492</v>
      </c>
      <c r="I322" s="5">
        <v>319</v>
      </c>
      <c r="J322" s="4"/>
      <c r="K322" s="4" t="s">
        <v>1493</v>
      </c>
      <c r="L322" s="4">
        <v>101719428</v>
      </c>
      <c r="M322" s="4"/>
      <c r="N322" s="2" t="str">
        <f>VLOOKUP(B322,歌单!B:C,2,0)</f>
        <v>刘瑞琪</v>
      </c>
      <c r="O322" s="2">
        <f t="shared" si="8"/>
        <v>1</v>
      </c>
      <c r="P322" t="str">
        <f>VLOOKUP(B322,歌单!B:C,1,0)</f>
        <v>海芋恋</v>
      </c>
    </row>
    <row r="323" spans="1:16" ht="15" hidden="1" customHeight="1">
      <c r="A323" s="4" t="s">
        <v>1494</v>
      </c>
      <c r="B323" s="4" t="s">
        <v>1495</v>
      </c>
      <c r="C323" s="4" t="s">
        <v>446</v>
      </c>
      <c r="D323" s="18"/>
      <c r="E323" s="18">
        <v>0</v>
      </c>
      <c r="F323" s="18">
        <v>0</v>
      </c>
      <c r="G323" s="4" t="s">
        <v>1496</v>
      </c>
      <c r="H323" s="4" t="s">
        <v>1497</v>
      </c>
      <c r="I323" s="5">
        <v>421</v>
      </c>
      <c r="J323" s="4"/>
      <c r="K323" s="4"/>
      <c r="L323" s="4">
        <v>29390728</v>
      </c>
      <c r="M323" s="4"/>
      <c r="N323" s="2" t="str">
        <f>VLOOKUP(B323,歌单!B:C,2,0)</f>
        <v>林宥嘉</v>
      </c>
      <c r="O323" s="2">
        <f t="shared" ref="O323:O386" si="9">_xlfn.IFNA(IF(IFERROR(SEARCH(N323,C323),0)&gt;0,0,1),0)</f>
        <v>0</v>
      </c>
      <c r="P323" t="str">
        <f>VLOOKUP(B323,歌单!B:C,1,0)</f>
        <v>兜圈</v>
      </c>
    </row>
    <row r="324" spans="1:16" ht="15" hidden="1" customHeight="1">
      <c r="A324" s="4" t="s">
        <v>1498</v>
      </c>
      <c r="B324" s="4" t="s">
        <v>1499</v>
      </c>
      <c r="C324" s="4" t="s">
        <v>446</v>
      </c>
      <c r="D324" s="18"/>
      <c r="E324" s="18">
        <v>0</v>
      </c>
      <c r="F324" s="18">
        <v>0</v>
      </c>
      <c r="G324" s="4" t="s">
        <v>1500</v>
      </c>
      <c r="H324" s="4" t="s">
        <v>1501</v>
      </c>
      <c r="I324" s="5">
        <v>729</v>
      </c>
      <c r="J324" s="4"/>
      <c r="K324" s="4" t="s">
        <v>1502</v>
      </c>
      <c r="L324" s="4">
        <v>114457691</v>
      </c>
      <c r="M324" s="4"/>
      <c r="N324" s="2" t="str">
        <f>VLOOKUP(B324,歌单!B:C,2,0)</f>
        <v>林宥嘉</v>
      </c>
      <c r="O324" s="2">
        <f t="shared" si="9"/>
        <v>0</v>
      </c>
      <c r="P324" t="str">
        <f>VLOOKUP(B324,歌单!B:C,1,0)</f>
        <v>想自由</v>
      </c>
    </row>
    <row r="325" spans="1:16" ht="15" hidden="1" customHeight="1">
      <c r="A325" s="4" t="s">
        <v>1503</v>
      </c>
      <c r="B325" s="4" t="s">
        <v>1504</v>
      </c>
      <c r="C325" s="4" t="s">
        <v>154</v>
      </c>
      <c r="D325" s="18"/>
      <c r="E325" s="18">
        <v>0</v>
      </c>
      <c r="F325" s="18">
        <v>0</v>
      </c>
      <c r="G325" s="4" t="s">
        <v>1505</v>
      </c>
      <c r="H325" s="4" t="s">
        <v>1506</v>
      </c>
      <c r="I325" s="5">
        <v>5783</v>
      </c>
      <c r="J325" s="4" t="s">
        <v>1504</v>
      </c>
      <c r="K325" s="4" t="s">
        <v>378</v>
      </c>
      <c r="L325" s="4">
        <v>746779605</v>
      </c>
      <c r="M325" s="4" t="s">
        <v>1507</v>
      </c>
      <c r="N325" s="2" t="str">
        <f>VLOOKUP(B325,歌单!B:C,2,0)</f>
        <v>周杰伦</v>
      </c>
      <c r="O325" s="2">
        <f t="shared" si="9"/>
        <v>0</v>
      </c>
      <c r="P325" t="str">
        <f>VLOOKUP(B325,歌单!B:C,1,0)</f>
        <v>蒲公英的约定</v>
      </c>
    </row>
    <row r="326" spans="1:16" ht="15" hidden="1" customHeight="1">
      <c r="A326" s="4" t="s">
        <v>1508</v>
      </c>
      <c r="B326" s="4" t="s">
        <v>1509</v>
      </c>
      <c r="C326" s="4" t="s">
        <v>679</v>
      </c>
      <c r="D326" s="18"/>
      <c r="E326" s="18">
        <v>0</v>
      </c>
      <c r="F326" s="18">
        <v>0</v>
      </c>
      <c r="G326" s="4" t="s">
        <v>1510</v>
      </c>
      <c r="H326" s="4" t="s">
        <v>1511</v>
      </c>
      <c r="I326" s="5">
        <v>675</v>
      </c>
      <c r="J326" s="4"/>
      <c r="K326" s="4" t="s">
        <v>1512</v>
      </c>
      <c r="L326" s="4">
        <v>252890047</v>
      </c>
      <c r="M326" s="4"/>
      <c r="N326" s="2" t="str">
        <f>VLOOKUP(B326,歌单!B:C,2,0)</f>
        <v>林俊杰</v>
      </c>
      <c r="O326" s="2">
        <f t="shared" si="9"/>
        <v>0</v>
      </c>
      <c r="P326" t="str">
        <f>VLOOKUP(B326,歌单!B:C,1,0)</f>
        <v>她说</v>
      </c>
    </row>
    <row r="327" spans="1:16" ht="15" hidden="1" customHeight="1">
      <c r="A327" s="4" t="s">
        <v>1513</v>
      </c>
      <c r="B327" s="4" t="s">
        <v>1514</v>
      </c>
      <c r="C327" s="4" t="s">
        <v>1515</v>
      </c>
      <c r="D327" s="18"/>
      <c r="E327" s="18">
        <v>0</v>
      </c>
      <c r="F327" s="18">
        <v>0</v>
      </c>
      <c r="G327" s="4" t="s">
        <v>1516</v>
      </c>
      <c r="H327" s="4" t="s">
        <v>1517</v>
      </c>
      <c r="I327" s="5">
        <v>5</v>
      </c>
      <c r="J327" s="4"/>
      <c r="K327" s="4" t="s">
        <v>1518</v>
      </c>
      <c r="L327" s="4">
        <v>3821199</v>
      </c>
      <c r="M327" s="4"/>
      <c r="N327" s="2" t="e">
        <f>VLOOKUP(B327,歌单!B:C,2,0)</f>
        <v>#N/A</v>
      </c>
      <c r="O327" s="2">
        <f t="shared" si="9"/>
        <v>1</v>
      </c>
      <c r="P327" t="e">
        <f>VLOOKUP(B327,歌单!B:C,1,0)</f>
        <v>#N/A</v>
      </c>
    </row>
    <row r="328" spans="1:16" ht="15" hidden="1" customHeight="1">
      <c r="A328" s="4" t="s">
        <v>1519</v>
      </c>
      <c r="B328" s="4" t="s">
        <v>1520</v>
      </c>
      <c r="C328" s="4" t="s">
        <v>1372</v>
      </c>
      <c r="D328" s="18"/>
      <c r="E328" s="18">
        <v>0</v>
      </c>
      <c r="F328" s="18">
        <v>0</v>
      </c>
      <c r="G328" s="4" t="s">
        <v>1521</v>
      </c>
      <c r="H328" s="4" t="s">
        <v>1522</v>
      </c>
      <c r="I328" s="5">
        <v>3</v>
      </c>
      <c r="J328" s="4"/>
      <c r="K328" s="4" t="s">
        <v>1523</v>
      </c>
      <c r="L328" s="4">
        <v>1868068</v>
      </c>
      <c r="M328" s="4"/>
      <c r="N328" s="2" t="str">
        <f>VLOOKUP(B328,歌单!B:C,2,0)</f>
        <v>宋祖英</v>
      </c>
      <c r="O328" s="2">
        <f t="shared" si="9"/>
        <v>0</v>
      </c>
      <c r="P328" t="str">
        <f>VLOOKUP(B328,歌单!B:C,1,0)</f>
        <v>望月</v>
      </c>
    </row>
    <row r="329" spans="1:16" ht="15" hidden="1" customHeight="1">
      <c r="A329" s="4" t="s">
        <v>1524</v>
      </c>
      <c r="B329" s="4" t="s">
        <v>1525</v>
      </c>
      <c r="C329" s="4" t="s">
        <v>154</v>
      </c>
      <c r="D329" s="18"/>
      <c r="E329" s="18">
        <v>0</v>
      </c>
      <c r="F329" s="18">
        <v>0</v>
      </c>
      <c r="G329" s="4" t="s">
        <v>1526</v>
      </c>
      <c r="H329" s="4"/>
      <c r="I329" s="5">
        <v>1923</v>
      </c>
      <c r="J329" s="4" t="s">
        <v>1527</v>
      </c>
      <c r="K329" s="4" t="s">
        <v>992</v>
      </c>
      <c r="L329" s="4">
        <v>325204982</v>
      </c>
      <c r="M329" s="4"/>
      <c r="N329" s="2" t="str">
        <f>VLOOKUP(B329,歌单!B:C,2,0)</f>
        <v>周杰伦</v>
      </c>
      <c r="O329" s="2">
        <f t="shared" si="9"/>
        <v>0</v>
      </c>
      <c r="P329" t="str">
        <f>VLOOKUP(B329,歌单!B:C,1,0)</f>
        <v>说了再见</v>
      </c>
    </row>
    <row r="330" spans="1:16" ht="15" hidden="1" customHeight="1">
      <c r="A330" s="4" t="s">
        <v>1528</v>
      </c>
      <c r="B330" s="4" t="s">
        <v>1529</v>
      </c>
      <c r="C330" s="4" t="s">
        <v>188</v>
      </c>
      <c r="D330" s="18"/>
      <c r="E330" s="18">
        <v>0</v>
      </c>
      <c r="F330" s="18">
        <v>0</v>
      </c>
      <c r="G330" s="4" t="s">
        <v>1530</v>
      </c>
      <c r="H330" s="4" t="s">
        <v>1531</v>
      </c>
      <c r="I330" s="5">
        <v>2637</v>
      </c>
      <c r="J330" s="4" t="s">
        <v>1532</v>
      </c>
      <c r="K330" s="4" t="s">
        <v>1529</v>
      </c>
      <c r="L330" s="4">
        <v>1065218649</v>
      </c>
      <c r="M330" s="4"/>
      <c r="N330" s="2" t="str">
        <f>VLOOKUP(B330,歌单!B:C,2,0)</f>
        <v>周深</v>
      </c>
      <c r="O330" s="2">
        <f t="shared" si="9"/>
        <v>0</v>
      </c>
      <c r="P330" t="str">
        <f>VLOOKUP(B330,歌单!B:C,1,0)</f>
        <v>大鱼</v>
      </c>
    </row>
    <row r="331" spans="1:16" ht="15" hidden="1" customHeight="1">
      <c r="A331" s="32" t="s">
        <v>1533</v>
      </c>
      <c r="B331" s="4" t="s">
        <v>1534</v>
      </c>
      <c r="C331" s="4" t="s">
        <v>1535</v>
      </c>
      <c r="D331" s="18"/>
      <c r="E331" s="18">
        <v>0</v>
      </c>
      <c r="F331" s="18">
        <v>0</v>
      </c>
      <c r="G331" s="4" t="s">
        <v>1536</v>
      </c>
      <c r="H331" s="4" t="s">
        <v>1537</v>
      </c>
      <c r="I331" s="5">
        <v>1370</v>
      </c>
      <c r="J331" s="4"/>
      <c r="K331" s="4" t="s">
        <v>1538</v>
      </c>
      <c r="L331" s="4">
        <v>529974853</v>
      </c>
      <c r="M331" s="4"/>
      <c r="N331" s="2" t="str">
        <f>VLOOKUP(B331,歌单!B:C,2,0)</f>
        <v>刘瑞琦</v>
      </c>
      <c r="O331" s="2">
        <f t="shared" si="9"/>
        <v>1</v>
      </c>
      <c r="P331" t="str">
        <f>VLOOKUP(B331,歌单!B:C,1,0)</f>
        <v>夏天的风</v>
      </c>
    </row>
    <row r="332" spans="1:16" ht="15" hidden="1" customHeight="1">
      <c r="A332" s="4" t="s">
        <v>1539</v>
      </c>
      <c r="B332" s="4" t="s">
        <v>1540</v>
      </c>
      <c r="C332" s="4" t="s">
        <v>131</v>
      </c>
      <c r="D332" s="18"/>
      <c r="E332" s="18">
        <v>0</v>
      </c>
      <c r="F332" s="18">
        <v>0</v>
      </c>
      <c r="G332" s="4" t="s">
        <v>1541</v>
      </c>
      <c r="H332" s="4"/>
      <c r="I332" s="5">
        <v>43</v>
      </c>
      <c r="J332" s="4"/>
      <c r="K332" s="4" t="s">
        <v>1542</v>
      </c>
      <c r="L332" s="4">
        <v>28766284</v>
      </c>
      <c r="M332" s="4"/>
      <c r="N332" s="2" t="e">
        <f>VLOOKUP(B332,歌单!B:C,2,0)</f>
        <v>#N/A</v>
      </c>
      <c r="O332" s="2">
        <f t="shared" si="9"/>
        <v>1</v>
      </c>
      <c r="P332" t="e">
        <f>VLOOKUP(B332,歌单!B:C,1,0)</f>
        <v>#N/A</v>
      </c>
    </row>
    <row r="333" spans="1:16" ht="15" hidden="1" customHeight="1">
      <c r="A333" s="4" t="s">
        <v>1543</v>
      </c>
      <c r="B333" s="4" t="s">
        <v>1544</v>
      </c>
      <c r="C333" s="4" t="s">
        <v>1545</v>
      </c>
      <c r="D333" s="18"/>
      <c r="E333" s="18">
        <v>0</v>
      </c>
      <c r="F333" s="18">
        <v>0</v>
      </c>
      <c r="G333" s="4" t="s">
        <v>1546</v>
      </c>
      <c r="H333" s="4" t="s">
        <v>1547</v>
      </c>
      <c r="I333" s="5">
        <v>335</v>
      </c>
      <c r="J333" s="4"/>
      <c r="K333" s="4" t="s">
        <v>1548</v>
      </c>
      <c r="L333" s="4">
        <v>185332919</v>
      </c>
      <c r="M333" s="4"/>
      <c r="N333" s="2" t="str">
        <f>VLOOKUP(B333,歌单!B:C,2,0)</f>
        <v>梁静茹</v>
      </c>
      <c r="O333" s="2">
        <f t="shared" si="9"/>
        <v>0</v>
      </c>
      <c r="P333" t="str">
        <f>VLOOKUP(B333,歌单!B:C,1,0)</f>
        <v>宁夏</v>
      </c>
    </row>
    <row r="334" spans="1:16" ht="15" hidden="1" customHeight="1">
      <c r="A334" s="32" t="s">
        <v>1549</v>
      </c>
      <c r="B334" s="4" t="s">
        <v>55</v>
      </c>
      <c r="C334" s="4" t="s">
        <v>1550</v>
      </c>
      <c r="D334" s="18"/>
      <c r="E334" s="18">
        <v>0</v>
      </c>
      <c r="F334" s="18">
        <v>0</v>
      </c>
      <c r="G334" s="4" t="s">
        <v>1551</v>
      </c>
      <c r="H334" s="4"/>
      <c r="I334" s="5">
        <v>16</v>
      </c>
      <c r="J334" s="4"/>
      <c r="K334" s="4" t="s">
        <v>55</v>
      </c>
      <c r="L334" s="4">
        <v>256261</v>
      </c>
      <c r="M334" s="4"/>
      <c r="N334" s="28" t="str">
        <f>VLOOKUP(B334,歌单!B:C,2,0)</f>
        <v>妮莉安/说说/纱依</v>
      </c>
      <c r="O334" s="2">
        <f t="shared" si="9"/>
        <v>1</v>
      </c>
      <c r="P334" t="str">
        <f>VLOOKUP(B334,歌单!B:C,1,0)</f>
        <v>人间未满</v>
      </c>
    </row>
    <row r="335" spans="1:16" ht="15" hidden="1" customHeight="1">
      <c r="A335" s="4" t="s">
        <v>1552</v>
      </c>
      <c r="B335" s="4" t="s">
        <v>1553</v>
      </c>
      <c r="C335" s="4" t="s">
        <v>188</v>
      </c>
      <c r="D335" s="18"/>
      <c r="E335" s="18">
        <v>50129</v>
      </c>
      <c r="F335" s="18">
        <v>14164</v>
      </c>
      <c r="G335" s="4" t="s">
        <v>1554</v>
      </c>
      <c r="H335" s="4" t="s">
        <v>1555</v>
      </c>
      <c r="I335" s="5">
        <v>637</v>
      </c>
      <c r="J335" s="4" t="s">
        <v>1282</v>
      </c>
      <c r="K335" s="4" t="s">
        <v>1556</v>
      </c>
      <c r="L335" s="4">
        <v>165524997</v>
      </c>
      <c r="M335" s="4" t="s">
        <v>1264</v>
      </c>
      <c r="N335" s="2" t="str">
        <f>VLOOKUP(B335,歌单!B:C,2,0)</f>
        <v>周深</v>
      </c>
      <c r="O335" s="2">
        <f t="shared" si="9"/>
        <v>0</v>
      </c>
      <c r="P335" t="str">
        <f>VLOOKUP(B335,歌单!B:C,1,0)</f>
        <v>光亮</v>
      </c>
    </row>
    <row r="336" spans="1:16" ht="15" hidden="1" customHeight="1">
      <c r="A336" s="4" t="s">
        <v>1557</v>
      </c>
      <c r="B336" s="4" t="s">
        <v>1558</v>
      </c>
      <c r="C336" s="4" t="s">
        <v>1559</v>
      </c>
      <c r="D336" s="18"/>
      <c r="E336" s="18">
        <v>0</v>
      </c>
      <c r="F336" s="18">
        <v>0</v>
      </c>
      <c r="G336" s="4" t="s">
        <v>1560</v>
      </c>
      <c r="H336" s="4" t="s">
        <v>1561</v>
      </c>
      <c r="I336" s="5">
        <v>829</v>
      </c>
      <c r="J336" s="4"/>
      <c r="K336" s="4" t="s">
        <v>1558</v>
      </c>
      <c r="L336" s="4">
        <v>330373359</v>
      </c>
      <c r="M336" s="4"/>
      <c r="N336" s="2" t="str">
        <f>VLOOKUP(B336,歌单!B:C,2,0)</f>
        <v>光良</v>
      </c>
      <c r="O336" s="2">
        <f t="shared" si="9"/>
        <v>0</v>
      </c>
      <c r="P336" t="str">
        <f>VLOOKUP(B336,歌单!B:C,1,0)</f>
        <v>童话</v>
      </c>
    </row>
    <row r="337" spans="1:16" ht="15" hidden="1" customHeight="1">
      <c r="A337" s="4" t="s">
        <v>1562</v>
      </c>
      <c r="B337" s="4" t="s">
        <v>1563</v>
      </c>
      <c r="C337" s="4" t="s">
        <v>1564</v>
      </c>
      <c r="D337" s="18"/>
      <c r="E337" s="18">
        <v>0</v>
      </c>
      <c r="F337" s="18">
        <v>0</v>
      </c>
      <c r="G337" s="4" t="s">
        <v>1565</v>
      </c>
      <c r="H337" s="4" t="s">
        <v>1566</v>
      </c>
      <c r="I337" s="5">
        <v>1984</v>
      </c>
      <c r="J337" s="4"/>
      <c r="K337" s="4" t="s">
        <v>1567</v>
      </c>
      <c r="L337" s="4">
        <v>812417214</v>
      </c>
      <c r="M337" s="4"/>
      <c r="N337" s="2" t="str">
        <f>VLOOKUP(B337,歌单!B:C,2,0)</f>
        <v>丸子呦</v>
      </c>
      <c r="O337" s="2">
        <f t="shared" si="9"/>
        <v>0</v>
      </c>
      <c r="P337" t="str">
        <f>VLOOKUP(B337,歌单!B:C,1,0)</f>
        <v>广寒宫</v>
      </c>
    </row>
    <row r="338" spans="1:16" ht="15" hidden="1" customHeight="1">
      <c r="A338" s="4" t="s">
        <v>1568</v>
      </c>
      <c r="B338" s="4" t="s">
        <v>1569</v>
      </c>
      <c r="C338" s="4" t="s">
        <v>42</v>
      </c>
      <c r="D338" s="18"/>
      <c r="E338" s="18">
        <v>0</v>
      </c>
      <c r="F338" s="18">
        <v>0</v>
      </c>
      <c r="G338" s="4" t="s">
        <v>1570</v>
      </c>
      <c r="H338" s="4"/>
      <c r="I338" s="5">
        <v>778</v>
      </c>
      <c r="J338" s="4"/>
      <c r="K338" s="4" t="s">
        <v>1571</v>
      </c>
      <c r="L338" s="4">
        <v>174632458</v>
      </c>
      <c r="M338" s="4"/>
      <c r="N338" s="2" t="str">
        <f>VLOOKUP(B338,歌单!B:C,2,0)</f>
        <v>黄龄</v>
      </c>
      <c r="O338" s="2">
        <f t="shared" si="9"/>
        <v>0</v>
      </c>
      <c r="P338" t="str">
        <f>VLOOKUP(B338,歌单!B:C,1,0)</f>
        <v>风月</v>
      </c>
    </row>
    <row r="339" spans="1:16" ht="15" hidden="1" customHeight="1">
      <c r="A339" s="4" t="s">
        <v>1572</v>
      </c>
      <c r="B339" s="4" t="s">
        <v>1520</v>
      </c>
      <c r="C339" s="4" t="s">
        <v>1372</v>
      </c>
      <c r="D339" s="18"/>
      <c r="E339" s="18">
        <v>0</v>
      </c>
      <c r="F339" s="18">
        <v>0</v>
      </c>
      <c r="G339" s="4" t="s">
        <v>1573</v>
      </c>
      <c r="H339" s="4" t="s">
        <v>1574</v>
      </c>
      <c r="I339" s="5">
        <v>6</v>
      </c>
      <c r="J339" s="4"/>
      <c r="K339" s="4" t="s">
        <v>1520</v>
      </c>
      <c r="L339" s="4">
        <v>283638</v>
      </c>
      <c r="M339" s="4"/>
      <c r="N339" s="2" t="str">
        <f>VLOOKUP(B339,歌单!B:C,2,0)</f>
        <v>宋祖英</v>
      </c>
      <c r="O339" s="2">
        <f t="shared" si="9"/>
        <v>0</v>
      </c>
      <c r="P339" t="str">
        <f>VLOOKUP(B339,歌单!B:C,1,0)</f>
        <v>望月</v>
      </c>
    </row>
    <row r="340" spans="1:16" ht="15" hidden="1" customHeight="1">
      <c r="A340" s="32" t="s">
        <v>1575</v>
      </c>
      <c r="B340" s="4" t="s">
        <v>1576</v>
      </c>
      <c r="C340" s="4" t="s">
        <v>478</v>
      </c>
      <c r="D340" s="18"/>
      <c r="E340" s="18">
        <v>0</v>
      </c>
      <c r="F340" s="18">
        <v>0</v>
      </c>
      <c r="G340" s="4" t="s">
        <v>1577</v>
      </c>
      <c r="H340" s="4" t="s">
        <v>1578</v>
      </c>
      <c r="I340" s="5">
        <v>372</v>
      </c>
      <c r="J340" s="4"/>
      <c r="K340" s="4" t="s">
        <v>1579</v>
      </c>
      <c r="L340" s="4">
        <v>91130644</v>
      </c>
      <c r="M340" s="4"/>
      <c r="N340" s="28" t="str">
        <f>VLOOKUP(B340,歌单!B:C,2,0)</f>
        <v>王菲</v>
      </c>
      <c r="O340" s="2">
        <f t="shared" si="9"/>
        <v>1</v>
      </c>
      <c r="P340" t="str">
        <f>VLOOKUP(B340,歌单!B:C,1,0)</f>
        <v>但愿人长久</v>
      </c>
    </row>
    <row r="341" spans="1:16" ht="15" hidden="1" customHeight="1">
      <c r="A341" s="32" t="s">
        <v>1580</v>
      </c>
      <c r="B341" s="4" t="s">
        <v>1377</v>
      </c>
      <c r="C341" s="4" t="s">
        <v>1378</v>
      </c>
      <c r="D341" s="18"/>
      <c r="E341" s="18">
        <v>0</v>
      </c>
      <c r="F341" s="18">
        <v>0</v>
      </c>
      <c r="G341" s="4" t="s">
        <v>1581</v>
      </c>
      <c r="H341" s="4" t="s">
        <v>1582</v>
      </c>
      <c r="I341" s="5">
        <v>0</v>
      </c>
      <c r="J341" s="4"/>
      <c r="K341" s="4" t="s">
        <v>1583</v>
      </c>
      <c r="L341" s="4">
        <v>489616</v>
      </c>
      <c r="M341" s="4"/>
      <c r="N341" s="2" t="str">
        <f>VLOOKUP(B341,歌单!B:C,2,0)</f>
        <v>云南弥渡山歌</v>
      </c>
      <c r="O341" s="2">
        <f t="shared" si="9"/>
        <v>1</v>
      </c>
      <c r="P341" t="str">
        <f>VLOOKUP(B341,歌单!B:C,1,0)</f>
        <v>小河淌水</v>
      </c>
    </row>
    <row r="342" spans="1:16" ht="15" hidden="1" customHeight="1">
      <c r="A342" s="4" t="s">
        <v>1584</v>
      </c>
      <c r="B342" s="4" t="s">
        <v>1585</v>
      </c>
      <c r="C342" s="4" t="s">
        <v>1586</v>
      </c>
      <c r="D342" s="18"/>
      <c r="E342" s="18">
        <v>0</v>
      </c>
      <c r="F342" s="18">
        <v>0</v>
      </c>
      <c r="G342" s="4" t="s">
        <v>1587</v>
      </c>
      <c r="H342" s="4" t="s">
        <v>1588</v>
      </c>
      <c r="I342" s="5">
        <v>1119</v>
      </c>
      <c r="J342" s="4"/>
      <c r="K342" s="4" t="s">
        <v>1589</v>
      </c>
      <c r="L342" s="4">
        <v>217542753</v>
      </c>
      <c r="M342" s="4"/>
      <c r="N342" s="2" t="str">
        <f>VLOOKUP(B342,歌单!B:C,2,0)</f>
        <v>飞儿乐队</v>
      </c>
      <c r="O342" s="2">
        <f t="shared" si="9"/>
        <v>0</v>
      </c>
      <c r="P342" t="str">
        <f>VLOOKUP(B342,歌单!B:C,1,0)</f>
        <v>月牙湾</v>
      </c>
    </row>
    <row r="343" spans="1:16" ht="15" hidden="1" customHeight="1">
      <c r="A343" s="4" t="s">
        <v>1590</v>
      </c>
      <c r="B343" s="4" t="s">
        <v>1591</v>
      </c>
      <c r="C343" s="4" t="s">
        <v>221</v>
      </c>
      <c r="D343" s="18"/>
      <c r="E343" s="18">
        <v>0</v>
      </c>
      <c r="F343" s="18">
        <v>0</v>
      </c>
      <c r="G343" s="4" t="s">
        <v>1592</v>
      </c>
      <c r="H343" s="4" t="s">
        <v>1593</v>
      </c>
      <c r="I343" s="5">
        <v>1004</v>
      </c>
      <c r="J343" s="4"/>
      <c r="K343" s="4" t="s">
        <v>1594</v>
      </c>
      <c r="L343" s="4">
        <v>298090542</v>
      </c>
      <c r="M343" s="4"/>
      <c r="N343" s="2" t="str">
        <f>VLOOKUP(B343,歌单!B:C,2,0)</f>
        <v>毛不易</v>
      </c>
      <c r="O343" s="2">
        <f t="shared" si="9"/>
        <v>0</v>
      </c>
      <c r="P343" t="str">
        <f>VLOOKUP(B343,歌单!B:C,1,0)</f>
        <v>消愁</v>
      </c>
    </row>
    <row r="344" spans="1:16" ht="15" hidden="1" customHeight="1">
      <c r="A344" s="4" t="s">
        <v>1595</v>
      </c>
      <c r="B344" s="4" t="s">
        <v>1596</v>
      </c>
      <c r="C344" s="4" t="s">
        <v>131</v>
      </c>
      <c r="D344" s="18"/>
      <c r="E344" s="18">
        <v>0</v>
      </c>
      <c r="F344" s="18">
        <v>0</v>
      </c>
      <c r="G344" s="4" t="s">
        <v>1597</v>
      </c>
      <c r="H344" s="4" t="s">
        <v>1598</v>
      </c>
      <c r="I344" s="5">
        <v>12</v>
      </c>
      <c r="J344" s="4"/>
      <c r="K344" s="4" t="s">
        <v>752</v>
      </c>
      <c r="L344" s="4">
        <v>3135196</v>
      </c>
      <c r="M344" s="4"/>
      <c r="N344" s="2" t="e">
        <f>VLOOKUP(B344,歌单!B:C,2,0)</f>
        <v>#N/A</v>
      </c>
      <c r="O344" s="2">
        <f t="shared" si="9"/>
        <v>1</v>
      </c>
      <c r="P344" t="e">
        <f>VLOOKUP(B344,歌单!B:C,1,0)</f>
        <v>#N/A</v>
      </c>
    </row>
    <row r="345" spans="1:16" ht="15" hidden="1" customHeight="1">
      <c r="A345" s="4" t="s">
        <v>1599</v>
      </c>
      <c r="B345" s="4" t="s">
        <v>1600</v>
      </c>
      <c r="C345" s="4" t="s">
        <v>1601</v>
      </c>
      <c r="D345" s="18"/>
      <c r="E345" s="18">
        <v>0</v>
      </c>
      <c r="F345" s="18">
        <v>0</v>
      </c>
      <c r="G345" s="4" t="s">
        <v>1602</v>
      </c>
      <c r="H345" s="4" t="s">
        <v>1603</v>
      </c>
      <c r="I345" s="5">
        <v>1457</v>
      </c>
      <c r="J345" s="4"/>
      <c r="K345" s="4" t="s">
        <v>1604</v>
      </c>
      <c r="L345" s="4">
        <v>219930613</v>
      </c>
      <c r="M345" s="4"/>
      <c r="N345" s="2" t="str">
        <f>VLOOKUP(B345,歌单!B:C,2,0)</f>
        <v>凤凰传奇</v>
      </c>
      <c r="O345" s="2">
        <f t="shared" si="9"/>
        <v>0</v>
      </c>
      <c r="P345" t="str">
        <f>VLOOKUP(B345,歌单!B:C,1,0)</f>
        <v>荷塘月色</v>
      </c>
    </row>
    <row r="346" spans="1:16" ht="15" hidden="1" customHeight="1">
      <c r="A346" s="4" t="s">
        <v>1605</v>
      </c>
      <c r="B346" s="4" t="s">
        <v>1606</v>
      </c>
      <c r="C346" s="4" t="s">
        <v>679</v>
      </c>
      <c r="D346" s="18"/>
      <c r="E346" s="18">
        <v>0</v>
      </c>
      <c r="F346" s="18">
        <v>0</v>
      </c>
      <c r="G346" s="4" t="s">
        <v>1607</v>
      </c>
      <c r="H346" s="4" t="s">
        <v>1608</v>
      </c>
      <c r="I346" s="5">
        <v>28</v>
      </c>
      <c r="J346" s="4"/>
      <c r="K346" s="4" t="s">
        <v>1609</v>
      </c>
      <c r="L346" s="4">
        <v>28452133</v>
      </c>
      <c r="M346" s="4"/>
      <c r="N346" s="2" t="e">
        <f>VLOOKUP(B346,歌单!B:C,2,0)</f>
        <v>#N/A</v>
      </c>
      <c r="O346" s="2">
        <f t="shared" si="9"/>
        <v>1</v>
      </c>
      <c r="P346" t="e">
        <f>VLOOKUP(B346,歌单!B:C,1,0)</f>
        <v>#N/A</v>
      </c>
    </row>
    <row r="347" spans="1:16" ht="15" customHeight="1">
      <c r="A347" s="4" t="s">
        <v>1610</v>
      </c>
      <c r="B347" s="4" t="s">
        <v>1611</v>
      </c>
      <c r="C347" s="4" t="s">
        <v>27</v>
      </c>
      <c r="D347" s="18"/>
      <c r="E347" s="18">
        <v>0</v>
      </c>
      <c r="F347" s="18">
        <v>0</v>
      </c>
      <c r="G347" s="4" t="s">
        <v>1612</v>
      </c>
      <c r="H347" s="4"/>
      <c r="I347" s="5">
        <v>0</v>
      </c>
      <c r="J347" s="4" t="s">
        <v>1613</v>
      </c>
      <c r="K347" s="4" t="s">
        <v>1614</v>
      </c>
      <c r="L347" s="4">
        <v>811754</v>
      </c>
      <c r="M347" s="4"/>
      <c r="N347" s="2">
        <f>VLOOKUP(B347,歌单!B:C,2,0)</f>
        <v>0</v>
      </c>
      <c r="O347" s="2">
        <f t="shared" si="9"/>
        <v>1</v>
      </c>
      <c r="P347" t="str">
        <f>VLOOKUP(B347,歌单!B:C,1,0)</f>
        <v>儿歌</v>
      </c>
    </row>
    <row r="348" spans="1:16" ht="15" hidden="1" customHeight="1">
      <c r="A348" s="4" t="s">
        <v>1615</v>
      </c>
      <c r="B348" s="4" t="s">
        <v>1616</v>
      </c>
      <c r="C348" s="4" t="s">
        <v>21</v>
      </c>
      <c r="D348" s="18"/>
      <c r="E348" s="18">
        <v>0</v>
      </c>
      <c r="F348" s="18">
        <v>0</v>
      </c>
      <c r="G348" s="4" t="s">
        <v>1617</v>
      </c>
      <c r="H348" s="4"/>
      <c r="I348" s="5">
        <v>15</v>
      </c>
      <c r="J348" s="4"/>
      <c r="K348" s="4" t="s">
        <v>1618</v>
      </c>
      <c r="L348" s="4">
        <v>5496354</v>
      </c>
      <c r="M348" s="4"/>
      <c r="N348" s="2" t="e">
        <f>VLOOKUP(B348,歌单!B:C,2,0)</f>
        <v>#N/A</v>
      </c>
      <c r="O348" s="2">
        <f t="shared" si="9"/>
        <v>1</v>
      </c>
      <c r="P348" t="e">
        <f>VLOOKUP(B348,歌单!B:C,1,0)</f>
        <v>#N/A</v>
      </c>
    </row>
    <row r="349" spans="1:16" ht="15" hidden="1" customHeight="1">
      <c r="A349" s="4" t="s">
        <v>1619</v>
      </c>
      <c r="B349" s="4" t="s">
        <v>1620</v>
      </c>
      <c r="C349" s="4" t="s">
        <v>154</v>
      </c>
      <c r="D349" s="18"/>
      <c r="E349" s="18">
        <v>0</v>
      </c>
      <c r="F349" s="18">
        <v>0</v>
      </c>
      <c r="G349" s="4" t="s">
        <v>1621</v>
      </c>
      <c r="H349" s="4" t="s">
        <v>1622</v>
      </c>
      <c r="I349" s="5">
        <v>9903</v>
      </c>
      <c r="J349" s="4" t="s">
        <v>1623</v>
      </c>
      <c r="K349" s="4" t="s">
        <v>1624</v>
      </c>
      <c r="L349" s="4">
        <v>948949344</v>
      </c>
      <c r="M349" s="4" t="s">
        <v>852</v>
      </c>
      <c r="N349" s="2" t="str">
        <f>VLOOKUP(B349,歌单!B:C,2,0)</f>
        <v>周杰伦</v>
      </c>
      <c r="O349" s="2">
        <f t="shared" si="9"/>
        <v>0</v>
      </c>
      <c r="P349" t="str">
        <f>VLOOKUP(B349,歌单!B:C,1,0)</f>
        <v>一路向北</v>
      </c>
    </row>
    <row r="350" spans="1:16" ht="15" hidden="1" customHeight="1">
      <c r="A350" s="4" t="s">
        <v>1625</v>
      </c>
      <c r="B350" s="4" t="s">
        <v>1626</v>
      </c>
      <c r="C350" s="4" t="s">
        <v>360</v>
      </c>
      <c r="D350" s="18"/>
      <c r="E350" s="18">
        <v>0</v>
      </c>
      <c r="F350" s="18">
        <v>0</v>
      </c>
      <c r="G350" s="4" t="s">
        <v>1627</v>
      </c>
      <c r="H350" s="4" t="s">
        <v>1628</v>
      </c>
      <c r="I350" s="5">
        <v>26</v>
      </c>
      <c r="J350" s="4" t="s">
        <v>1629</v>
      </c>
      <c r="K350" s="4" t="s">
        <v>1630</v>
      </c>
      <c r="L350" s="4">
        <v>19335728</v>
      </c>
      <c r="M350" s="4"/>
      <c r="N350" s="2" t="str">
        <f>VLOOKUP(B350,歌单!B:C,2,0)</f>
        <v>张碧晨</v>
      </c>
      <c r="O350" s="2">
        <f t="shared" si="9"/>
        <v>0</v>
      </c>
      <c r="P350" t="str">
        <f>VLOOKUP(B350,歌单!B:C,1,0)</f>
        <v>胡桃夹子</v>
      </c>
    </row>
    <row r="351" spans="1:16" ht="15" customHeight="1">
      <c r="A351" s="4" t="s">
        <v>1631</v>
      </c>
      <c r="B351" s="4" t="s">
        <v>1632</v>
      </c>
      <c r="C351" s="4" t="s">
        <v>1633</v>
      </c>
      <c r="D351" s="18"/>
      <c r="E351" s="18">
        <v>1121</v>
      </c>
      <c r="F351" s="18">
        <v>108</v>
      </c>
      <c r="G351" s="4" t="s">
        <v>1634</v>
      </c>
      <c r="H351" s="4" t="s">
        <v>1635</v>
      </c>
      <c r="I351" s="5">
        <v>243</v>
      </c>
      <c r="J351" s="4"/>
      <c r="K351" s="4" t="s">
        <v>1632</v>
      </c>
      <c r="L351" s="4">
        <v>21666407</v>
      </c>
      <c r="M351" s="4"/>
      <c r="N351" s="2">
        <f>VLOOKUP(B351,歌单!B:C,2,0)</f>
        <v>0</v>
      </c>
      <c r="O351" s="2">
        <f t="shared" si="9"/>
        <v>1</v>
      </c>
      <c r="P351" t="str">
        <f>VLOOKUP(B351,歌单!B:C,1,0)</f>
        <v>Forever Young</v>
      </c>
    </row>
    <row r="352" spans="1:16" ht="15" hidden="1" customHeight="1">
      <c r="A352" s="4" t="s">
        <v>1636</v>
      </c>
      <c r="B352" s="4" t="s">
        <v>1637</v>
      </c>
      <c r="C352" s="4" t="s">
        <v>360</v>
      </c>
      <c r="D352" s="18"/>
      <c r="E352" s="18">
        <v>0</v>
      </c>
      <c r="F352" s="18">
        <v>0</v>
      </c>
      <c r="G352" s="4" t="s">
        <v>1638</v>
      </c>
      <c r="H352" s="4" t="s">
        <v>1639</v>
      </c>
      <c r="I352" s="5">
        <v>2</v>
      </c>
      <c r="J352" s="4" t="s">
        <v>1640</v>
      </c>
      <c r="K352" s="4" t="s">
        <v>1641</v>
      </c>
      <c r="L352" s="4">
        <v>3055477</v>
      </c>
      <c r="M352" s="4"/>
      <c r="N352" s="2" t="str">
        <f>VLOOKUP(B352,歌单!B:C,2,0)</f>
        <v>张碧晨</v>
      </c>
      <c r="O352" s="2">
        <f t="shared" si="9"/>
        <v>0</v>
      </c>
      <c r="P352" t="str">
        <f>VLOOKUP(B352,歌单!B:C,1,0)</f>
        <v>一吻之间</v>
      </c>
    </row>
    <row r="353" spans="1:16" ht="15" hidden="1" customHeight="1">
      <c r="A353" s="32" t="s">
        <v>1642</v>
      </c>
      <c r="B353" s="4" t="s">
        <v>1643</v>
      </c>
      <c r="C353" s="4" t="s">
        <v>1644</v>
      </c>
      <c r="D353" s="18"/>
      <c r="E353" s="18">
        <v>0</v>
      </c>
      <c r="F353" s="18">
        <v>0</v>
      </c>
      <c r="G353" s="4" t="s">
        <v>1645</v>
      </c>
      <c r="H353" s="4" t="s">
        <v>1646</v>
      </c>
      <c r="I353" s="5">
        <v>0</v>
      </c>
      <c r="J353" s="4"/>
      <c r="K353" s="4" t="s">
        <v>1647</v>
      </c>
      <c r="L353" s="4">
        <v>2177494</v>
      </c>
      <c r="M353" s="4"/>
      <c r="N353" s="31" t="str">
        <f>VLOOKUP(B353,歌单!B:C,2,0)</f>
        <v>杨宗纬</v>
      </c>
      <c r="O353" s="2">
        <f t="shared" si="9"/>
        <v>1</v>
      </c>
      <c r="P353" t="str">
        <f>VLOOKUP(B353,歌单!B:C,1,0)</f>
        <v>那个男人</v>
      </c>
    </row>
    <row r="354" spans="1:16" ht="15" hidden="1" customHeight="1">
      <c r="A354" s="4" t="s">
        <v>1648</v>
      </c>
      <c r="B354" s="4" t="s">
        <v>1649</v>
      </c>
      <c r="C354" s="4" t="s">
        <v>360</v>
      </c>
      <c r="D354" s="18"/>
      <c r="E354" s="18">
        <v>0</v>
      </c>
      <c r="F354" s="18">
        <v>0</v>
      </c>
      <c r="G354" s="4" t="s">
        <v>1650</v>
      </c>
      <c r="H354" s="4"/>
      <c r="I354" s="5">
        <v>3</v>
      </c>
      <c r="J354" s="4" t="s">
        <v>1649</v>
      </c>
      <c r="K354" s="4" t="s">
        <v>1651</v>
      </c>
      <c r="L354" s="4">
        <v>1807396</v>
      </c>
      <c r="M354" s="4"/>
      <c r="N354" s="2" t="str">
        <f>VLOOKUP(B354,歌单!B:C,2,0)</f>
        <v>张碧晨</v>
      </c>
      <c r="O354" s="2">
        <f t="shared" si="9"/>
        <v>0</v>
      </c>
      <c r="P354" t="str">
        <f>VLOOKUP(B354,歌单!B:C,1,0)</f>
        <v>白芍花开</v>
      </c>
    </row>
    <row r="355" spans="1:16" ht="15" hidden="1" customHeight="1">
      <c r="A355" s="4" t="s">
        <v>1652</v>
      </c>
      <c r="B355" s="4" t="s">
        <v>1653</v>
      </c>
      <c r="C355" s="4" t="s">
        <v>679</v>
      </c>
      <c r="D355" s="18"/>
      <c r="E355" s="18">
        <v>0</v>
      </c>
      <c r="F355" s="18">
        <v>0</v>
      </c>
      <c r="G355" s="4" t="s">
        <v>1654</v>
      </c>
      <c r="H355" s="4" t="s">
        <v>1655</v>
      </c>
      <c r="I355" s="5">
        <v>791</v>
      </c>
      <c r="J355" s="4"/>
      <c r="K355" s="4" t="s">
        <v>1656</v>
      </c>
      <c r="L355" s="4">
        <v>312647783</v>
      </c>
      <c r="M355" s="4"/>
      <c r="N355" s="2" t="str">
        <f>VLOOKUP(B355,歌单!B:C,2,0)</f>
        <v>林俊杰</v>
      </c>
      <c r="O355" s="2">
        <f t="shared" si="9"/>
        <v>0</v>
      </c>
      <c r="P355" t="str">
        <f>VLOOKUP(B355,歌单!B:C,1,0)</f>
        <v>不为谁而作的歌</v>
      </c>
    </row>
    <row r="356" spans="1:16" ht="15" hidden="1" customHeight="1">
      <c r="A356" s="4" t="s">
        <v>1657</v>
      </c>
      <c r="B356" s="4" t="s">
        <v>1658</v>
      </c>
      <c r="C356" s="4" t="s">
        <v>679</v>
      </c>
      <c r="D356" s="18"/>
      <c r="E356" s="18">
        <v>0</v>
      </c>
      <c r="F356" s="18">
        <v>0</v>
      </c>
      <c r="G356" s="4" t="s">
        <v>1659</v>
      </c>
      <c r="H356" s="4" t="s">
        <v>1660</v>
      </c>
      <c r="I356" s="5">
        <v>190</v>
      </c>
      <c r="J356" s="4" t="s">
        <v>1661</v>
      </c>
      <c r="K356" s="4" t="s">
        <v>1662</v>
      </c>
      <c r="L356" s="4">
        <v>105496599</v>
      </c>
      <c r="M356" s="4"/>
      <c r="N356" s="2" t="str">
        <f>VLOOKUP(B356,歌单!B:C,2,0)</f>
        <v>林俊杰</v>
      </c>
      <c r="O356" s="2">
        <f t="shared" si="9"/>
        <v>0</v>
      </c>
      <c r="P356" t="str">
        <f>VLOOKUP(B356,歌单!B:C,1,0)</f>
        <v>一千年以后</v>
      </c>
    </row>
    <row r="357" spans="1:16" ht="15" hidden="1" customHeight="1">
      <c r="A357" s="32" t="s">
        <v>1663</v>
      </c>
      <c r="B357" s="4" t="s">
        <v>7402</v>
      </c>
      <c r="C357" s="4" t="s">
        <v>1665</v>
      </c>
      <c r="D357" s="18"/>
      <c r="E357" s="18">
        <v>0</v>
      </c>
      <c r="F357" s="18">
        <v>0</v>
      </c>
      <c r="G357" s="4" t="s">
        <v>1666</v>
      </c>
      <c r="H357" s="4" t="s">
        <v>1667</v>
      </c>
      <c r="I357" s="5">
        <v>246</v>
      </c>
      <c r="J357" s="4"/>
      <c r="K357" s="4"/>
      <c r="L357" s="4">
        <v>37205613</v>
      </c>
      <c r="M357" s="4"/>
      <c r="N357" s="28" t="str">
        <f>VLOOKUP(B357,歌单!B:C,2,0)</f>
        <v>费玉清</v>
      </c>
      <c r="O357" s="2">
        <f t="shared" si="9"/>
        <v>1</v>
      </c>
      <c r="P357" t="str">
        <f>VLOOKUP(B357,歌单!B:C,1,0)</f>
        <v>南屏晚钟</v>
      </c>
    </row>
    <row r="358" spans="1:16" ht="15" hidden="1" customHeight="1">
      <c r="A358" s="4" t="s">
        <v>1668</v>
      </c>
      <c r="B358" s="4" t="s">
        <v>1669</v>
      </c>
      <c r="C358" s="4" t="s">
        <v>1670</v>
      </c>
      <c r="D358" s="18"/>
      <c r="E358" s="18">
        <v>0</v>
      </c>
      <c r="F358" s="18">
        <v>0</v>
      </c>
      <c r="G358" s="4" t="s">
        <v>1671</v>
      </c>
      <c r="H358" s="4" t="s">
        <v>1672</v>
      </c>
      <c r="I358" s="5">
        <v>20</v>
      </c>
      <c r="J358" s="4"/>
      <c r="K358" s="4"/>
      <c r="L358" s="4">
        <v>27149482</v>
      </c>
      <c r="M358" s="4"/>
      <c r="N358" s="2" t="e">
        <f>VLOOKUP(B358,歌单!B:C,2,0)</f>
        <v>#N/A</v>
      </c>
      <c r="O358" s="2">
        <f t="shared" si="9"/>
        <v>1</v>
      </c>
      <c r="P358" t="e">
        <f>VLOOKUP(B358,歌单!B:C,1,0)</f>
        <v>#N/A</v>
      </c>
    </row>
    <row r="359" spans="1:16" ht="15" hidden="1" customHeight="1">
      <c r="A359" s="4" t="s">
        <v>1673</v>
      </c>
      <c r="B359" s="4" t="s">
        <v>1674</v>
      </c>
      <c r="C359" s="4" t="s">
        <v>1675</v>
      </c>
      <c r="D359" s="18"/>
      <c r="E359" s="18">
        <v>0</v>
      </c>
      <c r="F359" s="18">
        <v>0</v>
      </c>
      <c r="G359" s="4" t="s">
        <v>1676</v>
      </c>
      <c r="H359" s="4" t="s">
        <v>1677</v>
      </c>
      <c r="I359" s="5">
        <v>22</v>
      </c>
      <c r="J359" s="4"/>
      <c r="K359" s="4" t="s">
        <v>1678</v>
      </c>
      <c r="L359" s="4">
        <v>34220213</v>
      </c>
      <c r="M359" s="4"/>
      <c r="N359" s="2" t="str">
        <f>VLOOKUP(B359,歌单!B:C,2,0)</f>
        <v>齐豫</v>
      </c>
      <c r="O359" s="2">
        <f t="shared" si="9"/>
        <v>0</v>
      </c>
      <c r="P359" t="str">
        <f>VLOOKUP(B359,歌单!B:C,1,0)</f>
        <v>欢颜</v>
      </c>
    </row>
    <row r="360" spans="1:16" ht="15" hidden="1" customHeight="1">
      <c r="A360" s="4" t="s">
        <v>1679</v>
      </c>
      <c r="B360" s="4" t="s">
        <v>1680</v>
      </c>
      <c r="C360" s="4" t="s">
        <v>188</v>
      </c>
      <c r="D360" s="18"/>
      <c r="E360" s="18">
        <v>0</v>
      </c>
      <c r="F360" s="18">
        <v>0</v>
      </c>
      <c r="G360" s="4" t="s">
        <v>1681</v>
      </c>
      <c r="H360" s="4" t="s">
        <v>1682</v>
      </c>
      <c r="I360" s="5">
        <v>104</v>
      </c>
      <c r="J360" s="4" t="s">
        <v>1683</v>
      </c>
      <c r="K360" s="4" t="s">
        <v>1684</v>
      </c>
      <c r="L360" s="4">
        <v>19283438</v>
      </c>
      <c r="M360" s="4"/>
      <c r="N360" s="2" t="e">
        <f>VLOOKUP(B360,歌单!B:C,2,0)</f>
        <v>#N/A</v>
      </c>
      <c r="O360" s="2">
        <f t="shared" si="9"/>
        <v>1</v>
      </c>
      <c r="P360" t="e">
        <f>VLOOKUP(B360,歌单!B:C,1,0)</f>
        <v>#N/A</v>
      </c>
    </row>
    <row r="361" spans="1:16" ht="15" hidden="1" customHeight="1">
      <c r="A361" s="32" t="s">
        <v>1685</v>
      </c>
      <c r="B361" s="4" t="s">
        <v>1686</v>
      </c>
      <c r="C361" s="4" t="s">
        <v>541</v>
      </c>
      <c r="D361" s="18"/>
      <c r="E361" s="18">
        <v>0</v>
      </c>
      <c r="F361" s="18">
        <v>0</v>
      </c>
      <c r="G361" s="4" t="s">
        <v>1687</v>
      </c>
      <c r="H361" s="4" t="s">
        <v>1688</v>
      </c>
      <c r="I361" s="5">
        <v>4</v>
      </c>
      <c r="J361" s="4"/>
      <c r="K361" s="4" t="s">
        <v>1689</v>
      </c>
      <c r="L361" s="4">
        <v>23313180</v>
      </c>
      <c r="M361" s="4"/>
      <c r="N361" s="28" t="str">
        <f>VLOOKUP(B361,歌单!B:C,2,0)</f>
        <v>姚贝娜</v>
      </c>
      <c r="O361" s="2">
        <f t="shared" si="9"/>
        <v>1</v>
      </c>
      <c r="P361" t="str">
        <f>VLOOKUP(B361,歌单!B:C,1,0)</f>
        <v>也许明天</v>
      </c>
    </row>
    <row r="362" spans="1:16" ht="15" hidden="1" customHeight="1">
      <c r="A362" s="4" t="s">
        <v>1690</v>
      </c>
      <c r="B362" s="4" t="s">
        <v>81</v>
      </c>
      <c r="C362" s="4" t="s">
        <v>51</v>
      </c>
      <c r="D362" s="18"/>
      <c r="E362" s="18">
        <v>0</v>
      </c>
      <c r="F362" s="18">
        <v>0</v>
      </c>
      <c r="G362" s="4" t="s">
        <v>1691</v>
      </c>
      <c r="H362" s="4"/>
      <c r="I362" s="5">
        <v>0</v>
      </c>
      <c r="J362" s="4"/>
      <c r="K362" s="4" t="s">
        <v>81</v>
      </c>
      <c r="L362" s="4">
        <v>152535</v>
      </c>
      <c r="M362" s="4"/>
      <c r="N362" s="2" t="e">
        <f>VLOOKUP(B362,歌单!B:C,2,0)</f>
        <v>#N/A</v>
      </c>
      <c r="O362" s="2">
        <f t="shared" si="9"/>
        <v>1</v>
      </c>
      <c r="P362" t="e">
        <f>VLOOKUP(B362,歌单!B:C,1,0)</f>
        <v>#N/A</v>
      </c>
    </row>
    <row r="363" spans="1:16" ht="15" hidden="1" customHeight="1">
      <c r="A363" s="4" t="s">
        <v>1692</v>
      </c>
      <c r="B363" s="4" t="s">
        <v>83</v>
      </c>
      <c r="C363" s="4" t="s">
        <v>51</v>
      </c>
      <c r="D363" s="18"/>
      <c r="E363" s="18">
        <v>0</v>
      </c>
      <c r="F363" s="18">
        <v>0</v>
      </c>
      <c r="G363" s="4" t="s">
        <v>1693</v>
      </c>
      <c r="H363" s="4" t="s">
        <v>1694</v>
      </c>
      <c r="I363" s="5">
        <v>0</v>
      </c>
      <c r="J363" s="4" t="s">
        <v>1695</v>
      </c>
      <c r="K363" s="4" t="s">
        <v>1696</v>
      </c>
      <c r="L363" s="4">
        <v>403200</v>
      </c>
      <c r="M363" s="4"/>
      <c r="N363" s="2" t="e">
        <f>VLOOKUP(B363,歌单!B:C,2,0)</f>
        <v>#N/A</v>
      </c>
      <c r="O363" s="2">
        <f t="shared" si="9"/>
        <v>1</v>
      </c>
      <c r="P363" t="e">
        <f>VLOOKUP(B363,歌单!B:C,1,0)</f>
        <v>#N/A</v>
      </c>
    </row>
    <row r="364" spans="1:16" ht="15" hidden="1" customHeight="1">
      <c r="A364" s="4" t="s">
        <v>1697</v>
      </c>
      <c r="B364" s="4" t="s">
        <v>1698</v>
      </c>
      <c r="C364" s="4" t="s">
        <v>131</v>
      </c>
      <c r="D364" s="18"/>
      <c r="E364" s="18">
        <v>0</v>
      </c>
      <c r="F364" s="18">
        <v>0</v>
      </c>
      <c r="G364" s="4" t="s">
        <v>1699</v>
      </c>
      <c r="H364" s="4" t="s">
        <v>1700</v>
      </c>
      <c r="I364" s="5">
        <v>32</v>
      </c>
      <c r="J364" s="4"/>
      <c r="K364" s="4" t="s">
        <v>1701</v>
      </c>
      <c r="L364" s="4">
        <v>8068421</v>
      </c>
      <c r="M364" s="4"/>
      <c r="N364" s="2" t="e">
        <f>VLOOKUP(B364,歌单!B:C,2,0)</f>
        <v>#N/A</v>
      </c>
      <c r="O364" s="2">
        <f t="shared" si="9"/>
        <v>1</v>
      </c>
      <c r="P364" t="e">
        <f>VLOOKUP(B364,歌单!B:C,1,0)</f>
        <v>#N/A</v>
      </c>
    </row>
    <row r="365" spans="1:16" ht="15" hidden="1" customHeight="1">
      <c r="A365" s="4" t="s">
        <v>1702</v>
      </c>
      <c r="B365" s="4" t="s">
        <v>1703</v>
      </c>
      <c r="C365" s="4" t="s">
        <v>1704</v>
      </c>
      <c r="D365" s="18"/>
      <c r="E365" s="18">
        <v>0</v>
      </c>
      <c r="F365" s="18">
        <v>0</v>
      </c>
      <c r="G365" s="4" t="s">
        <v>1705</v>
      </c>
      <c r="H365" s="4" t="s">
        <v>1706</v>
      </c>
      <c r="I365" s="5">
        <v>68</v>
      </c>
      <c r="J365" s="4" t="s">
        <v>1707</v>
      </c>
      <c r="K365" s="4" t="s">
        <v>1703</v>
      </c>
      <c r="L365" s="4">
        <v>7299841</v>
      </c>
      <c r="M365" s="4"/>
      <c r="N365" s="2" t="str">
        <f>VLOOKUP(B365,歌单!B:C,2,0)</f>
        <v>田馥甄</v>
      </c>
      <c r="O365" s="2">
        <f t="shared" si="9"/>
        <v>0</v>
      </c>
      <c r="P365" t="str">
        <f>VLOOKUP(B365,歌单!B:C,1,0)</f>
        <v>无人知晓</v>
      </c>
    </row>
    <row r="366" spans="1:16" ht="15" customHeight="1">
      <c r="A366" s="4" t="s">
        <v>1708</v>
      </c>
      <c r="B366" s="4" t="s">
        <v>1709</v>
      </c>
      <c r="C366" s="4" t="s">
        <v>1710</v>
      </c>
      <c r="D366" s="18"/>
      <c r="E366" s="18">
        <v>0</v>
      </c>
      <c r="F366" s="18">
        <v>0</v>
      </c>
      <c r="G366" s="4" t="s">
        <v>1711</v>
      </c>
      <c r="H366" s="4" t="s">
        <v>1712</v>
      </c>
      <c r="I366" s="5">
        <v>3393</v>
      </c>
      <c r="J366" s="4"/>
      <c r="K366" s="4" t="s">
        <v>1709</v>
      </c>
      <c r="L366" s="4">
        <v>211699205</v>
      </c>
      <c r="M366" s="4"/>
      <c r="N366" s="2">
        <f>VLOOKUP(B366,歌单!B:C,2,0)</f>
        <v>0</v>
      </c>
      <c r="O366" s="2">
        <f t="shared" si="9"/>
        <v>1</v>
      </c>
      <c r="P366" t="str">
        <f>VLOOKUP(B366,歌单!B:C,1,0)</f>
        <v>大喜</v>
      </c>
    </row>
    <row r="367" spans="1:16" ht="15" hidden="1" customHeight="1">
      <c r="A367" s="4" t="s">
        <v>1713</v>
      </c>
      <c r="B367" s="4" t="s">
        <v>1714</v>
      </c>
      <c r="C367" s="4" t="s">
        <v>679</v>
      </c>
      <c r="D367" s="18"/>
      <c r="E367" s="18">
        <v>35</v>
      </c>
      <c r="F367" s="18">
        <v>4</v>
      </c>
      <c r="G367" s="4" t="s">
        <v>1715</v>
      </c>
      <c r="H367" s="4" t="s">
        <v>1716</v>
      </c>
      <c r="I367" s="5">
        <v>214</v>
      </c>
      <c r="J367" s="4"/>
      <c r="K367" s="4" t="s">
        <v>1717</v>
      </c>
      <c r="L367" s="4">
        <v>217880128</v>
      </c>
      <c r="M367" s="4"/>
      <c r="N367" s="2" t="str">
        <f>VLOOKUP(B367,歌单!B:C,2,0)</f>
        <v>林俊杰</v>
      </c>
      <c r="O367" s="2">
        <f t="shared" si="9"/>
        <v>0</v>
      </c>
      <c r="P367" t="str">
        <f>VLOOKUP(B367,歌单!B:C,1,0)</f>
        <v>背对背拥抱</v>
      </c>
    </row>
    <row r="368" spans="1:16" ht="15" hidden="1" customHeight="1">
      <c r="A368" s="4" t="s">
        <v>1718</v>
      </c>
      <c r="B368" s="4" t="s">
        <v>1719</v>
      </c>
      <c r="C368" s="4" t="s">
        <v>592</v>
      </c>
      <c r="D368" s="18"/>
      <c r="E368" s="18">
        <v>61</v>
      </c>
      <c r="F368" s="18">
        <v>23</v>
      </c>
      <c r="G368" s="4" t="s">
        <v>1720</v>
      </c>
      <c r="H368" s="4"/>
      <c r="I368" s="5">
        <v>275</v>
      </c>
      <c r="J368" s="4" t="s">
        <v>1719</v>
      </c>
      <c r="K368" s="4" t="s">
        <v>1719</v>
      </c>
      <c r="L368" s="4">
        <v>108423038</v>
      </c>
      <c r="M368" s="4"/>
      <c r="N368" s="2" t="str">
        <f>VLOOKUP(B368,歌单!B:C,2,0)</f>
        <v>蔡健雅</v>
      </c>
      <c r="O368" s="2">
        <f t="shared" si="9"/>
        <v>0</v>
      </c>
      <c r="P368" t="str">
        <f>VLOOKUP(B368,歌单!B:C,1,0)</f>
        <v>达尔文</v>
      </c>
    </row>
    <row r="369" spans="1:16" ht="15" hidden="1" customHeight="1">
      <c r="A369" s="4" t="s">
        <v>1721</v>
      </c>
      <c r="B369" s="4" t="s">
        <v>1722</v>
      </c>
      <c r="C369" s="4" t="s">
        <v>592</v>
      </c>
      <c r="D369" s="18"/>
      <c r="E369" s="18">
        <v>508</v>
      </c>
      <c r="F369" s="18">
        <v>63</v>
      </c>
      <c r="G369" s="4" t="s">
        <v>1723</v>
      </c>
      <c r="H369" s="4" t="s">
        <v>1724</v>
      </c>
      <c r="I369" s="5">
        <v>2348</v>
      </c>
      <c r="J369" s="4" t="s">
        <v>1725</v>
      </c>
      <c r="K369" s="4" t="s">
        <v>605</v>
      </c>
      <c r="L369" s="4">
        <v>1361006319</v>
      </c>
      <c r="M369" s="4" t="s">
        <v>826</v>
      </c>
      <c r="N369" s="2" t="str">
        <f>VLOOKUP(B369,歌单!B:C,2,0)</f>
        <v>蔡健雅</v>
      </c>
      <c r="O369" s="2">
        <f t="shared" si="9"/>
        <v>0</v>
      </c>
      <c r="P369" t="str">
        <f>VLOOKUP(B369,歌单!B:C,1,0)</f>
        <v>红色高跟鞋</v>
      </c>
    </row>
    <row r="370" spans="1:16" ht="15" customHeight="1">
      <c r="A370" s="4" t="s">
        <v>1726</v>
      </c>
      <c r="B370" s="4" t="s">
        <v>1727</v>
      </c>
      <c r="C370" s="4" t="s">
        <v>742</v>
      </c>
      <c r="D370" s="18"/>
      <c r="E370" s="18">
        <v>0</v>
      </c>
      <c r="F370" s="18">
        <v>0</v>
      </c>
      <c r="G370" s="4" t="s">
        <v>1728</v>
      </c>
      <c r="H370" s="4" t="s">
        <v>1729</v>
      </c>
      <c r="I370" s="5">
        <v>877</v>
      </c>
      <c r="J370" s="4"/>
      <c r="K370" s="4" t="s">
        <v>1730</v>
      </c>
      <c r="L370" s="4">
        <v>436354509</v>
      </c>
      <c r="M370" s="4"/>
      <c r="N370" s="2">
        <f>VLOOKUP(B370,歌单!B:C,2,0)</f>
        <v>0</v>
      </c>
      <c r="O370" s="2">
        <f t="shared" si="9"/>
        <v>1</v>
      </c>
      <c r="P370" t="str">
        <f>VLOOKUP(B370,歌单!B:C,1,0)</f>
        <v>第一天</v>
      </c>
    </row>
    <row r="371" spans="1:16" ht="15" hidden="1" customHeight="1">
      <c r="A371" s="4" t="s">
        <v>1731</v>
      </c>
      <c r="B371" s="4" t="s">
        <v>1732</v>
      </c>
      <c r="C371" s="4" t="s">
        <v>466</v>
      </c>
      <c r="D371" s="18"/>
      <c r="E371" s="18">
        <v>0</v>
      </c>
      <c r="F371" s="18">
        <v>0</v>
      </c>
      <c r="G371" s="4" t="s">
        <v>1733</v>
      </c>
      <c r="H371" s="4" t="s">
        <v>1734</v>
      </c>
      <c r="I371" s="5">
        <v>666</v>
      </c>
      <c r="J371" s="4" t="s">
        <v>1735</v>
      </c>
      <c r="K371" s="4" t="s">
        <v>1732</v>
      </c>
      <c r="L371" s="4">
        <v>215249573</v>
      </c>
      <c r="M371" s="4"/>
      <c r="N371" s="2" t="str">
        <f>VLOOKUP(B371,歌单!B:C,2,0)</f>
        <v>郁可唯</v>
      </c>
      <c r="O371" s="2">
        <f t="shared" si="9"/>
        <v>0</v>
      </c>
      <c r="P371" t="str">
        <f>VLOOKUP(B371,歌单!B:C,1,0)</f>
        <v>时间煮雨</v>
      </c>
    </row>
    <row r="372" spans="1:16" ht="15" hidden="1" customHeight="1">
      <c r="A372" s="4" t="s">
        <v>1736</v>
      </c>
      <c r="B372" s="4" t="s">
        <v>1737</v>
      </c>
      <c r="C372" s="4" t="s">
        <v>742</v>
      </c>
      <c r="D372" s="18"/>
      <c r="E372" s="18">
        <v>0</v>
      </c>
      <c r="F372" s="18">
        <v>0</v>
      </c>
      <c r="G372" s="4" t="s">
        <v>1738</v>
      </c>
      <c r="H372" s="4" t="s">
        <v>1739</v>
      </c>
      <c r="I372" s="5">
        <v>1220</v>
      </c>
      <c r="J372" s="4" t="s">
        <v>1740</v>
      </c>
      <c r="K372" s="4" t="s">
        <v>1741</v>
      </c>
      <c r="L372" s="4">
        <v>311749521</v>
      </c>
      <c r="M372" s="4"/>
      <c r="N372" s="2" t="str">
        <f>VLOOKUP(B372,歌单!B:C,2,0)</f>
        <v>孙燕姿</v>
      </c>
      <c r="O372" s="2">
        <f t="shared" si="9"/>
        <v>0</v>
      </c>
      <c r="P372" t="str">
        <f>VLOOKUP(B372,歌单!B:C,1,0)</f>
        <v>我怀念的</v>
      </c>
    </row>
    <row r="373" spans="1:16" ht="15" hidden="1" customHeight="1">
      <c r="A373" s="4" t="s">
        <v>1742</v>
      </c>
      <c r="B373" s="4" t="s">
        <v>1743</v>
      </c>
      <c r="C373" s="4" t="s">
        <v>1744</v>
      </c>
      <c r="D373" s="18"/>
      <c r="E373" s="18">
        <v>3030</v>
      </c>
      <c r="F373" s="18">
        <v>1949</v>
      </c>
      <c r="G373" s="4" t="s">
        <v>1745</v>
      </c>
      <c r="H373" s="4" t="s">
        <v>1746</v>
      </c>
      <c r="I373" s="5">
        <v>556</v>
      </c>
      <c r="J373" s="4"/>
      <c r="K373" s="4" t="s">
        <v>1747</v>
      </c>
      <c r="L373" s="4">
        <v>243513643</v>
      </c>
      <c r="M373" s="4"/>
      <c r="N373" s="2" t="str">
        <f>VLOOKUP(B373,歌单!B:C,2,0)</f>
        <v>五月天</v>
      </c>
      <c r="O373" s="2">
        <f t="shared" si="9"/>
        <v>0</v>
      </c>
      <c r="P373" t="str">
        <f>VLOOKUP(B373,歌单!B:C,1,0)</f>
        <v>知足</v>
      </c>
    </row>
    <row r="374" spans="1:16" ht="15" hidden="1" customHeight="1">
      <c r="A374" s="4" t="s">
        <v>1748</v>
      </c>
      <c r="B374" s="4" t="s">
        <v>1749</v>
      </c>
      <c r="C374" s="4" t="s">
        <v>679</v>
      </c>
      <c r="D374" s="18"/>
      <c r="E374" s="18">
        <v>0</v>
      </c>
      <c r="F374" s="18">
        <v>0</v>
      </c>
      <c r="G374" s="4" t="s">
        <v>1750</v>
      </c>
      <c r="H374" s="4"/>
      <c r="I374" s="5">
        <v>9</v>
      </c>
      <c r="J374" s="4"/>
      <c r="K374" s="4" t="s">
        <v>1291</v>
      </c>
      <c r="L374" s="4">
        <v>687618</v>
      </c>
      <c r="M374" s="4"/>
      <c r="N374" s="2" t="e">
        <f>VLOOKUP(B374,歌单!B:C,2,0)</f>
        <v>#N/A</v>
      </c>
      <c r="O374" s="2">
        <f t="shared" si="9"/>
        <v>1</v>
      </c>
      <c r="P374" t="e">
        <f>VLOOKUP(B374,歌单!B:C,1,0)</f>
        <v>#N/A</v>
      </c>
    </row>
    <row r="375" spans="1:16" ht="15" hidden="1" customHeight="1">
      <c r="A375" s="4" t="s">
        <v>1751</v>
      </c>
      <c r="B375" s="4" t="s">
        <v>1752</v>
      </c>
      <c r="C375" s="4" t="s">
        <v>679</v>
      </c>
      <c r="D375" s="18"/>
      <c r="E375" s="18">
        <v>15</v>
      </c>
      <c r="F375" s="18">
        <v>5</v>
      </c>
      <c r="G375" s="4" t="s">
        <v>1753</v>
      </c>
      <c r="H375" s="4" t="s">
        <v>1754</v>
      </c>
      <c r="I375" s="5">
        <v>17</v>
      </c>
      <c r="J375" s="4"/>
      <c r="K375" s="4" t="s">
        <v>1755</v>
      </c>
      <c r="L375" s="4">
        <v>34946039</v>
      </c>
      <c r="M375" s="4"/>
      <c r="N375" s="2" t="e">
        <f>VLOOKUP(B375,歌单!B:C,2,0)</f>
        <v>#N/A</v>
      </c>
      <c r="O375" s="2">
        <f t="shared" si="9"/>
        <v>1</v>
      </c>
      <c r="P375" t="e">
        <f>VLOOKUP(B375,歌单!B:C,1,0)</f>
        <v>#N/A</v>
      </c>
    </row>
    <row r="376" spans="1:16" ht="15" hidden="1" customHeight="1">
      <c r="A376" s="4" t="s">
        <v>1756</v>
      </c>
      <c r="B376" s="4" t="s">
        <v>1757</v>
      </c>
      <c r="C376" s="4" t="s">
        <v>650</v>
      </c>
      <c r="D376" s="18"/>
      <c r="E376" s="18">
        <v>0</v>
      </c>
      <c r="F376" s="18">
        <v>0</v>
      </c>
      <c r="G376" s="4" t="s">
        <v>1758</v>
      </c>
      <c r="H376" s="4"/>
      <c r="I376" s="5">
        <v>15</v>
      </c>
      <c r="J376" s="4"/>
      <c r="K376" s="4" t="s">
        <v>650</v>
      </c>
      <c r="L376" s="4">
        <v>4758200</v>
      </c>
      <c r="M376" s="4"/>
      <c r="N376" s="2" t="e">
        <f>VLOOKUP(B376,歌单!B:C,2,0)</f>
        <v>#N/A</v>
      </c>
      <c r="O376" s="2">
        <f t="shared" si="9"/>
        <v>1</v>
      </c>
      <c r="P376" t="e">
        <f>VLOOKUP(B376,歌单!B:C,1,0)</f>
        <v>#N/A</v>
      </c>
    </row>
    <row r="377" spans="1:16" ht="15" hidden="1" customHeight="1">
      <c r="A377" s="4" t="s">
        <v>1759</v>
      </c>
      <c r="B377" s="4" t="s">
        <v>1760</v>
      </c>
      <c r="C377" s="4" t="s">
        <v>1331</v>
      </c>
      <c r="D377" s="18"/>
      <c r="E377" s="18">
        <v>118332</v>
      </c>
      <c r="F377" s="18">
        <v>39248</v>
      </c>
      <c r="G377" s="4" t="s">
        <v>1761</v>
      </c>
      <c r="H377" s="4" t="s">
        <v>1762</v>
      </c>
      <c r="I377" s="5">
        <v>740</v>
      </c>
      <c r="J377" s="4"/>
      <c r="K377" s="4" t="s">
        <v>1763</v>
      </c>
      <c r="L377" s="4">
        <v>127092149</v>
      </c>
      <c r="M377" s="4"/>
      <c r="N377" s="2" t="str">
        <f>VLOOKUP(B377,歌单!B:C,2,0)</f>
        <v>陶喆</v>
      </c>
      <c r="O377" s="2">
        <f t="shared" si="9"/>
        <v>0</v>
      </c>
      <c r="P377" t="str">
        <f>VLOOKUP(B377,歌单!B:C,1,0)</f>
        <v>流沙</v>
      </c>
    </row>
    <row r="378" spans="1:16" ht="15" hidden="1" customHeight="1">
      <c r="A378" s="4" t="s">
        <v>1764</v>
      </c>
      <c r="B378" s="4" t="s">
        <v>1765</v>
      </c>
      <c r="C378" s="4" t="s">
        <v>1766</v>
      </c>
      <c r="D378" s="18"/>
      <c r="E378" s="18">
        <v>0</v>
      </c>
      <c r="F378" s="18">
        <v>0</v>
      </c>
      <c r="G378" s="4" t="s">
        <v>1767</v>
      </c>
      <c r="H378" s="4"/>
      <c r="I378" s="5">
        <v>16</v>
      </c>
      <c r="J378" s="4"/>
      <c r="K378" s="4" t="s">
        <v>1768</v>
      </c>
      <c r="L378" s="4">
        <v>11978127</v>
      </c>
      <c r="M378" s="4"/>
      <c r="N378" s="2" t="e">
        <f>VLOOKUP(B378,歌单!B:C,2,0)</f>
        <v>#N/A</v>
      </c>
      <c r="O378" s="2">
        <f t="shared" si="9"/>
        <v>1</v>
      </c>
      <c r="P378" t="e">
        <f>VLOOKUP(B378,歌单!B:C,1,0)</f>
        <v>#N/A</v>
      </c>
    </row>
    <row r="379" spans="1:16" ht="15" hidden="1" customHeight="1">
      <c r="A379" s="4" t="s">
        <v>1769</v>
      </c>
      <c r="B379" s="4" t="s">
        <v>1770</v>
      </c>
      <c r="C379" s="4" t="s">
        <v>1771</v>
      </c>
      <c r="D379" s="18"/>
      <c r="E379" s="18">
        <v>0</v>
      </c>
      <c r="F379" s="18">
        <v>0</v>
      </c>
      <c r="G379" s="4" t="s">
        <v>1772</v>
      </c>
      <c r="H379" s="4" t="s">
        <v>1773</v>
      </c>
      <c r="I379" s="5">
        <v>10</v>
      </c>
      <c r="J379" s="4"/>
      <c r="K379" s="4" t="s">
        <v>1770</v>
      </c>
      <c r="L379" s="4">
        <v>3252187</v>
      </c>
      <c r="M379" s="4"/>
      <c r="N379" s="2" t="str">
        <f>VLOOKUP(B379,歌单!B:C,2,0)</f>
        <v>赤羽</v>
      </c>
      <c r="O379" s="2">
        <f t="shared" si="9"/>
        <v>0</v>
      </c>
      <c r="P379" t="str">
        <f>VLOOKUP(B379,歌单!B:C,1,0)</f>
        <v>不识月</v>
      </c>
    </row>
    <row r="380" spans="1:16" ht="15" hidden="1" customHeight="1">
      <c r="A380" s="4" t="s">
        <v>1774</v>
      </c>
      <c r="B380" s="4" t="s">
        <v>1775</v>
      </c>
      <c r="C380" s="4" t="s">
        <v>1776</v>
      </c>
      <c r="D380" s="18"/>
      <c r="E380" s="18">
        <v>0</v>
      </c>
      <c r="F380" s="18">
        <v>0</v>
      </c>
      <c r="G380" s="4" t="s">
        <v>1777</v>
      </c>
      <c r="H380" s="4" t="s">
        <v>1778</v>
      </c>
      <c r="I380" s="5">
        <v>98</v>
      </c>
      <c r="J380" s="4" t="s">
        <v>1779</v>
      </c>
      <c r="K380" s="4" t="s">
        <v>1780</v>
      </c>
      <c r="L380" s="4">
        <v>30922488</v>
      </c>
      <c r="M380" s="4"/>
      <c r="N380" s="2" t="str">
        <f>VLOOKUP(B380,歌单!B:C,2,0)</f>
        <v>陈淑桦</v>
      </c>
      <c r="O380" s="2">
        <f t="shared" si="9"/>
        <v>0</v>
      </c>
      <c r="P380" t="str">
        <f>VLOOKUP(B380,歌单!B:C,1,0)</f>
        <v>滚滚红尘</v>
      </c>
    </row>
    <row r="381" spans="1:16" ht="15" hidden="1" customHeight="1">
      <c r="A381" s="4" t="s">
        <v>1781</v>
      </c>
      <c r="B381" s="4" t="s">
        <v>1782</v>
      </c>
      <c r="C381" s="4" t="s">
        <v>1783</v>
      </c>
      <c r="D381" s="18"/>
      <c r="E381" s="18">
        <v>0</v>
      </c>
      <c r="F381" s="18">
        <v>0</v>
      </c>
      <c r="G381" s="4" t="s">
        <v>1784</v>
      </c>
      <c r="H381" s="4" t="s">
        <v>1785</v>
      </c>
      <c r="I381" s="5">
        <v>4659</v>
      </c>
      <c r="J381" s="4"/>
      <c r="K381" s="4" t="s">
        <v>1782</v>
      </c>
      <c r="L381" s="4">
        <v>1664352916</v>
      </c>
      <c r="M381" s="4" t="s">
        <v>468</v>
      </c>
      <c r="N381" s="2" t="str">
        <f>VLOOKUP(B381,歌单!B:C,2,0)</f>
        <v>Hita</v>
      </c>
      <c r="O381" s="2">
        <f t="shared" si="9"/>
        <v>0</v>
      </c>
      <c r="P381" t="str">
        <f>VLOOKUP(B381,歌单!B:C,1,0)</f>
        <v>赤伶</v>
      </c>
    </row>
    <row r="382" spans="1:16" ht="15" customHeight="1">
      <c r="A382" s="4" t="s">
        <v>1786</v>
      </c>
      <c r="B382" s="4" t="s">
        <v>1787</v>
      </c>
      <c r="C382" s="4" t="s">
        <v>1788</v>
      </c>
      <c r="D382" s="18"/>
      <c r="E382" s="18">
        <v>0</v>
      </c>
      <c r="F382" s="18">
        <v>0</v>
      </c>
      <c r="G382" s="4" t="s">
        <v>1789</v>
      </c>
      <c r="H382" s="4" t="s">
        <v>1790</v>
      </c>
      <c r="I382" s="5">
        <v>122</v>
      </c>
      <c r="J382" s="4"/>
      <c r="K382" s="4" t="s">
        <v>1791</v>
      </c>
      <c r="L382" s="4">
        <v>69445700</v>
      </c>
      <c r="M382" s="4"/>
      <c r="N382" s="2">
        <f>VLOOKUP(B382,歌单!B:C,2,0)</f>
        <v>0</v>
      </c>
      <c r="O382" s="2">
        <f t="shared" si="9"/>
        <v>1</v>
      </c>
      <c r="P382" t="str">
        <f>VLOOKUP(B382,歌单!B:C,1,0)</f>
        <v>种太阳</v>
      </c>
    </row>
    <row r="383" spans="1:16" ht="15" hidden="1" customHeight="1">
      <c r="A383" s="4" t="s">
        <v>1792</v>
      </c>
      <c r="B383" s="4" t="s">
        <v>1793</v>
      </c>
      <c r="C383" s="4" t="s">
        <v>643</v>
      </c>
      <c r="D383" s="18"/>
      <c r="E383" s="18">
        <v>186</v>
      </c>
      <c r="F383" s="18">
        <v>17</v>
      </c>
      <c r="G383" s="4" t="s">
        <v>1794</v>
      </c>
      <c r="H383" s="4" t="s">
        <v>1795</v>
      </c>
      <c r="I383" s="5">
        <v>585</v>
      </c>
      <c r="J383" s="4" t="s">
        <v>1793</v>
      </c>
      <c r="K383" s="4"/>
      <c r="L383" s="4">
        <v>299586451</v>
      </c>
      <c r="M383" s="4"/>
      <c r="N383" s="2" t="str">
        <f>VLOOKUP(B383,歌单!B:C,2,0)</f>
        <v>杨丞琳</v>
      </c>
      <c r="O383" s="2">
        <f t="shared" si="9"/>
        <v>0</v>
      </c>
      <c r="P383" t="str">
        <f>VLOOKUP(B383,歌单!B:C,1,0)</f>
        <v>雨爱</v>
      </c>
    </row>
    <row r="384" spans="1:16" ht="15" hidden="1" customHeight="1">
      <c r="A384" s="4" t="s">
        <v>1796</v>
      </c>
      <c r="B384" s="4" t="s">
        <v>1797</v>
      </c>
      <c r="C384" s="4" t="s">
        <v>42</v>
      </c>
      <c r="D384" s="18"/>
      <c r="E384" s="18">
        <v>0</v>
      </c>
      <c r="F384" s="18">
        <v>0</v>
      </c>
      <c r="G384" s="4" t="s">
        <v>1798</v>
      </c>
      <c r="H384" s="4" t="s">
        <v>1799</v>
      </c>
      <c r="I384" s="5">
        <v>568</v>
      </c>
      <c r="J384" s="4"/>
      <c r="K384" s="4" t="s">
        <v>1797</v>
      </c>
      <c r="L384" s="4">
        <v>367183468</v>
      </c>
      <c r="M384" s="4" t="s">
        <v>1264</v>
      </c>
      <c r="N384" s="2" t="str">
        <f>VLOOKUP(B384,歌单!B:C,2,0)</f>
        <v>黄龄</v>
      </c>
      <c r="O384" s="2">
        <f t="shared" si="9"/>
        <v>0</v>
      </c>
      <c r="P384" t="str">
        <f>VLOOKUP(B384,歌单!B:C,1,0)</f>
        <v>痒</v>
      </c>
    </row>
    <row r="385" spans="1:16" ht="15" hidden="1" customHeight="1">
      <c r="A385" s="4" t="s">
        <v>1800</v>
      </c>
      <c r="B385" s="4" t="s">
        <v>1801</v>
      </c>
      <c r="C385" s="4" t="s">
        <v>1802</v>
      </c>
      <c r="D385" s="18"/>
      <c r="E385" s="18">
        <v>0</v>
      </c>
      <c r="F385" s="18">
        <v>0</v>
      </c>
      <c r="G385" s="4" t="s">
        <v>1803</v>
      </c>
      <c r="H385" s="4" t="s">
        <v>1804</v>
      </c>
      <c r="I385" s="5">
        <v>6</v>
      </c>
      <c r="J385" s="4"/>
      <c r="K385" s="4"/>
      <c r="L385" s="4">
        <v>4571226</v>
      </c>
      <c r="M385" s="4"/>
      <c r="N385" s="2" t="str">
        <f>VLOOKUP(B385,歌单!B:C,2,0)</f>
        <v>范晓萱</v>
      </c>
      <c r="O385" s="2">
        <f t="shared" si="9"/>
        <v>0</v>
      </c>
      <c r="P385" t="str">
        <f>VLOOKUP(B385,歌单!B:C,1,0)</f>
        <v>氧气</v>
      </c>
    </row>
    <row r="386" spans="1:16" ht="15" hidden="1" customHeight="1">
      <c r="A386" s="4" t="s">
        <v>1805</v>
      </c>
      <c r="B386" s="4" t="s">
        <v>1806</v>
      </c>
      <c r="C386" s="4" t="s">
        <v>1807</v>
      </c>
      <c r="D386" s="18"/>
      <c r="E386" s="18">
        <v>874</v>
      </c>
      <c r="F386" s="18">
        <v>65</v>
      </c>
      <c r="G386" s="4" t="s">
        <v>1808</v>
      </c>
      <c r="H386" s="4" t="s">
        <v>1809</v>
      </c>
      <c r="I386" s="5">
        <v>459</v>
      </c>
      <c r="J386" s="4"/>
      <c r="K386" s="4" t="s">
        <v>1810</v>
      </c>
      <c r="L386" s="4">
        <v>338924292</v>
      </c>
      <c r="M386" s="4"/>
      <c r="N386" s="2" t="str">
        <f>VLOOKUP(B386,歌单!B:C,2,0)</f>
        <v>许嵩</v>
      </c>
      <c r="O386" s="2">
        <f t="shared" si="9"/>
        <v>0</v>
      </c>
      <c r="P386" t="str">
        <f>VLOOKUP(B386,歌单!B:C,1,0)</f>
        <v>惊鸿一面</v>
      </c>
    </row>
    <row r="387" spans="1:16" ht="15" hidden="1" customHeight="1">
      <c r="A387" s="4" t="s">
        <v>1811</v>
      </c>
      <c r="B387" s="4" t="s">
        <v>1569</v>
      </c>
      <c r="C387" s="4" t="s">
        <v>42</v>
      </c>
      <c r="D387" s="18"/>
      <c r="E387" s="18">
        <v>0</v>
      </c>
      <c r="F387" s="18">
        <v>0</v>
      </c>
      <c r="G387" s="4" t="s">
        <v>1812</v>
      </c>
      <c r="H387" s="4" t="s">
        <v>1813</v>
      </c>
      <c r="I387" s="5">
        <v>1</v>
      </c>
      <c r="J387" s="4"/>
      <c r="K387" s="4" t="s">
        <v>1814</v>
      </c>
      <c r="L387" s="4">
        <v>334815</v>
      </c>
      <c r="M387" s="4"/>
      <c r="N387" s="2" t="str">
        <f>VLOOKUP(B387,歌单!B:C,2,0)</f>
        <v>黄龄</v>
      </c>
      <c r="O387" s="2">
        <f t="shared" ref="O387:O450" si="10">_xlfn.IFNA(IF(IFERROR(SEARCH(N387,C387),0)&gt;0,0,1),0)</f>
        <v>0</v>
      </c>
      <c r="P387" t="str">
        <f>VLOOKUP(B387,歌单!B:C,1,0)</f>
        <v>风月</v>
      </c>
    </row>
    <row r="388" spans="1:16" ht="15" hidden="1" customHeight="1">
      <c r="A388" s="4" t="s">
        <v>1815</v>
      </c>
      <c r="B388" s="4" t="s">
        <v>1816</v>
      </c>
      <c r="C388" s="4" t="s">
        <v>679</v>
      </c>
      <c r="D388" s="18"/>
      <c r="E388" s="18">
        <v>0</v>
      </c>
      <c r="F388" s="18">
        <v>0</v>
      </c>
      <c r="G388" s="4" t="s">
        <v>1817</v>
      </c>
      <c r="H388" s="4" t="s">
        <v>1818</v>
      </c>
      <c r="I388" s="5">
        <v>2620</v>
      </c>
      <c r="J388" s="4"/>
      <c r="K388" s="4" t="s">
        <v>1816</v>
      </c>
      <c r="L388" s="4">
        <v>618344312</v>
      </c>
      <c r="M388" s="4"/>
      <c r="N388" s="2" t="str">
        <f>VLOOKUP(B388,歌单!B:C,2,0)</f>
        <v>林俊杰</v>
      </c>
      <c r="O388" s="2">
        <f t="shared" si="10"/>
        <v>0</v>
      </c>
      <c r="P388" t="str">
        <f>VLOOKUP(B388,歌单!B:C,1,0)</f>
        <v>裹着心的光</v>
      </c>
    </row>
    <row r="389" spans="1:16" ht="15" hidden="1" customHeight="1">
      <c r="A389" s="4" t="s">
        <v>1819</v>
      </c>
      <c r="B389" s="4" t="s">
        <v>1820</v>
      </c>
      <c r="C389" s="9" t="s">
        <v>679</v>
      </c>
      <c r="D389" s="18"/>
      <c r="E389" s="18">
        <v>0</v>
      </c>
      <c r="F389" s="18">
        <v>0</v>
      </c>
      <c r="G389" s="4" t="s">
        <v>1821</v>
      </c>
      <c r="H389" s="4" t="s">
        <v>1822</v>
      </c>
      <c r="I389" s="5">
        <v>2</v>
      </c>
      <c r="J389" s="4"/>
      <c r="K389" s="4" t="s">
        <v>1291</v>
      </c>
      <c r="L389" s="4">
        <v>3053937</v>
      </c>
      <c r="M389" s="4"/>
      <c r="N389" s="2" t="str">
        <f>VLOOKUP(B389,歌单!B:C,2,0)</f>
        <v>林俊杰</v>
      </c>
      <c r="O389" s="2">
        <f t="shared" si="10"/>
        <v>0</v>
      </c>
      <c r="P389" t="str">
        <f>VLOOKUP(B389,歌单!B:C,1,0)</f>
        <v>愿与愁</v>
      </c>
    </row>
    <row r="390" spans="1:16" ht="15" hidden="1" customHeight="1">
      <c r="A390" s="4" t="s">
        <v>1823</v>
      </c>
      <c r="B390" s="4" t="s">
        <v>1824</v>
      </c>
      <c r="C390" s="4" t="s">
        <v>466</v>
      </c>
      <c r="D390" s="18"/>
      <c r="E390" s="18">
        <v>0</v>
      </c>
      <c r="F390" s="18">
        <v>0</v>
      </c>
      <c r="G390" s="4" t="s">
        <v>1825</v>
      </c>
      <c r="H390" s="4" t="s">
        <v>1826</v>
      </c>
      <c r="I390" s="5">
        <v>159</v>
      </c>
      <c r="J390" s="4"/>
      <c r="K390" s="4" t="s">
        <v>1824</v>
      </c>
      <c r="L390" s="4">
        <v>38638268</v>
      </c>
      <c r="M390" s="4"/>
      <c r="N390" s="2" t="str">
        <f>VLOOKUP(B390,歌单!B:C,2,0)</f>
        <v>郁可唯</v>
      </c>
      <c r="O390" s="2">
        <f t="shared" si="10"/>
        <v>0</v>
      </c>
      <c r="P390" t="str">
        <f>VLOOKUP(B390,歌单!B:C,1,0)</f>
        <v>月</v>
      </c>
    </row>
    <row r="391" spans="1:16" ht="15" hidden="1" customHeight="1">
      <c r="A391" s="4" t="s">
        <v>1827</v>
      </c>
      <c r="B391" s="4" t="s">
        <v>105</v>
      </c>
      <c r="C391" s="4" t="s">
        <v>51</v>
      </c>
      <c r="D391" s="18"/>
      <c r="E391" s="18">
        <v>0</v>
      </c>
      <c r="F391" s="18">
        <v>0</v>
      </c>
      <c r="G391" s="4" t="s">
        <v>1828</v>
      </c>
      <c r="H391" s="4" t="s">
        <v>1829</v>
      </c>
      <c r="I391" s="5">
        <v>8</v>
      </c>
      <c r="J391" s="4"/>
      <c r="K391" s="4" t="s">
        <v>105</v>
      </c>
      <c r="L391" s="4">
        <v>1163456</v>
      </c>
      <c r="M391" s="4"/>
      <c r="N391" s="2" t="e">
        <f>VLOOKUP(B391,歌单!B:C,2,0)</f>
        <v>#N/A</v>
      </c>
      <c r="O391" s="2">
        <f t="shared" si="10"/>
        <v>1</v>
      </c>
      <c r="P391" t="e">
        <f>VLOOKUP(B391,歌单!B:C,1,0)</f>
        <v>#N/A</v>
      </c>
    </row>
    <row r="392" spans="1:16" ht="15" hidden="1" customHeight="1">
      <c r="A392" s="4" t="s">
        <v>1830</v>
      </c>
      <c r="B392" s="4" t="s">
        <v>79</v>
      </c>
      <c r="C392" s="4" t="s">
        <v>51</v>
      </c>
      <c r="D392" s="18"/>
      <c r="E392" s="18">
        <v>0</v>
      </c>
      <c r="F392" s="18">
        <v>0</v>
      </c>
      <c r="G392" s="4" t="s">
        <v>1831</v>
      </c>
      <c r="H392" s="4"/>
      <c r="I392" s="5">
        <v>0</v>
      </c>
      <c r="J392" s="4"/>
      <c r="K392" s="4" t="s">
        <v>1832</v>
      </c>
      <c r="L392" s="4">
        <v>263541</v>
      </c>
      <c r="M392" s="4"/>
      <c r="N392" s="2" t="e">
        <f>VLOOKUP(B392,歌单!B:C,2,0)</f>
        <v>#N/A</v>
      </c>
      <c r="O392" s="2">
        <f t="shared" si="10"/>
        <v>1</v>
      </c>
      <c r="P392" t="e">
        <f>VLOOKUP(B392,歌单!B:C,1,0)</f>
        <v>#N/A</v>
      </c>
    </row>
    <row r="393" spans="1:16" ht="15" hidden="1" customHeight="1">
      <c r="A393" s="4" t="s">
        <v>1833</v>
      </c>
      <c r="B393" s="4" t="s">
        <v>1834</v>
      </c>
      <c r="C393" s="4" t="s">
        <v>574</v>
      </c>
      <c r="D393" s="18"/>
      <c r="E393" s="18">
        <v>0</v>
      </c>
      <c r="F393" s="18">
        <v>0</v>
      </c>
      <c r="G393" s="4" t="s">
        <v>1835</v>
      </c>
      <c r="H393" s="4" t="s">
        <v>1836</v>
      </c>
      <c r="I393" s="5">
        <v>642</v>
      </c>
      <c r="J393" s="4"/>
      <c r="K393" s="4" t="s">
        <v>577</v>
      </c>
      <c r="L393" s="4">
        <v>197318709</v>
      </c>
      <c r="M393" s="4"/>
      <c r="N393" s="2" t="str">
        <f>VLOOKUP(B393,歌单!B:C,2,0)</f>
        <v>陈奕迅</v>
      </c>
      <c r="O393" s="2">
        <f t="shared" si="10"/>
        <v>0</v>
      </c>
      <c r="P393" t="str">
        <f>VLOOKUP(B393,歌单!B:C,1,0)</f>
        <v>好久不见</v>
      </c>
    </row>
    <row r="394" spans="1:16" ht="15" hidden="1" customHeight="1">
      <c r="A394" s="4" t="s">
        <v>1837</v>
      </c>
      <c r="B394" s="4" t="s">
        <v>1838</v>
      </c>
      <c r="C394" s="4" t="s">
        <v>1839</v>
      </c>
      <c r="D394" s="18"/>
      <c r="E394" s="18">
        <v>0</v>
      </c>
      <c r="F394" s="18">
        <v>0</v>
      </c>
      <c r="G394" s="4" t="s">
        <v>1840</v>
      </c>
      <c r="H394" s="4" t="s">
        <v>1841</v>
      </c>
      <c r="I394" s="5">
        <v>313</v>
      </c>
      <c r="J394" s="4" t="s">
        <v>1842</v>
      </c>
      <c r="K394" s="4" t="s">
        <v>1843</v>
      </c>
      <c r="L394" s="4">
        <v>63845647</v>
      </c>
      <c r="M394" s="4"/>
      <c r="N394" s="2" t="e">
        <f>VLOOKUP(B394,歌单!B:C,2,0)</f>
        <v>#N/A</v>
      </c>
      <c r="O394" s="2">
        <f t="shared" si="10"/>
        <v>1</v>
      </c>
      <c r="P394" t="e">
        <f>VLOOKUP(B394,歌单!B:C,1,0)</f>
        <v>#N/A</v>
      </c>
    </row>
    <row r="395" spans="1:16" ht="15" hidden="1" customHeight="1">
      <c r="A395" s="4" t="s">
        <v>1844</v>
      </c>
      <c r="B395" s="4" t="s">
        <v>1845</v>
      </c>
      <c r="C395" s="4" t="s">
        <v>1545</v>
      </c>
      <c r="D395" s="18"/>
      <c r="E395" s="18">
        <v>0</v>
      </c>
      <c r="F395" s="18">
        <v>0</v>
      </c>
      <c r="G395" s="4" t="s">
        <v>1846</v>
      </c>
      <c r="H395" s="4" t="s">
        <v>1847</v>
      </c>
      <c r="I395" s="5">
        <v>6677</v>
      </c>
      <c r="J395" s="4"/>
      <c r="K395" s="4" t="s">
        <v>1848</v>
      </c>
      <c r="L395" s="4">
        <v>833926032</v>
      </c>
      <c r="M395" s="4"/>
      <c r="N395" s="2" t="str">
        <f>VLOOKUP(B395,歌单!B:C,2,0)</f>
        <v>梁静茹</v>
      </c>
      <c r="O395" s="2">
        <f t="shared" si="10"/>
        <v>0</v>
      </c>
      <c r="P395" t="str">
        <f>VLOOKUP(B395,歌单!B:C,1,0)</f>
        <v>暖暖</v>
      </c>
    </row>
    <row r="396" spans="1:16" ht="15" hidden="1" customHeight="1">
      <c r="A396" s="4" t="s">
        <v>1849</v>
      </c>
      <c r="B396" s="4" t="s">
        <v>1850</v>
      </c>
      <c r="C396" s="4" t="s">
        <v>154</v>
      </c>
      <c r="D396" s="18"/>
      <c r="E396" s="18">
        <v>0</v>
      </c>
      <c r="F396" s="18">
        <v>0</v>
      </c>
      <c r="G396" s="4" t="s">
        <v>1851</v>
      </c>
      <c r="H396" s="4"/>
      <c r="I396" s="5">
        <v>2206</v>
      </c>
      <c r="J396" s="4"/>
      <c r="K396" s="4" t="s">
        <v>378</v>
      </c>
      <c r="L396" s="4">
        <v>358806634</v>
      </c>
      <c r="M396" s="4"/>
      <c r="N396" s="2" t="str">
        <f>VLOOKUP(B396,歌单!B:C,2,0)</f>
        <v>周杰伦</v>
      </c>
      <c r="O396" s="2">
        <f t="shared" si="10"/>
        <v>0</v>
      </c>
      <c r="P396" t="str">
        <f>VLOOKUP(B396,歌单!B:C,1,0)</f>
        <v>我不配</v>
      </c>
    </row>
    <row r="397" spans="1:16" ht="15" hidden="1" customHeight="1">
      <c r="A397" s="4" t="s">
        <v>1852</v>
      </c>
      <c r="B397" s="4" t="s">
        <v>1853</v>
      </c>
      <c r="C397" s="4" t="s">
        <v>1854</v>
      </c>
      <c r="D397" s="18"/>
      <c r="E397" s="18">
        <v>0</v>
      </c>
      <c r="F397" s="18">
        <v>0</v>
      </c>
      <c r="G397" s="4" t="s">
        <v>1855</v>
      </c>
      <c r="H397" s="4" t="s">
        <v>1856</v>
      </c>
      <c r="I397" s="5">
        <v>166</v>
      </c>
      <c r="J397" s="4"/>
      <c r="K397" s="4"/>
      <c r="L397" s="4">
        <v>141841699</v>
      </c>
      <c r="M397" s="4"/>
      <c r="N397" s="2" t="str">
        <f>VLOOKUP(B397,歌单!B:C,2,0)</f>
        <v>李佳薇</v>
      </c>
      <c r="O397" s="2">
        <f t="shared" si="10"/>
        <v>0</v>
      </c>
      <c r="P397" t="str">
        <f>VLOOKUP(B397,歌单!B:C,1,0)</f>
        <v>煎熬</v>
      </c>
    </row>
    <row r="398" spans="1:16" ht="15" hidden="1" customHeight="1">
      <c r="A398" s="4" t="s">
        <v>1857</v>
      </c>
      <c r="B398" s="4" t="s">
        <v>1858</v>
      </c>
      <c r="C398" s="4" t="s">
        <v>679</v>
      </c>
      <c r="D398" s="18"/>
      <c r="E398" s="18">
        <v>0</v>
      </c>
      <c r="F398" s="18">
        <v>0</v>
      </c>
      <c r="G398" s="4" t="s">
        <v>1859</v>
      </c>
      <c r="H398" s="4" t="s">
        <v>1860</v>
      </c>
      <c r="I398" s="5">
        <v>114</v>
      </c>
      <c r="J398" s="4"/>
      <c r="K398" s="4" t="s">
        <v>789</v>
      </c>
      <c r="L398" s="4">
        <v>23763965</v>
      </c>
      <c r="M398" s="4"/>
      <c r="N398" s="2" t="e">
        <f>VLOOKUP(B398,歌单!B:C,2,0)</f>
        <v>#N/A</v>
      </c>
      <c r="O398" s="2">
        <f t="shared" si="10"/>
        <v>1</v>
      </c>
      <c r="P398" t="e">
        <f>VLOOKUP(B398,歌单!B:C,1,0)</f>
        <v>#N/A</v>
      </c>
    </row>
    <row r="399" spans="1:16" ht="15" hidden="1" customHeight="1">
      <c r="A399" s="4" t="s">
        <v>1861</v>
      </c>
      <c r="B399" s="4" t="s">
        <v>1862</v>
      </c>
      <c r="C399" s="4" t="s">
        <v>679</v>
      </c>
      <c r="D399" s="18"/>
      <c r="E399" s="18">
        <v>0</v>
      </c>
      <c r="F399" s="18">
        <v>0</v>
      </c>
      <c r="G399" s="4" t="s">
        <v>1863</v>
      </c>
      <c r="H399" s="4" t="s">
        <v>1864</v>
      </c>
      <c r="I399" s="5">
        <v>255</v>
      </c>
      <c r="J399" s="4"/>
      <c r="K399" s="4" t="s">
        <v>1865</v>
      </c>
      <c r="L399" s="4">
        <v>96639417</v>
      </c>
      <c r="M399" s="4"/>
      <c r="N399" s="2" t="str">
        <f>VLOOKUP(B399,歌单!B:C,2,0)</f>
        <v>林俊杰</v>
      </c>
      <c r="O399" s="2">
        <f t="shared" si="10"/>
        <v>0</v>
      </c>
      <c r="P399" t="str">
        <f>VLOOKUP(B399,歌单!B:C,1,0)</f>
        <v>输了你赢了世界又如何</v>
      </c>
    </row>
    <row r="400" spans="1:16" ht="15" hidden="1" customHeight="1">
      <c r="A400" s="32" t="s">
        <v>1866</v>
      </c>
      <c r="B400" s="4" t="s">
        <v>1867</v>
      </c>
      <c r="C400" s="4" t="s">
        <v>621</v>
      </c>
      <c r="D400" s="18"/>
      <c r="E400" s="18">
        <v>0</v>
      </c>
      <c r="F400" s="18">
        <v>0</v>
      </c>
      <c r="G400" s="4" t="s">
        <v>1868</v>
      </c>
      <c r="H400" s="4" t="s">
        <v>1869</v>
      </c>
      <c r="I400" s="5">
        <v>1234</v>
      </c>
      <c r="J400" s="4"/>
      <c r="K400" s="4" t="s">
        <v>1867</v>
      </c>
      <c r="L400" s="4">
        <v>278158388</v>
      </c>
      <c r="M400" s="4"/>
      <c r="N400" s="28" t="str">
        <f>VLOOKUP(B400,歌单!B:C,2,0)</f>
        <v>思南</v>
      </c>
      <c r="O400" s="2">
        <f t="shared" si="10"/>
        <v>1</v>
      </c>
      <c r="P400" t="str">
        <f>VLOOKUP(B400,歌单!B:C,1,0)</f>
        <v>冬眠</v>
      </c>
    </row>
    <row r="401" spans="1:16" ht="15" hidden="1" customHeight="1">
      <c r="A401" s="4" t="s">
        <v>1870</v>
      </c>
      <c r="B401" s="4" t="s">
        <v>1871</v>
      </c>
      <c r="C401" s="4" t="s">
        <v>1872</v>
      </c>
      <c r="D401" s="18"/>
      <c r="E401" s="18">
        <v>0</v>
      </c>
      <c r="F401" s="18">
        <v>0</v>
      </c>
      <c r="G401" s="4" t="s">
        <v>1873</v>
      </c>
      <c r="H401" s="4" t="s">
        <v>1874</v>
      </c>
      <c r="I401" s="5">
        <v>1513</v>
      </c>
      <c r="J401" s="4"/>
      <c r="K401" s="4" t="s">
        <v>1875</v>
      </c>
      <c r="L401" s="4">
        <v>971283646</v>
      </c>
      <c r="M401" s="4" t="s">
        <v>1507</v>
      </c>
      <c r="N401" s="2" t="str">
        <f>VLOOKUP(B401,歌单!B:C,2,0)</f>
        <v>费玉清</v>
      </c>
      <c r="O401" s="2">
        <f t="shared" si="10"/>
        <v>0</v>
      </c>
      <c r="P401" t="str">
        <f>VLOOKUP(B401,歌单!B:C,1,0)</f>
        <v>一剪梅</v>
      </c>
    </row>
    <row r="402" spans="1:16" ht="15" hidden="1" customHeight="1">
      <c r="A402" s="32" t="s">
        <v>1876</v>
      </c>
      <c r="B402" s="4" t="s">
        <v>1877</v>
      </c>
      <c r="C402" s="4" t="s">
        <v>395</v>
      </c>
      <c r="D402" s="18"/>
      <c r="E402" s="18">
        <v>0</v>
      </c>
      <c r="F402" s="18">
        <v>0</v>
      </c>
      <c r="G402" s="4" t="s">
        <v>1878</v>
      </c>
      <c r="H402" s="4" t="s">
        <v>1879</v>
      </c>
      <c r="I402" s="5">
        <v>149</v>
      </c>
      <c r="J402" s="4"/>
      <c r="K402" s="4" t="s">
        <v>397</v>
      </c>
      <c r="L402" s="4">
        <v>98709892</v>
      </c>
      <c r="M402" s="4"/>
      <c r="N402" s="2" t="str">
        <f>VLOOKUP(B402,歌单!B:C,2,0)</f>
        <v>S.H.E.</v>
      </c>
      <c r="O402" s="2">
        <f t="shared" si="10"/>
        <v>1</v>
      </c>
      <c r="P402" t="str">
        <f>VLOOKUP(B402,歌单!B:C,1,0)</f>
        <v>一眼万年</v>
      </c>
    </row>
    <row r="403" spans="1:16" ht="15" hidden="1" customHeight="1">
      <c r="A403" s="4" t="s">
        <v>1880</v>
      </c>
      <c r="B403" s="4" t="s">
        <v>1881</v>
      </c>
      <c r="C403" s="4" t="s">
        <v>1882</v>
      </c>
      <c r="D403" s="18"/>
      <c r="E403" s="18">
        <v>0</v>
      </c>
      <c r="F403" s="18">
        <v>0</v>
      </c>
      <c r="G403" s="4" t="s">
        <v>1883</v>
      </c>
      <c r="H403" s="4" t="s">
        <v>1884</v>
      </c>
      <c r="I403" s="5">
        <v>1281</v>
      </c>
      <c r="J403" s="4"/>
      <c r="K403" s="4" t="s">
        <v>1885</v>
      </c>
      <c r="L403" s="4">
        <v>53235047</v>
      </c>
      <c r="M403" s="4"/>
      <c r="N403" s="2" t="e">
        <f>VLOOKUP(B403,歌单!B:C,2,0)</f>
        <v>#N/A</v>
      </c>
      <c r="O403" s="2">
        <f t="shared" si="10"/>
        <v>1</v>
      </c>
      <c r="P403" t="e">
        <f>VLOOKUP(B403,歌单!B:C,1,0)</f>
        <v>#N/A</v>
      </c>
    </row>
    <row r="404" spans="1:16" ht="15" hidden="1" customHeight="1">
      <c r="A404" s="4" t="s">
        <v>1886</v>
      </c>
      <c r="B404" s="4" t="s">
        <v>1887</v>
      </c>
      <c r="C404" s="4" t="s">
        <v>1888</v>
      </c>
      <c r="D404" s="18"/>
      <c r="E404" s="18">
        <v>0</v>
      </c>
      <c r="F404" s="18">
        <v>0</v>
      </c>
      <c r="G404" s="4" t="s">
        <v>1889</v>
      </c>
      <c r="H404" s="4"/>
      <c r="I404" s="5">
        <v>42</v>
      </c>
      <c r="J404" s="4"/>
      <c r="K404" s="4" t="s">
        <v>1887</v>
      </c>
      <c r="L404" s="4">
        <v>6085354</v>
      </c>
      <c r="M404" s="4"/>
      <c r="N404" s="2" t="e">
        <f>VLOOKUP(B404,歌单!B:C,2,0)</f>
        <v>#N/A</v>
      </c>
      <c r="O404" s="2">
        <f t="shared" si="10"/>
        <v>1</v>
      </c>
      <c r="P404" t="e">
        <f>VLOOKUP(B404,歌单!B:C,1,0)</f>
        <v>#N/A</v>
      </c>
    </row>
    <row r="405" spans="1:16" ht="15" hidden="1" customHeight="1">
      <c r="A405" s="4" t="s">
        <v>1890</v>
      </c>
      <c r="B405" s="4" t="s">
        <v>283</v>
      </c>
      <c r="C405" s="4" t="s">
        <v>1891</v>
      </c>
      <c r="D405" s="18"/>
      <c r="E405" s="18">
        <v>0</v>
      </c>
      <c r="F405" s="18">
        <v>0</v>
      </c>
      <c r="G405" s="4" t="s">
        <v>1892</v>
      </c>
      <c r="H405" s="4" t="s">
        <v>1893</v>
      </c>
      <c r="I405" s="5">
        <v>15</v>
      </c>
      <c r="J405" s="4"/>
      <c r="K405" s="4" t="s">
        <v>1894</v>
      </c>
      <c r="L405" s="4">
        <v>34309022</v>
      </c>
      <c r="M405" s="4"/>
      <c r="N405" s="2" t="e">
        <f>VLOOKUP(B405,歌单!B:C,2,0)</f>
        <v>#N/A</v>
      </c>
      <c r="O405" s="2">
        <f t="shared" si="10"/>
        <v>1</v>
      </c>
      <c r="P405" t="e">
        <f>VLOOKUP(B405,歌单!B:C,1,0)</f>
        <v>#N/A</v>
      </c>
    </row>
    <row r="406" spans="1:16" ht="15" hidden="1" customHeight="1">
      <c r="A406" s="4" t="s">
        <v>1895</v>
      </c>
      <c r="B406" s="4" t="s">
        <v>1896</v>
      </c>
      <c r="C406" s="25" t="s">
        <v>1897</v>
      </c>
      <c r="D406" s="18"/>
      <c r="E406" s="18">
        <v>0</v>
      </c>
      <c r="F406" s="18">
        <v>0</v>
      </c>
      <c r="G406" s="4" t="s">
        <v>1898</v>
      </c>
      <c r="H406" s="4" t="s">
        <v>1899</v>
      </c>
      <c r="I406" s="5">
        <v>0</v>
      </c>
      <c r="J406" s="4"/>
      <c r="K406" s="4"/>
      <c r="L406" s="4">
        <v>723571</v>
      </c>
      <c r="M406" s="4"/>
      <c r="N406" s="2" t="e">
        <f>VLOOKUP(B406,歌单!B:C,2,0)</f>
        <v>#N/A</v>
      </c>
      <c r="O406" s="2">
        <f t="shared" si="10"/>
        <v>1</v>
      </c>
      <c r="P406" t="e">
        <f>VLOOKUP(B406,歌单!B:C,1,0)</f>
        <v>#N/A</v>
      </c>
    </row>
    <row r="407" spans="1:16" ht="15" customHeight="1">
      <c r="A407" s="4" t="s">
        <v>1900</v>
      </c>
      <c r="B407" s="4" t="s">
        <v>1901</v>
      </c>
      <c r="C407" s="4" t="s">
        <v>498</v>
      </c>
      <c r="D407" s="18"/>
      <c r="E407" s="18">
        <v>0</v>
      </c>
      <c r="F407" s="18">
        <v>0</v>
      </c>
      <c r="G407" s="4" t="s">
        <v>1902</v>
      </c>
      <c r="H407" s="4" t="s">
        <v>1903</v>
      </c>
      <c r="I407" s="5">
        <v>293</v>
      </c>
      <c r="J407" s="4"/>
      <c r="K407" s="4" t="s">
        <v>1904</v>
      </c>
      <c r="L407" s="4">
        <v>87009373</v>
      </c>
      <c r="M407" s="4"/>
      <c r="N407" s="2">
        <f>VLOOKUP(B407,歌单!B:C,2,0)</f>
        <v>0</v>
      </c>
      <c r="O407" s="2">
        <f t="shared" si="10"/>
        <v>1</v>
      </c>
      <c r="P407" t="str">
        <f>VLOOKUP(B407,歌单!B:C,1,0)</f>
        <v>你的眼神</v>
      </c>
    </row>
    <row r="408" spans="1:16" ht="15" hidden="1" customHeight="1">
      <c r="A408" s="4" t="s">
        <v>1905</v>
      </c>
      <c r="B408" s="4" t="s">
        <v>1906</v>
      </c>
      <c r="C408" s="4" t="s">
        <v>1907</v>
      </c>
      <c r="D408" s="18"/>
      <c r="E408" s="18">
        <v>0</v>
      </c>
      <c r="F408" s="18">
        <v>0</v>
      </c>
      <c r="G408" s="4" t="s">
        <v>1908</v>
      </c>
      <c r="H408" s="4" t="s">
        <v>1909</v>
      </c>
      <c r="I408" s="5">
        <v>25</v>
      </c>
      <c r="J408" s="4"/>
      <c r="K408" s="4" t="s">
        <v>1910</v>
      </c>
      <c r="L408" s="4">
        <v>801778</v>
      </c>
      <c r="M408" s="4"/>
      <c r="N408" s="2" t="e">
        <f>VLOOKUP(B408,歌单!B:C,2,0)</f>
        <v>#N/A</v>
      </c>
      <c r="O408" s="2">
        <f t="shared" si="10"/>
        <v>1</v>
      </c>
      <c r="P408" t="e">
        <f>VLOOKUP(B408,歌单!B:C,1,0)</f>
        <v>#N/A</v>
      </c>
    </row>
    <row r="409" spans="1:16" ht="15" hidden="1" customHeight="1">
      <c r="A409" s="4" t="s">
        <v>1911</v>
      </c>
      <c r="B409" s="4" t="s">
        <v>1912</v>
      </c>
      <c r="C409" s="4" t="s">
        <v>650</v>
      </c>
      <c r="D409" s="18"/>
      <c r="E409" s="18">
        <v>0</v>
      </c>
      <c r="F409" s="18">
        <v>0</v>
      </c>
      <c r="G409" s="4" t="s">
        <v>1913</v>
      </c>
      <c r="H409" s="4" t="s">
        <v>1914</v>
      </c>
      <c r="I409" s="5">
        <v>1064</v>
      </c>
      <c r="J409" s="4" t="s">
        <v>1915</v>
      </c>
      <c r="K409" s="4" t="s">
        <v>1916</v>
      </c>
      <c r="L409" s="4">
        <v>179366306</v>
      </c>
      <c r="M409" s="4"/>
      <c r="N409" s="2" t="str">
        <f>VLOOKUP(B409,歌单!B:C,2,0)</f>
        <v>李健</v>
      </c>
      <c r="O409" s="2">
        <f t="shared" si="10"/>
        <v>0</v>
      </c>
      <c r="P409" t="str">
        <f>VLOOKUP(B409,歌单!B:C,1,0)</f>
        <v>贝加尔湖畔</v>
      </c>
    </row>
    <row r="410" spans="1:16" ht="15" hidden="1" customHeight="1">
      <c r="A410" s="32" t="s">
        <v>1917</v>
      </c>
      <c r="B410" s="4" t="s">
        <v>1918</v>
      </c>
      <c r="C410" s="4" t="s">
        <v>935</v>
      </c>
      <c r="D410" s="18"/>
      <c r="E410" s="18">
        <v>0</v>
      </c>
      <c r="F410" s="18">
        <v>0</v>
      </c>
      <c r="G410" s="4" t="s">
        <v>1919</v>
      </c>
      <c r="H410" s="4" t="s">
        <v>1920</v>
      </c>
      <c r="I410" s="5">
        <v>0</v>
      </c>
      <c r="J410" s="4"/>
      <c r="K410" s="4" t="s">
        <v>1921</v>
      </c>
      <c r="L410" s="4">
        <v>1785293</v>
      </c>
      <c r="M410" s="4"/>
      <c r="N410" s="31" t="str">
        <f>VLOOKUP(B410,歌单!B:C,2,0)</f>
        <v>黄绮珊</v>
      </c>
      <c r="O410" s="2">
        <f t="shared" si="10"/>
        <v>1</v>
      </c>
      <c r="P410" t="str">
        <f>VLOOKUP(B410,歌单!B:C,1,0)</f>
        <v>灯塔</v>
      </c>
    </row>
    <row r="411" spans="1:16" ht="15" hidden="1" customHeight="1">
      <c r="A411" s="4" t="s">
        <v>1922</v>
      </c>
      <c r="B411" s="4" t="s">
        <v>1923</v>
      </c>
      <c r="C411" s="4" t="s">
        <v>478</v>
      </c>
      <c r="D411" s="18"/>
      <c r="E411" s="18">
        <v>0</v>
      </c>
      <c r="F411" s="18">
        <v>0</v>
      </c>
      <c r="G411" s="4" t="s">
        <v>1924</v>
      </c>
      <c r="H411" s="4" t="s">
        <v>1925</v>
      </c>
      <c r="I411" s="5">
        <v>777</v>
      </c>
      <c r="J411" s="4"/>
      <c r="K411" s="4" t="s">
        <v>1926</v>
      </c>
      <c r="L411" s="4">
        <v>131989323</v>
      </c>
      <c r="M411" s="4"/>
      <c r="N411" s="2" t="str">
        <f>VLOOKUP(B411,歌单!B:C,2,0)</f>
        <v>邓丽君</v>
      </c>
      <c r="O411" s="2">
        <f t="shared" si="10"/>
        <v>0</v>
      </c>
      <c r="P411" t="str">
        <f>VLOOKUP(B411,歌单!B:C,1,0)</f>
        <v>在水一方</v>
      </c>
    </row>
    <row r="412" spans="1:16" ht="15" hidden="1" customHeight="1">
      <c r="A412" s="4" t="s">
        <v>1927</v>
      </c>
      <c r="B412" s="4" t="s">
        <v>1928</v>
      </c>
      <c r="C412" s="4" t="s">
        <v>1372</v>
      </c>
      <c r="D412" s="18"/>
      <c r="E412" s="18">
        <v>0</v>
      </c>
      <c r="F412" s="18">
        <v>0</v>
      </c>
      <c r="G412" s="4" t="s">
        <v>1929</v>
      </c>
      <c r="H412" s="4" t="s">
        <v>1930</v>
      </c>
      <c r="I412" s="5">
        <v>930</v>
      </c>
      <c r="J412" s="4"/>
      <c r="K412" s="4" t="s">
        <v>1928</v>
      </c>
      <c r="L412" s="4">
        <v>805636539</v>
      </c>
      <c r="M412" s="4"/>
      <c r="N412" s="2" t="str">
        <f>VLOOKUP(B412,歌单!B:C,2,0)</f>
        <v>宋祖英</v>
      </c>
      <c r="O412" s="2">
        <f t="shared" si="10"/>
        <v>0</v>
      </c>
      <c r="P412" t="str">
        <f>VLOOKUP(B412,歌单!B:C,1,0)</f>
        <v>好日子</v>
      </c>
    </row>
    <row r="413" spans="1:16" ht="15" hidden="1" customHeight="1">
      <c r="A413" s="4" t="s">
        <v>1931</v>
      </c>
      <c r="B413" s="4" t="s">
        <v>1932</v>
      </c>
      <c r="C413" s="4" t="s">
        <v>1933</v>
      </c>
      <c r="D413" s="18"/>
      <c r="E413" s="18">
        <v>0</v>
      </c>
      <c r="F413" s="18">
        <v>0</v>
      </c>
      <c r="G413" s="4" t="s">
        <v>1934</v>
      </c>
      <c r="H413" s="4" t="s">
        <v>1935</v>
      </c>
      <c r="I413" s="5">
        <v>665</v>
      </c>
      <c r="J413" s="4" t="s">
        <v>1936</v>
      </c>
      <c r="K413" s="4"/>
      <c r="L413" s="4">
        <v>88649267</v>
      </c>
      <c r="M413" s="4"/>
      <c r="N413" s="2" t="e">
        <f>VLOOKUP(B413,歌单!B:C,2,0)</f>
        <v>#N/A</v>
      </c>
      <c r="O413" s="2">
        <f t="shared" si="10"/>
        <v>1</v>
      </c>
      <c r="P413" t="e">
        <f>VLOOKUP(B413,歌单!B:C,1,0)</f>
        <v>#N/A</v>
      </c>
    </row>
    <row r="414" spans="1:16" ht="15" hidden="1" customHeight="1">
      <c r="A414" s="4" t="s">
        <v>1937</v>
      </c>
      <c r="B414" s="4" t="s">
        <v>85</v>
      </c>
      <c r="C414" s="4" t="s">
        <v>51</v>
      </c>
      <c r="D414" s="18"/>
      <c r="E414" s="18">
        <v>0</v>
      </c>
      <c r="F414" s="18">
        <v>0</v>
      </c>
      <c r="G414" s="4" t="s">
        <v>1938</v>
      </c>
      <c r="H414" s="4"/>
      <c r="I414" s="5">
        <v>0</v>
      </c>
      <c r="J414" s="4"/>
      <c r="K414" s="4" t="s">
        <v>85</v>
      </c>
      <c r="L414" s="4">
        <v>538222</v>
      </c>
      <c r="M414" s="4"/>
      <c r="N414" s="2" t="e">
        <f>VLOOKUP(B414,歌单!B:C,2,0)</f>
        <v>#N/A</v>
      </c>
      <c r="O414" s="2">
        <f t="shared" si="10"/>
        <v>1</v>
      </c>
      <c r="P414" t="e">
        <f>VLOOKUP(B414,歌单!B:C,1,0)</f>
        <v>#N/A</v>
      </c>
    </row>
    <row r="415" spans="1:16" ht="15" hidden="1" customHeight="1">
      <c r="A415" s="32" t="s">
        <v>1939</v>
      </c>
      <c r="B415" s="4" t="s">
        <v>1940</v>
      </c>
      <c r="C415" s="4" t="s">
        <v>1372</v>
      </c>
      <c r="D415" s="18"/>
      <c r="E415" s="18">
        <v>0</v>
      </c>
      <c r="F415" s="18">
        <v>0</v>
      </c>
      <c r="G415" s="4" t="s">
        <v>1941</v>
      </c>
      <c r="H415" s="4"/>
      <c r="I415" s="5">
        <v>4</v>
      </c>
      <c r="J415" s="4"/>
      <c r="K415" s="4" t="s">
        <v>1942</v>
      </c>
      <c r="L415" s="4">
        <v>786764</v>
      </c>
      <c r="M415" s="4"/>
      <c r="N415" s="2" t="str">
        <f>VLOOKUP(B415,歌单!B:C,2,0)</f>
        <v>/</v>
      </c>
      <c r="O415" s="2">
        <f t="shared" si="10"/>
        <v>1</v>
      </c>
      <c r="P415" t="str">
        <f>VLOOKUP(B415,歌单!B:C,1,0)</f>
        <v>关雎</v>
      </c>
    </row>
    <row r="416" spans="1:16" ht="15" hidden="1" customHeight="1">
      <c r="A416" s="32" t="s">
        <v>1943</v>
      </c>
      <c r="B416" s="4" t="s">
        <v>10231</v>
      </c>
      <c r="C416" s="4" t="s">
        <v>776</v>
      </c>
      <c r="D416" s="18"/>
      <c r="E416" s="18">
        <v>0</v>
      </c>
      <c r="F416" s="18">
        <v>0</v>
      </c>
      <c r="G416" s="4" t="s">
        <v>1945</v>
      </c>
      <c r="H416" s="4" t="s">
        <v>1946</v>
      </c>
      <c r="I416" s="5">
        <v>2</v>
      </c>
      <c r="J416" s="4"/>
      <c r="K416" s="4" t="s">
        <v>1947</v>
      </c>
      <c r="L416" s="4">
        <v>3606375</v>
      </c>
      <c r="M416" s="4"/>
      <c r="N416" s="30" t="s">
        <v>10230</v>
      </c>
      <c r="O416" s="2">
        <f t="shared" si="10"/>
        <v>1</v>
      </c>
      <c r="P416" t="str">
        <f>VLOOKUP(B416,歌单!B:C,1,0)</f>
        <v>秋意浓</v>
      </c>
    </row>
    <row r="417" spans="1:16" ht="15" customHeight="1">
      <c r="A417" s="4" t="s">
        <v>1948</v>
      </c>
      <c r="B417" s="4" t="s">
        <v>1949</v>
      </c>
      <c r="C417" s="4" t="s">
        <v>1950</v>
      </c>
      <c r="D417" s="18"/>
      <c r="E417" s="18">
        <v>0</v>
      </c>
      <c r="F417" s="18">
        <v>0</v>
      </c>
      <c r="G417" s="4" t="s">
        <v>1951</v>
      </c>
      <c r="H417" s="4"/>
      <c r="I417" s="5">
        <v>0</v>
      </c>
      <c r="J417" s="4"/>
      <c r="K417" s="4" t="s">
        <v>1952</v>
      </c>
      <c r="L417" s="4">
        <v>150461</v>
      </c>
      <c r="M417" s="4"/>
      <c r="N417" s="2">
        <f>VLOOKUP(B417,歌单!B:C,2,0)</f>
        <v>0</v>
      </c>
      <c r="O417" s="2">
        <f t="shared" si="10"/>
        <v>1</v>
      </c>
      <c r="P417" t="str">
        <f>VLOOKUP(B417,歌单!B:C,1,0)</f>
        <v>蝴蝶泉边</v>
      </c>
    </row>
    <row r="418" spans="1:16" ht="15" hidden="1" customHeight="1">
      <c r="A418" s="4" t="s">
        <v>1953</v>
      </c>
      <c r="B418" s="4" t="s">
        <v>1954</v>
      </c>
      <c r="C418" s="4" t="s">
        <v>1955</v>
      </c>
      <c r="D418" s="18"/>
      <c r="E418" s="18">
        <v>0</v>
      </c>
      <c r="F418" s="18">
        <v>0</v>
      </c>
      <c r="G418" s="4" t="s">
        <v>1956</v>
      </c>
      <c r="H418" s="4"/>
      <c r="I418" s="5">
        <v>1</v>
      </c>
      <c r="J418" s="4"/>
      <c r="K418" s="4" t="s">
        <v>1957</v>
      </c>
      <c r="L418" s="4">
        <v>173658</v>
      </c>
      <c r="M418" s="4"/>
      <c r="N418" s="2" t="e">
        <f>VLOOKUP(B418,歌单!B:C,2,0)</f>
        <v>#N/A</v>
      </c>
      <c r="O418" s="2">
        <f t="shared" si="10"/>
        <v>1</v>
      </c>
      <c r="P418" t="e">
        <f>VLOOKUP(B418,歌单!B:C,1,0)</f>
        <v>#N/A</v>
      </c>
    </row>
    <row r="419" spans="1:16" ht="15" hidden="1" customHeight="1">
      <c r="A419" s="4" t="s">
        <v>1958</v>
      </c>
      <c r="B419" s="4" t="s">
        <v>1959</v>
      </c>
      <c r="C419" s="4" t="s">
        <v>348</v>
      </c>
      <c r="D419" s="18"/>
      <c r="E419" s="18">
        <v>0</v>
      </c>
      <c r="F419" s="18">
        <v>0</v>
      </c>
      <c r="G419" s="4" t="s">
        <v>1960</v>
      </c>
      <c r="H419" s="4" t="s">
        <v>1961</v>
      </c>
      <c r="I419" s="5">
        <v>657</v>
      </c>
      <c r="J419" s="4" t="s">
        <v>1962</v>
      </c>
      <c r="K419" s="4" t="s">
        <v>1963</v>
      </c>
      <c r="L419" s="4">
        <v>132933484</v>
      </c>
      <c r="M419" s="4"/>
      <c r="N419" s="2" t="str">
        <f>VLOOKUP(B419,歌单!B:C,2,0)</f>
        <v>F.I.R.飞儿乐团</v>
      </c>
      <c r="O419" s="2">
        <f t="shared" si="10"/>
        <v>0</v>
      </c>
      <c r="P419" t="str">
        <f>VLOOKUP(B419,歌单!B:C,1,0)</f>
        <v>你的微笑</v>
      </c>
    </row>
    <row r="420" spans="1:16" ht="15" hidden="1" customHeight="1">
      <c r="A420" s="4" t="s">
        <v>1964</v>
      </c>
      <c r="B420" s="4" t="s">
        <v>1965</v>
      </c>
      <c r="C420" s="4" t="s">
        <v>1966</v>
      </c>
      <c r="D420" s="18"/>
      <c r="E420" s="18">
        <v>0</v>
      </c>
      <c r="F420" s="18">
        <v>0</v>
      </c>
      <c r="G420" s="4" t="s">
        <v>1967</v>
      </c>
      <c r="H420" s="4"/>
      <c r="I420" s="5">
        <v>31</v>
      </c>
      <c r="J420" s="4"/>
      <c r="K420" s="4" t="s">
        <v>1968</v>
      </c>
      <c r="L420" s="4">
        <v>41691117</v>
      </c>
      <c r="M420" s="4"/>
      <c r="N420" s="2" t="e">
        <f>VLOOKUP(B420,歌单!B:C,2,0)</f>
        <v>#N/A</v>
      </c>
      <c r="O420" s="2">
        <f t="shared" si="10"/>
        <v>1</v>
      </c>
      <c r="P420" t="e">
        <f>VLOOKUP(B420,歌单!B:C,1,0)</f>
        <v>#N/A</v>
      </c>
    </row>
    <row r="421" spans="1:16" ht="15" hidden="1" customHeight="1">
      <c r="A421" s="4" t="s">
        <v>1969</v>
      </c>
      <c r="B421" s="4" t="s">
        <v>1970</v>
      </c>
      <c r="C421" s="4" t="s">
        <v>1971</v>
      </c>
      <c r="D421" s="18"/>
      <c r="E421" s="18">
        <v>54</v>
      </c>
      <c r="F421" s="18">
        <v>16</v>
      </c>
      <c r="G421" s="4" t="s">
        <v>1972</v>
      </c>
      <c r="H421" s="4" t="s">
        <v>1973</v>
      </c>
      <c r="I421" s="5">
        <v>96</v>
      </c>
      <c r="J421" s="4" t="s">
        <v>1974</v>
      </c>
      <c r="K421" s="4" t="s">
        <v>1975</v>
      </c>
      <c r="L421" s="4">
        <v>105856229</v>
      </c>
      <c r="M421" s="4"/>
      <c r="N421" s="2" t="e">
        <f>VLOOKUP(B421,歌单!B:C,2,0)</f>
        <v>#N/A</v>
      </c>
      <c r="O421" s="2">
        <f t="shared" si="10"/>
        <v>1</v>
      </c>
      <c r="P421" t="e">
        <f>VLOOKUP(B421,歌单!B:C,1,0)</f>
        <v>#N/A</v>
      </c>
    </row>
    <row r="422" spans="1:16" ht="15" hidden="1" customHeight="1">
      <c r="A422" s="32" t="s">
        <v>1976</v>
      </c>
      <c r="B422" s="4" t="s">
        <v>1977</v>
      </c>
      <c r="C422" s="4" t="s">
        <v>1978</v>
      </c>
      <c r="D422" s="18"/>
      <c r="E422" s="18">
        <v>0</v>
      </c>
      <c r="F422" s="18">
        <v>0</v>
      </c>
      <c r="G422" s="4" t="s">
        <v>1979</v>
      </c>
      <c r="H422" s="4" t="s">
        <v>1980</v>
      </c>
      <c r="I422" s="5">
        <v>14</v>
      </c>
      <c r="J422" s="4" t="s">
        <v>1981</v>
      </c>
      <c r="K422" s="4" t="s">
        <v>1982</v>
      </c>
      <c r="L422" s="4">
        <v>2915511</v>
      </c>
      <c r="M422" s="4"/>
      <c r="N422" s="28" t="str">
        <f>VLOOKUP(B422,歌单!B:C,2,0)</f>
        <v>OliviaOng</v>
      </c>
      <c r="O422" s="2">
        <f t="shared" si="10"/>
        <v>1</v>
      </c>
      <c r="P422" t="str">
        <f>VLOOKUP(B422,歌单!B:C,1,0)</f>
        <v>如燕</v>
      </c>
    </row>
    <row r="423" spans="1:16" ht="15" hidden="1" customHeight="1">
      <c r="A423" s="4" t="s">
        <v>1983</v>
      </c>
      <c r="B423" s="4" t="s">
        <v>1984</v>
      </c>
      <c r="C423" s="4" t="s">
        <v>541</v>
      </c>
      <c r="D423" s="18"/>
      <c r="E423" s="18">
        <v>265</v>
      </c>
      <c r="F423" s="18">
        <v>125</v>
      </c>
      <c r="G423" s="4" t="s">
        <v>1985</v>
      </c>
      <c r="H423" s="4" t="s">
        <v>1986</v>
      </c>
      <c r="I423" s="5">
        <v>11</v>
      </c>
      <c r="J423" s="4"/>
      <c r="K423" s="4" t="s">
        <v>1987</v>
      </c>
      <c r="L423" s="4">
        <v>10218385</v>
      </c>
      <c r="M423" s="4"/>
      <c r="N423" s="2" t="str">
        <f>VLOOKUP(B423,歌单!B:C,2,0)</f>
        <v>张惠妹</v>
      </c>
      <c r="O423" s="2">
        <f t="shared" si="10"/>
        <v>0</v>
      </c>
      <c r="P423" t="str">
        <f>VLOOKUP(B423,歌单!B:C,1,0)</f>
        <v>剪爱</v>
      </c>
    </row>
    <row r="424" spans="1:16" ht="15" hidden="1" customHeight="1">
      <c r="A424" s="4" t="s">
        <v>1988</v>
      </c>
      <c r="B424" s="4" t="s">
        <v>1989</v>
      </c>
      <c r="C424" s="4" t="s">
        <v>1990</v>
      </c>
      <c r="D424" s="18"/>
      <c r="E424" s="18">
        <v>0</v>
      </c>
      <c r="F424" s="18">
        <v>0</v>
      </c>
      <c r="G424" s="4" t="s">
        <v>1991</v>
      </c>
      <c r="H424" s="4" t="s">
        <v>1992</v>
      </c>
      <c r="I424" s="5">
        <v>882</v>
      </c>
      <c r="J424" s="4"/>
      <c r="K424" s="4" t="s">
        <v>1989</v>
      </c>
      <c r="L424" s="4">
        <v>93183291</v>
      </c>
      <c r="M424" s="4"/>
      <c r="N424" s="2" t="e">
        <f>VLOOKUP(B424,歌单!B:C,2,0)</f>
        <v>#N/A</v>
      </c>
      <c r="O424" s="2">
        <f t="shared" si="10"/>
        <v>1</v>
      </c>
      <c r="P424" t="e">
        <f>VLOOKUP(B424,歌单!B:C,1,0)</f>
        <v>#N/A</v>
      </c>
    </row>
    <row r="425" spans="1:16" ht="15" hidden="1" customHeight="1">
      <c r="A425" s="4" t="s">
        <v>1993</v>
      </c>
      <c r="B425" s="4" t="s">
        <v>1994</v>
      </c>
      <c r="C425" s="4" t="s">
        <v>1995</v>
      </c>
      <c r="D425" s="18"/>
      <c r="E425" s="18">
        <v>0</v>
      </c>
      <c r="F425" s="18">
        <v>0</v>
      </c>
      <c r="G425" s="4" t="s">
        <v>1996</v>
      </c>
      <c r="H425" s="4" t="s">
        <v>1997</v>
      </c>
      <c r="I425" s="5">
        <v>954</v>
      </c>
      <c r="J425" s="4" t="s">
        <v>1998</v>
      </c>
      <c r="K425" s="4" t="s">
        <v>1999</v>
      </c>
      <c r="L425" s="4">
        <v>187518496</v>
      </c>
      <c r="M425" s="4"/>
      <c r="N425" s="2" t="str">
        <f>VLOOKUP(B425,歌单!B:C,2,0)</f>
        <v>Sweety</v>
      </c>
      <c r="O425" s="2">
        <f t="shared" si="10"/>
        <v>0</v>
      </c>
      <c r="P425" t="str">
        <f>VLOOKUP(B425,歌单!B:C,1,0)</f>
        <v>樱花草</v>
      </c>
    </row>
    <row r="426" spans="1:16" ht="15" hidden="1" customHeight="1">
      <c r="A426" s="4" t="s">
        <v>2000</v>
      </c>
      <c r="B426" s="4" t="s">
        <v>2001</v>
      </c>
      <c r="C426" s="4" t="s">
        <v>2002</v>
      </c>
      <c r="D426" s="18"/>
      <c r="E426" s="18">
        <v>0</v>
      </c>
      <c r="F426" s="18">
        <v>0</v>
      </c>
      <c r="G426" s="4" t="s">
        <v>2003</v>
      </c>
      <c r="H426" s="4" t="s">
        <v>2004</v>
      </c>
      <c r="I426" s="5">
        <v>1</v>
      </c>
      <c r="J426" s="4" t="s">
        <v>2005</v>
      </c>
      <c r="K426" s="4" t="s">
        <v>2006</v>
      </c>
      <c r="L426" s="4">
        <v>709617</v>
      </c>
      <c r="M426" s="4"/>
      <c r="N426" s="2" t="e">
        <f>VLOOKUP(B426,歌单!B:C,2,0)</f>
        <v>#N/A</v>
      </c>
      <c r="O426" s="2">
        <f t="shared" si="10"/>
        <v>1</v>
      </c>
      <c r="P426" t="e">
        <f>VLOOKUP(B426,歌单!B:C,1,0)</f>
        <v>#N/A</v>
      </c>
    </row>
    <row r="427" spans="1:16" ht="15" hidden="1" customHeight="1">
      <c r="A427" s="4" t="s">
        <v>2007</v>
      </c>
      <c r="B427" s="4" t="s">
        <v>2008</v>
      </c>
      <c r="C427" s="4" t="s">
        <v>227</v>
      </c>
      <c r="D427" s="18"/>
      <c r="E427" s="18">
        <v>0</v>
      </c>
      <c r="F427" s="18">
        <v>0</v>
      </c>
      <c r="G427" s="4" t="s">
        <v>2009</v>
      </c>
      <c r="H427" s="4" t="s">
        <v>2010</v>
      </c>
      <c r="I427" s="5">
        <v>65</v>
      </c>
      <c r="J427" s="4"/>
      <c r="K427" s="4" t="s">
        <v>227</v>
      </c>
      <c r="L427" s="4">
        <v>35937366</v>
      </c>
      <c r="M427" s="4"/>
      <c r="N427" s="2" t="str">
        <f>VLOOKUP(B427,歌单!B:C,2,0)</f>
        <v>王菲</v>
      </c>
      <c r="O427" s="2">
        <f t="shared" si="10"/>
        <v>0</v>
      </c>
      <c r="P427" t="str">
        <f>VLOOKUP(B427,歌单!B:C,1,0)</f>
        <v>流年</v>
      </c>
    </row>
    <row r="428" spans="1:16" ht="15" hidden="1" customHeight="1">
      <c r="A428" s="32" t="s">
        <v>2011</v>
      </c>
      <c r="B428" s="4" t="s">
        <v>2012</v>
      </c>
      <c r="C428" s="4" t="s">
        <v>2013</v>
      </c>
      <c r="D428" s="18"/>
      <c r="E428" s="18">
        <v>0</v>
      </c>
      <c r="F428" s="18">
        <v>0</v>
      </c>
      <c r="G428" s="4" t="s">
        <v>2014</v>
      </c>
      <c r="H428" s="4" t="s">
        <v>2015</v>
      </c>
      <c r="I428" s="5">
        <v>1499</v>
      </c>
      <c r="J428" s="4" t="s">
        <v>2016</v>
      </c>
      <c r="K428" s="4" t="s">
        <v>2017</v>
      </c>
      <c r="L428" s="4">
        <v>316782479</v>
      </c>
      <c r="M428" s="4"/>
      <c r="N428" s="28" t="str">
        <f>VLOOKUP(B428,歌单!B:C,2,0)</f>
        <v>胡夏/郁可唯</v>
      </c>
      <c r="O428" s="2">
        <f t="shared" si="10"/>
        <v>1</v>
      </c>
      <c r="P428" t="str">
        <f>VLOOKUP(B428,歌单!B:C,1,0)</f>
        <v>知否知否</v>
      </c>
    </row>
    <row r="429" spans="1:16" ht="15" hidden="1" customHeight="1">
      <c r="A429" s="4" t="s">
        <v>2018</v>
      </c>
      <c r="B429" s="4" t="s">
        <v>2019</v>
      </c>
      <c r="C429" s="4" t="s">
        <v>2020</v>
      </c>
      <c r="D429" s="18"/>
      <c r="E429" s="18">
        <v>0</v>
      </c>
      <c r="F429" s="18">
        <v>0</v>
      </c>
      <c r="G429" s="4" t="s">
        <v>2021</v>
      </c>
      <c r="H429" s="4" t="s">
        <v>2022</v>
      </c>
      <c r="I429" s="5">
        <v>152</v>
      </c>
      <c r="J429" s="4"/>
      <c r="K429" s="4" t="s">
        <v>2019</v>
      </c>
      <c r="L429" s="4">
        <v>63639298</v>
      </c>
      <c r="M429" s="4"/>
      <c r="N429" s="2" t="str">
        <f>VLOOKUP(B429,歌单!B:C,2,0)</f>
        <v>陈绮贞</v>
      </c>
      <c r="O429" s="2">
        <f t="shared" si="10"/>
        <v>0</v>
      </c>
      <c r="P429" t="str">
        <f>VLOOKUP(B429,歌单!B:C,1,0)</f>
        <v>旅行的意义</v>
      </c>
    </row>
    <row r="430" spans="1:16" ht="15" hidden="1" customHeight="1">
      <c r="A430" s="4" t="s">
        <v>2023</v>
      </c>
      <c r="B430" s="4" t="s">
        <v>2024</v>
      </c>
      <c r="C430" s="4" t="s">
        <v>2025</v>
      </c>
      <c r="D430" s="18"/>
      <c r="E430" s="18">
        <v>0</v>
      </c>
      <c r="F430" s="18">
        <v>0</v>
      </c>
      <c r="G430" s="4" t="s">
        <v>2026</v>
      </c>
      <c r="H430" s="4" t="s">
        <v>2027</v>
      </c>
      <c r="I430" s="5">
        <v>11672</v>
      </c>
      <c r="J430" s="4"/>
      <c r="K430" s="4" t="s">
        <v>2028</v>
      </c>
      <c r="L430" s="4">
        <v>685097488</v>
      </c>
      <c r="M430" s="4"/>
      <c r="N430" s="2" t="e">
        <f>VLOOKUP(B430,歌单!B:C,2,0)</f>
        <v>#N/A</v>
      </c>
      <c r="O430" s="2">
        <f t="shared" si="10"/>
        <v>1</v>
      </c>
      <c r="P430" t="e">
        <f>VLOOKUP(B430,歌单!B:C,1,0)</f>
        <v>#N/A</v>
      </c>
    </row>
    <row r="431" spans="1:16" ht="15" customHeight="1">
      <c r="A431" s="4" t="s">
        <v>2029</v>
      </c>
      <c r="B431" s="4" t="s">
        <v>2030</v>
      </c>
      <c r="C431" s="4" t="s">
        <v>2031</v>
      </c>
      <c r="D431" s="18"/>
      <c r="E431" s="18">
        <v>0</v>
      </c>
      <c r="F431" s="18">
        <v>0</v>
      </c>
      <c r="G431" s="4" t="s">
        <v>2032</v>
      </c>
      <c r="H431" s="4" t="s">
        <v>2033</v>
      </c>
      <c r="I431" s="5">
        <v>131</v>
      </c>
      <c r="J431" s="4"/>
      <c r="K431" s="4" t="s">
        <v>2034</v>
      </c>
      <c r="L431" s="4">
        <v>46588974</v>
      </c>
      <c r="M431" s="4"/>
      <c r="N431" s="2">
        <f>VLOOKUP(B431,歌单!B:C,2,0)</f>
        <v>0</v>
      </c>
      <c r="O431" s="2">
        <f t="shared" si="10"/>
        <v>1</v>
      </c>
      <c r="P431" t="str">
        <f>VLOOKUP(B431,歌单!B:C,1,0)</f>
        <v>你被写在我的歌里</v>
      </c>
    </row>
    <row r="432" spans="1:16" ht="15" hidden="1" customHeight="1">
      <c r="A432" s="4" t="s">
        <v>2035</v>
      </c>
      <c r="B432" s="4" t="s">
        <v>2036</v>
      </c>
      <c r="C432" s="4" t="s">
        <v>574</v>
      </c>
      <c r="D432" s="18"/>
      <c r="E432" s="18">
        <v>1948052</v>
      </c>
      <c r="F432" s="18">
        <v>295694</v>
      </c>
      <c r="G432" s="4" t="s">
        <v>2037</v>
      </c>
      <c r="H432" s="4" t="s">
        <v>2038</v>
      </c>
      <c r="I432" s="5">
        <v>2054</v>
      </c>
      <c r="J432" s="4" t="s">
        <v>2039</v>
      </c>
      <c r="K432" s="4" t="s">
        <v>2036</v>
      </c>
      <c r="L432" s="4">
        <v>2817053025</v>
      </c>
      <c r="M432" s="4" t="s">
        <v>2040</v>
      </c>
      <c r="N432" s="2" t="str">
        <f>VLOOKUP(B432,歌单!B:C,2,0)</f>
        <v>陈奕迅</v>
      </c>
      <c r="O432" s="2">
        <f t="shared" si="10"/>
        <v>0</v>
      </c>
      <c r="P432" t="str">
        <f>VLOOKUP(B432,歌单!B:C,1,0)</f>
        <v>孤勇者</v>
      </c>
    </row>
    <row r="433" spans="1:16" ht="15" hidden="1" customHeight="1">
      <c r="A433" s="4" t="s">
        <v>2041</v>
      </c>
      <c r="B433" s="4" t="s">
        <v>2042</v>
      </c>
      <c r="C433" s="4" t="s">
        <v>2043</v>
      </c>
      <c r="D433" s="18"/>
      <c r="E433" s="18">
        <v>0</v>
      </c>
      <c r="F433" s="18">
        <v>0</v>
      </c>
      <c r="G433" s="4" t="s">
        <v>2044</v>
      </c>
      <c r="H433" s="4" t="s">
        <v>2045</v>
      </c>
      <c r="I433" s="5">
        <v>5878</v>
      </c>
      <c r="J433" s="4" t="s">
        <v>2042</v>
      </c>
      <c r="K433" s="4" t="s">
        <v>2042</v>
      </c>
      <c r="L433" s="4">
        <v>806381776</v>
      </c>
      <c r="M433" s="4" t="s">
        <v>235</v>
      </c>
      <c r="N433" s="2" t="e">
        <f>VLOOKUP(B433,歌单!B:C,2,0)</f>
        <v>#N/A</v>
      </c>
      <c r="O433" s="2">
        <f t="shared" si="10"/>
        <v>1</v>
      </c>
      <c r="P433" t="e">
        <f>VLOOKUP(B433,歌单!B:C,1,0)</f>
        <v>#N/A</v>
      </c>
    </row>
    <row r="434" spans="1:16" ht="15" hidden="1" customHeight="1">
      <c r="A434" s="32" t="s">
        <v>2046</v>
      </c>
      <c r="B434" s="4" t="s">
        <v>2047</v>
      </c>
      <c r="C434" s="4" t="s">
        <v>2048</v>
      </c>
      <c r="D434" s="18"/>
      <c r="E434" s="18">
        <v>0</v>
      </c>
      <c r="F434" s="18">
        <v>0</v>
      </c>
      <c r="G434" s="4" t="s">
        <v>2049</v>
      </c>
      <c r="H434" s="4" t="s">
        <v>2050</v>
      </c>
      <c r="I434" s="5">
        <v>474</v>
      </c>
      <c r="J434" s="4"/>
      <c r="K434" s="4" t="s">
        <v>2047</v>
      </c>
      <c r="L434" s="4">
        <v>194456218</v>
      </c>
      <c r="M434" s="4" t="s">
        <v>235</v>
      </c>
      <c r="N434" s="28" t="str">
        <f>VLOOKUP(B434,歌单!B:C,2,0)</f>
        <v>蔡翊昇</v>
      </c>
      <c r="O434" s="2">
        <f t="shared" si="10"/>
        <v>1</v>
      </c>
      <c r="P434" t="str">
        <f>VLOOKUP(B434,歌单!B:C,1,0)</f>
        <v>悟空</v>
      </c>
    </row>
    <row r="435" spans="1:16" ht="15" hidden="1" customHeight="1">
      <c r="A435" s="4" t="s">
        <v>2051</v>
      </c>
      <c r="B435" s="4" t="s">
        <v>711</v>
      </c>
      <c r="C435" s="10" t="s">
        <v>509</v>
      </c>
      <c r="D435" s="18"/>
      <c r="E435" s="18">
        <v>0</v>
      </c>
      <c r="F435" s="18">
        <v>0</v>
      </c>
      <c r="G435" s="4" t="s">
        <v>2052</v>
      </c>
      <c r="H435" s="4" t="s">
        <v>2053</v>
      </c>
      <c r="I435" s="5">
        <v>13</v>
      </c>
      <c r="J435" s="4"/>
      <c r="K435" s="4" t="s">
        <v>2054</v>
      </c>
      <c r="L435" s="4">
        <v>69550159</v>
      </c>
      <c r="M435" s="4"/>
      <c r="N435" s="2" t="str">
        <f>VLOOKUP(B435,歌单!B:C,2,0)</f>
        <v>张韶涵</v>
      </c>
      <c r="O435" s="2">
        <f t="shared" si="10"/>
        <v>0</v>
      </c>
      <c r="P435" t="str">
        <f>VLOOKUP(B435,歌单!B:C,1,0)</f>
        <v>阿刁</v>
      </c>
    </row>
    <row r="436" spans="1:16" ht="15" hidden="1" customHeight="1">
      <c r="A436" s="4" t="s">
        <v>2055</v>
      </c>
      <c r="B436" s="4" t="s">
        <v>2056</v>
      </c>
      <c r="C436" s="4" t="s">
        <v>2057</v>
      </c>
      <c r="D436" s="18"/>
      <c r="E436" s="18">
        <v>0</v>
      </c>
      <c r="F436" s="18">
        <v>0</v>
      </c>
      <c r="G436" s="4" t="s">
        <v>2058</v>
      </c>
      <c r="H436" s="4" t="s">
        <v>2059</v>
      </c>
      <c r="I436" s="5">
        <v>24</v>
      </c>
      <c r="J436" s="4"/>
      <c r="K436" s="4" t="s">
        <v>2060</v>
      </c>
      <c r="L436" s="4">
        <v>6915969</v>
      </c>
      <c r="M436" s="4"/>
      <c r="N436" s="2" t="str">
        <f>VLOOKUP(B436,歌单!B:C,2,0)</f>
        <v>泠鸢yousa</v>
      </c>
      <c r="O436" s="2">
        <f t="shared" si="10"/>
        <v>0</v>
      </c>
      <c r="P436" t="str">
        <f>VLOOKUP(B436,歌单!B:C,1,0)</f>
        <v>泼墨漓江</v>
      </c>
    </row>
    <row r="437" spans="1:16" ht="15" hidden="1" customHeight="1">
      <c r="A437" s="4" t="s">
        <v>2061</v>
      </c>
      <c r="B437" s="4" t="s">
        <v>2062</v>
      </c>
      <c r="C437" s="4" t="s">
        <v>2063</v>
      </c>
      <c r="D437" s="18"/>
      <c r="E437" s="18">
        <v>0</v>
      </c>
      <c r="F437" s="18">
        <v>0</v>
      </c>
      <c r="G437" s="4" t="s">
        <v>2064</v>
      </c>
      <c r="H437" s="4" t="s">
        <v>2065</v>
      </c>
      <c r="I437" s="5">
        <v>496</v>
      </c>
      <c r="J437" s="4"/>
      <c r="K437" s="4" t="s">
        <v>196</v>
      </c>
      <c r="L437" s="4">
        <v>51986972</v>
      </c>
      <c r="M437" s="4"/>
      <c r="N437" s="2" t="str">
        <f>VLOOKUP(B437,歌单!B:C,2,0)</f>
        <v>米白</v>
      </c>
      <c r="O437" s="2">
        <f t="shared" si="10"/>
        <v>0</v>
      </c>
      <c r="P437" t="str">
        <f>VLOOKUP(B437,歌单!B:C,1,0)</f>
        <v>横竖撇点折</v>
      </c>
    </row>
    <row r="438" spans="1:16" ht="15" hidden="1" customHeight="1">
      <c r="A438" s="4" t="s">
        <v>2066</v>
      </c>
      <c r="B438" s="4" t="s">
        <v>2067</v>
      </c>
      <c r="C438" s="4" t="s">
        <v>2068</v>
      </c>
      <c r="D438" s="18"/>
      <c r="E438" s="18">
        <v>0</v>
      </c>
      <c r="F438" s="18">
        <v>0</v>
      </c>
      <c r="G438" s="4" t="s">
        <v>2069</v>
      </c>
      <c r="H438" s="4"/>
      <c r="I438" s="5">
        <v>5625</v>
      </c>
      <c r="J438" s="4"/>
      <c r="K438" s="4" t="s">
        <v>2070</v>
      </c>
      <c r="L438" s="4">
        <v>733581386</v>
      </c>
      <c r="M438" s="4"/>
      <c r="N438" s="2" t="str">
        <f>VLOOKUP(B438,歌单!B:C,2,0)</f>
        <v>洛天依</v>
      </c>
      <c r="O438" s="2">
        <f t="shared" si="10"/>
        <v>0</v>
      </c>
      <c r="P438" t="str">
        <f>VLOOKUP(B438,歌单!B:C,1,0)</f>
        <v>勾指起誓</v>
      </c>
    </row>
    <row r="439" spans="1:16" ht="15" hidden="1" customHeight="1">
      <c r="A439" s="4" t="s">
        <v>2071</v>
      </c>
      <c r="B439" s="4" t="s">
        <v>2072</v>
      </c>
      <c r="C439" s="4" t="s">
        <v>360</v>
      </c>
      <c r="D439" s="18"/>
      <c r="E439" s="18">
        <v>0</v>
      </c>
      <c r="F439" s="18">
        <v>0</v>
      </c>
      <c r="G439" s="4" t="s">
        <v>2073</v>
      </c>
      <c r="H439" s="4" t="s">
        <v>2074</v>
      </c>
      <c r="I439" s="5">
        <v>1908</v>
      </c>
      <c r="J439" s="4"/>
      <c r="K439" s="4" t="s">
        <v>2075</v>
      </c>
      <c r="L439" s="4">
        <v>346099555</v>
      </c>
      <c r="M439" s="4"/>
      <c r="N439" s="2" t="str">
        <f>VLOOKUP(B439,歌单!B:C,2,0)</f>
        <v>张碧晨</v>
      </c>
      <c r="O439" s="2">
        <f t="shared" si="10"/>
        <v>0</v>
      </c>
      <c r="P439" t="str">
        <f>VLOOKUP(B439,歌单!B:C,1,0)</f>
        <v>年轮</v>
      </c>
    </row>
    <row r="440" spans="1:16" ht="15" hidden="1" customHeight="1">
      <c r="A440" s="32" t="s">
        <v>2076</v>
      </c>
      <c r="B440" s="4" t="s">
        <v>2077</v>
      </c>
      <c r="C440" s="4" t="s">
        <v>541</v>
      </c>
      <c r="D440" s="18"/>
      <c r="E440" s="18">
        <v>0</v>
      </c>
      <c r="F440" s="18">
        <v>0</v>
      </c>
      <c r="G440" s="4" t="s">
        <v>2078</v>
      </c>
      <c r="H440" s="4" t="s">
        <v>2079</v>
      </c>
      <c r="I440" s="5">
        <v>10</v>
      </c>
      <c r="J440" s="4"/>
      <c r="K440" s="4" t="s">
        <v>2080</v>
      </c>
      <c r="L440" s="4">
        <v>8434119</v>
      </c>
      <c r="M440" s="4"/>
      <c r="N440" s="28" t="str">
        <f>VLOOKUP(B440,歌单!B:C,2,0)</f>
        <v>李佳薇</v>
      </c>
      <c r="O440" s="2">
        <f t="shared" si="10"/>
        <v>1</v>
      </c>
      <c r="P440" t="str">
        <f>VLOOKUP(B440,歌单!B:C,1,0)</f>
        <v>勇敢</v>
      </c>
    </row>
    <row r="441" spans="1:16" ht="15" customHeight="1">
      <c r="A441" s="4" t="s">
        <v>2081</v>
      </c>
      <c r="B441" s="4" t="s">
        <v>2082</v>
      </c>
      <c r="C441" s="4" t="s">
        <v>2083</v>
      </c>
      <c r="D441" s="18"/>
      <c r="E441" s="18">
        <v>0</v>
      </c>
      <c r="F441" s="18">
        <v>0</v>
      </c>
      <c r="G441" s="4" t="s">
        <v>2084</v>
      </c>
      <c r="H441" s="4" t="s">
        <v>2085</v>
      </c>
      <c r="I441" s="5">
        <v>34</v>
      </c>
      <c r="J441" s="4"/>
      <c r="K441" s="4" t="s">
        <v>2086</v>
      </c>
      <c r="L441" s="4">
        <v>46570561</v>
      </c>
      <c r="M441" s="4"/>
      <c r="N441" s="2">
        <f>VLOOKUP(B441,歌单!B:C,2,0)</f>
        <v>0</v>
      </c>
      <c r="O441" s="2">
        <f t="shared" si="10"/>
        <v>1</v>
      </c>
      <c r="P441" t="str">
        <f>VLOOKUP(B441,歌单!B:C,1,0)</f>
        <v>依然爱你</v>
      </c>
    </row>
    <row r="442" spans="1:16" ht="15" hidden="1" customHeight="1">
      <c r="A442" s="4" t="s">
        <v>2087</v>
      </c>
      <c r="B442" s="4" t="s">
        <v>2088</v>
      </c>
      <c r="C442" s="4" t="s">
        <v>935</v>
      </c>
      <c r="D442" s="18"/>
      <c r="E442" s="18">
        <v>0</v>
      </c>
      <c r="F442" s="18">
        <v>0</v>
      </c>
      <c r="G442" s="4" t="s">
        <v>2089</v>
      </c>
      <c r="H442" s="4" t="s">
        <v>2090</v>
      </c>
      <c r="I442" s="5">
        <v>161</v>
      </c>
      <c r="J442" s="4"/>
      <c r="K442" s="4" t="s">
        <v>2091</v>
      </c>
      <c r="L442" s="4">
        <v>25274580</v>
      </c>
      <c r="M442" s="4"/>
      <c r="N442" s="2" t="str">
        <f>VLOOKUP(B442,歌单!B:C,2,0)</f>
        <v>谭维维</v>
      </c>
      <c r="O442" s="2">
        <f t="shared" si="10"/>
        <v>0</v>
      </c>
      <c r="P442" t="str">
        <f>VLOOKUP(B442,歌单!B:C,1,0)</f>
        <v>乌兰巴托的夜</v>
      </c>
    </row>
    <row r="443" spans="1:16" ht="15" hidden="1" customHeight="1">
      <c r="A443" s="4" t="s">
        <v>2092</v>
      </c>
      <c r="B443" s="4" t="s">
        <v>2093</v>
      </c>
      <c r="C443" s="4" t="s">
        <v>2094</v>
      </c>
      <c r="D443" s="18"/>
      <c r="E443" s="18">
        <v>0</v>
      </c>
      <c r="F443" s="18">
        <v>0</v>
      </c>
      <c r="G443" s="4" t="s">
        <v>2095</v>
      </c>
      <c r="H443" s="4" t="s">
        <v>2096</v>
      </c>
      <c r="I443" s="5">
        <v>853</v>
      </c>
      <c r="J443" s="4" t="s">
        <v>2097</v>
      </c>
      <c r="K443" s="4" t="s">
        <v>2098</v>
      </c>
      <c r="L443" s="4">
        <v>299210152</v>
      </c>
      <c r="M443" s="4"/>
      <c r="N443" s="2" t="str">
        <f>VLOOKUP(B443,歌单!B:C,2,0)</f>
        <v>吴静</v>
      </c>
      <c r="O443" s="2">
        <f t="shared" si="10"/>
        <v>0</v>
      </c>
      <c r="P443" t="str">
        <f>VLOOKUP(B443,歌单!B:C,1,0)</f>
        <v>女儿情</v>
      </c>
    </row>
    <row r="444" spans="1:16" ht="15" hidden="1" customHeight="1">
      <c r="A444" s="32" t="s">
        <v>2099</v>
      </c>
      <c r="B444" s="4" t="s">
        <v>2100</v>
      </c>
      <c r="C444" s="4" t="s">
        <v>427</v>
      </c>
      <c r="D444" s="18"/>
      <c r="E444" s="18">
        <v>0</v>
      </c>
      <c r="F444" s="18">
        <v>0</v>
      </c>
      <c r="G444" s="4" t="s">
        <v>2101</v>
      </c>
      <c r="H444" s="4" t="s">
        <v>2102</v>
      </c>
      <c r="I444" s="5">
        <v>595</v>
      </c>
      <c r="J444" s="4"/>
      <c r="K444" s="4" t="s">
        <v>2103</v>
      </c>
      <c r="L444" s="4">
        <v>47566028</v>
      </c>
      <c r="M444" s="4"/>
      <c r="N444" s="31" t="str">
        <f>VLOOKUP(B444,歌单!B:C,2,0)</f>
        <v>羽泉</v>
      </c>
      <c r="O444" s="2">
        <f t="shared" si="10"/>
        <v>1</v>
      </c>
      <c r="P444" t="str">
        <f>VLOOKUP(B444,歌单!B:C,1,0)</f>
        <v>开往春天的地铁</v>
      </c>
    </row>
    <row r="445" spans="1:16" ht="15" hidden="1" customHeight="1">
      <c r="A445" s="32" t="s">
        <v>2104</v>
      </c>
      <c r="B445" s="4" t="s">
        <v>1377</v>
      </c>
      <c r="C445" s="4" t="s">
        <v>1378</v>
      </c>
      <c r="D445" s="18"/>
      <c r="E445" s="18">
        <v>0</v>
      </c>
      <c r="F445" s="18">
        <v>0</v>
      </c>
      <c r="G445" s="4" t="s">
        <v>2105</v>
      </c>
      <c r="H445" s="4" t="s">
        <v>2106</v>
      </c>
      <c r="I445" s="5">
        <v>109</v>
      </c>
      <c r="J445" s="4" t="s">
        <v>2107</v>
      </c>
      <c r="K445" s="4" t="s">
        <v>2108</v>
      </c>
      <c r="L445" s="4">
        <v>78622904</v>
      </c>
      <c r="M445" s="4"/>
      <c r="N445" s="2" t="str">
        <f>VLOOKUP(B445,歌单!B:C,2,0)</f>
        <v>云南弥渡山歌</v>
      </c>
      <c r="O445" s="2">
        <f t="shared" si="10"/>
        <v>1</v>
      </c>
      <c r="P445" t="str">
        <f>VLOOKUP(B445,歌单!B:C,1,0)</f>
        <v>小河淌水</v>
      </c>
    </row>
    <row r="446" spans="1:16" ht="15" customHeight="1">
      <c r="A446" s="4" t="s">
        <v>2109</v>
      </c>
      <c r="B446" t="s">
        <v>2110</v>
      </c>
      <c r="C446" s="4" t="s">
        <v>2111</v>
      </c>
      <c r="D446" s="18"/>
      <c r="E446" s="18">
        <v>0</v>
      </c>
      <c r="F446" s="18">
        <v>0</v>
      </c>
      <c r="G446" s="4" t="s">
        <v>2112</v>
      </c>
      <c r="H446" s="4" t="s">
        <v>2113</v>
      </c>
      <c r="I446" s="5">
        <v>191</v>
      </c>
      <c r="J446" s="4"/>
      <c r="K446" s="4" t="s">
        <v>2114</v>
      </c>
      <c r="L446" s="4">
        <v>105276091</v>
      </c>
      <c r="M446" s="4"/>
      <c r="N446" s="2">
        <f>VLOOKUP(B446,歌单!B:C,2,0)</f>
        <v>0</v>
      </c>
      <c r="O446" s="2">
        <f t="shared" si="10"/>
        <v>1</v>
      </c>
      <c r="P446" t="str">
        <f>VLOOKUP(B446,歌单!B:C,1,0)</f>
        <v>蜗牛与黄鹂鸟</v>
      </c>
    </row>
    <row r="447" spans="1:16" ht="15" hidden="1" customHeight="1">
      <c r="A447" s="4" t="s">
        <v>2115</v>
      </c>
      <c r="B447" s="4" t="s">
        <v>2116</v>
      </c>
      <c r="C447" s="4" t="s">
        <v>776</v>
      </c>
      <c r="D447" s="18"/>
      <c r="E447" s="18">
        <v>0</v>
      </c>
      <c r="F447" s="18">
        <v>0</v>
      </c>
      <c r="G447" s="4" t="s">
        <v>2117</v>
      </c>
      <c r="H447" s="4" t="s">
        <v>2118</v>
      </c>
      <c r="I447" s="5">
        <v>889</v>
      </c>
      <c r="J447" s="4" t="s">
        <v>2119</v>
      </c>
      <c r="K447" s="4" t="s">
        <v>2116</v>
      </c>
      <c r="L447" s="4">
        <v>193133600</v>
      </c>
      <c r="M447" s="4"/>
      <c r="N447" s="2" t="str">
        <f>VLOOKUP(B447,歌单!B:C,2,0)</f>
        <v>张靓颖</v>
      </c>
      <c r="O447" s="2">
        <f t="shared" si="10"/>
        <v>0</v>
      </c>
      <c r="P447" t="str">
        <f>VLOOKUP(B447,歌单!B:C,1,0)</f>
        <v>画心</v>
      </c>
    </row>
    <row r="448" spans="1:16" ht="15" hidden="1" customHeight="1">
      <c r="A448" s="4" t="s">
        <v>2120</v>
      </c>
      <c r="B448" s="4" t="s">
        <v>2121</v>
      </c>
      <c r="C448" s="4" t="s">
        <v>1545</v>
      </c>
      <c r="D448" s="18"/>
      <c r="E448" s="18">
        <v>0</v>
      </c>
      <c r="F448" s="18">
        <v>0</v>
      </c>
      <c r="G448" s="4" t="s">
        <v>2122</v>
      </c>
      <c r="H448" s="4" t="s">
        <v>2123</v>
      </c>
      <c r="I448" s="5">
        <v>131</v>
      </c>
      <c r="J448" s="4" t="s">
        <v>2124</v>
      </c>
      <c r="K448" s="4" t="s">
        <v>2121</v>
      </c>
      <c r="L448" s="4">
        <v>56720759</v>
      </c>
      <c r="M448" s="4"/>
      <c r="N448" s="2" t="str">
        <f>VLOOKUP(B448,歌单!B:C,2,0)</f>
        <v>梁静茹</v>
      </c>
      <c r="O448" s="2">
        <f t="shared" si="10"/>
        <v>0</v>
      </c>
      <c r="P448" t="str">
        <f>VLOOKUP(B448,歌单!B:C,1,0)</f>
        <v>崇拜</v>
      </c>
    </row>
    <row r="449" spans="1:16" ht="15" hidden="1" customHeight="1">
      <c r="A449" s="4" t="s">
        <v>2125</v>
      </c>
      <c r="B449" s="4" t="s">
        <v>2126</v>
      </c>
      <c r="C449" s="4" t="s">
        <v>2127</v>
      </c>
      <c r="D449" s="18"/>
      <c r="E449" s="18">
        <v>0</v>
      </c>
      <c r="F449" s="18">
        <v>0</v>
      </c>
      <c r="G449" s="4" t="s">
        <v>2128</v>
      </c>
      <c r="H449" s="4"/>
      <c r="I449" s="5">
        <v>28</v>
      </c>
      <c r="J449" s="4"/>
      <c r="K449" s="4" t="s">
        <v>2129</v>
      </c>
      <c r="L449" s="4">
        <v>7951320</v>
      </c>
      <c r="M449" s="4"/>
      <c r="N449" s="2" t="e">
        <f>VLOOKUP(B449,歌单!B:C,2,0)</f>
        <v>#N/A</v>
      </c>
      <c r="O449" s="2">
        <f t="shared" si="10"/>
        <v>1</v>
      </c>
      <c r="P449" t="e">
        <f>VLOOKUP(B449,歌单!B:C,1,0)</f>
        <v>#N/A</v>
      </c>
    </row>
    <row r="450" spans="1:16" ht="15" hidden="1" customHeight="1">
      <c r="A450" s="32" t="s">
        <v>2130</v>
      </c>
      <c r="B450" s="4" t="s">
        <v>2131</v>
      </c>
      <c r="C450" s="4" t="s">
        <v>2132</v>
      </c>
      <c r="D450" s="18"/>
      <c r="E450" s="18">
        <v>0</v>
      </c>
      <c r="F450" s="18">
        <v>0</v>
      </c>
      <c r="G450" s="4" t="s">
        <v>2133</v>
      </c>
      <c r="H450" s="4" t="s">
        <v>2134</v>
      </c>
      <c r="I450" s="5">
        <v>866</v>
      </c>
      <c r="J450" s="4"/>
      <c r="K450" s="4" t="s">
        <v>2135</v>
      </c>
      <c r="L450" s="4">
        <v>124839208</v>
      </c>
      <c r="M450" s="4"/>
      <c r="N450" s="2" t="str">
        <f>VLOOKUP(B450,歌单!B:C,2,0)</f>
        <v>屯门儿童合唱团</v>
      </c>
      <c r="O450" s="2">
        <f t="shared" si="10"/>
        <v>1</v>
      </c>
      <c r="P450" t="str">
        <f>VLOOKUP(B450,歌单!B:C,1,0)</f>
        <v>虫儿飞</v>
      </c>
    </row>
    <row r="451" spans="1:16" ht="15" hidden="1" customHeight="1">
      <c r="A451" s="4" t="s">
        <v>2136</v>
      </c>
      <c r="B451" s="4" t="s">
        <v>2137</v>
      </c>
      <c r="C451" s="4" t="s">
        <v>1274</v>
      </c>
      <c r="D451" s="18"/>
      <c r="E451" s="18">
        <v>233</v>
      </c>
      <c r="F451" s="18">
        <v>120</v>
      </c>
      <c r="G451" s="4" t="s">
        <v>2138</v>
      </c>
      <c r="H451" s="4"/>
      <c r="I451" s="5">
        <v>2</v>
      </c>
      <c r="J451" s="4"/>
      <c r="K451" s="4" t="s">
        <v>2139</v>
      </c>
      <c r="L451" s="4">
        <v>8256998</v>
      </c>
      <c r="M451" s="4"/>
      <c r="N451" s="2" t="str">
        <f>VLOOKUP(B451,歌单!B:C,2,0)</f>
        <v>莫文蔚</v>
      </c>
      <c r="O451" s="2">
        <f t="shared" ref="O451:O514" si="11">_xlfn.IFNA(IF(IFERROR(SEARCH(N451,C451),0)&gt;0,0,1),0)</f>
        <v>0</v>
      </c>
      <c r="P451" t="str">
        <f>VLOOKUP(B451,歌单!B:C,1,0)</f>
        <v>寂寞的恋人啊</v>
      </c>
    </row>
    <row r="452" spans="1:16" ht="15" hidden="1" customHeight="1">
      <c r="A452" s="4" t="s">
        <v>2140</v>
      </c>
      <c r="B452" s="4" t="s">
        <v>2141</v>
      </c>
      <c r="C452" s="4" t="s">
        <v>154</v>
      </c>
      <c r="D452" s="18"/>
      <c r="E452" s="18">
        <v>1116715</v>
      </c>
      <c r="F452" s="18">
        <v>297452</v>
      </c>
      <c r="G452" s="4" t="s">
        <v>2142</v>
      </c>
      <c r="H452" s="4" t="s">
        <v>2143</v>
      </c>
      <c r="I452" s="5">
        <v>384</v>
      </c>
      <c r="J452" s="4"/>
      <c r="K452" s="4" t="s">
        <v>2144</v>
      </c>
      <c r="L452" s="4">
        <v>309787938</v>
      </c>
      <c r="M452" s="4" t="s">
        <v>852</v>
      </c>
      <c r="N452" s="2" t="str">
        <f>VLOOKUP(B452,歌单!B:C,2,0)</f>
        <v>周杰伦</v>
      </c>
      <c r="O452" s="2">
        <f t="shared" si="11"/>
        <v>0</v>
      </c>
      <c r="P452" t="str">
        <f>VLOOKUP(B452,歌单!B:C,1,0)</f>
        <v>mojito</v>
      </c>
    </row>
    <row r="453" spans="1:16" ht="15" hidden="1" customHeight="1">
      <c r="A453" s="4" t="s">
        <v>2145</v>
      </c>
      <c r="B453" s="4" t="s">
        <v>2146</v>
      </c>
      <c r="C453" s="4" t="s">
        <v>2147</v>
      </c>
      <c r="D453" s="18"/>
      <c r="E453" s="18">
        <v>0</v>
      </c>
      <c r="F453" s="18">
        <v>0</v>
      </c>
      <c r="G453" s="4" t="s">
        <v>2148</v>
      </c>
      <c r="H453" s="4" t="s">
        <v>2149</v>
      </c>
      <c r="I453" s="5">
        <v>7910</v>
      </c>
      <c r="J453" s="4"/>
      <c r="K453" s="4" t="s">
        <v>2150</v>
      </c>
      <c r="L453" s="4">
        <v>339448567</v>
      </c>
      <c r="M453" s="4" t="s">
        <v>1507</v>
      </c>
      <c r="N453" s="2" t="e">
        <f>VLOOKUP(B453,歌单!B:C,2,0)</f>
        <v>#N/A</v>
      </c>
      <c r="O453" s="2">
        <f t="shared" si="11"/>
        <v>1</v>
      </c>
      <c r="P453" t="e">
        <f>VLOOKUP(B453,歌单!B:C,1,0)</f>
        <v>#N/A</v>
      </c>
    </row>
    <row r="454" spans="1:16" ht="15" hidden="1" customHeight="1">
      <c r="A454" s="4" t="s">
        <v>2151</v>
      </c>
      <c r="B454" s="4" t="s">
        <v>2152</v>
      </c>
      <c r="C454" s="4" t="s">
        <v>42</v>
      </c>
      <c r="D454" s="18"/>
      <c r="E454" s="18">
        <v>0</v>
      </c>
      <c r="F454" s="18">
        <v>0</v>
      </c>
      <c r="G454" s="4" t="s">
        <v>2153</v>
      </c>
      <c r="H454" s="4"/>
      <c r="I454" s="5">
        <v>48</v>
      </c>
      <c r="J454" s="4"/>
      <c r="K454" s="4" t="s">
        <v>1797</v>
      </c>
      <c r="L454" s="4">
        <v>35231169</v>
      </c>
      <c r="M454" s="4"/>
      <c r="N454" s="2" t="str">
        <f>VLOOKUP(B454,歌单!B:C,2,0)</f>
        <v>黄龄</v>
      </c>
      <c r="O454" s="2">
        <f t="shared" si="11"/>
        <v>0</v>
      </c>
      <c r="P454" t="str">
        <f>VLOOKUP(B454,歌单!B:C,1,0)</f>
        <v>high歌</v>
      </c>
    </row>
    <row r="455" spans="1:16" ht="15" hidden="1" customHeight="1">
      <c r="A455" s="4" t="s">
        <v>2154</v>
      </c>
      <c r="B455" s="4" t="s">
        <v>2155</v>
      </c>
      <c r="C455" s="4" t="s">
        <v>2156</v>
      </c>
      <c r="D455" s="18"/>
      <c r="E455" s="18">
        <v>0</v>
      </c>
      <c r="F455" s="18">
        <v>0</v>
      </c>
      <c r="G455" s="4" t="s">
        <v>2157</v>
      </c>
      <c r="H455" s="4" t="s">
        <v>2158</v>
      </c>
      <c r="I455" s="5">
        <v>0</v>
      </c>
      <c r="J455" s="4"/>
      <c r="K455" s="4" t="s">
        <v>2159</v>
      </c>
      <c r="L455" s="4">
        <v>63813</v>
      </c>
      <c r="M455" s="4"/>
      <c r="N455" s="2" t="e">
        <f>VLOOKUP(B455,歌单!B:C,2,0)</f>
        <v>#N/A</v>
      </c>
      <c r="O455" s="2">
        <f t="shared" si="11"/>
        <v>1</v>
      </c>
      <c r="P455" t="e">
        <f>VLOOKUP(B455,歌单!B:C,1,0)</f>
        <v>#N/A</v>
      </c>
    </row>
    <row r="456" spans="1:16" ht="15" hidden="1" customHeight="1">
      <c r="A456" s="32" t="s">
        <v>2160</v>
      </c>
      <c r="B456" s="4" t="s">
        <v>2161</v>
      </c>
      <c r="C456" s="4" t="s">
        <v>2162</v>
      </c>
      <c r="D456" s="18"/>
      <c r="E456" s="18">
        <v>0</v>
      </c>
      <c r="F456" s="18">
        <v>0</v>
      </c>
      <c r="G456" s="4" t="s">
        <v>2163</v>
      </c>
      <c r="H456" s="4" t="s">
        <v>2164</v>
      </c>
      <c r="I456" s="5">
        <v>695</v>
      </c>
      <c r="J456" s="4"/>
      <c r="K456" s="4"/>
      <c r="L456" s="4">
        <v>74927917</v>
      </c>
      <c r="M456" s="4"/>
      <c r="N456" s="28" t="str">
        <f>VLOOKUP(B456,歌单!B:C,2,0)</f>
        <v>周深</v>
      </c>
      <c r="O456" s="2">
        <f t="shared" si="11"/>
        <v>1</v>
      </c>
      <c r="P456" t="str">
        <f>VLOOKUP(B456,歌单!B:C,1,0)</f>
        <v>天堂岛之歌</v>
      </c>
    </row>
    <row r="457" spans="1:16" ht="15" hidden="1" customHeight="1">
      <c r="A457" s="4" t="s">
        <v>2165</v>
      </c>
      <c r="B457" s="4" t="s">
        <v>73</v>
      </c>
      <c r="C457" s="4" t="s">
        <v>51</v>
      </c>
      <c r="D457" s="18"/>
      <c r="E457" s="18">
        <v>0</v>
      </c>
      <c r="F457" s="18">
        <v>0</v>
      </c>
      <c r="G457" s="4" t="s">
        <v>2166</v>
      </c>
      <c r="H457" s="4" t="s">
        <v>2167</v>
      </c>
      <c r="I457" s="5">
        <v>0</v>
      </c>
      <c r="J457" s="4"/>
      <c r="K457" s="4" t="s">
        <v>73</v>
      </c>
      <c r="L457" s="4">
        <v>109889</v>
      </c>
      <c r="M457" s="4"/>
      <c r="N457" s="2" t="e">
        <f>VLOOKUP(B457,歌单!B:C,2,0)</f>
        <v>#N/A</v>
      </c>
      <c r="O457" s="2">
        <f t="shared" si="11"/>
        <v>1</v>
      </c>
      <c r="P457" t="e">
        <f>VLOOKUP(B457,歌单!B:C,1,0)</f>
        <v>#N/A</v>
      </c>
    </row>
    <row r="458" spans="1:16" ht="15" hidden="1" customHeight="1">
      <c r="A458" s="4" t="s">
        <v>2168</v>
      </c>
      <c r="B458" s="4" t="s">
        <v>2169</v>
      </c>
      <c r="C458" s="4" t="s">
        <v>27</v>
      </c>
      <c r="D458" s="18"/>
      <c r="E458" s="18">
        <v>0</v>
      </c>
      <c r="F458" s="18">
        <v>0</v>
      </c>
      <c r="G458" s="4" t="s">
        <v>2170</v>
      </c>
      <c r="H458" s="4" t="s">
        <v>2171</v>
      </c>
      <c r="I458" s="5">
        <v>6</v>
      </c>
      <c r="J458" s="4" t="s">
        <v>2169</v>
      </c>
      <c r="K458" s="4" t="s">
        <v>2172</v>
      </c>
      <c r="L458" s="4">
        <v>7489437</v>
      </c>
      <c r="M458" s="4"/>
      <c r="N458" s="2" t="str">
        <f>VLOOKUP(B458,歌单!B:C,2,0)</f>
        <v>徐佳莹</v>
      </c>
      <c r="O458" s="2">
        <f t="shared" si="11"/>
        <v>0</v>
      </c>
      <c r="P458" t="str">
        <f>VLOOKUP(B458,歌单!B:C,1,0)</f>
        <v>言不由衷</v>
      </c>
    </row>
    <row r="459" spans="1:16" ht="15" customHeight="1">
      <c r="A459" s="4" t="s">
        <v>2173</v>
      </c>
      <c r="B459" s="4" t="s">
        <v>2174</v>
      </c>
      <c r="C459" s="4" t="s">
        <v>360</v>
      </c>
      <c r="D459" s="18"/>
      <c r="E459" s="18">
        <v>0</v>
      </c>
      <c r="F459" s="18">
        <v>0</v>
      </c>
      <c r="G459" s="4" t="s">
        <v>2175</v>
      </c>
      <c r="H459" s="4" t="s">
        <v>2176</v>
      </c>
      <c r="I459" s="5">
        <v>448</v>
      </c>
      <c r="J459" s="4" t="s">
        <v>2177</v>
      </c>
      <c r="K459" s="4" t="s">
        <v>2178</v>
      </c>
      <c r="L459" s="4">
        <v>175752637</v>
      </c>
      <c r="M459" s="4"/>
      <c r="N459" s="2">
        <f>VLOOKUP(B459,歌单!B:C,2,0)</f>
        <v>0</v>
      </c>
      <c r="O459" s="2">
        <f t="shared" si="11"/>
        <v>1</v>
      </c>
      <c r="P459" t="str">
        <f>VLOOKUP(B459,歌单!B:C,1,0)</f>
        <v>下一秒</v>
      </c>
    </row>
    <row r="460" spans="1:16" ht="15" hidden="1" customHeight="1">
      <c r="A460" s="4" t="s">
        <v>2179</v>
      </c>
      <c r="B460" s="4" t="s">
        <v>2180</v>
      </c>
      <c r="C460" s="4" t="s">
        <v>643</v>
      </c>
      <c r="D460" s="18"/>
      <c r="E460" s="18">
        <v>0</v>
      </c>
      <c r="F460" s="18">
        <v>0</v>
      </c>
      <c r="G460" s="4" t="s">
        <v>2181</v>
      </c>
      <c r="H460" s="4" t="s">
        <v>2182</v>
      </c>
      <c r="I460" s="5">
        <v>940</v>
      </c>
      <c r="J460" s="4"/>
      <c r="K460" s="4" t="s">
        <v>2180</v>
      </c>
      <c r="L460" s="4">
        <v>781788079</v>
      </c>
      <c r="M460" s="4"/>
      <c r="N460" s="2" t="str">
        <f>VLOOKUP(B460,歌单!B:C,2,0)</f>
        <v>杨丞琳</v>
      </c>
      <c r="O460" s="2">
        <f t="shared" si="11"/>
        <v>0</v>
      </c>
      <c r="P460" t="str">
        <f>VLOOKUP(B460,歌单!B:C,1,0)</f>
        <v>年轮说</v>
      </c>
    </row>
    <row r="461" spans="1:16" ht="15" hidden="1" customHeight="1">
      <c r="A461" s="4" t="s">
        <v>2183</v>
      </c>
      <c r="B461" s="4" t="s">
        <v>2184</v>
      </c>
      <c r="C461" s="4" t="s">
        <v>2185</v>
      </c>
      <c r="D461" s="18"/>
      <c r="E461" s="18">
        <v>0</v>
      </c>
      <c r="F461" s="18">
        <v>0</v>
      </c>
      <c r="G461" s="4" t="s">
        <v>2186</v>
      </c>
      <c r="H461" s="4"/>
      <c r="I461" s="5">
        <v>327</v>
      </c>
      <c r="J461" s="4"/>
      <c r="K461" s="4" t="s">
        <v>2187</v>
      </c>
      <c r="L461" s="4">
        <v>60906696</v>
      </c>
      <c r="M461" s="4"/>
      <c r="N461" s="2" t="str">
        <f>VLOOKUP(B461,歌单!B:C,2,0)</f>
        <v>信乐团</v>
      </c>
      <c r="O461" s="2">
        <f t="shared" si="11"/>
        <v>0</v>
      </c>
      <c r="P461" t="str">
        <f>VLOOKUP(B461,歌单!B:C,1,0)</f>
        <v>离歌</v>
      </c>
    </row>
    <row r="462" spans="1:16" ht="15" hidden="1" customHeight="1">
      <c r="A462" s="4" t="s">
        <v>2188</v>
      </c>
      <c r="B462" s="4" t="s">
        <v>2189</v>
      </c>
      <c r="C462" s="4" t="s">
        <v>131</v>
      </c>
      <c r="D462" s="18"/>
      <c r="E462" s="18">
        <v>0</v>
      </c>
      <c r="F462" s="18">
        <v>0</v>
      </c>
      <c r="G462" s="4" t="s">
        <v>2190</v>
      </c>
      <c r="H462" s="4" t="s">
        <v>2191</v>
      </c>
      <c r="I462" s="5">
        <v>290</v>
      </c>
      <c r="J462" s="4"/>
      <c r="K462" s="4" t="s">
        <v>2034</v>
      </c>
      <c r="L462" s="4">
        <v>53246846</v>
      </c>
      <c r="M462" s="4"/>
      <c r="N462" s="2" t="str">
        <f>VLOOKUP(B462,歌单!B:C,2,0)</f>
        <v>苏打绿</v>
      </c>
      <c r="O462" s="2">
        <f t="shared" si="11"/>
        <v>0</v>
      </c>
      <c r="P462" t="str">
        <f>VLOOKUP(B462,歌单!B:C,1,0)</f>
        <v>无与伦比的美丽</v>
      </c>
    </row>
    <row r="463" spans="1:16" ht="15" hidden="1" customHeight="1">
      <c r="A463" s="4" t="s">
        <v>2192</v>
      </c>
      <c r="B463" s="4" t="s">
        <v>2193</v>
      </c>
      <c r="C463" s="4" t="s">
        <v>131</v>
      </c>
      <c r="D463" s="18"/>
      <c r="E463" s="18">
        <v>0</v>
      </c>
      <c r="F463" s="18">
        <v>0</v>
      </c>
      <c r="G463" s="4" t="s">
        <v>2194</v>
      </c>
      <c r="H463" s="4"/>
      <c r="I463" s="5">
        <v>712</v>
      </c>
      <c r="J463" s="4"/>
      <c r="K463" s="4" t="s">
        <v>2195</v>
      </c>
      <c r="L463" s="4">
        <v>278023474</v>
      </c>
      <c r="M463" s="4"/>
      <c r="N463" s="2" t="str">
        <f>VLOOKUP(B463,歌单!B:C,2,0)</f>
        <v>苏打绿</v>
      </c>
      <c r="O463" s="2">
        <f t="shared" si="11"/>
        <v>0</v>
      </c>
      <c r="P463" t="str">
        <f>VLOOKUP(B463,歌单!B:C,1,0)</f>
        <v>小情歌</v>
      </c>
    </row>
    <row r="464" spans="1:16" ht="15" hidden="1" customHeight="1">
      <c r="A464" s="4" t="s">
        <v>2196</v>
      </c>
      <c r="B464" s="4" t="s">
        <v>2197</v>
      </c>
      <c r="C464" s="4" t="s">
        <v>2198</v>
      </c>
      <c r="D464" s="18"/>
      <c r="E464" s="18">
        <v>0</v>
      </c>
      <c r="F464" s="18">
        <v>0</v>
      </c>
      <c r="G464" s="4" t="s">
        <v>2199</v>
      </c>
      <c r="H464" s="4" t="s">
        <v>2200</v>
      </c>
      <c r="I464" s="5">
        <v>61</v>
      </c>
      <c r="J464" s="4"/>
      <c r="K464" s="4" t="s">
        <v>2201</v>
      </c>
      <c r="L464" s="4">
        <v>32825301</v>
      </c>
      <c r="M464" s="4"/>
      <c r="N464" s="2" t="e">
        <f>VLOOKUP(B464,歌单!B:C,2,0)</f>
        <v>#N/A</v>
      </c>
      <c r="O464" s="2">
        <f t="shared" si="11"/>
        <v>1</v>
      </c>
      <c r="P464" t="e">
        <f>VLOOKUP(B464,歌单!B:C,1,0)</f>
        <v>#N/A</v>
      </c>
    </row>
    <row r="465" spans="1:16" ht="15" hidden="1" customHeight="1">
      <c r="A465" s="4" t="s">
        <v>2202</v>
      </c>
      <c r="B465" s="4" t="s">
        <v>2203</v>
      </c>
      <c r="C465" s="4" t="s">
        <v>1675</v>
      </c>
      <c r="D465" s="18"/>
      <c r="E465" s="18">
        <v>0</v>
      </c>
      <c r="F465" s="18">
        <v>0</v>
      </c>
      <c r="G465" s="4" t="s">
        <v>2204</v>
      </c>
      <c r="H465" s="4" t="s">
        <v>2205</v>
      </c>
      <c r="I465" s="5">
        <v>38</v>
      </c>
      <c r="J465" s="4"/>
      <c r="K465" s="4" t="s">
        <v>2203</v>
      </c>
      <c r="L465" s="4">
        <v>29358578</v>
      </c>
      <c r="M465" s="4"/>
      <c r="N465" s="2" t="str">
        <f>VLOOKUP(B465,歌单!B:C,2,0)</f>
        <v>齐豫</v>
      </c>
      <c r="O465" s="2">
        <f t="shared" si="11"/>
        <v>0</v>
      </c>
      <c r="P465" t="str">
        <f>VLOOKUP(B465,歌单!B:C,1,0)</f>
        <v>橄榄树</v>
      </c>
    </row>
    <row r="466" spans="1:16" ht="15" hidden="1" customHeight="1">
      <c r="A466" s="4" t="s">
        <v>2206</v>
      </c>
      <c r="B466" s="4" t="s">
        <v>2207</v>
      </c>
      <c r="C466" s="4" t="s">
        <v>2208</v>
      </c>
      <c r="D466" s="18"/>
      <c r="E466" s="18">
        <v>0</v>
      </c>
      <c r="F466" s="18">
        <v>0</v>
      </c>
      <c r="G466" s="4" t="s">
        <v>2209</v>
      </c>
      <c r="H466" s="4" t="s">
        <v>2210</v>
      </c>
      <c r="I466" s="5">
        <v>34</v>
      </c>
      <c r="J466" s="4"/>
      <c r="K466" s="4" t="s">
        <v>2207</v>
      </c>
      <c r="L466" s="4">
        <v>36546010</v>
      </c>
      <c r="M466" s="4"/>
      <c r="N466" s="2" t="str">
        <f>VLOOKUP(B466,歌单!B:C,2,0)</f>
        <v>叶炫清</v>
      </c>
      <c r="O466" s="2">
        <f t="shared" si="11"/>
        <v>0</v>
      </c>
      <c r="P466" t="str">
        <f>VLOOKUP(B466,歌单!B:C,1,0)</f>
        <v>从前慢</v>
      </c>
    </row>
    <row r="467" spans="1:16" ht="15" hidden="1" customHeight="1">
      <c r="A467" s="32" t="s">
        <v>2211</v>
      </c>
      <c r="B467" s="4" t="s">
        <v>2212</v>
      </c>
      <c r="C467" s="4" t="s">
        <v>2213</v>
      </c>
      <c r="D467" s="18"/>
      <c r="E467" s="18">
        <v>0</v>
      </c>
      <c r="F467" s="18">
        <v>0</v>
      </c>
      <c r="G467" s="4" t="s">
        <v>2214</v>
      </c>
      <c r="H467" s="4" t="s">
        <v>2215</v>
      </c>
      <c r="I467" s="5">
        <v>113</v>
      </c>
      <c r="J467" s="4"/>
      <c r="K467" s="4" t="s">
        <v>2216</v>
      </c>
      <c r="L467" s="4">
        <v>33715343</v>
      </c>
      <c r="M467" s="4"/>
      <c r="N467" s="28" t="str">
        <f>VLOOKUP(B467,歌单!B:C,2,0)</f>
        <v>王若琳</v>
      </c>
      <c r="O467" s="2">
        <f t="shared" si="11"/>
        <v>1</v>
      </c>
      <c r="P467" t="str">
        <f>VLOOKUP(B467,歌单!B:C,1,0)</f>
        <v>亲密爱人</v>
      </c>
    </row>
    <row r="468" spans="1:16" ht="15" hidden="1" customHeight="1">
      <c r="A468" s="4" t="s">
        <v>2217</v>
      </c>
      <c r="B468" s="4" t="s">
        <v>2218</v>
      </c>
      <c r="C468" s="4" t="s">
        <v>2219</v>
      </c>
      <c r="D468" s="18"/>
      <c r="E468" s="18">
        <v>0</v>
      </c>
      <c r="F468" s="18">
        <v>0</v>
      </c>
      <c r="G468" s="4" t="s">
        <v>2220</v>
      </c>
      <c r="H468" s="4" t="s">
        <v>2221</v>
      </c>
      <c r="I468" s="5">
        <v>12330</v>
      </c>
      <c r="J468" s="4"/>
      <c r="K468" s="4" t="s">
        <v>2222</v>
      </c>
      <c r="L468" s="4">
        <v>917329445</v>
      </c>
      <c r="M468" s="4" t="s">
        <v>2040</v>
      </c>
      <c r="N468" s="2" t="e">
        <f>VLOOKUP(B468,歌单!B:C,2,0)</f>
        <v>#N/A</v>
      </c>
      <c r="O468" s="2">
        <f t="shared" si="11"/>
        <v>1</v>
      </c>
      <c r="P468" t="e">
        <f>VLOOKUP(B468,歌单!B:C,1,0)</f>
        <v>#N/A</v>
      </c>
    </row>
    <row r="469" spans="1:16" ht="15" hidden="1" customHeight="1">
      <c r="A469" s="4" t="s">
        <v>2223</v>
      </c>
      <c r="B469" s="4" t="s">
        <v>2224</v>
      </c>
      <c r="C469" s="4" t="s">
        <v>2225</v>
      </c>
      <c r="D469" s="18"/>
      <c r="E469" s="18">
        <v>0</v>
      </c>
      <c r="F469" s="18">
        <v>0</v>
      </c>
      <c r="G469" s="4" t="s">
        <v>2226</v>
      </c>
      <c r="H469" s="4" t="s">
        <v>2227</v>
      </c>
      <c r="I469" s="5">
        <v>635</v>
      </c>
      <c r="J469" s="4" t="s">
        <v>2228</v>
      </c>
      <c r="K469" s="4" t="s">
        <v>2224</v>
      </c>
      <c r="L469" s="4">
        <v>333836783</v>
      </c>
      <c r="M469" s="4"/>
      <c r="N469" s="2" t="str">
        <f>VLOOKUP(B469,歌单!B:C,2,0)</f>
        <v>周笔畅</v>
      </c>
      <c r="O469" s="2">
        <f t="shared" si="11"/>
        <v>0</v>
      </c>
      <c r="P469" t="str">
        <f>VLOOKUP(B469,歌单!B:C,1,0)</f>
        <v>最美的期待</v>
      </c>
    </row>
    <row r="470" spans="1:16" ht="15" hidden="1" customHeight="1">
      <c r="A470" s="4" t="s">
        <v>2229</v>
      </c>
      <c r="B470" s="4" t="s">
        <v>2230</v>
      </c>
      <c r="C470" s="4" t="s">
        <v>227</v>
      </c>
      <c r="D470" s="18"/>
      <c r="E470" s="18">
        <v>0</v>
      </c>
      <c r="F470" s="18">
        <v>0</v>
      </c>
      <c r="G470" s="4" t="s">
        <v>2231</v>
      </c>
      <c r="H470" s="4" t="s">
        <v>2232</v>
      </c>
      <c r="I470" s="5">
        <v>2705</v>
      </c>
      <c r="J470" s="4" t="s">
        <v>2233</v>
      </c>
      <c r="K470" s="4" t="s">
        <v>2230</v>
      </c>
      <c r="L470" s="4">
        <v>420865010</v>
      </c>
      <c r="M470" s="4" t="s">
        <v>2040</v>
      </c>
      <c r="N470" s="2" t="str">
        <f>VLOOKUP(B470,歌单!B:C,2,0)</f>
        <v>王菲</v>
      </c>
      <c r="O470" s="2">
        <f t="shared" si="11"/>
        <v>0</v>
      </c>
      <c r="P470" t="str">
        <f>VLOOKUP(B470,歌单!B:C,1,0)</f>
        <v>匆匆那年</v>
      </c>
    </row>
    <row r="471" spans="1:16" ht="15" hidden="1" customHeight="1">
      <c r="A471" s="4" t="s">
        <v>2234</v>
      </c>
      <c r="B471" s="4" t="s">
        <v>2235</v>
      </c>
      <c r="C471" s="4" t="s">
        <v>2236</v>
      </c>
      <c r="D471" s="18"/>
      <c r="E471" s="18">
        <v>0</v>
      </c>
      <c r="F471" s="18">
        <v>0</v>
      </c>
      <c r="G471" s="4" t="s">
        <v>2237</v>
      </c>
      <c r="H471" s="4"/>
      <c r="I471" s="5">
        <v>74</v>
      </c>
      <c r="J471" s="4"/>
      <c r="K471" s="4" t="s">
        <v>2238</v>
      </c>
      <c r="L471" s="4">
        <v>49986800</v>
      </c>
      <c r="M471" s="4"/>
      <c r="N471" s="2" t="str">
        <f>VLOOKUP(B471,歌单!B:C,2,0)</f>
        <v>戴佩妮</v>
      </c>
      <c r="O471" s="2">
        <f t="shared" si="11"/>
        <v>0</v>
      </c>
      <c r="P471" t="str">
        <f>VLOOKUP(B471,歌单!B:C,1,0)</f>
        <v>你要的爱</v>
      </c>
    </row>
    <row r="472" spans="1:16" ht="15" customHeight="1">
      <c r="A472" s="4" t="s">
        <v>2239</v>
      </c>
      <c r="B472" s="4" t="s">
        <v>2240</v>
      </c>
      <c r="C472" s="4" t="s">
        <v>2241</v>
      </c>
      <c r="D472" s="18"/>
      <c r="E472" s="18">
        <v>0</v>
      </c>
      <c r="F472" s="18">
        <v>0</v>
      </c>
      <c r="G472" s="4" t="s">
        <v>2242</v>
      </c>
      <c r="H472" s="4" t="s">
        <v>2243</v>
      </c>
      <c r="I472" s="5">
        <v>2</v>
      </c>
      <c r="J472" s="4"/>
      <c r="K472" s="4" t="s">
        <v>2244</v>
      </c>
      <c r="L472" s="4">
        <v>397466</v>
      </c>
      <c r="M472" s="4"/>
      <c r="N472" s="2">
        <f>VLOOKUP(B472,歌单!B:C,2,0)</f>
        <v>0</v>
      </c>
      <c r="O472" s="2">
        <f t="shared" si="11"/>
        <v>1</v>
      </c>
      <c r="P472" t="str">
        <f>VLOOKUP(B472,歌单!B:C,1,0)</f>
        <v>梧桐树</v>
      </c>
    </row>
    <row r="473" spans="1:16" ht="15" hidden="1" customHeight="1">
      <c r="A473" s="4" t="s">
        <v>2245</v>
      </c>
      <c r="B473" s="4" t="s">
        <v>2246</v>
      </c>
      <c r="C473" s="4" t="s">
        <v>509</v>
      </c>
      <c r="D473" s="18"/>
      <c r="E473" s="18">
        <v>0</v>
      </c>
      <c r="F473" s="18">
        <v>0</v>
      </c>
      <c r="G473" s="4" t="s">
        <v>2247</v>
      </c>
      <c r="H473" s="4" t="s">
        <v>2248</v>
      </c>
      <c r="I473" s="5">
        <v>88</v>
      </c>
      <c r="J473" s="4" t="s">
        <v>2249</v>
      </c>
      <c r="K473" s="4" t="s">
        <v>2250</v>
      </c>
      <c r="L473" s="4">
        <v>71341082</v>
      </c>
      <c r="M473" s="4"/>
      <c r="N473" s="2" t="str">
        <f>VLOOKUP(B473,歌单!B:C,2,0)</f>
        <v>张韶涵</v>
      </c>
      <c r="O473" s="2">
        <f t="shared" si="11"/>
        <v>0</v>
      </c>
      <c r="P473" t="str">
        <f>VLOOKUP(B473,歌单!B:C,1,0)</f>
        <v>遗失的美好</v>
      </c>
    </row>
    <row r="474" spans="1:16" ht="15" hidden="1" customHeight="1">
      <c r="A474" s="4" t="s">
        <v>2251</v>
      </c>
      <c r="B474" s="4" t="s">
        <v>2252</v>
      </c>
      <c r="C474" s="4" t="s">
        <v>2253</v>
      </c>
      <c r="D474" s="18"/>
      <c r="E474" s="18">
        <v>0</v>
      </c>
      <c r="F474" s="18">
        <v>0</v>
      </c>
      <c r="G474" s="4" t="s">
        <v>2254</v>
      </c>
      <c r="H474" s="4" t="s">
        <v>2255</v>
      </c>
      <c r="I474" s="5">
        <v>0</v>
      </c>
      <c r="J474" s="4"/>
      <c r="K474" s="4" t="s">
        <v>2256</v>
      </c>
      <c r="L474" s="4">
        <v>19888</v>
      </c>
      <c r="M474" s="4"/>
      <c r="N474" s="2" t="e">
        <f>VLOOKUP(B474,歌单!B:C,2,0)</f>
        <v>#N/A</v>
      </c>
      <c r="O474" s="2">
        <f t="shared" si="11"/>
        <v>1</v>
      </c>
      <c r="P474" t="e">
        <f>VLOOKUP(B474,歌单!B:C,1,0)</f>
        <v>#N/A</v>
      </c>
    </row>
    <row r="475" spans="1:16" ht="15" hidden="1" customHeight="1">
      <c r="A475" s="4" t="s">
        <v>2257</v>
      </c>
      <c r="B475" s="4" t="s">
        <v>2258</v>
      </c>
      <c r="C475" s="4" t="s">
        <v>509</v>
      </c>
      <c r="D475" s="18"/>
      <c r="E475" s="18">
        <v>0</v>
      </c>
      <c r="F475" s="18">
        <v>0</v>
      </c>
      <c r="G475" s="4" t="s">
        <v>2259</v>
      </c>
      <c r="H475" s="4" t="s">
        <v>2260</v>
      </c>
      <c r="I475" s="5">
        <v>439</v>
      </c>
      <c r="J475" s="4" t="s">
        <v>2261</v>
      </c>
      <c r="K475" s="4" t="s">
        <v>2262</v>
      </c>
      <c r="L475" s="4">
        <v>189255789</v>
      </c>
      <c r="M475" s="4"/>
      <c r="N475" s="2" t="str">
        <f>VLOOKUP(B475,歌单!B:C,2,0)</f>
        <v>张韶涵</v>
      </c>
      <c r="O475" s="2">
        <f t="shared" si="11"/>
        <v>0</v>
      </c>
      <c r="P475" t="str">
        <f>VLOOKUP(B475,歌单!B:C,1,0)</f>
        <v>亲爱的，那不是爱情</v>
      </c>
    </row>
    <row r="476" spans="1:16" ht="15" hidden="1" customHeight="1">
      <c r="A476" s="4" t="s">
        <v>2263</v>
      </c>
      <c r="B476" s="4" t="s">
        <v>2264</v>
      </c>
      <c r="C476" s="4" t="s">
        <v>2265</v>
      </c>
      <c r="D476" s="18"/>
      <c r="E476" s="18">
        <v>0</v>
      </c>
      <c r="F476" s="18">
        <v>0</v>
      </c>
      <c r="G476" s="4" t="s">
        <v>2266</v>
      </c>
      <c r="H476" s="4" t="s">
        <v>2267</v>
      </c>
      <c r="I476" s="5">
        <v>11</v>
      </c>
      <c r="J476" s="4" t="s">
        <v>2268</v>
      </c>
      <c r="K476" s="4" t="s">
        <v>2269</v>
      </c>
      <c r="L476" s="4">
        <v>2500283</v>
      </c>
      <c r="M476" s="4"/>
      <c r="N476" s="2" t="e">
        <f>VLOOKUP(B476,歌单!B:C,2,0)</f>
        <v>#N/A</v>
      </c>
      <c r="O476" s="2">
        <f t="shared" si="11"/>
        <v>1</v>
      </c>
      <c r="P476" t="e">
        <f>VLOOKUP(B476,歌单!B:C,1,0)</f>
        <v>#N/A</v>
      </c>
    </row>
    <row r="477" spans="1:16" ht="15" customHeight="1">
      <c r="A477" s="4" t="s">
        <v>2270</v>
      </c>
      <c r="B477" s="4" t="s">
        <v>2271</v>
      </c>
      <c r="C477" s="4" t="s">
        <v>2272</v>
      </c>
      <c r="D477" s="18"/>
      <c r="E477" s="18">
        <v>0</v>
      </c>
      <c r="F477" s="18">
        <v>0</v>
      </c>
      <c r="G477" s="4" t="s">
        <v>2273</v>
      </c>
      <c r="H477" s="4" t="s">
        <v>2274</v>
      </c>
      <c r="I477" s="5">
        <v>22</v>
      </c>
      <c r="J477" s="4"/>
      <c r="K477" s="4" t="s">
        <v>2275</v>
      </c>
      <c r="L477" s="4">
        <v>19192935</v>
      </c>
      <c r="M477" s="4"/>
      <c r="N477" s="2">
        <f>VLOOKUP(B477,歌单!B:C,2,0)</f>
        <v>0</v>
      </c>
      <c r="O477" s="2">
        <f t="shared" si="11"/>
        <v>1</v>
      </c>
      <c r="P477" t="str">
        <f>VLOOKUP(B477,歌单!B:C,1,0)</f>
        <v>心如刀割</v>
      </c>
    </row>
    <row r="478" spans="1:16" ht="15" hidden="1" customHeight="1">
      <c r="A478" s="4" t="s">
        <v>2276</v>
      </c>
      <c r="B478" s="4" t="s">
        <v>2277</v>
      </c>
      <c r="C478" s="4" t="s">
        <v>524</v>
      </c>
      <c r="D478" s="18"/>
      <c r="E478" s="18">
        <v>0</v>
      </c>
      <c r="F478" s="18">
        <v>0</v>
      </c>
      <c r="G478" s="4" t="s">
        <v>2278</v>
      </c>
      <c r="H478" s="4" t="s">
        <v>2279</v>
      </c>
      <c r="I478" s="5">
        <v>2605</v>
      </c>
      <c r="J478" s="4" t="s">
        <v>2280</v>
      </c>
      <c r="K478" s="4" t="s">
        <v>2281</v>
      </c>
      <c r="L478" s="4">
        <v>366858722</v>
      </c>
      <c r="M478" s="4"/>
      <c r="N478" s="2" t="str">
        <f>VLOOKUP(B478,歌单!B:C,2,0)</f>
        <v>田馥甄</v>
      </c>
      <c r="O478" s="2">
        <f t="shared" si="11"/>
        <v>0</v>
      </c>
      <c r="P478" t="str">
        <f>VLOOKUP(B478,歌单!B:C,1,0)</f>
        <v>小幸运</v>
      </c>
    </row>
    <row r="479" spans="1:16" ht="15" hidden="1" customHeight="1">
      <c r="A479" s="4" t="s">
        <v>2282</v>
      </c>
      <c r="B479" s="4" t="s">
        <v>2283</v>
      </c>
      <c r="C479" s="4" t="s">
        <v>227</v>
      </c>
      <c r="D479" s="18"/>
      <c r="E479" s="18">
        <v>0</v>
      </c>
      <c r="F479" s="18">
        <v>0</v>
      </c>
      <c r="G479" s="4" t="s">
        <v>2284</v>
      </c>
      <c r="H479" s="4" t="s">
        <v>2285</v>
      </c>
      <c r="I479" s="5">
        <v>906</v>
      </c>
      <c r="J479" s="4"/>
      <c r="K479" s="4" t="s">
        <v>2286</v>
      </c>
      <c r="L479" s="4">
        <v>156411344</v>
      </c>
      <c r="M479" s="4"/>
      <c r="N479" s="2" t="str">
        <f>VLOOKUP(B479,歌单!B:C,2,0)</f>
        <v>王菲</v>
      </c>
      <c r="O479" s="2">
        <f t="shared" si="11"/>
        <v>0</v>
      </c>
      <c r="P479" t="str">
        <f>VLOOKUP(B479,歌单!B:C,1,0)</f>
        <v>红豆</v>
      </c>
    </row>
    <row r="480" spans="1:16" ht="15" hidden="1" customHeight="1">
      <c r="A480" s="4" t="s">
        <v>2287</v>
      </c>
      <c r="B480" s="4" t="s">
        <v>2288</v>
      </c>
      <c r="C480" s="4" t="s">
        <v>2289</v>
      </c>
      <c r="D480" s="18"/>
      <c r="E480" s="18">
        <v>0</v>
      </c>
      <c r="F480" s="18">
        <v>0</v>
      </c>
      <c r="G480" s="4" t="s">
        <v>2290</v>
      </c>
      <c r="H480" s="4" t="s">
        <v>2291</v>
      </c>
      <c r="I480" s="5">
        <v>4675</v>
      </c>
      <c r="J480" s="4" t="s">
        <v>2292</v>
      </c>
      <c r="K480" s="4" t="s">
        <v>2288</v>
      </c>
      <c r="L480" s="4">
        <v>1654225376</v>
      </c>
      <c r="M480" s="4"/>
      <c r="N480" s="2" t="str">
        <f>VLOOKUP(B480,歌单!B:C,2,0)</f>
        <v>阿肆</v>
      </c>
      <c r="O480" s="2">
        <f t="shared" si="11"/>
        <v>0</v>
      </c>
      <c r="P480" t="str">
        <f>VLOOKUP(B480,歌单!B:C,1,0)</f>
        <v>热爱105°C的你</v>
      </c>
    </row>
    <row r="481" spans="1:16" ht="15" hidden="1" customHeight="1">
      <c r="A481" s="32" t="s">
        <v>2293</v>
      </c>
      <c r="B481" s="4" t="s">
        <v>2294</v>
      </c>
      <c r="C481" s="4" t="s">
        <v>1372</v>
      </c>
      <c r="D481" s="18"/>
      <c r="E481" s="18">
        <v>0</v>
      </c>
      <c r="F481" s="18">
        <v>0</v>
      </c>
      <c r="G481" s="4" t="s">
        <v>2295</v>
      </c>
      <c r="H481" s="4" t="s">
        <v>2296</v>
      </c>
      <c r="I481" s="5">
        <v>158</v>
      </c>
      <c r="J481" s="4"/>
      <c r="K481" s="4" t="s">
        <v>2297</v>
      </c>
      <c r="L481" s="4">
        <v>29528093</v>
      </c>
      <c r="M481" s="4"/>
      <c r="N481" s="30" t="str">
        <f>VLOOKUP(B481,歌单!B:C,2,0)</f>
        <v>韦唯</v>
      </c>
      <c r="O481" s="2">
        <f t="shared" si="11"/>
        <v>1</v>
      </c>
      <c r="P481" t="str">
        <f>VLOOKUP(B481,歌单!B:C,1,0)</f>
        <v>爱我中华</v>
      </c>
    </row>
    <row r="482" spans="1:16" ht="15" hidden="1" customHeight="1">
      <c r="A482" s="4" t="s">
        <v>2298</v>
      </c>
      <c r="B482" s="4" t="s">
        <v>2299</v>
      </c>
      <c r="C482" s="4" t="s">
        <v>2300</v>
      </c>
      <c r="D482" s="18"/>
      <c r="E482" s="18">
        <v>0</v>
      </c>
      <c r="F482" s="18">
        <v>0</v>
      </c>
      <c r="G482" s="4" t="s">
        <v>2301</v>
      </c>
      <c r="H482" s="4" t="s">
        <v>2302</v>
      </c>
      <c r="I482" s="5">
        <v>144</v>
      </c>
      <c r="J482" s="4"/>
      <c r="K482" s="4" t="s">
        <v>2303</v>
      </c>
      <c r="L482" s="4">
        <v>96242509</v>
      </c>
      <c r="M482" s="4"/>
      <c r="N482" s="2" t="str">
        <f>VLOOKUP(B482,歌单!B:C,2,0)</f>
        <v>彭羚</v>
      </c>
      <c r="O482" s="2">
        <f t="shared" si="11"/>
        <v>0</v>
      </c>
      <c r="P482" t="str">
        <f>VLOOKUP(B482,歌单!B:C,1,0)</f>
        <v>囚鸟</v>
      </c>
    </row>
    <row r="483" spans="1:16" ht="15" hidden="1" customHeight="1">
      <c r="A483" s="32" t="s">
        <v>2304</v>
      </c>
      <c r="B483" s="4" t="s">
        <v>625</v>
      </c>
      <c r="C483" s="4" t="s">
        <v>2305</v>
      </c>
      <c r="D483" s="18"/>
      <c r="E483" s="18">
        <v>0</v>
      </c>
      <c r="F483" s="18">
        <v>0</v>
      </c>
      <c r="G483" s="4" t="s">
        <v>2306</v>
      </c>
      <c r="H483" s="4" t="s">
        <v>2307</v>
      </c>
      <c r="I483" s="5">
        <v>31</v>
      </c>
      <c r="J483" s="4"/>
      <c r="K483" s="4" t="s">
        <v>2308</v>
      </c>
      <c r="L483" s="4">
        <v>20136844</v>
      </c>
      <c r="M483" s="4"/>
      <c r="N483" s="31" t="s">
        <v>626</v>
      </c>
      <c r="O483" s="2">
        <f t="shared" si="11"/>
        <v>1</v>
      </c>
      <c r="P483" t="str">
        <f>VLOOKUP(B483,歌单!B:C,1,0)</f>
        <v>起风了</v>
      </c>
    </row>
    <row r="484" spans="1:16" ht="15" customHeight="1">
      <c r="A484" s="4" t="s">
        <v>2309</v>
      </c>
      <c r="B484" s="4" t="s">
        <v>2310</v>
      </c>
      <c r="C484" s="4" t="s">
        <v>2311</v>
      </c>
      <c r="D484" s="18"/>
      <c r="E484" s="18">
        <v>0</v>
      </c>
      <c r="F484" s="18">
        <v>0</v>
      </c>
      <c r="G484" s="4" t="s">
        <v>2312</v>
      </c>
      <c r="H484" s="4" t="s">
        <v>2313</v>
      </c>
      <c r="I484" s="5">
        <v>162</v>
      </c>
      <c r="J484" s="4" t="s">
        <v>2314</v>
      </c>
      <c r="K484" s="4" t="s">
        <v>2315</v>
      </c>
      <c r="L484" s="4">
        <v>62884699</v>
      </c>
      <c r="M484" s="4"/>
      <c r="N484" s="2">
        <f>VLOOKUP(B484,歌单!B:C,2,0)</f>
        <v>0</v>
      </c>
      <c r="O484" s="2">
        <f t="shared" si="11"/>
        <v>1</v>
      </c>
      <c r="P484" t="str">
        <f>VLOOKUP(B484,歌单!B:C,1,0)</f>
        <v>梁山伯与茱丽叶</v>
      </c>
    </row>
    <row r="485" spans="1:16" ht="15" hidden="1" customHeight="1">
      <c r="A485" s="4" t="s">
        <v>2316</v>
      </c>
      <c r="B485" s="4" t="s">
        <v>2317</v>
      </c>
      <c r="C485" s="4" t="s">
        <v>1783</v>
      </c>
      <c r="D485" s="18"/>
      <c r="E485" s="18">
        <v>0</v>
      </c>
      <c r="F485" s="18">
        <v>0</v>
      </c>
      <c r="G485" s="4" t="s">
        <v>2318</v>
      </c>
      <c r="H485" s="4" t="s">
        <v>2319</v>
      </c>
      <c r="I485" s="5">
        <v>0</v>
      </c>
      <c r="J485" s="4"/>
      <c r="K485" s="4" t="s">
        <v>2320</v>
      </c>
      <c r="L485" s="4">
        <v>255036</v>
      </c>
      <c r="M485" s="4"/>
      <c r="N485" s="2" t="e">
        <f>VLOOKUP(B485,歌单!B:C,2,0)</f>
        <v>#N/A</v>
      </c>
      <c r="O485" s="2">
        <f t="shared" si="11"/>
        <v>1</v>
      </c>
      <c r="P485" t="e">
        <f>VLOOKUP(B485,歌单!B:C,1,0)</f>
        <v>#N/A</v>
      </c>
    </row>
    <row r="486" spans="1:16" ht="15" hidden="1" customHeight="1">
      <c r="A486" s="4" t="s">
        <v>2321</v>
      </c>
      <c r="B486" s="4" t="s">
        <v>2322</v>
      </c>
      <c r="C486" s="4" t="s">
        <v>2323</v>
      </c>
      <c r="D486" s="18"/>
      <c r="E486" s="18">
        <v>0</v>
      </c>
      <c r="F486" s="18">
        <v>0</v>
      </c>
      <c r="G486" s="4" t="s">
        <v>2324</v>
      </c>
      <c r="H486" s="4" t="s">
        <v>2325</v>
      </c>
      <c r="I486" s="5">
        <v>185</v>
      </c>
      <c r="J486" s="4"/>
      <c r="K486" s="4" t="s">
        <v>2326</v>
      </c>
      <c r="L486" s="4">
        <v>91894714</v>
      </c>
      <c r="M486" s="4"/>
      <c r="N486" s="2" t="str">
        <f>VLOOKUP(B486,歌单!B:C,2,0)</f>
        <v>张悬</v>
      </c>
      <c r="O486" s="2">
        <f t="shared" si="11"/>
        <v>0</v>
      </c>
      <c r="P486" t="str">
        <f>VLOOKUP(B486,歌单!B:C,1,0)</f>
        <v>宝贝</v>
      </c>
    </row>
    <row r="487" spans="1:16" ht="15" hidden="1" customHeight="1">
      <c r="A487" s="4" t="s">
        <v>2327</v>
      </c>
      <c r="B487" s="4" t="s">
        <v>2328</v>
      </c>
      <c r="C487" s="4" t="s">
        <v>360</v>
      </c>
      <c r="D487" s="18"/>
      <c r="E487" s="18">
        <v>0</v>
      </c>
      <c r="F487" s="18">
        <v>0</v>
      </c>
      <c r="G487" s="4" t="s">
        <v>2329</v>
      </c>
      <c r="H487" s="4" t="s">
        <v>2330</v>
      </c>
      <c r="I487" s="5">
        <v>0</v>
      </c>
      <c r="J487" s="4"/>
      <c r="K487" s="4" t="s">
        <v>2331</v>
      </c>
      <c r="L487" s="4">
        <v>1500926</v>
      </c>
      <c r="M487" s="4"/>
      <c r="N487" s="2" t="str">
        <f>VLOOKUP(B487,歌单!B:C,2,0)</f>
        <v>张碧晨</v>
      </c>
      <c r="O487" s="2">
        <f t="shared" si="11"/>
        <v>0</v>
      </c>
      <c r="P487" t="str">
        <f>VLOOKUP(B487,歌单!B:C,1,0)</f>
        <v>时间有泪</v>
      </c>
    </row>
    <row r="488" spans="1:16" ht="15" hidden="1" customHeight="1">
      <c r="A488" s="4" t="s">
        <v>2332</v>
      </c>
      <c r="B488" s="4" t="s">
        <v>2333</v>
      </c>
      <c r="C488" s="4" t="s">
        <v>2334</v>
      </c>
      <c r="D488" s="18"/>
      <c r="E488" s="18">
        <v>0</v>
      </c>
      <c r="F488" s="18">
        <v>0</v>
      </c>
      <c r="G488" s="4" t="s">
        <v>2335</v>
      </c>
      <c r="H488" s="4" t="s">
        <v>2336</v>
      </c>
      <c r="I488" s="5">
        <v>380</v>
      </c>
      <c r="J488" s="4"/>
      <c r="K488" s="4" t="s">
        <v>2334</v>
      </c>
      <c r="L488" s="4">
        <v>45262675</v>
      </c>
      <c r="M488" s="4"/>
      <c r="N488" s="2" t="e">
        <f>VLOOKUP(B488,歌单!B:C,2,0)</f>
        <v>#N/A</v>
      </c>
      <c r="O488" s="2">
        <f t="shared" si="11"/>
        <v>1</v>
      </c>
      <c r="P488" t="e">
        <f>VLOOKUP(B488,歌单!B:C,1,0)</f>
        <v>#N/A</v>
      </c>
    </row>
    <row r="489" spans="1:16" ht="15" customHeight="1">
      <c r="A489" s="4" t="s">
        <v>2337</v>
      </c>
      <c r="B489" s="4" t="s">
        <v>2338</v>
      </c>
      <c r="C489" s="4" t="s">
        <v>2339</v>
      </c>
      <c r="D489" s="18"/>
      <c r="E489" s="18">
        <v>0</v>
      </c>
      <c r="F489" s="18">
        <v>0</v>
      </c>
      <c r="G489" s="4" t="s">
        <v>2340</v>
      </c>
      <c r="H489" s="4"/>
      <c r="I489" s="5">
        <v>3861</v>
      </c>
      <c r="J489" s="4"/>
      <c r="K489" s="4" t="s">
        <v>2338</v>
      </c>
      <c r="L489" s="4">
        <v>137998736</v>
      </c>
      <c r="M489" s="4"/>
      <c r="N489" s="2">
        <f>VLOOKUP(B489,歌单!B:C,2,0)</f>
        <v>0</v>
      </c>
      <c r="O489" s="2">
        <f t="shared" si="11"/>
        <v>1</v>
      </c>
      <c r="P489" t="str">
        <f>VLOOKUP(B489,歌单!B:C,1,0)</f>
        <v>我的悲伤是水做的</v>
      </c>
    </row>
    <row r="490" spans="1:16" ht="15" hidden="1" customHeight="1">
      <c r="A490" s="4" t="s">
        <v>2341</v>
      </c>
      <c r="B490" s="4" t="s">
        <v>2342</v>
      </c>
      <c r="C490" s="4" t="s">
        <v>2343</v>
      </c>
      <c r="D490" s="18"/>
      <c r="E490" s="18">
        <v>0</v>
      </c>
      <c r="F490" s="18">
        <v>0</v>
      </c>
      <c r="G490" s="4" t="s">
        <v>2344</v>
      </c>
      <c r="H490" s="4" t="s">
        <v>2345</v>
      </c>
      <c r="I490" s="5">
        <v>2</v>
      </c>
      <c r="J490" s="4"/>
      <c r="K490" s="4" t="s">
        <v>2346</v>
      </c>
      <c r="L490" s="4">
        <v>169285</v>
      </c>
      <c r="M490" s="4"/>
      <c r="N490" s="2" t="e">
        <f>VLOOKUP(B490,歌单!B:C,2,0)</f>
        <v>#N/A</v>
      </c>
      <c r="O490" s="2">
        <f t="shared" si="11"/>
        <v>1</v>
      </c>
      <c r="P490" t="e">
        <f>VLOOKUP(B490,歌单!B:C,1,0)</f>
        <v>#N/A</v>
      </c>
    </row>
    <row r="491" spans="1:16" ht="15" hidden="1" customHeight="1">
      <c r="A491" s="4" t="s">
        <v>2347</v>
      </c>
      <c r="B491" s="4" t="s">
        <v>2348</v>
      </c>
      <c r="C491" s="4" t="s">
        <v>2349</v>
      </c>
      <c r="D491" s="18"/>
      <c r="E491" s="18">
        <v>0</v>
      </c>
      <c r="F491" s="18">
        <v>0</v>
      </c>
      <c r="G491" s="4" t="s">
        <v>2350</v>
      </c>
      <c r="H491" s="4"/>
      <c r="I491" s="5">
        <v>13</v>
      </c>
      <c r="J491" s="4"/>
      <c r="K491" s="4"/>
      <c r="L491" s="4">
        <v>1301647</v>
      </c>
      <c r="M491" s="4"/>
      <c r="N491" s="2" t="e">
        <f>VLOOKUP(B491,歌单!B:C,2,0)</f>
        <v>#N/A</v>
      </c>
      <c r="O491" s="2">
        <f t="shared" si="11"/>
        <v>1</v>
      </c>
      <c r="P491" t="e">
        <f>VLOOKUP(B491,歌单!B:C,1,0)</f>
        <v>#N/A</v>
      </c>
    </row>
    <row r="492" spans="1:16" ht="15" hidden="1" customHeight="1">
      <c r="A492" s="4" t="s">
        <v>2351</v>
      </c>
      <c r="B492" s="4" t="s">
        <v>2352</v>
      </c>
      <c r="C492" s="4" t="s">
        <v>2353</v>
      </c>
      <c r="D492" s="18"/>
      <c r="E492" s="18">
        <v>0</v>
      </c>
      <c r="F492" s="18">
        <v>0</v>
      </c>
      <c r="G492" s="4" t="s">
        <v>2354</v>
      </c>
      <c r="H492" s="4" t="s">
        <v>2355</v>
      </c>
      <c r="I492" s="5">
        <v>383</v>
      </c>
      <c r="J492" s="4" t="s">
        <v>2356</v>
      </c>
      <c r="K492" s="4" t="s">
        <v>2357</v>
      </c>
      <c r="L492" s="4">
        <v>184271216</v>
      </c>
      <c r="M492" s="4"/>
      <c r="N492" s="2" t="str">
        <f>VLOOKUP(B492,歌单!B:C,2,0)</f>
        <v>娃娃</v>
      </c>
      <c r="O492" s="2">
        <f t="shared" si="11"/>
        <v>0</v>
      </c>
      <c r="P492" t="str">
        <f>VLOOKUP(B492,歌单!B:C,1,0)</f>
        <v>漂洋过海来看你</v>
      </c>
    </row>
    <row r="493" spans="1:16" ht="15" hidden="1" customHeight="1">
      <c r="A493" s="4" t="s">
        <v>2358</v>
      </c>
      <c r="B493" s="4" t="s">
        <v>2359</v>
      </c>
      <c r="C493" s="4" t="s">
        <v>2272</v>
      </c>
      <c r="D493" s="18"/>
      <c r="E493" s="18">
        <v>0</v>
      </c>
      <c r="F493" s="18">
        <v>0</v>
      </c>
      <c r="G493" s="4" t="s">
        <v>2360</v>
      </c>
      <c r="H493" s="4" t="s">
        <v>2361</v>
      </c>
      <c r="I493" s="5">
        <v>45</v>
      </c>
      <c r="J493" s="4"/>
      <c r="K493" s="4" t="s">
        <v>2362</v>
      </c>
      <c r="L493" s="4">
        <v>4556693</v>
      </c>
      <c r="M493" s="4"/>
      <c r="N493" s="2" t="e">
        <f>VLOOKUP(B493,歌单!B:C,2,0)</f>
        <v>#N/A</v>
      </c>
      <c r="O493" s="2">
        <f t="shared" si="11"/>
        <v>1</v>
      </c>
      <c r="P493" t="e">
        <f>VLOOKUP(B493,歌单!B:C,1,0)</f>
        <v>#N/A</v>
      </c>
    </row>
    <row r="494" spans="1:16" ht="15" hidden="1" customHeight="1">
      <c r="A494" s="4" t="s">
        <v>2363</v>
      </c>
      <c r="B494" s="4" t="s">
        <v>2364</v>
      </c>
      <c r="C494" s="4" t="s">
        <v>884</v>
      </c>
      <c r="D494" s="18"/>
      <c r="E494" s="18">
        <v>10</v>
      </c>
      <c r="F494" s="18">
        <v>2</v>
      </c>
      <c r="G494" s="4" t="s">
        <v>2365</v>
      </c>
      <c r="H494" s="4" t="s">
        <v>2366</v>
      </c>
      <c r="I494" s="5">
        <v>973</v>
      </c>
      <c r="J494" s="4" t="s">
        <v>2367</v>
      </c>
      <c r="K494" s="4" t="s">
        <v>2368</v>
      </c>
      <c r="L494" s="4">
        <v>120276397</v>
      </c>
      <c r="M494" s="4"/>
      <c r="N494" s="2" t="str">
        <f>VLOOKUP(B494,歌单!B:C,2,0)</f>
        <v>王心凌</v>
      </c>
      <c r="O494" s="2">
        <f t="shared" si="11"/>
        <v>0</v>
      </c>
      <c r="P494" t="str">
        <f>VLOOKUP(B494,歌单!B:C,1,0)</f>
        <v>第一次爱的人</v>
      </c>
    </row>
    <row r="495" spans="1:16" ht="15" customHeight="1">
      <c r="A495" s="4" t="s">
        <v>2369</v>
      </c>
      <c r="B495" s="4" t="s">
        <v>2370</v>
      </c>
      <c r="C495" s="4" t="s">
        <v>884</v>
      </c>
      <c r="D495" s="18"/>
      <c r="E495" s="18">
        <v>12</v>
      </c>
      <c r="F495" s="18">
        <v>3</v>
      </c>
      <c r="G495" s="4" t="s">
        <v>2371</v>
      </c>
      <c r="H495" s="4" t="s">
        <v>2372</v>
      </c>
      <c r="I495" s="5">
        <v>595</v>
      </c>
      <c r="J495" s="4"/>
      <c r="K495" s="4" t="s">
        <v>2373</v>
      </c>
      <c r="L495" s="4">
        <v>51089154</v>
      </c>
      <c r="M495" s="4"/>
      <c r="N495" s="2">
        <f>VLOOKUP(B495,歌单!B:C,2,0)</f>
        <v>0</v>
      </c>
      <c r="O495" s="2">
        <f t="shared" si="11"/>
        <v>1</v>
      </c>
      <c r="P495" t="str">
        <f>VLOOKUP(B495,歌单!B:C,1,0)</f>
        <v>黄昏晓</v>
      </c>
    </row>
    <row r="496" spans="1:16" ht="15" hidden="1" customHeight="1">
      <c r="A496" s="4" t="s">
        <v>2374</v>
      </c>
      <c r="B496" s="4" t="s">
        <v>2375</v>
      </c>
      <c r="C496" s="4" t="s">
        <v>884</v>
      </c>
      <c r="D496" s="18"/>
      <c r="E496" s="18">
        <v>11</v>
      </c>
      <c r="F496" s="18">
        <v>3</v>
      </c>
      <c r="G496" s="4" t="s">
        <v>2376</v>
      </c>
      <c r="H496" s="4" t="s">
        <v>2377</v>
      </c>
      <c r="I496" s="5">
        <v>328</v>
      </c>
      <c r="J496" s="4"/>
      <c r="K496" s="4" t="s">
        <v>2378</v>
      </c>
      <c r="L496" s="4">
        <v>26340486</v>
      </c>
      <c r="M496" s="4" t="s">
        <v>747</v>
      </c>
      <c r="N496" s="2" t="str">
        <f>VLOOKUP(B496,歌单!B:C,2,0)</f>
        <v>王心凌</v>
      </c>
      <c r="O496" s="2">
        <f t="shared" si="11"/>
        <v>0</v>
      </c>
      <c r="P496" t="str">
        <f>VLOOKUP(B496,歌单!B:C,1,0)</f>
        <v>那年夏天宁静的海</v>
      </c>
    </row>
    <row r="497" spans="1:16" ht="15" customHeight="1">
      <c r="A497" s="4" t="s">
        <v>2379</v>
      </c>
      <c r="B497" s="4" t="s">
        <v>2380</v>
      </c>
      <c r="C497" s="4" t="s">
        <v>884</v>
      </c>
      <c r="D497" s="18"/>
      <c r="E497" s="18">
        <v>13</v>
      </c>
      <c r="F497" s="18">
        <v>0</v>
      </c>
      <c r="G497" s="4" t="s">
        <v>2381</v>
      </c>
      <c r="H497" s="4" t="s">
        <v>2382</v>
      </c>
      <c r="I497" s="5">
        <v>1272</v>
      </c>
      <c r="J497" s="4"/>
      <c r="K497" s="4" t="s">
        <v>2383</v>
      </c>
      <c r="L497" s="4">
        <v>168084644</v>
      </c>
      <c r="M497" s="4"/>
      <c r="N497" s="2">
        <f>VLOOKUP(B497,歌单!B:C,2,0)</f>
        <v>0</v>
      </c>
      <c r="O497" s="2">
        <f t="shared" si="11"/>
        <v>1</v>
      </c>
      <c r="P497" t="str">
        <f>VLOOKUP(B497,歌单!B:C,1,0)</f>
        <v>睫毛弯弯</v>
      </c>
    </row>
    <row r="498" spans="1:16" ht="15" hidden="1" customHeight="1">
      <c r="A498" s="4" t="s">
        <v>2384</v>
      </c>
      <c r="B498" s="4" t="s">
        <v>2385</v>
      </c>
      <c r="C498" s="4" t="s">
        <v>884</v>
      </c>
      <c r="D498" s="18"/>
      <c r="E498" s="18">
        <v>0</v>
      </c>
      <c r="F498" s="18">
        <v>0</v>
      </c>
      <c r="G498" s="4" t="s">
        <v>2386</v>
      </c>
      <c r="H498" s="4" t="s">
        <v>2387</v>
      </c>
      <c r="I498" s="5">
        <v>30</v>
      </c>
      <c r="J498" s="4" t="s">
        <v>2388</v>
      </c>
      <c r="K498" s="4" t="s">
        <v>2389</v>
      </c>
      <c r="L498" s="4">
        <v>19482999</v>
      </c>
      <c r="M498" s="4"/>
      <c r="N498" s="2" t="e">
        <f>VLOOKUP(B498,歌单!B:C,2,0)</f>
        <v>#N/A</v>
      </c>
      <c r="O498" s="2">
        <f t="shared" si="11"/>
        <v>1</v>
      </c>
      <c r="P498" t="e">
        <f>VLOOKUP(B498,歌单!B:C,1,0)</f>
        <v>#N/A</v>
      </c>
    </row>
    <row r="499" spans="1:16" ht="15" hidden="1" customHeight="1">
      <c r="A499" s="4" t="s">
        <v>2390</v>
      </c>
      <c r="B499" s="4" t="s">
        <v>2391</v>
      </c>
      <c r="C499" s="4" t="s">
        <v>884</v>
      </c>
      <c r="D499" s="18"/>
      <c r="E499" s="18">
        <v>10</v>
      </c>
      <c r="F499" s="18">
        <v>6</v>
      </c>
      <c r="G499" s="4" t="s">
        <v>2392</v>
      </c>
      <c r="H499" s="4" t="s">
        <v>2393</v>
      </c>
      <c r="I499" s="5">
        <v>680</v>
      </c>
      <c r="J499" s="4"/>
      <c r="K499" s="4" t="s">
        <v>2373</v>
      </c>
      <c r="L499" s="4">
        <v>184836616</v>
      </c>
      <c r="M499" s="4" t="s">
        <v>1507</v>
      </c>
      <c r="N499" s="2" t="e">
        <f>VLOOKUP(B499,歌单!B:C,2,0)</f>
        <v>#N/A</v>
      </c>
      <c r="O499" s="2">
        <f t="shared" si="11"/>
        <v>1</v>
      </c>
      <c r="P499" t="e">
        <f>VLOOKUP(B499,歌单!B:C,1,0)</f>
        <v>#N/A</v>
      </c>
    </row>
    <row r="500" spans="1:16" ht="15" hidden="1" customHeight="1">
      <c r="A500" s="32" t="s">
        <v>2394</v>
      </c>
      <c r="B500" s="4" t="s">
        <v>2395</v>
      </c>
      <c r="C500" s="4" t="s">
        <v>154</v>
      </c>
      <c r="D500" s="18"/>
      <c r="E500" s="18">
        <v>0</v>
      </c>
      <c r="F500" s="18">
        <v>0</v>
      </c>
      <c r="G500" s="4" t="s">
        <v>2396</v>
      </c>
      <c r="H500" s="4" t="s">
        <v>2397</v>
      </c>
      <c r="I500" s="5">
        <v>842</v>
      </c>
      <c r="J500" s="4"/>
      <c r="K500" s="4" t="s">
        <v>158</v>
      </c>
      <c r="L500" s="4">
        <v>354965188</v>
      </c>
      <c r="M500" s="4"/>
      <c r="N500" s="28" t="str">
        <f>VLOOKUP(B500,歌单!B:C,2,0)</f>
        <v>林俊杰</v>
      </c>
      <c r="O500" s="2">
        <f t="shared" si="11"/>
        <v>1</v>
      </c>
      <c r="P500" t="str">
        <f>VLOOKUP(B500,歌单!B:C,1,0)</f>
        <v>美人鱼</v>
      </c>
    </row>
    <row r="501" spans="1:16" ht="15" hidden="1" customHeight="1">
      <c r="A501" s="4" t="s">
        <v>2398</v>
      </c>
      <c r="B501" s="4" t="s">
        <v>2399</v>
      </c>
      <c r="C501" s="4" t="s">
        <v>2400</v>
      </c>
      <c r="D501" s="18"/>
      <c r="E501" s="18">
        <v>0</v>
      </c>
      <c r="F501" s="18">
        <v>0</v>
      </c>
      <c r="G501" s="4" t="s">
        <v>2401</v>
      </c>
      <c r="H501" s="4" t="s">
        <v>2402</v>
      </c>
      <c r="I501" s="5">
        <v>2419</v>
      </c>
      <c r="J501" s="4"/>
      <c r="K501" s="4" t="s">
        <v>2178</v>
      </c>
      <c r="L501" s="4">
        <v>649378790</v>
      </c>
      <c r="M501" s="4" t="s">
        <v>1224</v>
      </c>
      <c r="N501" s="2" t="str">
        <f>VLOOKUP(B501,歌单!B:C,2,0)</f>
        <v>汪苏泷</v>
      </c>
      <c r="O501" s="2">
        <f t="shared" si="11"/>
        <v>0</v>
      </c>
      <c r="P501" t="str">
        <f>VLOOKUP(B501,歌单!B:C,1,0)</f>
        <v>一笑倾城</v>
      </c>
    </row>
    <row r="502" spans="1:16" ht="15" hidden="1" customHeight="1">
      <c r="A502" s="32" t="s">
        <v>2403</v>
      </c>
      <c r="B502" s="4" t="s">
        <v>2404</v>
      </c>
      <c r="C502" s="4" t="s">
        <v>2405</v>
      </c>
      <c r="D502" s="18"/>
      <c r="E502" s="18">
        <v>0</v>
      </c>
      <c r="F502" s="18">
        <v>0</v>
      </c>
      <c r="G502" s="4" t="s">
        <v>2406</v>
      </c>
      <c r="H502" s="4" t="s">
        <v>2407</v>
      </c>
      <c r="I502" s="5">
        <v>2629</v>
      </c>
      <c r="J502" s="4" t="s">
        <v>2408</v>
      </c>
      <c r="K502" s="4" t="s">
        <v>2409</v>
      </c>
      <c r="L502" s="4">
        <v>838584003</v>
      </c>
      <c r="M502" s="4"/>
      <c r="N502" s="28" t="str">
        <f>VLOOKUP(B502,歌单!B:C,2,0)</f>
        <v>BY2/汪苏泷</v>
      </c>
      <c r="O502" s="2">
        <f t="shared" si="11"/>
        <v>1</v>
      </c>
      <c r="P502" t="str">
        <f>VLOOKUP(B502,歌单!B:C,1,0)</f>
        <v>有点甜</v>
      </c>
    </row>
    <row r="503" spans="1:16" ht="15" hidden="1" customHeight="1">
      <c r="A503" s="4" t="s">
        <v>2410</v>
      </c>
      <c r="B503" s="4" t="s">
        <v>2411</v>
      </c>
      <c r="C503" s="4" t="s">
        <v>1971</v>
      </c>
      <c r="D503" s="18"/>
      <c r="E503" s="18">
        <v>0</v>
      </c>
      <c r="F503" s="18">
        <v>0</v>
      </c>
      <c r="G503" s="4" t="s">
        <v>2412</v>
      </c>
      <c r="H503" s="4"/>
      <c r="I503" s="5">
        <v>111</v>
      </c>
      <c r="J503" s="4"/>
      <c r="K503" s="4" t="s">
        <v>2411</v>
      </c>
      <c r="L503" s="4">
        <v>87200383</v>
      </c>
      <c r="M503" s="4"/>
      <c r="N503" s="2" t="str">
        <f>VLOOKUP(B503,歌单!B:C,2,0)</f>
        <v>林俊杰</v>
      </c>
      <c r="O503" s="2">
        <f t="shared" si="11"/>
        <v>0</v>
      </c>
      <c r="P503" t="str">
        <f>VLOOKUP(B503,歌单!B:C,1,0)</f>
        <v>期待爱</v>
      </c>
    </row>
    <row r="504" spans="1:16" ht="15" hidden="1" customHeight="1">
      <c r="A504" s="4" t="s">
        <v>2413</v>
      </c>
      <c r="B504" s="4" t="s">
        <v>2414</v>
      </c>
      <c r="C504" s="4" t="s">
        <v>679</v>
      </c>
      <c r="D504" s="18"/>
      <c r="E504" s="18">
        <v>0</v>
      </c>
      <c r="F504" s="18">
        <v>0</v>
      </c>
      <c r="G504" s="4" t="s">
        <v>2415</v>
      </c>
      <c r="H504" s="4" t="s">
        <v>2416</v>
      </c>
      <c r="I504" s="5">
        <v>3</v>
      </c>
      <c r="J504" s="4"/>
      <c r="K504" s="4" t="s">
        <v>2417</v>
      </c>
      <c r="L504" s="4">
        <v>248294</v>
      </c>
      <c r="M504" s="4"/>
      <c r="N504" s="2" t="str">
        <f>VLOOKUP(B504,歌单!B:C,2,0)</f>
        <v>林俊杰</v>
      </c>
      <c r="O504" s="2">
        <f t="shared" si="11"/>
        <v>0</v>
      </c>
      <c r="P504" t="str">
        <f>VLOOKUP(B504,歌单!B:C,1,0)</f>
        <v>爱笑的眼睛</v>
      </c>
    </row>
    <row r="505" spans="1:16" ht="15" hidden="1" customHeight="1">
      <c r="A505" s="32" t="s">
        <v>2418</v>
      </c>
      <c r="B505" s="4" t="s">
        <v>2419</v>
      </c>
      <c r="C505" s="4" t="s">
        <v>348</v>
      </c>
      <c r="D505" s="18"/>
      <c r="E505" s="18">
        <v>0</v>
      </c>
      <c r="F505" s="18">
        <v>0</v>
      </c>
      <c r="G505" s="4" t="s">
        <v>2420</v>
      </c>
      <c r="H505" s="4" t="s">
        <v>2421</v>
      </c>
      <c r="I505" s="5">
        <v>1314</v>
      </c>
      <c r="J505" s="4"/>
      <c r="K505" s="4" t="s">
        <v>1963</v>
      </c>
      <c r="L505" s="4">
        <v>615567054</v>
      </c>
      <c r="M505" s="4"/>
      <c r="N505" s="28" t="str">
        <f>VLOOKUP(B505,歌单!B:C,2,0)</f>
        <v>飞儿乐队</v>
      </c>
      <c r="O505" s="2">
        <f t="shared" si="11"/>
        <v>1</v>
      </c>
      <c r="P505" t="str">
        <f>VLOOKUP(B505,歌单!B:C,1,0)</f>
        <v>我们的爱</v>
      </c>
    </row>
    <row r="506" spans="1:16" ht="15" customHeight="1">
      <c r="A506" s="4" t="s">
        <v>2422</v>
      </c>
      <c r="B506" s="4" t="s">
        <v>2423</v>
      </c>
      <c r="C506" s="4" t="s">
        <v>2424</v>
      </c>
      <c r="D506" s="18"/>
      <c r="E506" s="18">
        <v>0</v>
      </c>
      <c r="F506" s="18">
        <v>0</v>
      </c>
      <c r="G506" s="4" t="s">
        <v>2425</v>
      </c>
      <c r="H506" s="4" t="s">
        <v>2426</v>
      </c>
      <c r="I506" s="5">
        <v>1</v>
      </c>
      <c r="J506" s="4"/>
      <c r="K506" s="4" t="s">
        <v>2427</v>
      </c>
      <c r="L506" s="4">
        <v>1307828</v>
      </c>
      <c r="M506" s="4"/>
      <c r="N506" s="2">
        <f>VLOOKUP(B506,歌单!B:C,2,0)</f>
        <v>0</v>
      </c>
      <c r="O506" s="2">
        <f t="shared" si="11"/>
        <v>1</v>
      </c>
      <c r="P506" t="str">
        <f>VLOOKUP(B506,歌单!B:C,1,0)</f>
        <v>外婆的澎湖湾</v>
      </c>
    </row>
    <row r="507" spans="1:16" ht="15" customHeight="1">
      <c r="A507" s="4" t="s">
        <v>2428</v>
      </c>
      <c r="B507" s="4" t="s">
        <v>1153</v>
      </c>
      <c r="C507" s="4" t="s">
        <v>727</v>
      </c>
      <c r="D507" s="18"/>
      <c r="E507" s="18">
        <v>0</v>
      </c>
      <c r="F507" s="18">
        <v>0</v>
      </c>
      <c r="G507" s="4" t="s">
        <v>2429</v>
      </c>
      <c r="H507" s="4" t="s">
        <v>2430</v>
      </c>
      <c r="I507" s="5">
        <v>3</v>
      </c>
      <c r="J507" s="4"/>
      <c r="K507" s="4" t="s">
        <v>2431</v>
      </c>
      <c r="L507" s="4">
        <v>1599418</v>
      </c>
      <c r="M507" s="4"/>
      <c r="N507" s="2">
        <f>VLOOKUP(B507,歌单!B:C,2,0)</f>
        <v>0</v>
      </c>
      <c r="O507" s="2">
        <f t="shared" si="11"/>
        <v>1</v>
      </c>
      <c r="P507" t="str">
        <f>VLOOKUP(B507,歌单!B:C,1,0)</f>
        <v>让我们荡起双桨</v>
      </c>
    </row>
    <row r="508" spans="1:16" ht="15" hidden="1" customHeight="1">
      <c r="A508" s="4" t="s">
        <v>2432</v>
      </c>
      <c r="B508" s="4" t="s">
        <v>390</v>
      </c>
      <c r="C508" s="4" t="s">
        <v>154</v>
      </c>
      <c r="D508" s="18"/>
      <c r="E508" s="18">
        <v>0</v>
      </c>
      <c r="F508" s="18">
        <v>0</v>
      </c>
      <c r="G508" s="4" t="s">
        <v>2433</v>
      </c>
      <c r="H508" s="4"/>
      <c r="I508" s="5">
        <v>3</v>
      </c>
      <c r="J508" s="4"/>
      <c r="K508" s="4" t="s">
        <v>2434</v>
      </c>
      <c r="L508" s="4">
        <v>2062553</v>
      </c>
      <c r="M508" s="4"/>
      <c r="N508" s="2" t="str">
        <f>VLOOKUP(B508,歌单!B:C,2,0)</f>
        <v>周杰伦</v>
      </c>
      <c r="O508" s="2">
        <f t="shared" si="11"/>
        <v>0</v>
      </c>
      <c r="P508" t="str">
        <f>VLOOKUP(B508,歌单!B:C,1,0)</f>
        <v>龙卷风</v>
      </c>
    </row>
    <row r="509" spans="1:16" ht="15" hidden="1" customHeight="1">
      <c r="A509" s="4" t="s">
        <v>2435</v>
      </c>
      <c r="B509" s="4" t="s">
        <v>2436</v>
      </c>
      <c r="C509" s="4" t="s">
        <v>2437</v>
      </c>
      <c r="D509" s="18"/>
      <c r="E509" s="18">
        <v>0</v>
      </c>
      <c r="F509" s="18">
        <v>0</v>
      </c>
      <c r="G509" s="4" t="s">
        <v>2438</v>
      </c>
      <c r="H509" s="4" t="s">
        <v>2439</v>
      </c>
      <c r="I509" s="5">
        <v>836</v>
      </c>
      <c r="J509" s="4" t="s">
        <v>2440</v>
      </c>
      <c r="K509" s="4" t="s">
        <v>2441</v>
      </c>
      <c r="L509" s="4">
        <v>425527859</v>
      </c>
      <c r="M509" s="4"/>
      <c r="N509" s="2" t="str">
        <f>VLOOKUP(B509,歌单!B:C,2,0)</f>
        <v>邓紫棋</v>
      </c>
      <c r="O509" s="2">
        <f t="shared" si="11"/>
        <v>0</v>
      </c>
      <c r="P509" t="str">
        <f>VLOOKUP(B509,歌单!B:C,1,0)</f>
        <v>泡沫</v>
      </c>
    </row>
    <row r="510" spans="1:16" ht="15" hidden="1" customHeight="1">
      <c r="A510" s="4" t="s">
        <v>2442</v>
      </c>
      <c r="B510" s="4" t="s">
        <v>2443</v>
      </c>
      <c r="C510" s="4" t="s">
        <v>2444</v>
      </c>
      <c r="D510" s="18"/>
      <c r="E510" s="18">
        <v>0</v>
      </c>
      <c r="F510" s="18">
        <v>0</v>
      </c>
      <c r="G510" s="4" t="s">
        <v>2445</v>
      </c>
      <c r="H510" s="4" t="s">
        <v>2446</v>
      </c>
      <c r="I510" s="5">
        <v>32</v>
      </c>
      <c r="J510" s="4"/>
      <c r="K510" s="4" t="s">
        <v>2443</v>
      </c>
      <c r="L510" s="4">
        <v>11780919</v>
      </c>
      <c r="M510" s="4"/>
      <c r="N510" s="2" t="e">
        <f>VLOOKUP(B510,歌单!B:C,2,0)</f>
        <v>#N/A</v>
      </c>
      <c r="O510" s="2">
        <f t="shared" si="11"/>
        <v>1</v>
      </c>
      <c r="P510" t="e">
        <f>VLOOKUP(B510,歌单!B:C,1,0)</f>
        <v>#N/A</v>
      </c>
    </row>
    <row r="511" spans="1:16" ht="15" hidden="1" customHeight="1">
      <c r="A511" s="32" t="s">
        <v>2447</v>
      </c>
      <c r="B511" s="4" t="s">
        <v>2448</v>
      </c>
      <c r="C511" s="4" t="s">
        <v>2449</v>
      </c>
      <c r="D511" s="18"/>
      <c r="E511" s="18">
        <v>0</v>
      </c>
      <c r="F511" s="18">
        <v>0</v>
      </c>
      <c r="G511" s="4" t="s">
        <v>2450</v>
      </c>
      <c r="H511" s="4" t="s">
        <v>2451</v>
      </c>
      <c r="I511" s="5">
        <v>13</v>
      </c>
      <c r="J511" s="4"/>
      <c r="K511" s="4" t="s">
        <v>2452</v>
      </c>
      <c r="L511" s="4">
        <v>11489762</v>
      </c>
      <c r="M511" s="4"/>
      <c r="N511" s="2" t="str">
        <f>VLOOKUP(B511,歌单!B:C,2,0)</f>
        <v>黄丽玲A-Lin</v>
      </c>
      <c r="O511" s="2">
        <f t="shared" si="11"/>
        <v>1</v>
      </c>
      <c r="P511" t="str">
        <f>VLOOKUP(B511,歌单!B:C,1,0)</f>
        <v>忘记拥抱</v>
      </c>
    </row>
    <row r="512" spans="1:16" ht="15" hidden="1" customHeight="1">
      <c r="A512" s="4" t="s">
        <v>2453</v>
      </c>
      <c r="B512" s="4" t="s">
        <v>2454</v>
      </c>
      <c r="C512" s="4" t="s">
        <v>1250</v>
      </c>
      <c r="D512" s="18"/>
      <c r="E512" s="18">
        <v>0</v>
      </c>
      <c r="F512" s="18">
        <v>0</v>
      </c>
      <c r="G512" s="4" t="s">
        <v>2455</v>
      </c>
      <c r="H512" s="4" t="s">
        <v>2456</v>
      </c>
      <c r="I512" s="5">
        <v>3245</v>
      </c>
      <c r="J512" s="4" t="s">
        <v>2457</v>
      </c>
      <c r="K512" s="4" t="s">
        <v>2458</v>
      </c>
      <c r="L512" s="4">
        <v>517144129</v>
      </c>
      <c r="M512" s="4" t="s">
        <v>1264</v>
      </c>
      <c r="N512" s="2" t="str">
        <f>VLOOKUP(B512,歌单!B:C,2,0)</f>
        <v>阿桑</v>
      </c>
      <c r="O512" s="2">
        <f t="shared" si="11"/>
        <v>0</v>
      </c>
      <c r="P512" t="str">
        <f>VLOOKUP(B512,歌单!B:C,1,0)</f>
        <v>一直很安静</v>
      </c>
    </row>
    <row r="513" spans="1:16" ht="15" hidden="1" customHeight="1">
      <c r="A513" s="4" t="s">
        <v>2459</v>
      </c>
      <c r="B513" s="4" t="s">
        <v>2460</v>
      </c>
      <c r="C513" s="4" t="s">
        <v>2461</v>
      </c>
      <c r="D513" s="18"/>
      <c r="E513" s="18">
        <v>0</v>
      </c>
      <c r="F513" s="18">
        <v>0</v>
      </c>
      <c r="G513" s="4" t="s">
        <v>2462</v>
      </c>
      <c r="H513" s="4"/>
      <c r="I513" s="5">
        <v>22</v>
      </c>
      <c r="J513" s="4" t="s">
        <v>2457</v>
      </c>
      <c r="K513" s="4" t="s">
        <v>1571</v>
      </c>
      <c r="L513" s="4">
        <v>4684725</v>
      </c>
      <c r="M513" s="4"/>
      <c r="N513" s="2" t="str">
        <f>VLOOKUP(B513,歌单!B:C,2,0)</f>
        <v>JS</v>
      </c>
      <c r="O513" s="2">
        <f t="shared" si="11"/>
        <v>0</v>
      </c>
      <c r="P513" t="str">
        <f>VLOOKUP(B513,歌单!B:C,1,0)</f>
        <v>杀破狼</v>
      </c>
    </row>
    <row r="514" spans="1:16" ht="15" hidden="1" customHeight="1">
      <c r="A514" s="4" t="s">
        <v>2463</v>
      </c>
      <c r="B514" s="4" t="s">
        <v>2464</v>
      </c>
      <c r="C514" s="4" t="s">
        <v>2465</v>
      </c>
      <c r="D514" s="18"/>
      <c r="E514" s="18">
        <v>0</v>
      </c>
      <c r="F514" s="18">
        <v>0</v>
      </c>
      <c r="G514" s="4" t="s">
        <v>2466</v>
      </c>
      <c r="H514" s="4" t="s">
        <v>2467</v>
      </c>
      <c r="I514" s="5">
        <v>2568</v>
      </c>
      <c r="J514" s="4" t="s">
        <v>2468</v>
      </c>
      <c r="K514" s="4" t="s">
        <v>2469</v>
      </c>
      <c r="L514" s="4">
        <v>490983954</v>
      </c>
      <c r="M514" s="4"/>
      <c r="N514" s="2" t="e">
        <f>VLOOKUP(B514,歌单!B:C,2,0)</f>
        <v>#N/A</v>
      </c>
      <c r="O514" s="2">
        <f t="shared" si="11"/>
        <v>1</v>
      </c>
      <c r="P514" t="e">
        <f>VLOOKUP(B514,歌单!B:C,1,0)</f>
        <v>#N/A</v>
      </c>
    </row>
    <row r="515" spans="1:16" ht="15" hidden="1" customHeight="1">
      <c r="A515" s="4" t="s">
        <v>2470</v>
      </c>
      <c r="B515" s="4" t="s">
        <v>2471</v>
      </c>
      <c r="C515" s="4" t="s">
        <v>2472</v>
      </c>
      <c r="D515" s="18"/>
      <c r="E515" s="18">
        <v>0</v>
      </c>
      <c r="F515" s="18">
        <v>0</v>
      </c>
      <c r="G515" s="4" t="s">
        <v>2473</v>
      </c>
      <c r="H515" s="4" t="s">
        <v>2474</v>
      </c>
      <c r="I515" s="5">
        <v>2791</v>
      </c>
      <c r="J515" s="4" t="s">
        <v>2475</v>
      </c>
      <c r="K515" s="4" t="s">
        <v>2476</v>
      </c>
      <c r="L515" s="4">
        <v>969443371</v>
      </c>
      <c r="M515" s="4"/>
      <c r="N515" s="2" t="str">
        <f>VLOOKUP(B515,歌单!B:C,2,0)</f>
        <v>张芸京</v>
      </c>
      <c r="O515" s="2">
        <f t="shared" ref="O515:O578" si="12">_xlfn.IFNA(IF(IFERROR(SEARCH(N515,C515),0)&gt;0,0,1),0)</f>
        <v>0</v>
      </c>
      <c r="P515" t="str">
        <f>VLOOKUP(B515,歌单!B:C,1,0)</f>
        <v>偏爱</v>
      </c>
    </row>
    <row r="516" spans="1:16" ht="15" hidden="1" customHeight="1">
      <c r="A516" s="32" t="s">
        <v>2477</v>
      </c>
      <c r="B516" s="4" t="s">
        <v>2478</v>
      </c>
      <c r="C516" s="4" t="s">
        <v>2479</v>
      </c>
      <c r="D516" s="18"/>
      <c r="E516" s="18">
        <v>0</v>
      </c>
      <c r="F516" s="18">
        <v>0</v>
      </c>
      <c r="G516" s="4" t="s">
        <v>2480</v>
      </c>
      <c r="H516" s="4" t="s">
        <v>2481</v>
      </c>
      <c r="I516" s="5">
        <v>656</v>
      </c>
      <c r="J516" s="4" t="s">
        <v>2482</v>
      </c>
      <c r="K516" s="4" t="s">
        <v>2483</v>
      </c>
      <c r="L516" s="4">
        <v>366580503</v>
      </c>
      <c r="M516" s="4"/>
      <c r="N516" s="28" t="str">
        <f>VLOOKUP(B516,歌单!B:C,2,0)</f>
        <v>张碧晨/杨宗纬</v>
      </c>
      <c r="O516" s="2">
        <f t="shared" si="12"/>
        <v>1</v>
      </c>
      <c r="P516" t="str">
        <f>VLOOKUP(B516,歌单!B:C,1,0)</f>
        <v>凉凉</v>
      </c>
    </row>
    <row r="517" spans="1:16" ht="15" hidden="1" customHeight="1">
      <c r="A517" s="32" t="s">
        <v>2484</v>
      </c>
      <c r="B517" s="4" t="s">
        <v>2485</v>
      </c>
      <c r="C517" s="4" t="s">
        <v>2486</v>
      </c>
      <c r="D517" s="18"/>
      <c r="E517" s="18">
        <v>0</v>
      </c>
      <c r="F517" s="18">
        <v>0</v>
      </c>
      <c r="G517" s="4" t="s">
        <v>2487</v>
      </c>
      <c r="H517" s="4" t="s">
        <v>2488</v>
      </c>
      <c r="I517" s="5">
        <v>2</v>
      </c>
      <c r="J517" s="4"/>
      <c r="K517" s="4" t="s">
        <v>2489</v>
      </c>
      <c r="L517" s="4">
        <v>1862546</v>
      </c>
      <c r="M517" s="4"/>
      <c r="N517" s="31" t="s">
        <v>7403</v>
      </c>
      <c r="O517" s="2">
        <f t="shared" si="12"/>
        <v>1</v>
      </c>
      <c r="P517" t="str">
        <f>VLOOKUP(B517,歌单!B:C,1,0)</f>
        <v>醉了千古爱</v>
      </c>
    </row>
    <row r="518" spans="1:16" ht="15" hidden="1" customHeight="1">
      <c r="A518" s="4" t="s">
        <v>2490</v>
      </c>
      <c r="B518" s="4" t="s">
        <v>2491</v>
      </c>
      <c r="C518" s="4" t="s">
        <v>2492</v>
      </c>
      <c r="D518" s="18"/>
      <c r="E518" s="18">
        <v>0</v>
      </c>
      <c r="F518" s="18">
        <v>0</v>
      </c>
      <c r="G518" s="4" t="s">
        <v>2493</v>
      </c>
      <c r="H518" s="4" t="s">
        <v>2494</v>
      </c>
      <c r="I518" s="5">
        <v>3825</v>
      </c>
      <c r="J518" s="4" t="s">
        <v>2475</v>
      </c>
      <c r="K518" s="4" t="s">
        <v>2469</v>
      </c>
      <c r="L518" s="4">
        <v>745284121</v>
      </c>
      <c r="M518" s="4" t="s">
        <v>747</v>
      </c>
      <c r="N518" s="2" t="str">
        <f>VLOOKUP(B518,歌单!B:C,2,0)</f>
        <v>青鸟飞鱼</v>
      </c>
      <c r="O518" s="2">
        <f t="shared" si="12"/>
        <v>0</v>
      </c>
      <c r="P518" t="str">
        <f>VLOOKUP(B518,歌单!B:C,1,0)</f>
        <v>此生不换</v>
      </c>
    </row>
    <row r="519" spans="1:16" ht="15" hidden="1" customHeight="1">
      <c r="A519" s="32" t="s">
        <v>2495</v>
      </c>
      <c r="B519" t="s">
        <v>2496</v>
      </c>
      <c r="C519" s="4" t="s">
        <v>2497</v>
      </c>
      <c r="D519" s="18"/>
      <c r="E519" s="18">
        <v>0</v>
      </c>
      <c r="F519" s="18">
        <v>0</v>
      </c>
      <c r="G519" s="4" t="s">
        <v>2498</v>
      </c>
      <c r="H519" s="4" t="s">
        <v>2499</v>
      </c>
      <c r="I519" s="5">
        <v>216</v>
      </c>
      <c r="J519" s="4" t="s">
        <v>2500</v>
      </c>
      <c r="K519" s="4" t="s">
        <v>2501</v>
      </c>
      <c r="L519" s="4">
        <v>89561778</v>
      </c>
      <c r="M519" s="4"/>
      <c r="N519" s="28" t="str">
        <f>VLOOKUP(B519,歌单!B:C,2,0)</f>
        <v>齐豫、周华健</v>
      </c>
      <c r="O519" s="2">
        <f t="shared" si="12"/>
        <v>1</v>
      </c>
      <c r="P519" t="str">
        <f>VLOOKUP(B519,歌单!B:C,1,0)</f>
        <v>天下有情人</v>
      </c>
    </row>
    <row r="520" spans="1:16" ht="15" hidden="1" customHeight="1">
      <c r="A520" s="4" t="s">
        <v>2502</v>
      </c>
      <c r="B520" s="4" t="s">
        <v>2503</v>
      </c>
      <c r="C520" s="4" t="s">
        <v>1675</v>
      </c>
      <c r="D520" s="18"/>
      <c r="E520" s="18">
        <v>0</v>
      </c>
      <c r="F520" s="18">
        <v>0</v>
      </c>
      <c r="G520" s="4" t="s">
        <v>2504</v>
      </c>
      <c r="H520" s="4" t="s">
        <v>2505</v>
      </c>
      <c r="I520" s="5">
        <v>0</v>
      </c>
      <c r="J520" s="4"/>
      <c r="K520" s="4" t="s">
        <v>2506</v>
      </c>
      <c r="L520" s="4">
        <v>66935</v>
      </c>
      <c r="M520" s="4"/>
      <c r="N520" s="2" t="e">
        <f>VLOOKUP(B520,歌单!B:C,2,0)</f>
        <v>#N/A</v>
      </c>
      <c r="O520" s="2">
        <f t="shared" si="12"/>
        <v>1</v>
      </c>
      <c r="P520" t="e">
        <f>VLOOKUP(B520,歌单!B:C,1,0)</f>
        <v>#N/A</v>
      </c>
    </row>
    <row r="521" spans="1:16" ht="15" hidden="1" customHeight="1">
      <c r="A521" s="4" t="s">
        <v>2507</v>
      </c>
      <c r="B521" s="4" t="s">
        <v>2508</v>
      </c>
      <c r="C521" s="4" t="s">
        <v>2509</v>
      </c>
      <c r="D521" s="18"/>
      <c r="E521" s="18">
        <v>0</v>
      </c>
      <c r="F521" s="18">
        <v>0</v>
      </c>
      <c r="G521" s="4" t="s">
        <v>2510</v>
      </c>
      <c r="H521" s="4" t="s">
        <v>2511</v>
      </c>
      <c r="I521" s="5">
        <v>0</v>
      </c>
      <c r="J521" s="4"/>
      <c r="K521" s="4" t="s">
        <v>2512</v>
      </c>
      <c r="L521" s="4">
        <v>311918</v>
      </c>
      <c r="M521" s="4"/>
      <c r="N521" s="2" t="e">
        <f>VLOOKUP(B521,歌单!B:C,2,0)</f>
        <v>#N/A</v>
      </c>
      <c r="O521" s="2">
        <f t="shared" si="12"/>
        <v>1</v>
      </c>
      <c r="P521" t="e">
        <f>VLOOKUP(B521,歌单!B:C,1,0)</f>
        <v>#N/A</v>
      </c>
    </row>
    <row r="522" spans="1:16" ht="15" hidden="1" customHeight="1">
      <c r="A522" s="4" t="s">
        <v>2513</v>
      </c>
      <c r="B522" s="4" t="s">
        <v>1544</v>
      </c>
      <c r="C522" s="4" t="s">
        <v>1545</v>
      </c>
      <c r="D522" s="18"/>
      <c r="E522" s="18">
        <v>0</v>
      </c>
      <c r="F522" s="18">
        <v>0</v>
      </c>
      <c r="G522" s="4" t="s">
        <v>2514</v>
      </c>
      <c r="H522" s="4" t="s">
        <v>2515</v>
      </c>
      <c r="I522" s="5">
        <v>0</v>
      </c>
      <c r="J522" s="4"/>
      <c r="K522" s="4" t="s">
        <v>1544</v>
      </c>
      <c r="L522" s="4">
        <v>1339817</v>
      </c>
      <c r="M522" s="4"/>
      <c r="N522" s="2" t="str">
        <f>VLOOKUP(B522,歌单!B:C,2,0)</f>
        <v>梁静茹</v>
      </c>
      <c r="O522" s="2">
        <f t="shared" si="12"/>
        <v>0</v>
      </c>
      <c r="P522" t="str">
        <f>VLOOKUP(B522,歌单!B:C,1,0)</f>
        <v>宁夏</v>
      </c>
    </row>
    <row r="523" spans="1:16" ht="15" hidden="1" customHeight="1">
      <c r="A523" s="4" t="s">
        <v>2516</v>
      </c>
      <c r="B523" s="4" t="s">
        <v>2517</v>
      </c>
      <c r="C523" s="4" t="s">
        <v>1545</v>
      </c>
      <c r="D523" s="18"/>
      <c r="E523" s="18">
        <v>0</v>
      </c>
      <c r="F523" s="18">
        <v>0</v>
      </c>
      <c r="G523" s="4" t="s">
        <v>2518</v>
      </c>
      <c r="H523" s="4"/>
      <c r="I523" s="5">
        <v>299</v>
      </c>
      <c r="J523" s="4"/>
      <c r="K523" s="4" t="s">
        <v>2517</v>
      </c>
      <c r="L523" s="4">
        <v>150545368</v>
      </c>
      <c r="M523" s="4"/>
      <c r="N523" s="2" t="str">
        <f>VLOOKUP(B523,歌单!B:C,2,0)</f>
        <v>梁静茹</v>
      </c>
      <c r="O523" s="2">
        <f t="shared" si="12"/>
        <v>0</v>
      </c>
      <c r="P523" t="str">
        <f>VLOOKUP(B523,歌单!B:C,1,0)</f>
        <v>勇气</v>
      </c>
    </row>
    <row r="524" spans="1:16" ht="15" hidden="1" customHeight="1">
      <c r="A524" s="4" t="s">
        <v>2519</v>
      </c>
      <c r="B524" s="4" t="s">
        <v>2520</v>
      </c>
      <c r="C524" s="4" t="s">
        <v>1545</v>
      </c>
      <c r="D524" s="18"/>
      <c r="E524" s="18">
        <v>0</v>
      </c>
      <c r="F524" s="18">
        <v>0</v>
      </c>
      <c r="G524" s="4" t="s">
        <v>2521</v>
      </c>
      <c r="H524" s="4" t="s">
        <v>2522</v>
      </c>
      <c r="I524" s="5">
        <v>148</v>
      </c>
      <c r="J524" s="4"/>
      <c r="K524" s="4" t="s">
        <v>2121</v>
      </c>
      <c r="L524" s="4">
        <v>66240603</v>
      </c>
      <c r="M524" s="4"/>
      <c r="N524" s="2" t="str">
        <f>VLOOKUP(B524,歌单!B:C,2,0)</f>
        <v>梁静茹</v>
      </c>
      <c r="O524" s="2">
        <f t="shared" si="12"/>
        <v>0</v>
      </c>
      <c r="P524" t="str">
        <f>VLOOKUP(B524,歌单!B:C,1,0)</f>
        <v>会呼吸的痛</v>
      </c>
    </row>
    <row r="525" spans="1:16" ht="15" hidden="1" customHeight="1">
      <c r="A525" s="4" t="s">
        <v>2523</v>
      </c>
      <c r="B525" s="4" t="s">
        <v>2524</v>
      </c>
      <c r="C525" s="4" t="s">
        <v>1545</v>
      </c>
      <c r="D525" s="18"/>
      <c r="E525" s="18">
        <v>0</v>
      </c>
      <c r="F525" s="18">
        <v>0</v>
      </c>
      <c r="G525" s="4" t="s">
        <v>2525</v>
      </c>
      <c r="H525" s="4" t="s">
        <v>2526</v>
      </c>
      <c r="I525" s="5">
        <v>150</v>
      </c>
      <c r="J525" s="4"/>
      <c r="K525" s="4" t="s">
        <v>2527</v>
      </c>
      <c r="L525" s="4">
        <v>93495845</v>
      </c>
      <c r="M525" s="4"/>
      <c r="N525" s="2" t="str">
        <f>VLOOKUP(B525,歌单!B:C,2,0)</f>
        <v>梁静茹</v>
      </c>
      <c r="O525" s="2">
        <f t="shared" si="12"/>
        <v>0</v>
      </c>
      <c r="P525" t="str">
        <f>VLOOKUP(B525,歌单!B:C,1,0)</f>
        <v>可惜不是你</v>
      </c>
    </row>
    <row r="526" spans="1:16" ht="15" hidden="1" customHeight="1">
      <c r="A526" s="4" t="s">
        <v>2528</v>
      </c>
      <c r="B526" s="4" t="s">
        <v>2529</v>
      </c>
      <c r="C526" s="4" t="s">
        <v>1545</v>
      </c>
      <c r="D526" s="18"/>
      <c r="E526" s="18">
        <v>0</v>
      </c>
      <c r="F526" s="18">
        <v>0</v>
      </c>
      <c r="G526" s="4" t="s">
        <v>2530</v>
      </c>
      <c r="H526" s="4" t="s">
        <v>2531</v>
      </c>
      <c r="I526" s="5">
        <v>337</v>
      </c>
      <c r="J526" s="4"/>
      <c r="K526" s="4" t="s">
        <v>1848</v>
      </c>
      <c r="L526" s="4">
        <v>92354085</v>
      </c>
      <c r="M526" s="4"/>
      <c r="N526" s="2" t="str">
        <f>VLOOKUP(B526,歌单!B:C,2,0)</f>
        <v>梁静茹</v>
      </c>
      <c r="O526" s="2">
        <f t="shared" si="12"/>
        <v>0</v>
      </c>
      <c r="P526" t="str">
        <f>VLOOKUP(B526,歌单!B:C,1,0)</f>
        <v>小手拉大手</v>
      </c>
    </row>
    <row r="527" spans="1:16" ht="15" hidden="1" customHeight="1">
      <c r="A527" s="32" t="s">
        <v>2532</v>
      </c>
      <c r="B527" s="4" t="s">
        <v>2533</v>
      </c>
      <c r="C527" s="4" t="s">
        <v>2534</v>
      </c>
      <c r="D527" s="18"/>
      <c r="E527" s="18">
        <v>0</v>
      </c>
      <c r="F527" s="18">
        <v>0</v>
      </c>
      <c r="G527" s="4" t="s">
        <v>2535</v>
      </c>
      <c r="H527" s="4"/>
      <c r="I527" s="5">
        <v>272</v>
      </c>
      <c r="J527" s="4"/>
      <c r="K527" s="4" t="s">
        <v>2536</v>
      </c>
      <c r="L527" s="4">
        <v>135231093</v>
      </c>
      <c r="M527" s="4"/>
      <c r="N527" s="31" t="str">
        <f>VLOOKUP(B527,歌单!B:C,2,0)</f>
        <v>赵薇</v>
      </c>
      <c r="O527" s="2">
        <f t="shared" si="12"/>
        <v>1</v>
      </c>
      <c r="P527" t="str">
        <f>VLOOKUP(B527,歌单!B:C,1,0)</f>
        <v>情深深雨蒙蒙</v>
      </c>
    </row>
    <row r="528" spans="1:16" ht="15" hidden="1" customHeight="1">
      <c r="A528" s="4" t="s">
        <v>2537</v>
      </c>
      <c r="B528" s="4" t="s">
        <v>2538</v>
      </c>
      <c r="C528" s="4" t="s">
        <v>2539</v>
      </c>
      <c r="D528" s="18"/>
      <c r="E528" s="18">
        <v>0</v>
      </c>
      <c r="F528" s="18">
        <v>0</v>
      </c>
      <c r="G528" s="4" t="s">
        <v>2540</v>
      </c>
      <c r="H528" s="4" t="s">
        <v>2541</v>
      </c>
      <c r="I528" s="5">
        <v>8</v>
      </c>
      <c r="J528" s="4"/>
      <c r="K528" s="4" t="s">
        <v>2542</v>
      </c>
      <c r="L528" s="4">
        <v>12386821</v>
      </c>
      <c r="M528" s="4"/>
      <c r="N528" s="2" t="e">
        <f>VLOOKUP(B528,歌单!B:C,2,0)</f>
        <v>#N/A</v>
      </c>
      <c r="O528" s="2">
        <f t="shared" si="12"/>
        <v>1</v>
      </c>
      <c r="P528" t="e">
        <f>VLOOKUP(B528,歌单!B:C,1,0)</f>
        <v>#N/A</v>
      </c>
    </row>
    <row r="529" spans="1:16" ht="15" hidden="1" customHeight="1">
      <c r="A529" s="4" t="s">
        <v>2543</v>
      </c>
      <c r="B529" s="4" t="s">
        <v>1216</v>
      </c>
      <c r="C529" s="4" t="s">
        <v>1217</v>
      </c>
      <c r="D529" s="18"/>
      <c r="E529" s="18">
        <v>0</v>
      </c>
      <c r="F529" s="18">
        <v>0</v>
      </c>
      <c r="G529" s="4" t="s">
        <v>2544</v>
      </c>
      <c r="H529" s="4" t="s">
        <v>2545</v>
      </c>
      <c r="I529" s="5">
        <v>2133</v>
      </c>
      <c r="J529" s="4"/>
      <c r="K529" s="4" t="s">
        <v>1216</v>
      </c>
      <c r="L529" s="4">
        <v>182047718</v>
      </c>
      <c r="M529" s="4"/>
      <c r="N529" s="2" t="str">
        <f>VLOOKUP(B529,歌单!B:C,2,0)</f>
        <v>雷雨心</v>
      </c>
      <c r="O529" s="2">
        <f t="shared" si="12"/>
        <v>0</v>
      </c>
      <c r="P529" t="str">
        <f>VLOOKUP(B529,歌单!B:C,1,0)</f>
        <v>记念</v>
      </c>
    </row>
    <row r="530" spans="1:16" ht="15" hidden="1" customHeight="1">
      <c r="A530" s="4" t="s">
        <v>2546</v>
      </c>
      <c r="B530" s="4" t="s">
        <v>2547</v>
      </c>
      <c r="C530" s="4" t="s">
        <v>2548</v>
      </c>
      <c r="D530" s="18"/>
      <c r="E530" s="18">
        <v>227</v>
      </c>
      <c r="F530" s="18">
        <v>62</v>
      </c>
      <c r="G530" s="4" t="s">
        <v>2549</v>
      </c>
      <c r="H530" s="4" t="s">
        <v>2550</v>
      </c>
      <c r="I530" s="5">
        <v>955</v>
      </c>
      <c r="J530" s="4"/>
      <c r="K530" s="4" t="s">
        <v>2551</v>
      </c>
      <c r="L530" s="4">
        <v>442011874</v>
      </c>
      <c r="M530" s="4"/>
      <c r="N530" s="2" t="str">
        <f>VLOOKUP(B530,歌单!B:C,2,0)</f>
        <v>刘若英</v>
      </c>
      <c r="O530" s="2">
        <f t="shared" si="12"/>
        <v>0</v>
      </c>
      <c r="P530" t="str">
        <f>VLOOKUP(B530,歌单!B:C,1,0)</f>
        <v>后来</v>
      </c>
    </row>
    <row r="531" spans="1:16" ht="15" hidden="1" customHeight="1">
      <c r="A531" s="4" t="s">
        <v>2552</v>
      </c>
      <c r="B531" s="4" t="s">
        <v>2553</v>
      </c>
      <c r="C531" s="4" t="s">
        <v>2554</v>
      </c>
      <c r="D531" s="18"/>
      <c r="E531" s="18">
        <v>0</v>
      </c>
      <c r="F531" s="18">
        <v>0</v>
      </c>
      <c r="G531" s="4" t="s">
        <v>2555</v>
      </c>
      <c r="H531" s="4" t="s">
        <v>2556</v>
      </c>
      <c r="I531" s="5">
        <v>109</v>
      </c>
      <c r="J531" s="4"/>
      <c r="K531" s="4" t="s">
        <v>2557</v>
      </c>
      <c r="L531" s="4">
        <v>70388362</v>
      </c>
      <c r="M531" s="4"/>
      <c r="N531" s="2" t="str">
        <f>VLOOKUP(B531,歌单!B:C,2,0)</f>
        <v>何洁</v>
      </c>
      <c r="O531" s="2">
        <f t="shared" si="12"/>
        <v>0</v>
      </c>
      <c r="P531" t="str">
        <f>VLOOKUP(B531,歌单!B:C,1,0)</f>
        <v>你一定要幸福</v>
      </c>
    </row>
    <row r="532" spans="1:16" ht="15" hidden="1" customHeight="1">
      <c r="A532" s="32" t="s">
        <v>2558</v>
      </c>
      <c r="B532" s="4" t="s">
        <v>2559</v>
      </c>
      <c r="C532" s="4" t="s">
        <v>2560</v>
      </c>
      <c r="D532" s="18"/>
      <c r="E532" s="18">
        <v>0</v>
      </c>
      <c r="F532" s="18">
        <v>0</v>
      </c>
      <c r="G532" s="4" t="s">
        <v>2561</v>
      </c>
      <c r="H532" s="4" t="s">
        <v>2562</v>
      </c>
      <c r="I532" s="5">
        <v>1896</v>
      </c>
      <c r="J532" s="4" t="s">
        <v>2563</v>
      </c>
      <c r="K532" s="4" t="s">
        <v>2559</v>
      </c>
      <c r="L532" s="4">
        <v>648048491</v>
      </c>
      <c r="M532" s="4" t="s">
        <v>235</v>
      </c>
      <c r="N532" s="28" t="str">
        <f>VLOOKUP(B532,歌单!B:C,2,0)</f>
        <v>张杰/张碧晨</v>
      </c>
      <c r="O532" s="2">
        <f t="shared" si="12"/>
        <v>1</v>
      </c>
      <c r="P532" t="str">
        <f>VLOOKUP(B532,歌单!B:C,1,0)</f>
        <v>只要平凡</v>
      </c>
    </row>
    <row r="533" spans="1:16" ht="15" hidden="1" customHeight="1">
      <c r="A533" s="4" t="s">
        <v>2564</v>
      </c>
      <c r="B533" s="4" t="s">
        <v>2565</v>
      </c>
      <c r="C533" s="4" t="s">
        <v>679</v>
      </c>
      <c r="D533" s="18"/>
      <c r="E533" s="18">
        <v>30</v>
      </c>
      <c r="F533" s="18">
        <v>15</v>
      </c>
      <c r="G533" s="4" t="s">
        <v>2566</v>
      </c>
      <c r="H533" s="4" t="s">
        <v>2567</v>
      </c>
      <c r="I533" s="5">
        <v>1889</v>
      </c>
      <c r="J533" s="4"/>
      <c r="K533" s="4" t="s">
        <v>2568</v>
      </c>
      <c r="L533" s="4">
        <v>509219500</v>
      </c>
      <c r="M533" s="4"/>
      <c r="N533" s="2" t="str">
        <f>VLOOKUP(B533,歌单!B:C,2,0)</f>
        <v>林俊杰</v>
      </c>
      <c r="O533" s="2">
        <f t="shared" si="12"/>
        <v>0</v>
      </c>
      <c r="P533" t="str">
        <f>VLOOKUP(B533,歌单!B:C,1,0)</f>
        <v>江南</v>
      </c>
    </row>
    <row r="534" spans="1:16" ht="15" hidden="1" customHeight="1">
      <c r="A534" s="4" t="s">
        <v>2569</v>
      </c>
      <c r="B534" s="4" t="s">
        <v>2570</v>
      </c>
      <c r="C534" s="4" t="s">
        <v>2571</v>
      </c>
      <c r="D534" s="18"/>
      <c r="E534" s="18">
        <v>0</v>
      </c>
      <c r="F534" s="18">
        <v>0</v>
      </c>
      <c r="G534" s="4" t="s">
        <v>2572</v>
      </c>
      <c r="H534" s="4" t="s">
        <v>2573</v>
      </c>
      <c r="I534" s="5">
        <v>569</v>
      </c>
      <c r="J534" s="4"/>
      <c r="K534" s="4" t="s">
        <v>2574</v>
      </c>
      <c r="L534" s="4">
        <v>274618058</v>
      </c>
      <c r="M534" s="4"/>
      <c r="N534" s="2" t="str">
        <f>VLOOKUP(B534,歌单!B:C,2,0)</f>
        <v>李谷一</v>
      </c>
      <c r="O534" s="2">
        <f t="shared" si="12"/>
        <v>0</v>
      </c>
      <c r="P534" t="str">
        <f>VLOOKUP(B534,歌单!B:C,1,0)</f>
        <v>我和我的祖国</v>
      </c>
    </row>
    <row r="535" spans="1:16" ht="15" customHeight="1">
      <c r="A535" s="4" t="s">
        <v>2575</v>
      </c>
      <c r="B535" s="4" t="s">
        <v>2576</v>
      </c>
      <c r="C535" s="4" t="s">
        <v>2577</v>
      </c>
      <c r="D535" s="18"/>
      <c r="E535" s="18">
        <v>0</v>
      </c>
      <c r="F535" s="18">
        <v>0</v>
      </c>
      <c r="G535" s="4" t="s">
        <v>2578</v>
      </c>
      <c r="H535" s="4"/>
      <c r="I535" s="5">
        <v>44</v>
      </c>
      <c r="J535" s="4"/>
      <c r="K535" s="4" t="s">
        <v>2579</v>
      </c>
      <c r="L535" s="4">
        <v>9633281</v>
      </c>
      <c r="M535" s="4"/>
      <c r="N535" s="2">
        <f>VLOOKUP(B535,歌单!B:C,2,0)</f>
        <v>0</v>
      </c>
      <c r="O535" s="2">
        <f t="shared" si="12"/>
        <v>1</v>
      </c>
      <c r="P535" t="str">
        <f>VLOOKUP(B535,歌单!B:C,1,0)</f>
        <v>映山红</v>
      </c>
    </row>
    <row r="536" spans="1:16" ht="15" hidden="1" customHeight="1">
      <c r="A536" s="4" t="s">
        <v>2580</v>
      </c>
      <c r="B536" s="4" t="s">
        <v>2581</v>
      </c>
      <c r="C536" s="4" t="s">
        <v>1154</v>
      </c>
      <c r="D536" s="18"/>
      <c r="E536" s="18">
        <v>0</v>
      </c>
      <c r="F536" s="18">
        <v>0</v>
      </c>
      <c r="G536" s="4" t="s">
        <v>2582</v>
      </c>
      <c r="H536" s="4" t="s">
        <v>2583</v>
      </c>
      <c r="I536" s="5">
        <v>15</v>
      </c>
      <c r="J536" s="4"/>
      <c r="K536" s="4" t="s">
        <v>2584</v>
      </c>
      <c r="L536" s="4">
        <v>4642449</v>
      </c>
      <c r="M536" s="4"/>
      <c r="N536" s="2" t="e">
        <f>VLOOKUP(B536,歌单!B:C,2,0)</f>
        <v>#N/A</v>
      </c>
      <c r="O536" s="2">
        <f t="shared" si="12"/>
        <v>1</v>
      </c>
      <c r="P536" t="e">
        <f>VLOOKUP(B536,歌单!B:C,1,0)</f>
        <v>#N/A</v>
      </c>
    </row>
    <row r="537" spans="1:16" ht="15" customHeight="1">
      <c r="A537" s="4" t="s">
        <v>2585</v>
      </c>
      <c r="B537" s="4" t="s">
        <v>2370</v>
      </c>
      <c r="C537" s="4" t="s">
        <v>884</v>
      </c>
      <c r="D537" s="18"/>
      <c r="E537" s="18">
        <v>0</v>
      </c>
      <c r="F537" s="18">
        <v>0</v>
      </c>
      <c r="G537" s="4" t="s">
        <v>2586</v>
      </c>
      <c r="H537" s="4"/>
      <c r="I537" s="5">
        <v>25</v>
      </c>
      <c r="J537" s="4" t="s">
        <v>2370</v>
      </c>
      <c r="K537" s="4" t="s">
        <v>2373</v>
      </c>
      <c r="L537" s="4">
        <v>11854634</v>
      </c>
      <c r="M537" s="4"/>
      <c r="N537" s="2">
        <f>VLOOKUP(B537,歌单!B:C,2,0)</f>
        <v>0</v>
      </c>
      <c r="O537" s="2">
        <f t="shared" si="12"/>
        <v>1</v>
      </c>
      <c r="P537" t="str">
        <f>VLOOKUP(B537,歌单!B:C,1,0)</f>
        <v>黄昏晓</v>
      </c>
    </row>
    <row r="538" spans="1:16" ht="15" hidden="1" customHeight="1">
      <c r="A538" s="4" t="s">
        <v>2587</v>
      </c>
      <c r="B538" s="4" t="s">
        <v>2588</v>
      </c>
      <c r="C538" s="4" t="s">
        <v>1030</v>
      </c>
      <c r="D538" s="18"/>
      <c r="E538" s="18">
        <v>0</v>
      </c>
      <c r="F538" s="18">
        <v>0</v>
      </c>
      <c r="G538" s="4" t="s">
        <v>2589</v>
      </c>
      <c r="H538" s="4" t="s">
        <v>2590</v>
      </c>
      <c r="I538" s="5">
        <v>1152</v>
      </c>
      <c r="J538" s="4" t="s">
        <v>2591</v>
      </c>
      <c r="K538" s="4" t="s">
        <v>2588</v>
      </c>
      <c r="L538" s="4">
        <v>305839358</v>
      </c>
      <c r="M538" s="4"/>
      <c r="N538" s="2" t="str">
        <f>VLOOKUP(B538,歌单!B:C,2,0)</f>
        <v>那英</v>
      </c>
      <c r="O538" s="2">
        <f t="shared" si="12"/>
        <v>0</v>
      </c>
      <c r="P538" t="str">
        <f>VLOOKUP(B538,歌单!B:C,1,0)</f>
        <v>默</v>
      </c>
    </row>
    <row r="539" spans="1:16" ht="15" hidden="1" customHeight="1">
      <c r="A539" s="4" t="s">
        <v>2592</v>
      </c>
      <c r="B539" s="4" t="s">
        <v>2593</v>
      </c>
      <c r="C539" s="4" t="s">
        <v>2594</v>
      </c>
      <c r="D539" s="18"/>
      <c r="E539" s="18">
        <v>0</v>
      </c>
      <c r="F539" s="18">
        <v>0</v>
      </c>
      <c r="G539" s="4" t="s">
        <v>2595</v>
      </c>
      <c r="H539" s="4" t="s">
        <v>2596</v>
      </c>
      <c r="I539" s="5">
        <v>2246</v>
      </c>
      <c r="J539" s="4"/>
      <c r="K539" s="4" t="s">
        <v>2597</v>
      </c>
      <c r="L539" s="4">
        <v>226811237</v>
      </c>
      <c r="M539" s="4" t="s">
        <v>826</v>
      </c>
      <c r="N539" s="2" t="e">
        <f>VLOOKUP(B539,歌单!B:C,2,0)</f>
        <v>#N/A</v>
      </c>
      <c r="O539" s="2">
        <f t="shared" si="12"/>
        <v>1</v>
      </c>
      <c r="P539" t="e">
        <f>VLOOKUP(B539,歌单!B:C,1,0)</f>
        <v>#N/A</v>
      </c>
    </row>
    <row r="540" spans="1:16" ht="15" hidden="1" customHeight="1">
      <c r="A540" s="4" t="s">
        <v>2598</v>
      </c>
      <c r="B540" s="4" t="s">
        <v>2599</v>
      </c>
      <c r="C540" s="4" t="s">
        <v>2600</v>
      </c>
      <c r="D540" s="18"/>
      <c r="E540" s="18">
        <v>0</v>
      </c>
      <c r="F540" s="18">
        <v>0</v>
      </c>
      <c r="G540" s="4" t="s">
        <v>2601</v>
      </c>
      <c r="H540" s="4" t="s">
        <v>2602</v>
      </c>
      <c r="I540" s="5">
        <v>1</v>
      </c>
      <c r="J540" s="4"/>
      <c r="K540" s="4" t="s">
        <v>2603</v>
      </c>
      <c r="L540" s="4">
        <v>1921450</v>
      </c>
      <c r="M540" s="4"/>
      <c r="N540" s="2" t="e">
        <f>VLOOKUP(B540,歌单!B:C,2,0)</f>
        <v>#N/A</v>
      </c>
      <c r="O540" s="2">
        <f t="shared" si="12"/>
        <v>1</v>
      </c>
      <c r="P540" t="e">
        <f>VLOOKUP(B540,歌单!B:C,1,0)</f>
        <v>#N/A</v>
      </c>
    </row>
    <row r="541" spans="1:16" ht="15" hidden="1" customHeight="1">
      <c r="A541" s="4" t="s">
        <v>2604</v>
      </c>
      <c r="B541" s="4" t="s">
        <v>2605</v>
      </c>
      <c r="C541" s="4" t="s">
        <v>541</v>
      </c>
      <c r="D541" s="18"/>
      <c r="E541" s="18">
        <v>0</v>
      </c>
      <c r="F541" s="18">
        <v>0</v>
      </c>
      <c r="G541" s="4" t="s">
        <v>2606</v>
      </c>
      <c r="H541" s="4" t="s">
        <v>2607</v>
      </c>
      <c r="I541" s="5">
        <v>225</v>
      </c>
      <c r="J541" s="4"/>
      <c r="K541" s="4" t="s">
        <v>1689</v>
      </c>
      <c r="L541" s="4">
        <v>93174881</v>
      </c>
      <c r="M541" s="4"/>
      <c r="N541" s="2" t="str">
        <f>VLOOKUP(B541,歌单!B:C,2,0)</f>
        <v>张惠妹</v>
      </c>
      <c r="O541" s="2">
        <f t="shared" si="12"/>
        <v>0</v>
      </c>
      <c r="P541" t="str">
        <f>VLOOKUP(B541,歌单!B:C,1,0)</f>
        <v>记得</v>
      </c>
    </row>
    <row r="542" spans="1:16" ht="15" hidden="1" customHeight="1">
      <c r="A542" s="4" t="s">
        <v>2608</v>
      </c>
      <c r="B542" s="4" t="s">
        <v>2517</v>
      </c>
      <c r="C542" s="4" t="s">
        <v>1545</v>
      </c>
      <c r="D542" s="18"/>
      <c r="E542" s="18">
        <v>0</v>
      </c>
      <c r="F542" s="18">
        <v>0</v>
      </c>
      <c r="G542" s="4" t="s">
        <v>2609</v>
      </c>
      <c r="H542" s="4" t="s">
        <v>2610</v>
      </c>
      <c r="I542" s="5">
        <v>0</v>
      </c>
      <c r="J542" s="4"/>
      <c r="K542" s="4" t="s">
        <v>2611</v>
      </c>
      <c r="L542" s="4">
        <v>813082</v>
      </c>
      <c r="M542" s="4"/>
      <c r="N542" s="2" t="str">
        <f>VLOOKUP(B542,歌单!B:C,2,0)</f>
        <v>梁静茹</v>
      </c>
      <c r="O542" s="2">
        <f t="shared" si="12"/>
        <v>0</v>
      </c>
      <c r="P542" t="str">
        <f>VLOOKUP(B542,歌单!B:C,1,0)</f>
        <v>勇气</v>
      </c>
    </row>
    <row r="543" spans="1:16" ht="15" hidden="1" customHeight="1">
      <c r="A543" s="4" t="s">
        <v>2612</v>
      </c>
      <c r="B543" s="4" t="s">
        <v>749</v>
      </c>
      <c r="C543" s="4" t="s">
        <v>131</v>
      </c>
      <c r="D543" s="18"/>
      <c r="E543" s="18">
        <v>0</v>
      </c>
      <c r="F543" s="18">
        <v>0</v>
      </c>
      <c r="G543" s="4" t="s">
        <v>2613</v>
      </c>
      <c r="H543" s="4" t="s">
        <v>2614</v>
      </c>
      <c r="I543" s="5">
        <v>3</v>
      </c>
      <c r="J543" s="4"/>
      <c r="K543" s="4" t="s">
        <v>2615</v>
      </c>
      <c r="L543" s="4">
        <v>379480</v>
      </c>
      <c r="M543" s="4"/>
      <c r="N543" s="2" t="str">
        <f>VLOOKUP(B543,歌单!B:C,2,0)</f>
        <v>苏打绿</v>
      </c>
      <c r="O543" s="2">
        <f t="shared" si="12"/>
        <v>0</v>
      </c>
      <c r="P543" t="str">
        <f>VLOOKUP(B543,歌单!B:C,1,0)</f>
        <v>我好想你</v>
      </c>
    </row>
    <row r="544" spans="1:16" ht="15" hidden="1" customHeight="1">
      <c r="A544" s="32" t="s">
        <v>2616</v>
      </c>
      <c r="B544" s="4" t="s">
        <v>2617</v>
      </c>
      <c r="C544" s="4" t="s">
        <v>2618</v>
      </c>
      <c r="D544" s="18"/>
      <c r="E544" s="18">
        <v>0</v>
      </c>
      <c r="F544" s="18">
        <v>0</v>
      </c>
      <c r="G544" s="4" t="s">
        <v>2619</v>
      </c>
      <c r="H544" s="4" t="s">
        <v>2620</v>
      </c>
      <c r="I544" s="5">
        <v>0</v>
      </c>
      <c r="J544" s="4"/>
      <c r="K544" s="4" t="s">
        <v>2621</v>
      </c>
      <c r="L544" s="4">
        <v>1282697</v>
      </c>
      <c r="M544" s="4"/>
      <c r="N544" s="28" t="s">
        <v>524</v>
      </c>
      <c r="O544" s="2">
        <f t="shared" si="12"/>
        <v>1</v>
      </c>
      <c r="P544" t="str">
        <f>VLOOKUP(B544,歌单!B:C,1,0)</f>
        <v>你</v>
      </c>
    </row>
    <row r="545" spans="1:16" ht="15" hidden="1" customHeight="1">
      <c r="A545" s="4" t="s">
        <v>2622</v>
      </c>
      <c r="B545" s="4" t="s">
        <v>2623</v>
      </c>
      <c r="C545" s="4" t="s">
        <v>2624</v>
      </c>
      <c r="D545" s="18"/>
      <c r="E545" s="18">
        <v>0</v>
      </c>
      <c r="F545" s="18">
        <v>0</v>
      </c>
      <c r="G545" s="4" t="s">
        <v>2625</v>
      </c>
      <c r="H545" s="4" t="s">
        <v>2626</v>
      </c>
      <c r="I545" s="5">
        <v>4</v>
      </c>
      <c r="J545" s="4"/>
      <c r="K545" s="4" t="s">
        <v>2623</v>
      </c>
      <c r="L545" s="4">
        <v>3366421</v>
      </c>
      <c r="M545" s="4"/>
      <c r="N545" s="2" t="e">
        <f>VLOOKUP(B545,歌单!B:C,2,0)</f>
        <v>#N/A</v>
      </c>
      <c r="O545" s="2">
        <f t="shared" si="12"/>
        <v>1</v>
      </c>
      <c r="P545" t="e">
        <f>VLOOKUP(B545,歌单!B:C,1,0)</f>
        <v>#N/A</v>
      </c>
    </row>
    <row r="546" spans="1:16" ht="15" hidden="1" customHeight="1">
      <c r="A546" s="4" t="s">
        <v>2627</v>
      </c>
      <c r="B546" s="4" t="s">
        <v>2628</v>
      </c>
      <c r="C546" s="4" t="s">
        <v>2629</v>
      </c>
      <c r="D546" s="18"/>
      <c r="E546" s="18">
        <v>0</v>
      </c>
      <c r="F546" s="18">
        <v>0</v>
      </c>
      <c r="G546" s="4" t="s">
        <v>2630</v>
      </c>
      <c r="H546" s="4" t="s">
        <v>2631</v>
      </c>
      <c r="I546" s="5">
        <v>1782</v>
      </c>
      <c r="J546" s="4"/>
      <c r="K546" s="4" t="s">
        <v>2628</v>
      </c>
      <c r="L546" s="4">
        <v>468038910</v>
      </c>
      <c r="M546" s="4"/>
      <c r="N546" s="2" t="str">
        <f>VLOOKUP(B546,歌单!B:C,2,0)</f>
        <v>黄霄雲</v>
      </c>
      <c r="O546" s="2">
        <f t="shared" si="12"/>
        <v>0</v>
      </c>
      <c r="P546" t="str">
        <f>VLOOKUP(B546,歌单!B:C,1,0)</f>
        <v>星辰大海</v>
      </c>
    </row>
    <row r="547" spans="1:16" ht="15" hidden="1" customHeight="1">
      <c r="A547" s="4" t="s">
        <v>2632</v>
      </c>
      <c r="B547" s="4" t="s">
        <v>2633</v>
      </c>
      <c r="C547" s="4" t="s">
        <v>558</v>
      </c>
      <c r="D547" s="18"/>
      <c r="E547" s="18">
        <v>0</v>
      </c>
      <c r="F547" s="18">
        <v>0</v>
      </c>
      <c r="G547" s="4" t="s">
        <v>2634</v>
      </c>
      <c r="H547" s="4" t="s">
        <v>2635</v>
      </c>
      <c r="I547" s="5">
        <v>72</v>
      </c>
      <c r="J547" s="4"/>
      <c r="K547" s="4" t="s">
        <v>566</v>
      </c>
      <c r="L547" s="4">
        <v>18084890</v>
      </c>
      <c r="M547" s="4"/>
      <c r="N547" s="2" t="e">
        <f>VLOOKUP(B547,歌单!B:C,2,0)</f>
        <v>#N/A</v>
      </c>
      <c r="O547" s="2">
        <f t="shared" si="12"/>
        <v>1</v>
      </c>
      <c r="P547" t="e">
        <f>VLOOKUP(B547,歌单!B:C,1,0)</f>
        <v>#N/A</v>
      </c>
    </row>
    <row r="548" spans="1:16" ht="15" hidden="1" customHeight="1">
      <c r="A548" s="4" t="s">
        <v>2636</v>
      </c>
      <c r="B548" s="4" t="s">
        <v>2637</v>
      </c>
      <c r="C548" s="4" t="s">
        <v>574</v>
      </c>
      <c r="D548" s="18"/>
      <c r="E548" s="18">
        <v>0</v>
      </c>
      <c r="F548" s="18">
        <v>0</v>
      </c>
      <c r="G548" s="4" t="s">
        <v>2638</v>
      </c>
      <c r="H548" s="4" t="s">
        <v>2639</v>
      </c>
      <c r="I548" s="5">
        <v>118</v>
      </c>
      <c r="J548" s="4"/>
      <c r="K548" s="4" t="s">
        <v>2640</v>
      </c>
      <c r="L548" s="4">
        <v>90665327</v>
      </c>
      <c r="M548" s="4"/>
      <c r="N548" s="2" t="str">
        <f>VLOOKUP(B548,歌单!B:C,2,0)</f>
        <v>陈奕迅</v>
      </c>
      <c r="O548" s="2">
        <f t="shared" si="12"/>
        <v>0</v>
      </c>
      <c r="P548" t="str">
        <f>VLOOKUP(B548,歌单!B:C,1,0)</f>
        <v>天下无双</v>
      </c>
    </row>
    <row r="549" spans="1:16" ht="15" hidden="1" customHeight="1">
      <c r="A549" s="32" t="s">
        <v>2641</v>
      </c>
      <c r="B549" s="4" t="s">
        <v>2642</v>
      </c>
      <c r="C549" s="4" t="s">
        <v>2643</v>
      </c>
      <c r="D549" s="18"/>
      <c r="E549" s="18">
        <v>0</v>
      </c>
      <c r="F549" s="18">
        <v>0</v>
      </c>
      <c r="G549" s="4" t="s">
        <v>2644</v>
      </c>
      <c r="H549" s="4" t="s">
        <v>2645</v>
      </c>
      <c r="I549" s="5">
        <v>13217</v>
      </c>
      <c r="J549" s="4" t="s">
        <v>2642</v>
      </c>
      <c r="K549" s="4" t="s">
        <v>2642</v>
      </c>
      <c r="L549" s="4">
        <v>858384536</v>
      </c>
      <c r="M549" s="4"/>
      <c r="N549" s="28" t="str">
        <f>VLOOKUP(B549,歌单!B:C,2,0)</f>
        <v>凤凰传奇</v>
      </c>
      <c r="O549" s="2">
        <f t="shared" si="12"/>
        <v>1</v>
      </c>
      <c r="P549" t="str">
        <f>VLOOKUP(B549,歌单!B:C,1,0)</f>
        <v>海底</v>
      </c>
    </row>
    <row r="550" spans="1:16" ht="15" customHeight="1">
      <c r="A550" s="4" t="s">
        <v>2646</v>
      </c>
      <c r="B550" s="4" t="s">
        <v>2647</v>
      </c>
      <c r="C550" s="4" t="s">
        <v>2648</v>
      </c>
      <c r="D550" s="18"/>
      <c r="E550" s="18">
        <v>0</v>
      </c>
      <c r="F550" s="18">
        <v>0</v>
      </c>
      <c r="G550" s="4" t="s">
        <v>2649</v>
      </c>
      <c r="H550" s="4"/>
      <c r="I550" s="5">
        <v>76</v>
      </c>
      <c r="J550" s="4"/>
      <c r="K550" s="4" t="s">
        <v>2650</v>
      </c>
      <c r="L550" s="4">
        <v>64516337</v>
      </c>
      <c r="M550" s="4"/>
      <c r="N550" s="2">
        <f>VLOOKUP(B550,歌单!B:C,2,0)</f>
        <v>0</v>
      </c>
      <c r="O550" s="2">
        <f t="shared" si="12"/>
        <v>1</v>
      </c>
      <c r="P550" t="str">
        <f>VLOOKUP(B550,歌单!B:C,1,0)</f>
        <v>春天在哪里</v>
      </c>
    </row>
    <row r="551" spans="1:16" ht="15" hidden="1" customHeight="1">
      <c r="A551" s="4" t="s">
        <v>2651</v>
      </c>
      <c r="B551" s="4" t="s">
        <v>2395</v>
      </c>
      <c r="C551" s="4" t="s">
        <v>679</v>
      </c>
      <c r="D551" s="18"/>
      <c r="E551" s="18">
        <v>0</v>
      </c>
      <c r="F551" s="18">
        <v>0</v>
      </c>
      <c r="G551" s="4" t="s">
        <v>2652</v>
      </c>
      <c r="H551" s="4" t="s">
        <v>2653</v>
      </c>
      <c r="I551" s="5">
        <v>1634</v>
      </c>
      <c r="J551" s="4" t="s">
        <v>2654</v>
      </c>
      <c r="K551" s="4" t="s">
        <v>2655</v>
      </c>
      <c r="L551" s="4">
        <v>276969386</v>
      </c>
      <c r="M551" s="4"/>
      <c r="N551" s="2" t="str">
        <f>VLOOKUP(B551,歌单!B:C,2,0)</f>
        <v>林俊杰</v>
      </c>
      <c r="O551" s="2">
        <f t="shared" si="12"/>
        <v>0</v>
      </c>
      <c r="P551" t="str">
        <f>VLOOKUP(B551,歌单!B:C,1,0)</f>
        <v>美人鱼</v>
      </c>
    </row>
    <row r="552" spans="1:16" ht="15" hidden="1" customHeight="1">
      <c r="A552" s="4" t="s">
        <v>2656</v>
      </c>
      <c r="B552" s="4" t="s">
        <v>2657</v>
      </c>
      <c r="C552" s="4" t="s">
        <v>2658</v>
      </c>
      <c r="D552" s="18"/>
      <c r="E552" s="18">
        <v>0</v>
      </c>
      <c r="F552" s="18">
        <v>0</v>
      </c>
      <c r="G552" s="4" t="s">
        <v>2659</v>
      </c>
      <c r="H552" s="4" t="s">
        <v>2660</v>
      </c>
      <c r="I552" s="5">
        <v>242</v>
      </c>
      <c r="J552" s="4" t="s">
        <v>2661</v>
      </c>
      <c r="K552" s="4" t="s">
        <v>2657</v>
      </c>
      <c r="L552" s="4">
        <v>64561447</v>
      </c>
      <c r="M552" s="4"/>
      <c r="N552" s="2" t="str">
        <f>VLOOKUP(B552,歌单!B:C,2,0)</f>
        <v>范玮琪</v>
      </c>
      <c r="O552" s="2">
        <f t="shared" si="12"/>
        <v>0</v>
      </c>
      <c r="P552" t="str">
        <f>VLOOKUP(B552,歌单!B:C,1,0)</f>
        <v>最初的梦想</v>
      </c>
    </row>
    <row r="553" spans="1:16" ht="15" hidden="1" customHeight="1">
      <c r="A553" s="4" t="s">
        <v>2662</v>
      </c>
      <c r="B553" s="4" t="s">
        <v>2663</v>
      </c>
      <c r="C553" s="4" t="s">
        <v>2664</v>
      </c>
      <c r="D553" s="18"/>
      <c r="E553" s="18">
        <v>0</v>
      </c>
      <c r="F553" s="18">
        <v>0</v>
      </c>
      <c r="G553" s="4" t="s">
        <v>2665</v>
      </c>
      <c r="H553" s="4"/>
      <c r="I553" s="5">
        <v>29</v>
      </c>
      <c r="J553" s="4"/>
      <c r="K553" s="4" t="s">
        <v>2666</v>
      </c>
      <c r="L553" s="4">
        <v>10858248</v>
      </c>
      <c r="M553" s="4"/>
      <c r="N553" s="2" t="e">
        <f>VLOOKUP(B553,歌单!B:C,2,0)</f>
        <v>#N/A</v>
      </c>
      <c r="O553" s="2">
        <f t="shared" si="12"/>
        <v>1</v>
      </c>
      <c r="P553" t="e">
        <f>VLOOKUP(B553,歌单!B:C,1,0)</f>
        <v>#N/A</v>
      </c>
    </row>
    <row r="554" spans="1:16" ht="15" hidden="1" customHeight="1">
      <c r="A554" s="4" t="s">
        <v>2667</v>
      </c>
      <c r="B554" s="4" t="s">
        <v>2668</v>
      </c>
      <c r="C554" s="4" t="s">
        <v>188</v>
      </c>
      <c r="D554" s="18"/>
      <c r="E554" s="18">
        <v>0</v>
      </c>
      <c r="F554" s="18">
        <v>0</v>
      </c>
      <c r="G554" s="4" t="s">
        <v>2669</v>
      </c>
      <c r="H554" s="4" t="s">
        <v>2670</v>
      </c>
      <c r="I554" s="5">
        <v>75</v>
      </c>
      <c r="J554" s="4"/>
      <c r="K554" s="4" t="s">
        <v>2671</v>
      </c>
      <c r="L554" s="4">
        <v>749161</v>
      </c>
      <c r="M554" s="4"/>
      <c r="N554" s="2" t="e">
        <f>VLOOKUP(B554,歌单!B:C,2,0)</f>
        <v>#N/A</v>
      </c>
      <c r="O554" s="2">
        <f t="shared" si="12"/>
        <v>1</v>
      </c>
      <c r="P554" t="e">
        <f>VLOOKUP(B554,歌单!B:C,1,0)</f>
        <v>#N/A</v>
      </c>
    </row>
    <row r="555" spans="1:16" ht="15" hidden="1" customHeight="1">
      <c r="A555" s="4" t="s">
        <v>2672</v>
      </c>
      <c r="B555" s="4" t="s">
        <v>2673</v>
      </c>
      <c r="C555" s="4" t="s">
        <v>2674</v>
      </c>
      <c r="D555" s="18"/>
      <c r="E555" s="18">
        <v>0</v>
      </c>
      <c r="F555" s="18">
        <v>0</v>
      </c>
      <c r="G555" s="4" t="s">
        <v>2675</v>
      </c>
      <c r="H555" s="4"/>
      <c r="I555" s="5">
        <v>2688</v>
      </c>
      <c r="J555" s="4"/>
      <c r="K555" s="4" t="s">
        <v>2676</v>
      </c>
      <c r="L555" s="4">
        <v>566920212</v>
      </c>
      <c r="M555" s="4"/>
      <c r="N555" s="2" t="e">
        <f>VLOOKUP(B555,歌单!B:C,2,0)</f>
        <v>#N/A</v>
      </c>
      <c r="O555" s="2">
        <f t="shared" si="12"/>
        <v>1</v>
      </c>
      <c r="P555" t="e">
        <f>VLOOKUP(B555,歌单!B:C,1,0)</f>
        <v>#N/A</v>
      </c>
    </row>
    <row r="556" spans="1:16" ht="15" hidden="1" customHeight="1">
      <c r="A556" s="32" t="s">
        <v>2677</v>
      </c>
      <c r="B556" s="4" t="s">
        <v>2678</v>
      </c>
      <c r="C556" s="4" t="s">
        <v>821</v>
      </c>
      <c r="D556" s="18"/>
      <c r="E556" s="18">
        <v>0</v>
      </c>
      <c r="F556" s="18">
        <v>0</v>
      </c>
      <c r="G556" s="4" t="s">
        <v>2679</v>
      </c>
      <c r="H556" s="4" t="s">
        <v>2680</v>
      </c>
      <c r="I556" s="5">
        <v>1</v>
      </c>
      <c r="J556" s="4" t="s">
        <v>2681</v>
      </c>
      <c r="K556" s="4" t="s">
        <v>2682</v>
      </c>
      <c r="L556" s="4">
        <v>2380111</v>
      </c>
      <c r="M556" s="4"/>
      <c r="N556" s="31" t="str">
        <f>VLOOKUP(B556,歌单!B:C,2,0)</f>
        <v>莫文蔚</v>
      </c>
      <c r="O556" s="2">
        <f t="shared" si="12"/>
        <v>1</v>
      </c>
      <c r="P556" t="str">
        <f>VLOOKUP(B556,歌单!B:C,1,0)</f>
        <v>如果没有你</v>
      </c>
    </row>
    <row r="557" spans="1:16" ht="15" hidden="1" customHeight="1">
      <c r="A557" s="4" t="s">
        <v>2683</v>
      </c>
      <c r="B557" s="4" t="s">
        <v>1410</v>
      </c>
      <c r="C557" s="4" t="s">
        <v>146</v>
      </c>
      <c r="D557" s="18"/>
      <c r="E557" s="18">
        <v>0</v>
      </c>
      <c r="F557" s="18">
        <v>0</v>
      </c>
      <c r="G557" s="4" t="s">
        <v>2684</v>
      </c>
      <c r="H557" s="4" t="s">
        <v>2685</v>
      </c>
      <c r="I557" s="5">
        <v>0</v>
      </c>
      <c r="J557" s="4"/>
      <c r="K557" s="4" t="s">
        <v>2686</v>
      </c>
      <c r="L557" s="4">
        <v>1760027</v>
      </c>
      <c r="M557" s="4"/>
      <c r="N557" s="2" t="str">
        <f>VLOOKUP(B557,歌单!B:C,2,0)</f>
        <v>韩红</v>
      </c>
      <c r="O557" s="2">
        <f t="shared" si="12"/>
        <v>0</v>
      </c>
      <c r="P557" t="str">
        <f>VLOOKUP(B557,歌单!B:C,1,0)</f>
        <v>天路</v>
      </c>
    </row>
    <row r="558" spans="1:16" ht="15" hidden="1" customHeight="1">
      <c r="A558" s="32" t="s">
        <v>2687</v>
      </c>
      <c r="B558" s="4" t="s">
        <v>2688</v>
      </c>
      <c r="C558" s="4" t="s">
        <v>245</v>
      </c>
      <c r="D558" s="18"/>
      <c r="E558" s="18">
        <v>46</v>
      </c>
      <c r="F558" s="18">
        <v>15</v>
      </c>
      <c r="G558" s="4" t="s">
        <v>2689</v>
      </c>
      <c r="H558" s="4"/>
      <c r="I558" s="5">
        <v>128</v>
      </c>
      <c r="J558" s="4" t="s">
        <v>2688</v>
      </c>
      <c r="K558" s="4"/>
      <c r="L558" s="4">
        <v>123847658</v>
      </c>
      <c r="M558" s="4"/>
      <c r="N558" s="28" t="str">
        <f>VLOOKUP(B558,歌单!B:C,2,0)</f>
        <v>alin</v>
      </c>
      <c r="O558" s="2">
        <f t="shared" si="12"/>
        <v>1</v>
      </c>
      <c r="P558" t="str">
        <f>VLOOKUP(B558,歌单!B:C,1,0)</f>
        <v>有一种悲伤</v>
      </c>
    </row>
    <row r="559" spans="1:16" ht="15" hidden="1" customHeight="1">
      <c r="A559" s="4" t="s">
        <v>2690</v>
      </c>
      <c r="B559" s="4" t="s">
        <v>2235</v>
      </c>
      <c r="C559" s="4" t="s">
        <v>2236</v>
      </c>
      <c r="D559" s="18"/>
      <c r="E559" s="18">
        <v>0</v>
      </c>
      <c r="F559" s="18">
        <v>0</v>
      </c>
      <c r="G559" s="4" t="s">
        <v>2691</v>
      </c>
      <c r="H559" s="4" t="s">
        <v>2692</v>
      </c>
      <c r="I559" s="5">
        <v>1</v>
      </c>
      <c r="J559" s="4"/>
      <c r="K559" s="4" t="s">
        <v>2693</v>
      </c>
      <c r="L559" s="4">
        <v>6956107</v>
      </c>
      <c r="M559" s="4"/>
      <c r="N559" s="2" t="str">
        <f>VLOOKUP(B559,歌单!B:C,2,0)</f>
        <v>戴佩妮</v>
      </c>
      <c r="O559" s="2">
        <f t="shared" si="12"/>
        <v>0</v>
      </c>
      <c r="P559" t="str">
        <f>VLOOKUP(B559,歌单!B:C,1,0)</f>
        <v>你要的爱</v>
      </c>
    </row>
    <row r="560" spans="1:16" ht="15" hidden="1" customHeight="1">
      <c r="A560" s="4" t="s">
        <v>2694</v>
      </c>
      <c r="B560" s="4" t="s">
        <v>2368</v>
      </c>
      <c r="C560" s="4" t="s">
        <v>884</v>
      </c>
      <c r="D560" s="18"/>
      <c r="E560" s="18">
        <v>35</v>
      </c>
      <c r="F560" s="18">
        <v>29</v>
      </c>
      <c r="G560" s="4" t="s">
        <v>2695</v>
      </c>
      <c r="H560" s="4" t="s">
        <v>2696</v>
      </c>
      <c r="I560" s="5">
        <v>17697</v>
      </c>
      <c r="J560" s="4" t="s">
        <v>2697</v>
      </c>
      <c r="K560" s="4" t="s">
        <v>2368</v>
      </c>
      <c r="L560" s="4">
        <v>1465329274</v>
      </c>
      <c r="M560" s="4" t="s">
        <v>704</v>
      </c>
      <c r="N560" s="2" t="str">
        <f>VLOOKUP(B560,歌单!B:C,2,0)</f>
        <v>王心凌</v>
      </c>
      <c r="O560" s="2">
        <f t="shared" si="12"/>
        <v>0</v>
      </c>
      <c r="P560" t="str">
        <f>VLOOKUP(B560,歌单!B:C,1,0)</f>
        <v>爱你</v>
      </c>
    </row>
    <row r="561" spans="1:16" ht="15" hidden="1" customHeight="1">
      <c r="A561" s="4" t="s">
        <v>2698</v>
      </c>
      <c r="B561" s="4" t="s">
        <v>2699</v>
      </c>
      <c r="C561" s="4" t="s">
        <v>2700</v>
      </c>
      <c r="D561" s="18"/>
      <c r="E561" s="18">
        <v>0</v>
      </c>
      <c r="F561" s="18">
        <v>0</v>
      </c>
      <c r="G561" s="4" t="s">
        <v>2701</v>
      </c>
      <c r="H561" s="4" t="s">
        <v>2702</v>
      </c>
      <c r="I561" s="5">
        <v>1291</v>
      </c>
      <c r="J561" s="4" t="s">
        <v>2703</v>
      </c>
      <c r="K561" s="4" t="s">
        <v>2704</v>
      </c>
      <c r="L561" s="4">
        <v>363930254</v>
      </c>
      <c r="M561" s="4"/>
      <c r="N561" s="2" t="str">
        <f>VLOOKUP(B561,歌单!B:C,2,0)</f>
        <v>飞轮海</v>
      </c>
      <c r="O561" s="2">
        <f t="shared" si="12"/>
        <v>0</v>
      </c>
      <c r="P561" t="str">
        <f>VLOOKUP(B561,歌单!B:C,1,0)</f>
        <v>只对你有感觉</v>
      </c>
    </row>
    <row r="562" spans="1:16" ht="15" hidden="1" customHeight="1">
      <c r="A562" s="4" t="s">
        <v>2705</v>
      </c>
      <c r="B562" s="4" t="s">
        <v>2706</v>
      </c>
      <c r="C562" s="4" t="s">
        <v>2707</v>
      </c>
      <c r="D562" s="18"/>
      <c r="E562" s="18">
        <v>0</v>
      </c>
      <c r="F562" s="18">
        <v>0</v>
      </c>
      <c r="G562" s="4" t="s">
        <v>2708</v>
      </c>
      <c r="H562" s="4"/>
      <c r="I562" s="5">
        <v>0</v>
      </c>
      <c r="J562" s="4"/>
      <c r="K562" s="4" t="s">
        <v>2709</v>
      </c>
      <c r="L562" s="4">
        <v>11467905</v>
      </c>
      <c r="M562" s="4"/>
      <c r="N562" s="2" t="e">
        <f>VLOOKUP(B562,歌单!B:C,2,0)</f>
        <v>#N/A</v>
      </c>
      <c r="O562" s="2">
        <f t="shared" si="12"/>
        <v>1</v>
      </c>
      <c r="P562" t="e">
        <f>VLOOKUP(B562,歌单!B:C,1,0)</f>
        <v>#N/A</v>
      </c>
    </row>
    <row r="563" spans="1:16" ht="15" hidden="1" customHeight="1">
      <c r="A563" s="4" t="s">
        <v>2710</v>
      </c>
      <c r="B563" s="4" t="s">
        <v>2711</v>
      </c>
      <c r="C563" s="4" t="s">
        <v>478</v>
      </c>
      <c r="D563" s="18"/>
      <c r="E563" s="18">
        <v>0</v>
      </c>
      <c r="F563" s="18">
        <v>0</v>
      </c>
      <c r="G563" s="4" t="s">
        <v>2712</v>
      </c>
      <c r="H563" s="4" t="s">
        <v>2713</v>
      </c>
      <c r="I563" s="5">
        <v>20</v>
      </c>
      <c r="J563" s="4"/>
      <c r="K563" s="4" t="s">
        <v>2714</v>
      </c>
      <c r="L563" s="4">
        <v>8081323</v>
      </c>
      <c r="M563" s="4"/>
      <c r="N563" s="2" t="str">
        <f>VLOOKUP(B563,歌单!B:C,2,0)</f>
        <v>邓丽君</v>
      </c>
      <c r="O563" s="2">
        <f t="shared" si="12"/>
        <v>0</v>
      </c>
      <c r="P563" t="str">
        <f>VLOOKUP(B563,歌单!B:C,1,0)</f>
        <v>独上西楼</v>
      </c>
    </row>
    <row r="564" spans="1:16" ht="15" hidden="1" customHeight="1">
      <c r="A564" s="4" t="s">
        <v>2715</v>
      </c>
      <c r="B564" s="4" t="s">
        <v>2716</v>
      </c>
      <c r="C564" s="4" t="s">
        <v>215</v>
      </c>
      <c r="D564" s="18"/>
      <c r="E564" s="18">
        <v>0</v>
      </c>
      <c r="F564" s="18">
        <v>0</v>
      </c>
      <c r="G564" s="7" t="s">
        <v>2717</v>
      </c>
      <c r="H564" s="4" t="s">
        <v>2718</v>
      </c>
      <c r="I564" s="5">
        <v>9</v>
      </c>
      <c r="J564" s="4"/>
      <c r="K564" s="4" t="s">
        <v>2719</v>
      </c>
      <c r="L564" s="4">
        <v>16442640</v>
      </c>
      <c r="M564" s="4"/>
      <c r="N564" s="2" t="e">
        <f>VLOOKUP(B564,歌单!B:C,2,0)</f>
        <v>#N/A</v>
      </c>
      <c r="O564" s="2">
        <f t="shared" si="12"/>
        <v>1</v>
      </c>
      <c r="P564" t="e">
        <f>VLOOKUP(B564,歌单!B:C,1,0)</f>
        <v>#N/A</v>
      </c>
    </row>
    <row r="565" spans="1:16" ht="15" customHeight="1">
      <c r="A565" s="4" t="s">
        <v>2720</v>
      </c>
      <c r="B565" s="4" t="s">
        <v>2721</v>
      </c>
      <c r="C565" s="4" t="s">
        <v>215</v>
      </c>
      <c r="D565" s="18"/>
      <c r="E565" s="18">
        <v>0</v>
      </c>
      <c r="F565" s="18">
        <v>0</v>
      </c>
      <c r="G565" s="4" t="s">
        <v>2722</v>
      </c>
      <c r="H565" s="4" t="s">
        <v>2723</v>
      </c>
      <c r="I565" s="5">
        <v>62</v>
      </c>
      <c r="J565" s="4"/>
      <c r="K565" s="4" t="s">
        <v>2724</v>
      </c>
      <c r="L565" s="4">
        <v>35288991</v>
      </c>
      <c r="M565" s="4"/>
      <c r="N565" s="2">
        <f>VLOOKUP(B565,歌单!B:C,2,0)</f>
        <v>0</v>
      </c>
      <c r="O565" s="2">
        <f t="shared" si="12"/>
        <v>1</v>
      </c>
      <c r="P565" t="str">
        <f>VLOOKUP(B565,歌单!B:C,1,0)</f>
        <v>天之大</v>
      </c>
    </row>
    <row r="566" spans="1:16" ht="15" hidden="1" customHeight="1">
      <c r="A566" s="4" t="s">
        <v>2725</v>
      </c>
      <c r="B566" s="4" t="s">
        <v>2726</v>
      </c>
      <c r="C566" s="4" t="s">
        <v>2727</v>
      </c>
      <c r="D566" s="18"/>
      <c r="E566" s="18">
        <v>0</v>
      </c>
      <c r="F566" s="18">
        <v>0</v>
      </c>
      <c r="G566" s="4" t="s">
        <v>2728</v>
      </c>
      <c r="H566" s="4" t="s">
        <v>2729</v>
      </c>
      <c r="I566" s="5">
        <v>0</v>
      </c>
      <c r="J566" s="4"/>
      <c r="K566" s="4" t="s">
        <v>2730</v>
      </c>
      <c r="L566" s="4">
        <v>104686</v>
      </c>
      <c r="M566" s="4"/>
      <c r="N566" s="2" t="e">
        <f>VLOOKUP(B566,歌单!B:C,2,0)</f>
        <v>#N/A</v>
      </c>
      <c r="O566" s="2">
        <f t="shared" si="12"/>
        <v>1</v>
      </c>
      <c r="P566" t="e">
        <f>VLOOKUP(B566,歌单!B:C,1,0)</f>
        <v>#N/A</v>
      </c>
    </row>
    <row r="567" spans="1:16" ht="15" hidden="1" customHeight="1">
      <c r="A567" s="32" t="s">
        <v>2731</v>
      </c>
      <c r="B567" s="4" t="s">
        <v>2732</v>
      </c>
      <c r="C567" s="4" t="s">
        <v>2733</v>
      </c>
      <c r="D567" s="18"/>
      <c r="E567" s="18">
        <v>0</v>
      </c>
      <c r="F567" s="18">
        <v>0</v>
      </c>
      <c r="G567" s="4" t="s">
        <v>2734</v>
      </c>
      <c r="H567" s="4" t="s">
        <v>2735</v>
      </c>
      <c r="I567" s="5">
        <v>0</v>
      </c>
      <c r="J567" s="4" t="s">
        <v>2736</v>
      </c>
      <c r="K567" s="4" t="s">
        <v>2737</v>
      </c>
      <c r="L567" s="4">
        <v>1695354</v>
      </c>
      <c r="M567" s="4"/>
      <c r="N567" s="28" t="str">
        <f>VLOOKUP(B567,歌单!B:C,2,0)</f>
        <v>周深</v>
      </c>
      <c r="O567" s="2">
        <f t="shared" si="12"/>
        <v>1</v>
      </c>
      <c r="P567" t="str">
        <f>VLOOKUP(B567,歌单!B:C,1,0)</f>
        <v>跟着你到天边</v>
      </c>
    </row>
    <row r="568" spans="1:16" ht="15" hidden="1" customHeight="1">
      <c r="A568" s="4" t="s">
        <v>2738</v>
      </c>
      <c r="B568" s="4" t="s">
        <v>2739</v>
      </c>
      <c r="C568" s="4" t="s">
        <v>238</v>
      </c>
      <c r="D568" s="18"/>
      <c r="E568" s="18">
        <v>0</v>
      </c>
      <c r="F568" s="18">
        <v>0</v>
      </c>
      <c r="G568" s="4" t="s">
        <v>2740</v>
      </c>
      <c r="H568" s="4" t="s">
        <v>2741</v>
      </c>
      <c r="I568" s="5">
        <v>245</v>
      </c>
      <c r="J568" s="4" t="s">
        <v>2742</v>
      </c>
      <c r="K568" s="4" t="s">
        <v>242</v>
      </c>
      <c r="L568" s="4">
        <v>65472016</v>
      </c>
      <c r="M568" s="4"/>
      <c r="N568" s="2" t="str">
        <f>VLOOKUP(B568,歌单!B:C,2,0)</f>
        <v>姚贝娜</v>
      </c>
      <c r="O568" s="2">
        <f t="shared" si="12"/>
        <v>0</v>
      </c>
      <c r="P568" t="str">
        <f>VLOOKUP(B568,歌单!B:C,1,0)</f>
        <v>红颜劫</v>
      </c>
    </row>
    <row r="569" spans="1:16" ht="15" hidden="1" customHeight="1">
      <c r="A569" s="32" t="s">
        <v>2743</v>
      </c>
      <c r="B569" s="4" t="s">
        <v>2744</v>
      </c>
      <c r="C569" s="4" t="s">
        <v>2745</v>
      </c>
      <c r="D569" s="18"/>
      <c r="E569" s="18">
        <v>0</v>
      </c>
      <c r="F569" s="18">
        <v>0</v>
      </c>
      <c r="G569" s="7" t="s">
        <v>2746</v>
      </c>
      <c r="H569" s="4" t="s">
        <v>2747</v>
      </c>
      <c r="I569" s="5">
        <v>407</v>
      </c>
      <c r="J569" s="4" t="s">
        <v>2748</v>
      </c>
      <c r="K569" s="4" t="s">
        <v>2749</v>
      </c>
      <c r="L569" s="4">
        <v>145549019</v>
      </c>
      <c r="M569" s="4"/>
      <c r="N569" s="28" t="str">
        <f>VLOOKUP(B569,歌单!B:C,2,0)</f>
        <v>崔子格</v>
      </c>
      <c r="O569" s="2">
        <f t="shared" si="12"/>
        <v>1</v>
      </c>
      <c r="P569" t="str">
        <f>VLOOKUP(B569,歌单!B:C,1,0)</f>
        <v>红颜旧</v>
      </c>
    </row>
    <row r="570" spans="1:16" ht="15" hidden="1" customHeight="1">
      <c r="A570" s="32" t="s">
        <v>2750</v>
      </c>
      <c r="B570" s="4" t="s">
        <v>2751</v>
      </c>
      <c r="C570" s="4" t="s">
        <v>2752</v>
      </c>
      <c r="D570" s="18"/>
      <c r="E570" s="18">
        <v>0</v>
      </c>
      <c r="F570" s="18">
        <v>0</v>
      </c>
      <c r="G570" s="4" t="s">
        <v>2753</v>
      </c>
      <c r="H570" s="4" t="s">
        <v>2754</v>
      </c>
      <c r="I570" s="5">
        <v>692</v>
      </c>
      <c r="J570" s="4"/>
      <c r="K570" s="4" t="s">
        <v>2751</v>
      </c>
      <c r="L570" s="4">
        <v>156262941</v>
      </c>
      <c r="M570" s="4"/>
      <c r="N570" s="31" t="str">
        <f>VLOOKUP(B570,歌单!B:C,2,0)</f>
        <v>周深</v>
      </c>
      <c r="O570" s="2">
        <f t="shared" si="12"/>
        <v>1</v>
      </c>
      <c r="P570" t="str">
        <f>VLOOKUP(B570,歌单!B:C,1,0)</f>
        <v>化身孤岛的鲸</v>
      </c>
    </row>
    <row r="571" spans="1:16" ht="15" hidden="1" customHeight="1">
      <c r="A571" s="4" t="s">
        <v>2755</v>
      </c>
      <c r="B571" s="4" t="s">
        <v>2756</v>
      </c>
      <c r="C571" s="4" t="s">
        <v>2757</v>
      </c>
      <c r="D571" s="18"/>
      <c r="E571" s="18">
        <v>0</v>
      </c>
      <c r="F571" s="18">
        <v>0</v>
      </c>
      <c r="G571" s="4" t="s">
        <v>2758</v>
      </c>
      <c r="H571" s="4" t="s">
        <v>2759</v>
      </c>
      <c r="I571" s="5">
        <v>21</v>
      </c>
      <c r="J571" s="4"/>
      <c r="K571" s="4" t="s">
        <v>2760</v>
      </c>
      <c r="L571" s="4">
        <v>6000406</v>
      </c>
      <c r="M571" s="4"/>
      <c r="N571" s="2" t="e">
        <f>VLOOKUP(B571,歌单!B:C,2,0)</f>
        <v>#N/A</v>
      </c>
      <c r="O571" s="2">
        <f t="shared" si="12"/>
        <v>1</v>
      </c>
      <c r="P571" t="e">
        <f>VLOOKUP(B571,歌单!B:C,1,0)</f>
        <v>#N/A</v>
      </c>
    </row>
    <row r="572" spans="1:16" ht="15" hidden="1" customHeight="1">
      <c r="A572" s="32" t="s">
        <v>2761</v>
      </c>
      <c r="B572" s="4" t="s">
        <v>2762</v>
      </c>
      <c r="C572" s="4" t="s">
        <v>227</v>
      </c>
      <c r="D572" s="18"/>
      <c r="E572" s="18">
        <v>0</v>
      </c>
      <c r="F572" s="18">
        <v>0</v>
      </c>
      <c r="G572" s="4" t="s">
        <v>2763</v>
      </c>
      <c r="H572" s="4" t="s">
        <v>2764</v>
      </c>
      <c r="I572" s="5">
        <v>3</v>
      </c>
      <c r="J572" s="4"/>
      <c r="K572" s="4" t="s">
        <v>2765</v>
      </c>
      <c r="L572" s="4">
        <v>6360920</v>
      </c>
      <c r="M572" s="4"/>
      <c r="N572" s="31" t="str">
        <f>VLOOKUP(B572,歌单!B:C,2,0)</f>
        <v>邓丽君</v>
      </c>
      <c r="O572" s="2">
        <f t="shared" si="12"/>
        <v>1</v>
      </c>
      <c r="P572" t="str">
        <f>VLOOKUP(B572,歌单!B:C,1,0)</f>
        <v>又见炊烟</v>
      </c>
    </row>
    <row r="573" spans="1:16" ht="15" hidden="1" customHeight="1">
      <c r="A573" s="4" t="s">
        <v>2766</v>
      </c>
      <c r="B573" s="4" t="s">
        <v>2767</v>
      </c>
      <c r="C573" s="4" t="s">
        <v>1274</v>
      </c>
      <c r="D573" s="18"/>
      <c r="E573" s="18">
        <v>0</v>
      </c>
      <c r="F573" s="18">
        <v>0</v>
      </c>
      <c r="G573" s="4" t="s">
        <v>2768</v>
      </c>
      <c r="H573" s="4" t="s">
        <v>2769</v>
      </c>
      <c r="I573" s="5">
        <v>386</v>
      </c>
      <c r="J573" s="4"/>
      <c r="K573" s="4" t="s">
        <v>2770</v>
      </c>
      <c r="L573" s="4">
        <v>235303544</v>
      </c>
      <c r="M573" s="4"/>
      <c r="N573" s="2" t="str">
        <f>VLOOKUP(B573,歌单!B:C,2,0)</f>
        <v>莫文蔚</v>
      </c>
      <c r="O573" s="2">
        <f t="shared" si="12"/>
        <v>0</v>
      </c>
      <c r="P573" t="str">
        <f>VLOOKUP(B573,歌单!B:C,1,0)</f>
        <v>慢慢喜欢你</v>
      </c>
    </row>
    <row r="574" spans="1:16" ht="15" customHeight="1">
      <c r="A574" s="4" t="s">
        <v>2771</v>
      </c>
      <c r="B574" s="4" t="s">
        <v>1949</v>
      </c>
      <c r="C574" s="4" t="s">
        <v>1950</v>
      </c>
      <c r="D574" s="18"/>
      <c r="E574" s="18">
        <v>0</v>
      </c>
      <c r="F574" s="18">
        <v>0</v>
      </c>
      <c r="G574" s="4" t="s">
        <v>2772</v>
      </c>
      <c r="H574" s="4" t="s">
        <v>2773</v>
      </c>
      <c r="I574" s="5">
        <v>273</v>
      </c>
      <c r="J574" s="4" t="s">
        <v>2774</v>
      </c>
      <c r="K574" s="4" t="s">
        <v>2775</v>
      </c>
      <c r="L574" s="4">
        <v>46216626</v>
      </c>
      <c r="M574" s="4"/>
      <c r="N574" s="2">
        <f>VLOOKUP(B574,歌单!B:C,2,0)</f>
        <v>0</v>
      </c>
      <c r="O574" s="2">
        <f t="shared" si="12"/>
        <v>1</v>
      </c>
      <c r="P574" t="str">
        <f>VLOOKUP(B574,歌单!B:C,1,0)</f>
        <v>蝴蝶泉边</v>
      </c>
    </row>
    <row r="575" spans="1:16" ht="15" hidden="1" customHeight="1">
      <c r="A575" s="4" t="s">
        <v>2776</v>
      </c>
      <c r="B575" s="4" t="s">
        <v>2777</v>
      </c>
      <c r="C575" s="4" t="s">
        <v>265</v>
      </c>
      <c r="D575" s="18"/>
      <c r="E575" s="18">
        <v>0</v>
      </c>
      <c r="F575" s="18">
        <v>0</v>
      </c>
      <c r="G575" s="4" t="s">
        <v>2778</v>
      </c>
      <c r="H575" s="4" t="s">
        <v>2779</v>
      </c>
      <c r="I575" s="5">
        <v>9</v>
      </c>
      <c r="J575" s="4"/>
      <c r="K575" s="4"/>
      <c r="L575" s="4">
        <v>5379194</v>
      </c>
      <c r="M575" s="4"/>
      <c r="N575" s="2" t="str">
        <f>VLOOKUP(B575,歌单!B:C,2,0)</f>
        <v>蔡依林</v>
      </c>
      <c r="O575" s="2">
        <f t="shared" si="12"/>
        <v>0</v>
      </c>
      <c r="P575" t="str">
        <f>VLOOKUP(B575,歌单!B:C,1,0)</f>
        <v>妥协</v>
      </c>
    </row>
    <row r="576" spans="1:16" ht="15" hidden="1" customHeight="1">
      <c r="A576" s="4" t="s">
        <v>2780</v>
      </c>
      <c r="B576" s="4" t="s">
        <v>2781</v>
      </c>
      <c r="C576" s="4" t="s">
        <v>265</v>
      </c>
      <c r="D576" s="18"/>
      <c r="E576" s="18">
        <v>0</v>
      </c>
      <c r="F576" s="18">
        <v>0</v>
      </c>
      <c r="G576" s="4" t="s">
        <v>2782</v>
      </c>
      <c r="H576" s="4" t="s">
        <v>2783</v>
      </c>
      <c r="I576" s="5">
        <v>1569</v>
      </c>
      <c r="J576" s="4"/>
      <c r="K576" s="4" t="s">
        <v>2784</v>
      </c>
      <c r="L576" s="4">
        <v>385518187</v>
      </c>
      <c r="M576" s="4"/>
      <c r="N576" s="2" t="str">
        <f>VLOOKUP(B576,歌单!B:C,2,0)</f>
        <v>蔡依林</v>
      </c>
      <c r="O576" s="2">
        <f t="shared" si="12"/>
        <v>0</v>
      </c>
      <c r="P576" t="str">
        <f>VLOOKUP(B576,歌单!B:C,1,0)</f>
        <v>日不落</v>
      </c>
    </row>
    <row r="577" spans="1:16" ht="15" hidden="1" customHeight="1">
      <c r="A577" s="4" t="s">
        <v>2785</v>
      </c>
      <c r="B577" s="4" t="s">
        <v>1235</v>
      </c>
      <c r="C577" s="4" t="s">
        <v>2786</v>
      </c>
      <c r="D577" s="18"/>
      <c r="E577" s="18">
        <v>0</v>
      </c>
      <c r="F577" s="18">
        <v>0</v>
      </c>
      <c r="G577" s="7" t="s">
        <v>2787</v>
      </c>
      <c r="H577" s="7" t="s">
        <v>2788</v>
      </c>
      <c r="I577" s="5">
        <v>16530</v>
      </c>
      <c r="J577" s="4"/>
      <c r="K577" s="4" t="s">
        <v>1235</v>
      </c>
      <c r="L577" s="4">
        <v>2168365576</v>
      </c>
      <c r="M577" s="4" t="s">
        <v>2789</v>
      </c>
      <c r="N577" s="2" t="str">
        <f>VLOOKUP(B577,歌单!B:C,2,0)</f>
        <v>队长</v>
      </c>
      <c r="O577" s="2">
        <f t="shared" si="12"/>
        <v>0</v>
      </c>
      <c r="P577" t="str">
        <f>VLOOKUP(B577,歌单!B:C,1,0)</f>
        <v>哪里都是你</v>
      </c>
    </row>
    <row r="578" spans="1:16" ht="15" customHeight="1">
      <c r="A578" s="4" t="s">
        <v>2790</v>
      </c>
      <c r="B578" s="4" t="s">
        <v>2791</v>
      </c>
      <c r="C578" s="4" t="s">
        <v>2792</v>
      </c>
      <c r="D578" s="18"/>
      <c r="E578" s="18">
        <v>0</v>
      </c>
      <c r="F578" s="18">
        <v>0</v>
      </c>
      <c r="G578" s="4" t="s">
        <v>2793</v>
      </c>
      <c r="H578" s="4" t="s">
        <v>2794</v>
      </c>
      <c r="I578" s="5">
        <v>4</v>
      </c>
      <c r="J578" s="4"/>
      <c r="K578" s="4" t="s">
        <v>2795</v>
      </c>
      <c r="L578" s="4">
        <v>931440</v>
      </c>
      <c r="M578" s="4"/>
      <c r="N578" s="2">
        <f>VLOOKUP(B578,歌单!B:C,2,0)</f>
        <v>0</v>
      </c>
      <c r="O578" s="2">
        <f t="shared" si="12"/>
        <v>1</v>
      </c>
      <c r="P578" t="str">
        <f>VLOOKUP(B578,歌单!B:C,1,0)</f>
        <v>Forever Young</v>
      </c>
    </row>
    <row r="579" spans="1:16" ht="15" hidden="1" customHeight="1">
      <c r="A579" s="4" t="s">
        <v>2796</v>
      </c>
      <c r="B579" s="4" t="s">
        <v>2797</v>
      </c>
      <c r="C579" s="4" t="s">
        <v>2798</v>
      </c>
      <c r="D579" s="18"/>
      <c r="E579" s="18">
        <v>0</v>
      </c>
      <c r="F579" s="18">
        <v>0</v>
      </c>
      <c r="G579" s="4" t="s">
        <v>2799</v>
      </c>
      <c r="H579" s="4" t="s">
        <v>2800</v>
      </c>
      <c r="I579" s="5">
        <v>10</v>
      </c>
      <c r="J579" s="4"/>
      <c r="K579" s="4" t="s">
        <v>2801</v>
      </c>
      <c r="L579" s="4">
        <v>1731390</v>
      </c>
      <c r="M579" s="4"/>
      <c r="N579" s="2" t="e">
        <f>VLOOKUP(B579,歌单!B:C,2,0)</f>
        <v>#N/A</v>
      </c>
      <c r="O579" s="2">
        <f t="shared" ref="O579:O642" si="13">_xlfn.IFNA(IF(IFERROR(SEARCH(N579,C579),0)&gt;0,0,1),0)</f>
        <v>1</v>
      </c>
      <c r="P579" t="e">
        <f>VLOOKUP(B579,歌单!B:C,1,0)</f>
        <v>#N/A</v>
      </c>
    </row>
    <row r="580" spans="1:16" ht="15" hidden="1" customHeight="1">
      <c r="A580" s="4" t="s">
        <v>2802</v>
      </c>
      <c r="B580" s="4" t="s">
        <v>2803</v>
      </c>
      <c r="C580" s="4" t="s">
        <v>650</v>
      </c>
      <c r="D580" s="18"/>
      <c r="E580" s="18">
        <v>0</v>
      </c>
      <c r="F580" s="18">
        <v>0</v>
      </c>
      <c r="G580" s="4" t="s">
        <v>2804</v>
      </c>
      <c r="H580" s="4" t="s">
        <v>2805</v>
      </c>
      <c r="I580" s="5">
        <v>335</v>
      </c>
      <c r="J580" s="4" t="s">
        <v>2806</v>
      </c>
      <c r="K580" s="4" t="s">
        <v>2807</v>
      </c>
      <c r="L580" s="4">
        <v>120843470</v>
      </c>
      <c r="M580" s="4"/>
      <c r="N580" s="2" t="e">
        <f>VLOOKUP(B580,歌单!B:C,2,0)</f>
        <v>#N/A</v>
      </c>
      <c r="O580" s="2">
        <f t="shared" si="13"/>
        <v>1</v>
      </c>
      <c r="P580" t="e">
        <f>VLOOKUP(B580,歌单!B:C,1,0)</f>
        <v>#N/A</v>
      </c>
    </row>
    <row r="581" spans="1:16" ht="15" hidden="1" customHeight="1">
      <c r="A581" s="4" t="s">
        <v>2808</v>
      </c>
      <c r="B581" s="4" t="s">
        <v>2809</v>
      </c>
      <c r="C581" s="4" t="s">
        <v>721</v>
      </c>
      <c r="D581" s="18"/>
      <c r="E581" s="18">
        <v>733</v>
      </c>
      <c r="F581" s="18">
        <v>143</v>
      </c>
      <c r="G581" s="4" t="s">
        <v>2810</v>
      </c>
      <c r="H581" s="4" t="s">
        <v>2811</v>
      </c>
      <c r="I581" s="5">
        <v>132</v>
      </c>
      <c r="J581" s="4"/>
      <c r="K581" s="4" t="s">
        <v>2812</v>
      </c>
      <c r="L581" s="4">
        <v>124838940</v>
      </c>
      <c r="M581" s="4"/>
      <c r="N581" s="2" t="e">
        <f>VLOOKUP(B581,歌单!B:C,2,0)</f>
        <v>#N/A</v>
      </c>
      <c r="O581" s="2">
        <f t="shared" si="13"/>
        <v>1</v>
      </c>
      <c r="P581" t="e">
        <f>VLOOKUP(B581,歌单!B:C,1,0)</f>
        <v>#N/A</v>
      </c>
    </row>
    <row r="582" spans="1:16" ht="15" hidden="1" customHeight="1">
      <c r="A582" s="32" t="s">
        <v>2813</v>
      </c>
      <c r="B582" s="4" t="s">
        <v>2814</v>
      </c>
      <c r="C582" s="4" t="s">
        <v>2272</v>
      </c>
      <c r="D582" s="18"/>
      <c r="E582" s="18">
        <v>0</v>
      </c>
      <c r="F582" s="18">
        <v>0</v>
      </c>
      <c r="G582" s="4" t="s">
        <v>2815</v>
      </c>
      <c r="H582" s="4" t="s">
        <v>2816</v>
      </c>
      <c r="I582" s="5">
        <v>24</v>
      </c>
      <c r="J582" s="4"/>
      <c r="K582" s="4" t="s">
        <v>2817</v>
      </c>
      <c r="L582" s="4">
        <v>16479947</v>
      </c>
      <c r="M582" s="4"/>
      <c r="N582" s="2" t="str">
        <f>VLOOKUP(B582,歌单!B:C,2,0)</f>
        <v>黄丽玲A-Lin</v>
      </c>
      <c r="O582" s="2">
        <f t="shared" si="13"/>
        <v>1</v>
      </c>
      <c r="P582" t="str">
        <f>VLOOKUP(B582,歌单!B:C,1,0)</f>
        <v>我等到花儿也谢了</v>
      </c>
    </row>
    <row r="583" spans="1:16" ht="15" hidden="1" customHeight="1">
      <c r="A583" s="4" t="s">
        <v>2818</v>
      </c>
      <c r="B583" s="4" t="s">
        <v>2819</v>
      </c>
      <c r="C583" s="4" t="s">
        <v>2820</v>
      </c>
      <c r="D583" s="18"/>
      <c r="E583" s="18">
        <v>0</v>
      </c>
      <c r="F583" s="18">
        <v>0</v>
      </c>
      <c r="G583" s="4" t="s">
        <v>2821</v>
      </c>
      <c r="H583" s="4" t="s">
        <v>2822</v>
      </c>
      <c r="I583" s="5">
        <v>17</v>
      </c>
      <c r="J583" s="4"/>
      <c r="K583" s="4" t="s">
        <v>2823</v>
      </c>
      <c r="L583" s="4">
        <v>2181437</v>
      </c>
      <c r="M583" s="4"/>
      <c r="N583" s="2" t="e">
        <f>VLOOKUP(B583,歌单!B:C,2,0)</f>
        <v>#N/A</v>
      </c>
      <c r="O583" s="2">
        <f t="shared" si="13"/>
        <v>1</v>
      </c>
      <c r="P583" t="e">
        <f>VLOOKUP(B583,歌单!B:C,1,0)</f>
        <v>#N/A</v>
      </c>
    </row>
    <row r="584" spans="1:16" ht="15" hidden="1" customHeight="1">
      <c r="A584" s="4" t="s">
        <v>2824</v>
      </c>
      <c r="B584" s="4" t="s">
        <v>2825</v>
      </c>
      <c r="C584" s="4" t="s">
        <v>493</v>
      </c>
      <c r="D584" s="18"/>
      <c r="E584" s="18">
        <v>22741</v>
      </c>
      <c r="F584" s="18">
        <v>4681</v>
      </c>
      <c r="G584" s="4" t="s">
        <v>2826</v>
      </c>
      <c r="H584" s="4"/>
      <c r="I584" s="5">
        <v>518</v>
      </c>
      <c r="J584" s="4" t="s">
        <v>2825</v>
      </c>
      <c r="K584" s="4" t="s">
        <v>2825</v>
      </c>
      <c r="L584" s="4">
        <v>179916692</v>
      </c>
      <c r="M584" s="4" t="s">
        <v>1224</v>
      </c>
      <c r="N584" s="2" t="e">
        <f>VLOOKUP(B584,歌单!B:C,2,0)</f>
        <v>#N/A</v>
      </c>
      <c r="O584" s="2">
        <f t="shared" si="13"/>
        <v>1</v>
      </c>
      <c r="P584" t="e">
        <f>VLOOKUP(B584,歌单!B:C,1,0)</f>
        <v>#N/A</v>
      </c>
    </row>
    <row r="585" spans="1:16" ht="15" hidden="1" customHeight="1">
      <c r="A585" s="4" t="s">
        <v>2827</v>
      </c>
      <c r="B585" s="4" t="s">
        <v>2828</v>
      </c>
      <c r="C585" s="4" t="s">
        <v>434</v>
      </c>
      <c r="D585" s="18"/>
      <c r="E585" s="18">
        <v>0</v>
      </c>
      <c r="F585" s="18">
        <v>0</v>
      </c>
      <c r="G585" s="4" t="s">
        <v>2829</v>
      </c>
      <c r="H585" s="4" t="s">
        <v>2830</v>
      </c>
      <c r="I585" s="5">
        <v>83</v>
      </c>
      <c r="J585" s="4"/>
      <c r="K585" s="4"/>
      <c r="L585" s="4">
        <v>39935600</v>
      </c>
      <c r="M585" s="4"/>
      <c r="N585" s="2" t="str">
        <f>VLOOKUP(B585,歌单!B:C,2,0)</f>
        <v>陈洁仪</v>
      </c>
      <c r="O585" s="2">
        <f t="shared" si="13"/>
        <v>0</v>
      </c>
      <c r="P585" t="str">
        <f>VLOOKUP(B585,歌单!B:C,1,0)</f>
        <v>心动</v>
      </c>
    </row>
    <row r="586" spans="1:16" ht="15" customHeight="1">
      <c r="A586" s="4" t="s">
        <v>2831</v>
      </c>
      <c r="B586" s="4" t="s">
        <v>2832</v>
      </c>
      <c r="C586" s="4" t="s">
        <v>2833</v>
      </c>
      <c r="D586" s="18"/>
      <c r="E586" s="18">
        <v>0</v>
      </c>
      <c r="F586" s="18">
        <v>0</v>
      </c>
      <c r="G586" s="4" t="s">
        <v>2834</v>
      </c>
      <c r="H586" s="4" t="s">
        <v>2835</v>
      </c>
      <c r="I586" s="5">
        <v>1016</v>
      </c>
      <c r="J586" s="4"/>
      <c r="K586" s="4" t="s">
        <v>2836</v>
      </c>
      <c r="L586" s="4">
        <v>69264377</v>
      </c>
      <c r="M586" s="4"/>
      <c r="N586" s="2">
        <f>VLOOKUP(B586,歌单!B:C,2,0)</f>
        <v>0</v>
      </c>
      <c r="O586" s="2">
        <f t="shared" si="13"/>
        <v>1</v>
      </c>
      <c r="P586" t="str">
        <f>VLOOKUP(B586,歌单!B:C,1,0)</f>
        <v>Fly Me To The Moon</v>
      </c>
    </row>
    <row r="587" spans="1:16" ht="15" hidden="1" customHeight="1">
      <c r="A587" s="4" t="s">
        <v>2837</v>
      </c>
      <c r="B587" s="4" t="s">
        <v>2838</v>
      </c>
      <c r="C587" s="4" t="s">
        <v>541</v>
      </c>
      <c r="D587" s="18"/>
      <c r="E587" s="18">
        <v>0</v>
      </c>
      <c r="F587" s="18">
        <v>0</v>
      </c>
      <c r="G587" s="4" t="s">
        <v>2839</v>
      </c>
      <c r="H587" s="4" t="s">
        <v>2840</v>
      </c>
      <c r="I587" s="5">
        <v>218</v>
      </c>
      <c r="J587" s="4"/>
      <c r="K587" s="4" t="s">
        <v>2841</v>
      </c>
      <c r="L587" s="4">
        <v>135606370</v>
      </c>
      <c r="M587" s="4"/>
      <c r="N587" s="2" t="str">
        <f>VLOOKUP(B587,歌单!B:C,2,0)</f>
        <v>张惠妹</v>
      </c>
      <c r="O587" s="2">
        <f t="shared" si="13"/>
        <v>0</v>
      </c>
      <c r="P587" t="str">
        <f>VLOOKUP(B587,歌单!B:C,1,0)</f>
        <v>母系社会</v>
      </c>
    </row>
    <row r="588" spans="1:16" ht="15" hidden="1" customHeight="1">
      <c r="A588" s="4" t="s">
        <v>2842</v>
      </c>
      <c r="B588" s="4" t="s">
        <v>2843</v>
      </c>
      <c r="C588" s="4" t="s">
        <v>131</v>
      </c>
      <c r="D588" s="18"/>
      <c r="E588" s="18">
        <v>0</v>
      </c>
      <c r="F588" s="18">
        <v>0</v>
      </c>
      <c r="G588" s="4" t="s">
        <v>2844</v>
      </c>
      <c r="H588" s="4" t="s">
        <v>2845</v>
      </c>
      <c r="I588" s="5">
        <v>0</v>
      </c>
      <c r="J588" s="4"/>
      <c r="K588" s="4" t="s">
        <v>2846</v>
      </c>
      <c r="L588" s="4">
        <v>1919723</v>
      </c>
      <c r="M588" s="4"/>
      <c r="N588" s="2" t="e">
        <f>VLOOKUP(B588,歌单!B:C,2,0)</f>
        <v>#N/A</v>
      </c>
      <c r="O588" s="2">
        <f t="shared" si="13"/>
        <v>1</v>
      </c>
      <c r="P588" t="e">
        <f>VLOOKUP(B588,歌单!B:C,1,0)</f>
        <v>#N/A</v>
      </c>
    </row>
    <row r="589" spans="1:16" ht="15" hidden="1" customHeight="1">
      <c r="A589" s="4" t="s">
        <v>2847</v>
      </c>
      <c r="B589" s="4" t="s">
        <v>2848</v>
      </c>
      <c r="C589" s="4" t="s">
        <v>2849</v>
      </c>
      <c r="D589" s="18"/>
      <c r="E589" s="18">
        <v>0</v>
      </c>
      <c r="F589" s="18">
        <v>0</v>
      </c>
      <c r="G589" s="4" t="s">
        <v>2850</v>
      </c>
      <c r="H589" s="4" t="s">
        <v>2851</v>
      </c>
      <c r="I589" s="5">
        <v>0</v>
      </c>
      <c r="J589" s="4"/>
      <c r="K589" s="4" t="s">
        <v>2848</v>
      </c>
      <c r="L589" s="4">
        <v>46506</v>
      </c>
      <c r="M589" s="4"/>
      <c r="N589" s="2" t="e">
        <f>VLOOKUP(B589,歌单!B:C,2,0)</f>
        <v>#N/A</v>
      </c>
      <c r="O589" s="2">
        <f t="shared" si="13"/>
        <v>1</v>
      </c>
      <c r="P589" t="e">
        <f>VLOOKUP(B589,歌单!B:C,1,0)</f>
        <v>#N/A</v>
      </c>
    </row>
    <row r="590" spans="1:16" ht="15" hidden="1" customHeight="1">
      <c r="A590" s="4" t="s">
        <v>2852</v>
      </c>
      <c r="B590" s="4" t="s">
        <v>2853</v>
      </c>
      <c r="C590" s="4" t="s">
        <v>227</v>
      </c>
      <c r="D590" s="18"/>
      <c r="E590" s="18">
        <v>0</v>
      </c>
      <c r="F590" s="18">
        <v>0</v>
      </c>
      <c r="G590" s="4" t="s">
        <v>2854</v>
      </c>
      <c r="H590" s="4" t="s">
        <v>2855</v>
      </c>
      <c r="I590" s="5">
        <v>14</v>
      </c>
      <c r="J590" s="4" t="s">
        <v>2856</v>
      </c>
      <c r="K590" s="4" t="s">
        <v>2857</v>
      </c>
      <c r="L590" s="4">
        <v>10421588</v>
      </c>
      <c r="M590" s="4"/>
      <c r="N590" s="2" t="e">
        <f>VLOOKUP(B590,歌单!B:C,2,0)</f>
        <v>#N/A</v>
      </c>
      <c r="O590" s="2">
        <f t="shared" si="13"/>
        <v>1</v>
      </c>
      <c r="P590" t="e">
        <f>VLOOKUP(B590,歌单!B:C,1,0)</f>
        <v>#N/A</v>
      </c>
    </row>
    <row r="591" spans="1:16" ht="15" hidden="1" customHeight="1">
      <c r="A591" s="32" t="s">
        <v>2858</v>
      </c>
      <c r="B591" s="4" t="s">
        <v>2859</v>
      </c>
      <c r="C591" s="4" t="s">
        <v>2860</v>
      </c>
      <c r="D591" s="18"/>
      <c r="E591" s="18">
        <v>0</v>
      </c>
      <c r="F591" s="18">
        <v>0</v>
      </c>
      <c r="G591" s="4" t="s">
        <v>2861</v>
      </c>
      <c r="H591" s="4" t="s">
        <v>2862</v>
      </c>
      <c r="I591" s="5">
        <v>274</v>
      </c>
      <c r="J591" s="4" t="s">
        <v>2863</v>
      </c>
      <c r="K591" s="4" t="s">
        <v>2864</v>
      </c>
      <c r="L591" s="4">
        <v>106409525</v>
      </c>
      <c r="M591" s="4"/>
      <c r="N591" s="28" t="str">
        <f>VLOOKUP(B591,歌单!B:C,2,0)</f>
        <v>王欣宇</v>
      </c>
      <c r="O591" s="2">
        <f t="shared" si="13"/>
        <v>1</v>
      </c>
      <c r="P591" t="str">
        <f>VLOOKUP(B591,歌单!B:C,1,0)</f>
        <v>心愿便利贴</v>
      </c>
    </row>
    <row r="592" spans="1:16" ht="15" hidden="1" customHeight="1">
      <c r="A592" s="4" t="s">
        <v>2865</v>
      </c>
      <c r="B592" s="4" t="s">
        <v>2866</v>
      </c>
      <c r="C592" s="4" t="s">
        <v>2867</v>
      </c>
      <c r="D592" s="18"/>
      <c r="E592" s="18">
        <v>0</v>
      </c>
      <c r="F592" s="18">
        <v>0</v>
      </c>
      <c r="G592" s="4" t="s">
        <v>2868</v>
      </c>
      <c r="H592" s="4" t="s">
        <v>2869</v>
      </c>
      <c r="I592" s="5">
        <v>2536</v>
      </c>
      <c r="J592" s="4" t="s">
        <v>2870</v>
      </c>
      <c r="K592" s="4" t="s">
        <v>2871</v>
      </c>
      <c r="L592" s="4">
        <v>692439138</v>
      </c>
      <c r="M592" s="4" t="s">
        <v>431</v>
      </c>
      <c r="N592" s="2" t="str">
        <f>VLOOKUP(B592,歌单!B:C,2,0)</f>
        <v>王蓝茵</v>
      </c>
      <c r="O592" s="2">
        <f t="shared" si="13"/>
        <v>0</v>
      </c>
      <c r="P592" t="str">
        <f>VLOOKUP(B592,歌单!B:C,1,0)</f>
        <v>恶作剧</v>
      </c>
    </row>
    <row r="593" spans="1:16" ht="15" hidden="1" customHeight="1">
      <c r="A593" s="4" t="s">
        <v>2872</v>
      </c>
      <c r="B593" s="4" t="s">
        <v>2873</v>
      </c>
      <c r="C593" s="4" t="s">
        <v>2874</v>
      </c>
      <c r="D593" s="18"/>
      <c r="E593" s="18">
        <v>48</v>
      </c>
      <c r="F593" s="18">
        <v>14</v>
      </c>
      <c r="G593" s="4" t="s">
        <v>2875</v>
      </c>
      <c r="H593" s="4" t="s">
        <v>2876</v>
      </c>
      <c r="I593" s="5">
        <v>160</v>
      </c>
      <c r="J593" s="4" t="s">
        <v>2877</v>
      </c>
      <c r="K593" s="4" t="s">
        <v>1287</v>
      </c>
      <c r="L593" s="4">
        <v>198418847</v>
      </c>
      <c r="M593" s="4"/>
      <c r="N593" s="2" t="str">
        <f>VLOOKUP(B593,歌单!B:C,2,0)</f>
        <v>林俊杰</v>
      </c>
      <c r="O593" s="2">
        <f t="shared" si="13"/>
        <v>0</v>
      </c>
      <c r="P593" t="str">
        <f>VLOOKUP(B593,歌单!B:C,1,0)</f>
        <v>小酒窝</v>
      </c>
    </row>
    <row r="594" spans="1:16" ht="15" customHeight="1">
      <c r="A594" s="4" t="s">
        <v>2878</v>
      </c>
      <c r="B594" s="4" t="s">
        <v>2879</v>
      </c>
      <c r="C594" s="4" t="s">
        <v>395</v>
      </c>
      <c r="D594" s="18"/>
      <c r="E594" s="18">
        <v>0</v>
      </c>
      <c r="F594" s="18">
        <v>0</v>
      </c>
      <c r="G594" s="4" t="s">
        <v>2880</v>
      </c>
      <c r="H594" s="4" t="s">
        <v>2881</v>
      </c>
      <c r="I594" s="5">
        <v>258</v>
      </c>
      <c r="J594" s="4"/>
      <c r="K594" s="4" t="s">
        <v>2882</v>
      </c>
      <c r="L594" s="4">
        <v>81450082</v>
      </c>
      <c r="M594" s="4"/>
      <c r="N594" s="2">
        <f>VLOOKUP(B594,歌单!B:C,2,0)</f>
        <v>0</v>
      </c>
      <c r="O594" s="2">
        <f t="shared" si="13"/>
        <v>1</v>
      </c>
      <c r="P594" t="str">
        <f>VLOOKUP(B594,歌单!B:C,1,0)</f>
        <v>怎么办</v>
      </c>
    </row>
    <row r="595" spans="1:16" ht="15" hidden="1" customHeight="1">
      <c r="A595" s="4" t="s">
        <v>2883</v>
      </c>
      <c r="B595" s="4" t="s">
        <v>2884</v>
      </c>
      <c r="C595" s="4" t="s">
        <v>776</v>
      </c>
      <c r="D595" s="18"/>
      <c r="E595" s="18">
        <v>0</v>
      </c>
      <c r="F595" s="18">
        <v>0</v>
      </c>
      <c r="G595" s="4" t="s">
        <v>2885</v>
      </c>
      <c r="H595" s="4" t="s">
        <v>2886</v>
      </c>
      <c r="I595" s="5">
        <v>74</v>
      </c>
      <c r="J595" s="4" t="s">
        <v>2887</v>
      </c>
      <c r="K595" s="4" t="s">
        <v>2888</v>
      </c>
      <c r="L595" s="4">
        <v>55072286</v>
      </c>
      <c r="M595" s="4"/>
      <c r="N595" s="2" t="e">
        <f>VLOOKUP(B595,歌单!B:C,2,0)</f>
        <v>#N/A</v>
      </c>
      <c r="O595" s="2">
        <f t="shared" si="13"/>
        <v>1</v>
      </c>
      <c r="P595" t="e">
        <f>VLOOKUP(B595,歌单!B:C,1,0)</f>
        <v>#N/A</v>
      </c>
    </row>
    <row r="596" spans="1:16" ht="15" hidden="1" customHeight="1">
      <c r="A596" s="4" t="s">
        <v>2889</v>
      </c>
      <c r="B596" s="4" t="s">
        <v>2890</v>
      </c>
      <c r="C596" s="4" t="s">
        <v>776</v>
      </c>
      <c r="D596" s="18"/>
      <c r="E596" s="18">
        <v>0</v>
      </c>
      <c r="F596" s="18">
        <v>0</v>
      </c>
      <c r="G596" s="4" t="s">
        <v>2891</v>
      </c>
      <c r="H596" s="4" t="s">
        <v>2892</v>
      </c>
      <c r="I596" s="5">
        <v>198</v>
      </c>
      <c r="J596" s="4"/>
      <c r="K596" s="4" t="s">
        <v>2893</v>
      </c>
      <c r="L596" s="4">
        <v>57820423</v>
      </c>
      <c r="M596" s="4"/>
      <c r="N596" s="2" t="str">
        <f>VLOOKUP(B596,歌单!B:C,2,0)</f>
        <v>张靓颖</v>
      </c>
      <c r="O596" s="2">
        <f t="shared" si="13"/>
        <v>0</v>
      </c>
      <c r="P596" t="str">
        <f>VLOOKUP(B596,歌单!B:C,1,0)</f>
        <v>如果这就是爱情</v>
      </c>
    </row>
    <row r="597" spans="1:16" ht="15" hidden="1" customHeight="1">
      <c r="A597" s="32" t="s">
        <v>2894</v>
      </c>
      <c r="B597" s="4" t="s">
        <v>1388</v>
      </c>
      <c r="C597" s="4" t="s">
        <v>1389</v>
      </c>
      <c r="D597" s="18"/>
      <c r="E597" s="18">
        <v>0</v>
      </c>
      <c r="F597" s="18">
        <v>0</v>
      </c>
      <c r="G597" s="4" t="s">
        <v>2895</v>
      </c>
      <c r="H597" s="4" t="s">
        <v>2896</v>
      </c>
      <c r="I597" s="5">
        <v>7</v>
      </c>
      <c r="J597" s="4"/>
      <c r="K597" s="4" t="s">
        <v>2897</v>
      </c>
      <c r="L597" s="4">
        <v>3793203</v>
      </c>
      <c r="M597" s="4"/>
      <c r="N597" s="28" t="str">
        <f>VLOOKUP(B597,歌单!B:C,2,0)</f>
        <v>韩红</v>
      </c>
      <c r="O597" s="2">
        <f t="shared" si="13"/>
        <v>1</v>
      </c>
      <c r="P597" t="str">
        <f>VLOOKUP(B597,歌单!B:C,1,0)</f>
        <v>梨花又开放</v>
      </c>
    </row>
    <row r="598" spans="1:16" ht="15" hidden="1" customHeight="1">
      <c r="A598" s="4" t="s">
        <v>2898</v>
      </c>
      <c r="B598" s="4" t="s">
        <v>2899</v>
      </c>
      <c r="C598" s="4" t="s">
        <v>2900</v>
      </c>
      <c r="D598" s="18"/>
      <c r="E598" s="18">
        <v>0</v>
      </c>
      <c r="F598" s="18">
        <v>0</v>
      </c>
      <c r="G598" s="4" t="s">
        <v>2901</v>
      </c>
      <c r="H598" s="4"/>
      <c r="I598" s="5">
        <v>1972</v>
      </c>
      <c r="J598" s="4" t="s">
        <v>2902</v>
      </c>
      <c r="K598" s="4" t="s">
        <v>2899</v>
      </c>
      <c r="L598" s="4">
        <v>332489144</v>
      </c>
      <c r="M598" s="4"/>
      <c r="N598" s="2" t="str">
        <f>VLOOKUP(B598,歌单!B:C,2,0)</f>
        <v>叶佩英</v>
      </c>
      <c r="O598" s="2">
        <f t="shared" si="13"/>
        <v>0</v>
      </c>
      <c r="P598" t="str">
        <f>VLOOKUP(B598,歌单!B:C,1,0)</f>
        <v>我爱你，中国</v>
      </c>
    </row>
    <row r="599" spans="1:16" ht="15" customHeight="1">
      <c r="A599" s="4" t="s">
        <v>2903</v>
      </c>
      <c r="B599" s="4" t="s">
        <v>2576</v>
      </c>
      <c r="C599" s="4" t="s">
        <v>2577</v>
      </c>
      <c r="D599" s="18"/>
      <c r="E599" s="18">
        <v>0</v>
      </c>
      <c r="F599" s="18">
        <v>0</v>
      </c>
      <c r="G599" s="4" t="s">
        <v>2904</v>
      </c>
      <c r="H599" s="4" t="s">
        <v>2905</v>
      </c>
      <c r="I599" s="5">
        <v>0</v>
      </c>
      <c r="J599" s="4"/>
      <c r="K599" s="4" t="s">
        <v>2906</v>
      </c>
      <c r="L599" s="4">
        <v>1982892</v>
      </c>
      <c r="M599" s="4"/>
      <c r="N599" s="2">
        <f>VLOOKUP(B599,歌单!B:C,2,0)</f>
        <v>0</v>
      </c>
      <c r="O599" s="2">
        <f t="shared" si="13"/>
        <v>1</v>
      </c>
      <c r="P599" t="str">
        <f>VLOOKUP(B599,歌单!B:C,1,0)</f>
        <v>映山红</v>
      </c>
    </row>
    <row r="600" spans="1:16" ht="15" hidden="1" customHeight="1">
      <c r="A600" s="4" t="s">
        <v>2907</v>
      </c>
      <c r="B600" s="4" t="s">
        <v>2908</v>
      </c>
      <c r="C600" s="4" t="s">
        <v>1372</v>
      </c>
      <c r="D600" s="18"/>
      <c r="E600" s="18">
        <v>0</v>
      </c>
      <c r="F600" s="18">
        <v>0</v>
      </c>
      <c r="G600" s="4" t="s">
        <v>2909</v>
      </c>
      <c r="H600" s="4" t="s">
        <v>2910</v>
      </c>
      <c r="I600" s="5">
        <v>0</v>
      </c>
      <c r="J600" s="4"/>
      <c r="K600" s="4" t="s">
        <v>1928</v>
      </c>
      <c r="L600" s="4">
        <v>180267</v>
      </c>
      <c r="M600" s="4"/>
      <c r="N600" s="2" t="e">
        <f>VLOOKUP(B600,歌单!B:C,2,0)</f>
        <v>#N/A</v>
      </c>
      <c r="O600" s="2">
        <f t="shared" si="13"/>
        <v>1</v>
      </c>
      <c r="P600" t="e">
        <f>VLOOKUP(B600,歌单!B:C,1,0)</f>
        <v>#N/A</v>
      </c>
    </row>
    <row r="601" spans="1:16" ht="15" hidden="1" customHeight="1">
      <c r="A601" s="4" t="s">
        <v>2911</v>
      </c>
      <c r="B601" s="4" t="s">
        <v>2912</v>
      </c>
      <c r="C601" s="4" t="s">
        <v>935</v>
      </c>
      <c r="D601" s="18"/>
      <c r="E601" s="18">
        <v>0</v>
      </c>
      <c r="F601" s="18">
        <v>0</v>
      </c>
      <c r="G601" s="4" t="s">
        <v>2913</v>
      </c>
      <c r="H601" s="4" t="s">
        <v>2914</v>
      </c>
      <c r="I601" s="5">
        <v>473</v>
      </c>
      <c r="J601" s="4" t="s">
        <v>2915</v>
      </c>
      <c r="K601" s="4" t="s">
        <v>2912</v>
      </c>
      <c r="L601" s="4">
        <v>13389458</v>
      </c>
      <c r="M601" s="4"/>
      <c r="N601" s="2" t="str">
        <f>VLOOKUP(B601,歌单!B:C,2,0)</f>
        <v>谭维维</v>
      </c>
      <c r="O601" s="2">
        <f t="shared" si="13"/>
        <v>0</v>
      </c>
      <c r="P601" t="str">
        <f>VLOOKUP(B601,歌单!B:C,1,0)</f>
        <v>歌者</v>
      </c>
    </row>
    <row r="602" spans="1:16" ht="15" hidden="1" customHeight="1">
      <c r="A602" s="4" t="s">
        <v>2916</v>
      </c>
      <c r="B602" s="4" t="s">
        <v>1357</v>
      </c>
      <c r="C602" s="4" t="s">
        <v>2272</v>
      </c>
      <c r="D602" s="18"/>
      <c r="E602" s="18">
        <v>0</v>
      </c>
      <c r="F602" s="18">
        <v>0</v>
      </c>
      <c r="G602" s="4" t="s">
        <v>2917</v>
      </c>
      <c r="H602" s="4" t="s">
        <v>2918</v>
      </c>
      <c r="I602" s="5">
        <v>209</v>
      </c>
      <c r="J602" s="4"/>
      <c r="K602" s="4" t="s">
        <v>2919</v>
      </c>
      <c r="L602" s="4">
        <v>808497193</v>
      </c>
      <c r="M602" s="4"/>
      <c r="N602" s="2" t="str">
        <f>VLOOKUP(B602,歌单!B:C,2,0)</f>
        <v>张学友</v>
      </c>
      <c r="O602" s="2">
        <f t="shared" si="13"/>
        <v>0</v>
      </c>
      <c r="P602" t="str">
        <f>VLOOKUP(B602,歌单!B:C,1,0)</f>
        <v>李香兰</v>
      </c>
    </row>
    <row r="603" spans="1:16" ht="15" hidden="1" customHeight="1">
      <c r="A603" s="4" t="s">
        <v>2920</v>
      </c>
      <c r="B603" s="4" t="s">
        <v>2921</v>
      </c>
      <c r="C603" s="4" t="s">
        <v>2437</v>
      </c>
      <c r="D603" s="18"/>
      <c r="E603" s="18">
        <v>0</v>
      </c>
      <c r="F603" s="18">
        <v>0</v>
      </c>
      <c r="G603" s="4" t="s">
        <v>2922</v>
      </c>
      <c r="H603" s="4" t="s">
        <v>2923</v>
      </c>
      <c r="I603" s="5">
        <v>97</v>
      </c>
      <c r="J603" s="4" t="s">
        <v>2924</v>
      </c>
      <c r="K603" s="4" t="s">
        <v>2925</v>
      </c>
      <c r="L603" s="4">
        <v>69541837</v>
      </c>
      <c r="M603" s="4"/>
      <c r="N603" s="2" t="str">
        <f>VLOOKUP(B603,歌单!B:C,2,0)</f>
        <v>邓紫棋</v>
      </c>
      <c r="O603" s="2">
        <f t="shared" si="13"/>
        <v>0</v>
      </c>
      <c r="P603" t="str">
        <f>VLOOKUP(B603,歌单!B:C,1,0)</f>
        <v>后会无期</v>
      </c>
    </row>
    <row r="604" spans="1:16" ht="15" hidden="1" customHeight="1">
      <c r="A604" s="4" t="s">
        <v>2926</v>
      </c>
      <c r="B604" s="4" t="s">
        <v>2927</v>
      </c>
      <c r="C604" s="4" t="s">
        <v>1351</v>
      </c>
      <c r="D604" s="18"/>
      <c r="E604" s="18">
        <v>0</v>
      </c>
      <c r="F604" s="18">
        <v>0</v>
      </c>
      <c r="G604" s="4" t="s">
        <v>2928</v>
      </c>
      <c r="H604" s="4" t="s">
        <v>2929</v>
      </c>
      <c r="I604" s="5">
        <v>282</v>
      </c>
      <c r="J604" s="4" t="s">
        <v>2930</v>
      </c>
      <c r="K604" s="4" t="s">
        <v>2927</v>
      </c>
      <c r="L604" s="4">
        <v>74412849</v>
      </c>
      <c r="M604" s="4"/>
      <c r="N604" s="2" t="str">
        <f>VLOOKUP(B604,歌单!B:C,2,0)</f>
        <v>任素汐</v>
      </c>
      <c r="O604" s="2">
        <f t="shared" si="13"/>
        <v>0</v>
      </c>
      <c r="P604" t="str">
        <f>VLOOKUP(B604,歌单!B:C,1,0)</f>
        <v>胡广生</v>
      </c>
    </row>
    <row r="605" spans="1:16" ht="15" hidden="1" customHeight="1">
      <c r="A605" s="4" t="s">
        <v>2931</v>
      </c>
      <c r="B605" s="4" t="s">
        <v>2932</v>
      </c>
      <c r="C605" s="4" t="s">
        <v>2933</v>
      </c>
      <c r="D605" s="18"/>
      <c r="E605" s="18">
        <v>0</v>
      </c>
      <c r="F605" s="18">
        <v>0</v>
      </c>
      <c r="G605" s="4" t="s">
        <v>2934</v>
      </c>
      <c r="H605" s="4" t="s">
        <v>2935</v>
      </c>
      <c r="I605" s="5">
        <v>496</v>
      </c>
      <c r="J605" s="4"/>
      <c r="K605" s="4" t="s">
        <v>2936</v>
      </c>
      <c r="L605" s="4">
        <v>97718337</v>
      </c>
      <c r="M605" s="4"/>
      <c r="N605" s="2" t="str">
        <f>VLOOKUP(B605,歌单!B:C,2,0)</f>
        <v>胡杨林</v>
      </c>
      <c r="O605" s="2">
        <f t="shared" si="13"/>
        <v>0</v>
      </c>
      <c r="P605" t="str">
        <f>VLOOKUP(B605,歌单!B:C,1,0)</f>
        <v>香水有毒</v>
      </c>
    </row>
    <row r="606" spans="1:16" ht="15" hidden="1" customHeight="1">
      <c r="A606" s="4" t="s">
        <v>2937</v>
      </c>
      <c r="B606" s="4" t="s">
        <v>2938</v>
      </c>
      <c r="C606" s="4" t="s">
        <v>2939</v>
      </c>
      <c r="D606" s="18"/>
      <c r="E606" s="18">
        <v>0</v>
      </c>
      <c r="F606" s="18">
        <v>0</v>
      </c>
      <c r="G606" s="4" t="s">
        <v>2940</v>
      </c>
      <c r="H606" s="4" t="s">
        <v>2941</v>
      </c>
      <c r="I606" s="5">
        <v>347</v>
      </c>
      <c r="J606" s="4" t="s">
        <v>2942</v>
      </c>
      <c r="K606" s="4" t="s">
        <v>2943</v>
      </c>
      <c r="L606" s="4">
        <v>180632224</v>
      </c>
      <c r="M606" s="4"/>
      <c r="N606" s="2" t="str">
        <f>VLOOKUP(B606,歌单!B:C,2,0)</f>
        <v>吴彤</v>
      </c>
      <c r="O606" s="2">
        <f t="shared" si="13"/>
        <v>0</v>
      </c>
      <c r="P606" t="str">
        <f>VLOOKUP(B606,歌单!B:C,1,0)</f>
        <v>好春光</v>
      </c>
    </row>
    <row r="607" spans="1:16" ht="15" hidden="1" customHeight="1">
      <c r="A607" s="4" t="s">
        <v>2944</v>
      </c>
      <c r="B607" s="4" t="s">
        <v>2945</v>
      </c>
      <c r="C607" s="4" t="s">
        <v>2946</v>
      </c>
      <c r="D607" s="18"/>
      <c r="E607" s="18">
        <v>0</v>
      </c>
      <c r="F607" s="18">
        <v>0</v>
      </c>
      <c r="G607" s="4" t="s">
        <v>2947</v>
      </c>
      <c r="H607" s="4" t="s">
        <v>2948</v>
      </c>
      <c r="I607" s="5">
        <v>340</v>
      </c>
      <c r="J607" s="4"/>
      <c r="K607" s="4" t="s">
        <v>2949</v>
      </c>
      <c r="L607" s="4">
        <v>76937271</v>
      </c>
      <c r="M607" s="4"/>
      <c r="N607" s="2" t="e">
        <f>VLOOKUP(B607,歌单!B:C,2,0)</f>
        <v>#N/A</v>
      </c>
      <c r="O607" s="2">
        <f t="shared" si="13"/>
        <v>1</v>
      </c>
      <c r="P607" t="e">
        <f>VLOOKUP(B607,歌单!B:C,1,0)</f>
        <v>#N/A</v>
      </c>
    </row>
    <row r="608" spans="1:16" ht="15" hidden="1" customHeight="1">
      <c r="A608" s="4" t="s">
        <v>2950</v>
      </c>
      <c r="B608" s="4" t="s">
        <v>2951</v>
      </c>
      <c r="C608" s="4" t="s">
        <v>742</v>
      </c>
      <c r="D608" s="18"/>
      <c r="E608" s="18">
        <v>0</v>
      </c>
      <c r="F608" s="18">
        <v>0</v>
      </c>
      <c r="G608" s="4" t="s">
        <v>2952</v>
      </c>
      <c r="H608" s="4" t="s">
        <v>2953</v>
      </c>
      <c r="I608" s="5">
        <v>11</v>
      </c>
      <c r="J608" s="4"/>
      <c r="K608" s="4" t="s">
        <v>1741</v>
      </c>
      <c r="L608" s="4">
        <v>11935303</v>
      </c>
      <c r="M608" s="4"/>
      <c r="N608" s="2" t="e">
        <f>VLOOKUP(B608,歌单!B:C,2,0)</f>
        <v>#N/A</v>
      </c>
      <c r="O608" s="2">
        <f t="shared" si="13"/>
        <v>1</v>
      </c>
      <c r="P608" t="e">
        <f>VLOOKUP(B608,歌单!B:C,1,0)</f>
        <v>#N/A</v>
      </c>
    </row>
    <row r="609" spans="1:16" ht="15" hidden="1" customHeight="1">
      <c r="A609" s="4" t="s">
        <v>2954</v>
      </c>
      <c r="B609" s="4" t="s">
        <v>1394</v>
      </c>
      <c r="C609" s="4" t="s">
        <v>679</v>
      </c>
      <c r="D609" s="18"/>
      <c r="E609" s="18">
        <v>0</v>
      </c>
      <c r="F609" s="18">
        <v>0</v>
      </c>
      <c r="G609" s="4" t="s">
        <v>2955</v>
      </c>
      <c r="H609" s="4" t="s">
        <v>2956</v>
      </c>
      <c r="I609" s="5">
        <v>2</v>
      </c>
      <c r="J609" s="4"/>
      <c r="K609" s="4" t="s">
        <v>2957</v>
      </c>
      <c r="L609" s="4">
        <v>518151</v>
      </c>
      <c r="M609" s="4"/>
      <c r="N609" s="2" t="e">
        <f>VLOOKUP(B609,歌单!B:C,2,0)</f>
        <v>#N/A</v>
      </c>
      <c r="O609" s="2">
        <f t="shared" si="13"/>
        <v>1</v>
      </c>
      <c r="P609" t="e">
        <f>VLOOKUP(B609,歌单!B:C,1,0)</f>
        <v>#N/A</v>
      </c>
    </row>
    <row r="610" spans="1:16" ht="15" hidden="1" customHeight="1">
      <c r="A610" s="32" t="s">
        <v>2958</v>
      </c>
      <c r="B610" s="4" t="s">
        <v>2959</v>
      </c>
      <c r="C610" s="4" t="s">
        <v>2960</v>
      </c>
      <c r="D610" s="18"/>
      <c r="E610" s="18">
        <v>0</v>
      </c>
      <c r="F610" s="18">
        <v>0</v>
      </c>
      <c r="G610" s="4" t="s">
        <v>2961</v>
      </c>
      <c r="H610" s="4" t="s">
        <v>2962</v>
      </c>
      <c r="I610" s="5">
        <v>44</v>
      </c>
      <c r="J610" s="4"/>
      <c r="K610" s="4" t="s">
        <v>2963</v>
      </c>
      <c r="L610" s="4">
        <v>16138143</v>
      </c>
      <c r="M610" s="4"/>
      <c r="N610" s="28" t="str">
        <f>VLOOKUP(B610,歌单!B:C,2,0)</f>
        <v>张碧晨</v>
      </c>
      <c r="O610" s="2">
        <f t="shared" si="13"/>
        <v>1</v>
      </c>
      <c r="P610" t="str">
        <f>VLOOKUP(B610,歌单!B:C,1,0)</f>
        <v>袖手旁观</v>
      </c>
    </row>
    <row r="611" spans="1:16" ht="15" hidden="1" customHeight="1">
      <c r="A611" s="4" t="s">
        <v>2964</v>
      </c>
      <c r="B611" s="4" t="s">
        <v>220</v>
      </c>
      <c r="C611" s="4" t="s">
        <v>221</v>
      </c>
      <c r="D611" s="18"/>
      <c r="E611" s="18">
        <v>0</v>
      </c>
      <c r="F611" s="18">
        <v>0</v>
      </c>
      <c r="G611" s="4" t="s">
        <v>2965</v>
      </c>
      <c r="H611" s="4"/>
      <c r="I611" s="5">
        <v>0</v>
      </c>
      <c r="J611" s="4"/>
      <c r="K611" s="4" t="s">
        <v>2966</v>
      </c>
      <c r="L611" s="4">
        <v>323292</v>
      </c>
      <c r="M611" s="4"/>
      <c r="N611" s="2" t="str">
        <f>VLOOKUP(B611,歌单!B:C,2,0)</f>
        <v>毛不易</v>
      </c>
      <c r="O611" s="2">
        <f t="shared" si="13"/>
        <v>0</v>
      </c>
      <c r="P611" t="str">
        <f>VLOOKUP(B611,歌单!B:C,1,0)</f>
        <v>一荤一素</v>
      </c>
    </row>
    <row r="612" spans="1:16" ht="15" hidden="1" customHeight="1">
      <c r="A612" s="4" t="s">
        <v>2967</v>
      </c>
      <c r="B612" s="4" t="s">
        <v>2968</v>
      </c>
      <c r="C612" s="4" t="s">
        <v>2969</v>
      </c>
      <c r="D612" s="18"/>
      <c r="E612" s="18">
        <v>0</v>
      </c>
      <c r="F612" s="18">
        <v>0</v>
      </c>
      <c r="G612" s="4" t="s">
        <v>2970</v>
      </c>
      <c r="H612" s="4" t="s">
        <v>2971</v>
      </c>
      <c r="I612" s="5">
        <v>2045</v>
      </c>
      <c r="J612" s="4"/>
      <c r="K612" s="4" t="s">
        <v>2972</v>
      </c>
      <c r="L612" s="4">
        <v>250489326</v>
      </c>
      <c r="M612" s="4" t="s">
        <v>1224</v>
      </c>
      <c r="N612" s="2" t="str">
        <f>VLOOKUP(B612,歌单!B:C,2,0)</f>
        <v>张晓棠</v>
      </c>
      <c r="O612" s="2">
        <f t="shared" si="13"/>
        <v>0</v>
      </c>
      <c r="P612" t="str">
        <f>VLOOKUP(B612,歌单!B:C,1,0)</f>
        <v>苏幕遮</v>
      </c>
    </row>
    <row r="613" spans="1:16" ht="15" hidden="1" customHeight="1">
      <c r="A613" s="4" t="s">
        <v>2973</v>
      </c>
      <c r="B613" s="4" t="s">
        <v>2974</v>
      </c>
      <c r="C613" s="4" t="s">
        <v>2975</v>
      </c>
      <c r="D613" s="18"/>
      <c r="E613" s="18">
        <v>0</v>
      </c>
      <c r="F613" s="18">
        <v>0</v>
      </c>
      <c r="G613" s="4" t="s">
        <v>2976</v>
      </c>
      <c r="H613" s="4"/>
      <c r="I613" s="5">
        <v>5</v>
      </c>
      <c r="J613" s="4"/>
      <c r="K613" s="4" t="s">
        <v>2977</v>
      </c>
      <c r="L613" s="4">
        <v>1157770</v>
      </c>
      <c r="M613" s="4"/>
      <c r="N613" s="2" t="str">
        <f>VLOOKUP(B613,歌单!B:C,2,0)</f>
        <v>玉置浩二</v>
      </c>
      <c r="O613" s="2">
        <f t="shared" si="13"/>
        <v>0</v>
      </c>
      <c r="P613" t="str">
        <f>VLOOKUP(B613,歌单!B:C,1,0)</f>
        <v>Friend</v>
      </c>
    </row>
    <row r="614" spans="1:16" ht="15" hidden="1" customHeight="1">
      <c r="A614" s="4" t="s">
        <v>2978</v>
      </c>
      <c r="B614" s="4" t="s">
        <v>2979</v>
      </c>
      <c r="C614" s="4" t="s">
        <v>2980</v>
      </c>
      <c r="D614" s="18"/>
      <c r="E614" s="18">
        <v>0</v>
      </c>
      <c r="F614" s="18">
        <v>0</v>
      </c>
      <c r="G614" s="4" t="s">
        <v>2981</v>
      </c>
      <c r="H614" s="4" t="s">
        <v>2982</v>
      </c>
      <c r="I614" s="5">
        <v>1</v>
      </c>
      <c r="J614" s="4"/>
      <c r="K614" s="4" t="s">
        <v>2983</v>
      </c>
      <c r="L614" s="4">
        <v>324322</v>
      </c>
      <c r="M614" s="4"/>
      <c r="N614" s="2" t="e">
        <f>VLOOKUP(B614,歌单!B:C,2,0)</f>
        <v>#N/A</v>
      </c>
      <c r="O614" s="2">
        <f t="shared" si="13"/>
        <v>1</v>
      </c>
      <c r="P614" t="e">
        <f>VLOOKUP(B614,歌单!B:C,1,0)</f>
        <v>#N/A</v>
      </c>
    </row>
    <row r="615" spans="1:16" ht="15" hidden="1" customHeight="1">
      <c r="A615" s="4" t="s">
        <v>2984</v>
      </c>
      <c r="B615" s="4" t="s">
        <v>2985</v>
      </c>
      <c r="C615" s="4" t="s">
        <v>558</v>
      </c>
      <c r="D615" s="18"/>
      <c r="E615" s="18">
        <v>0</v>
      </c>
      <c r="F615" s="18">
        <v>0</v>
      </c>
      <c r="G615" s="4" t="s">
        <v>2986</v>
      </c>
      <c r="H615" s="4" t="s">
        <v>2987</v>
      </c>
      <c r="I615" s="5">
        <v>3</v>
      </c>
      <c r="J615" s="4" t="s">
        <v>2988</v>
      </c>
      <c r="K615" s="4" t="s">
        <v>2989</v>
      </c>
      <c r="L615" s="4">
        <v>1052310</v>
      </c>
      <c r="M615" s="4"/>
      <c r="N615" s="2" t="e">
        <f>VLOOKUP(B615,歌单!B:C,2,0)</f>
        <v>#N/A</v>
      </c>
      <c r="O615" s="2">
        <f t="shared" si="13"/>
        <v>1</v>
      </c>
      <c r="P615" t="e">
        <f>VLOOKUP(B615,歌单!B:C,1,0)</f>
        <v>#N/A</v>
      </c>
    </row>
    <row r="616" spans="1:16" ht="15" hidden="1" customHeight="1">
      <c r="A616" s="4" t="s">
        <v>2990</v>
      </c>
      <c r="B616" s="4" t="s">
        <v>2991</v>
      </c>
      <c r="C616" s="4" t="s">
        <v>2992</v>
      </c>
      <c r="D616" s="18"/>
      <c r="E616" s="18">
        <v>2</v>
      </c>
      <c r="F616" s="18">
        <v>1</v>
      </c>
      <c r="G616" s="4" t="s">
        <v>2993</v>
      </c>
      <c r="H616" s="4" t="s">
        <v>2994</v>
      </c>
      <c r="I616" s="5">
        <v>155</v>
      </c>
      <c r="J616" s="4"/>
      <c r="K616" s="4" t="s">
        <v>2995</v>
      </c>
      <c r="L616" s="4">
        <v>64805611</v>
      </c>
      <c r="M616" s="4"/>
      <c r="N616" s="2" t="e">
        <f>VLOOKUP(B616,歌单!B:C,2,0)</f>
        <v>#N/A</v>
      </c>
      <c r="O616" s="2">
        <f t="shared" si="13"/>
        <v>1</v>
      </c>
      <c r="P616" t="e">
        <f>VLOOKUP(B616,歌单!B:C,1,0)</f>
        <v>#N/A</v>
      </c>
    </row>
    <row r="617" spans="1:16" ht="15" hidden="1" customHeight="1">
      <c r="A617" s="4" t="s">
        <v>2996</v>
      </c>
      <c r="B617" s="4" t="s">
        <v>2088</v>
      </c>
      <c r="C617" s="4" t="s">
        <v>935</v>
      </c>
      <c r="D617" s="18"/>
      <c r="E617" s="18">
        <v>0</v>
      </c>
      <c r="F617" s="18">
        <v>0</v>
      </c>
      <c r="G617" s="4" t="s">
        <v>2997</v>
      </c>
      <c r="H617" s="4" t="s">
        <v>2998</v>
      </c>
      <c r="I617" s="5">
        <v>3295</v>
      </c>
      <c r="J617" s="4"/>
      <c r="K617" s="4" t="s">
        <v>2999</v>
      </c>
      <c r="L617" s="4">
        <v>132388811</v>
      </c>
      <c r="M617" s="4" t="s">
        <v>852</v>
      </c>
      <c r="N617" s="2" t="str">
        <f>VLOOKUP(B617,歌单!B:C,2,0)</f>
        <v>谭维维</v>
      </c>
      <c r="O617" s="2">
        <f t="shared" si="13"/>
        <v>0</v>
      </c>
      <c r="P617" t="str">
        <f>VLOOKUP(B617,歌单!B:C,1,0)</f>
        <v>乌兰巴托的夜</v>
      </c>
    </row>
    <row r="618" spans="1:16" ht="15" hidden="1" customHeight="1">
      <c r="A618" s="32" t="s">
        <v>3000</v>
      </c>
      <c r="B618" s="4" t="s">
        <v>2212</v>
      </c>
      <c r="C618" s="4" t="s">
        <v>2213</v>
      </c>
      <c r="D618" s="18"/>
      <c r="E618" s="18">
        <v>0</v>
      </c>
      <c r="F618" s="18">
        <v>0</v>
      </c>
      <c r="G618" s="4" t="s">
        <v>3001</v>
      </c>
      <c r="H618" s="4" t="s">
        <v>3002</v>
      </c>
      <c r="I618" s="5">
        <v>6</v>
      </c>
      <c r="J618" s="4"/>
      <c r="K618" s="4" t="s">
        <v>3003</v>
      </c>
      <c r="L618" s="4">
        <v>12745241</v>
      </c>
      <c r="M618" s="4"/>
      <c r="N618" s="28" t="str">
        <f>VLOOKUP(B618,歌单!B:C,2,0)</f>
        <v>王若琳</v>
      </c>
      <c r="O618" s="2">
        <f t="shared" si="13"/>
        <v>1</v>
      </c>
      <c r="P618" t="str">
        <f>VLOOKUP(B618,歌单!B:C,1,0)</f>
        <v>亲密爱人</v>
      </c>
    </row>
    <row r="619" spans="1:16" ht="15" hidden="1" customHeight="1">
      <c r="A619" s="4" t="s">
        <v>3004</v>
      </c>
      <c r="B619" s="4" t="s">
        <v>3005</v>
      </c>
      <c r="C619" s="4" t="s">
        <v>782</v>
      </c>
      <c r="D619" s="18"/>
      <c r="E619" s="18">
        <v>0</v>
      </c>
      <c r="F619" s="18">
        <v>0</v>
      </c>
      <c r="G619" s="4" t="s">
        <v>3006</v>
      </c>
      <c r="H619" s="4" t="s">
        <v>3007</v>
      </c>
      <c r="I619" s="5">
        <v>197</v>
      </c>
      <c r="J619" s="4"/>
      <c r="K619" s="4" t="s">
        <v>3008</v>
      </c>
      <c r="L619" s="4">
        <v>86858299</v>
      </c>
      <c r="M619" s="4"/>
      <c r="N619" s="2" t="str">
        <f>VLOOKUP(B619,歌单!B:C,2,0)</f>
        <v>容祖儿</v>
      </c>
      <c r="O619" s="2">
        <f t="shared" si="13"/>
        <v>0</v>
      </c>
      <c r="P619" t="str">
        <f>VLOOKUP(B619,歌单!B:C,1,0)</f>
        <v>挥着翅膀的女孩</v>
      </c>
    </row>
    <row r="620" spans="1:16" ht="15" hidden="1" customHeight="1">
      <c r="A620" s="4" t="s">
        <v>3009</v>
      </c>
      <c r="B620" s="4" t="s">
        <v>3010</v>
      </c>
      <c r="C620" s="4" t="s">
        <v>3011</v>
      </c>
      <c r="D620" s="18"/>
      <c r="E620" s="18">
        <v>0</v>
      </c>
      <c r="F620" s="18">
        <v>0</v>
      </c>
      <c r="G620" s="4" t="s">
        <v>3012</v>
      </c>
      <c r="H620" s="4" t="s">
        <v>3013</v>
      </c>
      <c r="I620" s="5">
        <v>10</v>
      </c>
      <c r="J620" s="4"/>
      <c r="K620" s="4" t="s">
        <v>3014</v>
      </c>
      <c r="L620" s="4">
        <v>753707</v>
      </c>
      <c r="M620" s="4"/>
      <c r="N620" s="2" t="e">
        <f>VLOOKUP(B620,歌单!B:C,2,0)</f>
        <v>#N/A</v>
      </c>
      <c r="O620" s="2">
        <f t="shared" si="13"/>
        <v>1</v>
      </c>
      <c r="P620" t="e">
        <f>VLOOKUP(B620,歌单!B:C,1,0)</f>
        <v>#N/A</v>
      </c>
    </row>
    <row r="621" spans="1:16" ht="15" hidden="1" customHeight="1">
      <c r="A621" s="32" t="s">
        <v>3015</v>
      </c>
      <c r="B621" s="4" t="s">
        <v>10231</v>
      </c>
      <c r="C621" s="4" t="s">
        <v>776</v>
      </c>
      <c r="D621" s="18"/>
      <c r="E621" s="18">
        <v>0</v>
      </c>
      <c r="F621" s="18">
        <v>0</v>
      </c>
      <c r="G621" s="4" t="s">
        <v>3016</v>
      </c>
      <c r="H621" s="4"/>
      <c r="I621" s="5">
        <v>0</v>
      </c>
      <c r="J621" s="4" t="s">
        <v>1944</v>
      </c>
      <c r="K621" s="4" t="s">
        <v>3017</v>
      </c>
      <c r="L621" s="4">
        <v>199023</v>
      </c>
      <c r="M621" s="4"/>
      <c r="N621" s="30" t="s">
        <v>10230</v>
      </c>
      <c r="O621" s="2">
        <f t="shared" si="13"/>
        <v>1</v>
      </c>
      <c r="P621" t="str">
        <f>VLOOKUP(B621,歌单!B:C,1,0)</f>
        <v>秋意浓</v>
      </c>
    </row>
    <row r="622" spans="1:16" ht="15" hidden="1" customHeight="1">
      <c r="A622" s="4" t="s">
        <v>3018</v>
      </c>
      <c r="B622" s="4" t="s">
        <v>3019</v>
      </c>
      <c r="C622" s="4" t="s">
        <v>742</v>
      </c>
      <c r="D622" s="18"/>
      <c r="E622" s="18">
        <v>0</v>
      </c>
      <c r="F622" s="18">
        <v>0</v>
      </c>
      <c r="G622" s="4" t="s">
        <v>3020</v>
      </c>
      <c r="H622" s="4" t="s">
        <v>3021</v>
      </c>
      <c r="I622" s="5">
        <v>353</v>
      </c>
      <c r="J622" s="4"/>
      <c r="K622" s="4" t="s">
        <v>3022</v>
      </c>
      <c r="L622" s="4">
        <v>101139915</v>
      </c>
      <c r="M622" s="4"/>
      <c r="N622" s="2" t="str">
        <f>VLOOKUP(B622,歌单!B:C,2,0)</f>
        <v>孙燕姿</v>
      </c>
      <c r="O622" s="2">
        <f t="shared" si="13"/>
        <v>0</v>
      </c>
      <c r="P622" t="str">
        <f>VLOOKUP(B622,歌单!B:C,1,0)</f>
        <v>天黑黑</v>
      </c>
    </row>
    <row r="623" spans="1:16" ht="15" hidden="1" customHeight="1">
      <c r="A623" s="4" t="s">
        <v>3023</v>
      </c>
      <c r="B623" s="4" t="s">
        <v>3024</v>
      </c>
      <c r="C623" s="4" t="s">
        <v>3025</v>
      </c>
      <c r="D623" s="18"/>
      <c r="E623" s="18">
        <v>0</v>
      </c>
      <c r="F623" s="18">
        <v>0</v>
      </c>
      <c r="G623" s="4" t="s">
        <v>3026</v>
      </c>
      <c r="H623" s="4" t="s">
        <v>3027</v>
      </c>
      <c r="I623" s="5">
        <v>500</v>
      </c>
      <c r="J623" s="4"/>
      <c r="K623" s="4" t="s">
        <v>3028</v>
      </c>
      <c r="L623" s="4">
        <v>178826067</v>
      </c>
      <c r="M623" s="4"/>
      <c r="N623" s="2" t="e">
        <f>VLOOKUP(B623,歌单!B:C,2,0)</f>
        <v>#N/A</v>
      </c>
      <c r="O623" s="2">
        <f t="shared" si="13"/>
        <v>1</v>
      </c>
      <c r="P623" t="e">
        <f>VLOOKUP(B623,歌单!B:C,1,0)</f>
        <v>#N/A</v>
      </c>
    </row>
    <row r="624" spans="1:16" ht="15" customHeight="1">
      <c r="A624" s="4" t="s">
        <v>3029</v>
      </c>
      <c r="B624" s="4" t="s">
        <v>3030</v>
      </c>
      <c r="C624" s="4" t="s">
        <v>3031</v>
      </c>
      <c r="D624" s="18"/>
      <c r="E624" s="18">
        <v>0</v>
      </c>
      <c r="F624" s="18">
        <v>0</v>
      </c>
      <c r="G624" s="4" t="s">
        <v>3032</v>
      </c>
      <c r="H624" s="4" t="s">
        <v>3033</v>
      </c>
      <c r="I624" s="5">
        <v>2</v>
      </c>
      <c r="J624" s="4"/>
      <c r="K624" s="4" t="s">
        <v>3030</v>
      </c>
      <c r="L624" s="4">
        <v>738635</v>
      </c>
      <c r="M624" s="4"/>
      <c r="N624" s="2">
        <f>VLOOKUP(B624,歌单!B:C,2,0)</f>
        <v>0</v>
      </c>
      <c r="O624" s="2">
        <f t="shared" si="13"/>
        <v>1</v>
      </c>
      <c r="P624" t="str">
        <f>VLOOKUP(B624,歌单!B:C,1,0)</f>
        <v>蓝色爱情海</v>
      </c>
    </row>
    <row r="625" spans="1:16" ht="15" hidden="1" customHeight="1">
      <c r="A625" s="4" t="s">
        <v>3034</v>
      </c>
      <c r="B625" s="4" t="s">
        <v>3035</v>
      </c>
      <c r="C625" s="4" t="s">
        <v>3036</v>
      </c>
      <c r="D625" s="18"/>
      <c r="E625" s="18">
        <v>0</v>
      </c>
      <c r="F625" s="18">
        <v>0</v>
      </c>
      <c r="G625" s="4" t="s">
        <v>3037</v>
      </c>
      <c r="H625" s="4" t="s">
        <v>3038</v>
      </c>
      <c r="I625" s="4">
        <v>236</v>
      </c>
      <c r="J625" s="4"/>
      <c r="K625" s="4" t="s">
        <v>3039</v>
      </c>
      <c r="L625" s="4">
        <v>26084115</v>
      </c>
      <c r="M625" s="4" t="s">
        <v>202</v>
      </c>
      <c r="N625" s="2" t="str">
        <f>VLOOKUP(B625,歌单!B:C,2,0)</f>
        <v>张雨生</v>
      </c>
      <c r="O625" s="2">
        <f t="shared" si="13"/>
        <v>0</v>
      </c>
      <c r="P625" t="str">
        <f>VLOOKUP(B625,歌单!B:C,1,0)</f>
        <v>我期待</v>
      </c>
    </row>
    <row r="626" spans="1:16" ht="15" hidden="1" customHeight="1">
      <c r="A626" s="4" t="s">
        <v>3040</v>
      </c>
      <c r="B626" s="4" t="s">
        <v>3041</v>
      </c>
      <c r="C626" s="4" t="s">
        <v>131</v>
      </c>
      <c r="D626" s="18"/>
      <c r="E626" s="18">
        <v>0</v>
      </c>
      <c r="F626" s="18">
        <v>0</v>
      </c>
      <c r="G626" s="4" t="s">
        <v>3042</v>
      </c>
      <c r="H626" s="4" t="s">
        <v>3043</v>
      </c>
      <c r="I626" s="4">
        <v>0</v>
      </c>
      <c r="J626" s="4"/>
      <c r="K626" s="4" t="s">
        <v>3044</v>
      </c>
      <c r="L626" s="4">
        <v>493220</v>
      </c>
      <c r="M626" s="4"/>
      <c r="N626" s="2" t="e">
        <f>VLOOKUP(B626,歌单!B:C,2,0)</f>
        <v>#N/A</v>
      </c>
      <c r="O626" s="2">
        <f t="shared" si="13"/>
        <v>1</v>
      </c>
      <c r="P626" t="e">
        <f>VLOOKUP(B626,歌单!B:C,1,0)</f>
        <v>#N/A</v>
      </c>
    </row>
    <row r="627" spans="1:16" ht="15" hidden="1" customHeight="1">
      <c r="A627" s="4" t="s">
        <v>3045</v>
      </c>
      <c r="B627" s="4" t="s">
        <v>3046</v>
      </c>
      <c r="C627" s="4" t="s">
        <v>670</v>
      </c>
      <c r="D627" s="18"/>
      <c r="E627" s="18">
        <v>0</v>
      </c>
      <c r="F627" s="18">
        <v>0</v>
      </c>
      <c r="G627" s="4" t="s">
        <v>3047</v>
      </c>
      <c r="H627" s="4" t="s">
        <v>3048</v>
      </c>
      <c r="I627" s="4">
        <v>2</v>
      </c>
      <c r="J627" s="4"/>
      <c r="K627" s="4" t="s">
        <v>672</v>
      </c>
      <c r="L627" s="4">
        <v>482295</v>
      </c>
      <c r="M627" s="4"/>
      <c r="N627" s="2" t="e">
        <f>VLOOKUP(B627,歌单!B:C,2,0)</f>
        <v>#N/A</v>
      </c>
      <c r="O627" s="2">
        <f t="shared" si="13"/>
        <v>1</v>
      </c>
      <c r="P627" t="e">
        <f>VLOOKUP(B627,歌单!B:C,1,0)</f>
        <v>#N/A</v>
      </c>
    </row>
    <row r="628" spans="1:16" ht="15" hidden="1" customHeight="1">
      <c r="A628" s="32" t="s">
        <v>3049</v>
      </c>
      <c r="B628" s="4" t="s">
        <v>3050</v>
      </c>
      <c r="C628" s="4" t="s">
        <v>1744</v>
      </c>
      <c r="D628" s="18"/>
      <c r="E628" s="18">
        <v>0</v>
      </c>
      <c r="F628" s="18">
        <v>0</v>
      </c>
      <c r="G628" s="4" t="s">
        <v>3051</v>
      </c>
      <c r="H628" s="4" t="s">
        <v>3052</v>
      </c>
      <c r="I628" s="4">
        <v>669</v>
      </c>
      <c r="J628" s="4"/>
      <c r="K628" s="4" t="s">
        <v>3053</v>
      </c>
      <c r="L628" s="4">
        <v>188212415</v>
      </c>
      <c r="M628" s="4"/>
      <c r="N628" s="28" t="str">
        <f>VLOOKUP(B628,歌单!B:C,2,0)</f>
        <v>徐佳莹</v>
      </c>
      <c r="O628" s="2">
        <f t="shared" si="13"/>
        <v>1</v>
      </c>
      <c r="P628" t="str">
        <f>VLOOKUP(B628,歌单!B:C,1,0)</f>
        <v>突然好想你</v>
      </c>
    </row>
    <row r="629" spans="1:16" ht="15" hidden="1" customHeight="1">
      <c r="A629" s="4" t="s">
        <v>3054</v>
      </c>
      <c r="B629" s="4" t="s">
        <v>3055</v>
      </c>
      <c r="C629" s="4" t="s">
        <v>131</v>
      </c>
      <c r="D629" s="18"/>
      <c r="E629" s="18">
        <v>0</v>
      </c>
      <c r="F629" s="18">
        <v>0</v>
      </c>
      <c r="G629" s="4" t="s">
        <v>3056</v>
      </c>
      <c r="H629" s="4" t="s">
        <v>3057</v>
      </c>
      <c r="I629" s="4">
        <v>3</v>
      </c>
      <c r="J629" s="4"/>
      <c r="K629" s="4" t="s">
        <v>752</v>
      </c>
      <c r="L629" s="4">
        <v>2380374</v>
      </c>
      <c r="M629" s="4"/>
      <c r="N629" s="2" t="e">
        <f>VLOOKUP(B629,歌单!B:C,2,0)</f>
        <v>#N/A</v>
      </c>
      <c r="O629" s="2">
        <f t="shared" si="13"/>
        <v>1</v>
      </c>
      <c r="P629" t="e">
        <f>VLOOKUP(B629,歌单!B:C,1,0)</f>
        <v>#N/A</v>
      </c>
    </row>
    <row r="630" spans="1:16" ht="15" hidden="1" customHeight="1">
      <c r="A630" s="4" t="s">
        <v>3058</v>
      </c>
      <c r="B630" s="4" t="s">
        <v>3059</v>
      </c>
      <c r="C630" s="4" t="s">
        <v>1331</v>
      </c>
      <c r="D630" s="18"/>
      <c r="E630" s="18">
        <v>0</v>
      </c>
      <c r="F630" s="18">
        <v>0</v>
      </c>
      <c r="G630" s="4" t="s">
        <v>3060</v>
      </c>
      <c r="H630" s="4" t="s">
        <v>3061</v>
      </c>
      <c r="I630" s="4">
        <v>190</v>
      </c>
      <c r="J630" s="4"/>
      <c r="K630" s="4" t="s">
        <v>1763</v>
      </c>
      <c r="L630" s="4">
        <v>25846315</v>
      </c>
      <c r="M630" s="4"/>
      <c r="N630" s="2" t="str">
        <f>VLOOKUP(B630,歌单!B:C,2,0)</f>
        <v>陶喆</v>
      </c>
      <c r="O630" s="2">
        <f t="shared" si="13"/>
        <v>0</v>
      </c>
      <c r="P630" t="str">
        <f>VLOOKUP(B630,歌单!B:C,1,0)</f>
        <v>沙滩</v>
      </c>
    </row>
    <row r="631" spans="1:16" ht="15" hidden="1" customHeight="1">
      <c r="A631" s="4" t="s">
        <v>3062</v>
      </c>
      <c r="B631" s="4" t="s">
        <v>3063</v>
      </c>
      <c r="C631" s="4" t="s">
        <v>3064</v>
      </c>
      <c r="D631" s="18"/>
      <c r="E631" s="18">
        <v>0</v>
      </c>
      <c r="F631" s="18">
        <v>0</v>
      </c>
      <c r="G631" s="4" t="s">
        <v>3065</v>
      </c>
      <c r="H631" s="4" t="s">
        <v>3066</v>
      </c>
      <c r="I631" s="4">
        <v>4</v>
      </c>
      <c r="J631" s="4"/>
      <c r="K631" s="4" t="s">
        <v>3063</v>
      </c>
      <c r="L631" s="4">
        <v>8341298</v>
      </c>
      <c r="M631" s="4"/>
      <c r="N631" s="2" t="e">
        <f>VLOOKUP(B631,歌单!B:C,2,0)</f>
        <v>#N/A</v>
      </c>
      <c r="O631" s="2">
        <f t="shared" si="13"/>
        <v>1</v>
      </c>
      <c r="P631" t="e">
        <f>VLOOKUP(B631,歌单!B:C,1,0)</f>
        <v>#N/A</v>
      </c>
    </row>
    <row r="632" spans="1:16" ht="15" customHeight="1">
      <c r="A632" s="4" t="s">
        <v>3067</v>
      </c>
      <c r="B632" s="4" t="s">
        <v>3068</v>
      </c>
      <c r="C632" s="4" t="s">
        <v>3069</v>
      </c>
      <c r="D632" s="18"/>
      <c r="E632" s="18">
        <v>0</v>
      </c>
      <c r="F632" s="18">
        <v>0</v>
      </c>
      <c r="G632" s="4" t="s">
        <v>3070</v>
      </c>
      <c r="H632" s="4" t="s">
        <v>3071</v>
      </c>
      <c r="I632" s="4">
        <v>819</v>
      </c>
      <c r="J632" s="4"/>
      <c r="K632" s="4" t="s">
        <v>3072</v>
      </c>
      <c r="L632" s="4">
        <v>153425635</v>
      </c>
      <c r="M632" s="4"/>
      <c r="N632" s="2">
        <f>VLOOKUP(B632,歌单!B:C,2,0)</f>
        <v>0</v>
      </c>
      <c r="O632" s="2">
        <f t="shared" si="13"/>
        <v>1</v>
      </c>
      <c r="P632" t="str">
        <f>VLOOKUP(B632,歌单!B:C,1,0)</f>
        <v>老人与海</v>
      </c>
    </row>
    <row r="633" spans="1:16" ht="15" hidden="1" customHeight="1">
      <c r="A633" s="4" t="s">
        <v>3073</v>
      </c>
      <c r="B633" s="4" t="s">
        <v>3074</v>
      </c>
      <c r="C633" s="4" t="s">
        <v>498</v>
      </c>
      <c r="D633" s="18"/>
      <c r="E633" s="18">
        <v>0</v>
      </c>
      <c r="F633" s="18">
        <v>0</v>
      </c>
      <c r="G633" s="4" t="s">
        <v>3075</v>
      </c>
      <c r="H633" s="4" t="s">
        <v>3076</v>
      </c>
      <c r="I633" s="4">
        <v>2</v>
      </c>
      <c r="J633" s="4"/>
      <c r="K633" s="4" t="s">
        <v>3077</v>
      </c>
      <c r="L633" s="4">
        <v>7303425</v>
      </c>
      <c r="M633" s="4"/>
      <c r="N633" s="2" t="e">
        <f>VLOOKUP(B633,歌单!B:C,2,0)</f>
        <v>#N/A</v>
      </c>
      <c r="O633" s="2">
        <f t="shared" si="13"/>
        <v>1</v>
      </c>
      <c r="P633" t="e">
        <f>VLOOKUP(B633,歌单!B:C,1,0)</f>
        <v>#N/A</v>
      </c>
    </row>
    <row r="634" spans="1:16" ht="15" hidden="1" customHeight="1">
      <c r="A634" s="4" t="s">
        <v>3078</v>
      </c>
      <c r="B634" s="4" t="s">
        <v>3079</v>
      </c>
      <c r="C634" s="4" t="s">
        <v>3080</v>
      </c>
      <c r="D634" s="18"/>
      <c r="E634" s="18">
        <v>0</v>
      </c>
      <c r="F634" s="18">
        <v>0</v>
      </c>
      <c r="G634" s="4" t="s">
        <v>3081</v>
      </c>
      <c r="H634" s="4" t="s">
        <v>3082</v>
      </c>
      <c r="I634" s="4">
        <v>30</v>
      </c>
      <c r="J634" s="4"/>
      <c r="K634" s="4" t="s">
        <v>3083</v>
      </c>
      <c r="L634" s="4">
        <v>3507425</v>
      </c>
      <c r="M634" s="4"/>
      <c r="N634" s="2" t="e">
        <f>VLOOKUP(B634,歌单!B:C,2,0)</f>
        <v>#N/A</v>
      </c>
      <c r="O634" s="2">
        <f t="shared" si="13"/>
        <v>1</v>
      </c>
      <c r="P634" t="e">
        <f>VLOOKUP(B634,歌单!B:C,1,0)</f>
        <v>#N/A</v>
      </c>
    </row>
    <row r="635" spans="1:16" ht="15" hidden="1" customHeight="1">
      <c r="A635" s="4" t="s">
        <v>3084</v>
      </c>
      <c r="B635" s="4" t="s">
        <v>126</v>
      </c>
      <c r="C635" s="4" t="s">
        <v>127</v>
      </c>
      <c r="D635" s="18"/>
      <c r="E635" s="18">
        <v>0</v>
      </c>
      <c r="F635" s="18">
        <v>0</v>
      </c>
      <c r="G635" s="4" t="s">
        <v>3085</v>
      </c>
      <c r="H635" s="4" t="s">
        <v>3086</v>
      </c>
      <c r="I635" s="4">
        <v>6399</v>
      </c>
      <c r="J635" s="4" t="s">
        <v>3087</v>
      </c>
      <c r="K635" s="4" t="s">
        <v>3088</v>
      </c>
      <c r="L635" s="4">
        <v>834285022</v>
      </c>
      <c r="M635" s="4" t="s">
        <v>534</v>
      </c>
      <c r="N635" s="2" t="str">
        <f>VLOOKUP(B635,歌单!B:C,2,0)</f>
        <v>江语晨</v>
      </c>
      <c r="O635" s="2">
        <f t="shared" si="13"/>
        <v>0</v>
      </c>
      <c r="P635" t="str">
        <f>VLOOKUP(B635,歌单!B:C,1,0)</f>
        <v>最后一页</v>
      </c>
    </row>
    <row r="636" spans="1:16" ht="15" hidden="1" customHeight="1">
      <c r="A636" s="4" t="s">
        <v>3089</v>
      </c>
      <c r="B636" s="4" t="s">
        <v>3090</v>
      </c>
      <c r="C636" s="4" t="s">
        <v>1366</v>
      </c>
      <c r="D636" s="18"/>
      <c r="E636" s="18">
        <v>0</v>
      </c>
      <c r="F636" s="18">
        <v>0</v>
      </c>
      <c r="G636" s="4" t="s">
        <v>3091</v>
      </c>
      <c r="H636" s="4" t="s">
        <v>3092</v>
      </c>
      <c r="I636" s="4">
        <v>0</v>
      </c>
      <c r="J636" s="4"/>
      <c r="K636" s="4" t="s">
        <v>3093</v>
      </c>
      <c r="L636" s="4">
        <v>74851</v>
      </c>
      <c r="M636" s="4"/>
      <c r="N636" s="2" t="e">
        <f>VLOOKUP(B636,歌单!B:C,2,0)</f>
        <v>#N/A</v>
      </c>
      <c r="O636" s="2">
        <f t="shared" si="13"/>
        <v>1</v>
      </c>
      <c r="P636" t="e">
        <f>VLOOKUP(B636,歌单!B:C,1,0)</f>
        <v>#N/A</v>
      </c>
    </row>
    <row r="637" spans="1:16" ht="15" hidden="1" customHeight="1">
      <c r="A637" s="4" t="s">
        <v>3094</v>
      </c>
      <c r="B637" s="4" t="s">
        <v>3095</v>
      </c>
      <c r="C637" s="4" t="s">
        <v>509</v>
      </c>
      <c r="D637" s="18"/>
      <c r="E637" s="18">
        <v>0</v>
      </c>
      <c r="F637" s="18">
        <v>0</v>
      </c>
      <c r="G637" s="4" t="s">
        <v>3096</v>
      </c>
      <c r="H637" s="4" t="s">
        <v>3097</v>
      </c>
      <c r="I637" s="4">
        <v>834</v>
      </c>
      <c r="J637" s="4"/>
      <c r="K637" s="4" t="s">
        <v>3098</v>
      </c>
      <c r="L637" s="4">
        <v>308693057</v>
      </c>
      <c r="M637" s="4"/>
      <c r="N637" s="2" t="str">
        <f>VLOOKUP(B637,歌单!B:C,2,0)</f>
        <v>张韶涵</v>
      </c>
      <c r="O637" s="2">
        <f t="shared" si="13"/>
        <v>0</v>
      </c>
      <c r="P637" t="str">
        <f>VLOOKUP(B637,歌单!B:C,1,0)</f>
        <v>隐形的翅膀</v>
      </c>
    </row>
    <row r="638" spans="1:16" ht="15" hidden="1" customHeight="1">
      <c r="A638" s="4" t="s">
        <v>3099</v>
      </c>
      <c r="B638" s="4" t="s">
        <v>3100</v>
      </c>
      <c r="C638" s="4" t="s">
        <v>3101</v>
      </c>
      <c r="D638" s="18"/>
      <c r="E638" s="18">
        <v>0</v>
      </c>
      <c r="F638" s="18">
        <v>0</v>
      </c>
      <c r="G638" s="4" t="s">
        <v>3102</v>
      </c>
      <c r="H638" s="4" t="s">
        <v>3103</v>
      </c>
      <c r="I638" s="4">
        <v>6987</v>
      </c>
      <c r="J638" s="4" t="s">
        <v>3104</v>
      </c>
      <c r="K638" s="4" t="s">
        <v>3105</v>
      </c>
      <c r="L638" s="4">
        <v>1280393493</v>
      </c>
      <c r="M638" s="4"/>
      <c r="N638" s="2" t="e">
        <f>VLOOKUP(B638,歌单!B:C,2,0)</f>
        <v>#N/A</v>
      </c>
      <c r="O638" s="2">
        <f t="shared" si="13"/>
        <v>1</v>
      </c>
      <c r="P638" t="e">
        <f>VLOOKUP(B638,歌单!B:C,1,0)</f>
        <v>#N/A</v>
      </c>
    </row>
    <row r="639" spans="1:16" ht="15" hidden="1" customHeight="1">
      <c r="A639" s="4" t="s">
        <v>3106</v>
      </c>
      <c r="B639" s="4" t="s">
        <v>3107</v>
      </c>
      <c r="C639" s="4" t="s">
        <v>679</v>
      </c>
      <c r="D639" s="18" t="s">
        <v>3108</v>
      </c>
      <c r="E639" s="18">
        <v>285</v>
      </c>
      <c r="F639" s="18">
        <v>40</v>
      </c>
      <c r="G639" s="4" t="s">
        <v>3109</v>
      </c>
      <c r="H639" s="4" t="s">
        <v>3110</v>
      </c>
      <c r="I639" s="4">
        <v>1022</v>
      </c>
      <c r="J639" s="4"/>
      <c r="K639" s="4" t="s">
        <v>3107</v>
      </c>
      <c r="L639" s="4">
        <v>491095581</v>
      </c>
      <c r="M639" s="4" t="s">
        <v>826</v>
      </c>
      <c r="N639" s="2" t="e">
        <f>VLOOKUP(B639,歌单!B:C,2,0)</f>
        <v>#N/A</v>
      </c>
      <c r="O639" s="2">
        <f t="shared" si="13"/>
        <v>1</v>
      </c>
      <c r="P639" t="e">
        <f>VLOOKUP(B639,歌单!B:C,1,0)</f>
        <v>#N/A</v>
      </c>
    </row>
    <row r="640" spans="1:16" ht="15" hidden="1" customHeight="1">
      <c r="A640" s="4" t="s">
        <v>3111</v>
      </c>
      <c r="B640" s="4" t="s">
        <v>3112</v>
      </c>
      <c r="C640" s="4" t="s">
        <v>1331</v>
      </c>
      <c r="D640" s="18"/>
      <c r="E640" s="18">
        <v>0</v>
      </c>
      <c r="F640" s="18">
        <v>0</v>
      </c>
      <c r="G640" s="4" t="s">
        <v>3113</v>
      </c>
      <c r="H640" s="4" t="s">
        <v>3114</v>
      </c>
      <c r="I640" s="4">
        <v>463</v>
      </c>
      <c r="J640" s="4"/>
      <c r="K640" s="4" t="s">
        <v>1334</v>
      </c>
      <c r="L640" s="4">
        <v>41950349</v>
      </c>
      <c r="M640" s="4"/>
      <c r="N640" s="2" t="e">
        <f>VLOOKUP(B640,歌单!B:C,2,0)</f>
        <v>#N/A</v>
      </c>
      <c r="O640" s="2">
        <f t="shared" si="13"/>
        <v>1</v>
      </c>
      <c r="P640" t="e">
        <f>VLOOKUP(B640,歌单!B:C,1,0)</f>
        <v>#N/A</v>
      </c>
    </row>
    <row r="641" spans="1:16" ht="15" hidden="1" customHeight="1">
      <c r="A641" s="4" t="s">
        <v>3115</v>
      </c>
      <c r="B641" s="4" t="s">
        <v>3116</v>
      </c>
      <c r="C641" s="4" t="s">
        <v>3117</v>
      </c>
      <c r="D641" s="18"/>
      <c r="E641" s="18">
        <v>0</v>
      </c>
      <c r="F641" s="18">
        <v>0</v>
      </c>
      <c r="G641" s="4" t="s">
        <v>3118</v>
      </c>
      <c r="H641" s="4"/>
      <c r="I641" s="4">
        <v>218</v>
      </c>
      <c r="J641" s="4"/>
      <c r="K641" s="4" t="s">
        <v>3116</v>
      </c>
      <c r="L641" s="4">
        <v>46774286</v>
      </c>
      <c r="M641" s="4"/>
      <c r="N641" s="2" t="str">
        <f>VLOOKUP(B641,歌单!B:C,2,0)</f>
        <v>庞龙</v>
      </c>
      <c r="O641" s="2">
        <f t="shared" si="13"/>
        <v>0</v>
      </c>
      <c r="P641" t="str">
        <f>VLOOKUP(B641,歌单!B:C,1,0)</f>
        <v>两只蝴蝶</v>
      </c>
    </row>
    <row r="642" spans="1:16" ht="15" customHeight="1">
      <c r="A642" s="4" t="s">
        <v>3119</v>
      </c>
      <c r="B642" s="4" t="s">
        <v>3120</v>
      </c>
      <c r="C642" s="4" t="s">
        <v>1331</v>
      </c>
      <c r="D642" s="18"/>
      <c r="E642" s="18">
        <v>0</v>
      </c>
      <c r="F642" s="18">
        <v>0</v>
      </c>
      <c r="G642" s="4" t="s">
        <v>3121</v>
      </c>
      <c r="H642" s="4" t="s">
        <v>3122</v>
      </c>
      <c r="I642" s="4">
        <v>0</v>
      </c>
      <c r="J642" s="4"/>
      <c r="K642" s="4" t="s">
        <v>3123</v>
      </c>
      <c r="L642" s="4">
        <v>199012</v>
      </c>
      <c r="M642" s="4"/>
      <c r="N642" s="2">
        <f>VLOOKUP(B642,歌单!B:C,2,0)</f>
        <v>0</v>
      </c>
      <c r="O642" s="2">
        <f t="shared" si="13"/>
        <v>1</v>
      </c>
      <c r="P642" t="str">
        <f>VLOOKUP(B642,歌单!B:C,1,0)</f>
        <v>不爱</v>
      </c>
    </row>
    <row r="643" spans="1:16" ht="15" hidden="1" customHeight="1">
      <c r="A643" s="4" t="s">
        <v>3124</v>
      </c>
      <c r="B643" s="4" t="s">
        <v>3125</v>
      </c>
      <c r="C643" s="4" t="s">
        <v>3126</v>
      </c>
      <c r="D643" s="18"/>
      <c r="E643" s="18">
        <v>0</v>
      </c>
      <c r="F643" s="18">
        <v>0</v>
      </c>
      <c r="G643" s="4" t="s">
        <v>3127</v>
      </c>
      <c r="H643" s="4" t="s">
        <v>3128</v>
      </c>
      <c r="I643" s="4">
        <v>240</v>
      </c>
      <c r="J643" s="4"/>
      <c r="K643" s="4" t="s">
        <v>3129</v>
      </c>
      <c r="L643" s="4">
        <v>71736447</v>
      </c>
      <c r="M643" s="4"/>
      <c r="N643" s="2" t="e">
        <f>VLOOKUP(B643,歌单!B:C,2,0)</f>
        <v>#N/A</v>
      </c>
      <c r="O643" s="2">
        <f t="shared" ref="O643:O706" si="14">_xlfn.IFNA(IF(IFERROR(SEARCH(N643,C643),0)&gt;0,0,1),0)</f>
        <v>1</v>
      </c>
      <c r="P643" t="e">
        <f>VLOOKUP(B643,歌单!B:C,1,0)</f>
        <v>#N/A</v>
      </c>
    </row>
    <row r="644" spans="1:16" ht="15" customHeight="1">
      <c r="A644" s="4" t="s">
        <v>3130</v>
      </c>
      <c r="B644" s="4" t="s">
        <v>3131</v>
      </c>
      <c r="C644" s="4" t="s">
        <v>3132</v>
      </c>
      <c r="D644" s="18"/>
      <c r="E644" s="18">
        <v>0</v>
      </c>
      <c r="F644" s="18">
        <v>0</v>
      </c>
      <c r="G644" s="4" t="s">
        <v>3133</v>
      </c>
      <c r="H644" s="4" t="s">
        <v>3134</v>
      </c>
      <c r="I644" s="4">
        <v>98</v>
      </c>
      <c r="J644" s="4"/>
      <c r="K644" s="4" t="s">
        <v>3131</v>
      </c>
      <c r="L644" s="4">
        <v>12394708</v>
      </c>
      <c r="M644" s="4"/>
      <c r="N644" s="2">
        <f>VLOOKUP(B644,歌单!B:C,2,0)</f>
        <v>0</v>
      </c>
      <c r="O644" s="2">
        <f t="shared" si="14"/>
        <v>1</v>
      </c>
      <c r="P644" t="str">
        <f>VLOOKUP(B644,歌单!B:C,1,0)</f>
        <v>想把哥哥追</v>
      </c>
    </row>
    <row r="645" spans="1:16" ht="15" hidden="1" customHeight="1">
      <c r="A645" s="4" t="s">
        <v>3135</v>
      </c>
      <c r="B645" s="4" t="s">
        <v>3136</v>
      </c>
      <c r="C645" s="4" t="s">
        <v>3137</v>
      </c>
      <c r="D645" s="18"/>
      <c r="E645" s="18">
        <v>0</v>
      </c>
      <c r="F645" s="18">
        <v>0</v>
      </c>
      <c r="G645" s="4" t="s">
        <v>3138</v>
      </c>
      <c r="H645" s="4" t="s">
        <v>3139</v>
      </c>
      <c r="I645" s="4">
        <v>35</v>
      </c>
      <c r="J645" s="4"/>
      <c r="K645" s="4" t="s">
        <v>3136</v>
      </c>
      <c r="L645" s="4">
        <v>10840206</v>
      </c>
      <c r="M645" s="4"/>
      <c r="N645" s="2" t="e">
        <f>VLOOKUP(B645,歌单!B:C,2,0)</f>
        <v>#N/A</v>
      </c>
      <c r="O645" s="2">
        <f t="shared" si="14"/>
        <v>1</v>
      </c>
      <c r="P645" t="e">
        <f>VLOOKUP(B645,歌单!B:C,1,0)</f>
        <v>#N/A</v>
      </c>
    </row>
    <row r="646" spans="1:16" ht="15" hidden="1" customHeight="1">
      <c r="A646" s="4" t="s">
        <v>3140</v>
      </c>
      <c r="B646" s="4" t="s">
        <v>3141</v>
      </c>
      <c r="C646" s="4" t="s">
        <v>884</v>
      </c>
      <c r="D646" s="18" t="s">
        <v>3142</v>
      </c>
      <c r="E646" s="18">
        <v>14</v>
      </c>
      <c r="F646" s="18">
        <v>2</v>
      </c>
      <c r="G646" s="4" t="s">
        <v>3143</v>
      </c>
      <c r="H646" s="4" t="s">
        <v>3144</v>
      </c>
      <c r="I646" s="4">
        <v>711</v>
      </c>
      <c r="J646" s="4" t="s">
        <v>3145</v>
      </c>
      <c r="K646" s="4" t="s">
        <v>2373</v>
      </c>
      <c r="L646" s="4">
        <v>257991068</v>
      </c>
      <c r="M646" s="4" t="s">
        <v>826</v>
      </c>
      <c r="N646" s="2" t="str">
        <f>VLOOKUP(B646,歌单!B:C,2,0)</f>
        <v>王心凌</v>
      </c>
      <c r="O646" s="2">
        <f t="shared" si="14"/>
        <v>0</v>
      </c>
      <c r="P646" t="str">
        <f>VLOOKUP(B646,歌单!B:C,1,0)</f>
        <v>当你</v>
      </c>
    </row>
    <row r="647" spans="1:16" ht="15" hidden="1" customHeight="1">
      <c r="A647" s="32" t="s">
        <v>3146</v>
      </c>
      <c r="B647" s="4" t="s">
        <v>3147</v>
      </c>
      <c r="C647" s="4" t="s">
        <v>3148</v>
      </c>
      <c r="D647" s="18"/>
      <c r="E647" s="18">
        <v>0</v>
      </c>
      <c r="F647" s="18">
        <v>0</v>
      </c>
      <c r="G647" s="4" t="s">
        <v>3149</v>
      </c>
      <c r="H647" s="4" t="s">
        <v>3150</v>
      </c>
      <c r="I647" s="4">
        <v>1539</v>
      </c>
      <c r="J647" s="4"/>
      <c r="K647" s="4" t="s">
        <v>3147</v>
      </c>
      <c r="L647" s="4">
        <v>108550892</v>
      </c>
      <c r="M647" s="4"/>
      <c r="N647" s="28" t="str">
        <f>VLOOKUP(B647,歌单!B:C,2,0)</f>
        <v>张晓棠</v>
      </c>
      <c r="O647" s="2">
        <f t="shared" si="14"/>
        <v>1</v>
      </c>
      <c r="P647" t="str">
        <f>VLOOKUP(B647,歌单!B:C,1,0)</f>
        <v>绝世舞姬</v>
      </c>
    </row>
    <row r="648" spans="1:16" ht="15" hidden="1" customHeight="1">
      <c r="A648" s="4" t="s">
        <v>3151</v>
      </c>
      <c r="B648" s="4" t="s">
        <v>3152</v>
      </c>
      <c r="C648" s="4" t="s">
        <v>679</v>
      </c>
      <c r="D648" s="18"/>
      <c r="E648" s="18">
        <v>0</v>
      </c>
      <c r="F648" s="18">
        <v>0</v>
      </c>
      <c r="G648" s="4" t="s">
        <v>3153</v>
      </c>
      <c r="H648" s="4"/>
      <c r="I648" s="4">
        <v>55</v>
      </c>
      <c r="J648" s="4"/>
      <c r="K648" s="4" t="s">
        <v>1291</v>
      </c>
      <c r="L648" s="4">
        <v>37229937</v>
      </c>
      <c r="M648" s="4"/>
      <c r="N648" s="2" t="e">
        <f>VLOOKUP(B648,歌单!B:C,2,0)</f>
        <v>#N/A</v>
      </c>
      <c r="O648" s="2">
        <f t="shared" si="14"/>
        <v>1</v>
      </c>
      <c r="P648" t="e">
        <f>VLOOKUP(B648,歌单!B:C,1,0)</f>
        <v>#N/A</v>
      </c>
    </row>
    <row r="649" spans="1:16" ht="15" hidden="1" customHeight="1">
      <c r="A649" s="32" t="s">
        <v>3154</v>
      </c>
      <c r="B649" s="4" t="s">
        <v>3155</v>
      </c>
      <c r="C649" s="4" t="s">
        <v>7400</v>
      </c>
      <c r="D649" s="18"/>
      <c r="E649" s="18">
        <v>0</v>
      </c>
      <c r="F649" s="18">
        <v>0</v>
      </c>
      <c r="G649" s="4" t="s">
        <v>3157</v>
      </c>
      <c r="H649" s="4" t="s">
        <v>3158</v>
      </c>
      <c r="I649" s="4">
        <v>431</v>
      </c>
      <c r="J649" s="4"/>
      <c r="K649" s="4" t="s">
        <v>3159</v>
      </c>
      <c r="L649" s="4">
        <v>54579824</v>
      </c>
      <c r="M649" s="4"/>
      <c r="N649" s="31" t="str">
        <f>VLOOKUP(B649,歌单!B:C,2,0)</f>
        <v>J.Sheon</v>
      </c>
      <c r="O649" s="2">
        <f t="shared" si="14"/>
        <v>1</v>
      </c>
      <c r="P649" t="str">
        <f>VLOOKUP(B649,歌单!B:C,1,0)</f>
        <v>别问很可怕</v>
      </c>
    </row>
    <row r="650" spans="1:16" ht="15" customHeight="1">
      <c r="A650" s="4" t="s">
        <v>3160</v>
      </c>
      <c r="B650" s="4" t="s">
        <v>3161</v>
      </c>
      <c r="C650" s="4" t="s">
        <v>3162</v>
      </c>
      <c r="D650" s="18"/>
      <c r="E650" s="18">
        <v>0</v>
      </c>
      <c r="F650" s="18">
        <v>0</v>
      </c>
      <c r="G650" s="4" t="s">
        <v>3163</v>
      </c>
      <c r="H650" s="4" t="s">
        <v>3164</v>
      </c>
      <c r="I650" s="4">
        <v>1759</v>
      </c>
      <c r="J650" s="4"/>
      <c r="K650" s="4" t="s">
        <v>3161</v>
      </c>
      <c r="L650" s="4">
        <v>551836533</v>
      </c>
      <c r="M650" s="4"/>
      <c r="N650" s="2">
        <f>VLOOKUP(B650,歌单!B:C,2,0)</f>
        <v>0</v>
      </c>
      <c r="O650" s="2">
        <f t="shared" si="14"/>
        <v>1</v>
      </c>
      <c r="P650" t="str">
        <f>VLOOKUP(B650,歌单!B:C,1,0)</f>
        <v>姐就是女王</v>
      </c>
    </row>
    <row r="651" spans="1:16" ht="15" hidden="1" customHeight="1">
      <c r="A651" s="32" t="s">
        <v>3165</v>
      </c>
      <c r="B651" s="4" t="s">
        <v>3166</v>
      </c>
      <c r="C651" s="4" t="s">
        <v>650</v>
      </c>
      <c r="D651" s="18"/>
      <c r="E651" s="18">
        <v>0</v>
      </c>
      <c r="F651" s="18">
        <v>0</v>
      </c>
      <c r="G651" s="4" t="s">
        <v>3167</v>
      </c>
      <c r="H651" s="4" t="s">
        <v>3168</v>
      </c>
      <c r="I651" s="4">
        <v>751</v>
      </c>
      <c r="J651" s="4" t="s">
        <v>3169</v>
      </c>
      <c r="K651" s="4" t="s">
        <v>3170</v>
      </c>
      <c r="L651" s="4">
        <v>157759348</v>
      </c>
      <c r="M651" s="4"/>
      <c r="N651" s="28" t="str">
        <f>VLOOKUP(B651,歌单!B:C,2,0)</f>
        <v>李建</v>
      </c>
      <c r="O651" s="2">
        <f t="shared" si="14"/>
        <v>1</v>
      </c>
      <c r="P651" t="str">
        <f>VLOOKUP(B651,歌单!B:C,1,0)</f>
        <v>传奇</v>
      </c>
    </row>
    <row r="652" spans="1:16" ht="15" customHeight="1">
      <c r="A652" s="4" t="s">
        <v>3171</v>
      </c>
      <c r="B652" s="4" t="s">
        <v>3172</v>
      </c>
      <c r="C652" s="4" t="s">
        <v>517</v>
      </c>
      <c r="D652" s="18"/>
      <c r="E652" s="18">
        <v>0</v>
      </c>
      <c r="F652" s="18">
        <v>0</v>
      </c>
      <c r="G652" s="4"/>
      <c r="H652" s="4" t="s">
        <v>3173</v>
      </c>
      <c r="I652" s="4">
        <v>955</v>
      </c>
      <c r="J652" s="4"/>
      <c r="K652" s="4" t="s">
        <v>3174</v>
      </c>
      <c r="L652" s="4">
        <v>255026696</v>
      </c>
      <c r="M652" s="4"/>
      <c r="N652" s="2">
        <f>VLOOKUP(B652,歌单!B:C,2,0)</f>
        <v>0</v>
      </c>
      <c r="O652" s="2">
        <f t="shared" si="14"/>
        <v>1</v>
      </c>
      <c r="P652" t="str">
        <f>VLOOKUP(B652,歌单!B:C,1,0)</f>
        <v>特别的人</v>
      </c>
    </row>
    <row r="653" spans="1:16" ht="15" hidden="1" customHeight="1">
      <c r="A653" s="4" t="s">
        <v>3175</v>
      </c>
      <c r="B653" s="4" t="s">
        <v>3176</v>
      </c>
      <c r="C653" s="4" t="s">
        <v>3177</v>
      </c>
      <c r="D653" s="18"/>
      <c r="E653" s="18">
        <v>0</v>
      </c>
      <c r="F653" s="18">
        <v>0</v>
      </c>
      <c r="G653" s="4" t="s">
        <v>3178</v>
      </c>
      <c r="H653" s="4" t="s">
        <v>3179</v>
      </c>
      <c r="I653" s="4">
        <v>8134</v>
      </c>
      <c r="J653" s="4"/>
      <c r="K653" s="4" t="s">
        <v>373</v>
      </c>
      <c r="L653" s="4">
        <v>429690273</v>
      </c>
      <c r="M653" s="4"/>
      <c r="N653" s="2" t="str">
        <f>VLOOKUP(B653,歌单!B:C,2,0)</f>
        <v>周杰伦</v>
      </c>
      <c r="O653" s="2">
        <f t="shared" si="14"/>
        <v>0</v>
      </c>
      <c r="P653" t="str">
        <f>VLOOKUP(B653,歌单!B:C,1,0)</f>
        <v>可爱女人</v>
      </c>
    </row>
    <row r="654" spans="1:16" ht="15" hidden="1" customHeight="1">
      <c r="A654" s="4" t="s">
        <v>3180</v>
      </c>
      <c r="B654" s="4" t="s">
        <v>3181</v>
      </c>
      <c r="C654" s="4" t="s">
        <v>3182</v>
      </c>
      <c r="D654" s="18">
        <v>0</v>
      </c>
      <c r="E654" s="18">
        <v>0</v>
      </c>
      <c r="F654" s="18"/>
      <c r="G654" s="4" t="s">
        <v>3183</v>
      </c>
      <c r="H654" s="4" t="s">
        <v>3184</v>
      </c>
      <c r="I654" s="4">
        <v>1735</v>
      </c>
      <c r="J654" s="4" t="s">
        <v>3185</v>
      </c>
      <c r="K654" s="4" t="s">
        <v>3181</v>
      </c>
      <c r="L654" s="4">
        <v>123868678</v>
      </c>
      <c r="M654" s="4"/>
      <c r="N654" s="2" t="str">
        <f>VLOOKUP(B654,歌单!B:C,2,0)</f>
        <v>韦礼安</v>
      </c>
      <c r="O654" s="2">
        <f t="shared" si="14"/>
        <v>0</v>
      </c>
      <c r="P654" t="str">
        <f>VLOOKUP(B654,歌单!B:C,1,0)</f>
        <v>如果可以</v>
      </c>
    </row>
    <row r="655" spans="1:16" ht="15" hidden="1" customHeight="1">
      <c r="A655" s="4" t="s">
        <v>3186</v>
      </c>
      <c r="B655" s="4" t="s">
        <v>3181</v>
      </c>
      <c r="C655" s="4" t="s">
        <v>3182</v>
      </c>
      <c r="D655" s="18">
        <v>0</v>
      </c>
      <c r="E655" s="18">
        <v>0</v>
      </c>
      <c r="F655" s="18"/>
      <c r="G655" s="4" t="s">
        <v>3183</v>
      </c>
      <c r="H655" s="4" t="s">
        <v>3184</v>
      </c>
      <c r="I655" s="4">
        <v>1735</v>
      </c>
      <c r="J655" s="4" t="s">
        <v>3185</v>
      </c>
      <c r="K655" s="4" t="s">
        <v>3181</v>
      </c>
      <c r="L655" s="4">
        <v>123868678</v>
      </c>
      <c r="M655" s="4"/>
      <c r="N655" s="2" t="str">
        <f>VLOOKUP(B655,歌单!B:C,2,0)</f>
        <v>韦礼安</v>
      </c>
      <c r="O655" s="2">
        <f t="shared" si="14"/>
        <v>0</v>
      </c>
      <c r="P655" t="str">
        <f>VLOOKUP(B655,歌单!B:C,1,0)</f>
        <v>如果可以</v>
      </c>
    </row>
    <row r="656" spans="1:16" ht="15" hidden="1" customHeight="1">
      <c r="A656" s="4" t="s">
        <v>3187</v>
      </c>
      <c r="B656" s="4" t="s">
        <v>3188</v>
      </c>
      <c r="C656" s="4" t="s">
        <v>3189</v>
      </c>
      <c r="D656" s="18">
        <v>0</v>
      </c>
      <c r="E656" s="18">
        <v>0</v>
      </c>
      <c r="F656" s="18"/>
      <c r="G656" s="4" t="s">
        <v>3190</v>
      </c>
      <c r="H656" s="4" t="s">
        <v>3191</v>
      </c>
      <c r="I656" s="4">
        <v>32</v>
      </c>
      <c r="J656" s="4" t="s">
        <v>3192</v>
      </c>
      <c r="K656" s="4" t="s">
        <v>3188</v>
      </c>
      <c r="L656" s="4">
        <v>7621238</v>
      </c>
      <c r="M656" s="4"/>
      <c r="N656" s="2" t="e">
        <f>VLOOKUP(B656,歌单!B:C,2,0)</f>
        <v>#N/A</v>
      </c>
      <c r="O656" s="2">
        <f t="shared" si="14"/>
        <v>1</v>
      </c>
      <c r="P656" t="e">
        <f>VLOOKUP(B656,歌单!B:C,1,0)</f>
        <v>#N/A</v>
      </c>
    </row>
    <row r="657" spans="1:16" ht="15" hidden="1" customHeight="1">
      <c r="A657" s="4" t="s">
        <v>3193</v>
      </c>
      <c r="B657" s="4" t="s">
        <v>3194</v>
      </c>
      <c r="C657" s="4" t="s">
        <v>154</v>
      </c>
      <c r="D657" s="18">
        <v>0</v>
      </c>
      <c r="E657" s="18">
        <v>0</v>
      </c>
      <c r="F657" s="18"/>
      <c r="G657" s="4" t="s">
        <v>3195</v>
      </c>
      <c r="H657" s="4"/>
      <c r="I657" s="4">
        <v>781</v>
      </c>
      <c r="J657" s="4"/>
      <c r="K657" s="4" t="s">
        <v>636</v>
      </c>
      <c r="L657" s="4">
        <v>282015307</v>
      </c>
      <c r="M657" s="4"/>
      <c r="N657" s="2" t="str">
        <f>VLOOKUP(B657,歌单!B:C,2,0)</f>
        <v>周杰伦</v>
      </c>
      <c r="O657" s="2">
        <f t="shared" si="14"/>
        <v>0</v>
      </c>
      <c r="P657" t="str">
        <f>VLOOKUP(B657,歌单!B:C,1,0)</f>
        <v>白色风车</v>
      </c>
    </row>
    <row r="658" spans="1:16" ht="15" hidden="1" customHeight="1">
      <c r="A658" s="4" t="s">
        <v>3196</v>
      </c>
      <c r="B658" s="4" t="s">
        <v>3197</v>
      </c>
      <c r="C658" s="4" t="s">
        <v>3198</v>
      </c>
      <c r="D658" s="18">
        <v>0</v>
      </c>
      <c r="E658" s="18">
        <v>0</v>
      </c>
      <c r="F658" s="18"/>
      <c r="G658" s="4" t="s">
        <v>3199</v>
      </c>
      <c r="H658" s="4" t="s">
        <v>3200</v>
      </c>
      <c r="I658" s="4">
        <v>202</v>
      </c>
      <c r="J658" s="4"/>
      <c r="K658" s="4" t="s">
        <v>3197</v>
      </c>
      <c r="L658" s="4">
        <v>18674263</v>
      </c>
      <c r="M658" s="4"/>
      <c r="N658" s="2" t="e">
        <f>VLOOKUP(B658,歌单!B:C,2,0)</f>
        <v>#N/A</v>
      </c>
      <c r="O658" s="2">
        <f t="shared" si="14"/>
        <v>1</v>
      </c>
      <c r="P658" t="e">
        <f>VLOOKUP(B658,歌单!B:C,1,0)</f>
        <v>#N/A</v>
      </c>
    </row>
    <row r="659" spans="1:16" ht="15" hidden="1" customHeight="1">
      <c r="A659" s="4" t="s">
        <v>3201</v>
      </c>
      <c r="B659" s="4" t="s">
        <v>3202</v>
      </c>
      <c r="C659" s="4" t="s">
        <v>3203</v>
      </c>
      <c r="D659" s="18">
        <v>0</v>
      </c>
      <c r="E659" s="18">
        <v>0</v>
      </c>
      <c r="F659" s="18"/>
      <c r="G659" s="4" t="s">
        <v>3204</v>
      </c>
      <c r="H659" s="4" t="s">
        <v>3205</v>
      </c>
      <c r="I659" s="4">
        <v>208</v>
      </c>
      <c r="J659" s="4" t="s">
        <v>3206</v>
      </c>
      <c r="K659" s="4" t="s">
        <v>3207</v>
      </c>
      <c r="L659" s="4">
        <v>70133352</v>
      </c>
      <c r="M659" s="4"/>
      <c r="N659" s="2" t="e">
        <f>VLOOKUP(B659,歌单!B:C,2,0)</f>
        <v>#N/A</v>
      </c>
      <c r="O659" s="2">
        <f t="shared" si="14"/>
        <v>1</v>
      </c>
      <c r="P659" t="e">
        <f>VLOOKUP(B659,歌单!B:C,1,0)</f>
        <v>#N/A</v>
      </c>
    </row>
    <row r="660" spans="1:16" ht="15" hidden="1" customHeight="1">
      <c r="A660" s="4" t="s">
        <v>3208</v>
      </c>
      <c r="B660" s="4" t="s">
        <v>3209</v>
      </c>
      <c r="C660" s="4" t="s">
        <v>188</v>
      </c>
      <c r="D660" s="18">
        <v>1950384180</v>
      </c>
      <c r="E660" s="18">
        <v>1431686049</v>
      </c>
      <c r="F660" s="18" t="s">
        <v>3210</v>
      </c>
      <c r="G660" s="4" t="s">
        <v>3211</v>
      </c>
      <c r="H660" s="4" t="s">
        <v>3212</v>
      </c>
      <c r="I660" s="4">
        <v>733</v>
      </c>
      <c r="J660" s="4" t="s">
        <v>3213</v>
      </c>
      <c r="K660" s="4" t="s">
        <v>3209</v>
      </c>
      <c r="L660" s="4">
        <v>147169382</v>
      </c>
      <c r="M660" s="4" t="s">
        <v>202</v>
      </c>
      <c r="N660" s="2" t="str">
        <f>VLOOKUP(B660,歌单!B:C,2,0)</f>
        <v>周深</v>
      </c>
      <c r="O660" s="2">
        <f t="shared" si="14"/>
        <v>0</v>
      </c>
      <c r="P660" t="str">
        <f>VLOOKUP(B660,歌单!B:C,1,0)</f>
        <v>小美满</v>
      </c>
    </row>
    <row r="661" spans="1:16" ht="15" hidden="1" customHeight="1">
      <c r="A661" s="4" t="s">
        <v>3214</v>
      </c>
      <c r="B661" s="4" t="s">
        <v>139</v>
      </c>
      <c r="C661" s="4" t="s">
        <v>140</v>
      </c>
      <c r="D661" s="18">
        <v>0</v>
      </c>
      <c r="E661" s="18">
        <v>0</v>
      </c>
      <c r="F661" s="18"/>
      <c r="G661" s="4" t="s">
        <v>3215</v>
      </c>
      <c r="H661" s="4" t="s">
        <v>3216</v>
      </c>
      <c r="I661" s="4">
        <v>9</v>
      </c>
      <c r="J661" s="4"/>
      <c r="K661" s="4" t="s">
        <v>3217</v>
      </c>
      <c r="L661" s="4">
        <v>2216699</v>
      </c>
      <c r="M661" s="4"/>
      <c r="N661" s="2" t="e">
        <f>VLOOKUP(B661,歌单!B:C,2,0)</f>
        <v>#N/A</v>
      </c>
      <c r="O661" s="2">
        <f t="shared" si="14"/>
        <v>1</v>
      </c>
      <c r="P661" t="e">
        <f>VLOOKUP(B661,歌单!B:C,1,0)</f>
        <v>#N/A</v>
      </c>
    </row>
    <row r="662" spans="1:16" ht="15" hidden="1" customHeight="1">
      <c r="A662" s="4" t="s">
        <v>3218</v>
      </c>
      <c r="B662" s="4" t="s">
        <v>1110</v>
      </c>
      <c r="C662" s="4" t="s">
        <v>679</v>
      </c>
      <c r="D662" s="18">
        <v>0</v>
      </c>
      <c r="E662" s="18">
        <v>0</v>
      </c>
      <c r="F662" s="18"/>
      <c r="G662" s="4" t="s">
        <v>3219</v>
      </c>
      <c r="H662" s="4" t="s">
        <v>3220</v>
      </c>
      <c r="I662" s="4">
        <v>344</v>
      </c>
      <c r="J662" s="4"/>
      <c r="K662" s="4" t="s">
        <v>1110</v>
      </c>
      <c r="L662" s="4">
        <v>98600843</v>
      </c>
      <c r="M662" s="4"/>
      <c r="N662" s="2" t="str">
        <f>VLOOKUP(B662,歌单!B:C,2,0)</f>
        <v>林俊杰</v>
      </c>
      <c r="O662" s="2">
        <f t="shared" si="14"/>
        <v>0</v>
      </c>
      <c r="P662" t="str">
        <f>VLOOKUP(B662,歌单!B:C,1,0)</f>
        <v>学不会</v>
      </c>
    </row>
    <row r="663" spans="1:16" ht="15" hidden="1" customHeight="1">
      <c r="A663" s="4" t="s">
        <v>3221</v>
      </c>
      <c r="B663" s="4" t="s">
        <v>3222</v>
      </c>
      <c r="C663" s="4" t="s">
        <v>154</v>
      </c>
      <c r="D663" s="18">
        <v>0</v>
      </c>
      <c r="E663" s="18">
        <v>0</v>
      </c>
      <c r="F663" s="18"/>
      <c r="G663" s="4" t="s">
        <v>3223</v>
      </c>
      <c r="H663" s="4" t="s">
        <v>3224</v>
      </c>
      <c r="I663" s="4">
        <v>1401</v>
      </c>
      <c r="J663" s="4" t="s">
        <v>3222</v>
      </c>
      <c r="K663" s="4" t="s">
        <v>640</v>
      </c>
      <c r="L663" s="4">
        <v>299369424</v>
      </c>
      <c r="M663" s="4"/>
      <c r="N663" s="2" t="str">
        <f>VLOOKUP(B663,歌单!B:C,2,0)</f>
        <v>周杰伦</v>
      </c>
      <c r="O663" s="2">
        <f t="shared" si="14"/>
        <v>0</v>
      </c>
      <c r="P663" t="str">
        <f>VLOOKUP(B663,歌单!B:C,1,0)</f>
        <v>借口</v>
      </c>
    </row>
    <row r="664" spans="1:16" ht="15" customHeight="1">
      <c r="A664" s="4" t="s">
        <v>3225</v>
      </c>
      <c r="B664" s="4" t="s">
        <v>3120</v>
      </c>
      <c r="C664" s="4" t="s">
        <v>1331</v>
      </c>
      <c r="D664" s="18">
        <v>0</v>
      </c>
      <c r="E664" s="18">
        <v>0</v>
      </c>
      <c r="F664" s="18"/>
      <c r="G664" s="4" t="s">
        <v>3226</v>
      </c>
      <c r="H664" s="4" t="s">
        <v>3227</v>
      </c>
      <c r="I664" s="4">
        <v>17</v>
      </c>
      <c r="J664" s="4"/>
      <c r="K664" s="4" t="s">
        <v>3120</v>
      </c>
      <c r="L664" s="4">
        <v>9803663</v>
      </c>
      <c r="M664" s="4"/>
      <c r="N664" s="2">
        <f>VLOOKUP(B664,歌单!B:C,2,0)</f>
        <v>0</v>
      </c>
      <c r="O664" s="2">
        <f t="shared" si="14"/>
        <v>1</v>
      </c>
      <c r="P664" t="str">
        <f>VLOOKUP(B664,歌单!B:C,1,0)</f>
        <v>不爱</v>
      </c>
    </row>
    <row r="665" spans="1:16" ht="15" hidden="1" customHeight="1">
      <c r="A665" s="4" t="s">
        <v>3228</v>
      </c>
      <c r="B665" s="4" t="s">
        <v>3229</v>
      </c>
      <c r="C665" s="4" t="s">
        <v>1117</v>
      </c>
      <c r="D665" s="18">
        <v>0</v>
      </c>
      <c r="E665" s="18">
        <v>0</v>
      </c>
      <c r="F665" s="18"/>
      <c r="G665" s="4" t="s">
        <v>3230</v>
      </c>
      <c r="H665" s="4" t="s">
        <v>3231</v>
      </c>
      <c r="I665" s="4">
        <v>2959</v>
      </c>
      <c r="J665" s="4" t="s">
        <v>3232</v>
      </c>
      <c r="K665" s="4" t="s">
        <v>3233</v>
      </c>
      <c r="L665" s="4">
        <v>111657012</v>
      </c>
      <c r="M665" s="4"/>
      <c r="N665" s="2" t="str">
        <f>VLOOKUP(B665,歌单!B:C,2,0)</f>
        <v>Sarah Brightman</v>
      </c>
      <c r="O665" s="2">
        <f t="shared" si="14"/>
        <v>0</v>
      </c>
      <c r="P665" t="str">
        <f>VLOOKUP(B665,歌单!B:C,1,0)</f>
        <v>Scarborough fair</v>
      </c>
    </row>
    <row r="666" spans="1:16" ht="15" hidden="1" customHeight="1">
      <c r="A666" s="4" t="s">
        <v>3234</v>
      </c>
      <c r="B666" s="4" t="s">
        <v>3234</v>
      </c>
      <c r="C666" s="4" t="s">
        <v>3235</v>
      </c>
      <c r="D666" s="18" t="s">
        <v>3236</v>
      </c>
      <c r="E666" s="18"/>
      <c r="F666" s="18"/>
      <c r="G666" s="4"/>
      <c r="H666" s="4"/>
      <c r="I666" s="4"/>
      <c r="J666" s="4"/>
      <c r="K666" s="4"/>
      <c r="L666" s="4"/>
      <c r="M666" s="4"/>
      <c r="N666" s="2" t="e">
        <f>VLOOKUP(B666,歌单!B:C,2,0)</f>
        <v>#N/A</v>
      </c>
      <c r="O666" s="2">
        <f t="shared" si="14"/>
        <v>1</v>
      </c>
      <c r="P666" t="e">
        <f>VLOOKUP(B666,歌单!B:C,1,0)</f>
        <v>#N/A</v>
      </c>
    </row>
    <row r="667" spans="1:16" ht="15" hidden="1" customHeight="1">
      <c r="A667" s="4" t="s">
        <v>3237</v>
      </c>
      <c r="B667" s="4" t="s">
        <v>3238</v>
      </c>
      <c r="C667" s="4" t="s">
        <v>1331</v>
      </c>
      <c r="D667" s="18">
        <v>0</v>
      </c>
      <c r="E667" s="18">
        <v>0</v>
      </c>
      <c r="F667" s="18"/>
      <c r="G667" s="4" t="s">
        <v>3239</v>
      </c>
      <c r="H667" s="4" t="s">
        <v>3240</v>
      </c>
      <c r="I667" s="4">
        <v>841</v>
      </c>
      <c r="J667" s="4"/>
      <c r="K667" s="4"/>
      <c r="L667" s="4">
        <v>167213252</v>
      </c>
      <c r="M667" s="4"/>
      <c r="N667" s="2" t="str">
        <f>VLOOKUP(B667,歌单!B:C,2,0)</f>
        <v>陶喆</v>
      </c>
      <c r="O667" s="2">
        <f t="shared" si="14"/>
        <v>0</v>
      </c>
      <c r="P667" t="str">
        <f>VLOOKUP(B667,歌单!B:C,1,0)</f>
        <v>小镇姑娘</v>
      </c>
    </row>
    <row r="668" spans="1:16" ht="15" hidden="1" customHeight="1">
      <c r="A668" s="4" t="s">
        <v>3241</v>
      </c>
      <c r="B668" s="4" t="s">
        <v>3242</v>
      </c>
      <c r="C668" s="4" t="s">
        <v>3243</v>
      </c>
      <c r="D668" s="18">
        <v>0</v>
      </c>
      <c r="E668" s="18">
        <v>0</v>
      </c>
      <c r="F668" s="18"/>
      <c r="G668" s="4" t="s">
        <v>3244</v>
      </c>
      <c r="H668" s="4" t="s">
        <v>3245</v>
      </c>
      <c r="I668" s="4">
        <v>118</v>
      </c>
      <c r="J668" s="4"/>
      <c r="K668" s="4" t="s">
        <v>3242</v>
      </c>
      <c r="L668" s="4">
        <v>31347993</v>
      </c>
      <c r="M668" s="4"/>
      <c r="N668" s="2" t="str">
        <f>VLOOKUP(B668,歌单!B:C,2,0)</f>
        <v>徐良</v>
      </c>
      <c r="O668" s="2">
        <f t="shared" si="14"/>
        <v>0</v>
      </c>
      <c r="P668" t="str">
        <f>VLOOKUP(B668,歌单!B:C,1,0)</f>
        <v>飞机场</v>
      </c>
    </row>
    <row r="669" spans="1:16" ht="15" hidden="1" customHeight="1">
      <c r="A669" s="4" t="s">
        <v>3246</v>
      </c>
      <c r="B669" s="4" t="s">
        <v>3247</v>
      </c>
      <c r="C669" s="4" t="s">
        <v>3248</v>
      </c>
      <c r="D669" s="18">
        <v>0</v>
      </c>
      <c r="E669" s="18">
        <v>0</v>
      </c>
      <c r="F669" s="18"/>
      <c r="G669" s="4" t="s">
        <v>3249</v>
      </c>
      <c r="H669" s="4" t="s">
        <v>3250</v>
      </c>
      <c r="I669" s="4">
        <v>4</v>
      </c>
      <c r="J669" s="4"/>
      <c r="K669" s="4" t="s">
        <v>3251</v>
      </c>
      <c r="L669" s="4">
        <v>2352335</v>
      </c>
      <c r="M669" s="4"/>
      <c r="N669" s="2" t="e">
        <f>VLOOKUP(B669,歌单!B:C,2,0)</f>
        <v>#N/A</v>
      </c>
      <c r="O669" s="2">
        <f t="shared" si="14"/>
        <v>1</v>
      </c>
      <c r="P669" t="e">
        <f>VLOOKUP(B669,歌单!B:C,1,0)</f>
        <v>#N/A</v>
      </c>
    </row>
    <row r="670" spans="1:16" ht="15" hidden="1" customHeight="1">
      <c r="A670" s="32" t="s">
        <v>642</v>
      </c>
      <c r="B670" s="4" t="s">
        <v>642</v>
      </c>
      <c r="C670" s="4" t="s">
        <v>131</v>
      </c>
      <c r="D670" s="18"/>
      <c r="E670" s="18"/>
      <c r="F670" s="18"/>
      <c r="G670" s="4"/>
      <c r="H670" s="4"/>
      <c r="I670" s="4"/>
      <c r="J670" s="4"/>
      <c r="K670" s="4"/>
      <c r="L670" s="4"/>
      <c r="M670" s="4"/>
      <c r="N670" s="2" t="str">
        <f>VLOOKUP(B670,歌单!B:C,2,0)</f>
        <v>杨丞琳</v>
      </c>
      <c r="O670" s="2">
        <f t="shared" si="14"/>
        <v>1</v>
      </c>
      <c r="P670" t="str">
        <f>VLOOKUP(B670,歌单!B:C,1,0)</f>
        <v>左边</v>
      </c>
    </row>
    <row r="671" spans="1:16" ht="15" hidden="1" customHeight="1">
      <c r="A671" s="4" t="s">
        <v>3252</v>
      </c>
      <c r="B671" s="4" t="s">
        <v>3253</v>
      </c>
      <c r="C671" s="4" t="s">
        <v>3254</v>
      </c>
      <c r="D671" s="18">
        <v>0</v>
      </c>
      <c r="E671" s="18">
        <v>0</v>
      </c>
      <c r="F671" s="18"/>
      <c r="G671" s="4" t="s">
        <v>3255</v>
      </c>
      <c r="H671" s="4"/>
      <c r="I671" s="4">
        <v>46</v>
      </c>
      <c r="J671" s="4"/>
      <c r="K671" s="4" t="s">
        <v>3253</v>
      </c>
      <c r="L671" s="4">
        <v>24820081</v>
      </c>
      <c r="M671" s="4"/>
      <c r="N671" s="2" t="str">
        <f>VLOOKUP(B671,歌单!B:C,2,0)</f>
        <v>辛晓琪</v>
      </c>
      <c r="O671" s="2">
        <f t="shared" si="14"/>
        <v>0</v>
      </c>
      <c r="P671" t="str">
        <f>VLOOKUP(B671,歌单!B:C,1,0)</f>
        <v>味道</v>
      </c>
    </row>
    <row r="672" spans="1:16" ht="15" hidden="1" customHeight="1">
      <c r="A672" s="4" t="s">
        <v>3256</v>
      </c>
      <c r="B672" s="4" t="s">
        <v>3257</v>
      </c>
      <c r="C672" s="4" t="s">
        <v>742</v>
      </c>
      <c r="D672" s="18">
        <v>0</v>
      </c>
      <c r="E672" s="18">
        <v>0</v>
      </c>
      <c r="F672" s="18"/>
      <c r="G672" s="4" t="s">
        <v>3258</v>
      </c>
      <c r="H672" s="4" t="s">
        <v>3259</v>
      </c>
      <c r="I672" s="4">
        <v>71</v>
      </c>
      <c r="J672" s="4"/>
      <c r="K672" s="4" t="s">
        <v>1730</v>
      </c>
      <c r="L672" s="4">
        <v>28168358</v>
      </c>
      <c r="M672" s="4"/>
      <c r="N672" s="2" t="str">
        <f>VLOOKUP(B672,歌单!B:C,2,0)</f>
        <v>孙燕姿</v>
      </c>
      <c r="O672" s="2">
        <f t="shared" si="14"/>
        <v>0</v>
      </c>
      <c r="P672" t="str">
        <f>VLOOKUP(B672,歌单!B:C,1,0)</f>
        <v>眼泪成诗</v>
      </c>
    </row>
    <row r="673" spans="1:16" ht="15" hidden="1" customHeight="1">
      <c r="A673" s="4" t="s">
        <v>3260</v>
      </c>
      <c r="B673" s="4" t="s">
        <v>3261</v>
      </c>
      <c r="C673" s="4" t="s">
        <v>3262</v>
      </c>
      <c r="D673" s="18">
        <v>851211311</v>
      </c>
      <c r="E673" s="18">
        <v>498028830</v>
      </c>
      <c r="F673" s="18" t="s">
        <v>3263</v>
      </c>
      <c r="G673" s="4" t="s">
        <v>3264</v>
      </c>
      <c r="H673" s="4" t="s">
        <v>3265</v>
      </c>
      <c r="I673" s="4">
        <v>2154</v>
      </c>
      <c r="J673" s="4"/>
      <c r="K673" s="4" t="s">
        <v>3261</v>
      </c>
      <c r="L673" s="4">
        <v>442023152</v>
      </c>
      <c r="M673" s="4" t="s">
        <v>1224</v>
      </c>
      <c r="N673" s="2" t="str">
        <f>VLOOKUP(B673,歌单!B:C,2,0)</f>
        <v>任然</v>
      </c>
      <c r="O673" s="2">
        <f t="shared" si="14"/>
        <v>0</v>
      </c>
      <c r="P673" t="str">
        <f>VLOOKUP(B673,歌单!B:C,1,0)</f>
        <v>飞鸟和蝉</v>
      </c>
    </row>
    <row r="674" spans="1:16" ht="15" hidden="1" customHeight="1">
      <c r="A674" s="4" t="s">
        <v>3266</v>
      </c>
      <c r="B674" s="4" t="s">
        <v>3267</v>
      </c>
      <c r="C674" s="4" t="s">
        <v>3268</v>
      </c>
      <c r="D674" s="18">
        <v>0</v>
      </c>
      <c r="E674" s="18">
        <v>0</v>
      </c>
      <c r="F674" s="18"/>
      <c r="G674" s="4" t="s">
        <v>3269</v>
      </c>
      <c r="H674" s="4"/>
      <c r="I674" s="4">
        <v>75</v>
      </c>
      <c r="J674" s="4"/>
      <c r="K674" s="4" t="s">
        <v>3270</v>
      </c>
      <c r="L674" s="4">
        <v>5523557</v>
      </c>
      <c r="M674" s="4" t="s">
        <v>293</v>
      </c>
      <c r="N674" s="2" t="str">
        <f>VLOOKUP(B674,歌单!B:C,2,0)</f>
        <v>汪小敏</v>
      </c>
      <c r="O674" s="2">
        <f t="shared" si="14"/>
        <v>0</v>
      </c>
      <c r="P674" t="str">
        <f>VLOOKUP(B674,歌单!B:C,1,0)</f>
        <v>不枉</v>
      </c>
    </row>
    <row r="675" spans="1:16" ht="15" hidden="1" customHeight="1">
      <c r="A675" s="32" t="s">
        <v>1977</v>
      </c>
      <c r="B675" s="4" t="s">
        <v>1977</v>
      </c>
      <c r="C675" s="4" t="s">
        <v>1978</v>
      </c>
      <c r="D675" s="18"/>
      <c r="E675" s="18"/>
      <c r="F675" s="18"/>
      <c r="G675" s="4" t="s">
        <v>1979</v>
      </c>
      <c r="H675" s="4" t="s">
        <v>1980</v>
      </c>
      <c r="I675" s="5">
        <v>14</v>
      </c>
      <c r="J675" s="4" t="s">
        <v>1981</v>
      </c>
      <c r="K675" s="4" t="s">
        <v>1982</v>
      </c>
      <c r="L675" s="4">
        <v>2915511</v>
      </c>
      <c r="M675" s="4"/>
      <c r="N675" s="28" t="str">
        <f>VLOOKUP(B675,歌单!B:C,2,0)</f>
        <v>OliviaOng</v>
      </c>
      <c r="O675" s="2">
        <f t="shared" si="14"/>
        <v>1</v>
      </c>
      <c r="P675" t="str">
        <f>VLOOKUP(B675,歌单!B:C,1,0)</f>
        <v>如燕</v>
      </c>
    </row>
    <row r="676" spans="1:16" ht="15" hidden="1" customHeight="1">
      <c r="A676" s="4" t="s">
        <v>3271</v>
      </c>
      <c r="B676" s="4" t="s">
        <v>3271</v>
      </c>
      <c r="C676" s="4" t="s">
        <v>2733</v>
      </c>
      <c r="D676" s="18"/>
      <c r="E676" s="18"/>
      <c r="F676" s="18"/>
      <c r="G676" s="4"/>
      <c r="H676" s="4"/>
      <c r="I676" s="4"/>
      <c r="J676" s="4"/>
      <c r="K676" s="4"/>
      <c r="L676" s="4"/>
      <c r="M676" s="4"/>
      <c r="N676" s="2" t="e">
        <f>VLOOKUP(B676,歌单!B:C,2,0)</f>
        <v>#N/A</v>
      </c>
      <c r="O676" s="2">
        <f t="shared" si="14"/>
        <v>1</v>
      </c>
      <c r="P676" t="e">
        <f>VLOOKUP(B676,歌单!B:C,1,0)</f>
        <v>#N/A</v>
      </c>
    </row>
    <row r="677" spans="1:16" ht="15" hidden="1" customHeight="1">
      <c r="A677" s="4" t="s">
        <v>3272</v>
      </c>
      <c r="B677" s="4" t="s">
        <v>3273</v>
      </c>
      <c r="C677" s="4" t="s">
        <v>3274</v>
      </c>
      <c r="D677" s="18">
        <v>0</v>
      </c>
      <c r="E677" s="18">
        <v>0</v>
      </c>
      <c r="F677" s="18"/>
      <c r="G677" s="4" t="s">
        <v>3275</v>
      </c>
      <c r="H677" s="4" t="s">
        <v>3276</v>
      </c>
      <c r="I677" s="4">
        <v>1</v>
      </c>
      <c r="J677" s="4"/>
      <c r="K677" s="4" t="s">
        <v>3274</v>
      </c>
      <c r="L677" s="4">
        <v>5042930</v>
      </c>
      <c r="M677" s="4"/>
      <c r="N677" s="2" t="e">
        <f>VLOOKUP(B677,歌单!B:C,2,0)</f>
        <v>#N/A</v>
      </c>
      <c r="O677" s="2">
        <f t="shared" si="14"/>
        <v>1</v>
      </c>
      <c r="P677" t="e">
        <f>VLOOKUP(B677,歌单!B:C,1,0)</f>
        <v>#N/A</v>
      </c>
    </row>
    <row r="678" spans="1:16" ht="15" hidden="1" customHeight="1">
      <c r="A678" s="4" t="s">
        <v>3277</v>
      </c>
      <c r="B678" s="4" t="s">
        <v>3278</v>
      </c>
      <c r="C678" s="4" t="s">
        <v>3279</v>
      </c>
      <c r="D678" s="18">
        <v>0</v>
      </c>
      <c r="E678" s="18">
        <v>0</v>
      </c>
      <c r="F678" s="18"/>
      <c r="G678" s="4" t="s">
        <v>3280</v>
      </c>
      <c r="H678" s="4" t="s">
        <v>3281</v>
      </c>
      <c r="I678" s="4">
        <v>56</v>
      </c>
      <c r="J678" s="4"/>
      <c r="K678" s="4"/>
      <c r="L678" s="4">
        <v>29040336</v>
      </c>
      <c r="M678" s="4"/>
      <c r="N678" s="2" t="str">
        <f>VLOOKUP(B678,歌单!B:C,2,0)</f>
        <v>郑绪岚</v>
      </c>
      <c r="O678" s="2">
        <f t="shared" si="14"/>
        <v>0</v>
      </c>
      <c r="P678" t="str">
        <f>VLOOKUP(B678,歌单!B:C,1,0)</f>
        <v>牧羊曲</v>
      </c>
    </row>
    <row r="679" spans="1:16" ht="15" hidden="1" customHeight="1">
      <c r="A679" s="4" t="s">
        <v>3282</v>
      </c>
      <c r="B679" s="4" t="s">
        <v>3283</v>
      </c>
      <c r="C679" s="4" t="s">
        <v>3189</v>
      </c>
      <c r="D679" s="18">
        <v>0</v>
      </c>
      <c r="E679" s="18">
        <v>0</v>
      </c>
      <c r="F679" s="18"/>
      <c r="G679" s="4" t="s">
        <v>3284</v>
      </c>
      <c r="H679" s="4" t="s">
        <v>3285</v>
      </c>
      <c r="I679" s="4">
        <v>1</v>
      </c>
      <c r="J679" s="4"/>
      <c r="K679" s="4" t="s">
        <v>3286</v>
      </c>
      <c r="L679" s="4">
        <v>67588</v>
      </c>
      <c r="M679" s="4"/>
      <c r="N679" s="2" t="e">
        <f>VLOOKUP(B679,歌单!B:C,2,0)</f>
        <v>#N/A</v>
      </c>
      <c r="O679" s="2">
        <f t="shared" si="14"/>
        <v>1</v>
      </c>
      <c r="P679" t="e">
        <f>VLOOKUP(B679,歌单!B:C,1,0)</f>
        <v>#N/A</v>
      </c>
    </row>
    <row r="680" spans="1:16" ht="15" hidden="1" customHeight="1">
      <c r="A680" s="32" t="s">
        <v>3287</v>
      </c>
      <c r="B680" s="4" t="s">
        <v>2617</v>
      </c>
      <c r="C680" s="4" t="s">
        <v>3288</v>
      </c>
      <c r="D680" s="18">
        <v>0</v>
      </c>
      <c r="E680" s="18">
        <v>0</v>
      </c>
      <c r="F680" s="18"/>
      <c r="G680" s="4" t="s">
        <v>3289</v>
      </c>
      <c r="H680" s="4" t="s">
        <v>3290</v>
      </c>
      <c r="I680" s="4">
        <v>3</v>
      </c>
      <c r="J680" s="4"/>
      <c r="K680" s="4" t="s">
        <v>3291</v>
      </c>
      <c r="L680" s="4">
        <v>1118229</v>
      </c>
      <c r="M680" s="4"/>
      <c r="N680" s="31" t="s">
        <v>7404</v>
      </c>
      <c r="O680" s="2">
        <f t="shared" si="14"/>
        <v>1</v>
      </c>
      <c r="P680" t="str">
        <f>VLOOKUP(B680,歌单!B:C,1,0)</f>
        <v>你</v>
      </c>
    </row>
    <row r="681" spans="1:16" ht="15" hidden="1" customHeight="1">
      <c r="A681" s="32" t="s">
        <v>3292</v>
      </c>
      <c r="B681" s="4" t="s">
        <v>3293</v>
      </c>
      <c r="C681" s="4" t="s">
        <v>154</v>
      </c>
      <c r="D681" s="18">
        <v>0</v>
      </c>
      <c r="E681" s="18">
        <v>0</v>
      </c>
      <c r="F681" s="18"/>
      <c r="G681" s="4" t="s">
        <v>3294</v>
      </c>
      <c r="H681" s="4" t="s">
        <v>3295</v>
      </c>
      <c r="I681" s="4">
        <v>3341</v>
      </c>
      <c r="J681" s="4" t="s">
        <v>3296</v>
      </c>
      <c r="K681" s="4" t="s">
        <v>416</v>
      </c>
      <c r="L681" s="4">
        <v>372633239</v>
      </c>
      <c r="M681" s="4"/>
      <c r="N681" s="31" t="s">
        <v>7406</v>
      </c>
      <c r="O681" s="2">
        <f t="shared" si="14"/>
        <v>1</v>
      </c>
      <c r="P681" t="str">
        <f>VLOOKUP(B681,歌单!B:C,1,0)</f>
        <v>不该</v>
      </c>
    </row>
    <row r="682" spans="1:16" ht="15" hidden="1" customHeight="1">
      <c r="A682" s="4" t="s">
        <v>3297</v>
      </c>
      <c r="B682" s="4" t="s">
        <v>3298</v>
      </c>
      <c r="C682" s="4" t="s">
        <v>2437</v>
      </c>
      <c r="D682" s="18">
        <v>752741189</v>
      </c>
      <c r="E682" s="18">
        <v>174687794</v>
      </c>
      <c r="F682" s="18" t="s">
        <v>3299</v>
      </c>
      <c r="G682" s="4" t="s">
        <v>3300</v>
      </c>
      <c r="H682" s="4" t="s">
        <v>3301</v>
      </c>
      <c r="I682" s="4">
        <v>97</v>
      </c>
      <c r="J682" s="4" t="s">
        <v>3302</v>
      </c>
      <c r="K682" s="4" t="s">
        <v>3303</v>
      </c>
      <c r="L682" s="4">
        <v>22243726</v>
      </c>
      <c r="M682" s="4"/>
      <c r="N682" s="2" t="str">
        <f>VLOOKUP(B682,歌单!B:C,2,0)</f>
        <v>邓紫棋</v>
      </c>
      <c r="O682" s="2">
        <f t="shared" si="14"/>
        <v>0</v>
      </c>
      <c r="P682" t="str">
        <f>VLOOKUP(B682,歌单!B:C,1,0)</f>
        <v>很久以后</v>
      </c>
    </row>
    <row r="683" spans="1:16" ht="15" hidden="1" customHeight="1">
      <c r="A683" s="4" t="s">
        <v>3304</v>
      </c>
      <c r="B683" s="4" t="s">
        <v>3305</v>
      </c>
      <c r="C683" s="4" t="s">
        <v>395</v>
      </c>
      <c r="D683" s="18">
        <v>0</v>
      </c>
      <c r="E683" s="18">
        <v>0</v>
      </c>
      <c r="F683" s="18"/>
      <c r="G683" s="4" t="s">
        <v>3306</v>
      </c>
      <c r="H683" s="4" t="s">
        <v>3307</v>
      </c>
      <c r="I683" s="4">
        <v>450</v>
      </c>
      <c r="J683" s="4"/>
      <c r="K683" s="4" t="s">
        <v>3308</v>
      </c>
      <c r="L683" s="4">
        <v>104949460</v>
      </c>
      <c r="M683" s="4"/>
      <c r="N683" s="2" t="str">
        <f>VLOOKUP(B683,歌单!B:C,2,0)</f>
        <v>S.H.E</v>
      </c>
      <c r="O683" s="2">
        <f t="shared" si="14"/>
        <v>0</v>
      </c>
      <c r="P683" t="str">
        <f>VLOOKUP(B683,歌单!B:C,1,0)</f>
        <v>恋人未满</v>
      </c>
    </row>
    <row r="684" spans="1:16" ht="15" hidden="1" customHeight="1">
      <c r="A684" s="4" t="s">
        <v>3309</v>
      </c>
      <c r="B684" s="4" t="s">
        <v>3310</v>
      </c>
      <c r="C684" s="4" t="s">
        <v>2334</v>
      </c>
      <c r="D684" s="18">
        <v>0</v>
      </c>
      <c r="E684" s="18">
        <v>0</v>
      </c>
      <c r="F684" s="18"/>
      <c r="G684" s="4" t="s">
        <v>3311</v>
      </c>
      <c r="H684" s="4" t="s">
        <v>3312</v>
      </c>
      <c r="I684" s="4">
        <v>0</v>
      </c>
      <c r="J684" s="4"/>
      <c r="K684" s="4" t="s">
        <v>3313</v>
      </c>
      <c r="L684" s="4">
        <v>468836</v>
      </c>
      <c r="M684" s="4"/>
      <c r="N684" s="2" t="e">
        <f>VLOOKUP(B684,歌单!B:C,2,0)</f>
        <v>#N/A</v>
      </c>
      <c r="O684" s="2">
        <f t="shared" si="14"/>
        <v>1</v>
      </c>
      <c r="P684" t="e">
        <f>VLOOKUP(B684,歌单!B:C,1,0)</f>
        <v>#N/A</v>
      </c>
    </row>
    <row r="685" spans="1:16" ht="15" hidden="1" customHeight="1">
      <c r="A685" s="4" t="s">
        <v>3314</v>
      </c>
      <c r="B685" s="4" t="s">
        <v>3123</v>
      </c>
      <c r="C685" s="4" t="s">
        <v>1331</v>
      </c>
      <c r="D685" s="18">
        <v>0</v>
      </c>
      <c r="E685" s="18">
        <v>0</v>
      </c>
      <c r="F685" s="18"/>
      <c r="G685" s="4" t="s">
        <v>3315</v>
      </c>
      <c r="H685" s="4" t="s">
        <v>3316</v>
      </c>
      <c r="I685" s="4">
        <v>88</v>
      </c>
      <c r="J685" s="4"/>
      <c r="K685" s="4" t="s">
        <v>3123</v>
      </c>
      <c r="L685" s="4">
        <v>28212140</v>
      </c>
      <c r="M685" s="4"/>
      <c r="N685" s="2" t="e">
        <f>VLOOKUP(B685,歌单!B:C,2,0)</f>
        <v>#N/A</v>
      </c>
      <c r="O685" s="2">
        <f t="shared" si="14"/>
        <v>1</v>
      </c>
      <c r="P685" t="e">
        <f>VLOOKUP(B685,歌单!B:C,1,0)</f>
        <v>#N/A</v>
      </c>
    </row>
    <row r="686" spans="1:16" ht="15" hidden="1" customHeight="1">
      <c r="A686" s="4" t="s">
        <v>3317</v>
      </c>
      <c r="B686" s="4" t="s">
        <v>3318</v>
      </c>
      <c r="C686" s="4" t="s">
        <v>3319</v>
      </c>
      <c r="D686" s="18">
        <v>0</v>
      </c>
      <c r="E686" s="18">
        <v>0</v>
      </c>
      <c r="F686" s="18"/>
      <c r="G686" s="4" t="s">
        <v>3320</v>
      </c>
      <c r="H686" s="4" t="s">
        <v>3321</v>
      </c>
      <c r="I686" s="4">
        <v>596</v>
      </c>
      <c r="J686" s="4" t="s">
        <v>3322</v>
      </c>
      <c r="K686" s="4" t="s">
        <v>3318</v>
      </c>
      <c r="L686" s="4">
        <v>171034240</v>
      </c>
      <c r="M686" s="4"/>
      <c r="N686" s="2" t="str">
        <f>VLOOKUP(B686,歌单!B:C,2,0)</f>
        <v>金莎</v>
      </c>
      <c r="O686" s="2">
        <f t="shared" si="14"/>
        <v>0</v>
      </c>
      <c r="P686" t="str">
        <f>VLOOKUP(B686,歌单!B:C,1,0)</f>
        <v>星月神话</v>
      </c>
    </row>
    <row r="687" spans="1:16" ht="15" hidden="1" customHeight="1">
      <c r="A687" s="4" t="s">
        <v>3323</v>
      </c>
      <c r="B687" s="4" t="s">
        <v>3324</v>
      </c>
      <c r="C687" s="4" t="s">
        <v>2548</v>
      </c>
      <c r="D687" s="18">
        <v>0</v>
      </c>
      <c r="E687" s="18">
        <v>0</v>
      </c>
      <c r="F687" s="18"/>
      <c r="G687" s="4" t="s">
        <v>3325</v>
      </c>
      <c r="H687" s="4" t="s">
        <v>3326</v>
      </c>
      <c r="I687" s="4">
        <v>81</v>
      </c>
      <c r="J687" s="4"/>
      <c r="K687" s="4" t="s">
        <v>3327</v>
      </c>
      <c r="L687" s="4">
        <v>58517368</v>
      </c>
      <c r="M687" s="4"/>
      <c r="N687" s="2" t="str">
        <f>VLOOKUP(B687,歌单!B:C,2,0)</f>
        <v>刘若英</v>
      </c>
      <c r="O687" s="2">
        <f t="shared" si="14"/>
        <v>0</v>
      </c>
      <c r="P687" t="str">
        <f>VLOOKUP(B687,歌单!B:C,1,0)</f>
        <v>为爱痴狂</v>
      </c>
    </row>
    <row r="688" spans="1:16" ht="15" hidden="1" customHeight="1">
      <c r="A688" s="4" t="s">
        <v>3328</v>
      </c>
      <c r="B688" s="4" t="s">
        <v>3329</v>
      </c>
      <c r="C688" s="4" t="s">
        <v>3330</v>
      </c>
      <c r="D688" s="18">
        <v>0</v>
      </c>
      <c r="E688" s="18">
        <v>0</v>
      </c>
      <c r="F688" s="18"/>
      <c r="G688" s="4" t="s">
        <v>3331</v>
      </c>
      <c r="H688" s="4" t="s">
        <v>3332</v>
      </c>
      <c r="I688" s="4">
        <v>217</v>
      </c>
      <c r="J688" s="4"/>
      <c r="K688" s="4" t="s">
        <v>3333</v>
      </c>
      <c r="L688" s="4">
        <v>60323377</v>
      </c>
      <c r="M688" s="4"/>
      <c r="N688" s="2" t="e">
        <f>VLOOKUP(B688,歌单!B:C,2,0)</f>
        <v>#N/A</v>
      </c>
      <c r="O688" s="2">
        <f t="shared" si="14"/>
        <v>1</v>
      </c>
      <c r="P688" t="e">
        <f>VLOOKUP(B688,歌单!B:C,1,0)</f>
        <v>#N/A</v>
      </c>
    </row>
    <row r="689" spans="1:16" ht="15" hidden="1" customHeight="1">
      <c r="A689" s="32" t="s">
        <v>3334</v>
      </c>
      <c r="B689" s="4" t="s">
        <v>3335</v>
      </c>
      <c r="C689" s="4" t="s">
        <v>3336</v>
      </c>
      <c r="D689" s="18">
        <v>0</v>
      </c>
      <c r="E689" s="18">
        <v>0</v>
      </c>
      <c r="F689" s="18"/>
      <c r="G689" s="4" t="s">
        <v>3337</v>
      </c>
      <c r="H689" s="4"/>
      <c r="I689" s="4">
        <v>202</v>
      </c>
      <c r="J689" s="4"/>
      <c r="K689" s="4" t="s">
        <v>1768</v>
      </c>
      <c r="L689" s="4">
        <v>40006301</v>
      </c>
      <c r="M689" s="4"/>
      <c r="N689" s="2" t="str">
        <f>VLOOKUP(B689,歌单!B:C,2,0)</f>
        <v>范晓萱 / 100%乐团</v>
      </c>
      <c r="O689" s="2">
        <f t="shared" si="14"/>
        <v>1</v>
      </c>
      <c r="P689" t="str">
        <f>VLOOKUP(B689,歌单!B:C,1,0)</f>
        <v>那个女孩</v>
      </c>
    </row>
    <row r="690" spans="1:16" ht="15" hidden="1" customHeight="1">
      <c r="A690" s="4" t="s">
        <v>678</v>
      </c>
      <c r="B690" s="4" t="s">
        <v>678</v>
      </c>
      <c r="C690" s="4" t="s">
        <v>679</v>
      </c>
      <c r="D690" s="18"/>
      <c r="E690" s="18">
        <v>1032</v>
      </c>
      <c r="F690" s="18">
        <v>165</v>
      </c>
      <c r="G690" s="4" t="s">
        <v>680</v>
      </c>
      <c r="H690" s="4" t="s">
        <v>681</v>
      </c>
      <c r="I690" s="5">
        <v>138</v>
      </c>
      <c r="J690" s="4"/>
      <c r="K690" s="4" t="s">
        <v>678</v>
      </c>
      <c r="L690" s="4">
        <v>64920351</v>
      </c>
      <c r="M690" s="4"/>
      <c r="N690" s="2" t="e">
        <f>VLOOKUP(B690,歌单!B:C,2,0)</f>
        <v>#N/A</v>
      </c>
      <c r="O690" s="2">
        <f t="shared" si="14"/>
        <v>1</v>
      </c>
      <c r="P690" t="e">
        <f>VLOOKUP(B690,歌单!B:C,1,0)</f>
        <v>#N/A</v>
      </c>
    </row>
    <row r="691" spans="1:16" ht="15" hidden="1" customHeight="1">
      <c r="A691" s="4" t="s">
        <v>3338</v>
      </c>
      <c r="B691" s="4" t="s">
        <v>3339</v>
      </c>
      <c r="C691" s="4" t="s">
        <v>154</v>
      </c>
      <c r="D691" s="18">
        <v>0</v>
      </c>
      <c r="E691" s="18">
        <v>0</v>
      </c>
      <c r="F691" s="18"/>
      <c r="G691" s="4" t="s">
        <v>3340</v>
      </c>
      <c r="H691" s="4"/>
      <c r="I691" s="4">
        <v>2262</v>
      </c>
      <c r="J691" s="4"/>
      <c r="K691" s="4" t="s">
        <v>257</v>
      </c>
      <c r="L691" s="4">
        <v>596824149</v>
      </c>
      <c r="M691" s="4"/>
      <c r="N691" s="2" t="str">
        <f>VLOOKUP(B691,歌单!B:C,2,0)</f>
        <v>周杰伦</v>
      </c>
      <c r="O691" s="2">
        <f t="shared" si="14"/>
        <v>0</v>
      </c>
      <c r="P691" t="str">
        <f>VLOOKUP(B691,歌单!B:C,1,0)</f>
        <v>简单爱</v>
      </c>
    </row>
    <row r="692" spans="1:16" ht="15" hidden="1" customHeight="1">
      <c r="A692" s="4" t="s">
        <v>3341</v>
      </c>
      <c r="B692" s="4" t="s">
        <v>3342</v>
      </c>
      <c r="C692" s="4" t="s">
        <v>1331</v>
      </c>
      <c r="D692" s="18"/>
      <c r="E692" s="18">
        <v>0</v>
      </c>
      <c r="F692" s="18">
        <v>0</v>
      </c>
      <c r="G692" s="4" t="s">
        <v>3343</v>
      </c>
      <c r="H692" s="4" t="s">
        <v>3344</v>
      </c>
      <c r="I692" s="4">
        <v>829</v>
      </c>
      <c r="J692" s="4"/>
      <c r="K692" s="4" t="s">
        <v>3345</v>
      </c>
      <c r="L692" s="4">
        <v>205069474</v>
      </c>
      <c r="M692" s="4"/>
      <c r="N692" s="2" t="str">
        <f>VLOOKUP(B692,歌单!B:C,2,0)</f>
        <v>陶喆</v>
      </c>
      <c r="O692" s="2">
        <f t="shared" si="14"/>
        <v>0</v>
      </c>
      <c r="P692" t="str">
        <f>VLOOKUP(B692,歌单!B:C,1,0)</f>
        <v>就是爱你</v>
      </c>
    </row>
    <row r="693" spans="1:16" ht="15" hidden="1" customHeight="1">
      <c r="A693" s="32" t="s">
        <v>3346</v>
      </c>
      <c r="B693" s="4" t="s">
        <v>3347</v>
      </c>
      <c r="C693" s="4" t="s">
        <v>3348</v>
      </c>
      <c r="D693" s="18"/>
      <c r="E693" s="18">
        <v>0</v>
      </c>
      <c r="F693" s="18">
        <v>0</v>
      </c>
      <c r="G693" s="4" t="s">
        <v>3349</v>
      </c>
      <c r="H693" s="4" t="s">
        <v>3350</v>
      </c>
      <c r="I693" s="4">
        <v>1120</v>
      </c>
      <c r="J693" s="4"/>
      <c r="K693" s="4" t="s">
        <v>3123</v>
      </c>
      <c r="L693" s="4">
        <v>360359966</v>
      </c>
      <c r="M693" s="4"/>
      <c r="N693" s="28" t="str">
        <f>VLOOKUP(B693,歌单!B:C,2,0)</f>
        <v>陶喆/蔡依林</v>
      </c>
      <c r="O693" s="2">
        <f t="shared" si="14"/>
        <v>1</v>
      </c>
      <c r="P693" t="str">
        <f>VLOOKUP(B693,歌单!B:C,1,0)</f>
        <v>今天你要嫁给我</v>
      </c>
    </row>
    <row r="694" spans="1:16" ht="15" hidden="1" customHeight="1">
      <c r="A694" s="4" t="s">
        <v>3351</v>
      </c>
      <c r="B694" s="4" t="s">
        <v>3352</v>
      </c>
      <c r="C694" s="4" t="s">
        <v>1331</v>
      </c>
      <c r="D694" s="18"/>
      <c r="E694" s="18">
        <v>0</v>
      </c>
      <c r="F694" s="18">
        <v>0</v>
      </c>
      <c r="G694" s="4" t="s">
        <v>3353</v>
      </c>
      <c r="H694" s="4" t="s">
        <v>3354</v>
      </c>
      <c r="I694" s="4">
        <v>134</v>
      </c>
      <c r="J694" s="4"/>
      <c r="K694" s="4" t="s">
        <v>3352</v>
      </c>
      <c r="L694" s="4">
        <v>60141031</v>
      </c>
      <c r="M694" s="4"/>
      <c r="N694" s="2" t="str">
        <f>VLOOKUP(B694,歌单!B:C,2,0)</f>
        <v>陶喆</v>
      </c>
      <c r="O694" s="2">
        <f t="shared" si="14"/>
        <v>0</v>
      </c>
      <c r="P694" t="str">
        <f>VLOOKUP(B694,歌单!B:C,1,0)</f>
        <v>寂寞的季节</v>
      </c>
    </row>
    <row r="695" spans="1:16" ht="15" hidden="1" customHeight="1">
      <c r="A695" s="4" t="s">
        <v>3355</v>
      </c>
      <c r="B695" s="4" t="s">
        <v>3356</v>
      </c>
      <c r="C695" s="4" t="s">
        <v>154</v>
      </c>
      <c r="D695" s="18"/>
      <c r="E695" s="18">
        <v>0</v>
      </c>
      <c r="F695" s="18">
        <v>0</v>
      </c>
      <c r="G695" s="4" t="s">
        <v>3357</v>
      </c>
      <c r="H695" s="4" t="s">
        <v>3358</v>
      </c>
      <c r="I695" s="4">
        <v>8968</v>
      </c>
      <c r="J695" s="4"/>
      <c r="K695" s="4" t="s">
        <v>257</v>
      </c>
      <c r="L695" s="4">
        <v>639985095</v>
      </c>
      <c r="M695" s="4"/>
      <c r="N695" s="2" t="str">
        <f>VLOOKUP(B695,歌单!B:C,2,0)</f>
        <v>周杰伦</v>
      </c>
      <c r="O695" s="2">
        <f t="shared" si="14"/>
        <v>0</v>
      </c>
      <c r="P695" t="str">
        <f>VLOOKUP(B695,歌单!B:C,1,0)</f>
        <v>爱在西元前</v>
      </c>
    </row>
    <row r="696" spans="1:16" ht="15" hidden="1" customHeight="1">
      <c r="A696" s="32" t="s">
        <v>3359</v>
      </c>
      <c r="B696" s="4" t="s">
        <v>3360</v>
      </c>
      <c r="C696" s="4" t="s">
        <v>3361</v>
      </c>
      <c r="D696" s="18"/>
      <c r="E696" s="18">
        <v>0</v>
      </c>
      <c r="F696" s="18">
        <v>0</v>
      </c>
      <c r="G696" s="4" t="s">
        <v>3362</v>
      </c>
      <c r="H696" s="4" t="s">
        <v>3363</v>
      </c>
      <c r="I696" s="4">
        <v>177</v>
      </c>
      <c r="J696" s="4"/>
      <c r="K696" s="4" t="s">
        <v>3364</v>
      </c>
      <c r="L696" s="4">
        <v>48129425</v>
      </c>
      <c r="M696" s="4"/>
      <c r="N696" s="2" t="str">
        <f>VLOOKUP(B696,歌单!B:C,2,0)</f>
        <v>张靓颖</v>
      </c>
      <c r="O696" s="2">
        <f t="shared" si="14"/>
        <v>1</v>
      </c>
      <c r="P696" t="str">
        <f>VLOOKUP(B696,歌单!B:C,1,0)</f>
        <v>i believe</v>
      </c>
    </row>
    <row r="697" spans="1:16" ht="15" customHeight="1">
      <c r="A697" s="4" t="s">
        <v>3365</v>
      </c>
      <c r="B697" s="4" t="s">
        <v>3366</v>
      </c>
      <c r="C697" s="4" t="s">
        <v>3367</v>
      </c>
      <c r="D697" s="18"/>
      <c r="E697" s="18">
        <v>0</v>
      </c>
      <c r="F697" s="18">
        <v>0</v>
      </c>
      <c r="G697" s="4" t="s">
        <v>3368</v>
      </c>
      <c r="H697" s="4" t="s">
        <v>3369</v>
      </c>
      <c r="I697" s="4">
        <v>43</v>
      </c>
      <c r="J697" s="4" t="s">
        <v>3370</v>
      </c>
      <c r="K697" s="4" t="s">
        <v>3371</v>
      </c>
      <c r="L697" s="4">
        <v>21412730</v>
      </c>
      <c r="M697" s="4"/>
      <c r="N697" s="2">
        <f>VLOOKUP(B697,歌单!B:C,2,0)</f>
        <v>0</v>
      </c>
      <c r="O697" s="2">
        <f t="shared" si="14"/>
        <v>1</v>
      </c>
      <c r="P697" t="str">
        <f>VLOOKUP(B697,歌单!B:C,1,0)</f>
        <v>我和你</v>
      </c>
    </row>
    <row r="698" spans="1:16" ht="15" hidden="1" customHeight="1">
      <c r="A698" s="4" t="s">
        <v>3372</v>
      </c>
      <c r="B698" s="4" t="s">
        <v>3373</v>
      </c>
      <c r="C698" s="4" t="s">
        <v>175</v>
      </c>
      <c r="D698" s="4"/>
      <c r="E698" s="4">
        <v>0</v>
      </c>
      <c r="F698" s="4">
        <v>0</v>
      </c>
      <c r="G698" s="4" t="s">
        <v>3374</v>
      </c>
      <c r="H698" s="4" t="s">
        <v>3375</v>
      </c>
      <c r="I698" s="4">
        <v>1074</v>
      </c>
      <c r="J698" s="4"/>
      <c r="K698" s="4" t="s">
        <v>3376</v>
      </c>
      <c r="L698" s="4">
        <v>349860283</v>
      </c>
      <c r="M698" s="4"/>
      <c r="N698" s="2" t="e">
        <f>VLOOKUP(B698,歌单!B:C,2,0)</f>
        <v>#N/A</v>
      </c>
      <c r="O698" s="2">
        <f t="shared" si="14"/>
        <v>1</v>
      </c>
      <c r="P698" t="e">
        <f>VLOOKUP(B698,歌单!B:C,1,0)</f>
        <v>#N/A</v>
      </c>
    </row>
    <row r="699" spans="1:16" ht="15" hidden="1">
      <c r="A699" s="32" t="s">
        <v>3377</v>
      </c>
      <c r="B699" s="4" t="s">
        <v>3378</v>
      </c>
      <c r="C699" s="4" t="s">
        <v>3379</v>
      </c>
      <c r="D699" s="4"/>
      <c r="E699" s="4">
        <v>0</v>
      </c>
      <c r="F699" s="4">
        <v>0</v>
      </c>
      <c r="G699" s="4" t="s">
        <v>3380</v>
      </c>
      <c r="H699" s="4" t="s">
        <v>3381</v>
      </c>
      <c r="I699" s="4">
        <v>830</v>
      </c>
      <c r="J699" s="4" t="s">
        <v>3382</v>
      </c>
      <c r="K699" s="4" t="s">
        <v>3383</v>
      </c>
      <c r="L699" s="4">
        <v>698873134</v>
      </c>
      <c r="M699" s="4"/>
      <c r="N699" s="30" t="s">
        <v>10232</v>
      </c>
      <c r="O699" s="2">
        <f t="shared" si="14"/>
        <v>1</v>
      </c>
      <c r="P699" t="str">
        <f>VLOOKUP(B699,歌单!B:C,1,0)</f>
        <v>童年</v>
      </c>
    </row>
    <row r="700" spans="1:16" ht="15" hidden="1">
      <c r="A700" s="4" t="s">
        <v>3384</v>
      </c>
      <c r="B700" s="4" t="s">
        <v>1896</v>
      </c>
      <c r="C700" s="4" t="s">
        <v>1897</v>
      </c>
      <c r="D700" s="4"/>
      <c r="E700" s="4">
        <v>0</v>
      </c>
      <c r="F700" s="4">
        <v>0</v>
      </c>
      <c r="G700" s="4" t="s">
        <v>3385</v>
      </c>
      <c r="H700" s="4"/>
      <c r="I700" s="4">
        <v>79</v>
      </c>
      <c r="J700" s="4"/>
      <c r="K700" s="4" t="s">
        <v>3386</v>
      </c>
      <c r="L700" s="4">
        <v>17451675</v>
      </c>
      <c r="M700" s="4"/>
      <c r="N700" s="2" t="e">
        <f>VLOOKUP(B700,歌单!B:C,2,0)</f>
        <v>#N/A</v>
      </c>
      <c r="O700" s="2">
        <f t="shared" si="14"/>
        <v>1</v>
      </c>
      <c r="P700" t="e">
        <f>VLOOKUP(B700,歌单!B:C,1,0)</f>
        <v>#N/A</v>
      </c>
    </row>
    <row r="701" spans="1:16" ht="15" hidden="1">
      <c r="A701" s="4" t="s">
        <v>3387</v>
      </c>
      <c r="B701" s="4" t="s">
        <v>3388</v>
      </c>
      <c r="C701" s="4" t="s">
        <v>154</v>
      </c>
      <c r="D701" s="4" t="s">
        <v>3389</v>
      </c>
      <c r="E701" s="4">
        <v>5028</v>
      </c>
      <c r="F701" s="4">
        <v>155</v>
      </c>
      <c r="G701" s="4" t="s">
        <v>3390</v>
      </c>
      <c r="H701" s="4" t="s">
        <v>3391</v>
      </c>
      <c r="I701" s="4">
        <v>5420</v>
      </c>
      <c r="J701" s="4"/>
      <c r="K701" s="4" t="s">
        <v>158</v>
      </c>
      <c r="L701" s="4">
        <v>382573562</v>
      </c>
      <c r="M701" s="4"/>
      <c r="N701" s="2" t="str">
        <f>VLOOKUP(B701,歌单!B:C,2,0)</f>
        <v>周杰伦</v>
      </c>
      <c r="O701" s="2">
        <f t="shared" si="14"/>
        <v>0</v>
      </c>
      <c r="P701" t="str">
        <f>VLOOKUP(B701,歌单!B:C,1,0)</f>
        <v>手写的从前</v>
      </c>
    </row>
    <row r="702" spans="1:16" ht="15" hidden="1">
      <c r="A702" s="4" t="s">
        <v>3392</v>
      </c>
      <c r="B702" s="4" t="s">
        <v>3393</v>
      </c>
      <c r="C702" s="4" t="s">
        <v>1331</v>
      </c>
      <c r="D702" s="4"/>
      <c r="E702" s="4">
        <v>0</v>
      </c>
      <c r="F702" s="4">
        <v>0</v>
      </c>
      <c r="G702" s="4" t="s">
        <v>3394</v>
      </c>
      <c r="H702" s="4" t="s">
        <v>3395</v>
      </c>
      <c r="I702" s="4">
        <v>269</v>
      </c>
      <c r="J702" s="4" t="s">
        <v>3396</v>
      </c>
      <c r="K702" s="4" t="s">
        <v>3397</v>
      </c>
      <c r="L702" s="4">
        <v>162536625</v>
      </c>
      <c r="M702" s="4"/>
      <c r="N702" s="2" t="e">
        <f>VLOOKUP(B702,歌单!B:C,2,0)</f>
        <v>#N/A</v>
      </c>
      <c r="O702" s="2">
        <f t="shared" si="14"/>
        <v>1</v>
      </c>
      <c r="P702" t="e">
        <f>VLOOKUP(B702,歌单!B:C,1,0)</f>
        <v>#N/A</v>
      </c>
    </row>
    <row r="703" spans="1:16" ht="15" hidden="1">
      <c r="A703" s="4" t="s">
        <v>3398</v>
      </c>
      <c r="B703" s="4" t="s">
        <v>3399</v>
      </c>
      <c r="C703" s="4" t="s">
        <v>3400</v>
      </c>
      <c r="D703" s="4"/>
      <c r="E703" s="4">
        <v>0</v>
      </c>
      <c r="F703" s="4">
        <v>0</v>
      </c>
      <c r="G703" s="4" t="s">
        <v>3401</v>
      </c>
      <c r="H703" s="4" t="s">
        <v>3402</v>
      </c>
      <c r="I703" s="4">
        <v>1339</v>
      </c>
      <c r="J703" s="4"/>
      <c r="K703" s="4" t="s">
        <v>3403</v>
      </c>
      <c r="L703" s="4">
        <v>570127969</v>
      </c>
      <c r="M703" s="4"/>
      <c r="N703" s="2" t="str">
        <f>VLOOKUP(B703,歌单!B:C,2,0)</f>
        <v>岑宁儿</v>
      </c>
      <c r="O703" s="2">
        <f t="shared" si="14"/>
        <v>0</v>
      </c>
      <c r="P703" t="str">
        <f>VLOOKUP(B703,歌单!B:C,1,0)</f>
        <v>追光者</v>
      </c>
    </row>
    <row r="704" spans="1:16" ht="15" hidden="1">
      <c r="A704" s="4" t="s">
        <v>3404</v>
      </c>
      <c r="B704" s="4" t="s">
        <v>3405</v>
      </c>
      <c r="C704" s="4" t="s">
        <v>3406</v>
      </c>
      <c r="D704" s="4"/>
      <c r="E704" s="4">
        <v>0</v>
      </c>
      <c r="F704" s="4">
        <v>0</v>
      </c>
      <c r="G704" s="4" t="s">
        <v>3407</v>
      </c>
      <c r="H704" s="4" t="s">
        <v>3408</v>
      </c>
      <c r="I704" s="4">
        <v>1976</v>
      </c>
      <c r="J704" s="4"/>
      <c r="K704" s="4" t="s">
        <v>262</v>
      </c>
      <c r="L704" s="4">
        <v>451667350</v>
      </c>
      <c r="M704" s="4" t="s">
        <v>322</v>
      </c>
      <c r="N704" s="2" t="str">
        <f>VLOOKUP(B704,歌单!B:C,2,0)</f>
        <v>周杰伦</v>
      </c>
      <c r="O704" s="2">
        <f t="shared" si="14"/>
        <v>0</v>
      </c>
      <c r="P704" t="str">
        <f>VLOOKUP(B704,歌单!B:C,1,0)</f>
        <v>珊瑚海</v>
      </c>
    </row>
    <row r="705" spans="1:16" ht="15" hidden="1">
      <c r="A705" s="32" t="s">
        <v>3409</v>
      </c>
      <c r="B705" s="4" t="s">
        <v>3410</v>
      </c>
      <c r="C705" s="4" t="s">
        <v>3411</v>
      </c>
      <c r="D705" s="4"/>
      <c r="E705" s="4">
        <v>0</v>
      </c>
      <c r="F705" s="4">
        <v>0</v>
      </c>
      <c r="G705" s="4" t="s">
        <v>3412</v>
      </c>
      <c r="H705" s="4" t="s">
        <v>3413</v>
      </c>
      <c r="I705" s="4">
        <v>16</v>
      </c>
      <c r="J705" s="4"/>
      <c r="K705" s="4" t="s">
        <v>3410</v>
      </c>
      <c r="L705" s="4">
        <v>13443964</v>
      </c>
      <c r="M705" s="4"/>
      <c r="N705" s="28" t="str">
        <f>VLOOKUP(B705,歌单!B:C,2,0)</f>
        <v>王若琳</v>
      </c>
      <c r="O705" s="2">
        <f t="shared" si="14"/>
        <v>1</v>
      </c>
      <c r="P705" t="str">
        <f>VLOOKUP(B705,歌单!B:C,1,0)</f>
        <v>迷宫</v>
      </c>
    </row>
    <row r="706" spans="1:16" ht="15" hidden="1">
      <c r="A706" s="4" t="s">
        <v>3414</v>
      </c>
      <c r="B706" s="4" t="s">
        <v>3415</v>
      </c>
      <c r="C706" s="4" t="s">
        <v>742</v>
      </c>
      <c r="D706" s="4"/>
      <c r="E706" s="4">
        <v>0</v>
      </c>
      <c r="F706" s="4">
        <v>0</v>
      </c>
      <c r="G706" s="4" t="s">
        <v>3416</v>
      </c>
      <c r="H706" s="4" t="s">
        <v>3417</v>
      </c>
      <c r="I706" s="4">
        <v>36</v>
      </c>
      <c r="J706" s="4"/>
      <c r="K706" s="4"/>
      <c r="L706" s="4">
        <v>29643037</v>
      </c>
      <c r="M706" s="4"/>
      <c r="N706" s="2" t="str">
        <f>VLOOKUP(B706,歌单!B:C,2,0)</f>
        <v>孙燕姿</v>
      </c>
      <c r="O706" s="2">
        <f t="shared" si="14"/>
        <v>0</v>
      </c>
      <c r="P706" t="str">
        <f>VLOOKUP(B706,歌单!B:C,1,0)</f>
        <v>尚好的青春</v>
      </c>
    </row>
    <row r="707" spans="1:16" ht="15" hidden="1">
      <c r="A707" s="4" t="s">
        <v>3418</v>
      </c>
      <c r="B707" s="4" t="s">
        <v>3419</v>
      </c>
      <c r="C707" s="4" t="s">
        <v>3420</v>
      </c>
      <c r="D707" s="4"/>
      <c r="E707" s="4">
        <v>0</v>
      </c>
      <c r="F707" s="4">
        <v>0</v>
      </c>
      <c r="G707" s="4" t="s">
        <v>3421</v>
      </c>
      <c r="H707" s="4" t="s">
        <v>3422</v>
      </c>
      <c r="I707" s="4">
        <v>5317</v>
      </c>
      <c r="J707" s="4" t="s">
        <v>3423</v>
      </c>
      <c r="K707" s="4" t="s">
        <v>3419</v>
      </c>
      <c r="L707" s="4">
        <v>843572009</v>
      </c>
      <c r="M707" s="4" t="s">
        <v>2789</v>
      </c>
      <c r="N707" s="2" t="str">
        <f>VLOOKUP(B707,歌单!B:C,2,0)</f>
        <v>戚薇</v>
      </c>
      <c r="O707" s="2">
        <f t="shared" ref="O707:O730" si="15">_xlfn.IFNA(IF(IFERROR(SEARCH(N707,C707),0)&gt;0,0,1),0)</f>
        <v>0</v>
      </c>
      <c r="P707" t="str">
        <f>VLOOKUP(B707,歌单!B:C,1,0)</f>
        <v>如果爱忘了</v>
      </c>
    </row>
    <row r="708" spans="1:16" ht="15" hidden="1">
      <c r="A708" s="4" t="s">
        <v>3424</v>
      </c>
      <c r="B708" s="4" t="s">
        <v>3425</v>
      </c>
      <c r="C708" s="4" t="s">
        <v>1331</v>
      </c>
      <c r="D708" s="4"/>
      <c r="E708" s="4">
        <v>0</v>
      </c>
      <c r="F708" s="4">
        <v>0</v>
      </c>
      <c r="G708" s="4" t="s">
        <v>3426</v>
      </c>
      <c r="H708" s="4" t="s">
        <v>3427</v>
      </c>
      <c r="I708" s="4">
        <v>64</v>
      </c>
      <c r="J708" s="4"/>
      <c r="K708" s="4" t="s">
        <v>1763</v>
      </c>
      <c r="L708" s="4">
        <v>15363963</v>
      </c>
      <c r="M708" s="4"/>
      <c r="N708" s="2" t="e">
        <f>VLOOKUP(B708,歌单!B:C,2,0)</f>
        <v>#N/A</v>
      </c>
      <c r="O708" s="2">
        <f t="shared" si="15"/>
        <v>1</v>
      </c>
      <c r="P708" t="e">
        <f>VLOOKUP(B708,歌单!B:C,1,0)</f>
        <v>#N/A</v>
      </c>
    </row>
    <row r="709" spans="1:16" ht="15" hidden="1">
      <c r="A709" s="32" t="s">
        <v>3428</v>
      </c>
      <c r="B709" s="4" t="s">
        <v>7407</v>
      </c>
      <c r="C709" s="4" t="s">
        <v>135</v>
      </c>
      <c r="D709" s="4"/>
      <c r="E709" s="4">
        <v>0</v>
      </c>
      <c r="F709" s="4">
        <v>0</v>
      </c>
      <c r="G709" s="4" t="s">
        <v>3429</v>
      </c>
      <c r="H709" s="4" t="s">
        <v>3430</v>
      </c>
      <c r="I709" s="4">
        <v>369</v>
      </c>
      <c r="J709" s="4"/>
      <c r="K709" s="4" t="s">
        <v>3431</v>
      </c>
      <c r="L709" s="4">
        <v>29391170</v>
      </c>
      <c r="M709" s="4"/>
      <c r="N709" s="28" t="str">
        <f>VLOOKUP(B709,歌单!B:C,2,0)</f>
        <v>邓紫棋/张靓颖</v>
      </c>
      <c r="O709" s="2">
        <f t="shared" si="15"/>
        <v>1</v>
      </c>
      <c r="P709" t="str">
        <f>VLOOKUP(B709,歌单!B:C,1,0)</f>
        <v>雨蝶</v>
      </c>
    </row>
    <row r="710" spans="1:16" ht="15" hidden="1">
      <c r="A710" s="4" t="s">
        <v>3432</v>
      </c>
      <c r="B710" s="4" t="s">
        <v>3433</v>
      </c>
      <c r="C710" s="4" t="s">
        <v>131</v>
      </c>
      <c r="D710" s="4"/>
      <c r="E710" s="4">
        <v>0</v>
      </c>
      <c r="F710" s="4">
        <v>0</v>
      </c>
      <c r="G710" s="4" t="s">
        <v>3434</v>
      </c>
      <c r="H710" s="4" t="s">
        <v>3435</v>
      </c>
      <c r="I710" s="4">
        <v>28</v>
      </c>
      <c r="J710" s="4"/>
      <c r="K710" s="4" t="s">
        <v>2189</v>
      </c>
      <c r="L710" s="4">
        <v>14497038</v>
      </c>
      <c r="M710" s="4"/>
      <c r="N710" s="2" t="e">
        <f>VLOOKUP(B710,歌单!B:C,2,0)</f>
        <v>#N/A</v>
      </c>
      <c r="O710" s="2">
        <f t="shared" si="15"/>
        <v>1</v>
      </c>
      <c r="P710" t="e">
        <f>VLOOKUP(B710,歌单!B:C,1,0)</f>
        <v>#N/A</v>
      </c>
    </row>
    <row r="711" spans="1:16" ht="15" hidden="1">
      <c r="A711" s="4" t="s">
        <v>3436</v>
      </c>
      <c r="B711" s="4" t="s">
        <v>3437</v>
      </c>
      <c r="C711" s="4" t="s">
        <v>679</v>
      </c>
      <c r="D711" s="4"/>
      <c r="E711" s="4">
        <v>0</v>
      </c>
      <c r="F711" s="4">
        <v>0</v>
      </c>
      <c r="G711" s="4" t="s">
        <v>3438</v>
      </c>
      <c r="H711" s="4" t="s">
        <v>3439</v>
      </c>
      <c r="I711" s="4">
        <v>145</v>
      </c>
      <c r="J711" s="4"/>
      <c r="K711" s="4" t="s">
        <v>789</v>
      </c>
      <c r="L711" s="4">
        <v>57152134</v>
      </c>
      <c r="M711" s="4"/>
      <c r="N711" s="2" t="str">
        <f>VLOOKUP(B711,歌单!B:C,2,0)</f>
        <v>林俊杰</v>
      </c>
      <c r="O711" s="2">
        <f t="shared" si="15"/>
        <v>0</v>
      </c>
      <c r="P711" t="str">
        <f>VLOOKUP(B711,歌单!B:C,1,0)</f>
        <v>生生</v>
      </c>
    </row>
    <row r="712" spans="1:16" ht="15" hidden="1">
      <c r="A712" s="4" t="s">
        <v>3440</v>
      </c>
      <c r="B712" s="4" t="s">
        <v>3441</v>
      </c>
      <c r="C712" s="4" t="s">
        <v>679</v>
      </c>
      <c r="D712" s="4" t="s">
        <v>3442</v>
      </c>
      <c r="E712" s="4">
        <v>28</v>
      </c>
      <c r="F712" s="4">
        <v>4</v>
      </c>
      <c r="G712" s="4" t="s">
        <v>3443</v>
      </c>
      <c r="H712" s="4"/>
      <c r="I712" s="4">
        <v>170</v>
      </c>
      <c r="J712" s="4" t="s">
        <v>3441</v>
      </c>
      <c r="K712" s="4" t="s">
        <v>3441</v>
      </c>
      <c r="L712" s="4">
        <v>59072110</v>
      </c>
      <c r="M712" s="4"/>
      <c r="N712" s="2" t="str">
        <f>VLOOKUP(B712,歌单!B:C,2,0)</f>
        <v>林俊杰</v>
      </c>
      <c r="O712" s="2">
        <f t="shared" si="15"/>
        <v>0</v>
      </c>
      <c r="P712" t="str">
        <f>VLOOKUP(B712,歌单!B:C,1,0)</f>
        <v>冻结</v>
      </c>
    </row>
    <row r="713" spans="1:16" ht="15" hidden="1">
      <c r="A713" s="4" t="s">
        <v>3444</v>
      </c>
      <c r="B713" s="4" t="s">
        <v>3445</v>
      </c>
      <c r="C713" s="4" t="s">
        <v>1670</v>
      </c>
      <c r="D713" s="4"/>
      <c r="E713" s="4">
        <v>0</v>
      </c>
      <c r="F713" s="4">
        <v>0</v>
      </c>
      <c r="G713" s="4" t="s">
        <v>3446</v>
      </c>
      <c r="H713" s="4"/>
      <c r="I713" s="4">
        <v>0</v>
      </c>
      <c r="J713" s="4"/>
      <c r="K713" s="4" t="s">
        <v>3447</v>
      </c>
      <c r="L713" s="4">
        <v>597328</v>
      </c>
      <c r="M713" s="4"/>
      <c r="N713" s="2" t="e">
        <f>VLOOKUP(B713,歌单!B:C,2,0)</f>
        <v>#N/A</v>
      </c>
      <c r="O713" s="2">
        <f t="shared" si="15"/>
        <v>1</v>
      </c>
      <c r="P713" t="e">
        <f>VLOOKUP(B713,歌单!B:C,1,0)</f>
        <v>#N/A</v>
      </c>
    </row>
    <row r="714" spans="1:16" ht="15" hidden="1">
      <c r="A714" s="4" t="s">
        <v>3448</v>
      </c>
      <c r="B714" s="4" t="s">
        <v>3449</v>
      </c>
      <c r="C714" s="4" t="s">
        <v>3011</v>
      </c>
      <c r="D714" s="4"/>
      <c r="E714" s="4">
        <v>0</v>
      </c>
      <c r="F714" s="4">
        <v>0</v>
      </c>
      <c r="G714" s="4" t="s">
        <v>3450</v>
      </c>
      <c r="H714" s="4" t="s">
        <v>3451</v>
      </c>
      <c r="I714" s="4">
        <v>910</v>
      </c>
      <c r="J714" s="4"/>
      <c r="K714" s="4" t="s">
        <v>3452</v>
      </c>
      <c r="L714" s="4">
        <v>110160655</v>
      </c>
      <c r="M714" s="4"/>
      <c r="N714" s="2" t="e">
        <f>VLOOKUP(B714,歌单!B:C,2,0)</f>
        <v>#N/A</v>
      </c>
      <c r="O714" s="2">
        <f t="shared" si="15"/>
        <v>1</v>
      </c>
      <c r="P714" t="e">
        <f>VLOOKUP(B714,歌单!B:C,1,0)</f>
        <v>#N/A</v>
      </c>
    </row>
    <row r="715" spans="1:16" ht="15" hidden="1">
      <c r="A715" s="4" t="s">
        <v>3453</v>
      </c>
      <c r="B715" s="4" t="s">
        <v>3454</v>
      </c>
      <c r="C715" s="4" t="s">
        <v>3455</v>
      </c>
      <c r="D715" s="4"/>
      <c r="E715" s="4">
        <v>0</v>
      </c>
      <c r="F715" s="4">
        <v>0</v>
      </c>
      <c r="G715" s="4" t="s">
        <v>3456</v>
      </c>
      <c r="H715" s="4" t="s">
        <v>3457</v>
      </c>
      <c r="I715" s="4">
        <v>10</v>
      </c>
      <c r="J715" s="4" t="s">
        <v>3458</v>
      </c>
      <c r="K715" s="4" t="s">
        <v>3459</v>
      </c>
      <c r="L715" s="4">
        <v>861479</v>
      </c>
      <c r="M715" s="4"/>
      <c r="N715" s="2" t="e">
        <f>VLOOKUP(B715,歌单!B:C,2,0)</f>
        <v>#N/A</v>
      </c>
      <c r="O715" s="2">
        <f t="shared" si="15"/>
        <v>1</v>
      </c>
      <c r="P715" t="e">
        <f>VLOOKUP(B715,歌单!B:C,1,0)</f>
        <v>#N/A</v>
      </c>
    </row>
    <row r="716" spans="1:16" ht="15">
      <c r="A716" s="4" t="s">
        <v>3460</v>
      </c>
      <c r="B716" s="4" t="s">
        <v>3461</v>
      </c>
      <c r="C716" s="4" t="s">
        <v>3462</v>
      </c>
      <c r="D716" s="4"/>
      <c r="E716" s="4">
        <v>0</v>
      </c>
      <c r="F716" s="4">
        <v>0</v>
      </c>
      <c r="G716" s="4" t="s">
        <v>3463</v>
      </c>
      <c r="H716" s="4"/>
      <c r="I716" s="4">
        <v>54</v>
      </c>
      <c r="J716" s="4"/>
      <c r="K716" s="4" t="s">
        <v>3461</v>
      </c>
      <c r="L716" s="4">
        <v>11328017</v>
      </c>
      <c r="M716" s="4"/>
      <c r="N716" s="2">
        <f>VLOOKUP(B716,歌单!B:C,2,0)</f>
        <v>0</v>
      </c>
      <c r="O716" s="2">
        <f t="shared" si="15"/>
        <v>1</v>
      </c>
      <c r="P716" t="str">
        <f>VLOOKUP(B716,歌单!B:C,1,0)</f>
        <v>泡泡</v>
      </c>
    </row>
    <row r="717" spans="1:16" ht="15" hidden="1">
      <c r="A717" s="4" t="s">
        <v>3464</v>
      </c>
      <c r="B717" s="4" t="s">
        <v>3465</v>
      </c>
      <c r="C717" s="4" t="s">
        <v>3462</v>
      </c>
      <c r="D717" s="4"/>
      <c r="E717" s="4">
        <v>0</v>
      </c>
      <c r="F717" s="4">
        <v>0</v>
      </c>
      <c r="G717" s="4" t="s">
        <v>3466</v>
      </c>
      <c r="H717" s="4" t="s">
        <v>3467</v>
      </c>
      <c r="I717" s="4">
        <v>30</v>
      </c>
      <c r="J717" s="4"/>
      <c r="K717" s="4" t="s">
        <v>3465</v>
      </c>
      <c r="L717" s="4">
        <v>420772</v>
      </c>
      <c r="M717" s="4"/>
      <c r="N717" s="2" t="e">
        <f>VLOOKUP(B717,歌单!B:C,2,0)</f>
        <v>#N/A</v>
      </c>
      <c r="O717" s="2">
        <f t="shared" si="15"/>
        <v>1</v>
      </c>
      <c r="P717" t="e">
        <f>VLOOKUP(B717,歌单!B:C,1,0)</f>
        <v>#N/A</v>
      </c>
    </row>
    <row r="718" spans="1:16" ht="15" hidden="1">
      <c r="A718" s="4" t="s">
        <v>3468</v>
      </c>
      <c r="B718" s="4" t="s">
        <v>3469</v>
      </c>
      <c r="C718" s="4" t="s">
        <v>154</v>
      </c>
      <c r="D718" s="4"/>
      <c r="E718" s="4">
        <v>0</v>
      </c>
      <c r="F718" s="4">
        <v>0</v>
      </c>
      <c r="G718" s="4" t="s">
        <v>3470</v>
      </c>
      <c r="H718" s="4"/>
      <c r="I718" s="4">
        <v>4254</v>
      </c>
      <c r="J718" s="4"/>
      <c r="K718" s="4" t="s">
        <v>292</v>
      </c>
      <c r="L718" s="4">
        <v>493686852</v>
      </c>
      <c r="M718" s="4"/>
      <c r="N718" s="2" t="str">
        <f>VLOOKUP(B718,歌单!B:C,2,0)</f>
        <v>周杰伦</v>
      </c>
      <c r="O718" s="2">
        <f t="shared" si="15"/>
        <v>0</v>
      </c>
      <c r="P718" t="str">
        <f>VLOOKUP(B718,歌单!B:C,1,0)</f>
        <v>红尘客栈</v>
      </c>
    </row>
    <row r="719" spans="1:16" ht="15" hidden="1">
      <c r="A719" s="32" t="s">
        <v>3471</v>
      </c>
      <c r="B719" s="4" t="s">
        <v>3095</v>
      </c>
      <c r="C719" s="4" t="s">
        <v>3472</v>
      </c>
      <c r="D719" s="4"/>
      <c r="E719" s="4">
        <v>0</v>
      </c>
      <c r="F719" s="4">
        <v>0</v>
      </c>
      <c r="G719" s="4" t="s">
        <v>3473</v>
      </c>
      <c r="H719" s="4"/>
      <c r="I719" s="4">
        <v>9</v>
      </c>
      <c r="J719" s="4"/>
      <c r="K719" s="4" t="s">
        <v>3474</v>
      </c>
      <c r="L719" s="4">
        <v>696626</v>
      </c>
      <c r="M719" s="4"/>
      <c r="N719" s="28" t="str">
        <f>VLOOKUP(B719,歌单!B:C,2,0)</f>
        <v>张韶涵</v>
      </c>
      <c r="O719" s="2">
        <f t="shared" si="15"/>
        <v>1</v>
      </c>
      <c r="P719" t="str">
        <f>VLOOKUP(B719,歌单!B:C,1,0)</f>
        <v>隐形的翅膀</v>
      </c>
    </row>
    <row r="720" spans="1:16" ht="15" hidden="1">
      <c r="A720" s="4" t="s">
        <v>3475</v>
      </c>
      <c r="B720" s="4" t="s">
        <v>3476</v>
      </c>
      <c r="C720" s="4" t="s">
        <v>3477</v>
      </c>
      <c r="D720" s="4"/>
      <c r="E720" s="4">
        <v>0</v>
      </c>
      <c r="F720" s="4">
        <v>0</v>
      </c>
      <c r="G720" s="4" t="s">
        <v>3478</v>
      </c>
      <c r="H720" s="4"/>
      <c r="I720" s="4">
        <v>5</v>
      </c>
      <c r="J720" s="4"/>
      <c r="K720" s="4" t="s">
        <v>3476</v>
      </c>
      <c r="L720" s="4">
        <v>56546</v>
      </c>
      <c r="M720" s="4"/>
      <c r="N720" s="2" t="e">
        <f>VLOOKUP(B720,歌单!B:C,2,0)</f>
        <v>#N/A</v>
      </c>
      <c r="O720" s="2">
        <f t="shared" si="15"/>
        <v>1</v>
      </c>
      <c r="P720" t="e">
        <f>VLOOKUP(B720,歌单!B:C,1,0)</f>
        <v>#N/A</v>
      </c>
    </row>
    <row r="721" spans="1:16" ht="15" hidden="1">
      <c r="A721" s="4" t="s">
        <v>3479</v>
      </c>
      <c r="B721" s="4" t="s">
        <v>3480</v>
      </c>
      <c r="C721" s="4" t="s">
        <v>1457</v>
      </c>
      <c r="D721" s="4"/>
      <c r="E721" s="4">
        <v>0</v>
      </c>
      <c r="F721" s="4">
        <v>0</v>
      </c>
      <c r="G721" s="4" t="s">
        <v>3481</v>
      </c>
      <c r="H721" s="4" t="s">
        <v>3482</v>
      </c>
      <c r="I721" s="4">
        <v>339</v>
      </c>
      <c r="J721" s="4" t="s">
        <v>3483</v>
      </c>
      <c r="K721" s="4" t="s">
        <v>3484</v>
      </c>
      <c r="L721" s="4">
        <v>197159453</v>
      </c>
      <c r="M721" s="4"/>
      <c r="N721" s="2" t="e">
        <f>VLOOKUP(B721,歌单!B:C,2,0)</f>
        <v>#N/A</v>
      </c>
      <c r="O721" s="2">
        <f t="shared" si="15"/>
        <v>1</v>
      </c>
      <c r="P721" t="e">
        <f>VLOOKUP(B721,歌单!B:C,1,0)</f>
        <v>#N/A</v>
      </c>
    </row>
    <row r="722" spans="1:16" ht="15" hidden="1">
      <c r="A722" s="4" t="s">
        <v>3485</v>
      </c>
      <c r="B722" s="4" t="s">
        <v>3486</v>
      </c>
      <c r="C722" s="4" t="s">
        <v>2225</v>
      </c>
      <c r="D722" s="4"/>
      <c r="E722" s="4">
        <v>0</v>
      </c>
      <c r="F722" s="4">
        <v>0</v>
      </c>
      <c r="G722" s="4" t="s">
        <v>3487</v>
      </c>
      <c r="H722" s="4"/>
      <c r="I722" s="4">
        <v>11</v>
      </c>
      <c r="J722" s="4" t="s">
        <v>3486</v>
      </c>
      <c r="K722" s="4" t="s">
        <v>3486</v>
      </c>
      <c r="L722" s="4">
        <v>2675569</v>
      </c>
      <c r="M722" s="4"/>
      <c r="N722" s="2" t="e">
        <f>VLOOKUP(B722,歌单!B:C,2,0)</f>
        <v>#N/A</v>
      </c>
      <c r="O722" s="2">
        <f t="shared" si="15"/>
        <v>1</v>
      </c>
      <c r="P722" t="e">
        <f>VLOOKUP(B722,歌单!B:C,1,0)</f>
        <v>#N/A</v>
      </c>
    </row>
    <row r="723" spans="1:16" ht="15" hidden="1">
      <c r="A723" s="4" t="s">
        <v>3488</v>
      </c>
      <c r="B723" s="4" t="s">
        <v>3489</v>
      </c>
      <c r="C723" s="4" t="s">
        <v>3490</v>
      </c>
      <c r="D723" s="4"/>
      <c r="E723" s="4">
        <v>0</v>
      </c>
      <c r="F723" s="4">
        <v>0</v>
      </c>
      <c r="G723" s="4" t="s">
        <v>3491</v>
      </c>
      <c r="H723" s="4" t="s">
        <v>3492</v>
      </c>
      <c r="I723" s="4">
        <v>138</v>
      </c>
      <c r="J723" s="4"/>
      <c r="K723" s="4" t="s">
        <v>3493</v>
      </c>
      <c r="L723" s="4">
        <v>93943426</v>
      </c>
      <c r="M723" s="4"/>
      <c r="N723" s="2" t="str">
        <f>VLOOKUP(B723,歌单!B:C,2,0)</f>
        <v>张露</v>
      </c>
      <c r="O723" s="2">
        <f t="shared" si="15"/>
        <v>0</v>
      </c>
      <c r="P723" t="str">
        <f>VLOOKUP(B723,歌单!B:C,1,0)</f>
        <v>给我一个吻</v>
      </c>
    </row>
    <row r="724" spans="1:16" ht="15" hidden="1">
      <c r="A724" s="4" t="s">
        <v>3494</v>
      </c>
      <c r="B724" s="4" t="s">
        <v>3495</v>
      </c>
      <c r="C724" s="4" t="s">
        <v>3496</v>
      </c>
      <c r="D724" s="4"/>
      <c r="E724" s="4">
        <v>0</v>
      </c>
      <c r="F724" s="4">
        <v>0</v>
      </c>
      <c r="G724" s="4" t="s">
        <v>3497</v>
      </c>
      <c r="H724" s="4" t="s">
        <v>3498</v>
      </c>
      <c r="I724" s="4">
        <v>444</v>
      </c>
      <c r="J724" s="4"/>
      <c r="K724" s="4" t="s">
        <v>3499</v>
      </c>
      <c r="L724" s="4">
        <v>93052303</v>
      </c>
      <c r="M724" s="4"/>
      <c r="N724" s="2" t="str">
        <f>VLOOKUP(B724,歌单!B:C,2,0)</f>
        <v>伍佰</v>
      </c>
      <c r="O724" s="2">
        <f t="shared" si="15"/>
        <v>0</v>
      </c>
      <c r="P724" t="str">
        <f>VLOOKUP(B724,歌单!B:C,1,0)</f>
        <v>泪桥</v>
      </c>
    </row>
    <row r="725" spans="1:16" ht="15">
      <c r="A725" s="4" t="s">
        <v>3500</v>
      </c>
      <c r="B725" s="4" t="s">
        <v>3501</v>
      </c>
      <c r="C725" s="4" t="s">
        <v>154</v>
      </c>
      <c r="D725" s="4" t="s">
        <v>3502</v>
      </c>
      <c r="E725" s="4">
        <v>71193</v>
      </c>
      <c r="F725" s="4">
        <v>5295</v>
      </c>
      <c r="G725" s="4" t="s">
        <v>3503</v>
      </c>
      <c r="H725" s="4" t="s">
        <v>3504</v>
      </c>
      <c r="I725" s="4">
        <v>1425</v>
      </c>
      <c r="J725" s="4"/>
      <c r="K725" s="4" t="s">
        <v>1026</v>
      </c>
      <c r="L725" s="4">
        <v>901923247</v>
      </c>
      <c r="M725" s="4"/>
      <c r="N725" s="2">
        <f>VLOOKUP(B725,歌单!B:C,2,0)</f>
        <v>0</v>
      </c>
      <c r="O725" s="2">
        <f t="shared" si="15"/>
        <v>1</v>
      </c>
      <c r="P725" t="str">
        <f>VLOOKUP(B725,歌单!B:C,1,0)</f>
        <v>给我一首歌的时间</v>
      </c>
    </row>
    <row r="726" spans="1:16" ht="15" hidden="1">
      <c r="A726" s="4" t="s">
        <v>3505</v>
      </c>
      <c r="B726" s="4" t="s">
        <v>3506</v>
      </c>
      <c r="C726" s="4" t="s">
        <v>1545</v>
      </c>
      <c r="D726" s="4"/>
      <c r="E726" s="4">
        <v>0</v>
      </c>
      <c r="F726" s="4">
        <v>0</v>
      </c>
      <c r="G726" s="4" t="s">
        <v>3507</v>
      </c>
      <c r="H726" s="4" t="s">
        <v>3508</v>
      </c>
      <c r="I726" s="4">
        <v>9</v>
      </c>
      <c r="J726" s="4" t="s">
        <v>3509</v>
      </c>
      <c r="K726" s="4" t="s">
        <v>3510</v>
      </c>
      <c r="L726" s="4">
        <v>7110077</v>
      </c>
      <c r="M726" s="4"/>
      <c r="N726" s="2" t="str">
        <f>VLOOKUP(B726,歌单!B:C,2,0)</f>
        <v>梁静茹</v>
      </c>
      <c r="O726" s="2">
        <f t="shared" si="15"/>
        <v>0</v>
      </c>
      <c r="P726" t="str">
        <f>VLOOKUP(B726,歌单!B:C,1,0)</f>
        <v>偶阵雨</v>
      </c>
    </row>
    <row r="727" spans="1:16" ht="15" hidden="1">
      <c r="A727" s="4" t="s">
        <v>3511</v>
      </c>
      <c r="B727" s="4" t="s">
        <v>6393</v>
      </c>
      <c r="C727" s="4" t="s">
        <v>3512</v>
      </c>
      <c r="D727" s="4"/>
      <c r="E727" s="4">
        <v>0</v>
      </c>
      <c r="F727" s="4">
        <v>0</v>
      </c>
      <c r="G727" s="4" t="s">
        <v>3513</v>
      </c>
      <c r="H727" s="4"/>
      <c r="I727" s="4">
        <v>54</v>
      </c>
      <c r="J727" s="4"/>
      <c r="K727" s="4" t="s">
        <v>3514</v>
      </c>
      <c r="L727" s="4">
        <v>19774972</v>
      </c>
      <c r="M727" s="4"/>
      <c r="N727" s="2" t="e">
        <f>VLOOKUP(B727,歌单!B:C,2,0)</f>
        <v>#N/A</v>
      </c>
      <c r="O727" s="2">
        <f t="shared" si="15"/>
        <v>1</v>
      </c>
      <c r="P727" t="e">
        <f>VLOOKUP(B727,歌单!B:C,1,0)</f>
        <v>#N/A</v>
      </c>
    </row>
    <row r="728" spans="1:16" ht="15" hidden="1">
      <c r="A728" s="4" t="s">
        <v>3515</v>
      </c>
      <c r="B728" s="4" t="s">
        <v>3516</v>
      </c>
      <c r="C728" s="4" t="s">
        <v>1331</v>
      </c>
      <c r="D728" s="4"/>
      <c r="E728" s="4">
        <v>0</v>
      </c>
      <c r="F728" s="4">
        <v>0</v>
      </c>
      <c r="G728" s="4" t="s">
        <v>3517</v>
      </c>
      <c r="H728" s="4" t="s">
        <v>3518</v>
      </c>
      <c r="I728" s="4">
        <v>227</v>
      </c>
      <c r="J728" s="4"/>
      <c r="K728" s="4" t="s">
        <v>1763</v>
      </c>
      <c r="L728" s="4">
        <v>34465095</v>
      </c>
      <c r="M728" s="4"/>
      <c r="N728" s="2" t="e">
        <f>VLOOKUP(B728,歌单!B:C,2,0)</f>
        <v>#N/A</v>
      </c>
      <c r="O728" s="2">
        <f t="shared" si="15"/>
        <v>1</v>
      </c>
      <c r="P728" t="e">
        <f>VLOOKUP(B728,歌单!B:C,1,0)</f>
        <v>#N/A</v>
      </c>
    </row>
    <row r="729" spans="1:16" ht="15" hidden="1">
      <c r="A729" s="4" t="s">
        <v>3520</v>
      </c>
      <c r="B729" s="4" t="s">
        <v>3521</v>
      </c>
      <c r="C729" s="4" t="s">
        <v>3522</v>
      </c>
      <c r="D729" s="4"/>
      <c r="E729" s="4">
        <v>0</v>
      </c>
      <c r="F729" s="4">
        <v>0</v>
      </c>
      <c r="G729" s="4" t="s">
        <v>3523</v>
      </c>
      <c r="H729" s="4"/>
      <c r="I729" s="4">
        <v>448</v>
      </c>
      <c r="J729" s="4"/>
      <c r="K729" s="4" t="s">
        <v>3521</v>
      </c>
      <c r="L729" s="4">
        <v>64033545</v>
      </c>
      <c r="M729" s="4" t="s">
        <v>1224</v>
      </c>
      <c r="N729" s="2" t="str">
        <f>VLOOKUP(B729,歌单!B:C,2,0)</f>
        <v>卢卢快闭嘴</v>
      </c>
      <c r="O729" s="2">
        <f t="shared" si="15"/>
        <v>0</v>
      </c>
      <c r="P729" t="str">
        <f>VLOOKUP(B729,歌单!B:C,1,0)</f>
        <v>字字句句</v>
      </c>
    </row>
    <row r="730" spans="1:16" ht="15" hidden="1">
      <c r="A730" s="32" t="s">
        <v>3524</v>
      </c>
      <c r="B730" s="4" t="s">
        <v>6390</v>
      </c>
      <c r="C730" s="4" t="s">
        <v>6389</v>
      </c>
      <c r="D730" s="4"/>
      <c r="E730" s="4">
        <v>0</v>
      </c>
      <c r="F730" s="4">
        <v>0</v>
      </c>
      <c r="G730" s="4" t="s">
        <v>3525</v>
      </c>
      <c r="H730" s="4"/>
      <c r="I730" s="4">
        <v>2</v>
      </c>
      <c r="J730" s="4"/>
      <c r="K730" s="4" t="s">
        <v>3526</v>
      </c>
      <c r="L730" s="4">
        <v>1437978</v>
      </c>
      <c r="M730" s="4"/>
      <c r="N730" s="28" t="str">
        <f>VLOOKUP(B730,歌单!B:C,2,0)</f>
        <v>黄龄</v>
      </c>
      <c r="O730" s="2">
        <f t="shared" si="15"/>
        <v>1</v>
      </c>
      <c r="P730" t="str">
        <f>VLOOKUP(B730,歌单!B:C,1,0)</f>
        <v>恰好</v>
      </c>
    </row>
    <row r="731" spans="1:16" ht="15">
      <c r="A731" s="4"/>
      <c r="B731" s="4"/>
      <c r="C731" s="4"/>
      <c r="D731" s="4"/>
      <c r="E731" s="4"/>
      <c r="F731" s="4"/>
      <c r="G731" s="4"/>
      <c r="H731" s="4"/>
      <c r="I731" s="4"/>
      <c r="J731" s="4"/>
      <c r="K731" s="4"/>
      <c r="L731" s="4"/>
      <c r="M731" s="4"/>
    </row>
    <row r="732" spans="1:16" ht="15">
      <c r="A732" s="4"/>
      <c r="B732" s="4"/>
      <c r="C732" s="4"/>
      <c r="D732" s="4"/>
      <c r="E732" s="4"/>
      <c r="F732" s="4"/>
      <c r="G732" s="4"/>
      <c r="H732" s="4"/>
      <c r="I732" s="4"/>
      <c r="J732" s="4"/>
      <c r="K732" s="4"/>
      <c r="L732" s="4"/>
      <c r="M732" s="4"/>
    </row>
    <row r="733" spans="1:16" ht="15">
      <c r="A733" s="4"/>
      <c r="B733" s="4"/>
      <c r="C733" s="4"/>
      <c r="D733" s="4"/>
      <c r="E733" s="4"/>
      <c r="F733" s="4"/>
      <c r="G733" s="4"/>
      <c r="H733" s="4"/>
      <c r="I733" s="4"/>
      <c r="J733" s="4"/>
      <c r="K733" s="4"/>
      <c r="L733" s="4"/>
      <c r="M733" s="4"/>
    </row>
    <row r="734" spans="1:16" ht="15">
      <c r="A734" s="4"/>
      <c r="B734" s="4"/>
      <c r="C734" s="4"/>
      <c r="D734" s="4"/>
      <c r="E734" s="4"/>
      <c r="F734" s="4"/>
      <c r="G734" s="4"/>
      <c r="H734" s="4"/>
      <c r="I734" s="4"/>
      <c r="J734" s="4"/>
      <c r="K734" s="4"/>
      <c r="L734" s="4"/>
      <c r="M734" s="4"/>
    </row>
    <row r="735" spans="1:16" ht="15">
      <c r="A735" s="4"/>
      <c r="B735" s="4"/>
      <c r="C735" s="4"/>
      <c r="D735" s="4"/>
      <c r="E735" s="4"/>
      <c r="F735" s="4"/>
      <c r="G735" s="4"/>
      <c r="H735" s="4"/>
      <c r="I735" s="4"/>
      <c r="J735" s="4"/>
      <c r="K735" s="4"/>
      <c r="L735" s="4"/>
      <c r="M735" s="4"/>
    </row>
    <row r="736" spans="1:16" ht="15">
      <c r="A736" s="4"/>
      <c r="B736" s="4"/>
      <c r="C736" s="4"/>
      <c r="D736" s="4"/>
      <c r="E736" s="4"/>
      <c r="F736" s="4"/>
      <c r="G736" s="4"/>
      <c r="H736" s="4"/>
      <c r="I736" s="4"/>
      <c r="J736" s="4"/>
      <c r="K736" s="4"/>
      <c r="L736" s="4"/>
      <c r="M736" s="4"/>
    </row>
    <row r="737" spans="1:13" ht="15">
      <c r="A737" s="4"/>
      <c r="B737" s="4"/>
      <c r="C737" s="4"/>
      <c r="D737" s="4"/>
      <c r="E737" s="4"/>
      <c r="F737" s="4"/>
      <c r="G737" s="4"/>
      <c r="H737" s="4"/>
      <c r="I737" s="4"/>
      <c r="J737" s="4"/>
      <c r="K737" s="4"/>
      <c r="L737" s="4"/>
      <c r="M737" s="4"/>
    </row>
    <row r="738" spans="1:13" ht="15">
      <c r="A738" s="4"/>
      <c r="B738" s="4"/>
      <c r="C738" s="4"/>
      <c r="D738" s="4"/>
      <c r="E738" s="4"/>
      <c r="F738" s="4"/>
      <c r="G738" s="4"/>
      <c r="H738" s="4"/>
      <c r="I738" s="4"/>
      <c r="J738" s="4"/>
      <c r="K738" s="4"/>
      <c r="L738" s="4"/>
      <c r="M738" s="4"/>
    </row>
    <row r="739" spans="1:13" ht="15">
      <c r="A739" s="4"/>
      <c r="B739" s="4"/>
      <c r="C739" s="4"/>
      <c r="D739" s="4"/>
      <c r="E739" s="4"/>
      <c r="F739" s="4"/>
      <c r="G739" s="4"/>
      <c r="H739" s="4"/>
      <c r="I739" s="4"/>
      <c r="J739" s="4"/>
      <c r="K739" s="4"/>
      <c r="L739" s="4"/>
      <c r="M739" s="4"/>
    </row>
    <row r="740" spans="1:13" ht="15">
      <c r="A740" s="4"/>
      <c r="B740" s="4"/>
      <c r="C740" s="4"/>
      <c r="D740" s="4"/>
      <c r="E740" s="4"/>
      <c r="F740" s="4"/>
      <c r="G740" s="4"/>
      <c r="H740" s="4"/>
      <c r="I740" s="4"/>
      <c r="J740" s="4"/>
      <c r="K740" s="4"/>
      <c r="L740" s="4"/>
      <c r="M740" s="4"/>
    </row>
    <row r="741" spans="1:13" ht="15">
      <c r="A741" s="4"/>
      <c r="B741" s="4"/>
      <c r="C741" s="4"/>
      <c r="D741" s="4"/>
      <c r="E741" s="4"/>
      <c r="F741" s="4"/>
      <c r="G741" s="4"/>
      <c r="H741" s="4"/>
      <c r="I741" s="4"/>
      <c r="J741" s="4"/>
      <c r="K741" s="4"/>
      <c r="L741" s="4"/>
      <c r="M741" s="4"/>
    </row>
    <row r="742" spans="1:13" ht="15">
      <c r="A742" s="4"/>
      <c r="B742" s="4"/>
      <c r="C742" s="4"/>
      <c r="D742" s="4"/>
      <c r="E742" s="4"/>
      <c r="F742" s="4"/>
      <c r="G742" s="4"/>
      <c r="H742" s="4"/>
      <c r="I742" s="4"/>
      <c r="J742" s="4"/>
      <c r="K742" s="4"/>
      <c r="L742" s="4"/>
      <c r="M742" s="4"/>
    </row>
    <row r="743" spans="1:13" ht="15">
      <c r="A743" s="4"/>
      <c r="B743" s="4"/>
      <c r="C743" s="4"/>
      <c r="D743" s="4"/>
      <c r="E743" s="4"/>
      <c r="F743" s="4"/>
      <c r="G743" s="4"/>
      <c r="H743" s="4"/>
      <c r="I743" s="4"/>
      <c r="J743" s="4"/>
      <c r="K743" s="4"/>
      <c r="L743" s="4"/>
      <c r="M743" s="4"/>
    </row>
    <row r="744" spans="1:13" ht="15">
      <c r="A744" s="4"/>
      <c r="B744" s="4"/>
      <c r="C744" s="4"/>
      <c r="D744" s="4"/>
      <c r="E744" s="4"/>
      <c r="F744" s="4"/>
      <c r="G744" s="4"/>
      <c r="H744" s="4"/>
      <c r="I744" s="4"/>
      <c r="J744" s="4"/>
      <c r="K744" s="4"/>
      <c r="L744" s="4"/>
      <c r="M744" s="4"/>
    </row>
    <row r="745" spans="1:13" ht="15">
      <c r="A745" s="4"/>
      <c r="B745" s="4"/>
      <c r="C745" s="4"/>
      <c r="D745" s="4"/>
      <c r="E745" s="4"/>
      <c r="F745" s="4"/>
      <c r="G745" s="4"/>
      <c r="H745" s="4"/>
      <c r="I745" s="4"/>
      <c r="J745" s="4"/>
      <c r="K745" s="4"/>
      <c r="L745" s="4"/>
      <c r="M745" s="4"/>
    </row>
    <row r="746" spans="1:13" ht="15">
      <c r="A746" s="4"/>
      <c r="B746" s="4"/>
      <c r="C746" s="4"/>
      <c r="D746" s="4"/>
      <c r="E746" s="4"/>
      <c r="F746" s="4"/>
      <c r="G746" s="4"/>
      <c r="H746" s="4"/>
      <c r="I746" s="4"/>
      <c r="J746" s="4"/>
      <c r="K746" s="4"/>
      <c r="L746" s="4"/>
      <c r="M746" s="4"/>
    </row>
    <row r="747" spans="1:13" ht="15">
      <c r="A747" s="4"/>
      <c r="B747" s="4"/>
      <c r="C747" s="4"/>
      <c r="D747" s="4"/>
      <c r="E747" s="4"/>
      <c r="F747" s="4"/>
      <c r="G747" s="4"/>
      <c r="H747" s="4"/>
      <c r="I747" s="4"/>
      <c r="J747" s="4"/>
      <c r="K747" s="4"/>
      <c r="L747" s="4"/>
      <c r="M747" s="4"/>
    </row>
    <row r="748" spans="1:13" ht="15">
      <c r="A748" s="4"/>
      <c r="B748" s="4"/>
      <c r="C748" s="4"/>
      <c r="D748" s="4"/>
      <c r="E748" s="4"/>
      <c r="F748" s="4"/>
      <c r="G748" s="4"/>
      <c r="H748" s="4"/>
      <c r="I748" s="4"/>
      <c r="J748" s="4"/>
      <c r="K748" s="4"/>
      <c r="L748" s="4"/>
      <c r="M748" s="4"/>
    </row>
    <row r="749" spans="1:13" ht="15">
      <c r="A749" s="4"/>
      <c r="B749" s="4"/>
      <c r="C749" s="4"/>
      <c r="D749" s="4"/>
      <c r="E749" s="4"/>
      <c r="F749" s="4"/>
      <c r="G749" s="4"/>
      <c r="H749" s="4"/>
      <c r="I749" s="4"/>
      <c r="J749" s="4"/>
      <c r="K749" s="4"/>
      <c r="L749" s="4"/>
      <c r="M749" s="4"/>
    </row>
    <row r="750" spans="1:13" ht="15">
      <c r="A750" s="4"/>
      <c r="B750" s="4"/>
      <c r="C750" s="4"/>
      <c r="D750" s="4"/>
      <c r="E750" s="4"/>
      <c r="F750" s="4"/>
      <c r="G750" s="4"/>
      <c r="H750" s="4"/>
      <c r="I750" s="4"/>
      <c r="J750" s="4"/>
      <c r="K750" s="4"/>
      <c r="L750" s="4"/>
      <c r="M750" s="4"/>
    </row>
    <row r="751" spans="1:13" ht="15">
      <c r="A751" s="4"/>
      <c r="B751" s="4"/>
      <c r="C751" s="4"/>
      <c r="D751" s="4"/>
      <c r="E751" s="4"/>
      <c r="F751" s="4"/>
      <c r="G751" s="4"/>
      <c r="H751" s="4"/>
      <c r="I751" s="4"/>
      <c r="J751" s="4"/>
      <c r="K751" s="4"/>
      <c r="L751" s="4"/>
      <c r="M751" s="4"/>
    </row>
    <row r="752" spans="1:13" ht="15">
      <c r="A752" s="4"/>
      <c r="B752" s="4"/>
      <c r="C752" s="4"/>
      <c r="D752" s="4"/>
      <c r="E752" s="4"/>
      <c r="F752" s="4"/>
      <c r="G752" s="4"/>
      <c r="H752" s="4"/>
      <c r="I752" s="4"/>
      <c r="J752" s="4"/>
      <c r="K752" s="4"/>
      <c r="L752" s="4"/>
      <c r="M752" s="4"/>
    </row>
    <row r="753" spans="1:13" ht="15">
      <c r="A753" s="4"/>
      <c r="B753" s="4"/>
      <c r="C753" s="4"/>
      <c r="D753" s="4"/>
      <c r="E753" s="4"/>
      <c r="F753" s="4"/>
      <c r="G753" s="4"/>
      <c r="H753" s="4"/>
      <c r="I753" s="4"/>
      <c r="J753" s="4"/>
      <c r="K753" s="4"/>
      <c r="L753" s="4"/>
      <c r="M753" s="4"/>
    </row>
    <row r="754" spans="1:13" ht="15">
      <c r="A754" s="4"/>
      <c r="B754" s="4"/>
      <c r="C754" s="4"/>
      <c r="D754" s="4"/>
      <c r="E754" s="4"/>
      <c r="F754" s="4"/>
      <c r="G754" s="4"/>
      <c r="H754" s="4"/>
      <c r="I754" s="4"/>
      <c r="J754" s="4"/>
      <c r="K754" s="4"/>
      <c r="L754" s="4"/>
      <c r="M754" s="4"/>
    </row>
    <row r="755" spans="1:13" ht="15">
      <c r="A755" s="4"/>
      <c r="B755" s="4"/>
      <c r="C755" s="4"/>
      <c r="D755" s="4"/>
      <c r="E755" s="4"/>
      <c r="F755" s="4"/>
      <c r="G755" s="4"/>
      <c r="H755" s="4"/>
      <c r="I755" s="4"/>
      <c r="J755" s="4"/>
      <c r="K755" s="4"/>
      <c r="L755" s="4"/>
      <c r="M755" s="4"/>
    </row>
  </sheetData>
  <autoFilter ref="A1:P730" xr:uid="{CD12ED82-7D5C-4880-A5E4-68FD9509F89D}">
    <filterColumn colId="0">
      <colorFilter dxfId="8"/>
    </filterColumn>
    <filterColumn colId="14">
      <filters>
        <filter val="1"/>
      </filters>
    </filterColumn>
    <filterColumn colId="15">
      <filters>
        <filter val="Baby"/>
        <filter val="Can't Take My Eyes Off You"/>
        <filter val="Caro mio ben"/>
        <filter val="Da Capo"/>
        <filter val="Fly Me To The Moon"/>
        <filter val="Forever Young"/>
        <filter val="Friend"/>
        <filter val="high歌"/>
        <filter val="i believe"/>
        <filter val="melody"/>
        <filter val="mojito"/>
        <filter val="RingRingRing"/>
        <filter val="Rubia"/>
        <filter val="Scarborough fair"/>
        <filter val="阿楚姑娘"/>
        <filter val="阿刁"/>
        <filter val="爱"/>
        <filter val="爱就一个字"/>
        <filter val="爱你"/>
        <filter val="爱情废柴"/>
        <filter val="爱情悬崖"/>
        <filter val="爱如潮水"/>
        <filter val="爱我中华"/>
        <filter val="爱笑的眼睛"/>
        <filter val="爱在西元前"/>
        <filter val="安静"/>
        <filter val="暗号"/>
        <filter val="白色风车"/>
        <filter val="白芍花开"/>
        <filter val="百年孤寂"/>
        <filter val="半岛铁盒"/>
        <filter val="宝贝"/>
        <filter val="悲伤的五个步骤"/>
        <filter val="贝加尔湖畔"/>
        <filter val="背对背拥抱"/>
        <filter val="被雨伤透"/>
        <filter val="别问很可怕"/>
        <filter val="别找我麻烦"/>
        <filter val="不爱"/>
        <filter val="不该"/>
        <filter val="不能说的秘密"/>
        <filter val="不识月"/>
        <filter val="不枉"/>
        <filter val="不为谁而作的歌"/>
        <filter val="不问天"/>
        <filter val="不要忘记我爱你"/>
        <filter val="不醉不会"/>
        <filter val="布虎记"/>
        <filter val="彩虹"/>
        <filter val="残酷月光"/>
        <filter val="赤伶"/>
        <filter val="敕勒歌"/>
        <filter val="虫儿飞"/>
        <filter val="崇拜"/>
        <filter val="传奇"/>
        <filter val="春风十里"/>
        <filter val="春三月"/>
        <filter val="春天的芭蕾"/>
        <filter val="春天在哪里"/>
        <filter val="此生不换"/>
        <filter val="匆匆那年"/>
        <filter val="从前慢"/>
        <filter val="达尔文"/>
        <filter val="大笨钟"/>
        <filter val="大地飞歌"/>
        <filter val="大眠"/>
        <filter val="大喜"/>
        <filter val="大鱼"/>
        <filter val="带我走"/>
        <filter val="但愿人长久"/>
        <filter val="当你"/>
        <filter val="刀马旦"/>
        <filter val="倒带"/>
        <filter val="稻香"/>
        <filter val="灯火里的中国"/>
        <filter val="灯塔"/>
        <filter val="等你下课"/>
        <filter val="第一次爱的人"/>
        <filter val="第一天"/>
        <filter val="掉了"/>
        <filter val="蝶恋花"/>
        <filter val="冬眠"/>
        <filter val="冻结"/>
        <filter val="兜圈"/>
        <filter val="独上西楼"/>
        <filter val="恶作剧"/>
        <filter val="儿歌"/>
        <filter val="发如雪"/>
        <filter val="繁华唱遍"/>
        <filter val="繁华梦"/>
        <filter val="房间"/>
        <filter val="飞机场"/>
        <filter val="飞鸟和蝉"/>
        <filter val="飞云之下"/>
        <filter val="分身"/>
        <filter val="风月"/>
        <filter val="枫"/>
        <filter val="凤凰于飞"/>
        <filter val="橄榄树"/>
        <filter val="告白气球"/>
        <filter val="搁浅"/>
        <filter val="歌者"/>
        <filter val="给电影人的情书"/>
        <filter val="给我一个理由忘记"/>
        <filter val="给我一个吻"/>
        <filter val="给我一首歌的时间"/>
        <filter val="跟着你到天边"/>
        <filter val="勾指起誓"/>
        <filter val="孤勇者"/>
        <filter val="关键词"/>
        <filter val="关雎"/>
        <filter val="光亮"/>
        <filter val="广寒宫"/>
        <filter val="滚滚红尘"/>
        <filter val="裹着心的光"/>
        <filter val="海底"/>
        <filter val="海芋恋"/>
        <filter val="好春光"/>
        <filter val="好久不见"/>
        <filter val="好日子"/>
        <filter val="好想好想"/>
        <filter val="好运来"/>
        <filter val="荷塘月色"/>
        <filter val="黑色毛衣"/>
        <filter val="黑色幽默"/>
        <filter val="很久以后"/>
        <filter val="横竖撇点折"/>
        <filter val="红尘客栈"/>
        <filter val="红豆"/>
        <filter val="红玫瑰"/>
        <filter val="红色高跟鞋"/>
        <filter val="红颜劫"/>
        <filter val="红颜旧"/>
        <filter val="红颜如霜"/>
        <filter val="鸿雁"/>
        <filter val="后会无期"/>
        <filter val="后来"/>
        <filter val="呼吸决定"/>
        <filter val="胡广生"/>
        <filter val="胡桃夹子"/>
        <filter val="蝴蝶泉边"/>
        <filter val="花海"/>
        <filter val="化身孤岛的鲸"/>
        <filter val="画心"/>
        <filter val="欢颜"/>
        <filter val="黄昏晓"/>
        <filter val="挥着翅膀的女孩"/>
        <filter val="会呼吸的痛"/>
        <filter val="记得"/>
        <filter val="记念"/>
        <filter val="寂寞的季节"/>
        <filter val="寂寞的恋人啊"/>
        <filter val="假如爱有天意"/>
        <filter val="煎熬"/>
        <filter val="剪爱"/>
        <filter val="简单爱"/>
        <filter val="江南"/>
        <filter val="睫毛弯弯"/>
        <filter val="姐就是女王"/>
        <filter val="借口"/>
        <filter val="今天你要嫁给我"/>
        <filter val="矜持"/>
        <filter val="锦鲤抄"/>
        <filter val="惊鸿一面"/>
        <filter val="九儿"/>
        <filter val="九万字"/>
        <filter val="就是爱你"/>
        <filter val="菊花台"/>
        <filter val="卷珠帘"/>
        <filter val="绝世舞姬"/>
        <filter val="开不了口"/>
        <filter val="开往春天的地铁"/>
        <filter val="看得最远的地方"/>
        <filter val="靠近"/>
        <filter val="可爱女人"/>
        <filter val="可惜不是你"/>
        <filter val="刻在我心底的名字"/>
        <filter val="兰亭序"/>
        <filter val="蓝色爱情海"/>
        <filter val="浪费"/>
        <filter val="老人与海"/>
        <filter val="泪桥"/>
        <filter val="离不开你"/>
        <filter val="离歌"/>
        <filter val="梨花又开放"/>
        <filter val="李香兰"/>
        <filter val="恋人未满"/>
        <filter val="凉凉"/>
        <filter val="梁山伯与茱丽叶"/>
        <filter val="两只蝴蝶"/>
        <filter val="淋雨一直走"/>
        <filter val="流年"/>
        <filter val="流年如歌"/>
        <filter val="流沙"/>
        <filter val="龙卷风"/>
        <filter val="龙文"/>
        <filter val="笼"/>
        <filter val="路过人间"/>
        <filter val="罗敷"/>
        <filter val="落叶归根"/>
        <filter val="落在胸口的星星"/>
        <filter val="旅行的意义"/>
        <filter val="旅行中忘记"/>
        <filter val="玛依拉变奏曲"/>
        <filter val="慢慢喜欢你"/>
        <filter val="没有意外"/>
        <filter val="美丽的神话"/>
        <filter val="美人鱼"/>
        <filter val="梦里花"/>
        <filter val="梦一场"/>
        <filter val="迷迭香"/>
        <filter val="迷宫"/>
        <filter val="明明就"/>
        <filter val="茉莉花"/>
        <filter val="默"/>
        <filter val="母系社会"/>
        <filter val="牧羊曲"/>
        <filter val="哪里都是你"/>
        <filter val="那个男人"/>
        <filter val="那个女孩"/>
        <filter val="那年夏天宁静的海"/>
        <filter val="那片海"/>
        <filter val="那些你很冒险的梦"/>
        <filter val="南屏晚钟"/>
        <filter val="难忘今宵"/>
        <filter val="你"/>
        <filter val="你啊你啊"/>
        <filter val="你被写在我的歌里"/>
        <filter val="你不知道的事"/>
        <filter val="你的微笑"/>
        <filter val="你的眼神"/>
        <filter val="你要的爱"/>
        <filter val="你一定要幸福"/>
        <filter val="年轮"/>
        <filter val="年轮说"/>
        <filter val="宁夏"/>
        <filter val="暖暖"/>
        <filter val="女儿情"/>
        <filter val="偶阵雨"/>
        <filter val="泡沫"/>
        <filter val="泡泡"/>
        <filter val="偏爱"/>
        <filter val="漂洋过海来看你"/>
        <filter val="泼墨漓江"/>
        <filter val="菩萨蛮"/>
        <filter val="蒲公英的约定"/>
        <filter val="普通朋友"/>
        <filter val="七里香"/>
        <filter val="凄美地"/>
        <filter val="期待爱"/>
        <filter val="起风了"/>
        <filter val="恰好"/>
        <filter val="千里之外"/>
        <filter val="牵丝戏"/>
        <filter val="亲爱的，那不是爱情"/>
        <filter val="亲密爱人"/>
        <filter val="青藏高原"/>
        <filter val="青花瓷"/>
        <filter val="情深深雨蒙蒙"/>
        <filter val="晴天"/>
        <filter val="秋水长天"/>
        <filter val="秋意浓"/>
        <filter val="囚鸟"/>
        <filter val="去有风的地方"/>
        <filter val="让她降落"/>
        <filter val="让我们荡起双桨"/>
        <filter val="热爱105°C的你"/>
        <filter val="人啊"/>
        <filter val="人间未满"/>
        <filter val="人是_"/>
        <filter val="日不落"/>
        <filter val="如此"/>
        <filter val="如果爱忘了"/>
        <filter val="如果可以"/>
        <filter val="如果没有你"/>
        <filter val="如果你也听说"/>
        <filter val="如果有来生"/>
        <filter val="如果云知道"/>
        <filter val="如果这就是爱情"/>
        <filter val="如燕"/>
        <filter val="如愿"/>
        <filter val="入画江南"/>
        <filter val="若把你"/>
        <filter val="三人游"/>
        <filter val="三月雨"/>
        <filter val="杀破狼"/>
        <filter val="沙滩"/>
        <filter val="珊瑚海"/>
        <filter val="尚好的青春"/>
        <filter val="身骑白马"/>
        <filter val="神女劈观"/>
        <filter val="生生"/>
        <filter val="失落沙洲"/>
        <filter val="十万毫升泪水"/>
        <filter val="时间有泪"/>
        <filter val="时间煮雨"/>
        <filter val="手写的从前"/>
        <filter val="输了你赢了世界又如何"/>
        <filter val="说爱你"/>
        <filter val="说了再见"/>
        <filter val="说散就散"/>
        <filter val="思念"/>
        <filter val="送别"/>
        <filter val="苏幕遮"/>
        <filter val="岁月神偷"/>
        <filter val="她说"/>
        <filter val="台风"/>
        <filter val="桃花诺"/>
        <filter val="桃花笑"/>
        <filter val="特别的人"/>
        <filter val="天黑黑"/>
        <filter val="天亮了"/>
        <filter val="天路"/>
        <filter val="天若有情"/>
        <filter val="天堂岛之歌"/>
        <filter val="天天"/>
        <filter val="天下无双"/>
        <filter val="天下有情人"/>
        <filter val="天之大"/>
        <filter val="天知河"/>
        <filter val="甜甜的"/>
        <filter val="听海"/>
        <filter val="听见下雨的声音"/>
        <filter val="童话"/>
        <filter val="童年"/>
        <filter val="突然好想你"/>
        <filter val="退后"/>
        <filter val="妥协"/>
        <filter val="外婆的澎湖湾"/>
        <filter val="枉凝眉"/>
        <filter val="忘记拥抱"/>
        <filter val="望月"/>
        <filter val="为爱痴狂"/>
        <filter val="味道"/>
        <filter val="喂"/>
        <filter val="问情"/>
        <filter val="蜗牛与黄鹂鸟"/>
        <filter val="我爱你，中国"/>
        <filter val="我不配"/>
        <filter val="我的悲伤是水做的"/>
        <filter val="我的梦"/>
        <filter val="我等到花儿也谢了"/>
        <filter val="我好想你"/>
        <filter val="我和你"/>
        <filter val="我和我的祖国"/>
        <filter val="我怀念的"/>
        <filter val="我们的爱"/>
        <filter val="我们的歌"/>
        <filter val="我期待"/>
        <filter val="我要你"/>
        <filter val="我只在乎你"/>
        <filter val="我最亲爱的"/>
        <filter val="乌兰巴托的夜"/>
        <filter val="乌梅子酱"/>
        <filter val="无人知晓"/>
        <filter val="无与伦比的美丽"/>
        <filter val="梧桐树"/>
        <filter val="舞娘"/>
        <filter val="悟空"/>
        <filter val="喜欢你"/>
        <filter val="霞光"/>
        <filter val="下一秒"/>
        <filter val="下雨天"/>
        <filter val="夏天的风"/>
        <filter val="先生"/>
        <filter val="相思"/>
        <filter val="香水有毒"/>
        <filter val="想把哥哥追"/>
        <filter val="想你的365天"/>
        <filter val="想你时风起"/>
        <filter val="想自由"/>
        <filter val="像风一样"/>
        <filter val="消愁"/>
        <filter val="消失的爱人"/>
        <filter val="小城谣"/>
        <filter val="小河淌水"/>
        <filter val="小酒窝"/>
        <filter val="小美满"/>
        <filter val="小情歌"/>
        <filter val="小手拉大手"/>
        <filter val="小小"/>
        <filter val="小幸运"/>
        <filter val="小雨"/>
        <filter val="小镇姑娘"/>
        <filter val="心动"/>
        <filter val="心墙"/>
        <filter val="心如刀割"/>
        <filter val="心愿便利贴"/>
        <filter val="星辰大海"/>
        <filter val="星河叹"/>
        <filter val="星晴"/>
        <filter val="星月神话"/>
        <filter val="修炼爱情"/>
        <filter val="袖手旁观"/>
        <filter val="续写"/>
        <filter val="萱草花"/>
        <filter val="炫境"/>
        <filter val="学不会"/>
        <filter val="雪落下的声音"/>
        <filter val="烟花易冷"/>
        <filter val="言不由衷"/>
        <filter val="眼泪成诗"/>
        <filter val="氧气"/>
        <filter val="痒"/>
        <filter val="也许明天"/>
        <filter val="叶子"/>
        <filter val="夜来香"/>
        <filter val="一个人"/>
        <filter val="一荤一素"/>
        <filter val="一剪梅"/>
        <filter val="一路向北"/>
        <filter val="一千年以后"/>
        <filter val="一生等你"/>
        <filter val="一吻之间"/>
        <filter val="一笑倾城"/>
        <filter val="一眼万年"/>
        <filter val="一样的月光"/>
        <filter val="一直很安静"/>
        <filter val="依然爱你"/>
        <filter val="遗失的美好"/>
        <filter val="易燃易爆炸"/>
        <filter val="隐形的翅膀"/>
        <filter val="樱花草"/>
        <filter val="映山红"/>
        <filter val="永不失联的爱"/>
        <filter val="勇敢"/>
        <filter val="勇气"/>
        <filter val="有点甜"/>
        <filter val="有可能的夜晚"/>
        <filter val="有形的翅膀"/>
        <filter val="有一种悲伤"/>
        <filter val="又见炊烟"/>
        <filter val="雨爱"/>
        <filter val="雨蝶"/>
        <filter val="雨下一整晚"/>
        <filter val="雨樱花"/>
        <filter val="遇见"/>
        <filter val="园游会"/>
        <filter val="原谅"/>
        <filter val="愿与愁"/>
        <filter val="月"/>
        <filter val="月光"/>
        <filter val="月亮代表我的心"/>
        <filter val="月满西楼"/>
        <filter val="月牙湾"/>
        <filter val="再见深海"/>
        <filter val="在树上唱歌"/>
        <filter val="在水一方"/>
        <filter val="在夜里跳舞"/>
        <filter val="怎么办"/>
        <filter val="长夜杯空"/>
        <filter val="这世界那么多人"/>
        <filter val="真实"/>
        <filter val="知否知否"/>
        <filter val="知足"/>
        <filter val="只对你有感觉"/>
        <filter val="只要平凡"/>
        <filter val="致你"/>
        <filter val="种太阳"/>
        <filter val="追光者"/>
        <filter val="紫"/>
        <filter val="字字句句"/>
        <filter val="最初的梦想"/>
        <filter val="最后一页"/>
        <filter val="最美的期待"/>
        <filter val="最长的电影"/>
        <filter val="醉了千古爱"/>
        <filter val="昨日青空"/>
        <filter val="左边"/>
        <filter val="左手指月"/>
      </filters>
    </filterColumn>
  </autoFilter>
  <phoneticPr fontId="1" type="noConversion"/>
  <conditionalFormatting sqref="A714">
    <cfRule type="duplicateValues" dxfId="3" priority="1"/>
  </conditionalFormatting>
  <conditionalFormatting sqref="B715:B1048576 B636:B713 B1:B10">
    <cfRule type="duplicateValues" dxfId="2" priority="2"/>
  </conditionalFormatting>
  <hyperlinks>
    <hyperlink ref="C42" r:id="rId1" display="https://baike.baidu.com/item/HOYO-MiX/15441055?fromModule=lemma_inlink" xr:uid="{2C7DF861-71DB-4761-91CE-3BDB21EB6925}"/>
    <hyperlink ref="G102" r:id="rId2" xr:uid="{2D3AD4C3-FF61-4879-AD72-E84380D59A3C}"/>
    <hyperlink ref="G110" r:id="rId3" xr:uid="{CECF23D1-C579-43AD-BB0A-92D585E523A6}"/>
    <hyperlink ref="G564" r:id="rId4" xr:uid="{DF83E9D9-5A30-4C93-9E7D-E85599EB444B}"/>
    <hyperlink ref="G569" r:id="rId5" xr:uid="{02227165-C9AB-4C30-95DF-436D05509174}"/>
    <hyperlink ref="G577" r:id="rId6" xr:uid="{EA0B948D-2765-4EC3-9479-8EE481947C81}"/>
    <hyperlink ref="H577" r:id="rId7" xr:uid="{3975E5CF-BA1D-4754-8F0B-FA6EA58727D5}"/>
  </hyperlinks>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Z2343"/>
  <sheetViews>
    <sheetView topLeftCell="D1" zoomScale="85" zoomScaleNormal="85" workbookViewId="0">
      <pane ySplit="1" topLeftCell="A2247" activePane="bottomLeft" state="frozen"/>
      <selection pane="bottomLeft" activeCell="J2273" sqref="J2273"/>
    </sheetView>
  </sheetViews>
  <sheetFormatPr defaultRowHeight="15"/>
  <cols>
    <col min="1" max="1" width="9.06640625" style="4" customWidth="1"/>
    <col min="2" max="2" width="41" style="4" customWidth="1"/>
    <col min="3" max="3" width="5.9296875" style="4" customWidth="1"/>
    <col min="4" max="4" width="8.06640625" style="4" customWidth="1"/>
    <col min="5" max="5" width="16.53125" style="4" customWidth="1"/>
    <col min="6" max="6" width="29.86328125" style="16" customWidth="1"/>
    <col min="7" max="7" width="23.06640625" style="5" customWidth="1"/>
    <col min="8" max="8" width="16.9296875" style="5" customWidth="1"/>
    <col min="9" max="9" width="24.33203125" style="24" customWidth="1"/>
    <col min="10" max="10" width="40.59765625" style="4" customWidth="1"/>
    <col min="11" max="11" width="17.53125" style="4" customWidth="1"/>
    <col min="12" max="12" width="12.19921875" style="4" customWidth="1"/>
    <col min="13" max="13" width="11.796875" style="4" customWidth="1"/>
    <col min="14" max="14" width="12.33203125" style="4" customWidth="1"/>
    <col min="15" max="21" width="12.59765625" style="4" customWidth="1"/>
    <col min="22" max="26" width="9.06640625" style="4" customWidth="1"/>
  </cols>
  <sheetData>
    <row r="1" spans="1:21" ht="27" customHeight="1">
      <c r="A1" s="13" t="s">
        <v>3528</v>
      </c>
      <c r="B1" s="14" t="s">
        <v>3529</v>
      </c>
      <c r="C1" s="14" t="s">
        <v>3530</v>
      </c>
      <c r="D1" s="14" t="s">
        <v>3531</v>
      </c>
      <c r="E1" s="11" t="s">
        <v>3532</v>
      </c>
      <c r="F1" s="12" t="s">
        <v>3533</v>
      </c>
      <c r="G1" s="6" t="s">
        <v>0</v>
      </c>
      <c r="H1" s="6" t="s">
        <v>3534</v>
      </c>
      <c r="I1" s="23" t="s">
        <v>3535</v>
      </c>
      <c r="J1" s="3" t="s">
        <v>1</v>
      </c>
      <c r="K1" s="3" t="s">
        <v>2</v>
      </c>
      <c r="L1" s="15" t="s">
        <v>3</v>
      </c>
      <c r="M1" s="3" t="s">
        <v>4</v>
      </c>
      <c r="N1" s="3" t="s">
        <v>5</v>
      </c>
      <c r="O1" s="3" t="s">
        <v>6</v>
      </c>
      <c r="P1" s="3" t="s">
        <v>7</v>
      </c>
      <c r="Q1" s="3" t="s">
        <v>8</v>
      </c>
      <c r="R1" s="3" t="s">
        <v>9</v>
      </c>
      <c r="S1" s="3" t="s">
        <v>10</v>
      </c>
      <c r="T1" s="3" t="s">
        <v>11</v>
      </c>
      <c r="U1" s="3" t="s">
        <v>12</v>
      </c>
    </row>
    <row r="2" spans="1:21" ht="15.75" customHeight="1">
      <c r="A2" s="15">
        <v>1</v>
      </c>
      <c r="B2" s="4" t="s">
        <v>3536</v>
      </c>
      <c r="C2" s="4">
        <v>2</v>
      </c>
      <c r="D2" s="4">
        <v>1</v>
      </c>
      <c r="E2" s="4" t="s">
        <v>14</v>
      </c>
      <c r="F2" s="16">
        <v>44936</v>
      </c>
      <c r="G2" s="5" t="s">
        <v>13</v>
      </c>
      <c r="H2" s="5" t="s">
        <v>3537</v>
      </c>
      <c r="I2" s="24" t="str">
        <f>HYPERLINK("https://www.bilibili.com/video/BV1ne4y1A7oM?p=1", "BV1ne4y1A7oM?p=1")</f>
        <v>BV1ne4y1A7oM?p=1</v>
      </c>
      <c r="J2" s="4" t="str">
        <f ca="1">_xlfn.IFNA(VLOOKUP(INDIRECT("G"&amp;ROW()),minfo!$A:$M,COLUMN()-8,0),"")</f>
        <v>瓦解</v>
      </c>
      <c r="K2" s="4" t="str">
        <f ca="1">_xlfn.IFNA(VLOOKUP(INDIRECT("G"&amp;ROW()),minfo!$A:$M,COLUMN()-8,0),"")</f>
        <v>南拳妈妈</v>
      </c>
      <c r="L2" s="4">
        <f ca="1">_xlfn.IFNA(VLOOKUP(INDIRECT("G"&amp;ROW()),minfo!$A:$M,COLUMN()-8,0),"")</f>
        <v>0</v>
      </c>
      <c r="M2" s="4">
        <f ca="1">_xlfn.IFNA(VLOOKUP(INDIRECT("G"&amp;ROW()),minfo!$A:$M,COLUMN()-8,0),"")</f>
        <v>0</v>
      </c>
      <c r="N2" s="4">
        <f ca="1">_xlfn.IFNA(VLOOKUP(INDIRECT("G"&amp;ROW()),minfo!$A:$M,COLUMN()-8,0),"")</f>
        <v>0</v>
      </c>
      <c r="O2" s="4" t="str">
        <f ca="1">_xlfn.IFNA(VLOOKUP(INDIRECT("G"&amp;ROW()),minfo!$A:$M,COLUMN()-8,0),"")</f>
        <v>https://i0.hdslb.com/bfs/station_src/music_metadata/284aedba73bbb46dd43548a108598c32.jpg</v>
      </c>
      <c r="P2" s="4" t="str">
        <f ca="1">_xlfn.IFNA(VLOOKUP(INDIRECT("G"&amp;ROW()),minfo!$A:$M,COLUMN()-8,0),"")</f>
        <v>http://i0.hdslb.com/bfs/station_src/music_metadata/4d7bef88af4faa856325802b023ef85e</v>
      </c>
      <c r="Q2" s="4">
        <f ca="1">_xlfn.IFNA(VLOOKUP(INDIRECT("G"&amp;ROW()),minfo!$A:$M,COLUMN()-8,0),"")</f>
        <v>129</v>
      </c>
      <c r="R2" s="4">
        <f ca="1">_xlfn.IFNA(VLOOKUP(INDIRECT("G"&amp;ROW()),minfo!$A:$M,COLUMN()-8,0),"")</f>
        <v>0</v>
      </c>
      <c r="S2" s="4" t="str">
        <f ca="1">_xlfn.IFNA(VLOOKUP(INDIRECT("G"&amp;ROW()),minfo!$A:$M,COLUMN()-8,0),"")</f>
        <v>南拳妈妈的夏天</v>
      </c>
      <c r="T2" s="4">
        <f ca="1">_xlfn.IFNA(VLOOKUP(INDIRECT("G"&amp;ROW()),minfo!$A:$M,COLUMN()-8,0),"")</f>
        <v>122109069</v>
      </c>
      <c r="U2" s="4">
        <f ca="1">_xlfn.IFNA(VLOOKUP(INDIRECT("G"&amp;ROW()),minfo!$A:$M,COLUMN()-8,0),"")</f>
        <v>0</v>
      </c>
    </row>
    <row r="3" spans="1:21" ht="15.75" customHeight="1">
      <c r="A3" s="15">
        <v>2</v>
      </c>
      <c r="B3" s="4" t="s">
        <v>3538</v>
      </c>
      <c r="C3" s="4">
        <v>3</v>
      </c>
      <c r="D3" s="4">
        <v>2</v>
      </c>
      <c r="E3" s="4" t="s">
        <v>20</v>
      </c>
      <c r="F3" s="16">
        <v>44940</v>
      </c>
      <c r="G3" s="5" t="s">
        <v>19</v>
      </c>
      <c r="H3" s="5" t="s">
        <v>3537</v>
      </c>
      <c r="I3" s="24" t="str">
        <f>HYPERLINK("https://www.bilibili.com/video/BV1ne4y1A7oM?p=2", "BV1ne4y1A7oM?p=2")</f>
        <v>BV1ne4y1A7oM?p=2</v>
      </c>
      <c r="J3" s="4" t="str">
        <f ca="1">_xlfn.IFNA(VLOOKUP(INDIRECT("G"&amp;ROW()),minfo!$A:$M,COLUMN()-8,0),"")</f>
        <v>人啊</v>
      </c>
      <c r="K3" s="4" t="str">
        <f ca="1">_xlfn.IFNA(VLOOKUP(INDIRECT("G"&amp;ROW()),minfo!$A:$M,COLUMN()-8,0),"")</f>
        <v>单依纯</v>
      </c>
      <c r="L3" s="4">
        <f ca="1">_xlfn.IFNA(VLOOKUP(INDIRECT("G"&amp;ROW()),minfo!$A:$M,COLUMN()-8,0),"")</f>
        <v>0</v>
      </c>
      <c r="M3" s="4">
        <f ca="1">_xlfn.IFNA(VLOOKUP(INDIRECT("G"&amp;ROW()),minfo!$A:$M,COLUMN()-8,0),"")</f>
        <v>0</v>
      </c>
      <c r="N3" s="4">
        <f ca="1">_xlfn.IFNA(VLOOKUP(INDIRECT("G"&amp;ROW()),minfo!$A:$M,COLUMN()-8,0),"")</f>
        <v>0</v>
      </c>
      <c r="O3" s="4" t="str">
        <f ca="1">_xlfn.IFNA(VLOOKUP(INDIRECT("G"&amp;ROW()),minfo!$A:$M,COLUMN()-8,0),"")</f>
        <v>https://i0.hdslb.com/bfs/station_src/music_metadata/a697c5525f54e3a22b0caceb846d074a.jpg</v>
      </c>
      <c r="P3" s="4" t="str">
        <f ca="1">_xlfn.IFNA(VLOOKUP(INDIRECT("G"&amp;ROW()),minfo!$A:$M,COLUMN()-8,0),"")</f>
        <v>https://i0.hdslb.com/bfs/station_src/music_metadata/f9eba08a567e4e3bb5bf438dae27b6f2.txt</v>
      </c>
      <c r="Q3" s="4">
        <f ca="1">_xlfn.IFNA(VLOOKUP(INDIRECT("G"&amp;ROW()),minfo!$A:$M,COLUMN()-8,0),"")</f>
        <v>16</v>
      </c>
      <c r="R3" s="4">
        <f ca="1">_xlfn.IFNA(VLOOKUP(INDIRECT("G"&amp;ROW()),minfo!$A:$M,COLUMN()-8,0),"")</f>
        <v>0</v>
      </c>
      <c r="S3" s="4" t="str">
        <f ca="1">_xlfn.IFNA(VLOOKUP(INDIRECT("G"&amp;ROW()),minfo!$A:$M,COLUMN()-8,0),"")</f>
        <v>2020中国好声音 第11期</v>
      </c>
      <c r="T3" s="4">
        <f ca="1">_xlfn.IFNA(VLOOKUP(INDIRECT("G"&amp;ROW()),minfo!$A:$M,COLUMN()-8,0),"")</f>
        <v>3227968</v>
      </c>
      <c r="U3" s="4">
        <f ca="1">_xlfn.IFNA(VLOOKUP(INDIRECT("G"&amp;ROW()),minfo!$A:$M,COLUMN()-8,0),"")</f>
        <v>0</v>
      </c>
    </row>
    <row r="4" spans="1:21" ht="15.75" customHeight="1">
      <c r="A4" s="15">
        <v>3</v>
      </c>
      <c r="B4" s="4" t="s">
        <v>3539</v>
      </c>
      <c r="C4" s="4">
        <v>4</v>
      </c>
      <c r="D4" s="4">
        <v>3</v>
      </c>
      <c r="E4" s="4" t="s">
        <v>26</v>
      </c>
      <c r="F4" s="16">
        <v>44940</v>
      </c>
      <c r="G4" s="5" t="s">
        <v>25</v>
      </c>
      <c r="H4" s="5" t="s">
        <v>3537</v>
      </c>
      <c r="I4" s="24" t="str">
        <f>HYPERLINK("https://www.bilibili.com/video/BV1ne4y1A7oM?p=3", "BV1ne4y1A7oM?p=3")</f>
        <v>BV1ne4y1A7oM?p=3</v>
      </c>
      <c r="J4" s="4" t="str">
        <f ca="1">_xlfn.IFNA(VLOOKUP(INDIRECT("G"&amp;ROW()),minfo!$A:$M,COLUMN()-8,0),"")</f>
        <v>失落沙洲</v>
      </c>
      <c r="K4" s="4" t="str">
        <f ca="1">_xlfn.IFNA(VLOOKUP(INDIRECT("G"&amp;ROW()),minfo!$A:$M,COLUMN()-8,0),"")</f>
        <v>徐佳莹</v>
      </c>
      <c r="L4" s="4">
        <f ca="1">_xlfn.IFNA(VLOOKUP(INDIRECT("G"&amp;ROW()),minfo!$A:$M,COLUMN()-8,0),"")</f>
        <v>0</v>
      </c>
      <c r="M4" s="4">
        <f ca="1">_xlfn.IFNA(VLOOKUP(INDIRECT("G"&amp;ROW()),minfo!$A:$M,COLUMN()-8,0),"")</f>
        <v>72</v>
      </c>
      <c r="N4" s="4">
        <f ca="1">_xlfn.IFNA(VLOOKUP(INDIRECT("G"&amp;ROW()),minfo!$A:$M,COLUMN()-8,0),"")</f>
        <v>18</v>
      </c>
      <c r="O4" s="4" t="str">
        <f ca="1">_xlfn.IFNA(VLOOKUP(INDIRECT("G"&amp;ROW()),minfo!$A:$M,COLUMN()-8,0),"")</f>
        <v>http://i0.hdslb.com/bfs/station_src/music_metadata/7f95eaafe5cfc03dd6c22a1bac11aee8.jpg</v>
      </c>
      <c r="P4" s="4">
        <f ca="1">_xlfn.IFNA(VLOOKUP(INDIRECT("G"&amp;ROW()),minfo!$A:$M,COLUMN()-8,0),"")</f>
        <v>0</v>
      </c>
      <c r="Q4" s="4">
        <f ca="1">_xlfn.IFNA(VLOOKUP(INDIRECT("G"&amp;ROW()),minfo!$A:$M,COLUMN()-8,0),"")</f>
        <v>51</v>
      </c>
      <c r="R4" s="4">
        <f ca="1">_xlfn.IFNA(VLOOKUP(INDIRECT("G"&amp;ROW()),minfo!$A:$M,COLUMN()-8,0),"")</f>
        <v>0</v>
      </c>
      <c r="S4" s="4" t="str">
        <f ca="1">_xlfn.IFNA(VLOOKUP(INDIRECT("G"&amp;ROW()),minfo!$A:$M,COLUMN()-8,0),"")</f>
        <v>失落沙洲</v>
      </c>
      <c r="T4" s="4">
        <f ca="1">_xlfn.IFNA(VLOOKUP(INDIRECT("G"&amp;ROW()),minfo!$A:$M,COLUMN()-8,0),"")</f>
        <v>13227275</v>
      </c>
      <c r="U4" s="4">
        <f ca="1">_xlfn.IFNA(VLOOKUP(INDIRECT("G"&amp;ROW()),minfo!$A:$M,COLUMN()-8,0),"")</f>
        <v>0</v>
      </c>
    </row>
    <row r="5" spans="1:21" ht="15.75" customHeight="1">
      <c r="A5" s="15">
        <v>4</v>
      </c>
      <c r="B5" s="4" t="s">
        <v>3540</v>
      </c>
      <c r="C5" s="4">
        <v>5</v>
      </c>
      <c r="D5" s="4">
        <v>4</v>
      </c>
      <c r="E5" s="4" t="s">
        <v>30</v>
      </c>
      <c r="F5" s="16">
        <v>44940</v>
      </c>
      <c r="G5" s="5" t="s">
        <v>29</v>
      </c>
      <c r="H5" s="5" t="s">
        <v>3537</v>
      </c>
      <c r="I5" s="24" t="str">
        <f>HYPERLINK("https://www.bilibili.com/video/BV1ne4y1A7oM?p=4", "BV1ne4y1A7oM?p=4")</f>
        <v>BV1ne4y1A7oM?p=4</v>
      </c>
      <c r="J5" s="4" t="str">
        <f ca="1">_xlfn.IFNA(VLOOKUP(INDIRECT("G"&amp;ROW()),minfo!$A:$M,COLUMN()-8,0),"")</f>
        <v>下雨天</v>
      </c>
      <c r="K5" s="4" t="str">
        <f ca="1">_xlfn.IFNA(VLOOKUP(INDIRECT("G"&amp;ROW()),minfo!$A:$M,COLUMN()-8,0),"")</f>
        <v>南拳妈妈</v>
      </c>
      <c r="L5" s="4">
        <f ca="1">_xlfn.IFNA(VLOOKUP(INDIRECT("G"&amp;ROW()),minfo!$A:$M,COLUMN()-8,0),"")</f>
        <v>0</v>
      </c>
      <c r="M5" s="4">
        <f ca="1">_xlfn.IFNA(VLOOKUP(INDIRECT("G"&amp;ROW()),minfo!$A:$M,COLUMN()-8,0),"")</f>
        <v>0</v>
      </c>
      <c r="N5" s="4">
        <f ca="1">_xlfn.IFNA(VLOOKUP(INDIRECT("G"&amp;ROW()),minfo!$A:$M,COLUMN()-8,0),"")</f>
        <v>0</v>
      </c>
      <c r="O5" s="4" t="str">
        <f ca="1">_xlfn.IFNA(VLOOKUP(INDIRECT("G"&amp;ROW()),minfo!$A:$M,COLUMN()-8,0),"")</f>
        <v>http://i0.hdslb.com/bfs/station_src/music_metadata/11894af49c3a6335acdcff5503de93ca.jpg</v>
      </c>
      <c r="P5" s="4" t="str">
        <f ca="1">_xlfn.IFNA(VLOOKUP(INDIRECT("G"&amp;ROW()),minfo!$A:$M,COLUMN()-8,0),"")</f>
        <v>http://i0.hdslb.com/bfs/station_src/music_metadata/7562376c6e398641a1432bf3281bc565</v>
      </c>
      <c r="Q5" s="4">
        <f ca="1">_xlfn.IFNA(VLOOKUP(INDIRECT("G"&amp;ROW()),minfo!$A:$M,COLUMN()-8,0),"")</f>
        <v>1858</v>
      </c>
      <c r="R5" s="4">
        <f ca="1">_xlfn.IFNA(VLOOKUP(INDIRECT("G"&amp;ROW()),minfo!$A:$M,COLUMN()-8,0),"")</f>
        <v>0</v>
      </c>
      <c r="S5" s="4" t="str">
        <f ca="1">_xlfn.IFNA(VLOOKUP(INDIRECT("G"&amp;ROW()),minfo!$A:$M,COLUMN()-8,0),"")</f>
        <v>优の良曲 南搞小孩</v>
      </c>
      <c r="T5" s="4">
        <f ca="1">_xlfn.IFNA(VLOOKUP(INDIRECT("G"&amp;ROW()),minfo!$A:$M,COLUMN()-8,0),"")</f>
        <v>282780877</v>
      </c>
      <c r="U5" s="4" t="str">
        <f ca="1">_xlfn.IFNA(VLOOKUP(INDIRECT("G"&amp;ROW()),minfo!$A:$M,COLUMN()-8,0),"")</f>
        <v>音乐榜最高NO.14</v>
      </c>
    </row>
    <row r="6" spans="1:21" ht="15.75" customHeight="1">
      <c r="A6" s="15">
        <v>5</v>
      </c>
      <c r="B6" s="4" t="s">
        <v>3541</v>
      </c>
      <c r="C6" s="4">
        <v>6</v>
      </c>
      <c r="D6" s="4">
        <v>5</v>
      </c>
      <c r="E6" s="4" t="s">
        <v>36</v>
      </c>
      <c r="F6" s="16">
        <v>44940</v>
      </c>
      <c r="G6" s="5" t="s">
        <v>35</v>
      </c>
      <c r="H6" s="5" t="s">
        <v>3537</v>
      </c>
      <c r="I6" s="24" t="str">
        <f>HYPERLINK("https://www.bilibili.com/video/BV1ne4y1A7oM?p=5", "BV1ne4y1A7oM?p=5")</f>
        <v>BV1ne4y1A7oM?p=5</v>
      </c>
      <c r="J6" s="4" t="str">
        <f ca="1">_xlfn.IFNA(VLOOKUP(INDIRECT("G"&amp;ROW()),minfo!$A:$M,COLUMN()-8,0),"")</f>
        <v>刻在我心底的名字</v>
      </c>
      <c r="K6" s="4" t="str">
        <f ca="1">_xlfn.IFNA(VLOOKUP(INDIRECT("G"&amp;ROW()),minfo!$A:$M,COLUMN()-8,0),"")</f>
        <v>卢广仲</v>
      </c>
      <c r="L6" s="4">
        <f ca="1">_xlfn.IFNA(VLOOKUP(INDIRECT("G"&amp;ROW()),minfo!$A:$M,COLUMN()-8,0),"")</f>
        <v>0</v>
      </c>
      <c r="M6" s="4">
        <f ca="1">_xlfn.IFNA(VLOOKUP(INDIRECT("G"&amp;ROW()),minfo!$A:$M,COLUMN()-8,0),"")</f>
        <v>0</v>
      </c>
      <c r="N6" s="4">
        <f ca="1">_xlfn.IFNA(VLOOKUP(INDIRECT("G"&amp;ROW()),minfo!$A:$M,COLUMN()-8,0),"")</f>
        <v>0</v>
      </c>
      <c r="O6" s="4" t="str">
        <f ca="1">_xlfn.IFNA(VLOOKUP(INDIRECT("G"&amp;ROW()),minfo!$A:$M,COLUMN()-8,0),"")</f>
        <v>http://i0.hdslb.com/bfs/station_src/music_metadata/37ea3e391ee95afdcce1b5218d7a6b89.jpg</v>
      </c>
      <c r="P6" s="4" t="str">
        <f ca="1">_xlfn.IFNA(VLOOKUP(INDIRECT("G"&amp;ROW()),minfo!$A:$M,COLUMN()-8,0),"")</f>
        <v>http://i0.hdslb.com/bfs/station_src/music_metadata/5a0249850c66fe79f1f63995afb75828</v>
      </c>
      <c r="Q6" s="4">
        <f ca="1">_xlfn.IFNA(VLOOKUP(INDIRECT("G"&amp;ROW()),minfo!$A:$M,COLUMN()-8,0),"")</f>
        <v>938</v>
      </c>
      <c r="R6" s="4">
        <f ca="1">_xlfn.IFNA(VLOOKUP(INDIRECT("G"&amp;ROW()),minfo!$A:$M,COLUMN()-8,0),"")</f>
        <v>0</v>
      </c>
      <c r="S6" s="4" t="str">
        <f ca="1">_xlfn.IFNA(VLOOKUP(INDIRECT("G"&amp;ROW()),minfo!$A:$M,COLUMN()-8,0),"")</f>
        <v>刻在我心底的名字</v>
      </c>
      <c r="T6" s="4">
        <f ca="1">_xlfn.IFNA(VLOOKUP(INDIRECT("G"&amp;ROW()),minfo!$A:$M,COLUMN()-8,0),"")</f>
        <v>127569700</v>
      </c>
      <c r="U6" s="4">
        <f ca="1">_xlfn.IFNA(VLOOKUP(INDIRECT("G"&amp;ROW()),minfo!$A:$M,COLUMN()-8,0),"")</f>
        <v>0</v>
      </c>
    </row>
    <row r="7" spans="1:21" ht="15.75" customHeight="1">
      <c r="A7" s="15">
        <v>6</v>
      </c>
      <c r="B7" s="4" t="s">
        <v>3542</v>
      </c>
      <c r="C7" s="4">
        <v>7</v>
      </c>
      <c r="D7" s="4">
        <v>6</v>
      </c>
      <c r="E7" s="4" t="s">
        <v>41</v>
      </c>
      <c r="F7" s="16">
        <v>44945</v>
      </c>
      <c r="G7" s="5" t="s">
        <v>40</v>
      </c>
      <c r="H7" s="5" t="s">
        <v>3537</v>
      </c>
      <c r="I7" s="24" t="str">
        <f>HYPERLINK("https://www.bilibili.com/video/BV1ne4y1A7oM?p=6", "BV1ne4y1A7oM?p=6")</f>
        <v>BV1ne4y1A7oM?p=6</v>
      </c>
      <c r="J7" s="4" t="str">
        <f ca="1">_xlfn.IFNA(VLOOKUP(INDIRECT("G"&amp;ROW()),minfo!$A:$M,COLUMN()-8,0),"")</f>
        <v>繁华梦</v>
      </c>
      <c r="K7" s="4" t="str">
        <f ca="1">_xlfn.IFNA(VLOOKUP(INDIRECT("G"&amp;ROW()),minfo!$A:$M,COLUMN()-8,0),"")</f>
        <v>黄龄</v>
      </c>
      <c r="L7" s="4">
        <f ca="1">_xlfn.IFNA(VLOOKUP(INDIRECT("G"&amp;ROW()),minfo!$A:$M,COLUMN()-8,0),"")</f>
        <v>0</v>
      </c>
      <c r="M7" s="4">
        <f ca="1">_xlfn.IFNA(VLOOKUP(INDIRECT("G"&amp;ROW()),minfo!$A:$M,COLUMN()-8,0),"")</f>
        <v>0</v>
      </c>
      <c r="N7" s="4">
        <f ca="1">_xlfn.IFNA(VLOOKUP(INDIRECT("G"&amp;ROW()),minfo!$A:$M,COLUMN()-8,0),"")</f>
        <v>0</v>
      </c>
      <c r="O7" s="4" t="str">
        <f ca="1">_xlfn.IFNA(VLOOKUP(INDIRECT("G"&amp;ROW()),minfo!$A:$M,COLUMN()-8,0),"")</f>
        <v>https://i0.hdslb.com/bfs/station_src/music_metadata/291e1698332ad9b72c9b1b6d790b1779.jpg</v>
      </c>
      <c r="P7" s="4" t="str">
        <f ca="1">_xlfn.IFNA(VLOOKUP(INDIRECT("G"&amp;ROW()),minfo!$A:$M,COLUMN()-8,0),"")</f>
        <v>http://i0.hdslb.com/bfs/station_src/music_metadata/ec48c16ed2393142cdaec4ce42b3b6e7</v>
      </c>
      <c r="Q7" s="4">
        <f ca="1">_xlfn.IFNA(VLOOKUP(INDIRECT("G"&amp;ROW()),minfo!$A:$M,COLUMN()-8,0),"")</f>
        <v>436</v>
      </c>
      <c r="R7" s="4">
        <f ca="1">_xlfn.IFNA(VLOOKUP(INDIRECT("G"&amp;ROW()),minfo!$A:$M,COLUMN()-8,0),"")</f>
        <v>0</v>
      </c>
      <c r="S7" s="4" t="str">
        <f ca="1">_xlfn.IFNA(VLOOKUP(INDIRECT("G"&amp;ROW()),minfo!$A:$M,COLUMN()-8,0),"")</f>
        <v>2018CCTV音乐频道全球中文音乐榜上榜</v>
      </c>
      <c r="T7" s="4">
        <f ca="1">_xlfn.IFNA(VLOOKUP(INDIRECT("G"&amp;ROW()),minfo!$A:$M,COLUMN()-8,0),"")</f>
        <v>54926711</v>
      </c>
      <c r="U7" s="4">
        <f ca="1">_xlfn.IFNA(VLOOKUP(INDIRECT("G"&amp;ROW()),minfo!$A:$M,COLUMN()-8,0),"")</f>
        <v>0</v>
      </c>
    </row>
    <row r="8" spans="1:21" ht="15.75" customHeight="1">
      <c r="A8" s="15">
        <v>7</v>
      </c>
      <c r="B8" s="4" t="s">
        <v>3543</v>
      </c>
      <c r="C8" s="4">
        <v>8</v>
      </c>
      <c r="D8" s="4">
        <v>7</v>
      </c>
      <c r="E8" s="4" t="s">
        <v>47</v>
      </c>
      <c r="F8" s="16">
        <v>44945</v>
      </c>
      <c r="G8" s="5" t="s">
        <v>46</v>
      </c>
      <c r="H8" s="5" t="s">
        <v>3537</v>
      </c>
      <c r="I8" s="24" t="str">
        <f>HYPERLINK("https://www.bilibili.com/video/BV1ne4y1A7oM?p=7", "BV1ne4y1A7oM?p=7")</f>
        <v>BV1ne4y1A7oM?p=7</v>
      </c>
      <c r="J8" s="4" t="str">
        <f ca="1">_xlfn.IFNA(VLOOKUP(INDIRECT("G"&amp;ROW()),minfo!$A:$M,COLUMN()-8,0),"")</f>
        <v>在夜里跳舞</v>
      </c>
      <c r="K8" s="4" t="str">
        <f ca="1">_xlfn.IFNA(VLOOKUP(INDIRECT("G"&amp;ROW()),minfo!$A:$M,COLUMN()-8,0),"")</f>
        <v>单依纯</v>
      </c>
      <c r="L8" s="4">
        <f ca="1">_xlfn.IFNA(VLOOKUP(INDIRECT("G"&amp;ROW()),minfo!$A:$M,COLUMN()-8,0),"")</f>
        <v>0</v>
      </c>
      <c r="M8" s="4">
        <f ca="1">_xlfn.IFNA(VLOOKUP(INDIRECT("G"&amp;ROW()),minfo!$A:$M,COLUMN()-8,0),"")</f>
        <v>0</v>
      </c>
      <c r="N8" s="4">
        <f ca="1">_xlfn.IFNA(VLOOKUP(INDIRECT("G"&amp;ROW()),minfo!$A:$M,COLUMN()-8,0),"")</f>
        <v>0</v>
      </c>
      <c r="O8" s="4" t="str">
        <f ca="1">_xlfn.IFNA(VLOOKUP(INDIRECT("G"&amp;ROW()),minfo!$A:$M,COLUMN()-8,0),"")</f>
        <v>https://i0.hdslb.com/bfs/station_src/music_metadata/8290748e31edb0e5ad1e0965087b2aab.jpg</v>
      </c>
      <c r="P8" s="4" t="str">
        <f ca="1">_xlfn.IFNA(VLOOKUP(INDIRECT("G"&amp;ROW()),minfo!$A:$M,COLUMN()-8,0),"")</f>
        <v>http://i0.hdslb.com/bfs/station_src/music_metadata/29d5595276e7ec7758df19c35809517b</v>
      </c>
      <c r="Q8" s="4">
        <f ca="1">_xlfn.IFNA(VLOOKUP(INDIRECT("G"&amp;ROW()),minfo!$A:$M,COLUMN()-8,0),"")</f>
        <v>298</v>
      </c>
      <c r="R8" s="4">
        <f ca="1">_xlfn.IFNA(VLOOKUP(INDIRECT("G"&amp;ROW()),minfo!$A:$M,COLUMN()-8,0),"")</f>
        <v>0</v>
      </c>
      <c r="S8" s="4" t="str">
        <f ca="1">_xlfn.IFNA(VLOOKUP(INDIRECT("G"&amp;ROW()),minfo!$A:$M,COLUMN()-8,0),"")</f>
        <v>在夜里跳舞</v>
      </c>
      <c r="T8" s="4">
        <f ca="1">_xlfn.IFNA(VLOOKUP(INDIRECT("G"&amp;ROW()),minfo!$A:$M,COLUMN()-8,0),"")</f>
        <v>21106106</v>
      </c>
      <c r="U8" s="4">
        <f ca="1">_xlfn.IFNA(VLOOKUP(INDIRECT("G"&amp;ROW()),minfo!$A:$M,COLUMN()-8,0),"")</f>
        <v>0</v>
      </c>
    </row>
    <row r="9" spans="1:21" ht="15.75" customHeight="1">
      <c r="A9" s="15">
        <v>8</v>
      </c>
      <c r="B9" s="4" t="s">
        <v>3544</v>
      </c>
      <c r="C9" s="4">
        <v>9</v>
      </c>
      <c r="D9" s="4">
        <v>8</v>
      </c>
      <c r="E9" s="4" t="s">
        <v>150</v>
      </c>
      <c r="F9" s="16">
        <v>44946</v>
      </c>
      <c r="G9" s="5" t="s">
        <v>149</v>
      </c>
      <c r="H9" s="5" t="s">
        <v>3537</v>
      </c>
      <c r="I9" s="24" t="str">
        <f>HYPERLINK("https://www.bilibili.com/video/BV1ne4y1A7oM?p=8", "BV1ne4y1A7oM?p=8")</f>
        <v>BV1ne4y1A7oM?p=8</v>
      </c>
      <c r="J9" s="4" t="str">
        <f ca="1">_xlfn.IFNA(VLOOKUP(INDIRECT("G"&amp;ROW()),minfo!$A:$M,COLUMN()-8,0),"")</f>
        <v>繁华唱遍</v>
      </c>
      <c r="K9" s="4" t="str">
        <f ca="1">_xlfn.IFNA(VLOOKUP(INDIRECT("G"&amp;ROW()),minfo!$A:$M,COLUMN()-8,0),"")</f>
        <v>乐正绫</v>
      </c>
      <c r="L9" s="4">
        <f ca="1">_xlfn.IFNA(VLOOKUP(INDIRECT("G"&amp;ROW()),minfo!$A:$M,COLUMN()-8,0),"")</f>
        <v>0</v>
      </c>
      <c r="M9" s="4">
        <f ca="1">_xlfn.IFNA(VLOOKUP(INDIRECT("G"&amp;ROW()),minfo!$A:$M,COLUMN()-8,0),"")</f>
        <v>277</v>
      </c>
      <c r="N9" s="4">
        <f ca="1">_xlfn.IFNA(VLOOKUP(INDIRECT("G"&amp;ROW()),minfo!$A:$M,COLUMN()-8,0),"")</f>
        <v>2</v>
      </c>
      <c r="O9" s="4">
        <f ca="1">_xlfn.IFNA(VLOOKUP(INDIRECT("G"&amp;ROW()),minfo!$A:$M,COLUMN()-8,0),"")</f>
        <v>0</v>
      </c>
      <c r="P9" s="4">
        <f ca="1">_xlfn.IFNA(VLOOKUP(INDIRECT("G"&amp;ROW()),minfo!$A:$M,COLUMN()-8,0),"")</f>
        <v>0</v>
      </c>
      <c r="Q9" s="4">
        <f ca="1">_xlfn.IFNA(VLOOKUP(INDIRECT("G"&amp;ROW()),minfo!$A:$M,COLUMN()-8,0),"")</f>
        <v>156</v>
      </c>
      <c r="R9" s="4">
        <f ca="1">_xlfn.IFNA(VLOOKUP(INDIRECT("G"&amp;ROW()),minfo!$A:$M,COLUMN()-8,0),"")</f>
        <v>0</v>
      </c>
      <c r="S9" s="4">
        <f ca="1">_xlfn.IFNA(VLOOKUP(INDIRECT("G"&amp;ROW()),minfo!$A:$M,COLUMN()-8,0),"")</f>
        <v>0</v>
      </c>
      <c r="T9" s="4">
        <f ca="1">_xlfn.IFNA(VLOOKUP(INDIRECT("G"&amp;ROW()),minfo!$A:$M,COLUMN()-8,0),"")</f>
        <v>71832236</v>
      </c>
      <c r="U9" s="4">
        <f ca="1">_xlfn.IFNA(VLOOKUP(INDIRECT("G"&amp;ROW()),minfo!$A:$M,COLUMN()-8,0),"")</f>
        <v>0</v>
      </c>
    </row>
    <row r="10" spans="1:21" ht="15.75" customHeight="1">
      <c r="A10" s="15">
        <v>9</v>
      </c>
      <c r="B10" s="4" t="s">
        <v>3545</v>
      </c>
      <c r="C10" s="4">
        <v>10</v>
      </c>
      <c r="D10" s="4">
        <v>9</v>
      </c>
      <c r="E10" s="4" t="s">
        <v>153</v>
      </c>
      <c r="F10" s="16">
        <v>44946</v>
      </c>
      <c r="G10" s="5" t="s">
        <v>152</v>
      </c>
      <c r="H10" s="5" t="s">
        <v>3537</v>
      </c>
      <c r="I10" s="24" t="str">
        <f>HYPERLINK("https://www.bilibili.com/video/BV1ne4y1A7oM?p=9", "BV1ne4y1A7oM?p=9")</f>
        <v>BV1ne4y1A7oM?p=9</v>
      </c>
      <c r="J10" s="4" t="str">
        <f ca="1">_xlfn.IFNA(VLOOKUP(INDIRECT("G"&amp;ROW()),minfo!$A:$M,COLUMN()-8,0),"")</f>
        <v>听见下雨的声音</v>
      </c>
      <c r="K10" s="4" t="str">
        <f ca="1">_xlfn.IFNA(VLOOKUP(INDIRECT("G"&amp;ROW()),minfo!$A:$M,COLUMN()-8,0),"")</f>
        <v>周杰伦</v>
      </c>
      <c r="L10" s="4">
        <f ca="1">_xlfn.IFNA(VLOOKUP(INDIRECT("G"&amp;ROW()),minfo!$A:$M,COLUMN()-8,0),"")</f>
        <v>0</v>
      </c>
      <c r="M10" s="4">
        <f ca="1">_xlfn.IFNA(VLOOKUP(INDIRECT("G"&amp;ROW()),minfo!$A:$M,COLUMN()-8,0),"")</f>
        <v>0</v>
      </c>
      <c r="N10" s="4">
        <f ca="1">_xlfn.IFNA(VLOOKUP(INDIRECT("G"&amp;ROW()),minfo!$A:$M,COLUMN()-8,0),"")</f>
        <v>0</v>
      </c>
      <c r="O10" s="4" t="str">
        <f ca="1">_xlfn.IFNA(VLOOKUP(INDIRECT("G"&amp;ROW()),minfo!$A:$M,COLUMN()-8,0),"")</f>
        <v>http://i0.hdslb.com/bfs/station_src/music_metadata/f190c7459496ee7ff2a9ebb250df5398.jpg</v>
      </c>
      <c r="P10" s="4" t="str">
        <f ca="1">_xlfn.IFNA(VLOOKUP(INDIRECT("G"&amp;ROW()),minfo!$A:$M,COLUMN()-8,0),"")</f>
        <v>http://i0.hdslb.com/bfs/station_src/music_metadata/0d0869a8c2bb7470dd66d7fec7591c32</v>
      </c>
      <c r="Q10" s="4">
        <f ca="1">_xlfn.IFNA(VLOOKUP(INDIRECT("G"&amp;ROW()),minfo!$A:$M,COLUMN()-8,0),"")</f>
        <v>689</v>
      </c>
      <c r="R10" s="4" t="str">
        <f ca="1">_xlfn.IFNA(VLOOKUP(INDIRECT("G"&amp;ROW()),minfo!$A:$M,COLUMN()-8,0),"")</f>
        <v>《听见下雨声音》电影主题曲</v>
      </c>
      <c r="S10" s="4" t="str">
        <f ca="1">_xlfn.IFNA(VLOOKUP(INDIRECT("G"&amp;ROW()),minfo!$A:$M,COLUMN()-8,0),"")</f>
        <v>哎呦，不错哦</v>
      </c>
      <c r="T10" s="4">
        <f ca="1">_xlfn.IFNA(VLOOKUP(INDIRECT("G"&amp;ROW()),minfo!$A:$M,COLUMN()-8,0),"")</f>
        <v>220057953</v>
      </c>
      <c r="U10" s="4">
        <f ca="1">_xlfn.IFNA(VLOOKUP(INDIRECT("G"&amp;ROW()),minfo!$A:$M,COLUMN()-8,0),"")</f>
        <v>0</v>
      </c>
    </row>
    <row r="11" spans="1:21" ht="15.75" customHeight="1">
      <c r="A11" s="15">
        <v>10</v>
      </c>
      <c r="B11" s="4" t="s">
        <v>3546</v>
      </c>
      <c r="C11" s="4">
        <v>11</v>
      </c>
      <c r="D11" s="4">
        <v>10</v>
      </c>
      <c r="E11" s="4" t="s">
        <v>160</v>
      </c>
      <c r="F11" s="16">
        <v>44946</v>
      </c>
      <c r="G11" s="5" t="s">
        <v>159</v>
      </c>
      <c r="H11" s="5" t="s">
        <v>3537</v>
      </c>
      <c r="I11" s="24" t="str">
        <f>HYPERLINK("https://www.bilibili.com/video/BV1ne4y1A7oM?p=10", "BV1ne4y1A7oM?p=10")</f>
        <v>BV1ne4y1A7oM?p=10</v>
      </c>
      <c r="J11" s="4" t="str">
        <f ca="1">_xlfn.IFNA(VLOOKUP(INDIRECT("G"&amp;ROW()),minfo!$A:$M,COLUMN()-8,0),"")</f>
        <v>梨花颂</v>
      </c>
      <c r="K11" s="4" t="str">
        <f ca="1">_xlfn.IFNA(VLOOKUP(INDIRECT("G"&amp;ROW()),minfo!$A:$M,COLUMN()-8,0),"")</f>
        <v>梅葆玖</v>
      </c>
      <c r="L11" s="4">
        <f ca="1">_xlfn.IFNA(VLOOKUP(INDIRECT("G"&amp;ROW()),minfo!$A:$M,COLUMN()-8,0),"")</f>
        <v>0</v>
      </c>
      <c r="M11" s="4">
        <f ca="1">_xlfn.IFNA(VLOOKUP(INDIRECT("G"&amp;ROW()),minfo!$A:$M,COLUMN()-8,0),"")</f>
        <v>0</v>
      </c>
      <c r="N11" s="4">
        <f ca="1">_xlfn.IFNA(VLOOKUP(INDIRECT("G"&amp;ROW()),minfo!$A:$M,COLUMN()-8,0),"")</f>
        <v>0</v>
      </c>
      <c r="O11" s="4" t="str">
        <f ca="1">_xlfn.IFNA(VLOOKUP(INDIRECT("G"&amp;ROW()),minfo!$A:$M,COLUMN()-8,0),"")</f>
        <v>https://i0.hdslb.com/bfs/station_src/music_metadata/9abefe4483d585f499e254df741d2f35.jpg</v>
      </c>
      <c r="P11" s="4" t="str">
        <f ca="1">_xlfn.IFNA(VLOOKUP(INDIRECT("G"&amp;ROW()),minfo!$A:$M,COLUMN()-8,0),"")</f>
        <v>https://i0.hdslb.com/bfs/station_src/music_metadata/0357286453ce4a1fc693b22b663fe56d.txt</v>
      </c>
      <c r="Q11" s="4">
        <f ca="1">_xlfn.IFNA(VLOOKUP(INDIRECT("G"&amp;ROW()),minfo!$A:$M,COLUMN()-8,0),"")</f>
        <v>75</v>
      </c>
      <c r="R11" s="4" t="str">
        <f ca="1">_xlfn.IFNA(VLOOKUP(INDIRECT("G"&amp;ROW()),minfo!$A:$M,COLUMN()-8,0),"")</f>
        <v>新编历史京剧《大唐贵妃》主题曲</v>
      </c>
      <c r="S11" s="4" t="str">
        <f ca="1">_xlfn.IFNA(VLOOKUP(INDIRECT("G"&amp;ROW()),minfo!$A:$M,COLUMN()-8,0),"")</f>
        <v>热门华语260</v>
      </c>
      <c r="T11" s="4">
        <f ca="1">_xlfn.IFNA(VLOOKUP(INDIRECT("G"&amp;ROW()),minfo!$A:$M,COLUMN()-8,0),"")</f>
        <v>19576567</v>
      </c>
      <c r="U11" s="4">
        <f ca="1">_xlfn.IFNA(VLOOKUP(INDIRECT("G"&amp;ROW()),minfo!$A:$M,COLUMN()-8,0),"")</f>
        <v>0</v>
      </c>
    </row>
    <row r="12" spans="1:21" ht="15.75" customHeight="1">
      <c r="A12" s="15">
        <v>11</v>
      </c>
      <c r="B12" s="4" t="s">
        <v>3547</v>
      </c>
      <c r="C12" s="4">
        <v>12</v>
      </c>
      <c r="D12" s="4">
        <v>11</v>
      </c>
      <c r="E12" s="4" t="s">
        <v>167</v>
      </c>
      <c r="F12" s="16">
        <v>44946</v>
      </c>
      <c r="G12" s="5" t="s">
        <v>166</v>
      </c>
      <c r="H12" s="5" t="s">
        <v>3537</v>
      </c>
      <c r="I12" s="24" t="str">
        <f>HYPERLINK("https://www.bilibili.com/video/BV1ne4y1A7oM?p=11", "BV1ne4y1A7oM?p=11")</f>
        <v>BV1ne4y1A7oM?p=11</v>
      </c>
      <c r="J12" s="4" t="str">
        <f ca="1">_xlfn.IFNA(VLOOKUP(INDIRECT("G"&amp;ROW()),minfo!$A:$M,COLUMN()-8,0),"")</f>
        <v>枉凝眉</v>
      </c>
      <c r="K12" s="4" t="str">
        <f ca="1">_xlfn.IFNA(VLOOKUP(INDIRECT("G"&amp;ROW()),minfo!$A:$M,COLUMN()-8,0),"")</f>
        <v>陈力</v>
      </c>
      <c r="L12" s="4">
        <f ca="1">_xlfn.IFNA(VLOOKUP(INDIRECT("G"&amp;ROW()),minfo!$A:$M,COLUMN()-8,0),"")</f>
        <v>0</v>
      </c>
      <c r="M12" s="4">
        <f ca="1">_xlfn.IFNA(VLOOKUP(INDIRECT("G"&amp;ROW()),minfo!$A:$M,COLUMN()-8,0),"")</f>
        <v>0</v>
      </c>
      <c r="N12" s="4">
        <f ca="1">_xlfn.IFNA(VLOOKUP(INDIRECT("G"&amp;ROW()),minfo!$A:$M,COLUMN()-8,0),"")</f>
        <v>0</v>
      </c>
      <c r="O12" s="4" t="str">
        <f ca="1">_xlfn.IFNA(VLOOKUP(INDIRECT("G"&amp;ROW()),minfo!$A:$M,COLUMN()-8,0),"")</f>
        <v>https://i0.hdslb.com/bfs/station_src/music_metadata/a5785f300c36a338ca6af40d3a254971.jpg</v>
      </c>
      <c r="P12" s="4" t="str">
        <f ca="1">_xlfn.IFNA(VLOOKUP(INDIRECT("G"&amp;ROW()),minfo!$A:$M,COLUMN()-8,0),"")</f>
        <v>http://i0.hdslb.com/bfs/station_src/music_metadata/ac94f1b9302ef4c0640dc2afded16037</v>
      </c>
      <c r="Q12" s="4">
        <f ca="1">_xlfn.IFNA(VLOOKUP(INDIRECT("G"&amp;ROW()),minfo!$A:$M,COLUMN()-8,0),"")</f>
        <v>224</v>
      </c>
      <c r="R12" s="4" t="str">
        <f ca="1">_xlfn.IFNA(VLOOKUP(INDIRECT("G"&amp;ROW()),minfo!$A:$M,COLUMN()-8,0),"")</f>
        <v>《红楼梦》电视剧主题曲</v>
      </c>
      <c r="S12" s="4" t="str">
        <f ca="1">_xlfn.IFNA(VLOOKUP(INDIRECT("G"&amp;ROW()),minfo!$A:$M,COLUMN()-8,0),"")</f>
        <v>红楼梦 电视连续剧歌曲集原声带</v>
      </c>
      <c r="T12" s="4">
        <f ca="1">_xlfn.IFNA(VLOOKUP(INDIRECT("G"&amp;ROW()),minfo!$A:$M,COLUMN()-8,0),"")</f>
        <v>116853011</v>
      </c>
      <c r="U12" s="4">
        <f ca="1">_xlfn.IFNA(VLOOKUP(INDIRECT("G"&amp;ROW()),minfo!$A:$M,COLUMN()-8,0),"")</f>
        <v>0</v>
      </c>
    </row>
    <row r="13" spans="1:21" ht="15.75" customHeight="1">
      <c r="A13" s="15">
        <v>12</v>
      </c>
      <c r="B13" s="4" t="s">
        <v>3548</v>
      </c>
      <c r="C13" s="4">
        <v>13</v>
      </c>
      <c r="D13" s="4">
        <v>12</v>
      </c>
      <c r="E13" s="4" t="s">
        <v>174</v>
      </c>
      <c r="F13" s="16">
        <v>44947</v>
      </c>
      <c r="G13" s="5" t="s">
        <v>173</v>
      </c>
      <c r="H13" s="5" t="s">
        <v>3537</v>
      </c>
      <c r="I13" s="24" t="str">
        <f>HYPERLINK("https://www.bilibili.com/video/BV1ne4y1A7oM?p=12", "BV1ne4y1A7oM?p=12")</f>
        <v>BV1ne4y1A7oM?p=12</v>
      </c>
      <c r="J13" s="4" t="str">
        <f ca="1">_xlfn.IFNA(VLOOKUP(INDIRECT("G"&amp;ROW()),minfo!$A:$M,COLUMN()-8,0),"")</f>
        <v>凤凰于飞</v>
      </c>
      <c r="K13" s="4" t="str">
        <f ca="1">_xlfn.IFNA(VLOOKUP(INDIRECT("G"&amp;ROW()),minfo!$A:$M,COLUMN()-8,0),"")</f>
        <v>刘欢</v>
      </c>
      <c r="L13" s="4">
        <f ca="1">_xlfn.IFNA(VLOOKUP(INDIRECT("G"&amp;ROW()),minfo!$A:$M,COLUMN()-8,0),"")</f>
        <v>0</v>
      </c>
      <c r="M13" s="4">
        <f ca="1">_xlfn.IFNA(VLOOKUP(INDIRECT("G"&amp;ROW()),minfo!$A:$M,COLUMN()-8,0),"")</f>
        <v>0</v>
      </c>
      <c r="N13" s="4">
        <f ca="1">_xlfn.IFNA(VLOOKUP(INDIRECT("G"&amp;ROW()),minfo!$A:$M,COLUMN()-8,0),"")</f>
        <v>0</v>
      </c>
      <c r="O13" s="4" t="str">
        <f ca="1">_xlfn.IFNA(VLOOKUP(INDIRECT("G"&amp;ROW()),minfo!$A:$M,COLUMN()-8,0),"")</f>
        <v>http://i0.hdslb.com/bfs/station_src/music_metadata/e79a9de01b54f31e1325f08d027df491.jpg</v>
      </c>
      <c r="P13" s="4" t="str">
        <f ca="1">_xlfn.IFNA(VLOOKUP(INDIRECT("G"&amp;ROW()),minfo!$A:$M,COLUMN()-8,0),"")</f>
        <v>https://i0.hdslb.com/bfs/station_src/music_metadata/8acc1e725a603aac9fd6af9048ff08df.txt</v>
      </c>
      <c r="Q13" s="4">
        <f ca="1">_xlfn.IFNA(VLOOKUP(INDIRECT("G"&amp;ROW()),minfo!$A:$M,COLUMN()-8,0),"")</f>
        <v>379</v>
      </c>
      <c r="R13" s="4">
        <f ca="1">_xlfn.IFNA(VLOOKUP(INDIRECT("G"&amp;ROW()),minfo!$A:$M,COLUMN()-8,0),"")</f>
        <v>0</v>
      </c>
      <c r="S13" s="4" t="str">
        <f ca="1">_xlfn.IFNA(VLOOKUP(INDIRECT("G"&amp;ROW()),minfo!$A:$M,COLUMN()-8,0),"")</f>
        <v>甄嬛传主题曲</v>
      </c>
      <c r="T13" s="4">
        <f ca="1">_xlfn.IFNA(VLOOKUP(INDIRECT("G"&amp;ROW()),minfo!$A:$M,COLUMN()-8,0),"")</f>
        <v>64254104</v>
      </c>
      <c r="U13" s="4">
        <f ca="1">_xlfn.IFNA(VLOOKUP(INDIRECT("G"&amp;ROW()),minfo!$A:$M,COLUMN()-8,0),"")</f>
        <v>0</v>
      </c>
    </row>
    <row r="14" spans="1:21" ht="15.75" customHeight="1">
      <c r="A14" s="15">
        <v>13</v>
      </c>
      <c r="B14" s="4" t="s">
        <v>3549</v>
      </c>
      <c r="C14" s="4">
        <v>14</v>
      </c>
      <c r="D14" s="4">
        <v>13</v>
      </c>
      <c r="E14" s="4" t="s">
        <v>180</v>
      </c>
      <c r="F14" s="16">
        <v>44947</v>
      </c>
      <c r="G14" s="5" t="s">
        <v>179</v>
      </c>
      <c r="H14" s="5" t="s">
        <v>3537</v>
      </c>
      <c r="I14" s="24" t="str">
        <f>HYPERLINK("https://www.bilibili.com/video/BV1ne4y1A7oM?p=13", "BV1ne4y1A7oM?p=13")</f>
        <v>BV1ne4y1A7oM?p=13</v>
      </c>
      <c r="J14" s="4" t="str">
        <f ca="1">_xlfn.IFNA(VLOOKUP(INDIRECT("G"&amp;ROW()),minfo!$A:$M,COLUMN()-8,0),"")</f>
        <v>雪落下的声音</v>
      </c>
      <c r="K14" s="4" t="str">
        <f ca="1">_xlfn.IFNA(VLOOKUP(INDIRECT("G"&amp;ROW()),minfo!$A:$M,COLUMN()-8,0),"")</f>
        <v>陆虎</v>
      </c>
      <c r="L14" s="4">
        <f ca="1">_xlfn.IFNA(VLOOKUP(INDIRECT("G"&amp;ROW()),minfo!$A:$M,COLUMN()-8,0),"")</f>
        <v>0</v>
      </c>
      <c r="M14" s="4">
        <f ca="1">_xlfn.IFNA(VLOOKUP(INDIRECT("G"&amp;ROW()),minfo!$A:$M,COLUMN()-8,0),"")</f>
        <v>0</v>
      </c>
      <c r="N14" s="4">
        <f ca="1">_xlfn.IFNA(VLOOKUP(INDIRECT("G"&amp;ROW()),minfo!$A:$M,COLUMN()-8,0),"")</f>
        <v>0</v>
      </c>
      <c r="O14" s="4" t="str">
        <f ca="1">_xlfn.IFNA(VLOOKUP(INDIRECT("G"&amp;ROW()),minfo!$A:$M,COLUMN()-8,0),"")</f>
        <v>http://i0.hdslb.com/bfs/station_src/music_metadata/f4572c77b0f3a173236700166377c6c1.jpg</v>
      </c>
      <c r="P14" s="4" t="str">
        <f ca="1">_xlfn.IFNA(VLOOKUP(INDIRECT("G"&amp;ROW()),minfo!$A:$M,COLUMN()-8,0),"")</f>
        <v>http://i0.hdslb.com/bfs/station_src/music_metadata/0ede01b76f5911ecd8df09f7308038d9</v>
      </c>
      <c r="Q14" s="4">
        <f ca="1">_xlfn.IFNA(VLOOKUP(INDIRECT("G"&amp;ROW()),minfo!$A:$M,COLUMN()-8,0),"")</f>
        <v>1394</v>
      </c>
      <c r="R14" s="4" t="str">
        <f ca="1">_xlfn.IFNA(VLOOKUP(INDIRECT("G"&amp;ROW()),minfo!$A:$M,COLUMN()-8,0),"")</f>
        <v>《延禧攻略》电视剧片尾曲</v>
      </c>
      <c r="S14" s="4" t="str">
        <f ca="1">_xlfn.IFNA(VLOOKUP(INDIRECT("G"&amp;ROW()),minfo!$A:$M,COLUMN()-8,0),"")</f>
        <v>延禧攻略OST</v>
      </c>
      <c r="T14" s="4">
        <f ca="1">_xlfn.IFNA(VLOOKUP(INDIRECT("G"&amp;ROW()),minfo!$A:$M,COLUMN()-8,0),"")</f>
        <v>365899290</v>
      </c>
      <c r="U14" s="4">
        <f ca="1">_xlfn.IFNA(VLOOKUP(INDIRECT("G"&amp;ROW()),minfo!$A:$M,COLUMN()-8,0),"")</f>
        <v>0</v>
      </c>
    </row>
    <row r="15" spans="1:21" ht="15.75" customHeight="1">
      <c r="A15" s="15">
        <v>14</v>
      </c>
      <c r="B15" s="4" t="s">
        <v>3550</v>
      </c>
      <c r="C15" s="4">
        <v>15</v>
      </c>
      <c r="D15" s="4">
        <v>14</v>
      </c>
      <c r="E15" s="4" t="s">
        <v>3551</v>
      </c>
      <c r="F15" s="16">
        <v>44947</v>
      </c>
      <c r="G15" s="5" t="s">
        <v>186</v>
      </c>
      <c r="H15" s="5" t="s">
        <v>3537</v>
      </c>
      <c r="I15" s="24" t="str">
        <f>HYPERLINK("https://www.bilibili.com/video/BV1ne4y1A7oM?p=14", "BV1ne4y1A7oM?p=14")</f>
        <v>BV1ne4y1A7oM?p=14</v>
      </c>
      <c r="J15" s="4" t="str">
        <f ca="1">_xlfn.IFNA(VLOOKUP(INDIRECT("G"&amp;ROW()),minfo!$A:$M,COLUMN()-8,0),"")</f>
        <v>Rubia</v>
      </c>
      <c r="K15" s="4" t="str">
        <f ca="1">_xlfn.IFNA(VLOOKUP(INDIRECT("G"&amp;ROW()),minfo!$A:$M,COLUMN()-8,0),"")</f>
        <v>周深</v>
      </c>
      <c r="L15" s="4">
        <f ca="1">_xlfn.IFNA(VLOOKUP(INDIRECT("G"&amp;ROW()),minfo!$A:$M,COLUMN()-8,0),"")</f>
        <v>0</v>
      </c>
      <c r="M15" s="4">
        <f ca="1">_xlfn.IFNA(VLOOKUP(INDIRECT("G"&amp;ROW()),minfo!$A:$M,COLUMN()-8,0),"")</f>
        <v>516030</v>
      </c>
      <c r="N15" s="4">
        <f ca="1">_xlfn.IFNA(VLOOKUP(INDIRECT("G"&amp;ROW()),minfo!$A:$M,COLUMN()-8,0),"")</f>
        <v>96155</v>
      </c>
      <c r="O15" s="4" t="str">
        <f ca="1">_xlfn.IFNA(VLOOKUP(INDIRECT("G"&amp;ROW()),minfo!$A:$M,COLUMN()-8,0),"")</f>
        <v>https://i0.hdslb.com/bfs/station_src/music_metadata/58bc0047ef309717106ab37f9f0eaaef.jpg</v>
      </c>
      <c r="P15" s="4" t="str">
        <f ca="1">_xlfn.IFNA(VLOOKUP(INDIRECT("G"&amp;ROW()),minfo!$A:$M,COLUMN()-8,0),"")</f>
        <v>http://i0.hdslb.com/bfs/station_src/music_metadata/004573c098a52ded7995aead78b01386</v>
      </c>
      <c r="Q15" s="4">
        <f ca="1">_xlfn.IFNA(VLOOKUP(INDIRECT("G"&amp;ROW()),minfo!$A:$M,COLUMN()-8,0),"")</f>
        <v>4410</v>
      </c>
      <c r="R15" s="4">
        <f ca="1">_xlfn.IFNA(VLOOKUP(INDIRECT("G"&amp;ROW()),minfo!$A:$M,COLUMN()-8,0),"")</f>
        <v>0</v>
      </c>
      <c r="S15" s="4" t="str">
        <f ca="1">_xlfn.IFNA(VLOOKUP(INDIRECT("G"&amp;ROW()),minfo!$A:$M,COLUMN()-8,0),"")</f>
        <v>Rubia</v>
      </c>
      <c r="T15" s="4">
        <f ca="1">_xlfn.IFNA(VLOOKUP(INDIRECT("G"&amp;ROW()),minfo!$A:$M,COLUMN()-8,0),"")</f>
        <v>217211932</v>
      </c>
      <c r="U15" s="4">
        <f ca="1">_xlfn.IFNA(VLOOKUP(INDIRECT("G"&amp;ROW()),minfo!$A:$M,COLUMN()-8,0),"")</f>
        <v>0</v>
      </c>
    </row>
    <row r="16" spans="1:21" ht="15.75" customHeight="1">
      <c r="A16" s="15">
        <v>15</v>
      </c>
      <c r="B16" s="4" t="s">
        <v>3552</v>
      </c>
      <c r="C16" s="4">
        <v>16</v>
      </c>
      <c r="D16" s="4">
        <v>15</v>
      </c>
      <c r="E16" s="4" t="s">
        <v>192</v>
      </c>
      <c r="F16" s="16">
        <v>44947</v>
      </c>
      <c r="G16" s="5" t="s">
        <v>191</v>
      </c>
      <c r="H16" s="5" t="s">
        <v>3537</v>
      </c>
      <c r="I16" s="24" t="str">
        <f>HYPERLINK("https://www.bilibili.com/video/BV1ne4y1A7oM?p=15", "BV1ne4y1A7oM?p=15")</f>
        <v>BV1ne4y1A7oM?p=15</v>
      </c>
      <c r="J16" s="4" t="str">
        <f ca="1">_xlfn.IFNA(VLOOKUP(INDIRECT("G"&amp;ROW()),minfo!$A:$M,COLUMN()-8,0),"")</f>
        <v>流年如歌</v>
      </c>
      <c r="K16" s="4" t="str">
        <f ca="1">_xlfn.IFNA(VLOOKUP(INDIRECT("G"&amp;ROW()),minfo!$A:$M,COLUMN()-8,0),"")</f>
        <v>苍穹</v>
      </c>
      <c r="L16" s="4">
        <f ca="1">_xlfn.IFNA(VLOOKUP(INDIRECT("G"&amp;ROW()),minfo!$A:$M,COLUMN()-8,0),"")</f>
        <v>0</v>
      </c>
      <c r="M16" s="4">
        <f ca="1">_xlfn.IFNA(VLOOKUP(INDIRECT("G"&amp;ROW()),minfo!$A:$M,COLUMN()-8,0),"")</f>
        <v>0</v>
      </c>
      <c r="N16" s="4">
        <f ca="1">_xlfn.IFNA(VLOOKUP(INDIRECT("G"&amp;ROW()),minfo!$A:$M,COLUMN()-8,0),"")</f>
        <v>0</v>
      </c>
      <c r="O16" s="4" t="str">
        <f ca="1">_xlfn.IFNA(VLOOKUP(INDIRECT("G"&amp;ROW()),minfo!$A:$M,COLUMN()-8,0),"")</f>
        <v>https://i0.hdslb.com/bfs/station_src/music_metadata/7d8de08a2fa9fed3e913a7cbedbd7359.jpg</v>
      </c>
      <c r="P16" s="4" t="str">
        <f ca="1">_xlfn.IFNA(VLOOKUP(INDIRECT("G"&amp;ROW()),minfo!$A:$M,COLUMN()-8,0),"")</f>
        <v>https://i0.hdslb.com/bfs/station_src/music_metadata/39fd2191a90a6dfc42574ff5b43baadb.txt</v>
      </c>
      <c r="Q16" s="4">
        <f ca="1">_xlfn.IFNA(VLOOKUP(INDIRECT("G"&amp;ROW()),minfo!$A:$M,COLUMN()-8,0),"")</f>
        <v>68</v>
      </c>
      <c r="R16" s="4">
        <f ca="1">_xlfn.IFNA(VLOOKUP(INDIRECT("G"&amp;ROW()),minfo!$A:$M,COLUMN()-8,0),"")</f>
        <v>0</v>
      </c>
      <c r="S16" s="4" t="str">
        <f ca="1">_xlfn.IFNA(VLOOKUP(INDIRECT("G"&amp;ROW()),minfo!$A:$M,COLUMN()-8,0),"")</f>
        <v>哔哩哔哩拜年纪金曲回顾</v>
      </c>
      <c r="T16" s="4">
        <f ca="1">_xlfn.IFNA(VLOOKUP(INDIRECT("G"&amp;ROW()),minfo!$A:$M,COLUMN()-8,0),"")</f>
        <v>14971574</v>
      </c>
      <c r="U16" s="4">
        <f ca="1">_xlfn.IFNA(VLOOKUP(INDIRECT("G"&amp;ROW()),minfo!$A:$M,COLUMN()-8,0),"")</f>
        <v>0</v>
      </c>
    </row>
    <row r="17" spans="1:21" ht="15.75" customHeight="1">
      <c r="A17" s="15">
        <v>16</v>
      </c>
      <c r="B17" s="4" t="s">
        <v>3553</v>
      </c>
      <c r="C17" s="4">
        <v>17</v>
      </c>
      <c r="D17" s="4">
        <v>16</v>
      </c>
      <c r="E17" s="4" t="s">
        <v>198</v>
      </c>
      <c r="F17" s="16">
        <v>44947</v>
      </c>
      <c r="G17" s="5" t="s">
        <v>197</v>
      </c>
      <c r="H17" s="5" t="s">
        <v>3537</v>
      </c>
      <c r="I17" s="24" t="str">
        <f>HYPERLINK("https://www.bilibili.com/video/BV1ne4y1A7oM?p=16", "BV1ne4y1A7oM?p=16")</f>
        <v>BV1ne4y1A7oM?p=16</v>
      </c>
      <c r="J17" s="4" t="str">
        <f ca="1">_xlfn.IFNA(VLOOKUP(INDIRECT("G"&amp;ROW()),minfo!$A:$M,COLUMN()-8,0),"")</f>
        <v>好运来</v>
      </c>
      <c r="K17" s="4" t="str">
        <f ca="1">_xlfn.IFNA(VLOOKUP(INDIRECT("G"&amp;ROW()),minfo!$A:$M,COLUMN()-8,0),"")</f>
        <v>祖海</v>
      </c>
      <c r="L17" s="4">
        <f ca="1">_xlfn.IFNA(VLOOKUP(INDIRECT("G"&amp;ROW()),minfo!$A:$M,COLUMN()-8,0),"")</f>
        <v>0</v>
      </c>
      <c r="M17" s="4">
        <f ca="1">_xlfn.IFNA(VLOOKUP(INDIRECT("G"&amp;ROW()),minfo!$A:$M,COLUMN()-8,0),"")</f>
        <v>0</v>
      </c>
      <c r="N17" s="4">
        <f ca="1">_xlfn.IFNA(VLOOKUP(INDIRECT("G"&amp;ROW()),minfo!$A:$M,COLUMN()-8,0),"")</f>
        <v>0</v>
      </c>
      <c r="O17" s="4" t="str">
        <f ca="1">_xlfn.IFNA(VLOOKUP(INDIRECT("G"&amp;ROW()),minfo!$A:$M,COLUMN()-8,0),"")</f>
        <v>https://i0.hdslb.com/bfs/station_src/music_metadata/018488b96bcd553df8979332b0d180c7.jpg</v>
      </c>
      <c r="P17" s="4" t="str">
        <f ca="1">_xlfn.IFNA(VLOOKUP(INDIRECT("G"&amp;ROW()),minfo!$A:$M,COLUMN()-8,0),"")</f>
        <v>http://i0.hdslb.com/bfs/station_src/music_metadata/255887b55931deff5c3b6f86ebdfa127</v>
      </c>
      <c r="Q17" s="4">
        <f ca="1">_xlfn.IFNA(VLOOKUP(INDIRECT("G"&amp;ROW()),minfo!$A:$M,COLUMN()-8,0),"")</f>
        <v>2851</v>
      </c>
      <c r="R17" s="4">
        <f ca="1">_xlfn.IFNA(VLOOKUP(INDIRECT("G"&amp;ROW()),minfo!$A:$M,COLUMN()-8,0),"")</f>
        <v>0</v>
      </c>
      <c r="S17" s="4" t="str">
        <f ca="1">_xlfn.IFNA(VLOOKUP(INDIRECT("G"&amp;ROW()),minfo!$A:$M,COLUMN()-8,0),"")</f>
        <v>好运来</v>
      </c>
      <c r="T17" s="4">
        <f ca="1">_xlfn.IFNA(VLOOKUP(INDIRECT("G"&amp;ROW()),minfo!$A:$M,COLUMN()-8,0),"")</f>
        <v>1563883536</v>
      </c>
      <c r="U17" s="4" t="str">
        <f ca="1">_xlfn.IFNA(VLOOKUP(INDIRECT("G"&amp;ROW()),minfo!$A:$M,COLUMN()-8,0),"")</f>
        <v>音乐榜最高NO.2</v>
      </c>
    </row>
    <row r="18" spans="1:21" ht="15.75" customHeight="1">
      <c r="A18" s="15">
        <v>17</v>
      </c>
      <c r="B18" s="4" t="s">
        <v>3554</v>
      </c>
      <c r="C18" s="4">
        <v>18</v>
      </c>
      <c r="D18" s="4">
        <v>17</v>
      </c>
      <c r="E18" s="4" t="s">
        <v>95</v>
      </c>
      <c r="F18" s="16">
        <v>44947</v>
      </c>
      <c r="G18" s="5" t="s">
        <v>203</v>
      </c>
      <c r="H18" s="5" t="s">
        <v>3537</v>
      </c>
      <c r="I18" s="24" t="str">
        <f>HYPERLINK("https://www.bilibili.com/video/BV1ne4y1A7oM?p=17", "BV1ne4y1A7oM?p=17")</f>
        <v>BV1ne4y1A7oM?p=17</v>
      </c>
      <c r="J18" s="4" t="str">
        <f ca="1">_xlfn.IFNA(VLOOKUP(INDIRECT("G"&amp;ROW()),minfo!$A:$M,COLUMN()-8,0),"")</f>
        <v>不问天</v>
      </c>
      <c r="K18" s="4" t="str">
        <f ca="1">_xlfn.IFNA(VLOOKUP(INDIRECT("G"&amp;ROW()),minfo!$A:$M,COLUMN()-8,0),"")</f>
        <v>说说Crystal</v>
      </c>
      <c r="L18" s="4">
        <f ca="1">_xlfn.IFNA(VLOOKUP(INDIRECT("G"&amp;ROW()),minfo!$A:$M,COLUMN()-8,0),"")</f>
        <v>0</v>
      </c>
      <c r="M18" s="4">
        <f ca="1">_xlfn.IFNA(VLOOKUP(INDIRECT("G"&amp;ROW()),minfo!$A:$M,COLUMN()-8,0),"")</f>
        <v>0</v>
      </c>
      <c r="N18" s="4">
        <f ca="1">_xlfn.IFNA(VLOOKUP(INDIRECT("G"&amp;ROW()),minfo!$A:$M,COLUMN()-8,0),"")</f>
        <v>0</v>
      </c>
      <c r="O18" s="4" t="str">
        <f ca="1">_xlfn.IFNA(VLOOKUP(INDIRECT("G"&amp;ROW()),minfo!$A:$M,COLUMN()-8,0),"")</f>
        <v>https://i0.hdslb.com/bfs/station_src/music_metadata/ce3a0da2a7e64a49fa42a6e3db521f57.jpg</v>
      </c>
      <c r="P18" s="4" t="str">
        <f ca="1">_xlfn.IFNA(VLOOKUP(INDIRECT("G"&amp;ROW()),minfo!$A:$M,COLUMN()-8,0),"")</f>
        <v>https://i0.hdslb.com/bfs/station_src/music_metadata/02cd9198a33924449443fc704a92a25a.txt</v>
      </c>
      <c r="Q18" s="4">
        <f ca="1">_xlfn.IFNA(VLOOKUP(INDIRECT("G"&amp;ROW()),minfo!$A:$M,COLUMN()-8,0),"")</f>
        <v>149</v>
      </c>
      <c r="R18" s="4">
        <f ca="1">_xlfn.IFNA(VLOOKUP(INDIRECT("G"&amp;ROW()),minfo!$A:$M,COLUMN()-8,0),"")</f>
        <v>0</v>
      </c>
      <c r="S18" s="4" t="str">
        <f ca="1">_xlfn.IFNA(VLOOKUP(INDIRECT("G"&amp;ROW()),minfo!$A:$M,COLUMN()-8,0),"")</f>
        <v>2021哔哩哔哩拜年纪</v>
      </c>
      <c r="T18" s="4">
        <f ca="1">_xlfn.IFNA(VLOOKUP(INDIRECT("G"&amp;ROW()),minfo!$A:$M,COLUMN()-8,0),"")</f>
        <v>33137051</v>
      </c>
      <c r="U18" s="4">
        <f ca="1">_xlfn.IFNA(VLOOKUP(INDIRECT("G"&amp;ROW()),minfo!$A:$M,COLUMN()-8,0),"")</f>
        <v>0</v>
      </c>
    </row>
    <row r="19" spans="1:21" ht="15.75" customHeight="1">
      <c r="A19" s="15">
        <v>18</v>
      </c>
      <c r="B19" s="4" t="s">
        <v>3555</v>
      </c>
      <c r="C19" s="4">
        <v>19</v>
      </c>
      <c r="D19" s="4">
        <v>18</v>
      </c>
      <c r="E19" s="4" t="s">
        <v>208</v>
      </c>
      <c r="F19" s="16">
        <v>44955</v>
      </c>
      <c r="G19" s="5" t="s">
        <v>207</v>
      </c>
      <c r="H19" s="5" t="s">
        <v>3537</v>
      </c>
      <c r="I19" s="24" t="str">
        <f>HYPERLINK("https://www.bilibili.com/video/BV1ne4y1A7oM?p=18", "BV1ne4y1A7oM?p=18")</f>
        <v>BV1ne4y1A7oM?p=18</v>
      </c>
      <c r="J19" s="4" t="str">
        <f ca="1">_xlfn.IFNA(VLOOKUP(INDIRECT("G"&amp;ROW()),minfo!$A:$M,COLUMN()-8,0),"")</f>
        <v>九万字</v>
      </c>
      <c r="K19" s="4" t="str">
        <f ca="1">_xlfn.IFNA(VLOOKUP(INDIRECT("G"&amp;ROW()),minfo!$A:$M,COLUMN()-8,0),"")</f>
        <v>黄诗扶</v>
      </c>
      <c r="L19" s="4">
        <f ca="1">_xlfn.IFNA(VLOOKUP(INDIRECT("G"&amp;ROW()),minfo!$A:$M,COLUMN()-8,0),"")</f>
        <v>0</v>
      </c>
      <c r="M19" s="4">
        <f ca="1">_xlfn.IFNA(VLOOKUP(INDIRECT("G"&amp;ROW()),minfo!$A:$M,COLUMN()-8,0),"")</f>
        <v>0</v>
      </c>
      <c r="N19" s="4">
        <f ca="1">_xlfn.IFNA(VLOOKUP(INDIRECT("G"&amp;ROW()),minfo!$A:$M,COLUMN()-8,0),"")</f>
        <v>0</v>
      </c>
      <c r="O19" s="4" t="str">
        <f ca="1">_xlfn.IFNA(VLOOKUP(INDIRECT("G"&amp;ROW()),minfo!$A:$M,COLUMN()-8,0),"")</f>
        <v>https://i0.hdslb.com/bfs/station_src/music_metadata/83a5f6d1f6977ede1ad685d90a46a593.jpg</v>
      </c>
      <c r="P19" s="4" t="str">
        <f ca="1">_xlfn.IFNA(VLOOKUP(INDIRECT("G"&amp;ROW()),minfo!$A:$M,COLUMN()-8,0),"")</f>
        <v>http://i0.hdslb.com/bfs/station_src/music_metadata/98ec7b6623082ffe27055a48eaf15a9f</v>
      </c>
      <c r="Q19" s="4">
        <f ca="1">_xlfn.IFNA(VLOOKUP(INDIRECT("G"&amp;ROW()),minfo!$A:$M,COLUMN()-8,0),"")</f>
        <v>1270</v>
      </c>
      <c r="R19" s="4">
        <f ca="1">_xlfn.IFNA(VLOOKUP(INDIRECT("G"&amp;ROW()),minfo!$A:$M,COLUMN()-8,0),"")</f>
        <v>0</v>
      </c>
      <c r="S19" s="4" t="str">
        <f ca="1">_xlfn.IFNA(VLOOKUP(INDIRECT("G"&amp;ROW()),minfo!$A:$M,COLUMN()-8,0),"")</f>
        <v>人间不值得</v>
      </c>
      <c r="T19" s="4">
        <f ca="1">_xlfn.IFNA(VLOOKUP(INDIRECT("G"&amp;ROW()),minfo!$A:$M,COLUMN()-8,0),"")</f>
        <v>256686027</v>
      </c>
      <c r="U19" s="4">
        <f ca="1">_xlfn.IFNA(VLOOKUP(INDIRECT("G"&amp;ROW()),minfo!$A:$M,COLUMN()-8,0),"")</f>
        <v>0</v>
      </c>
    </row>
    <row r="20" spans="1:21" ht="15.75" customHeight="1">
      <c r="A20" s="15">
        <v>19</v>
      </c>
      <c r="B20" s="4" t="s">
        <v>3556</v>
      </c>
      <c r="C20" s="4">
        <v>20</v>
      </c>
      <c r="D20" s="4">
        <v>19</v>
      </c>
      <c r="E20" s="4" t="s">
        <v>214</v>
      </c>
      <c r="F20" s="16">
        <v>44955</v>
      </c>
      <c r="G20" s="5" t="s">
        <v>213</v>
      </c>
      <c r="H20" s="5" t="s">
        <v>3537</v>
      </c>
      <c r="I20" s="24" t="str">
        <f>HYPERLINK("https://www.bilibili.com/video/BV1ne4y1A7oM?p=19", "BV1ne4y1A7oM?p=19")</f>
        <v>BV1ne4y1A7oM?p=19</v>
      </c>
      <c r="J20" s="4" t="str">
        <f ca="1">_xlfn.IFNA(VLOOKUP(INDIRECT("G"&amp;ROW()),minfo!$A:$M,COLUMN()-8,0),"")</f>
        <v>相思</v>
      </c>
      <c r="K20" s="4" t="str">
        <f ca="1">_xlfn.IFNA(VLOOKUP(INDIRECT("G"&amp;ROW()),minfo!$A:$M,COLUMN()-8,0),"")</f>
        <v>毛阿敏</v>
      </c>
      <c r="L20" s="4">
        <f ca="1">_xlfn.IFNA(VLOOKUP(INDIRECT("G"&amp;ROW()),minfo!$A:$M,COLUMN()-8,0),"")</f>
        <v>0</v>
      </c>
      <c r="M20" s="4">
        <f ca="1">_xlfn.IFNA(VLOOKUP(INDIRECT("G"&amp;ROW()),minfo!$A:$M,COLUMN()-8,0),"")</f>
        <v>0</v>
      </c>
      <c r="N20" s="4">
        <f ca="1">_xlfn.IFNA(VLOOKUP(INDIRECT("G"&amp;ROW()),minfo!$A:$M,COLUMN()-8,0),"")</f>
        <v>0</v>
      </c>
      <c r="O20" s="4" t="str">
        <f ca="1">_xlfn.IFNA(VLOOKUP(INDIRECT("G"&amp;ROW()),minfo!$A:$M,COLUMN()-8,0),"")</f>
        <v>https://i0.hdslb.com/bfs/station_src/music_metadata/0603be9293791ccb88f9a80d06e3ce3d.jpg</v>
      </c>
      <c r="P20" s="4" t="str">
        <f ca="1">_xlfn.IFNA(VLOOKUP(INDIRECT("G"&amp;ROW()),minfo!$A:$M,COLUMN()-8,0),"")</f>
        <v>https://i0.hdslb.com/bfs/station_src/music_metadata/f447da700792e77fcdc9743518f18ce8.txt</v>
      </c>
      <c r="Q20" s="4">
        <f ca="1">_xlfn.IFNA(VLOOKUP(INDIRECT("G"&amp;ROW()),minfo!$A:$M,COLUMN()-8,0),"")</f>
        <v>554</v>
      </c>
      <c r="R20" s="4">
        <f ca="1">_xlfn.IFNA(VLOOKUP(INDIRECT("G"&amp;ROW()),minfo!$A:$M,COLUMN()-8,0),"")</f>
        <v>0</v>
      </c>
      <c r="S20" s="4" t="str">
        <f ca="1">_xlfn.IFNA(VLOOKUP(INDIRECT("G"&amp;ROW()),minfo!$A:$M,COLUMN()-8,0),"")</f>
        <v>直接影响</v>
      </c>
      <c r="T20" s="4">
        <f ca="1">_xlfn.IFNA(VLOOKUP(INDIRECT("G"&amp;ROW()),minfo!$A:$M,COLUMN()-8,0),"")</f>
        <v>217626434</v>
      </c>
      <c r="U20" s="4">
        <f ca="1">_xlfn.IFNA(VLOOKUP(INDIRECT("G"&amp;ROW()),minfo!$A:$M,COLUMN()-8,0),"")</f>
        <v>0</v>
      </c>
    </row>
    <row r="21" spans="1:21" ht="15.75" customHeight="1">
      <c r="A21" s="15">
        <v>20</v>
      </c>
      <c r="B21" s="4" t="s">
        <v>3557</v>
      </c>
      <c r="C21" s="4">
        <v>21</v>
      </c>
      <c r="D21" s="4">
        <v>20</v>
      </c>
      <c r="E21" s="4" t="s">
        <v>1245</v>
      </c>
      <c r="F21" s="16">
        <v>44955</v>
      </c>
      <c r="G21" s="5" t="s">
        <v>1244</v>
      </c>
      <c r="H21" s="5" t="s">
        <v>3537</v>
      </c>
      <c r="I21" s="24" t="str">
        <f>HYPERLINK("https://www.bilibili.com/video/BV1ne4y1A7oM?p=20", "BV1ne4y1A7oM?p=20")</f>
        <v>BV1ne4y1A7oM?p=20</v>
      </c>
      <c r="J21" s="4" t="str">
        <f ca="1">_xlfn.IFNA(VLOOKUP(INDIRECT("G"&amp;ROW()),minfo!$A:$M,COLUMN()-8,0),"")</f>
        <v>迷迭香</v>
      </c>
      <c r="K21" s="4" t="str">
        <f ca="1">_xlfn.IFNA(VLOOKUP(INDIRECT("G"&amp;ROW()),minfo!$A:$M,COLUMN()-8,0),"")</f>
        <v>周杰伦</v>
      </c>
      <c r="L21" s="4">
        <f ca="1">_xlfn.IFNA(VLOOKUP(INDIRECT("G"&amp;ROW()),minfo!$A:$M,COLUMN()-8,0),"")</f>
        <v>0</v>
      </c>
      <c r="M21" s="4">
        <f ca="1">_xlfn.IFNA(VLOOKUP(INDIRECT("G"&amp;ROW()),minfo!$A:$M,COLUMN()-8,0),"")</f>
        <v>0</v>
      </c>
      <c r="N21" s="4">
        <f ca="1">_xlfn.IFNA(VLOOKUP(INDIRECT("G"&amp;ROW()),minfo!$A:$M,COLUMN()-8,0),"")</f>
        <v>0</v>
      </c>
      <c r="O21" s="4" t="str">
        <f ca="1">_xlfn.IFNA(VLOOKUP(INDIRECT("G"&amp;ROW()),minfo!$A:$M,COLUMN()-8,0),"")</f>
        <v>http://i0.hdslb.com/bfs/station_src/music_metadata/0926861efce67153beddcc1bf5676937.jpg</v>
      </c>
      <c r="P21" s="4" t="str">
        <f ca="1">_xlfn.IFNA(VLOOKUP(INDIRECT("G"&amp;ROW()),minfo!$A:$M,COLUMN()-8,0),"")</f>
        <v>http://i0.hdslb.com/bfs/station_src/music_metadata/fd3c3fade748fdd9e948719c9ad02b33</v>
      </c>
      <c r="Q21" s="4">
        <f ca="1">_xlfn.IFNA(VLOOKUP(INDIRECT("G"&amp;ROW()),minfo!$A:$M,COLUMN()-8,0),"")</f>
        <v>566</v>
      </c>
      <c r="R21" s="4">
        <f ca="1">_xlfn.IFNA(VLOOKUP(INDIRECT("G"&amp;ROW()),minfo!$A:$M,COLUMN()-8,0),"")</f>
        <v>0</v>
      </c>
      <c r="S21" s="4" t="str">
        <f ca="1">_xlfn.IFNA(VLOOKUP(INDIRECT("G"&amp;ROW()),minfo!$A:$M,COLUMN()-8,0),"")</f>
        <v>依然范特西</v>
      </c>
      <c r="T21" s="4">
        <f ca="1">_xlfn.IFNA(VLOOKUP(INDIRECT("G"&amp;ROW()),minfo!$A:$M,COLUMN()-8,0),"")</f>
        <v>295581552</v>
      </c>
      <c r="U21" s="4">
        <f ca="1">_xlfn.IFNA(VLOOKUP(INDIRECT("G"&amp;ROW()),minfo!$A:$M,COLUMN()-8,0),"")</f>
        <v>0</v>
      </c>
    </row>
    <row r="22" spans="1:21" ht="15.75" customHeight="1">
      <c r="A22" s="15">
        <v>21</v>
      </c>
      <c r="B22" s="4" t="s">
        <v>3558</v>
      </c>
      <c r="C22" s="4">
        <v>22</v>
      </c>
      <c r="D22" s="4">
        <v>21</v>
      </c>
      <c r="E22" s="4" t="s">
        <v>67</v>
      </c>
      <c r="F22" s="16">
        <v>44955</v>
      </c>
      <c r="G22" s="5" t="s">
        <v>67</v>
      </c>
      <c r="H22" s="5" t="s">
        <v>3537</v>
      </c>
      <c r="I22" s="24" t="str">
        <f>HYPERLINK("https://www.bilibili.com/video/BV1ne4y1A7oM?p=21", "BV1ne4y1A7oM?p=21")</f>
        <v>BV1ne4y1A7oM?p=21</v>
      </c>
      <c r="J22" s="4" t="str">
        <f ca="1">_xlfn.IFNA(VLOOKUP(INDIRECT("G"&amp;ROW()),minfo!$A:$M,COLUMN()-8,0),"")</f>
        <v>回乡偶书</v>
      </c>
      <c r="K22" s="4" t="str">
        <f ca="1">_xlfn.IFNA(VLOOKUP(INDIRECT("G"&amp;ROW()),minfo!$A:$M,COLUMN()-8,0),"")</f>
        <v>说说Crystal</v>
      </c>
      <c r="L22" s="4" t="str">
        <f ca="1">_xlfn.IFNA(VLOOKUP(INDIRECT("G"&amp;ROW()),minfo!$A:$M,COLUMN()-8,0),"")</f>
        <v>BV1dv4y197cw</v>
      </c>
      <c r="M22" s="4">
        <f ca="1">_xlfn.IFNA(VLOOKUP(INDIRECT("G"&amp;ROW()),minfo!$A:$M,COLUMN()-8,0),"")</f>
        <v>0</v>
      </c>
      <c r="N22" s="4">
        <f ca="1">_xlfn.IFNA(VLOOKUP(INDIRECT("G"&amp;ROW()),minfo!$A:$M,COLUMN()-8,0),"")</f>
        <v>0</v>
      </c>
      <c r="O22" s="4">
        <f ca="1">_xlfn.IFNA(VLOOKUP(INDIRECT("G"&amp;ROW()),minfo!$A:$M,COLUMN()-8,0),"")</f>
        <v>0</v>
      </c>
      <c r="P22" s="4">
        <f ca="1">_xlfn.IFNA(VLOOKUP(INDIRECT("G"&amp;ROW()),minfo!$A:$M,COLUMN()-8,0),"")</f>
        <v>0</v>
      </c>
      <c r="Q22" s="4">
        <f ca="1">_xlfn.IFNA(VLOOKUP(INDIRECT("G"&amp;ROW()),minfo!$A:$M,COLUMN()-8,0),"")</f>
        <v>0</v>
      </c>
      <c r="R22" s="4">
        <f ca="1">_xlfn.IFNA(VLOOKUP(INDIRECT("G"&amp;ROW()),minfo!$A:$M,COLUMN()-8,0),"")</f>
        <v>0</v>
      </c>
      <c r="S22" s="4">
        <f ca="1">_xlfn.IFNA(VLOOKUP(INDIRECT("G"&amp;ROW()),minfo!$A:$M,COLUMN()-8,0),"")</f>
        <v>0</v>
      </c>
      <c r="T22" s="4">
        <f ca="1">_xlfn.IFNA(VLOOKUP(INDIRECT("G"&amp;ROW()),minfo!$A:$M,COLUMN()-8,0),"")</f>
        <v>0</v>
      </c>
      <c r="U22" s="4">
        <f ca="1">_xlfn.IFNA(VLOOKUP(INDIRECT("G"&amp;ROW()),minfo!$A:$M,COLUMN()-8,0),"")</f>
        <v>0</v>
      </c>
    </row>
    <row r="23" spans="1:21" ht="15.75" customHeight="1">
      <c r="A23" s="15">
        <v>22</v>
      </c>
      <c r="B23" s="4" t="s">
        <v>3559</v>
      </c>
      <c r="C23" s="4">
        <v>23</v>
      </c>
      <c r="D23" s="4">
        <v>22</v>
      </c>
      <c r="E23" s="4" t="s">
        <v>220</v>
      </c>
      <c r="F23" s="16">
        <v>44955</v>
      </c>
      <c r="G23" s="5" t="s">
        <v>219</v>
      </c>
      <c r="H23" s="5" t="s">
        <v>3537</v>
      </c>
      <c r="I23" s="24" t="str">
        <f>HYPERLINK("https://www.bilibili.com/video/BV1ne4y1A7oM?p=22", "BV1ne4y1A7oM?p=22")</f>
        <v>BV1ne4y1A7oM?p=22</v>
      </c>
      <c r="J23" s="4" t="str">
        <f ca="1">_xlfn.IFNA(VLOOKUP(INDIRECT("G"&amp;ROW()),minfo!$A:$M,COLUMN()-8,0),"")</f>
        <v>一荤一素</v>
      </c>
      <c r="K23" s="4" t="str">
        <f ca="1">_xlfn.IFNA(VLOOKUP(INDIRECT("G"&amp;ROW()),minfo!$A:$M,COLUMN()-8,0),"")</f>
        <v>毛不易</v>
      </c>
      <c r="L23" s="4">
        <f ca="1">_xlfn.IFNA(VLOOKUP(INDIRECT("G"&amp;ROW()),minfo!$A:$M,COLUMN()-8,0),"")</f>
        <v>0</v>
      </c>
      <c r="M23" s="4">
        <f ca="1">_xlfn.IFNA(VLOOKUP(INDIRECT("G"&amp;ROW()),minfo!$A:$M,COLUMN()-8,0),"")</f>
        <v>1071</v>
      </c>
      <c r="N23" s="4">
        <f ca="1">_xlfn.IFNA(VLOOKUP(INDIRECT("G"&amp;ROW()),minfo!$A:$M,COLUMN()-8,0),"")</f>
        <v>194</v>
      </c>
      <c r="O23" s="4" t="str">
        <f ca="1">_xlfn.IFNA(VLOOKUP(INDIRECT("G"&amp;ROW()),minfo!$A:$M,COLUMN()-8,0),"")</f>
        <v>https://i0.hdslb.com/bfs/station_src/music_metadata/7f59fe0f47fb65bdae2eeac57b76228c.jpg</v>
      </c>
      <c r="P23" s="4" t="str">
        <f ca="1">_xlfn.IFNA(VLOOKUP(INDIRECT("G"&amp;ROW()),minfo!$A:$M,COLUMN()-8,0),"")</f>
        <v>http://i0.hdslb.com/bfs/station_src/music_metadata/592263cf9a711b6ee593a6429c442efb</v>
      </c>
      <c r="Q23" s="4">
        <f ca="1">_xlfn.IFNA(VLOOKUP(INDIRECT("G"&amp;ROW()),minfo!$A:$M,COLUMN()-8,0),"")</f>
        <v>905</v>
      </c>
      <c r="R23" s="4">
        <f ca="1">_xlfn.IFNA(VLOOKUP(INDIRECT("G"&amp;ROW()),minfo!$A:$M,COLUMN()-8,0),"")</f>
        <v>0</v>
      </c>
      <c r="S23" s="4" t="str">
        <f ca="1">_xlfn.IFNA(VLOOKUP(INDIRECT("G"&amp;ROW()),minfo!$A:$M,COLUMN()-8,0),"")</f>
        <v>平凡的一天</v>
      </c>
      <c r="T23" s="4">
        <f ca="1">_xlfn.IFNA(VLOOKUP(INDIRECT("G"&amp;ROW()),minfo!$A:$M,COLUMN()-8,0),"")</f>
        <v>132554728</v>
      </c>
      <c r="U23" s="4">
        <f ca="1">_xlfn.IFNA(VLOOKUP(INDIRECT("G"&amp;ROW()),minfo!$A:$M,COLUMN()-8,0),"")</f>
        <v>0</v>
      </c>
    </row>
    <row r="24" spans="1:21" ht="15.75" customHeight="1">
      <c r="A24" s="15">
        <v>23</v>
      </c>
      <c r="B24" s="4" t="s">
        <v>3560</v>
      </c>
      <c r="C24" s="4">
        <v>24</v>
      </c>
      <c r="D24" s="4">
        <v>23</v>
      </c>
      <c r="E24" s="4" t="s">
        <v>226</v>
      </c>
      <c r="F24" s="16">
        <v>44956</v>
      </c>
      <c r="G24" s="5" t="s">
        <v>225</v>
      </c>
      <c r="H24" s="5" t="s">
        <v>3537</v>
      </c>
      <c r="I24" s="24" t="str">
        <f>HYPERLINK("https://www.bilibili.com/video/BV1ne4y1A7oM?p=23", "BV1ne4y1A7oM?p=23")</f>
        <v>BV1ne4y1A7oM?p=23</v>
      </c>
      <c r="J24" s="4" t="str">
        <f ca="1">_xlfn.IFNA(VLOOKUP(INDIRECT("G"&amp;ROW()),minfo!$A:$M,COLUMN()-8,0),"")</f>
        <v>如愿</v>
      </c>
      <c r="K24" s="4" t="str">
        <f ca="1">_xlfn.IFNA(VLOOKUP(INDIRECT("G"&amp;ROW()),minfo!$A:$M,COLUMN()-8,0),"")</f>
        <v>王菲</v>
      </c>
      <c r="L24" s="4">
        <f ca="1">_xlfn.IFNA(VLOOKUP(INDIRECT("G"&amp;ROW()),minfo!$A:$M,COLUMN()-8,0),"")</f>
        <v>0</v>
      </c>
      <c r="M24" s="4">
        <f ca="1">_xlfn.IFNA(VLOOKUP(INDIRECT("G"&amp;ROW()),minfo!$A:$M,COLUMN()-8,0),"")</f>
        <v>0</v>
      </c>
      <c r="N24" s="4">
        <f ca="1">_xlfn.IFNA(VLOOKUP(INDIRECT("G"&amp;ROW()),minfo!$A:$M,COLUMN()-8,0),"")</f>
        <v>0</v>
      </c>
      <c r="O24" s="4" t="str">
        <f ca="1">_xlfn.IFNA(VLOOKUP(INDIRECT("G"&amp;ROW()),minfo!$A:$M,COLUMN()-8,0),"")</f>
        <v>http://i0.hdslb.com/bfs/station_src/music_metadata/4c29d6e8ea08a5ae0f90cb123bf5f52d.jpg</v>
      </c>
      <c r="P24" s="4" t="str">
        <f ca="1">_xlfn.IFNA(VLOOKUP(INDIRECT("G"&amp;ROW()),minfo!$A:$M,COLUMN()-8,0),"")</f>
        <v>http://i0.hdslb.com/bfs/station_src/music_metadata/7dfb091f97b87d41cdb10f22a04b20e6</v>
      </c>
      <c r="Q24" s="4">
        <f ca="1">_xlfn.IFNA(VLOOKUP(INDIRECT("G"&amp;ROW()),minfo!$A:$M,COLUMN()-8,0),"")</f>
        <v>8985</v>
      </c>
      <c r="R24" s="4" t="str">
        <f ca="1">_xlfn.IFNA(VLOOKUP(INDIRECT("G"&amp;ROW()),minfo!$A:$M,COLUMN()-8,0),"")</f>
        <v>《我和我的父辈》电影主题推广曲</v>
      </c>
      <c r="S24" s="4" t="str">
        <f ca="1">_xlfn.IFNA(VLOOKUP(INDIRECT("G"&amp;ROW()),minfo!$A:$M,COLUMN()-8,0),"")</f>
        <v>如愿</v>
      </c>
      <c r="T24" s="4">
        <f ca="1">_xlfn.IFNA(VLOOKUP(INDIRECT("G"&amp;ROW()),minfo!$A:$M,COLUMN()-8,0),"")</f>
        <v>520502983</v>
      </c>
      <c r="U24" s="4">
        <f ca="1">_xlfn.IFNA(VLOOKUP(INDIRECT("G"&amp;ROW()),minfo!$A:$M,COLUMN()-8,0),"")</f>
        <v>0</v>
      </c>
    </row>
    <row r="25" spans="1:21" ht="15.75" customHeight="1">
      <c r="A25" s="15">
        <v>24</v>
      </c>
      <c r="B25" s="4" t="s">
        <v>3561</v>
      </c>
      <c r="C25" s="4">
        <v>25</v>
      </c>
      <c r="D25" s="4">
        <v>24</v>
      </c>
      <c r="E25" s="4" t="s">
        <v>232</v>
      </c>
      <c r="F25" s="16">
        <v>44957</v>
      </c>
      <c r="G25" s="5" t="s">
        <v>231</v>
      </c>
      <c r="H25" s="5" t="s">
        <v>3537</v>
      </c>
      <c r="I25" s="24" t="str">
        <f>HYPERLINK("https://www.bilibili.com/video/BV1ne4y1A7oM?p=24", "BV1ne4y1A7oM?p=24")</f>
        <v>BV1ne4y1A7oM?p=24</v>
      </c>
      <c r="J25" s="4" t="str">
        <f ca="1">_xlfn.IFNA(VLOOKUP(INDIRECT("G"&amp;ROW()),minfo!$A:$M,COLUMN()-8,0),"")</f>
        <v>若把你</v>
      </c>
      <c r="K25" s="4" t="str">
        <f ca="1">_xlfn.IFNA(VLOOKUP(INDIRECT("G"&amp;ROW()),minfo!$A:$M,COLUMN()-8,0),"")</f>
        <v>Kirsty刘瑾睿</v>
      </c>
      <c r="L25" s="4">
        <f ca="1">_xlfn.IFNA(VLOOKUP(INDIRECT("G"&amp;ROW()),minfo!$A:$M,COLUMN()-8,0),"")</f>
        <v>0</v>
      </c>
      <c r="M25" s="4">
        <f ca="1">_xlfn.IFNA(VLOOKUP(INDIRECT("G"&amp;ROW()),minfo!$A:$M,COLUMN()-8,0),"")</f>
        <v>43546</v>
      </c>
      <c r="N25" s="4">
        <f ca="1">_xlfn.IFNA(VLOOKUP(INDIRECT("G"&amp;ROW()),minfo!$A:$M,COLUMN()-8,0),"")</f>
        <v>6440</v>
      </c>
      <c r="O25" s="4" t="str">
        <f ca="1">_xlfn.IFNA(VLOOKUP(INDIRECT("G"&amp;ROW()),minfo!$A:$M,COLUMN()-8,0),"")</f>
        <v>http://i0.hdslb.com/bfs/station_src/music_metadata/e535448192dd1b72f950d8bf47d14597.jpg</v>
      </c>
      <c r="P25" s="4">
        <f ca="1">_xlfn.IFNA(VLOOKUP(INDIRECT("G"&amp;ROW()),minfo!$A:$M,COLUMN()-8,0),"")</f>
        <v>0</v>
      </c>
      <c r="Q25" s="4">
        <f ca="1">_xlfn.IFNA(VLOOKUP(INDIRECT("G"&amp;ROW()),minfo!$A:$M,COLUMN()-8,0),"")</f>
        <v>2370</v>
      </c>
      <c r="R25" s="4">
        <f ca="1">_xlfn.IFNA(VLOOKUP(INDIRECT("G"&amp;ROW()),minfo!$A:$M,COLUMN()-8,0),"")</f>
        <v>0</v>
      </c>
      <c r="S25" s="4" t="str">
        <f ca="1">_xlfn.IFNA(VLOOKUP(INDIRECT("G"&amp;ROW()),minfo!$A:$M,COLUMN()-8,0),"")</f>
        <v>若把你</v>
      </c>
      <c r="T25" s="4">
        <f ca="1">_xlfn.IFNA(VLOOKUP(INDIRECT("G"&amp;ROW()),minfo!$A:$M,COLUMN()-8,0),"")</f>
        <v>316650487</v>
      </c>
      <c r="U25" s="4" t="str">
        <f ca="1">_xlfn.IFNA(VLOOKUP(INDIRECT("G"&amp;ROW()),minfo!$A:$M,COLUMN()-8,0),"")</f>
        <v>音乐榜最高NO.7</v>
      </c>
    </row>
    <row r="26" spans="1:21" ht="15.75" customHeight="1">
      <c r="A26" s="15">
        <v>25</v>
      </c>
      <c r="B26" s="4" t="s">
        <v>3562</v>
      </c>
      <c r="C26" s="4">
        <v>26</v>
      </c>
      <c r="D26" s="4">
        <v>25</v>
      </c>
      <c r="E26" s="4" t="s">
        <v>237</v>
      </c>
      <c r="F26" s="16">
        <v>44957</v>
      </c>
      <c r="G26" s="5" t="s">
        <v>236</v>
      </c>
      <c r="H26" s="5" t="s">
        <v>3537</v>
      </c>
      <c r="I26" s="24" t="str">
        <f>HYPERLINK("https://www.bilibili.com/video/BV1ne4y1A7oM?p=25", "BV1ne4y1A7oM?p=25")</f>
        <v>BV1ne4y1A7oM?p=25</v>
      </c>
      <c r="J26" s="4" t="str">
        <f ca="1">_xlfn.IFNA(VLOOKUP(INDIRECT("G"&amp;ROW()),minfo!$A:$M,COLUMN()-8,0),"")</f>
        <v>菩萨蛮</v>
      </c>
      <c r="K26" s="4" t="str">
        <f ca="1">_xlfn.IFNA(VLOOKUP(INDIRECT("G"&amp;ROW()),minfo!$A:$M,COLUMN()-8,0),"")</f>
        <v>姚贝娜</v>
      </c>
      <c r="L26" s="4">
        <f ca="1">_xlfn.IFNA(VLOOKUP(INDIRECT("G"&amp;ROW()),minfo!$A:$M,COLUMN()-8,0),"")</f>
        <v>0</v>
      </c>
      <c r="M26" s="4">
        <f ca="1">_xlfn.IFNA(VLOOKUP(INDIRECT("G"&amp;ROW()),minfo!$A:$M,COLUMN()-8,0),"")</f>
        <v>0</v>
      </c>
      <c r="N26" s="4">
        <f ca="1">_xlfn.IFNA(VLOOKUP(INDIRECT("G"&amp;ROW()),minfo!$A:$M,COLUMN()-8,0),"")</f>
        <v>0</v>
      </c>
      <c r="O26" s="4" t="str">
        <f ca="1">_xlfn.IFNA(VLOOKUP(INDIRECT("G"&amp;ROW()),minfo!$A:$M,COLUMN()-8,0),"")</f>
        <v>https://i0.hdslb.com/bfs/station_src/music_metadata/af6a2e36820cd2387f0261a48e49c4ac.jpg</v>
      </c>
      <c r="P26" s="4" t="str">
        <f ca="1">_xlfn.IFNA(VLOOKUP(INDIRECT("G"&amp;ROW()),minfo!$A:$M,COLUMN()-8,0),"")</f>
        <v>https://i0.hdslb.com/bfs/station_src/music_metadata/2ab2b1693f38d61941e813d3fb513a11.txt</v>
      </c>
      <c r="Q26" s="4">
        <f ca="1">_xlfn.IFNA(VLOOKUP(INDIRECT("G"&amp;ROW()),minfo!$A:$M,COLUMN()-8,0),"")</f>
        <v>95</v>
      </c>
      <c r="R26" s="4" t="str">
        <f ca="1">_xlfn.IFNA(VLOOKUP(INDIRECT("G"&amp;ROW()),minfo!$A:$M,COLUMN()-8,0),"")</f>
        <v>《甄嬛传》电视剧插曲</v>
      </c>
      <c r="S26" s="4" t="str">
        <f ca="1">_xlfn.IFNA(VLOOKUP(INDIRECT("G"&amp;ROW()),minfo!$A:$M,COLUMN()-8,0),"")</f>
        <v>姚贝娜影视音乐精选辑</v>
      </c>
      <c r="T26" s="4">
        <f ca="1">_xlfn.IFNA(VLOOKUP(INDIRECT("G"&amp;ROW()),minfo!$A:$M,COLUMN()-8,0),"")</f>
        <v>40070424</v>
      </c>
      <c r="U26" s="4">
        <f ca="1">_xlfn.IFNA(VLOOKUP(INDIRECT("G"&amp;ROW()),minfo!$A:$M,COLUMN()-8,0),"")</f>
        <v>0</v>
      </c>
    </row>
    <row r="27" spans="1:21" ht="15.75" customHeight="1">
      <c r="A27" s="15">
        <v>26</v>
      </c>
      <c r="B27" s="4" t="s">
        <v>3563</v>
      </c>
      <c r="C27" s="4">
        <v>27</v>
      </c>
      <c r="D27" s="4">
        <v>26</v>
      </c>
      <c r="E27" s="4" t="s">
        <v>244</v>
      </c>
      <c r="F27" s="16">
        <v>44957</v>
      </c>
      <c r="G27" s="5" t="s">
        <v>243</v>
      </c>
      <c r="H27" s="5" t="s">
        <v>3537</v>
      </c>
      <c r="I27" s="24" t="str">
        <f>HYPERLINK("https://www.bilibili.com/video/BV1ne4y1A7oM?p=26", "BV1ne4y1A7oM?p=26")</f>
        <v>BV1ne4y1A7oM?p=26</v>
      </c>
      <c r="J27" s="4" t="str">
        <f ca="1">_xlfn.IFNA(VLOOKUP(INDIRECT("G"&amp;ROW()),minfo!$A:$M,COLUMN()-8,0),"")</f>
        <v>天若有情</v>
      </c>
      <c r="K27" s="4" t="str">
        <f ca="1">_xlfn.IFNA(VLOOKUP(INDIRECT("G"&amp;ROW()),minfo!$A:$M,COLUMN()-8,0),"")</f>
        <v>A-Lin</v>
      </c>
      <c r="L27" s="4">
        <f ca="1">_xlfn.IFNA(VLOOKUP(INDIRECT("G"&amp;ROW()),minfo!$A:$M,COLUMN()-8,0),"")</f>
        <v>0</v>
      </c>
      <c r="M27" s="4">
        <f ca="1">_xlfn.IFNA(VLOOKUP(INDIRECT("G"&amp;ROW()),minfo!$A:$M,COLUMN()-8,0),"")</f>
        <v>0</v>
      </c>
      <c r="N27" s="4">
        <f ca="1">_xlfn.IFNA(VLOOKUP(INDIRECT("G"&amp;ROW()),minfo!$A:$M,COLUMN()-8,0),"")</f>
        <v>0</v>
      </c>
      <c r="O27" s="4" t="str">
        <f ca="1">_xlfn.IFNA(VLOOKUP(INDIRECT("G"&amp;ROW()),minfo!$A:$M,COLUMN()-8,0),"")</f>
        <v>https://i0.hdslb.com/bfs/station_src/music_metadata/d7077aac44142c14752bf54adb6735dd.jpg</v>
      </c>
      <c r="P27" s="4" t="str">
        <f ca="1">_xlfn.IFNA(VLOOKUP(INDIRECT("G"&amp;ROW()),minfo!$A:$M,COLUMN()-8,0),"")</f>
        <v>http://i0.hdslb.com/bfs/station_src/music_metadata/d430629d07fd668a47cf98e2c77345f8</v>
      </c>
      <c r="Q27" s="4">
        <f ca="1">_xlfn.IFNA(VLOOKUP(INDIRECT("G"&amp;ROW()),minfo!$A:$M,COLUMN()-8,0),"")</f>
        <v>4856</v>
      </c>
      <c r="R27" s="4" t="str">
        <f ca="1">_xlfn.IFNA(VLOOKUP(INDIRECT("G"&amp;ROW()),minfo!$A:$M,COLUMN()-8,0),"")</f>
        <v>《锦绣未央》电视剧主题曲</v>
      </c>
      <c r="S27" s="4" t="str">
        <f ca="1">_xlfn.IFNA(VLOOKUP(INDIRECT("G"&amp;ROW()),minfo!$A:$M,COLUMN()-8,0),"")</f>
        <v>天若有情</v>
      </c>
      <c r="T27" s="4">
        <f ca="1">_xlfn.IFNA(VLOOKUP(INDIRECT("G"&amp;ROW()),minfo!$A:$M,COLUMN()-8,0),"")</f>
        <v>508621070</v>
      </c>
      <c r="U27" s="4">
        <f ca="1">_xlfn.IFNA(VLOOKUP(INDIRECT("G"&amp;ROW()),minfo!$A:$M,COLUMN()-8,0),"")</f>
        <v>0</v>
      </c>
    </row>
    <row r="28" spans="1:21" ht="15.75" customHeight="1">
      <c r="A28" s="15">
        <v>27</v>
      </c>
      <c r="B28" s="4" t="s">
        <v>3564</v>
      </c>
      <c r="C28" s="4">
        <v>28</v>
      </c>
      <c r="D28" s="4">
        <v>27</v>
      </c>
      <c r="E28" s="4" t="s">
        <v>250</v>
      </c>
      <c r="F28" s="16">
        <v>44957</v>
      </c>
      <c r="G28" s="5" t="s">
        <v>249</v>
      </c>
      <c r="H28" s="5" t="s">
        <v>3537</v>
      </c>
      <c r="I28" s="24" t="str">
        <f>HYPERLINK("https://www.bilibili.com/video/BV1ne4y1A7oM?p=27", "BV1ne4y1A7oM?p=27")</f>
        <v>BV1ne4y1A7oM?p=27</v>
      </c>
      <c r="J28" s="4" t="str">
        <f ca="1">_xlfn.IFNA(VLOOKUP(INDIRECT("G"&amp;ROW()),minfo!$A:$M,COLUMN()-8,0),"")</f>
        <v>入画江南</v>
      </c>
      <c r="K28" s="4" t="str">
        <f ca="1">_xlfn.IFNA(VLOOKUP(INDIRECT("G"&amp;ROW()),minfo!$A:$M,COLUMN()-8,0),"")</f>
        <v>黄龄</v>
      </c>
      <c r="L28" s="4">
        <f ca="1">_xlfn.IFNA(VLOOKUP(INDIRECT("G"&amp;ROW()),minfo!$A:$M,COLUMN()-8,0),"")</f>
        <v>0</v>
      </c>
      <c r="M28" s="4">
        <f ca="1">_xlfn.IFNA(VLOOKUP(INDIRECT("G"&amp;ROW()),minfo!$A:$M,COLUMN()-8,0),"")</f>
        <v>0</v>
      </c>
      <c r="N28" s="4">
        <f ca="1">_xlfn.IFNA(VLOOKUP(INDIRECT("G"&amp;ROW()),minfo!$A:$M,COLUMN()-8,0),"")</f>
        <v>0</v>
      </c>
      <c r="O28" s="4" t="str">
        <f ca="1">_xlfn.IFNA(VLOOKUP(INDIRECT("G"&amp;ROW()),minfo!$A:$M,COLUMN()-8,0),"")</f>
        <v>https://i0.hdslb.com/bfs/station_src/music_metadata/9bad5d5de3b3ad30ddb1728f2601e072.jpg</v>
      </c>
      <c r="P28" s="4" t="str">
        <f ca="1">_xlfn.IFNA(VLOOKUP(INDIRECT("G"&amp;ROW()),minfo!$A:$M,COLUMN()-8,0),"")</f>
        <v>http://i0.hdslb.com/bfs/station_src/music_metadata/c67ce1dd9cbfd2414bb3914f717f4817</v>
      </c>
      <c r="Q28" s="4">
        <f ca="1">_xlfn.IFNA(VLOOKUP(INDIRECT("G"&amp;ROW()),minfo!$A:$M,COLUMN()-8,0),"")</f>
        <v>2739</v>
      </c>
      <c r="R28" s="4" t="str">
        <f ca="1">_xlfn.IFNA(VLOOKUP(INDIRECT("G"&amp;ROW()),minfo!$A:$M,COLUMN()-8,0),"")</f>
        <v>《江南百景图》手游推广曲</v>
      </c>
      <c r="S28" s="4" t="str">
        <f ca="1">_xlfn.IFNA(VLOOKUP(INDIRECT("G"&amp;ROW()),minfo!$A:$M,COLUMN()-8,0),"")</f>
        <v>入画江南</v>
      </c>
      <c r="T28" s="4">
        <f ca="1">_xlfn.IFNA(VLOOKUP(INDIRECT("G"&amp;ROW()),minfo!$A:$M,COLUMN()-8,0),"")</f>
        <v>119060924</v>
      </c>
      <c r="U28" s="4">
        <f ca="1">_xlfn.IFNA(VLOOKUP(INDIRECT("G"&amp;ROW()),minfo!$A:$M,COLUMN()-8,0),"")</f>
        <v>0</v>
      </c>
    </row>
    <row r="29" spans="1:21" ht="15.75" customHeight="1">
      <c r="A29" s="15">
        <v>28</v>
      </c>
      <c r="B29" s="4" t="s">
        <v>3565</v>
      </c>
      <c r="C29" s="4">
        <v>29</v>
      </c>
      <c r="D29" s="4">
        <v>28</v>
      </c>
      <c r="E29" s="4" t="s">
        <v>255</v>
      </c>
      <c r="F29" s="16">
        <v>44957</v>
      </c>
      <c r="G29" s="5" t="s">
        <v>254</v>
      </c>
      <c r="H29" s="5" t="s">
        <v>3537</v>
      </c>
      <c r="I29" s="24" t="str">
        <f>HYPERLINK("https://www.bilibili.com/video/BV1ne4y1A7oM?p=28", "BV1ne4y1A7oM?p=28")</f>
        <v>BV1ne4y1A7oM?p=28</v>
      </c>
      <c r="J29" s="4" t="str">
        <f ca="1">_xlfn.IFNA(VLOOKUP(INDIRECT("G"&amp;ROW()),minfo!$A:$M,COLUMN()-8,0),"")</f>
        <v>安静</v>
      </c>
      <c r="K29" s="4" t="str">
        <f ca="1">_xlfn.IFNA(VLOOKUP(INDIRECT("G"&amp;ROW()),minfo!$A:$M,COLUMN()-8,0),"")</f>
        <v>周杰伦</v>
      </c>
      <c r="L29" s="4">
        <f ca="1">_xlfn.IFNA(VLOOKUP(INDIRECT("G"&amp;ROW()),minfo!$A:$M,COLUMN()-8,0),"")</f>
        <v>0</v>
      </c>
      <c r="M29" s="4">
        <f ca="1">_xlfn.IFNA(VLOOKUP(INDIRECT("G"&amp;ROW()),minfo!$A:$M,COLUMN()-8,0),"")</f>
        <v>0</v>
      </c>
      <c r="N29" s="4">
        <f ca="1">_xlfn.IFNA(VLOOKUP(INDIRECT("G"&amp;ROW()),minfo!$A:$M,COLUMN()-8,0),"")</f>
        <v>0</v>
      </c>
      <c r="O29" s="4" t="str">
        <f ca="1">_xlfn.IFNA(VLOOKUP(INDIRECT("G"&amp;ROW()),minfo!$A:$M,COLUMN()-8,0),"")</f>
        <v>https://i0.hdslb.com/bfs/station_src/music_metadata/163260acec8882a8b4bd00db01f5e9b4.jpg</v>
      </c>
      <c r="P29" s="4">
        <f ca="1">_xlfn.IFNA(VLOOKUP(INDIRECT("G"&amp;ROW()),minfo!$A:$M,COLUMN()-8,0),"")</f>
        <v>0</v>
      </c>
      <c r="Q29" s="4">
        <f ca="1">_xlfn.IFNA(VLOOKUP(INDIRECT("G"&amp;ROW()),minfo!$A:$M,COLUMN()-8,0),"")</f>
        <v>1261</v>
      </c>
      <c r="R29" s="4">
        <f ca="1">_xlfn.IFNA(VLOOKUP(INDIRECT("G"&amp;ROW()),minfo!$A:$M,COLUMN()-8,0),"")</f>
        <v>0</v>
      </c>
      <c r="S29" s="4" t="str">
        <f ca="1">_xlfn.IFNA(VLOOKUP(INDIRECT("G"&amp;ROW()),minfo!$A:$M,COLUMN()-8,0),"")</f>
        <v>范特西</v>
      </c>
      <c r="T29" s="4">
        <f ca="1">_xlfn.IFNA(VLOOKUP(INDIRECT("G"&amp;ROW()),minfo!$A:$M,COLUMN()-8,0),"")</f>
        <v>396368679</v>
      </c>
      <c r="U29" s="4">
        <f ca="1">_xlfn.IFNA(VLOOKUP(INDIRECT("G"&amp;ROW()),minfo!$A:$M,COLUMN()-8,0),"")</f>
        <v>0</v>
      </c>
    </row>
    <row r="30" spans="1:21" ht="15.75" customHeight="1">
      <c r="A30" s="15">
        <v>29</v>
      </c>
      <c r="B30" s="4" t="s">
        <v>3566</v>
      </c>
      <c r="C30" s="4">
        <v>30</v>
      </c>
      <c r="D30" s="4">
        <v>29</v>
      </c>
      <c r="E30" s="4" t="s">
        <v>30</v>
      </c>
      <c r="F30" s="16">
        <v>44957</v>
      </c>
      <c r="G30" s="5" t="s">
        <v>29</v>
      </c>
      <c r="H30" s="5" t="s">
        <v>3537</v>
      </c>
      <c r="I30" s="24" t="str">
        <f>HYPERLINK("https://www.bilibili.com/video/BV1ne4y1A7oM?p=29", "BV1ne4y1A7oM?p=29")</f>
        <v>BV1ne4y1A7oM?p=29</v>
      </c>
      <c r="J30" s="4" t="str">
        <f ca="1">_xlfn.IFNA(VLOOKUP(INDIRECT("G"&amp;ROW()),minfo!$A:$M,COLUMN()-8,0),"")</f>
        <v>下雨天</v>
      </c>
      <c r="K30" s="4" t="str">
        <f ca="1">_xlfn.IFNA(VLOOKUP(INDIRECT("G"&amp;ROW()),minfo!$A:$M,COLUMN()-8,0),"")</f>
        <v>南拳妈妈</v>
      </c>
      <c r="L30" s="4">
        <f ca="1">_xlfn.IFNA(VLOOKUP(INDIRECT("G"&amp;ROW()),minfo!$A:$M,COLUMN()-8,0),"")</f>
        <v>0</v>
      </c>
      <c r="M30" s="4">
        <f ca="1">_xlfn.IFNA(VLOOKUP(INDIRECT("G"&amp;ROW()),minfo!$A:$M,COLUMN()-8,0),"")</f>
        <v>0</v>
      </c>
      <c r="N30" s="4">
        <f ca="1">_xlfn.IFNA(VLOOKUP(INDIRECT("G"&amp;ROW()),minfo!$A:$M,COLUMN()-8,0),"")</f>
        <v>0</v>
      </c>
      <c r="O30" s="4" t="str">
        <f ca="1">_xlfn.IFNA(VLOOKUP(INDIRECT("G"&amp;ROW()),minfo!$A:$M,COLUMN()-8,0),"")</f>
        <v>http://i0.hdslb.com/bfs/station_src/music_metadata/11894af49c3a6335acdcff5503de93ca.jpg</v>
      </c>
      <c r="P30" s="4" t="str">
        <f ca="1">_xlfn.IFNA(VLOOKUP(INDIRECT("G"&amp;ROW()),minfo!$A:$M,COLUMN()-8,0),"")</f>
        <v>http://i0.hdslb.com/bfs/station_src/music_metadata/7562376c6e398641a1432bf3281bc565</v>
      </c>
      <c r="Q30" s="4">
        <f ca="1">_xlfn.IFNA(VLOOKUP(INDIRECT("G"&amp;ROW()),minfo!$A:$M,COLUMN()-8,0),"")</f>
        <v>1858</v>
      </c>
      <c r="R30" s="4">
        <f ca="1">_xlfn.IFNA(VLOOKUP(INDIRECT("G"&amp;ROW()),minfo!$A:$M,COLUMN()-8,0),"")</f>
        <v>0</v>
      </c>
      <c r="S30" s="4" t="str">
        <f ca="1">_xlfn.IFNA(VLOOKUP(INDIRECT("G"&amp;ROW()),minfo!$A:$M,COLUMN()-8,0),"")</f>
        <v>优の良曲 南搞小孩</v>
      </c>
      <c r="T30" s="4">
        <f ca="1">_xlfn.IFNA(VLOOKUP(INDIRECT("G"&amp;ROW()),minfo!$A:$M,COLUMN()-8,0),"")</f>
        <v>282780877</v>
      </c>
      <c r="U30" s="4" t="str">
        <f ca="1">_xlfn.IFNA(VLOOKUP(INDIRECT("G"&amp;ROW()),minfo!$A:$M,COLUMN()-8,0),"")</f>
        <v>音乐榜最高NO.14</v>
      </c>
    </row>
    <row r="31" spans="1:21" ht="15.75" customHeight="1">
      <c r="A31" s="15">
        <v>30</v>
      </c>
      <c r="B31" s="4" t="s">
        <v>3567</v>
      </c>
      <c r="C31" s="4">
        <v>31</v>
      </c>
      <c r="D31" s="4">
        <v>30</v>
      </c>
      <c r="E31" s="4" t="s">
        <v>1977</v>
      </c>
      <c r="F31" s="16">
        <v>44957</v>
      </c>
      <c r="G31" s="5" t="s">
        <v>1976</v>
      </c>
      <c r="H31" s="5" t="s">
        <v>3537</v>
      </c>
      <c r="I31" s="24" t="str">
        <f>HYPERLINK("https://www.bilibili.com/video/BV1ne4y1A7oM?p=30", "BV1ne4y1A7oM?p=30")</f>
        <v>BV1ne4y1A7oM?p=30</v>
      </c>
      <c r="J31" s="4" t="str">
        <f ca="1">_xlfn.IFNA(VLOOKUP(INDIRECT("G"&amp;ROW()),minfo!$A:$M,COLUMN()-8,0),"")</f>
        <v>如燕</v>
      </c>
      <c r="K31" s="4" t="str">
        <f ca="1">_xlfn.IFNA(VLOOKUP(INDIRECT("G"&amp;ROW()),minfo!$A:$M,COLUMN()-8,0),"")</f>
        <v>Olivia Ong</v>
      </c>
      <c r="L31" s="4">
        <f ca="1">_xlfn.IFNA(VLOOKUP(INDIRECT("G"&amp;ROW()),minfo!$A:$M,COLUMN()-8,0),"")</f>
        <v>0</v>
      </c>
      <c r="M31" s="4">
        <f ca="1">_xlfn.IFNA(VLOOKUP(INDIRECT("G"&amp;ROW()),minfo!$A:$M,COLUMN()-8,0),"")</f>
        <v>0</v>
      </c>
      <c r="N31" s="4">
        <f ca="1">_xlfn.IFNA(VLOOKUP(INDIRECT("G"&amp;ROW()),minfo!$A:$M,COLUMN()-8,0),"")</f>
        <v>0</v>
      </c>
      <c r="O31" s="4" t="str">
        <f ca="1">_xlfn.IFNA(VLOOKUP(INDIRECT("G"&amp;ROW()),minfo!$A:$M,COLUMN()-8,0),"")</f>
        <v>https://i0.hdslb.com/bfs/station_src/music_metadata/b2733c4bd517933dcae0cba2b7fa823a.jpg</v>
      </c>
      <c r="P31" s="4" t="str">
        <f ca="1">_xlfn.IFNA(VLOOKUP(INDIRECT("G"&amp;ROW()),minfo!$A:$M,COLUMN()-8,0),"")</f>
        <v>https://i0.hdslb.com/bfs/station_src/music_metadata/ea39207bb5f0808fc26797b69111daa6.txt</v>
      </c>
      <c r="Q31" s="4">
        <f ca="1">_xlfn.IFNA(VLOOKUP(INDIRECT("G"&amp;ROW()),minfo!$A:$M,COLUMN()-8,0),"")</f>
        <v>14</v>
      </c>
      <c r="R31" s="4" t="str">
        <f ca="1">_xlfn.IFNA(VLOOKUP(INDIRECT("G"&amp;ROW()),minfo!$A:$M,COLUMN()-8,0),"")</f>
        <v>《我们的》电视剧主题曲</v>
      </c>
      <c r="S31" s="4" t="str">
        <f ca="1">_xlfn.IFNA(VLOOKUP(INDIRECT("G"&amp;ROW()),minfo!$A:$M,COLUMN()-8,0),"")</f>
        <v>我们的主题曲</v>
      </c>
      <c r="T31" s="4">
        <f ca="1">_xlfn.IFNA(VLOOKUP(INDIRECT("G"&amp;ROW()),minfo!$A:$M,COLUMN()-8,0),"")</f>
        <v>2915511</v>
      </c>
      <c r="U31" s="4">
        <f ca="1">_xlfn.IFNA(VLOOKUP(INDIRECT("G"&amp;ROW()),minfo!$A:$M,COLUMN()-8,0),"")</f>
        <v>0</v>
      </c>
    </row>
    <row r="32" spans="1:21" ht="15.75" customHeight="1">
      <c r="A32" s="15">
        <v>31</v>
      </c>
      <c r="B32" s="4" t="s">
        <v>3568</v>
      </c>
      <c r="C32" s="4">
        <v>32</v>
      </c>
      <c r="D32" s="4">
        <v>31</v>
      </c>
      <c r="E32" s="4" t="s">
        <v>14</v>
      </c>
      <c r="F32" s="16">
        <v>44957</v>
      </c>
      <c r="G32" s="5" t="s">
        <v>13</v>
      </c>
      <c r="H32" s="5" t="s">
        <v>3537</v>
      </c>
      <c r="I32" s="24" t="str">
        <f>HYPERLINK("https://www.bilibili.com/video/BV1ne4y1A7oM?p=31", "BV1ne4y1A7oM?p=31")</f>
        <v>BV1ne4y1A7oM?p=31</v>
      </c>
      <c r="J32" s="4" t="str">
        <f ca="1">_xlfn.IFNA(VLOOKUP(INDIRECT("G"&amp;ROW()),minfo!$A:$M,COLUMN()-8,0),"")</f>
        <v>瓦解</v>
      </c>
      <c r="K32" s="4" t="str">
        <f ca="1">_xlfn.IFNA(VLOOKUP(INDIRECT("G"&amp;ROW()),minfo!$A:$M,COLUMN()-8,0),"")</f>
        <v>南拳妈妈</v>
      </c>
      <c r="L32" s="4">
        <f ca="1">_xlfn.IFNA(VLOOKUP(INDIRECT("G"&amp;ROW()),minfo!$A:$M,COLUMN()-8,0),"")</f>
        <v>0</v>
      </c>
      <c r="M32" s="4">
        <f ca="1">_xlfn.IFNA(VLOOKUP(INDIRECT("G"&amp;ROW()),minfo!$A:$M,COLUMN()-8,0),"")</f>
        <v>0</v>
      </c>
      <c r="N32" s="4">
        <f ca="1">_xlfn.IFNA(VLOOKUP(INDIRECT("G"&amp;ROW()),minfo!$A:$M,COLUMN()-8,0),"")</f>
        <v>0</v>
      </c>
      <c r="O32" s="4" t="str">
        <f ca="1">_xlfn.IFNA(VLOOKUP(INDIRECT("G"&amp;ROW()),minfo!$A:$M,COLUMN()-8,0),"")</f>
        <v>https://i0.hdslb.com/bfs/station_src/music_metadata/284aedba73bbb46dd43548a108598c32.jpg</v>
      </c>
      <c r="P32" s="4" t="str">
        <f ca="1">_xlfn.IFNA(VLOOKUP(INDIRECT("G"&amp;ROW()),minfo!$A:$M,COLUMN()-8,0),"")</f>
        <v>http://i0.hdslb.com/bfs/station_src/music_metadata/4d7bef88af4faa856325802b023ef85e</v>
      </c>
      <c r="Q32" s="4">
        <f ca="1">_xlfn.IFNA(VLOOKUP(INDIRECT("G"&amp;ROW()),minfo!$A:$M,COLUMN()-8,0),"")</f>
        <v>129</v>
      </c>
      <c r="R32" s="4">
        <f ca="1">_xlfn.IFNA(VLOOKUP(INDIRECT("G"&amp;ROW()),minfo!$A:$M,COLUMN()-8,0),"")</f>
        <v>0</v>
      </c>
      <c r="S32" s="4" t="str">
        <f ca="1">_xlfn.IFNA(VLOOKUP(INDIRECT("G"&amp;ROW()),minfo!$A:$M,COLUMN()-8,0),"")</f>
        <v>南拳妈妈的夏天</v>
      </c>
      <c r="T32" s="4">
        <f ca="1">_xlfn.IFNA(VLOOKUP(INDIRECT("G"&amp;ROW()),minfo!$A:$M,COLUMN()-8,0),"")</f>
        <v>122109069</v>
      </c>
      <c r="U32" s="4">
        <f ca="1">_xlfn.IFNA(VLOOKUP(INDIRECT("G"&amp;ROW()),minfo!$A:$M,COLUMN()-8,0),"")</f>
        <v>0</v>
      </c>
    </row>
    <row r="33" spans="1:21" ht="15.75" customHeight="1">
      <c r="A33" s="15">
        <v>32</v>
      </c>
      <c r="B33" s="4" t="s">
        <v>3569</v>
      </c>
      <c r="C33" s="4">
        <v>33</v>
      </c>
      <c r="D33" s="4">
        <v>32</v>
      </c>
      <c r="E33" s="4" t="s">
        <v>259</v>
      </c>
      <c r="F33" s="16">
        <v>44957</v>
      </c>
      <c r="G33" s="5" t="s">
        <v>258</v>
      </c>
      <c r="H33" s="5" t="s">
        <v>3537</v>
      </c>
      <c r="I33" s="24" t="str">
        <f>HYPERLINK("https://www.bilibili.com/video/BV1ne4y1A7oM?p=32", "BV1ne4y1A7oM?p=32")</f>
        <v>BV1ne4y1A7oM?p=32</v>
      </c>
      <c r="J33" s="4" t="str">
        <f ca="1">_xlfn.IFNA(VLOOKUP(INDIRECT("G"&amp;ROW()),minfo!$A:$M,COLUMN()-8,0),"")</f>
        <v>枫</v>
      </c>
      <c r="K33" s="4" t="str">
        <f ca="1">_xlfn.IFNA(VLOOKUP(INDIRECT("G"&amp;ROW()),minfo!$A:$M,COLUMN()-8,0),"")</f>
        <v>周杰伦</v>
      </c>
      <c r="L33" s="4">
        <f ca="1">_xlfn.IFNA(VLOOKUP(INDIRECT("G"&amp;ROW()),minfo!$A:$M,COLUMN()-8,0),"")</f>
        <v>0</v>
      </c>
      <c r="M33" s="4">
        <f ca="1">_xlfn.IFNA(VLOOKUP(INDIRECT("G"&amp;ROW()),minfo!$A:$M,COLUMN()-8,0),"")</f>
        <v>0</v>
      </c>
      <c r="N33" s="4">
        <f ca="1">_xlfn.IFNA(VLOOKUP(INDIRECT("G"&amp;ROW()),minfo!$A:$M,COLUMN()-8,0),"")</f>
        <v>0</v>
      </c>
      <c r="O33" s="4" t="str">
        <f ca="1">_xlfn.IFNA(VLOOKUP(INDIRECT("G"&amp;ROW()),minfo!$A:$M,COLUMN()-8,0),"")</f>
        <v>https://i0.hdslb.com/bfs/station_src/music_metadata/fb82b0fb2908b09d88ba13ef0db91863.jpg</v>
      </c>
      <c r="P33" s="4" t="str">
        <f ca="1">_xlfn.IFNA(VLOOKUP(INDIRECT("G"&amp;ROW()),minfo!$A:$M,COLUMN()-8,0),"")</f>
        <v>http://i0.hdslb.com/bfs/station_src/music_metadata/9b1e7a89ea3eead8b8c6b32cdb30abd9</v>
      </c>
      <c r="Q33" s="4">
        <f ca="1">_xlfn.IFNA(VLOOKUP(INDIRECT("G"&amp;ROW()),minfo!$A:$M,COLUMN()-8,0),"")</f>
        <v>6002</v>
      </c>
      <c r="R33" s="4">
        <f ca="1">_xlfn.IFNA(VLOOKUP(INDIRECT("G"&amp;ROW()),minfo!$A:$M,COLUMN()-8,0),"")</f>
        <v>0</v>
      </c>
      <c r="S33" s="4" t="str">
        <f ca="1">_xlfn.IFNA(VLOOKUP(INDIRECT("G"&amp;ROW()),minfo!$A:$M,COLUMN()-8,0),"")</f>
        <v>十一月的萧邦</v>
      </c>
      <c r="T33" s="4">
        <f ca="1">_xlfn.IFNA(VLOOKUP(INDIRECT("G"&amp;ROW()),minfo!$A:$M,COLUMN()-8,0),"")</f>
        <v>560749777</v>
      </c>
      <c r="U33" s="4">
        <f ca="1">_xlfn.IFNA(VLOOKUP(INDIRECT("G"&amp;ROW()),minfo!$A:$M,COLUMN()-8,0),"")</f>
        <v>0</v>
      </c>
    </row>
    <row r="34" spans="1:21" ht="15.75" customHeight="1">
      <c r="A34" s="15">
        <v>33</v>
      </c>
      <c r="B34" s="4" t="s">
        <v>3570</v>
      </c>
      <c r="C34" s="4">
        <v>34</v>
      </c>
      <c r="D34" s="4">
        <v>33</v>
      </c>
      <c r="E34" s="4" t="s">
        <v>264</v>
      </c>
      <c r="F34" s="16">
        <v>44957</v>
      </c>
      <c r="G34" s="5" t="s">
        <v>263</v>
      </c>
      <c r="H34" s="5" t="s">
        <v>3537</v>
      </c>
      <c r="I34" s="24" t="str">
        <f>HYPERLINK("https://www.bilibili.com/video/BV1ne4y1A7oM?p=33", "BV1ne4y1A7oM?p=33")</f>
        <v>BV1ne4y1A7oM?p=33</v>
      </c>
      <c r="J34" s="4" t="str">
        <f ca="1">_xlfn.IFNA(VLOOKUP(INDIRECT("G"&amp;ROW()),minfo!$A:$M,COLUMN()-8,0),"")</f>
        <v>舞娘</v>
      </c>
      <c r="K34" s="4" t="str">
        <f ca="1">_xlfn.IFNA(VLOOKUP(INDIRECT("G"&amp;ROW()),minfo!$A:$M,COLUMN()-8,0),"")</f>
        <v>蔡依林</v>
      </c>
      <c r="L34" s="4">
        <f ca="1">_xlfn.IFNA(VLOOKUP(INDIRECT("G"&amp;ROW()),minfo!$A:$M,COLUMN()-8,0),"")</f>
        <v>0</v>
      </c>
      <c r="M34" s="4">
        <f ca="1">_xlfn.IFNA(VLOOKUP(INDIRECT("G"&amp;ROW()),minfo!$A:$M,COLUMN()-8,0),"")</f>
        <v>0</v>
      </c>
      <c r="N34" s="4">
        <f ca="1">_xlfn.IFNA(VLOOKUP(INDIRECT("G"&amp;ROW()),minfo!$A:$M,COLUMN()-8,0),"")</f>
        <v>0</v>
      </c>
      <c r="O34" s="4" t="str">
        <f ca="1">_xlfn.IFNA(VLOOKUP(INDIRECT("G"&amp;ROW()),minfo!$A:$M,COLUMN()-8,0),"")</f>
        <v>https://i0.hdslb.com/bfs/station_src/music_metadata/98016e7e0e7279d085b712cfa9c4c926.jpg</v>
      </c>
      <c r="P34" s="4" t="str">
        <f ca="1">_xlfn.IFNA(VLOOKUP(INDIRECT("G"&amp;ROW()),minfo!$A:$M,COLUMN()-8,0),"")</f>
        <v>http://i0.hdslb.com/bfs/station_src/music_metadata/18179ef10869c9a411d84ec55a5dece1</v>
      </c>
      <c r="Q34" s="4">
        <f ca="1">_xlfn.IFNA(VLOOKUP(INDIRECT("G"&amp;ROW()),minfo!$A:$M,COLUMN()-8,0),"")</f>
        <v>396</v>
      </c>
      <c r="R34" s="4">
        <f ca="1">_xlfn.IFNA(VLOOKUP(INDIRECT("G"&amp;ROW()),minfo!$A:$M,COLUMN()-8,0),"")</f>
        <v>0</v>
      </c>
      <c r="S34" s="4" t="str">
        <f ca="1">_xlfn.IFNA(VLOOKUP(INDIRECT("G"&amp;ROW()),minfo!$A:$M,COLUMN()-8,0),"")</f>
        <v>地才 - 唯舞独尊演唱会纪实</v>
      </c>
      <c r="T34" s="4">
        <f ca="1">_xlfn.IFNA(VLOOKUP(INDIRECT("G"&amp;ROW()),minfo!$A:$M,COLUMN()-8,0),"")</f>
        <v>134528215</v>
      </c>
      <c r="U34" s="4">
        <f ca="1">_xlfn.IFNA(VLOOKUP(INDIRECT("G"&amp;ROW()),minfo!$A:$M,COLUMN()-8,0),"")</f>
        <v>0</v>
      </c>
    </row>
    <row r="35" spans="1:21" ht="15.75" customHeight="1">
      <c r="A35" s="15">
        <v>34</v>
      </c>
      <c r="B35" s="4" t="s">
        <v>3571</v>
      </c>
      <c r="C35" s="4">
        <v>35</v>
      </c>
      <c r="D35" s="4">
        <v>34</v>
      </c>
      <c r="E35" s="4" t="s">
        <v>3572</v>
      </c>
      <c r="F35" s="16">
        <v>44957</v>
      </c>
      <c r="G35" s="5" t="s">
        <v>269</v>
      </c>
      <c r="H35" s="5" t="s">
        <v>3537</v>
      </c>
      <c r="I35" s="24" t="str">
        <f>HYPERLINK("https://www.bilibili.com/video/BV1ne4y1A7oM?p=34", "BV1ne4y1A7oM?p=34")</f>
        <v>BV1ne4y1A7oM?p=34</v>
      </c>
      <c r="J35" s="4" t="str">
        <f ca="1">_xlfn.IFNA(VLOOKUP(INDIRECT("G"&amp;ROW()),minfo!$A:$M,COLUMN()-8,0),"")</f>
        <v>心型圈</v>
      </c>
      <c r="K35" s="4" t="str">
        <f ca="1">_xlfn.IFNA(VLOOKUP(INDIRECT("G"&amp;ROW()),minfo!$A:$M,COLUMN()-8,0),"")</f>
        <v>蔡依林</v>
      </c>
      <c r="L35" s="4">
        <f ca="1">_xlfn.IFNA(VLOOKUP(INDIRECT("G"&amp;ROW()),minfo!$A:$M,COLUMN()-8,0),"")</f>
        <v>0</v>
      </c>
      <c r="M35" s="4">
        <f ca="1">_xlfn.IFNA(VLOOKUP(INDIRECT("G"&amp;ROW()),minfo!$A:$M,COLUMN()-8,0),"")</f>
        <v>0</v>
      </c>
      <c r="N35" s="4">
        <f ca="1">_xlfn.IFNA(VLOOKUP(INDIRECT("G"&amp;ROW()),minfo!$A:$M,COLUMN()-8,0),"")</f>
        <v>0</v>
      </c>
      <c r="O35" s="4" t="str">
        <f ca="1">_xlfn.IFNA(VLOOKUP(INDIRECT("G"&amp;ROW()),minfo!$A:$M,COLUMN()-8,0),"")</f>
        <v>https://i0.hdslb.com/bfs/station_src/music_metadata/4589cfbffafe67ee77297d2c1a8382a2.jpg</v>
      </c>
      <c r="P35" s="4" t="str">
        <f ca="1">_xlfn.IFNA(VLOOKUP(INDIRECT("G"&amp;ROW()),minfo!$A:$M,COLUMN()-8,0),"")</f>
        <v>http://i0.hdslb.com/bfs/station_src/music_metadata/8cc5879e0613b2fe4181e186bbdcc8c9</v>
      </c>
      <c r="Q35" s="4">
        <f ca="1">_xlfn.IFNA(VLOOKUP(INDIRECT("G"&amp;ROW()),minfo!$A:$M,COLUMN()-8,0),"")</f>
        <v>13</v>
      </c>
      <c r="R35" s="4">
        <f ca="1">_xlfn.IFNA(VLOOKUP(INDIRECT("G"&amp;ROW()),minfo!$A:$M,COLUMN()-8,0),"")</f>
        <v>0</v>
      </c>
      <c r="S35" s="4" t="str">
        <f ca="1">_xlfn.IFNA(VLOOKUP(INDIRECT("G"&amp;ROW()),minfo!$A:$M,COLUMN()-8,0),"")</f>
        <v>舞娘</v>
      </c>
      <c r="T35" s="4">
        <f ca="1">_xlfn.IFNA(VLOOKUP(INDIRECT("G"&amp;ROW()),minfo!$A:$M,COLUMN()-8,0),"")</f>
        <v>6717554</v>
      </c>
      <c r="U35" s="4">
        <f ca="1">_xlfn.IFNA(VLOOKUP(INDIRECT("G"&amp;ROW()),minfo!$A:$M,COLUMN()-8,0),"")</f>
        <v>0</v>
      </c>
    </row>
    <row r="36" spans="1:21" ht="15.75" customHeight="1">
      <c r="A36" s="15">
        <v>35</v>
      </c>
      <c r="B36" s="4" t="s">
        <v>3573</v>
      </c>
      <c r="C36" s="4">
        <v>36</v>
      </c>
      <c r="D36" s="4">
        <v>35</v>
      </c>
      <c r="E36" s="4" t="s">
        <v>75</v>
      </c>
      <c r="F36" s="16">
        <v>44957</v>
      </c>
      <c r="G36" s="5" t="s">
        <v>1056</v>
      </c>
      <c r="H36" s="5" t="s">
        <v>3537</v>
      </c>
      <c r="I36" s="24" t="str">
        <f>HYPERLINK("https://www.bilibili.com/video/BV1ne4y1A7oM?p=35", "BV1ne4y1A7oM?p=35")</f>
        <v>BV1ne4y1A7oM?p=35</v>
      </c>
      <c r="J36" s="4" t="str">
        <f ca="1">_xlfn.IFNA(VLOOKUP(INDIRECT("G"&amp;ROW()),minfo!$A:$M,COLUMN()-8,0),"")</f>
        <v>布虎记</v>
      </c>
      <c r="K36" s="4" t="str">
        <f ca="1">_xlfn.IFNA(VLOOKUP(INDIRECT("G"&amp;ROW()),minfo!$A:$M,COLUMN()-8,0),"")</f>
        <v>洛天依,西门振</v>
      </c>
      <c r="L36" s="4">
        <f ca="1">_xlfn.IFNA(VLOOKUP(INDIRECT("G"&amp;ROW()),minfo!$A:$M,COLUMN()-8,0),"")</f>
        <v>0</v>
      </c>
      <c r="M36" s="4">
        <f ca="1">_xlfn.IFNA(VLOOKUP(INDIRECT("G"&amp;ROW()),minfo!$A:$M,COLUMN()-8,0),"")</f>
        <v>0</v>
      </c>
      <c r="N36" s="4">
        <f ca="1">_xlfn.IFNA(VLOOKUP(INDIRECT("G"&amp;ROW()),minfo!$A:$M,COLUMN()-8,0),"")</f>
        <v>0</v>
      </c>
      <c r="O36" s="4" t="str">
        <f ca="1">_xlfn.IFNA(VLOOKUP(INDIRECT("G"&amp;ROW()),minfo!$A:$M,COLUMN()-8,0),"")</f>
        <v>https://i0.hdslb.com/bfs/station_src/music_metadata/346f3d0245c598c7be9afcb1e6a727b4.jpg</v>
      </c>
      <c r="P36" s="4">
        <f ca="1">_xlfn.IFNA(VLOOKUP(INDIRECT("G"&amp;ROW()),minfo!$A:$M,COLUMN()-8,0),"")</f>
        <v>0</v>
      </c>
      <c r="Q36" s="4">
        <f ca="1">_xlfn.IFNA(VLOOKUP(INDIRECT("G"&amp;ROW()),minfo!$A:$M,COLUMN()-8,0),"")</f>
        <v>0</v>
      </c>
      <c r="R36" s="4">
        <f ca="1">_xlfn.IFNA(VLOOKUP(INDIRECT("G"&amp;ROW()),minfo!$A:$M,COLUMN()-8,0),"")</f>
        <v>0</v>
      </c>
      <c r="S36" s="4" t="str">
        <f ca="1">_xlfn.IFNA(VLOOKUP(INDIRECT("G"&amp;ROW()),minfo!$A:$M,COLUMN()-8,0),"")</f>
        <v>【2022虚拟歌手贺岁纪】布虎记</v>
      </c>
      <c r="T36" s="4">
        <f ca="1">_xlfn.IFNA(VLOOKUP(INDIRECT("G"&amp;ROW()),minfo!$A:$M,COLUMN()-8,0),"")</f>
        <v>1512793</v>
      </c>
      <c r="U36" s="4">
        <f ca="1">_xlfn.IFNA(VLOOKUP(INDIRECT("G"&amp;ROW()),minfo!$A:$M,COLUMN()-8,0),"")</f>
        <v>0</v>
      </c>
    </row>
    <row r="37" spans="1:21" ht="15.75" customHeight="1">
      <c r="A37" s="15">
        <v>36</v>
      </c>
      <c r="B37" s="4" t="s">
        <v>3574</v>
      </c>
      <c r="C37" s="4">
        <v>37</v>
      </c>
      <c r="D37" s="4">
        <v>36</v>
      </c>
      <c r="E37" s="4" t="s">
        <v>120</v>
      </c>
      <c r="F37" s="16">
        <v>44959</v>
      </c>
      <c r="G37" s="5" t="s">
        <v>120</v>
      </c>
      <c r="H37" s="5" t="s">
        <v>3537</v>
      </c>
      <c r="I37" s="24" t="str">
        <f>HYPERLINK("https://www.bilibili.com/video/BV1ne4y1A7oM?p=36", "BV1ne4y1A7oM?p=36")</f>
        <v>BV1ne4y1A7oM?p=36</v>
      </c>
      <c r="J37" s="4" t="str">
        <f ca="1">_xlfn.IFNA(VLOOKUP(INDIRECT("G"&amp;ROW()),minfo!$A:$M,COLUMN()-8,0),"")</f>
        <v>烟火人间月</v>
      </c>
      <c r="K37" s="4" t="str">
        <f ca="1">_xlfn.IFNA(VLOOKUP(INDIRECT("G"&amp;ROW()),minfo!$A:$M,COLUMN()-8,0),"")</f>
        <v>三无Marblue</v>
      </c>
      <c r="L37" s="4" t="str">
        <f ca="1">_xlfn.IFNA(VLOOKUP(INDIRECT("G"&amp;ROW()),minfo!$A:$M,COLUMN()-8,0),"")</f>
        <v>BV1X84y1b7Dn</v>
      </c>
      <c r="M37" s="4">
        <f ca="1">_xlfn.IFNA(VLOOKUP(INDIRECT("G"&amp;ROW()),minfo!$A:$M,COLUMN()-8,0),"")</f>
        <v>0</v>
      </c>
      <c r="N37" s="4">
        <f ca="1">_xlfn.IFNA(VLOOKUP(INDIRECT("G"&amp;ROW()),minfo!$A:$M,COLUMN()-8,0),"")</f>
        <v>0</v>
      </c>
      <c r="O37" s="4">
        <f ca="1">_xlfn.IFNA(VLOOKUP(INDIRECT("G"&amp;ROW()),minfo!$A:$M,COLUMN()-8,0),"")</f>
        <v>0</v>
      </c>
      <c r="P37" s="4">
        <f ca="1">_xlfn.IFNA(VLOOKUP(INDIRECT("G"&amp;ROW()),minfo!$A:$M,COLUMN()-8,0),"")</f>
        <v>0</v>
      </c>
      <c r="Q37" s="4">
        <f ca="1">_xlfn.IFNA(VLOOKUP(INDIRECT("G"&amp;ROW()),minfo!$A:$M,COLUMN()-8,0),"")</f>
        <v>0</v>
      </c>
      <c r="R37" s="4">
        <f ca="1">_xlfn.IFNA(VLOOKUP(INDIRECT("G"&amp;ROW()),minfo!$A:$M,COLUMN()-8,0),"")</f>
        <v>0</v>
      </c>
      <c r="S37" s="4">
        <f ca="1">_xlfn.IFNA(VLOOKUP(INDIRECT("G"&amp;ROW()),minfo!$A:$M,COLUMN()-8,0),"")</f>
        <v>0</v>
      </c>
      <c r="T37" s="4">
        <f ca="1">_xlfn.IFNA(VLOOKUP(INDIRECT("G"&amp;ROW()),minfo!$A:$M,COLUMN()-8,0),"")</f>
        <v>0</v>
      </c>
      <c r="U37" s="4">
        <f ca="1">_xlfn.IFNA(VLOOKUP(INDIRECT("G"&amp;ROW()),minfo!$A:$M,COLUMN()-8,0),"")</f>
        <v>0</v>
      </c>
    </row>
    <row r="38" spans="1:21" ht="15.75" customHeight="1">
      <c r="A38" s="15">
        <v>37</v>
      </c>
      <c r="B38" s="4" t="s">
        <v>3575</v>
      </c>
      <c r="C38" s="4">
        <v>38</v>
      </c>
      <c r="D38" s="4">
        <v>37</v>
      </c>
      <c r="E38" s="4" t="s">
        <v>93</v>
      </c>
      <c r="F38" s="16">
        <v>44959</v>
      </c>
      <c r="G38" s="5" t="s">
        <v>273</v>
      </c>
      <c r="H38" s="5" t="s">
        <v>3537</v>
      </c>
      <c r="I38" s="24" t="str">
        <f>HYPERLINK("https://www.bilibili.com/video/BV1ne4y1A7oM?p=37", "BV1ne4y1A7oM?p=37")</f>
        <v>BV1ne4y1A7oM?p=37</v>
      </c>
      <c r="J38" s="4" t="str">
        <f ca="1">_xlfn.IFNA(VLOOKUP(INDIRECT("G"&amp;ROW()),minfo!$A:$M,COLUMN()-8,0),"")</f>
        <v>罗敷</v>
      </c>
      <c r="K38" s="4" t="str">
        <f ca="1">_xlfn.IFNA(VLOOKUP(INDIRECT("G"&amp;ROW()),minfo!$A:$M,COLUMN()-8,0),"")</f>
        <v>说说Crystal</v>
      </c>
      <c r="L38" s="4">
        <f ca="1">_xlfn.IFNA(VLOOKUP(INDIRECT("G"&amp;ROW()),minfo!$A:$M,COLUMN()-8,0),"")</f>
        <v>0</v>
      </c>
      <c r="M38" s="4">
        <f ca="1">_xlfn.IFNA(VLOOKUP(INDIRECT("G"&amp;ROW()),minfo!$A:$M,COLUMN()-8,0),"")</f>
        <v>0</v>
      </c>
      <c r="N38" s="4">
        <f ca="1">_xlfn.IFNA(VLOOKUP(INDIRECT("G"&amp;ROW()),minfo!$A:$M,COLUMN()-8,0),"")</f>
        <v>0</v>
      </c>
      <c r="O38" s="4" t="str">
        <f ca="1">_xlfn.IFNA(VLOOKUP(INDIRECT("G"&amp;ROW()),minfo!$A:$M,COLUMN()-8,0),"")</f>
        <v>https://i0.hdslb.com/bfs/station_src/music_metadata/1b7b9e3e2c4c793577a84986cdadb2cc.jpg</v>
      </c>
      <c r="P38" s="4">
        <f ca="1">_xlfn.IFNA(VLOOKUP(INDIRECT("G"&amp;ROW()),minfo!$A:$M,COLUMN()-8,0),"")</f>
        <v>0</v>
      </c>
      <c r="Q38" s="4">
        <f ca="1">_xlfn.IFNA(VLOOKUP(INDIRECT("G"&amp;ROW()),minfo!$A:$M,COLUMN()-8,0),"")</f>
        <v>0</v>
      </c>
      <c r="R38" s="4">
        <f ca="1">_xlfn.IFNA(VLOOKUP(INDIRECT("G"&amp;ROW()),minfo!$A:$M,COLUMN()-8,0),"")</f>
        <v>0</v>
      </c>
      <c r="S38" s="4" t="str">
        <f ca="1">_xlfn.IFNA(VLOOKUP(INDIRECT("G"&amp;ROW()),minfo!$A:$M,COLUMN()-8,0),"")</f>
        <v>【说说·原创】这一曲只倾心于你 |《罗敷》</v>
      </c>
      <c r="T38" s="4">
        <f ca="1">_xlfn.IFNA(VLOOKUP(INDIRECT("G"&amp;ROW()),minfo!$A:$M,COLUMN()-8,0),"")</f>
        <v>323164</v>
      </c>
      <c r="U38" s="4">
        <f ca="1">_xlfn.IFNA(VLOOKUP(INDIRECT("G"&amp;ROW()),minfo!$A:$M,COLUMN()-8,0),"")</f>
        <v>0</v>
      </c>
    </row>
    <row r="39" spans="1:21" ht="15.75" customHeight="1">
      <c r="A39" s="15">
        <v>38</v>
      </c>
      <c r="B39" s="4" t="s">
        <v>3576</v>
      </c>
      <c r="C39" s="4">
        <v>39</v>
      </c>
      <c r="D39" s="4">
        <v>38</v>
      </c>
      <c r="E39" s="4" t="s">
        <v>3577</v>
      </c>
      <c r="F39" s="16">
        <v>44960</v>
      </c>
      <c r="G39" s="5" t="s">
        <v>276</v>
      </c>
      <c r="H39" s="5" t="s">
        <v>3537</v>
      </c>
      <c r="I39" s="24" t="str">
        <f>HYPERLINK("https://www.bilibili.com/video/BV1ne4y1A7oM?p=38", "BV1ne4y1A7oM?p=38")</f>
        <v>BV1ne4y1A7oM?p=38</v>
      </c>
      <c r="J39" s="4" t="str">
        <f ca="1">_xlfn.IFNA(VLOOKUP(INDIRECT("G"&amp;ROW()),minfo!$A:$M,COLUMN()-8,0),"")</f>
        <v>Slow Down</v>
      </c>
      <c r="K39" s="4" t="str">
        <f ca="1">_xlfn.IFNA(VLOOKUP(INDIRECT("G"&amp;ROW()),minfo!$A:$M,COLUMN()-8,0),"")</f>
        <v>向井太一</v>
      </c>
      <c r="L39" s="4">
        <f ca="1">_xlfn.IFNA(VLOOKUP(INDIRECT("G"&amp;ROW()),minfo!$A:$M,COLUMN()-8,0),"")</f>
        <v>0</v>
      </c>
      <c r="M39" s="4">
        <f ca="1">_xlfn.IFNA(VLOOKUP(INDIRECT("G"&amp;ROW()),minfo!$A:$M,COLUMN()-8,0),"")</f>
        <v>112849</v>
      </c>
      <c r="N39" s="4">
        <f ca="1">_xlfn.IFNA(VLOOKUP(INDIRECT("G"&amp;ROW()),minfo!$A:$M,COLUMN()-8,0),"")</f>
        <v>9885</v>
      </c>
      <c r="O39" s="4" t="str">
        <f ca="1">_xlfn.IFNA(VLOOKUP(INDIRECT("G"&amp;ROW()),minfo!$A:$M,COLUMN()-8,0),"")</f>
        <v>https://i0.hdslb.com/bfs/station_src/music_metadata/5cd4f791f41dffb71c9f185bf05380f0.jpg</v>
      </c>
      <c r="P39" s="4" t="str">
        <f ca="1">_xlfn.IFNA(VLOOKUP(INDIRECT("G"&amp;ROW()),minfo!$A:$M,COLUMN()-8,0),"")</f>
        <v>http://i0.hdslb.com/bfs/station_src/music_metadata/2ee2f5a1afacc5fb26124bf82db2655b</v>
      </c>
      <c r="Q39" s="4">
        <f ca="1">_xlfn.IFNA(VLOOKUP(INDIRECT("G"&amp;ROW()),minfo!$A:$M,COLUMN()-8,0),"")</f>
        <v>5582</v>
      </c>
      <c r="R39" s="4">
        <f ca="1">_xlfn.IFNA(VLOOKUP(INDIRECT("G"&amp;ROW()),minfo!$A:$M,COLUMN()-8,0),"")</f>
        <v>0</v>
      </c>
      <c r="S39" s="4" t="str">
        <f ca="1">_xlfn.IFNA(VLOOKUP(INDIRECT("G"&amp;ROW()),minfo!$A:$M,COLUMN()-8,0),"")</f>
        <v>SLOW DOWN</v>
      </c>
      <c r="T39" s="4">
        <f ca="1">_xlfn.IFNA(VLOOKUP(INDIRECT("G"&amp;ROW()),minfo!$A:$M,COLUMN()-8,0),"")</f>
        <v>101589317</v>
      </c>
      <c r="U39" s="4">
        <f ca="1">_xlfn.IFNA(VLOOKUP(INDIRECT("G"&amp;ROW()),minfo!$A:$M,COLUMN()-8,0),"")</f>
        <v>0</v>
      </c>
    </row>
    <row r="40" spans="1:21" ht="15.75" customHeight="1">
      <c r="A40" s="15">
        <v>39</v>
      </c>
      <c r="B40" s="4" t="s">
        <v>3578</v>
      </c>
      <c r="C40" s="4">
        <v>40</v>
      </c>
      <c r="D40" s="4">
        <v>39</v>
      </c>
      <c r="E40" s="4" t="s">
        <v>3579</v>
      </c>
      <c r="F40" s="16">
        <v>44960</v>
      </c>
      <c r="G40" s="5" t="s">
        <v>1890</v>
      </c>
      <c r="H40" s="5" t="s">
        <v>3537</v>
      </c>
      <c r="I40" s="24" t="str">
        <f>HYPERLINK("https://www.bilibili.com/video/BV1ne4y1A7oM?p=39", "BV1ne4y1A7oM?p=39")</f>
        <v>BV1ne4y1A7oM?p=39</v>
      </c>
      <c r="J40" s="4" t="str">
        <f ca="1">_xlfn.IFNA(VLOOKUP(INDIRECT("G"&amp;ROW()),minfo!$A:$M,COLUMN()-8,0),"")</f>
        <v>爱してる</v>
      </c>
      <c r="K40" s="4" t="str">
        <f ca="1">_xlfn.IFNA(VLOOKUP(INDIRECT("G"&amp;ROW()),minfo!$A:$M,COLUMN()-8,0),"")</f>
        <v>泥鳅Niko</v>
      </c>
      <c r="L40" s="4">
        <f ca="1">_xlfn.IFNA(VLOOKUP(INDIRECT("G"&amp;ROW()),minfo!$A:$M,COLUMN()-8,0),"")</f>
        <v>0</v>
      </c>
      <c r="M40" s="4">
        <f ca="1">_xlfn.IFNA(VLOOKUP(INDIRECT("G"&amp;ROW()),minfo!$A:$M,COLUMN()-8,0),"")</f>
        <v>0</v>
      </c>
      <c r="N40" s="4">
        <f ca="1">_xlfn.IFNA(VLOOKUP(INDIRECT("G"&amp;ROW()),minfo!$A:$M,COLUMN()-8,0),"")</f>
        <v>0</v>
      </c>
      <c r="O40" s="4" t="str">
        <f ca="1">_xlfn.IFNA(VLOOKUP(INDIRECT("G"&amp;ROW()),minfo!$A:$M,COLUMN()-8,0),"")</f>
        <v>https://i0.hdslb.com/bfs/station_src/music_metadata/dbae17ef9c57a59cec0574ef7463ee79.jpg</v>
      </c>
      <c r="P40" s="4" t="str">
        <f ca="1">_xlfn.IFNA(VLOOKUP(INDIRECT("G"&amp;ROW()),minfo!$A:$M,COLUMN()-8,0),"")</f>
        <v>https://i0.hdslb.com/bfs/station_src/music_metadata/6760d0679c6b0a8ff862b6d8b04d4b99.txt</v>
      </c>
      <c r="Q40" s="4">
        <f ca="1">_xlfn.IFNA(VLOOKUP(INDIRECT("G"&amp;ROW()),minfo!$A:$M,COLUMN()-8,0),"")</f>
        <v>15</v>
      </c>
      <c r="R40" s="4">
        <f ca="1">_xlfn.IFNA(VLOOKUP(INDIRECT("G"&amp;ROW()),minfo!$A:$M,COLUMN()-8,0),"")</f>
        <v>0</v>
      </c>
      <c r="S40" s="4" t="str">
        <f ca="1">_xlfn.IFNA(VLOOKUP(INDIRECT("G"&amp;ROW()),minfo!$A:$M,COLUMN()-8,0),"")</f>
        <v>爱してる（夏目友人帐ED）</v>
      </c>
      <c r="T40" s="4">
        <f ca="1">_xlfn.IFNA(VLOOKUP(INDIRECT("G"&amp;ROW()),minfo!$A:$M,COLUMN()-8,0),"")</f>
        <v>34309022</v>
      </c>
      <c r="U40" s="4">
        <f ca="1">_xlfn.IFNA(VLOOKUP(INDIRECT("G"&amp;ROW()),minfo!$A:$M,COLUMN()-8,0),"")</f>
        <v>0</v>
      </c>
    </row>
    <row r="41" spans="1:21" ht="15.75" customHeight="1">
      <c r="A41" s="15">
        <v>40</v>
      </c>
      <c r="B41" s="4" t="s">
        <v>3580</v>
      </c>
      <c r="C41" s="4">
        <v>41</v>
      </c>
      <c r="D41" s="4">
        <v>40</v>
      </c>
      <c r="E41" s="4" t="s">
        <v>289</v>
      </c>
      <c r="F41" s="16">
        <v>44960</v>
      </c>
      <c r="G41" s="5" t="s">
        <v>288</v>
      </c>
      <c r="H41" s="5" t="s">
        <v>3537</v>
      </c>
      <c r="I41" s="24" t="str">
        <f>HYPERLINK("https://www.bilibili.com/video/BV1ne4y1A7oM?p=40", "BV1ne4y1A7oM?p=40")</f>
        <v>BV1ne4y1A7oM?p=40</v>
      </c>
      <c r="J41" s="4" t="str">
        <f ca="1">_xlfn.IFNA(VLOOKUP(INDIRECT("G"&amp;ROW()),minfo!$A:$M,COLUMN()-8,0),"")</f>
        <v>明明就</v>
      </c>
      <c r="K41" s="4" t="str">
        <f ca="1">_xlfn.IFNA(VLOOKUP(INDIRECT("G"&amp;ROW()),minfo!$A:$M,COLUMN()-8,0),"")</f>
        <v>周杰伦</v>
      </c>
      <c r="L41" s="4">
        <f ca="1">_xlfn.IFNA(VLOOKUP(INDIRECT("G"&amp;ROW()),minfo!$A:$M,COLUMN()-8,0),"")</f>
        <v>0</v>
      </c>
      <c r="M41" s="4">
        <f ca="1">_xlfn.IFNA(VLOOKUP(INDIRECT("G"&amp;ROW()),minfo!$A:$M,COLUMN()-8,0),"")</f>
        <v>0</v>
      </c>
      <c r="N41" s="4">
        <f ca="1">_xlfn.IFNA(VLOOKUP(INDIRECT("G"&amp;ROW()),minfo!$A:$M,COLUMN()-8,0),"")</f>
        <v>0</v>
      </c>
      <c r="O41" s="4" t="str">
        <f ca="1">_xlfn.IFNA(VLOOKUP(INDIRECT("G"&amp;ROW()),minfo!$A:$M,COLUMN()-8,0),"")</f>
        <v>https://i0.hdslb.com/bfs/station_src/music_metadata/b98a05427f027651ca3c0c8cbab055fe.jpg</v>
      </c>
      <c r="P41" s="4" t="str">
        <f ca="1">_xlfn.IFNA(VLOOKUP(INDIRECT("G"&amp;ROW()),minfo!$A:$M,COLUMN()-8,0),"")</f>
        <v>copyright-crawler/music/task-lyric/65093974f03c35ab34fd5795.txt</v>
      </c>
      <c r="Q41" s="4">
        <f ca="1">_xlfn.IFNA(VLOOKUP(INDIRECT("G"&amp;ROW()),minfo!$A:$M,COLUMN()-8,0),"")</f>
        <v>3451</v>
      </c>
      <c r="R41" s="4" t="str">
        <f ca="1">_xlfn.IFNA(VLOOKUP(INDIRECT("G"&amp;ROW()),minfo!$A:$M,COLUMN()-8,0),"")</f>
        <v>明明就</v>
      </c>
      <c r="S41" s="4" t="str">
        <f ca="1">_xlfn.IFNA(VLOOKUP(INDIRECT("G"&amp;ROW()),minfo!$A:$M,COLUMN()-8,0),"")</f>
        <v>十二新作</v>
      </c>
      <c r="T41" s="4">
        <f ca="1">_xlfn.IFNA(VLOOKUP(INDIRECT("G"&amp;ROW()),minfo!$A:$M,COLUMN()-8,0),"")</f>
        <v>424774252</v>
      </c>
      <c r="U41" s="4" t="str">
        <f ca="1">_xlfn.IFNA(VLOOKUP(INDIRECT("G"&amp;ROW()),minfo!$A:$M,COLUMN()-8,0),"")</f>
        <v>音乐榜最高NO.18</v>
      </c>
    </row>
    <row r="42" spans="1:21" ht="15.75" customHeight="1">
      <c r="A42" s="15">
        <v>41</v>
      </c>
      <c r="B42" s="4" t="s">
        <v>3581</v>
      </c>
      <c r="C42" s="4">
        <v>42</v>
      </c>
      <c r="D42" s="4">
        <v>41</v>
      </c>
      <c r="E42" s="4" t="s">
        <v>409</v>
      </c>
      <c r="F42" s="16">
        <v>44960</v>
      </c>
      <c r="G42" s="5" t="s">
        <v>408</v>
      </c>
      <c r="H42" s="5" t="s">
        <v>3537</v>
      </c>
      <c r="I42" s="24" t="str">
        <f>HYPERLINK("https://www.bilibili.com/video/BV1ne4y1A7oM?p=41", "BV1ne4y1A7oM?p=41")</f>
        <v>BV1ne4y1A7oM?p=41</v>
      </c>
      <c r="J42" s="4" t="str">
        <f ca="1">_xlfn.IFNA(VLOOKUP(INDIRECT("G"&amp;ROW()),minfo!$A:$M,COLUMN()-8,0),"")</f>
        <v>呼吸决定</v>
      </c>
      <c r="K42" s="4" t="str">
        <f ca="1">_xlfn.IFNA(VLOOKUP(INDIRECT("G"&amp;ROW()),minfo!$A:$M,COLUMN()-8,0),"")</f>
        <v>Fine乐团</v>
      </c>
      <c r="L42" s="4">
        <f ca="1">_xlfn.IFNA(VLOOKUP(INDIRECT("G"&amp;ROW()),minfo!$A:$M,COLUMN()-8,0),"")</f>
        <v>0</v>
      </c>
      <c r="M42" s="4">
        <f ca="1">_xlfn.IFNA(VLOOKUP(INDIRECT("G"&amp;ROW()),minfo!$A:$M,COLUMN()-8,0),"")</f>
        <v>0</v>
      </c>
      <c r="N42" s="4">
        <f ca="1">_xlfn.IFNA(VLOOKUP(INDIRECT("G"&amp;ROW()),minfo!$A:$M,COLUMN()-8,0),"")</f>
        <v>0</v>
      </c>
      <c r="O42" s="4" t="str">
        <f ca="1">_xlfn.IFNA(VLOOKUP(INDIRECT("G"&amp;ROW()),minfo!$A:$M,COLUMN()-8,0),"")</f>
        <v>http://i0.hdslb.com/bfs/station_src/music_metadata/de6c3020bce1962dc02b42568606781f.jpg</v>
      </c>
      <c r="P42" s="4" t="str">
        <f ca="1">_xlfn.IFNA(VLOOKUP(INDIRECT("G"&amp;ROW()),minfo!$A:$M,COLUMN()-8,0),"")</f>
        <v>http://i0.hdslb.com/bfs/station_src/music_metadata/9dfd516512eb23be6e624848db3bed57</v>
      </c>
      <c r="Q42" s="4">
        <f ca="1">_xlfn.IFNA(VLOOKUP(INDIRECT("G"&amp;ROW()),minfo!$A:$M,COLUMN()-8,0),"")</f>
        <v>838</v>
      </c>
      <c r="R42" s="4">
        <f ca="1">_xlfn.IFNA(VLOOKUP(INDIRECT("G"&amp;ROW()),minfo!$A:$M,COLUMN()-8,0),"")</f>
        <v>0</v>
      </c>
      <c r="S42" s="4">
        <f ca="1">_xlfn.IFNA(VLOOKUP(INDIRECT("G"&amp;ROW()),minfo!$A:$M,COLUMN()-8,0),"")</f>
        <v>0</v>
      </c>
      <c r="T42" s="4">
        <f ca="1">_xlfn.IFNA(VLOOKUP(INDIRECT("G"&amp;ROW()),minfo!$A:$M,COLUMN()-8,0),"")</f>
        <v>100019249</v>
      </c>
      <c r="U42" s="4">
        <f ca="1">_xlfn.IFNA(VLOOKUP(INDIRECT("G"&amp;ROW()),minfo!$A:$M,COLUMN()-8,0),"")</f>
        <v>0</v>
      </c>
    </row>
    <row r="43" spans="1:21" ht="15.75" customHeight="1">
      <c r="A43" s="15">
        <v>42</v>
      </c>
      <c r="B43" s="4" t="s">
        <v>3582</v>
      </c>
      <c r="C43" s="4">
        <v>43</v>
      </c>
      <c r="D43" s="4">
        <v>42</v>
      </c>
      <c r="E43" s="4" t="s">
        <v>132</v>
      </c>
      <c r="F43" s="16">
        <v>44960</v>
      </c>
      <c r="G43" s="5" t="s">
        <v>132</v>
      </c>
      <c r="H43" s="5" t="s">
        <v>3537</v>
      </c>
      <c r="I43" s="24" t="str">
        <f>HYPERLINK("https://www.bilibili.com/video/BV1ne4y1A7oM?p=42", "BV1ne4y1A7oM?p=42")</f>
        <v>BV1ne4y1A7oM?p=42</v>
      </c>
      <c r="J43" s="4" t="str">
        <f ca="1">_xlfn.IFNA(VLOOKUP(INDIRECT("G"&amp;ROW()),minfo!$A:$M,COLUMN()-8,0),"")</f>
        <v>向光</v>
      </c>
      <c r="K43" s="4" t="str">
        <f ca="1">_xlfn.IFNA(VLOOKUP(INDIRECT("G"&amp;ROW()),minfo!$A:$M,COLUMN()-8,0),"")</f>
        <v>平安小财娘</v>
      </c>
      <c r="L43" s="4">
        <f ca="1">_xlfn.IFNA(VLOOKUP(INDIRECT("G"&amp;ROW()),minfo!$A:$M,COLUMN()-8,0),"")</f>
        <v>0</v>
      </c>
      <c r="M43" s="4">
        <f ca="1">_xlfn.IFNA(VLOOKUP(INDIRECT("G"&amp;ROW()),minfo!$A:$M,COLUMN()-8,0),"")</f>
        <v>0</v>
      </c>
      <c r="N43" s="4">
        <f ca="1">_xlfn.IFNA(VLOOKUP(INDIRECT("G"&amp;ROW()),minfo!$A:$M,COLUMN()-8,0),"")</f>
        <v>0</v>
      </c>
      <c r="O43" s="4">
        <f ca="1">_xlfn.IFNA(VLOOKUP(INDIRECT("G"&amp;ROW()),minfo!$A:$M,COLUMN()-8,0),"")</f>
        <v>0</v>
      </c>
      <c r="P43" s="4">
        <f ca="1">_xlfn.IFNA(VLOOKUP(INDIRECT("G"&amp;ROW()),minfo!$A:$M,COLUMN()-8,0),"")</f>
        <v>0</v>
      </c>
      <c r="Q43" s="4">
        <f ca="1">_xlfn.IFNA(VLOOKUP(INDIRECT("G"&amp;ROW()),minfo!$A:$M,COLUMN()-8,0),"")</f>
        <v>0</v>
      </c>
      <c r="R43" s="4">
        <f ca="1">_xlfn.IFNA(VLOOKUP(INDIRECT("G"&amp;ROW()),minfo!$A:$M,COLUMN()-8,0),"")</f>
        <v>0</v>
      </c>
      <c r="S43" s="4">
        <f ca="1">_xlfn.IFNA(VLOOKUP(INDIRECT("G"&amp;ROW()),minfo!$A:$M,COLUMN()-8,0),"")</f>
        <v>0</v>
      </c>
      <c r="T43" s="4">
        <f ca="1">_xlfn.IFNA(VLOOKUP(INDIRECT("G"&amp;ROW()),minfo!$A:$M,COLUMN()-8,0),"")</f>
        <v>0</v>
      </c>
      <c r="U43" s="4">
        <f ca="1">_xlfn.IFNA(VLOOKUP(INDIRECT("G"&amp;ROW()),minfo!$A:$M,COLUMN()-8,0),"")</f>
        <v>0</v>
      </c>
    </row>
    <row r="44" spans="1:21" ht="15.75" customHeight="1">
      <c r="A44" s="15">
        <v>43</v>
      </c>
      <c r="B44" s="4" t="s">
        <v>3583</v>
      </c>
      <c r="C44" s="4">
        <v>44</v>
      </c>
      <c r="D44" s="4">
        <v>43</v>
      </c>
      <c r="E44" s="4" t="s">
        <v>295</v>
      </c>
      <c r="F44" s="16">
        <v>44960</v>
      </c>
      <c r="G44" s="5" t="s">
        <v>294</v>
      </c>
      <c r="H44" s="5" t="s">
        <v>3537</v>
      </c>
      <c r="I44" s="24" t="str">
        <f>HYPERLINK("https://www.bilibili.com/video/BV1ne4y1A7oM?p=43", "BV1ne4y1A7oM?p=43")</f>
        <v>BV1ne4y1A7oM?p=43</v>
      </c>
      <c r="J44" s="4" t="str">
        <f ca="1">_xlfn.IFNA(VLOOKUP(INDIRECT("G"&amp;ROW()),minfo!$A:$M,COLUMN()-8,0),"")</f>
        <v>不能说的秘密</v>
      </c>
      <c r="K44" s="4" t="str">
        <f ca="1">_xlfn.IFNA(VLOOKUP(INDIRECT("G"&amp;ROW()),minfo!$A:$M,COLUMN()-8,0),"")</f>
        <v>周杰伦</v>
      </c>
      <c r="L44" s="4">
        <f ca="1">_xlfn.IFNA(VLOOKUP(INDIRECT("G"&amp;ROW()),minfo!$A:$M,COLUMN()-8,0),"")</f>
        <v>0</v>
      </c>
      <c r="M44" s="4">
        <f ca="1">_xlfn.IFNA(VLOOKUP(INDIRECT("G"&amp;ROW()),minfo!$A:$M,COLUMN()-8,0),"")</f>
        <v>10838</v>
      </c>
      <c r="N44" s="4">
        <f ca="1">_xlfn.IFNA(VLOOKUP(INDIRECT("G"&amp;ROW()),minfo!$A:$M,COLUMN()-8,0),"")</f>
        <v>384</v>
      </c>
      <c r="O44" s="4" t="str">
        <f ca="1">_xlfn.IFNA(VLOOKUP(INDIRECT("G"&amp;ROW()),minfo!$A:$M,COLUMN()-8,0),"")</f>
        <v>https://i0.hdslb.com/bfs/station_src/music_metadata/c30e3ade8fa2d678a4fc3f717036ab49.jpg</v>
      </c>
      <c r="P44" s="4" t="str">
        <f ca="1">_xlfn.IFNA(VLOOKUP(INDIRECT("G"&amp;ROW()),minfo!$A:$M,COLUMN()-8,0),"")</f>
        <v>http://i0.hdslb.com/bfs/station_src/music_metadata/b68ac496d2ba38e3bf8908441abecf91</v>
      </c>
      <c r="Q44" s="4">
        <f ca="1">_xlfn.IFNA(VLOOKUP(INDIRECT("G"&amp;ROW()),minfo!$A:$M,COLUMN()-8,0),"")</f>
        <v>2938</v>
      </c>
      <c r="R44" s="4" t="str">
        <f ca="1">_xlfn.IFNA(VLOOKUP(INDIRECT("G"&amp;ROW()),minfo!$A:$M,COLUMN()-8,0),"")</f>
        <v>《不能说的秘密》电影主题曲</v>
      </c>
      <c r="S44" s="4" t="str">
        <f ca="1">_xlfn.IFNA(VLOOKUP(INDIRECT("G"&amp;ROW()),minfo!$A:$M,COLUMN()-8,0),"")</f>
        <v>不能说的秘密 电影原声带</v>
      </c>
      <c r="T44" s="4">
        <f ca="1">_xlfn.IFNA(VLOOKUP(INDIRECT("G"&amp;ROW()),minfo!$A:$M,COLUMN()-8,0),"")</f>
        <v>525140241</v>
      </c>
      <c r="U44" s="4">
        <f ca="1">_xlfn.IFNA(VLOOKUP(INDIRECT("G"&amp;ROW()),minfo!$A:$M,COLUMN()-8,0),"")</f>
        <v>0</v>
      </c>
    </row>
    <row r="45" spans="1:21" ht="15.75" customHeight="1">
      <c r="A45" s="15">
        <v>44</v>
      </c>
      <c r="B45" s="4" t="s">
        <v>3584</v>
      </c>
      <c r="C45" s="4">
        <v>45</v>
      </c>
      <c r="D45" s="4">
        <v>44</v>
      </c>
      <c r="E45" s="4" t="s">
        <v>301</v>
      </c>
      <c r="F45" s="16">
        <v>44961</v>
      </c>
      <c r="G45" s="5" t="s">
        <v>300</v>
      </c>
      <c r="H45" s="5" t="s">
        <v>3537</v>
      </c>
      <c r="I45" s="24" t="str">
        <f>HYPERLINK("https://www.bilibili.com/video/BV1ne4y1A7oM?p=44", "BV1ne4y1A7oM?p=44")</f>
        <v>BV1ne4y1A7oM?p=44</v>
      </c>
      <c r="J45" s="4" t="str">
        <f ca="1">_xlfn.IFNA(VLOOKUP(INDIRECT("G"&amp;ROW()),minfo!$A:$M,COLUMN()-8,0),"")</f>
        <v>桃花笑</v>
      </c>
      <c r="K45" s="4" t="str">
        <f ca="1">_xlfn.IFNA(VLOOKUP(INDIRECT("G"&amp;ROW()),minfo!$A:$M,COLUMN()-8,0),"")</f>
        <v>乐正绫,洛天依,言和</v>
      </c>
      <c r="L45" s="4">
        <f ca="1">_xlfn.IFNA(VLOOKUP(INDIRECT("G"&amp;ROW()),minfo!$A:$M,COLUMN()-8,0),"")</f>
        <v>0</v>
      </c>
      <c r="M45" s="4">
        <f ca="1">_xlfn.IFNA(VLOOKUP(INDIRECT("G"&amp;ROW()),minfo!$A:$M,COLUMN()-8,0),"")</f>
        <v>0</v>
      </c>
      <c r="N45" s="4">
        <f ca="1">_xlfn.IFNA(VLOOKUP(INDIRECT("G"&amp;ROW()),minfo!$A:$M,COLUMN()-8,0),"")</f>
        <v>0</v>
      </c>
      <c r="O45" s="4" t="str">
        <f ca="1">_xlfn.IFNA(VLOOKUP(INDIRECT("G"&amp;ROW()),minfo!$A:$M,COLUMN()-8,0),"")</f>
        <v>https://i0.hdslb.com/bfs/station_src/music_metadata/111f3216921740e3e7a034e11a371531.jpg</v>
      </c>
      <c r="P45" s="4" t="str">
        <f ca="1">_xlfn.IFNA(VLOOKUP(INDIRECT("G"&amp;ROW()),minfo!$A:$M,COLUMN()-8,0),"")</f>
        <v>https://i0.hdslb.com/bfs/station_src/music_metadata/cd7881a3dd16a655167d4bc7b03aa735.txt</v>
      </c>
      <c r="Q45" s="4">
        <f ca="1">_xlfn.IFNA(VLOOKUP(INDIRECT("G"&amp;ROW()),minfo!$A:$M,COLUMN()-8,0),"")</f>
        <v>3601</v>
      </c>
      <c r="R45" s="4">
        <f ca="1">_xlfn.IFNA(VLOOKUP(INDIRECT("G"&amp;ROW()),minfo!$A:$M,COLUMN()-8,0),"")</f>
        <v>0</v>
      </c>
      <c r="S45" s="4" t="str">
        <f ca="1">_xlfn.IFNA(VLOOKUP(INDIRECT("G"&amp;ROW()),minfo!$A:$M,COLUMN()-8,0),"")</f>
        <v>桃花笑</v>
      </c>
      <c r="T45" s="4">
        <f ca="1">_xlfn.IFNA(VLOOKUP(INDIRECT("G"&amp;ROW()),minfo!$A:$M,COLUMN()-8,0),"")</f>
        <v>1067845676</v>
      </c>
      <c r="U45" s="4">
        <f ca="1">_xlfn.IFNA(VLOOKUP(INDIRECT("G"&amp;ROW()),minfo!$A:$M,COLUMN()-8,0),"")</f>
        <v>0</v>
      </c>
    </row>
    <row r="46" spans="1:21" ht="15.75" customHeight="1">
      <c r="A46" s="15">
        <v>45</v>
      </c>
      <c r="B46" s="4" t="s">
        <v>3585</v>
      </c>
      <c r="C46" s="4">
        <v>46</v>
      </c>
      <c r="D46" s="4">
        <v>45</v>
      </c>
      <c r="E46" s="4" t="s">
        <v>306</v>
      </c>
      <c r="F46" s="16">
        <v>44961</v>
      </c>
      <c r="G46" s="5" t="s">
        <v>305</v>
      </c>
      <c r="H46" s="5" t="s">
        <v>3537</v>
      </c>
      <c r="I46" s="24" t="str">
        <f>HYPERLINK("https://www.bilibili.com/video/BV1ne4y1A7oM?p=45", "BV1ne4y1A7oM?p=45")</f>
        <v>BV1ne4y1A7oM?p=45</v>
      </c>
      <c r="J46" s="4" t="str">
        <f ca="1">_xlfn.IFNA(VLOOKUP(INDIRECT("G"&amp;ROW()),minfo!$A:$M,COLUMN()-8,0),"")</f>
        <v>春风十里</v>
      </c>
      <c r="K46" s="4" t="str">
        <f ca="1">_xlfn.IFNA(VLOOKUP(INDIRECT("G"&amp;ROW()),minfo!$A:$M,COLUMN()-8,0),"")</f>
        <v>鹿先森乐队</v>
      </c>
      <c r="L46" s="4">
        <f ca="1">_xlfn.IFNA(VLOOKUP(INDIRECT("G"&amp;ROW()),minfo!$A:$M,COLUMN()-8,0),"")</f>
        <v>0</v>
      </c>
      <c r="M46" s="4">
        <f ca="1">_xlfn.IFNA(VLOOKUP(INDIRECT("G"&amp;ROW()),minfo!$A:$M,COLUMN()-8,0),"")</f>
        <v>0</v>
      </c>
      <c r="N46" s="4">
        <f ca="1">_xlfn.IFNA(VLOOKUP(INDIRECT("G"&amp;ROW()),minfo!$A:$M,COLUMN()-8,0),"")</f>
        <v>0</v>
      </c>
      <c r="O46" s="4" t="str">
        <f ca="1">_xlfn.IFNA(VLOOKUP(INDIRECT("G"&amp;ROW()),minfo!$A:$M,COLUMN()-8,0),"")</f>
        <v>https://i0.hdslb.com/bfs/station_src/music_metadata/cf9a6ab9db5cc9c59383c76556e49755.jpg</v>
      </c>
      <c r="P46" s="4" t="str">
        <f ca="1">_xlfn.IFNA(VLOOKUP(INDIRECT("G"&amp;ROW()),minfo!$A:$M,COLUMN()-8,0),"")</f>
        <v>http://i0.hdslb.com/bfs/station_src/music_metadata/6ccd10c1d26415a12c3b6c0addb7051d</v>
      </c>
      <c r="Q46" s="4">
        <f ca="1">_xlfn.IFNA(VLOOKUP(INDIRECT("G"&amp;ROW()),minfo!$A:$M,COLUMN()-8,0),"")</f>
        <v>225</v>
      </c>
      <c r="R46" s="4" t="str">
        <f ca="1">_xlfn.IFNA(VLOOKUP(INDIRECT("G"&amp;ROW()),minfo!$A:$M,COLUMN()-8,0),"")</f>
        <v>《春风十里不如你》电视剧插曲</v>
      </c>
      <c r="S46" s="4" t="str">
        <f ca="1">_xlfn.IFNA(VLOOKUP(INDIRECT("G"&amp;ROW()),minfo!$A:$M,COLUMN()-8,0),"")</f>
        <v>所有的酒，都不如你</v>
      </c>
      <c r="T46" s="4">
        <f ca="1">_xlfn.IFNA(VLOOKUP(INDIRECT("G"&amp;ROW()),minfo!$A:$M,COLUMN()-8,0),"")</f>
        <v>116322553</v>
      </c>
      <c r="U46" s="4">
        <f ca="1">_xlfn.IFNA(VLOOKUP(INDIRECT("G"&amp;ROW()),minfo!$A:$M,COLUMN()-8,0),"")</f>
        <v>0</v>
      </c>
    </row>
    <row r="47" spans="1:21" ht="15.75" customHeight="1">
      <c r="A47" s="15">
        <v>46</v>
      </c>
      <c r="B47" s="4" t="s">
        <v>3586</v>
      </c>
      <c r="C47" s="4">
        <v>47</v>
      </c>
      <c r="D47" s="4">
        <v>46</v>
      </c>
      <c r="E47" s="4" t="s">
        <v>313</v>
      </c>
      <c r="F47" s="16">
        <v>44961</v>
      </c>
      <c r="G47" s="5" t="s">
        <v>312</v>
      </c>
      <c r="H47" s="5" t="s">
        <v>3537</v>
      </c>
      <c r="I47" s="24" t="str">
        <f>HYPERLINK("https://www.bilibili.com/video/BV1ne4y1A7oM?p=46", "BV1ne4y1A7oM?p=46")</f>
        <v>BV1ne4y1A7oM?p=46</v>
      </c>
      <c r="J47" s="4" t="str">
        <f ca="1">_xlfn.IFNA(VLOOKUP(INDIRECT("G"&amp;ROW()),minfo!$A:$M,COLUMN()-8,0),"")</f>
        <v>鸿雁</v>
      </c>
      <c r="K47" s="4" t="str">
        <f ca="1">_xlfn.IFNA(VLOOKUP(INDIRECT("G"&amp;ROW()),minfo!$A:$M,COLUMN()-8,0),"")</f>
        <v>呼斯楞,柏菲音乐</v>
      </c>
      <c r="L47" s="4">
        <f ca="1">_xlfn.IFNA(VLOOKUP(INDIRECT("G"&amp;ROW()),minfo!$A:$M,COLUMN()-8,0),"")</f>
        <v>0</v>
      </c>
      <c r="M47" s="4">
        <f ca="1">_xlfn.IFNA(VLOOKUP(INDIRECT("G"&amp;ROW()),minfo!$A:$M,COLUMN()-8,0),"")</f>
        <v>0</v>
      </c>
      <c r="N47" s="4">
        <f ca="1">_xlfn.IFNA(VLOOKUP(INDIRECT("G"&amp;ROW()),minfo!$A:$M,COLUMN()-8,0),"")</f>
        <v>0</v>
      </c>
      <c r="O47" s="4" t="str">
        <f ca="1">_xlfn.IFNA(VLOOKUP(INDIRECT("G"&amp;ROW()),minfo!$A:$M,COLUMN()-8,0),"")</f>
        <v>https://i0.hdslb.com/bfs/station_src/music_metadata/757ef72664f713a69ffc3e10d1eaad5d.jpg</v>
      </c>
      <c r="P47" s="4" t="str">
        <f ca="1">_xlfn.IFNA(VLOOKUP(INDIRECT("G"&amp;ROW()),minfo!$A:$M,COLUMN()-8,0),"")</f>
        <v>https://i0.hdslb.com/bfs/station_src/music_metadata/1cc81a2b8e82def7add1a73a9f9486fe.txt</v>
      </c>
      <c r="Q47" s="4">
        <f ca="1">_xlfn.IFNA(VLOOKUP(INDIRECT("G"&amp;ROW()),minfo!$A:$M,COLUMN()-8,0),"")</f>
        <v>1717</v>
      </c>
      <c r="R47" s="4">
        <f ca="1">_xlfn.IFNA(VLOOKUP(INDIRECT("G"&amp;ROW()),minfo!$A:$M,COLUMN()-8,0),"")</f>
        <v>0</v>
      </c>
      <c r="S47" s="4" t="str">
        <f ca="1">_xlfn.IFNA(VLOOKUP(INDIRECT("G"&amp;ROW()),minfo!$A:$M,COLUMN()-8,0),"")</f>
        <v>非同凡响NO·3</v>
      </c>
      <c r="T47" s="4">
        <f ca="1">_xlfn.IFNA(VLOOKUP(INDIRECT("G"&amp;ROW()),minfo!$A:$M,COLUMN()-8,0),"")</f>
        <v>79378829</v>
      </c>
      <c r="U47" s="4">
        <f ca="1">_xlfn.IFNA(VLOOKUP(INDIRECT("G"&amp;ROW()),minfo!$A:$M,COLUMN()-8,0),"")</f>
        <v>0</v>
      </c>
    </row>
    <row r="48" spans="1:21" ht="15.75" customHeight="1">
      <c r="A48" s="15">
        <v>47</v>
      </c>
      <c r="B48" s="4" t="s">
        <v>3587</v>
      </c>
      <c r="C48" s="4">
        <v>48</v>
      </c>
      <c r="D48" s="4">
        <v>47</v>
      </c>
      <c r="E48" s="4" t="s">
        <v>319</v>
      </c>
      <c r="F48" s="16">
        <v>44961</v>
      </c>
      <c r="G48" s="5" t="s">
        <v>318</v>
      </c>
      <c r="H48" s="5" t="s">
        <v>3537</v>
      </c>
      <c r="I48" s="24" t="str">
        <f>HYPERLINK("https://www.bilibili.com/video/BV1ne4y1A7oM?p=47", "BV1ne4y1A7oM?p=47")</f>
        <v>BV1ne4y1A7oM?p=47</v>
      </c>
      <c r="J48" s="4" t="str">
        <f ca="1">_xlfn.IFNA(VLOOKUP(INDIRECT("G"&amp;ROW()),minfo!$A:$M,COLUMN()-8,0),"")</f>
        <v>晴天</v>
      </c>
      <c r="K48" s="4" t="str">
        <f ca="1">_xlfn.IFNA(VLOOKUP(INDIRECT("G"&amp;ROW()),minfo!$A:$M,COLUMN()-8,0),"")</f>
        <v>周杰伦</v>
      </c>
      <c r="L48" s="4">
        <f ca="1">_xlfn.IFNA(VLOOKUP(INDIRECT("G"&amp;ROW()),minfo!$A:$M,COLUMN()-8,0),"")</f>
        <v>0</v>
      </c>
      <c r="M48" s="4">
        <f ca="1">_xlfn.IFNA(VLOOKUP(INDIRECT("G"&amp;ROW()),minfo!$A:$M,COLUMN()-8,0),"")</f>
        <v>5048</v>
      </c>
      <c r="N48" s="4">
        <f ca="1">_xlfn.IFNA(VLOOKUP(INDIRECT("G"&amp;ROW()),minfo!$A:$M,COLUMN()-8,0),"")</f>
        <v>135</v>
      </c>
      <c r="O48" s="4" t="str">
        <f ca="1">_xlfn.IFNA(VLOOKUP(INDIRECT("G"&amp;ROW()),minfo!$A:$M,COLUMN()-8,0),"")</f>
        <v>https://i0.hdslb.com/bfs/station_src/music_metadata/2efa8f0df2aff949dee33b3f46a56312.jpg</v>
      </c>
      <c r="P48" s="4">
        <f ca="1">_xlfn.IFNA(VLOOKUP(INDIRECT("G"&amp;ROW()),minfo!$A:$M,COLUMN()-8,0),"")</f>
        <v>0</v>
      </c>
      <c r="Q48" s="4">
        <f ca="1">_xlfn.IFNA(VLOOKUP(INDIRECT("G"&amp;ROW()),minfo!$A:$M,COLUMN()-8,0),"")</f>
        <v>15983</v>
      </c>
      <c r="R48" s="4">
        <f ca="1">_xlfn.IFNA(VLOOKUP(INDIRECT("G"&amp;ROW()),minfo!$A:$M,COLUMN()-8,0),"")</f>
        <v>0</v>
      </c>
      <c r="S48" s="4" t="str">
        <f ca="1">_xlfn.IFNA(VLOOKUP(INDIRECT("G"&amp;ROW()),minfo!$A:$M,COLUMN()-8,0),"")</f>
        <v>叶惠美</v>
      </c>
      <c r="T48" s="4">
        <f ca="1">_xlfn.IFNA(VLOOKUP(INDIRECT("G"&amp;ROW()),minfo!$A:$M,COLUMN()-8,0),"")</f>
        <v>1497162616</v>
      </c>
      <c r="U48" s="4" t="str">
        <f ca="1">_xlfn.IFNA(VLOOKUP(INDIRECT("G"&amp;ROW()),minfo!$A:$M,COLUMN()-8,0),"")</f>
        <v>音乐榜最高NO.8</v>
      </c>
    </row>
    <row r="49" spans="1:21" ht="15.75" customHeight="1">
      <c r="A49" s="15">
        <v>48</v>
      </c>
      <c r="B49" s="4" t="s">
        <v>3588</v>
      </c>
      <c r="C49" s="4">
        <v>49</v>
      </c>
      <c r="D49" s="4">
        <v>48</v>
      </c>
      <c r="E49" s="4" t="s">
        <v>324</v>
      </c>
      <c r="F49" s="16">
        <v>44961</v>
      </c>
      <c r="G49" s="5" t="s">
        <v>323</v>
      </c>
      <c r="H49" s="5" t="s">
        <v>3537</v>
      </c>
      <c r="I49" s="24" t="str">
        <f>HYPERLINK("https://www.bilibili.com/video/BV1ne4y1A7oM?p=48", "BV1ne4y1A7oM?p=48")</f>
        <v>BV1ne4y1A7oM?p=48</v>
      </c>
      <c r="J49" s="4" t="str">
        <f ca="1">_xlfn.IFNA(VLOOKUP(INDIRECT("G"&amp;ROW()),minfo!$A:$M,COLUMN()-8,0),"")</f>
        <v>致你</v>
      </c>
      <c r="K49" s="4" t="str">
        <f ca="1">_xlfn.IFNA(VLOOKUP(INDIRECT("G"&amp;ROW()),minfo!$A:$M,COLUMN()-8,0),"")</f>
        <v>王赫野</v>
      </c>
      <c r="L49" s="4">
        <f ca="1">_xlfn.IFNA(VLOOKUP(INDIRECT("G"&amp;ROW()),minfo!$A:$M,COLUMN()-8,0),"")</f>
        <v>0</v>
      </c>
      <c r="M49" s="4">
        <f ca="1">_xlfn.IFNA(VLOOKUP(INDIRECT("G"&amp;ROW()),minfo!$A:$M,COLUMN()-8,0),"")</f>
        <v>0</v>
      </c>
      <c r="N49" s="4">
        <f ca="1">_xlfn.IFNA(VLOOKUP(INDIRECT("G"&amp;ROW()),minfo!$A:$M,COLUMN()-8,0),"")</f>
        <v>0</v>
      </c>
      <c r="O49" s="4" t="str">
        <f ca="1">_xlfn.IFNA(VLOOKUP(INDIRECT("G"&amp;ROW()),minfo!$A:$M,COLUMN()-8,0),"")</f>
        <v>http://i0.hdslb.com/bfs/station_src/music_metadata/683916d89744a5d7c887a277e409cfaf.jpg</v>
      </c>
      <c r="P49" s="4">
        <f ca="1">_xlfn.IFNA(VLOOKUP(INDIRECT("G"&amp;ROW()),minfo!$A:$M,COLUMN()-8,0),"")</f>
        <v>0</v>
      </c>
      <c r="Q49" s="4">
        <f ca="1">_xlfn.IFNA(VLOOKUP(INDIRECT("G"&amp;ROW()),minfo!$A:$M,COLUMN()-8,0),"")</f>
        <v>3362</v>
      </c>
      <c r="R49" s="4">
        <f ca="1">_xlfn.IFNA(VLOOKUP(INDIRECT("G"&amp;ROW()),minfo!$A:$M,COLUMN()-8,0),"")</f>
        <v>0</v>
      </c>
      <c r="S49" s="4" t="str">
        <f ca="1">_xlfn.IFNA(VLOOKUP(INDIRECT("G"&amp;ROW()),minfo!$A:$M,COLUMN()-8,0),"")</f>
        <v>致你</v>
      </c>
      <c r="T49" s="4">
        <f ca="1">_xlfn.IFNA(VLOOKUP(INDIRECT("G"&amp;ROW()),minfo!$A:$M,COLUMN()-8,0),"")</f>
        <v>258996748</v>
      </c>
      <c r="U49" s="4">
        <f ca="1">_xlfn.IFNA(VLOOKUP(INDIRECT("G"&amp;ROW()),minfo!$A:$M,COLUMN()-8,0),"")</f>
        <v>0</v>
      </c>
    </row>
    <row r="50" spans="1:21" ht="15.75" customHeight="1">
      <c r="A50" s="15">
        <v>49</v>
      </c>
      <c r="B50" s="4" t="s">
        <v>3589</v>
      </c>
      <c r="C50" s="4">
        <v>50</v>
      </c>
      <c r="D50" s="4">
        <v>49</v>
      </c>
      <c r="E50" s="4" t="s">
        <v>328</v>
      </c>
      <c r="F50" s="16">
        <v>44961</v>
      </c>
      <c r="G50" s="5" t="s">
        <v>327</v>
      </c>
      <c r="H50" s="5" t="s">
        <v>3537</v>
      </c>
      <c r="I50" s="24" t="str">
        <f>HYPERLINK("https://www.bilibili.com/video/BV1ne4y1A7oM?p=49", "BV1ne4y1A7oM?p=49")</f>
        <v>BV1ne4y1A7oM?p=49</v>
      </c>
      <c r="J50" s="4" t="str">
        <f ca="1">_xlfn.IFNA(VLOOKUP(INDIRECT("G"&amp;ROW()),minfo!$A:$M,COLUMN()-8,0),"")</f>
        <v>浪漫手机</v>
      </c>
      <c r="K50" s="4" t="str">
        <f ca="1">_xlfn.IFNA(VLOOKUP(INDIRECT("G"&amp;ROW()),minfo!$A:$M,COLUMN()-8,0),"")</f>
        <v>周杰伦</v>
      </c>
      <c r="L50" s="4">
        <f ca="1">_xlfn.IFNA(VLOOKUP(INDIRECT("G"&amp;ROW()),minfo!$A:$M,COLUMN()-8,0),"")</f>
        <v>0</v>
      </c>
      <c r="M50" s="4">
        <f ca="1">_xlfn.IFNA(VLOOKUP(INDIRECT("G"&amp;ROW()),minfo!$A:$M,COLUMN()-8,0),"")</f>
        <v>0</v>
      </c>
      <c r="N50" s="4">
        <f ca="1">_xlfn.IFNA(VLOOKUP(INDIRECT("G"&amp;ROW()),minfo!$A:$M,COLUMN()-8,0),"")</f>
        <v>0</v>
      </c>
      <c r="O50" s="4" t="str">
        <f ca="1">_xlfn.IFNA(VLOOKUP(INDIRECT("G"&amp;ROW()),minfo!$A:$M,COLUMN()-8,0),"")</f>
        <v>https://i0.hdslb.com/bfs/station_src/music_metadata/8eedd1a09269c8d74ed387337e626b75.jpg</v>
      </c>
      <c r="P50" s="4" t="str">
        <f ca="1">_xlfn.IFNA(VLOOKUP(INDIRECT("G"&amp;ROW()),minfo!$A:$M,COLUMN()-8,0),"")</f>
        <v>https://i0.hdslb.com/bfs/station_src/music_metadata/ae5c6e95bbcbbf46dea75520d23f2e3e.txt</v>
      </c>
      <c r="Q50" s="4">
        <f ca="1">_xlfn.IFNA(VLOOKUP(INDIRECT("G"&amp;ROW()),minfo!$A:$M,COLUMN()-8,0),"")</f>
        <v>757</v>
      </c>
      <c r="R50" s="4">
        <f ca="1">_xlfn.IFNA(VLOOKUP(INDIRECT("G"&amp;ROW()),minfo!$A:$M,COLUMN()-8,0),"")</f>
        <v>0</v>
      </c>
      <c r="S50" s="4" t="str">
        <f ca="1">_xlfn.IFNA(VLOOKUP(INDIRECT("G"&amp;ROW()),minfo!$A:$M,COLUMN()-8,0),"")</f>
        <v>十一月的萧邦</v>
      </c>
      <c r="T50" s="4">
        <f ca="1">_xlfn.IFNA(VLOOKUP(INDIRECT("G"&amp;ROW()),minfo!$A:$M,COLUMN()-8,0),"")</f>
        <v>267490941</v>
      </c>
      <c r="U50" s="4">
        <f ca="1">_xlfn.IFNA(VLOOKUP(INDIRECT("G"&amp;ROW()),minfo!$A:$M,COLUMN()-8,0),"")</f>
        <v>0</v>
      </c>
    </row>
    <row r="51" spans="1:21" ht="15.75" customHeight="1">
      <c r="A51" s="15">
        <v>50</v>
      </c>
      <c r="B51" s="4" t="s">
        <v>3590</v>
      </c>
      <c r="C51" s="4">
        <v>51</v>
      </c>
      <c r="D51" s="4">
        <v>50</v>
      </c>
      <c r="E51" s="4" t="s">
        <v>295</v>
      </c>
      <c r="F51" s="16">
        <v>44961</v>
      </c>
      <c r="G51" s="5" t="s">
        <v>294</v>
      </c>
      <c r="H51" s="5" t="s">
        <v>3537</v>
      </c>
      <c r="I51" s="24" t="str">
        <f>HYPERLINK("https://www.bilibili.com/video/BV1ne4y1A7oM?p=50", "BV1ne4y1A7oM?p=50")</f>
        <v>BV1ne4y1A7oM?p=50</v>
      </c>
      <c r="J51" s="4" t="str">
        <f ca="1">_xlfn.IFNA(VLOOKUP(INDIRECT("G"&amp;ROW()),minfo!$A:$M,COLUMN()-8,0),"")</f>
        <v>不能说的秘密</v>
      </c>
      <c r="K51" s="4" t="str">
        <f ca="1">_xlfn.IFNA(VLOOKUP(INDIRECT("G"&amp;ROW()),minfo!$A:$M,COLUMN()-8,0),"")</f>
        <v>周杰伦</v>
      </c>
      <c r="L51" s="4">
        <f ca="1">_xlfn.IFNA(VLOOKUP(INDIRECT("G"&amp;ROW()),minfo!$A:$M,COLUMN()-8,0),"")</f>
        <v>0</v>
      </c>
      <c r="M51" s="4">
        <f ca="1">_xlfn.IFNA(VLOOKUP(INDIRECT("G"&amp;ROW()),minfo!$A:$M,COLUMN()-8,0),"")</f>
        <v>10838</v>
      </c>
      <c r="N51" s="4">
        <f ca="1">_xlfn.IFNA(VLOOKUP(INDIRECT("G"&amp;ROW()),minfo!$A:$M,COLUMN()-8,0),"")</f>
        <v>384</v>
      </c>
      <c r="O51" s="4" t="str">
        <f ca="1">_xlfn.IFNA(VLOOKUP(INDIRECT("G"&amp;ROW()),minfo!$A:$M,COLUMN()-8,0),"")</f>
        <v>https://i0.hdslb.com/bfs/station_src/music_metadata/c30e3ade8fa2d678a4fc3f717036ab49.jpg</v>
      </c>
      <c r="P51" s="4" t="str">
        <f ca="1">_xlfn.IFNA(VLOOKUP(INDIRECT("G"&amp;ROW()),minfo!$A:$M,COLUMN()-8,0),"")</f>
        <v>http://i0.hdslb.com/bfs/station_src/music_metadata/b68ac496d2ba38e3bf8908441abecf91</v>
      </c>
      <c r="Q51" s="4">
        <f ca="1">_xlfn.IFNA(VLOOKUP(INDIRECT("G"&amp;ROW()),minfo!$A:$M,COLUMN()-8,0),"")</f>
        <v>2938</v>
      </c>
      <c r="R51" s="4" t="str">
        <f ca="1">_xlfn.IFNA(VLOOKUP(INDIRECT("G"&amp;ROW()),minfo!$A:$M,COLUMN()-8,0),"")</f>
        <v>《不能说的秘密》电影主题曲</v>
      </c>
      <c r="S51" s="4" t="str">
        <f ca="1">_xlfn.IFNA(VLOOKUP(INDIRECT("G"&amp;ROW()),minfo!$A:$M,COLUMN()-8,0),"")</f>
        <v>不能说的秘密 电影原声带</v>
      </c>
      <c r="T51" s="4">
        <f ca="1">_xlfn.IFNA(VLOOKUP(INDIRECT("G"&amp;ROW()),minfo!$A:$M,COLUMN()-8,0),"")</f>
        <v>525140241</v>
      </c>
      <c r="U51" s="4">
        <f ca="1">_xlfn.IFNA(VLOOKUP(INDIRECT("G"&amp;ROW()),minfo!$A:$M,COLUMN()-8,0),"")</f>
        <v>0</v>
      </c>
    </row>
    <row r="52" spans="1:21" ht="15.75" customHeight="1">
      <c r="A52" s="15">
        <v>51</v>
      </c>
      <c r="B52" s="4" t="s">
        <v>3591</v>
      </c>
      <c r="C52" s="4">
        <v>52</v>
      </c>
      <c r="D52" s="4">
        <v>51</v>
      </c>
      <c r="E52" s="4" t="s">
        <v>332</v>
      </c>
      <c r="F52" s="16">
        <v>44961</v>
      </c>
      <c r="G52" s="5" t="s">
        <v>331</v>
      </c>
      <c r="H52" s="5" t="s">
        <v>3537</v>
      </c>
      <c r="I52" s="24" t="str">
        <f>HYPERLINK("https://www.bilibili.com/video/BV1ne4y1A7oM?p=51", "BV1ne4y1A7oM?p=51")</f>
        <v>BV1ne4y1A7oM?p=51</v>
      </c>
      <c r="J52" s="4" t="str">
        <f ca="1">_xlfn.IFNA(VLOOKUP(INDIRECT("G"&amp;ROW()),minfo!$A:$M,COLUMN()-8,0),"")</f>
        <v>春天的芭蕾</v>
      </c>
      <c r="K52" s="4" t="str">
        <f ca="1">_xlfn.IFNA(VLOOKUP(INDIRECT("G"&amp;ROW()),minfo!$A:$M,COLUMN()-8,0),"")</f>
        <v>常思思</v>
      </c>
      <c r="L52" s="4">
        <f ca="1">_xlfn.IFNA(VLOOKUP(INDIRECT("G"&amp;ROW()),minfo!$A:$M,COLUMN()-8,0),"")</f>
        <v>0</v>
      </c>
      <c r="M52" s="4">
        <f ca="1">_xlfn.IFNA(VLOOKUP(INDIRECT("G"&amp;ROW()),minfo!$A:$M,COLUMN()-8,0),"")</f>
        <v>0</v>
      </c>
      <c r="N52" s="4">
        <f ca="1">_xlfn.IFNA(VLOOKUP(INDIRECT("G"&amp;ROW()),minfo!$A:$M,COLUMN()-8,0),"")</f>
        <v>0</v>
      </c>
      <c r="O52" s="4" t="str">
        <f ca="1">_xlfn.IFNA(VLOOKUP(INDIRECT("G"&amp;ROW()),minfo!$A:$M,COLUMN()-8,0),"")</f>
        <v>http://i0.hdslb.com/bfs/station_src/music_metadata/7202bafed8b495edfdc98691518442b5.jpg</v>
      </c>
      <c r="P52" s="4" t="str">
        <f ca="1">_xlfn.IFNA(VLOOKUP(INDIRECT("G"&amp;ROW()),minfo!$A:$M,COLUMN()-8,0),"")</f>
        <v>http://i0.hdslb.com/bfs/station_src/music_metadata/1faf7f1d5734fb67fc3aa5824aaf8ed2</v>
      </c>
      <c r="Q52" s="4">
        <f ca="1">_xlfn.IFNA(VLOOKUP(INDIRECT("G"&amp;ROW()),minfo!$A:$M,COLUMN()-8,0),"")</f>
        <v>173</v>
      </c>
      <c r="R52" s="4">
        <f ca="1">_xlfn.IFNA(VLOOKUP(INDIRECT("G"&amp;ROW()),minfo!$A:$M,COLUMN()-8,0),"")</f>
        <v>0</v>
      </c>
      <c r="S52" s="4">
        <f ca="1">_xlfn.IFNA(VLOOKUP(INDIRECT("G"&amp;ROW()),minfo!$A:$M,COLUMN()-8,0),"")</f>
        <v>0</v>
      </c>
      <c r="T52" s="4">
        <f ca="1">_xlfn.IFNA(VLOOKUP(INDIRECT("G"&amp;ROW()),minfo!$A:$M,COLUMN()-8,0),"")</f>
        <v>25997684</v>
      </c>
      <c r="U52" s="4">
        <f ca="1">_xlfn.IFNA(VLOOKUP(INDIRECT("G"&amp;ROW()),minfo!$A:$M,COLUMN()-8,0),"")</f>
        <v>0</v>
      </c>
    </row>
    <row r="53" spans="1:21" ht="15.75" customHeight="1">
      <c r="A53" s="15">
        <v>52</v>
      </c>
      <c r="B53" s="4" t="s">
        <v>3592</v>
      </c>
      <c r="C53" s="4">
        <v>53</v>
      </c>
      <c r="D53" s="4">
        <v>52</v>
      </c>
      <c r="E53" s="4" t="s">
        <v>337</v>
      </c>
      <c r="F53" s="16">
        <v>44961</v>
      </c>
      <c r="G53" s="5" t="s">
        <v>336</v>
      </c>
      <c r="H53" s="5" t="s">
        <v>3537</v>
      </c>
      <c r="I53" s="24" t="str">
        <f>HYPERLINK("https://www.bilibili.com/video/BV1ne4y1A7oM?p=52", "BV1ne4y1A7oM?p=52")</f>
        <v>BV1ne4y1A7oM?p=52</v>
      </c>
      <c r="J53" s="4" t="str">
        <f ca="1">_xlfn.IFNA(VLOOKUP(INDIRECT("G"&amp;ROW()),minfo!$A:$M,COLUMN()-8,0),"")</f>
        <v>玛依拉变奏曲</v>
      </c>
      <c r="K53" s="4" t="str">
        <f ca="1">_xlfn.IFNA(VLOOKUP(INDIRECT("G"&amp;ROW()),minfo!$A:$M,COLUMN()-8,0),"")</f>
        <v>常思思</v>
      </c>
      <c r="L53" s="4">
        <f ca="1">_xlfn.IFNA(VLOOKUP(INDIRECT("G"&amp;ROW()),minfo!$A:$M,COLUMN()-8,0),"")</f>
        <v>0</v>
      </c>
      <c r="M53" s="4">
        <f ca="1">_xlfn.IFNA(VLOOKUP(INDIRECT("G"&amp;ROW()),minfo!$A:$M,COLUMN()-8,0),"")</f>
        <v>0</v>
      </c>
      <c r="N53" s="4">
        <f ca="1">_xlfn.IFNA(VLOOKUP(INDIRECT("G"&amp;ROW()),minfo!$A:$M,COLUMN()-8,0),"")</f>
        <v>0</v>
      </c>
      <c r="O53" s="4" t="str">
        <f ca="1">_xlfn.IFNA(VLOOKUP(INDIRECT("G"&amp;ROW()),minfo!$A:$M,COLUMN()-8,0),"")</f>
        <v>https://i0.hdslb.com/bfs/station_src/music_metadata/44ef3b674b440061a8551258b673f958.jpg</v>
      </c>
      <c r="P53" s="4" t="str">
        <f ca="1">_xlfn.IFNA(VLOOKUP(INDIRECT("G"&amp;ROW()),minfo!$A:$M,COLUMN()-8,0),"")</f>
        <v>https://i0.hdslb.com/bfs/station_src/music_metadata/0d31f0b335305bb6b2fae9ab4daacc38.txt</v>
      </c>
      <c r="Q53" s="4">
        <f ca="1">_xlfn.IFNA(VLOOKUP(INDIRECT("G"&amp;ROW()),minfo!$A:$M,COLUMN()-8,0),"")</f>
        <v>6</v>
      </c>
      <c r="R53" s="4">
        <f ca="1">_xlfn.IFNA(VLOOKUP(INDIRECT("G"&amp;ROW()),minfo!$A:$M,COLUMN()-8,0),"")</f>
        <v>0</v>
      </c>
      <c r="S53" s="4" t="str">
        <f ca="1">_xlfn.IFNA(VLOOKUP(INDIRECT("G"&amp;ROW()),minfo!$A:$M,COLUMN()-8,0),"")</f>
        <v>龙乐合集 27</v>
      </c>
      <c r="T53" s="4">
        <f ca="1">_xlfn.IFNA(VLOOKUP(INDIRECT("G"&amp;ROW()),minfo!$A:$M,COLUMN()-8,0),"")</f>
        <v>3469898</v>
      </c>
      <c r="U53" s="4">
        <f ca="1">_xlfn.IFNA(VLOOKUP(INDIRECT("G"&amp;ROW()),minfo!$A:$M,COLUMN()-8,0),"")</f>
        <v>0</v>
      </c>
    </row>
    <row r="54" spans="1:21" ht="15.75" customHeight="1">
      <c r="A54" s="15">
        <v>53</v>
      </c>
      <c r="B54" s="4" t="s">
        <v>3593</v>
      </c>
      <c r="C54" s="4">
        <v>54</v>
      </c>
      <c r="D54" s="4">
        <v>53</v>
      </c>
      <c r="E54" s="4" t="s">
        <v>342</v>
      </c>
      <c r="F54" s="16">
        <v>44961</v>
      </c>
      <c r="G54" s="5" t="s">
        <v>341</v>
      </c>
      <c r="H54" s="5" t="s">
        <v>3537</v>
      </c>
      <c r="I54" s="24" t="str">
        <f>HYPERLINK("https://www.bilibili.com/video/BV1ne4y1A7oM?p=53", "BV1ne4y1A7oM?p=53")</f>
        <v>BV1ne4y1A7oM?p=53</v>
      </c>
      <c r="J54" s="4" t="str">
        <f ca="1">_xlfn.IFNA(VLOOKUP(INDIRECT("G"&amp;ROW()),minfo!$A:$M,COLUMN()-8,0),"")</f>
        <v>灯火里的中国</v>
      </c>
      <c r="K54" s="4" t="str">
        <f ca="1">_xlfn.IFNA(VLOOKUP(INDIRECT("G"&amp;ROW()),minfo!$A:$M,COLUMN()-8,0),"")</f>
        <v>张也 / 周深</v>
      </c>
      <c r="L54" s="4">
        <f ca="1">_xlfn.IFNA(VLOOKUP(INDIRECT("G"&amp;ROW()),minfo!$A:$M,COLUMN()-8,0),"")</f>
        <v>0</v>
      </c>
      <c r="M54" s="4">
        <f ca="1">_xlfn.IFNA(VLOOKUP(INDIRECT("G"&amp;ROW()),minfo!$A:$M,COLUMN()-8,0),"")</f>
        <v>0</v>
      </c>
      <c r="N54" s="4">
        <f ca="1">_xlfn.IFNA(VLOOKUP(INDIRECT("G"&amp;ROW()),minfo!$A:$M,COLUMN()-8,0),"")</f>
        <v>0</v>
      </c>
      <c r="O54" s="4" t="str">
        <f ca="1">_xlfn.IFNA(VLOOKUP(INDIRECT("G"&amp;ROW()),minfo!$A:$M,COLUMN()-8,0),"")</f>
        <v>http://i0.hdslb.com/bfs/station_src/music_metadata/0924bf85b82fa62dfcdce38ffb74da1a.jpg</v>
      </c>
      <c r="P54" s="4" t="str">
        <f ca="1">_xlfn.IFNA(VLOOKUP(INDIRECT("G"&amp;ROW()),minfo!$A:$M,COLUMN()-8,0),"")</f>
        <v>http://i0.hdslb.com/bfs/station_src/music_metadata/6398db62f5d229235035926dbc914370</v>
      </c>
      <c r="Q54" s="4">
        <f ca="1">_xlfn.IFNA(VLOOKUP(INDIRECT("G"&amp;ROW()),minfo!$A:$M,COLUMN()-8,0),"")</f>
        <v>620</v>
      </c>
      <c r="R54" s="4">
        <f ca="1">_xlfn.IFNA(VLOOKUP(INDIRECT("G"&amp;ROW()),minfo!$A:$M,COLUMN()-8,0),"")</f>
        <v>0</v>
      </c>
      <c r="S54" s="4">
        <f ca="1">_xlfn.IFNA(VLOOKUP(INDIRECT("G"&amp;ROW()),minfo!$A:$M,COLUMN()-8,0),"")</f>
        <v>0</v>
      </c>
      <c r="T54" s="4">
        <f ca="1">_xlfn.IFNA(VLOOKUP(INDIRECT("G"&amp;ROW()),minfo!$A:$M,COLUMN()-8,0),"")</f>
        <v>86381272</v>
      </c>
      <c r="U54" s="4">
        <f ca="1">_xlfn.IFNA(VLOOKUP(INDIRECT("G"&amp;ROW()),minfo!$A:$M,COLUMN()-8,0),"")</f>
        <v>0</v>
      </c>
    </row>
    <row r="55" spans="1:21" ht="15.75" customHeight="1">
      <c r="A55" s="15">
        <v>54</v>
      </c>
      <c r="B55" s="4" t="s">
        <v>3594</v>
      </c>
      <c r="C55" s="4">
        <v>55</v>
      </c>
      <c r="D55" s="4">
        <v>54</v>
      </c>
      <c r="E55" s="4" t="s">
        <v>347</v>
      </c>
      <c r="F55" s="16">
        <v>44962</v>
      </c>
      <c r="G55" s="5" t="s">
        <v>346</v>
      </c>
      <c r="H55" s="5" t="s">
        <v>3537</v>
      </c>
      <c r="I55" s="24" t="str">
        <f>HYPERLINK("https://www.bilibili.com/video/BV1ne4y1A7oM?p=54", "BV1ne4y1A7oM?p=54")</f>
        <v>BV1ne4y1A7oM?p=54</v>
      </c>
      <c r="J55" s="4" t="str">
        <f ca="1">_xlfn.IFNA(VLOOKUP(INDIRECT("G"&amp;ROW()),minfo!$A:$M,COLUMN()-8,0),"")</f>
        <v>雨樱花</v>
      </c>
      <c r="K55" s="4" t="str">
        <f ca="1">_xlfn.IFNA(VLOOKUP(INDIRECT("G"&amp;ROW()),minfo!$A:$M,COLUMN()-8,0),"")</f>
        <v>F.I.R.飞儿乐团</v>
      </c>
      <c r="L55" s="4">
        <f ca="1">_xlfn.IFNA(VLOOKUP(INDIRECT("G"&amp;ROW()),minfo!$A:$M,COLUMN()-8,0),"")</f>
        <v>0</v>
      </c>
      <c r="M55" s="4">
        <f ca="1">_xlfn.IFNA(VLOOKUP(INDIRECT("G"&amp;ROW()),minfo!$A:$M,COLUMN()-8,0),"")</f>
        <v>0</v>
      </c>
      <c r="N55" s="4">
        <f ca="1">_xlfn.IFNA(VLOOKUP(INDIRECT("G"&amp;ROW()),minfo!$A:$M,COLUMN()-8,0),"")</f>
        <v>0</v>
      </c>
      <c r="O55" s="4" t="str">
        <f ca="1">_xlfn.IFNA(VLOOKUP(INDIRECT("G"&amp;ROW()),minfo!$A:$M,COLUMN()-8,0),"")</f>
        <v>https://i0.hdslb.com/bfs/station_src/music_metadata/00afd05b69966a9e0c7f56c6963242d8.jpg</v>
      </c>
      <c r="P55" s="4" t="str">
        <f ca="1">_xlfn.IFNA(VLOOKUP(INDIRECT("G"&amp;ROW()),minfo!$A:$M,COLUMN()-8,0),"")</f>
        <v>http://i0.hdslb.com/bfs/station_src/music_metadata/d8a209457fb9a9d83e2536a27c94344c</v>
      </c>
      <c r="Q55" s="4">
        <f ca="1">_xlfn.IFNA(VLOOKUP(INDIRECT("G"&amp;ROW()),minfo!$A:$M,COLUMN()-8,0),"")</f>
        <v>39</v>
      </c>
      <c r="R55" s="4">
        <f ca="1">_xlfn.IFNA(VLOOKUP(INDIRECT("G"&amp;ROW()),minfo!$A:$M,COLUMN()-8,0),"")</f>
        <v>0</v>
      </c>
      <c r="S55" s="4" t="str">
        <f ca="1">_xlfn.IFNA(VLOOKUP(INDIRECT("G"&amp;ROW()),minfo!$A:$M,COLUMN()-8,0),"")</f>
        <v>飞行部落</v>
      </c>
      <c r="T55" s="4">
        <f ca="1">_xlfn.IFNA(VLOOKUP(INDIRECT("G"&amp;ROW()),minfo!$A:$M,COLUMN()-8,0),"")</f>
        <v>13683214</v>
      </c>
      <c r="U55" s="4">
        <f ca="1">_xlfn.IFNA(VLOOKUP(INDIRECT("G"&amp;ROW()),minfo!$A:$M,COLUMN()-8,0),"")</f>
        <v>0</v>
      </c>
    </row>
    <row r="56" spans="1:21" ht="15.75" customHeight="1">
      <c r="A56" s="15">
        <v>55</v>
      </c>
      <c r="B56" s="4" t="s">
        <v>3595</v>
      </c>
      <c r="C56" s="4">
        <v>56</v>
      </c>
      <c r="D56" s="4">
        <v>55</v>
      </c>
      <c r="E56" s="4" t="s">
        <v>353</v>
      </c>
      <c r="F56" s="16">
        <v>44962</v>
      </c>
      <c r="G56" s="5" t="s">
        <v>352</v>
      </c>
      <c r="H56" s="5" t="s">
        <v>3537</v>
      </c>
      <c r="I56" s="24" t="str">
        <f>HYPERLINK("https://www.bilibili.com/video/BV1ne4y1A7oM?p=55", "BV1ne4y1A7oM?p=55")</f>
        <v>BV1ne4y1A7oM?p=55</v>
      </c>
      <c r="J56" s="4" t="str">
        <f ca="1">_xlfn.IFNA(VLOOKUP(INDIRECT("G"&amp;ROW()),minfo!$A:$M,COLUMN()-8,0),"")</f>
        <v>刀马旦</v>
      </c>
      <c r="K56" s="4" t="str">
        <f ca="1">_xlfn.IFNA(VLOOKUP(INDIRECT("G"&amp;ROW()),minfo!$A:$M,COLUMN()-8,0),"")</f>
        <v>CoCo李玟,周杰伦</v>
      </c>
      <c r="L56" s="4">
        <f ca="1">_xlfn.IFNA(VLOOKUP(INDIRECT("G"&amp;ROW()),minfo!$A:$M,COLUMN()-8,0),"")</f>
        <v>0</v>
      </c>
      <c r="M56" s="4">
        <f ca="1">_xlfn.IFNA(VLOOKUP(INDIRECT("G"&amp;ROW()),minfo!$A:$M,COLUMN()-8,0),"")</f>
        <v>0</v>
      </c>
      <c r="N56" s="4">
        <f ca="1">_xlfn.IFNA(VLOOKUP(INDIRECT("G"&amp;ROW()),minfo!$A:$M,COLUMN()-8,0),"")</f>
        <v>0</v>
      </c>
      <c r="O56" s="4" t="str">
        <f ca="1">_xlfn.IFNA(VLOOKUP(INDIRECT("G"&amp;ROW()),minfo!$A:$M,COLUMN()-8,0),"")</f>
        <v>https://i0.hdslb.com/bfs/station_src/music_metadata/b1611a62ad7c13e4bd8c8be0ddd6e3db.jpg</v>
      </c>
      <c r="P56" s="4" t="str">
        <f ca="1">_xlfn.IFNA(VLOOKUP(INDIRECT("G"&amp;ROW()),minfo!$A:$M,COLUMN()-8,0),"")</f>
        <v>http://i0.hdslb.com/bfs/station_src/music_metadata/3ca8e4af51d30c802f7682c32e87702e</v>
      </c>
      <c r="Q56" s="4">
        <f ca="1">_xlfn.IFNA(VLOOKUP(INDIRECT("G"&amp;ROW()),minfo!$A:$M,COLUMN()-8,0),"")</f>
        <v>1423</v>
      </c>
      <c r="R56" s="4">
        <f ca="1">_xlfn.IFNA(VLOOKUP(INDIRECT("G"&amp;ROW()),minfo!$A:$M,COLUMN()-8,0),"")</f>
        <v>0</v>
      </c>
      <c r="S56" s="4" t="str">
        <f ca="1">_xlfn.IFNA(VLOOKUP(INDIRECT("G"&amp;ROW()),minfo!$A:$M,COLUMN()-8,0),"")</f>
        <v>Promise</v>
      </c>
      <c r="T56" s="4">
        <f ca="1">_xlfn.IFNA(VLOOKUP(INDIRECT("G"&amp;ROW()),minfo!$A:$M,COLUMN()-8,0),"")</f>
        <v>184930045</v>
      </c>
      <c r="U56" s="4">
        <f ca="1">_xlfn.IFNA(VLOOKUP(INDIRECT("G"&amp;ROW()),minfo!$A:$M,COLUMN()-8,0),"")</f>
        <v>0</v>
      </c>
    </row>
    <row r="57" spans="1:21" ht="15.75" customHeight="1">
      <c r="A57" s="15">
        <v>56</v>
      </c>
      <c r="B57" s="4" t="s">
        <v>3596</v>
      </c>
      <c r="C57" s="4">
        <v>57</v>
      </c>
      <c r="D57" s="4">
        <v>56</v>
      </c>
      <c r="E57" s="4" t="s">
        <v>359</v>
      </c>
      <c r="F57" s="16">
        <v>44962</v>
      </c>
      <c r="G57" s="5" t="s">
        <v>358</v>
      </c>
      <c r="H57" s="5" t="s">
        <v>3537</v>
      </c>
      <c r="I57" s="24" t="str">
        <f>HYPERLINK("https://www.bilibili.com/video/BV1ne4y1A7oM?p=56", "BV1ne4y1A7oM?p=56")</f>
        <v>BV1ne4y1A7oM?p=56</v>
      </c>
      <c r="J57" s="4" t="str">
        <f ca="1">_xlfn.IFNA(VLOOKUP(INDIRECT("G"&amp;ROW()),minfo!$A:$M,COLUMN()-8,0),"")</f>
        <v>不要忘记我爱你</v>
      </c>
      <c r="K57" s="4" t="str">
        <f ca="1">_xlfn.IFNA(VLOOKUP(INDIRECT("G"&amp;ROW()),minfo!$A:$M,COLUMN()-8,0),"")</f>
        <v>张碧晨</v>
      </c>
      <c r="L57" s="4">
        <f ca="1">_xlfn.IFNA(VLOOKUP(INDIRECT("G"&amp;ROW()),minfo!$A:$M,COLUMN()-8,0),"")</f>
        <v>0</v>
      </c>
      <c r="M57" s="4">
        <f ca="1">_xlfn.IFNA(VLOOKUP(INDIRECT("G"&amp;ROW()),minfo!$A:$M,COLUMN()-8,0),"")</f>
        <v>0</v>
      </c>
      <c r="N57" s="4">
        <f ca="1">_xlfn.IFNA(VLOOKUP(INDIRECT("G"&amp;ROW()),minfo!$A:$M,COLUMN()-8,0),"")</f>
        <v>0</v>
      </c>
      <c r="O57" s="4" t="str">
        <f ca="1">_xlfn.IFNA(VLOOKUP(INDIRECT("G"&amp;ROW()),minfo!$A:$M,COLUMN()-8,0),"")</f>
        <v>https://i0.hdslb.com/bfs/station_src/music_metadata/89a4b343c6ddfcb41c83a237c9ede180.jpg</v>
      </c>
      <c r="P57" s="4" t="str">
        <f ca="1">_xlfn.IFNA(VLOOKUP(INDIRECT("G"&amp;ROW()),minfo!$A:$M,COLUMN()-8,0),"")</f>
        <v>https://i0.hdslb.com/bfs/station_src/music_metadata/fb8463eff10dadf3902c622968acef08.txt</v>
      </c>
      <c r="Q57" s="4">
        <f ca="1">_xlfn.IFNA(VLOOKUP(INDIRECT("G"&amp;ROW()),minfo!$A:$M,COLUMN()-8,0),"")</f>
        <v>314</v>
      </c>
      <c r="R57" s="4" t="str">
        <f ca="1">_xlfn.IFNA(VLOOKUP(INDIRECT("G"&amp;ROW()),minfo!$A:$M,COLUMN()-8,0),"")</f>
        <v>《神犬小七》电视剧主题曲|《麻辣变形计第一季》电视剧主题曲</v>
      </c>
      <c r="S57" s="4" t="str">
        <f ca="1">_xlfn.IFNA(VLOOKUP(INDIRECT("G"&amp;ROW()),minfo!$A:$M,COLUMN()-8,0),"")</f>
        <v>电视剧《神犬小七》</v>
      </c>
      <c r="T57" s="4">
        <f ca="1">_xlfn.IFNA(VLOOKUP(INDIRECT("G"&amp;ROW()),minfo!$A:$M,COLUMN()-8,0),"")</f>
        <v>93242865</v>
      </c>
      <c r="U57" s="4">
        <f ca="1">_xlfn.IFNA(VLOOKUP(INDIRECT("G"&amp;ROW()),minfo!$A:$M,COLUMN()-8,0),"")</f>
        <v>0</v>
      </c>
    </row>
    <row r="58" spans="1:21" ht="15.75" customHeight="1">
      <c r="A58" s="15">
        <v>57</v>
      </c>
      <c r="B58" s="4" t="s">
        <v>3597</v>
      </c>
      <c r="C58" s="4">
        <v>58</v>
      </c>
      <c r="D58" s="4">
        <v>57</v>
      </c>
      <c r="E58" s="4" t="s">
        <v>366</v>
      </c>
      <c r="F58" s="16">
        <v>44962</v>
      </c>
      <c r="G58" s="5" t="s">
        <v>365</v>
      </c>
      <c r="H58" s="5" t="s">
        <v>3537</v>
      </c>
      <c r="I58" s="24" t="str">
        <f>HYPERLINK("https://www.bilibili.com/video/BV1ne4y1A7oM?p=57", "BV1ne4y1A7oM?p=57")</f>
        <v>BV1ne4y1A7oM?p=57</v>
      </c>
      <c r="J58" s="4" t="str">
        <f ca="1">_xlfn.IFNA(VLOOKUP(INDIRECT("G"&amp;ROW()),minfo!$A:$M,COLUMN()-8,0),"")</f>
        <v>难忘今宵</v>
      </c>
      <c r="K58" s="4" t="str">
        <f ca="1">_xlfn.IFNA(VLOOKUP(INDIRECT("G"&amp;ROW()),minfo!$A:$M,COLUMN()-8,0),"")</f>
        <v>二珂</v>
      </c>
      <c r="L58" s="4">
        <f ca="1">_xlfn.IFNA(VLOOKUP(INDIRECT("G"&amp;ROW()),minfo!$A:$M,COLUMN()-8,0),"")</f>
        <v>0</v>
      </c>
      <c r="M58" s="4">
        <f ca="1">_xlfn.IFNA(VLOOKUP(INDIRECT("G"&amp;ROW()),minfo!$A:$M,COLUMN()-8,0),"")</f>
        <v>0</v>
      </c>
      <c r="N58" s="4">
        <f ca="1">_xlfn.IFNA(VLOOKUP(INDIRECT("G"&amp;ROW()),minfo!$A:$M,COLUMN()-8,0),"")</f>
        <v>0</v>
      </c>
      <c r="O58" s="4" t="str">
        <f ca="1">_xlfn.IFNA(VLOOKUP(INDIRECT("G"&amp;ROW()),minfo!$A:$M,COLUMN()-8,0),"")</f>
        <v>http://y.gtimg.cn/music/photo_new/T002R300x300M000.jpg</v>
      </c>
      <c r="P58" s="4">
        <f ca="1">_xlfn.IFNA(VLOOKUP(INDIRECT("G"&amp;ROW()),minfo!$A:$M,COLUMN()-8,0),"")</f>
        <v>0</v>
      </c>
      <c r="Q58" s="4">
        <f ca="1">_xlfn.IFNA(VLOOKUP(INDIRECT("G"&amp;ROW()),minfo!$A:$M,COLUMN()-8,0),"")</f>
        <v>4</v>
      </c>
      <c r="R58" s="4">
        <f ca="1">_xlfn.IFNA(VLOOKUP(INDIRECT("G"&amp;ROW()),minfo!$A:$M,COLUMN()-8,0),"")</f>
        <v>0</v>
      </c>
      <c r="S58" s="4">
        <f ca="1">_xlfn.IFNA(VLOOKUP(INDIRECT("G"&amp;ROW()),minfo!$A:$M,COLUMN()-8,0),"")</f>
        <v>0</v>
      </c>
      <c r="T58" s="4">
        <f ca="1">_xlfn.IFNA(VLOOKUP(INDIRECT("G"&amp;ROW()),minfo!$A:$M,COLUMN()-8,0),"")</f>
        <v>5415807</v>
      </c>
      <c r="U58" s="4">
        <f ca="1">_xlfn.IFNA(VLOOKUP(INDIRECT("G"&amp;ROW()),minfo!$A:$M,COLUMN()-8,0),"")</f>
        <v>0</v>
      </c>
    </row>
    <row r="59" spans="1:21" ht="15.75" customHeight="1">
      <c r="A59" s="15">
        <v>58</v>
      </c>
      <c r="B59" s="4" t="s">
        <v>3598</v>
      </c>
      <c r="C59" s="4">
        <v>59</v>
      </c>
      <c r="D59" s="4">
        <v>58</v>
      </c>
      <c r="E59" s="4" t="s">
        <v>370</v>
      </c>
      <c r="F59" s="16">
        <v>44965</v>
      </c>
      <c r="G59" s="5" t="s">
        <v>369</v>
      </c>
      <c r="H59" s="5" t="s">
        <v>3537</v>
      </c>
      <c r="I59" s="24" t="str">
        <f>HYPERLINK("https://www.bilibili.com/video/BV1ne4y1A7oM?p=58", "BV1ne4y1A7oM?p=58")</f>
        <v>BV1ne4y1A7oM?p=58</v>
      </c>
      <c r="J59" s="4" t="str">
        <f ca="1">_xlfn.IFNA(VLOOKUP(INDIRECT("G"&amp;ROW()),minfo!$A:$M,COLUMN()-8,0),"")</f>
        <v>星晴</v>
      </c>
      <c r="K59" s="4" t="str">
        <f ca="1">_xlfn.IFNA(VLOOKUP(INDIRECT("G"&amp;ROW()),minfo!$A:$M,COLUMN()-8,0),"")</f>
        <v>周杰伦</v>
      </c>
      <c r="L59" s="4">
        <f ca="1">_xlfn.IFNA(VLOOKUP(INDIRECT("G"&amp;ROW()),minfo!$A:$M,COLUMN()-8,0),"")</f>
        <v>0</v>
      </c>
      <c r="M59" s="4">
        <f ca="1">_xlfn.IFNA(VLOOKUP(INDIRECT("G"&amp;ROW()),minfo!$A:$M,COLUMN()-8,0),"")</f>
        <v>0</v>
      </c>
      <c r="N59" s="4">
        <f ca="1">_xlfn.IFNA(VLOOKUP(INDIRECT("G"&amp;ROW()),minfo!$A:$M,COLUMN()-8,0),"")</f>
        <v>0</v>
      </c>
      <c r="O59" s="4" t="str">
        <f ca="1">_xlfn.IFNA(VLOOKUP(INDIRECT("G"&amp;ROW()),minfo!$A:$M,COLUMN()-8,0),"")</f>
        <v>http://i0.hdslb.com/bfs/station_src/music_metadata/6c5a2e49b22b5017b16436b34ffa8ff4.jpg</v>
      </c>
      <c r="P59" s="4" t="str">
        <f ca="1">_xlfn.IFNA(VLOOKUP(INDIRECT("G"&amp;ROW()),minfo!$A:$M,COLUMN()-8,0),"")</f>
        <v>http://i0.hdslb.com/bfs/station_src/music_metadata/51698719dd553d61e269f2d4bcc88e0c</v>
      </c>
      <c r="Q59" s="4">
        <f ca="1">_xlfn.IFNA(VLOOKUP(INDIRECT("G"&amp;ROW()),minfo!$A:$M,COLUMN()-8,0),"")</f>
        <v>1203</v>
      </c>
      <c r="R59" s="4">
        <f ca="1">_xlfn.IFNA(VLOOKUP(INDIRECT("G"&amp;ROW()),minfo!$A:$M,COLUMN()-8,0),"")</f>
        <v>0</v>
      </c>
      <c r="S59" s="4" t="str">
        <f ca="1">_xlfn.IFNA(VLOOKUP(INDIRECT("G"&amp;ROW()),minfo!$A:$M,COLUMN()-8,0),"")</f>
        <v>Jay</v>
      </c>
      <c r="T59" s="4">
        <f ca="1">_xlfn.IFNA(VLOOKUP(INDIRECT("G"&amp;ROW()),minfo!$A:$M,COLUMN()-8,0),"")</f>
        <v>318249236</v>
      </c>
      <c r="U59" s="4">
        <f ca="1">_xlfn.IFNA(VLOOKUP(INDIRECT("G"&amp;ROW()),minfo!$A:$M,COLUMN()-8,0),"")</f>
        <v>0</v>
      </c>
    </row>
    <row r="60" spans="1:21" ht="15.75" customHeight="1">
      <c r="A60" s="15">
        <v>59</v>
      </c>
      <c r="B60" s="4" t="s">
        <v>3599</v>
      </c>
      <c r="C60" s="4">
        <v>60</v>
      </c>
      <c r="D60" s="4">
        <v>59</v>
      </c>
      <c r="E60" s="4" t="s">
        <v>14</v>
      </c>
      <c r="F60" s="16">
        <v>44965</v>
      </c>
      <c r="G60" s="5" t="s">
        <v>13</v>
      </c>
      <c r="H60" s="5" t="s">
        <v>3537</v>
      </c>
      <c r="I60" s="24" t="str">
        <f>HYPERLINK("https://www.bilibili.com/video/BV1ne4y1A7oM?p=59", "BV1ne4y1A7oM?p=59")</f>
        <v>BV1ne4y1A7oM?p=59</v>
      </c>
      <c r="J60" s="4" t="str">
        <f ca="1">_xlfn.IFNA(VLOOKUP(INDIRECT("G"&amp;ROW()),minfo!$A:$M,COLUMN()-8,0),"")</f>
        <v>瓦解</v>
      </c>
      <c r="K60" s="4" t="str">
        <f ca="1">_xlfn.IFNA(VLOOKUP(INDIRECT("G"&amp;ROW()),minfo!$A:$M,COLUMN()-8,0),"")</f>
        <v>南拳妈妈</v>
      </c>
      <c r="L60" s="4">
        <f ca="1">_xlfn.IFNA(VLOOKUP(INDIRECT("G"&amp;ROW()),minfo!$A:$M,COLUMN()-8,0),"")</f>
        <v>0</v>
      </c>
      <c r="M60" s="4">
        <f ca="1">_xlfn.IFNA(VLOOKUP(INDIRECT("G"&amp;ROW()),minfo!$A:$M,COLUMN()-8,0),"")</f>
        <v>0</v>
      </c>
      <c r="N60" s="4">
        <f ca="1">_xlfn.IFNA(VLOOKUP(INDIRECT("G"&amp;ROW()),minfo!$A:$M,COLUMN()-8,0),"")</f>
        <v>0</v>
      </c>
      <c r="O60" s="4" t="str">
        <f ca="1">_xlfn.IFNA(VLOOKUP(INDIRECT("G"&amp;ROW()),minfo!$A:$M,COLUMN()-8,0),"")</f>
        <v>https://i0.hdslb.com/bfs/station_src/music_metadata/284aedba73bbb46dd43548a108598c32.jpg</v>
      </c>
      <c r="P60" s="4" t="str">
        <f ca="1">_xlfn.IFNA(VLOOKUP(INDIRECT("G"&amp;ROW()),minfo!$A:$M,COLUMN()-8,0),"")</f>
        <v>http://i0.hdslb.com/bfs/station_src/music_metadata/4d7bef88af4faa856325802b023ef85e</v>
      </c>
      <c r="Q60" s="4">
        <f ca="1">_xlfn.IFNA(VLOOKUP(INDIRECT("G"&amp;ROW()),minfo!$A:$M,COLUMN()-8,0),"")</f>
        <v>129</v>
      </c>
      <c r="R60" s="4">
        <f ca="1">_xlfn.IFNA(VLOOKUP(INDIRECT("G"&amp;ROW()),minfo!$A:$M,COLUMN()-8,0),"")</f>
        <v>0</v>
      </c>
      <c r="S60" s="4" t="str">
        <f ca="1">_xlfn.IFNA(VLOOKUP(INDIRECT("G"&amp;ROW()),minfo!$A:$M,COLUMN()-8,0),"")</f>
        <v>南拳妈妈的夏天</v>
      </c>
      <c r="T60" s="4">
        <f ca="1">_xlfn.IFNA(VLOOKUP(INDIRECT("G"&amp;ROW()),minfo!$A:$M,COLUMN()-8,0),"")</f>
        <v>122109069</v>
      </c>
      <c r="U60" s="4">
        <f ca="1">_xlfn.IFNA(VLOOKUP(INDIRECT("G"&amp;ROW()),minfo!$A:$M,COLUMN()-8,0),"")</f>
        <v>0</v>
      </c>
    </row>
    <row r="61" spans="1:21" ht="15.75" customHeight="1">
      <c r="A61" s="15">
        <v>60</v>
      </c>
      <c r="B61" s="4" t="s">
        <v>3600</v>
      </c>
      <c r="C61" s="4">
        <v>61</v>
      </c>
      <c r="D61" s="4">
        <v>60</v>
      </c>
      <c r="E61" s="4" t="s">
        <v>328</v>
      </c>
      <c r="F61" s="16">
        <v>44965</v>
      </c>
      <c r="G61" s="5" t="s">
        <v>327</v>
      </c>
      <c r="H61" s="5" t="s">
        <v>3537</v>
      </c>
      <c r="I61" s="24" t="str">
        <f>HYPERLINK("https://www.bilibili.com/video/BV1ne4y1A7oM?p=60", "BV1ne4y1A7oM?p=60")</f>
        <v>BV1ne4y1A7oM?p=60</v>
      </c>
      <c r="J61" s="4" t="str">
        <f ca="1">_xlfn.IFNA(VLOOKUP(INDIRECT("G"&amp;ROW()),minfo!$A:$M,COLUMN()-8,0),"")</f>
        <v>浪漫手机</v>
      </c>
      <c r="K61" s="4" t="str">
        <f ca="1">_xlfn.IFNA(VLOOKUP(INDIRECT("G"&amp;ROW()),minfo!$A:$M,COLUMN()-8,0),"")</f>
        <v>周杰伦</v>
      </c>
      <c r="L61" s="4">
        <f ca="1">_xlfn.IFNA(VLOOKUP(INDIRECT("G"&amp;ROW()),minfo!$A:$M,COLUMN()-8,0),"")</f>
        <v>0</v>
      </c>
      <c r="M61" s="4">
        <f ca="1">_xlfn.IFNA(VLOOKUP(INDIRECT("G"&amp;ROW()),minfo!$A:$M,COLUMN()-8,0),"")</f>
        <v>0</v>
      </c>
      <c r="N61" s="4">
        <f ca="1">_xlfn.IFNA(VLOOKUP(INDIRECT("G"&amp;ROW()),minfo!$A:$M,COLUMN()-8,0),"")</f>
        <v>0</v>
      </c>
      <c r="O61" s="4" t="str">
        <f ca="1">_xlfn.IFNA(VLOOKUP(INDIRECT("G"&amp;ROW()),minfo!$A:$M,COLUMN()-8,0),"")</f>
        <v>https://i0.hdslb.com/bfs/station_src/music_metadata/8eedd1a09269c8d74ed387337e626b75.jpg</v>
      </c>
      <c r="P61" s="4" t="str">
        <f ca="1">_xlfn.IFNA(VLOOKUP(INDIRECT("G"&amp;ROW()),minfo!$A:$M,COLUMN()-8,0),"")</f>
        <v>https://i0.hdslb.com/bfs/station_src/music_metadata/ae5c6e95bbcbbf46dea75520d23f2e3e.txt</v>
      </c>
      <c r="Q61" s="4">
        <f ca="1">_xlfn.IFNA(VLOOKUP(INDIRECT("G"&amp;ROW()),minfo!$A:$M,COLUMN()-8,0),"")</f>
        <v>757</v>
      </c>
      <c r="R61" s="4">
        <f ca="1">_xlfn.IFNA(VLOOKUP(INDIRECT("G"&amp;ROW()),minfo!$A:$M,COLUMN()-8,0),"")</f>
        <v>0</v>
      </c>
      <c r="S61" s="4" t="str">
        <f ca="1">_xlfn.IFNA(VLOOKUP(INDIRECT("G"&amp;ROW()),minfo!$A:$M,COLUMN()-8,0),"")</f>
        <v>十一月的萧邦</v>
      </c>
      <c r="T61" s="4">
        <f ca="1">_xlfn.IFNA(VLOOKUP(INDIRECT("G"&amp;ROW()),minfo!$A:$M,COLUMN()-8,0),"")</f>
        <v>267490941</v>
      </c>
      <c r="U61" s="4">
        <f ca="1">_xlfn.IFNA(VLOOKUP(INDIRECT("G"&amp;ROW()),minfo!$A:$M,COLUMN()-8,0),"")</f>
        <v>0</v>
      </c>
    </row>
    <row r="62" spans="1:21" ht="15.75" customHeight="1">
      <c r="A62" s="15">
        <v>61</v>
      </c>
      <c r="B62" s="4" t="s">
        <v>3601</v>
      </c>
      <c r="C62" s="4">
        <v>62</v>
      </c>
      <c r="D62" s="4">
        <v>61</v>
      </c>
      <c r="E62" s="4" t="s">
        <v>375</v>
      </c>
      <c r="F62" s="16">
        <v>44965</v>
      </c>
      <c r="G62" s="5" t="s">
        <v>374</v>
      </c>
      <c r="H62" s="5" t="s">
        <v>3537</v>
      </c>
      <c r="I62" s="24" t="str">
        <f>HYPERLINK("https://www.bilibili.com/video/BV1ne4y1A7oM?p=61", "BV1ne4y1A7oM?p=61")</f>
        <v>BV1ne4y1A7oM?p=61</v>
      </c>
      <c r="J62" s="4" t="str">
        <f ca="1">_xlfn.IFNA(VLOOKUP(INDIRECT("G"&amp;ROW()),minfo!$A:$M,COLUMN()-8,0),"")</f>
        <v>彩虹</v>
      </c>
      <c r="K62" s="4" t="str">
        <f ca="1">_xlfn.IFNA(VLOOKUP(INDIRECT("G"&amp;ROW()),minfo!$A:$M,COLUMN()-8,0),"")</f>
        <v>周杰伦</v>
      </c>
      <c r="L62" s="4">
        <f ca="1">_xlfn.IFNA(VLOOKUP(INDIRECT("G"&amp;ROW()),minfo!$A:$M,COLUMN()-8,0),"")</f>
        <v>0</v>
      </c>
      <c r="M62" s="4">
        <f ca="1">_xlfn.IFNA(VLOOKUP(INDIRECT("G"&amp;ROW()),minfo!$A:$M,COLUMN()-8,0),"")</f>
        <v>0</v>
      </c>
      <c r="N62" s="4">
        <f ca="1">_xlfn.IFNA(VLOOKUP(INDIRECT("G"&amp;ROW()),minfo!$A:$M,COLUMN()-8,0),"")</f>
        <v>0</v>
      </c>
      <c r="O62" s="4" t="str">
        <f ca="1">_xlfn.IFNA(VLOOKUP(INDIRECT("G"&amp;ROW()),minfo!$A:$M,COLUMN()-8,0),"")</f>
        <v>https://i0.hdslb.com/bfs/station_src/music_metadata/2b7d7250423bd10995c607eb49b4e004.jpg</v>
      </c>
      <c r="P62" s="4">
        <f ca="1">_xlfn.IFNA(VLOOKUP(INDIRECT("G"&amp;ROW()),minfo!$A:$M,COLUMN()-8,0),"")</f>
        <v>0</v>
      </c>
      <c r="Q62" s="4">
        <f ca="1">_xlfn.IFNA(VLOOKUP(INDIRECT("G"&amp;ROW()),minfo!$A:$M,COLUMN()-8,0),"")</f>
        <v>1340</v>
      </c>
      <c r="R62" s="4" t="str">
        <f ca="1">_xlfn.IFNA(VLOOKUP(INDIRECT("G"&amp;ROW()),minfo!$A:$M,COLUMN()-8,0),"")</f>
        <v>《命运呼叫转移》电影主题曲</v>
      </c>
      <c r="S62" s="4" t="str">
        <f ca="1">_xlfn.IFNA(VLOOKUP(INDIRECT("G"&amp;ROW()),minfo!$A:$M,COLUMN()-8,0),"")</f>
        <v>我很忙</v>
      </c>
      <c r="T62" s="4">
        <f ca="1">_xlfn.IFNA(VLOOKUP(INDIRECT("G"&amp;ROW()),minfo!$A:$M,COLUMN()-8,0),"")</f>
        <v>394249952</v>
      </c>
      <c r="U62" s="4">
        <f ca="1">_xlfn.IFNA(VLOOKUP(INDIRECT("G"&amp;ROW()),minfo!$A:$M,COLUMN()-8,0),"")</f>
        <v>0</v>
      </c>
    </row>
    <row r="63" spans="1:21" ht="15.75" customHeight="1">
      <c r="A63" s="15">
        <v>62</v>
      </c>
      <c r="B63" s="4" t="s">
        <v>3602</v>
      </c>
      <c r="C63" s="4">
        <v>63</v>
      </c>
      <c r="D63" s="4">
        <v>62</v>
      </c>
      <c r="E63" s="4" t="s">
        <v>259</v>
      </c>
      <c r="F63" s="16">
        <v>44965</v>
      </c>
      <c r="G63" s="5" t="s">
        <v>258</v>
      </c>
      <c r="H63" s="5" t="s">
        <v>3537</v>
      </c>
      <c r="I63" s="24" t="str">
        <f>HYPERLINK("https://www.bilibili.com/video/BV1ne4y1A7oM?p=62", "BV1ne4y1A7oM?p=62")</f>
        <v>BV1ne4y1A7oM?p=62</v>
      </c>
      <c r="J63" s="4" t="str">
        <f ca="1">_xlfn.IFNA(VLOOKUP(INDIRECT("G"&amp;ROW()),minfo!$A:$M,COLUMN()-8,0),"")</f>
        <v>枫</v>
      </c>
      <c r="K63" s="4" t="str">
        <f ca="1">_xlfn.IFNA(VLOOKUP(INDIRECT("G"&amp;ROW()),minfo!$A:$M,COLUMN()-8,0),"")</f>
        <v>周杰伦</v>
      </c>
      <c r="L63" s="4">
        <f ca="1">_xlfn.IFNA(VLOOKUP(INDIRECT("G"&amp;ROW()),minfo!$A:$M,COLUMN()-8,0),"")</f>
        <v>0</v>
      </c>
      <c r="M63" s="4">
        <f ca="1">_xlfn.IFNA(VLOOKUP(INDIRECT("G"&amp;ROW()),minfo!$A:$M,COLUMN()-8,0),"")</f>
        <v>0</v>
      </c>
      <c r="N63" s="4">
        <f ca="1">_xlfn.IFNA(VLOOKUP(INDIRECT("G"&amp;ROW()),minfo!$A:$M,COLUMN()-8,0),"")</f>
        <v>0</v>
      </c>
      <c r="O63" s="4" t="str">
        <f ca="1">_xlfn.IFNA(VLOOKUP(INDIRECT("G"&amp;ROW()),minfo!$A:$M,COLUMN()-8,0),"")</f>
        <v>https://i0.hdslb.com/bfs/station_src/music_metadata/fb82b0fb2908b09d88ba13ef0db91863.jpg</v>
      </c>
      <c r="P63" s="4" t="str">
        <f ca="1">_xlfn.IFNA(VLOOKUP(INDIRECT("G"&amp;ROW()),minfo!$A:$M,COLUMN()-8,0),"")</f>
        <v>http://i0.hdslb.com/bfs/station_src/music_metadata/9b1e7a89ea3eead8b8c6b32cdb30abd9</v>
      </c>
      <c r="Q63" s="4">
        <f ca="1">_xlfn.IFNA(VLOOKUP(INDIRECT("G"&amp;ROW()),minfo!$A:$M,COLUMN()-8,0),"")</f>
        <v>6002</v>
      </c>
      <c r="R63" s="4">
        <f ca="1">_xlfn.IFNA(VLOOKUP(INDIRECT("G"&amp;ROW()),minfo!$A:$M,COLUMN()-8,0),"")</f>
        <v>0</v>
      </c>
      <c r="S63" s="4" t="str">
        <f ca="1">_xlfn.IFNA(VLOOKUP(INDIRECT("G"&amp;ROW()),minfo!$A:$M,COLUMN()-8,0),"")</f>
        <v>十一月的萧邦</v>
      </c>
      <c r="T63" s="4">
        <f ca="1">_xlfn.IFNA(VLOOKUP(INDIRECT("G"&amp;ROW()),minfo!$A:$M,COLUMN()-8,0),"")</f>
        <v>560749777</v>
      </c>
      <c r="U63" s="4">
        <f ca="1">_xlfn.IFNA(VLOOKUP(INDIRECT("G"&amp;ROW()),minfo!$A:$M,COLUMN()-8,0),"")</f>
        <v>0</v>
      </c>
    </row>
    <row r="64" spans="1:21" ht="15.75" customHeight="1">
      <c r="A64" s="15">
        <v>63</v>
      </c>
      <c r="B64" s="4" t="s">
        <v>3603</v>
      </c>
      <c r="C64" s="4">
        <v>64</v>
      </c>
      <c r="D64" s="4">
        <v>63</v>
      </c>
      <c r="E64" s="4" t="s">
        <v>380</v>
      </c>
      <c r="F64" s="16">
        <v>44965</v>
      </c>
      <c r="G64" s="5" t="s">
        <v>379</v>
      </c>
      <c r="H64" s="5" t="s">
        <v>3537</v>
      </c>
      <c r="I64" s="24" t="str">
        <f>HYPERLINK("https://www.bilibili.com/video/BV1ne4y1A7oM?p=63", "BV1ne4y1A7oM?p=63")</f>
        <v>BV1ne4y1A7oM?p=63</v>
      </c>
      <c r="J64" s="4" t="str">
        <f ca="1">_xlfn.IFNA(VLOOKUP(INDIRECT("G"&amp;ROW()),minfo!$A:$M,COLUMN()-8,0),"")</f>
        <v>等你下课</v>
      </c>
      <c r="K64" s="4" t="str">
        <f ca="1">_xlfn.IFNA(VLOOKUP(INDIRECT("G"&amp;ROW()),minfo!$A:$M,COLUMN()-8,0),"")</f>
        <v>周杰伦</v>
      </c>
      <c r="L64" s="4">
        <f ca="1">_xlfn.IFNA(VLOOKUP(INDIRECT("G"&amp;ROW()),minfo!$A:$M,COLUMN()-8,0),"")</f>
        <v>0</v>
      </c>
      <c r="M64" s="4">
        <f ca="1">_xlfn.IFNA(VLOOKUP(INDIRECT("G"&amp;ROW()),minfo!$A:$M,COLUMN()-8,0),"")</f>
        <v>80914</v>
      </c>
      <c r="N64" s="4">
        <f ca="1">_xlfn.IFNA(VLOOKUP(INDIRECT("G"&amp;ROW()),minfo!$A:$M,COLUMN()-8,0),"")</f>
        <v>13096</v>
      </c>
      <c r="O64" s="4" t="str">
        <f ca="1">_xlfn.IFNA(VLOOKUP(INDIRECT("G"&amp;ROW()),minfo!$A:$M,COLUMN()-8,0),"")</f>
        <v>https://i0.hdslb.com/bfs/station_src/music_metadata/daceac43659e7f7f6326c1570b657381.jpg</v>
      </c>
      <c r="P64" s="4" t="str">
        <f ca="1">_xlfn.IFNA(VLOOKUP(INDIRECT("G"&amp;ROW()),minfo!$A:$M,COLUMN()-8,0),"")</f>
        <v>http://i0.hdslb.com/bfs/station_src/music_metadata/1b827e689cae1db38482c44b47c8737a</v>
      </c>
      <c r="Q64" s="4">
        <f ca="1">_xlfn.IFNA(VLOOKUP(INDIRECT("G"&amp;ROW()),minfo!$A:$M,COLUMN()-8,0),"")</f>
        <v>2038</v>
      </c>
      <c r="R64" s="4">
        <f ca="1">_xlfn.IFNA(VLOOKUP(INDIRECT("G"&amp;ROW()),minfo!$A:$M,COLUMN()-8,0),"")</f>
        <v>0</v>
      </c>
      <c r="S64" s="4" t="str">
        <f ca="1">_xlfn.IFNA(VLOOKUP(INDIRECT("G"&amp;ROW()),minfo!$A:$M,COLUMN()-8,0),"")</f>
        <v>等你下课</v>
      </c>
      <c r="T64" s="4">
        <f ca="1">_xlfn.IFNA(VLOOKUP(INDIRECT("G"&amp;ROW()),minfo!$A:$M,COLUMN()-8,0),"")</f>
        <v>419569575</v>
      </c>
      <c r="U64" s="4">
        <f ca="1">_xlfn.IFNA(VLOOKUP(INDIRECT("G"&amp;ROW()),minfo!$A:$M,COLUMN()-8,0),"")</f>
        <v>0</v>
      </c>
    </row>
    <row r="65" spans="1:21" ht="15.75" customHeight="1">
      <c r="A65" s="15">
        <v>64</v>
      </c>
      <c r="B65" s="4" t="s">
        <v>3604</v>
      </c>
      <c r="C65" s="4">
        <v>65</v>
      </c>
      <c r="D65" s="4">
        <v>64</v>
      </c>
      <c r="E65" s="4" t="s">
        <v>370</v>
      </c>
      <c r="F65" s="16">
        <v>44968</v>
      </c>
      <c r="G65" s="5" t="s">
        <v>369</v>
      </c>
      <c r="H65" s="5" t="s">
        <v>3537</v>
      </c>
      <c r="I65" s="24" t="str">
        <f>HYPERLINK("https://www.bilibili.com/video/BV1ne4y1A7oM?p=64", "BV1ne4y1A7oM?p=64")</f>
        <v>BV1ne4y1A7oM?p=64</v>
      </c>
      <c r="J65" s="4" t="str">
        <f ca="1">_xlfn.IFNA(VLOOKUP(INDIRECT("G"&amp;ROW()),minfo!$A:$M,COLUMN()-8,0),"")</f>
        <v>星晴</v>
      </c>
      <c r="K65" s="4" t="str">
        <f ca="1">_xlfn.IFNA(VLOOKUP(INDIRECT("G"&amp;ROW()),minfo!$A:$M,COLUMN()-8,0),"")</f>
        <v>周杰伦</v>
      </c>
      <c r="L65" s="4">
        <f ca="1">_xlfn.IFNA(VLOOKUP(INDIRECT("G"&amp;ROW()),minfo!$A:$M,COLUMN()-8,0),"")</f>
        <v>0</v>
      </c>
      <c r="M65" s="4">
        <f ca="1">_xlfn.IFNA(VLOOKUP(INDIRECT("G"&amp;ROW()),minfo!$A:$M,COLUMN()-8,0),"")</f>
        <v>0</v>
      </c>
      <c r="N65" s="4">
        <f ca="1">_xlfn.IFNA(VLOOKUP(INDIRECT("G"&amp;ROW()),minfo!$A:$M,COLUMN()-8,0),"")</f>
        <v>0</v>
      </c>
      <c r="O65" s="4" t="str">
        <f ca="1">_xlfn.IFNA(VLOOKUP(INDIRECT("G"&amp;ROW()),minfo!$A:$M,COLUMN()-8,0),"")</f>
        <v>http://i0.hdslb.com/bfs/station_src/music_metadata/6c5a2e49b22b5017b16436b34ffa8ff4.jpg</v>
      </c>
      <c r="P65" s="4" t="str">
        <f ca="1">_xlfn.IFNA(VLOOKUP(INDIRECT("G"&amp;ROW()),minfo!$A:$M,COLUMN()-8,0),"")</f>
        <v>http://i0.hdslb.com/bfs/station_src/music_metadata/51698719dd553d61e269f2d4bcc88e0c</v>
      </c>
      <c r="Q65" s="4">
        <f ca="1">_xlfn.IFNA(VLOOKUP(INDIRECT("G"&amp;ROW()),minfo!$A:$M,COLUMN()-8,0),"")</f>
        <v>1203</v>
      </c>
      <c r="R65" s="4">
        <f ca="1">_xlfn.IFNA(VLOOKUP(INDIRECT("G"&amp;ROW()),minfo!$A:$M,COLUMN()-8,0),"")</f>
        <v>0</v>
      </c>
      <c r="S65" s="4" t="str">
        <f ca="1">_xlfn.IFNA(VLOOKUP(INDIRECT("G"&amp;ROW()),minfo!$A:$M,COLUMN()-8,0),"")</f>
        <v>Jay</v>
      </c>
      <c r="T65" s="4">
        <f ca="1">_xlfn.IFNA(VLOOKUP(INDIRECT("G"&amp;ROW()),minfo!$A:$M,COLUMN()-8,0),"")</f>
        <v>318249236</v>
      </c>
      <c r="U65" s="4">
        <f ca="1">_xlfn.IFNA(VLOOKUP(INDIRECT("G"&amp;ROW()),minfo!$A:$M,COLUMN()-8,0),"")</f>
        <v>0</v>
      </c>
    </row>
    <row r="66" spans="1:21" ht="15.75" customHeight="1">
      <c r="A66" s="15">
        <v>65</v>
      </c>
      <c r="B66" s="4" t="s">
        <v>3605</v>
      </c>
      <c r="C66" s="4">
        <v>66</v>
      </c>
      <c r="D66" s="4">
        <v>65</v>
      </c>
      <c r="E66" s="4" t="s">
        <v>384</v>
      </c>
      <c r="F66" s="16">
        <v>44968</v>
      </c>
      <c r="G66" s="5" t="s">
        <v>383</v>
      </c>
      <c r="H66" s="5" t="s">
        <v>3537</v>
      </c>
      <c r="I66" s="24" t="str">
        <f>HYPERLINK("https://www.bilibili.com/video/BV1ne4y1A7oM?p=65", "BV1ne4y1A7oM?p=65")</f>
        <v>BV1ne4y1A7oM?p=65</v>
      </c>
      <c r="J66" s="4" t="str">
        <f ca="1">_xlfn.IFNA(VLOOKUP(INDIRECT("G"&amp;ROW()),minfo!$A:$M,COLUMN()-8,0),"")</f>
        <v>恰好</v>
      </c>
      <c r="K66" s="4" t="str">
        <f ca="1">_xlfn.IFNA(VLOOKUP(INDIRECT("G"&amp;ROW()),minfo!$A:$M,COLUMN()-8,0),"")</f>
        <v>黄龄,李鑫一</v>
      </c>
      <c r="L66" s="4">
        <f ca="1">_xlfn.IFNA(VLOOKUP(INDIRECT("G"&amp;ROW()),minfo!$A:$M,COLUMN()-8,0),"")</f>
        <v>0</v>
      </c>
      <c r="M66" s="4">
        <f ca="1">_xlfn.IFNA(VLOOKUP(INDIRECT("G"&amp;ROW()),minfo!$A:$M,COLUMN()-8,0),"")</f>
        <v>0</v>
      </c>
      <c r="N66" s="4">
        <f ca="1">_xlfn.IFNA(VLOOKUP(INDIRECT("G"&amp;ROW()),minfo!$A:$M,COLUMN()-8,0),"")</f>
        <v>0</v>
      </c>
      <c r="O66" s="4" t="str">
        <f ca="1">_xlfn.IFNA(VLOOKUP(INDIRECT("G"&amp;ROW()),minfo!$A:$M,COLUMN()-8,0),"")</f>
        <v>https://i0.hdslb.com/bfs/station_src/music_metadata/4114b5dce4dc2e8fa6d696106a6624eb.jpg</v>
      </c>
      <c r="P66" s="4" t="str">
        <f ca="1">_xlfn.IFNA(VLOOKUP(INDIRECT("G"&amp;ROW()),minfo!$A:$M,COLUMN()-8,0),"")</f>
        <v>https://i0.hdslb.com/bfs/station_src/music_metadata/7105373054bbacbd0af01ee959bcd5e2.txt</v>
      </c>
      <c r="Q66" s="4">
        <f ca="1">_xlfn.IFNA(VLOOKUP(INDIRECT("G"&amp;ROW()),minfo!$A:$M,COLUMN()-8,0),"")</f>
        <v>0</v>
      </c>
      <c r="R66" s="4">
        <f ca="1">_xlfn.IFNA(VLOOKUP(INDIRECT("G"&amp;ROW()),minfo!$A:$M,COLUMN()-8,0),"")</f>
        <v>0</v>
      </c>
      <c r="S66" s="4" t="str">
        <f ca="1">_xlfn.IFNA(VLOOKUP(INDIRECT("G"&amp;ROW()),minfo!$A:$M,COLUMN()-8,0),"")</f>
        <v>天赐的声音第二季 第9期</v>
      </c>
      <c r="T66" s="4">
        <f ca="1">_xlfn.IFNA(VLOOKUP(INDIRECT("G"&amp;ROW()),minfo!$A:$M,COLUMN()-8,0),"")</f>
        <v>436159</v>
      </c>
      <c r="U66" s="4">
        <f ca="1">_xlfn.IFNA(VLOOKUP(INDIRECT("G"&amp;ROW()),minfo!$A:$M,COLUMN()-8,0),"")</f>
        <v>0</v>
      </c>
    </row>
    <row r="67" spans="1:21" ht="15.75" customHeight="1">
      <c r="A67" s="15">
        <v>66</v>
      </c>
      <c r="B67" s="4" t="s">
        <v>3606</v>
      </c>
      <c r="C67" s="4">
        <v>67</v>
      </c>
      <c r="D67" s="4">
        <v>66</v>
      </c>
      <c r="E67" s="4" t="s">
        <v>390</v>
      </c>
      <c r="F67" s="16">
        <v>44969</v>
      </c>
      <c r="G67" s="5" t="s">
        <v>389</v>
      </c>
      <c r="H67" s="5" t="s">
        <v>3537</v>
      </c>
      <c r="I67" s="24" t="str">
        <f>HYPERLINK("https://www.bilibili.com/video/BV1ne4y1A7oM?p=66", "BV1ne4y1A7oM?p=66")</f>
        <v>BV1ne4y1A7oM?p=66</v>
      </c>
      <c r="J67" s="4" t="str">
        <f ca="1">_xlfn.IFNA(VLOOKUP(INDIRECT("G"&amp;ROW()),minfo!$A:$M,COLUMN()-8,0),"")</f>
        <v>龙卷风</v>
      </c>
      <c r="K67" s="4" t="str">
        <f ca="1">_xlfn.IFNA(VLOOKUP(INDIRECT("G"&amp;ROW()),minfo!$A:$M,COLUMN()-8,0),"")</f>
        <v>周杰伦</v>
      </c>
      <c r="L67" s="4">
        <f ca="1">_xlfn.IFNA(VLOOKUP(INDIRECT("G"&amp;ROW()),minfo!$A:$M,COLUMN()-8,0),"")</f>
        <v>0</v>
      </c>
      <c r="M67" s="4">
        <f ca="1">_xlfn.IFNA(VLOOKUP(INDIRECT("G"&amp;ROW()),minfo!$A:$M,COLUMN()-8,0),"")</f>
        <v>0</v>
      </c>
      <c r="N67" s="4">
        <f ca="1">_xlfn.IFNA(VLOOKUP(INDIRECT("G"&amp;ROW()),minfo!$A:$M,COLUMN()-8,0),"")</f>
        <v>0</v>
      </c>
      <c r="O67" s="4" t="str">
        <f ca="1">_xlfn.IFNA(VLOOKUP(INDIRECT("G"&amp;ROW()),minfo!$A:$M,COLUMN()-8,0),"")</f>
        <v>https://i0.hdslb.com/bfs/station_src/music_metadata/d343e724b396706e5d98b10b1def1e6a.jpg</v>
      </c>
      <c r="P67" s="4" t="str">
        <f ca="1">_xlfn.IFNA(VLOOKUP(INDIRECT("G"&amp;ROW()),minfo!$A:$M,COLUMN()-8,0),"")</f>
        <v>http://i0.hdslb.com/bfs/station_src/music_metadata/8c8d724377f706aa02f776532d7ecf5f</v>
      </c>
      <c r="Q67" s="4">
        <f ca="1">_xlfn.IFNA(VLOOKUP(INDIRECT("G"&amp;ROW()),minfo!$A:$M,COLUMN()-8,0),"")</f>
        <v>4083</v>
      </c>
      <c r="R67" s="4">
        <f ca="1">_xlfn.IFNA(VLOOKUP(INDIRECT("G"&amp;ROW()),minfo!$A:$M,COLUMN()-8,0),"")</f>
        <v>0</v>
      </c>
      <c r="S67" s="4" t="str">
        <f ca="1">_xlfn.IFNA(VLOOKUP(INDIRECT("G"&amp;ROW()),minfo!$A:$M,COLUMN()-8,0),"")</f>
        <v>Jay</v>
      </c>
      <c r="T67" s="4">
        <f ca="1">_xlfn.IFNA(VLOOKUP(INDIRECT("G"&amp;ROW()),minfo!$A:$M,COLUMN()-8,0),"")</f>
        <v>457122858</v>
      </c>
      <c r="U67" s="4">
        <f ca="1">_xlfn.IFNA(VLOOKUP(INDIRECT("G"&amp;ROW()),minfo!$A:$M,COLUMN()-8,0),"")</f>
        <v>0</v>
      </c>
    </row>
    <row r="68" spans="1:21" ht="15.75" customHeight="1">
      <c r="A68" s="15">
        <v>67</v>
      </c>
      <c r="B68" s="4" t="s">
        <v>3607</v>
      </c>
      <c r="C68" s="4">
        <v>68</v>
      </c>
      <c r="D68" s="4">
        <v>67</v>
      </c>
      <c r="E68" s="4" t="s">
        <v>3608</v>
      </c>
      <c r="F68" s="16">
        <v>44969</v>
      </c>
      <c r="G68" s="5" t="s">
        <v>393</v>
      </c>
      <c r="H68" s="5" t="s">
        <v>3537</v>
      </c>
      <c r="I68" s="24" t="str">
        <f>HYPERLINK("https://www.bilibili.com/video/BV1ne4y1A7oM?p=67", "BV1ne4y1A7oM?p=67")</f>
        <v>BV1ne4y1A7oM?p=67</v>
      </c>
      <c r="J68" s="4" t="str">
        <f ca="1">_xlfn.IFNA(VLOOKUP(INDIRECT("G"&amp;ROW()),minfo!$A:$M,COLUMN()-8,0),"")</f>
        <v>RingRingRing</v>
      </c>
      <c r="K68" s="4" t="str">
        <f ca="1">_xlfn.IFNA(VLOOKUP(INDIRECT("G"&amp;ROW()),minfo!$A:$M,COLUMN()-8,0),"")</f>
        <v>S.H.E</v>
      </c>
      <c r="L68" s="4">
        <f ca="1">_xlfn.IFNA(VLOOKUP(INDIRECT("G"&amp;ROW()),minfo!$A:$M,COLUMN()-8,0),"")</f>
        <v>0</v>
      </c>
      <c r="M68" s="4">
        <f ca="1">_xlfn.IFNA(VLOOKUP(INDIRECT("G"&amp;ROW()),minfo!$A:$M,COLUMN()-8,0),"")</f>
        <v>0</v>
      </c>
      <c r="N68" s="4">
        <f ca="1">_xlfn.IFNA(VLOOKUP(INDIRECT("G"&amp;ROW()),minfo!$A:$M,COLUMN()-8,0),"")</f>
        <v>0</v>
      </c>
      <c r="O68" s="4" t="str">
        <f ca="1">_xlfn.IFNA(VLOOKUP(INDIRECT("G"&amp;ROW()),minfo!$A:$M,COLUMN()-8,0),"")</f>
        <v>http://i0.hdslb.com/bfs/station_src/music_metadata/118b3cbdbc9aeb5dc89685ab0f853a01.jpg</v>
      </c>
      <c r="P68" s="4">
        <f ca="1">_xlfn.IFNA(VLOOKUP(INDIRECT("G"&amp;ROW()),minfo!$A:$M,COLUMN()-8,0),"")</f>
        <v>0</v>
      </c>
      <c r="Q68" s="4">
        <f ca="1">_xlfn.IFNA(VLOOKUP(INDIRECT("G"&amp;ROW()),minfo!$A:$M,COLUMN()-8,0),"")</f>
        <v>2174</v>
      </c>
      <c r="R68" s="4">
        <f ca="1">_xlfn.IFNA(VLOOKUP(INDIRECT("G"&amp;ROW()),minfo!$A:$M,COLUMN()-8,0),"")</f>
        <v>0</v>
      </c>
      <c r="S68" s="4" t="str">
        <f ca="1">_xlfn.IFNA(VLOOKUP(INDIRECT("G"&amp;ROW()),minfo!$A:$M,COLUMN()-8,0),"")</f>
        <v>Forever 新歌+精选</v>
      </c>
      <c r="T68" s="4">
        <f ca="1">_xlfn.IFNA(VLOOKUP(INDIRECT("G"&amp;ROW()),minfo!$A:$M,COLUMN()-8,0),"")</f>
        <v>383197673</v>
      </c>
      <c r="U68" s="4" t="str">
        <f ca="1">_xlfn.IFNA(VLOOKUP(INDIRECT("G"&amp;ROW()),minfo!$A:$M,COLUMN()-8,0),"")</f>
        <v>音乐榜最高NO.18</v>
      </c>
    </row>
    <row r="69" spans="1:21" ht="15.75" customHeight="1">
      <c r="A69" s="15">
        <v>68</v>
      </c>
      <c r="B69" s="4" t="s">
        <v>3609</v>
      </c>
      <c r="C69" s="4">
        <v>69</v>
      </c>
      <c r="D69" s="4">
        <v>68</v>
      </c>
      <c r="E69" s="4" t="s">
        <v>3610</v>
      </c>
      <c r="F69" s="16">
        <v>44969</v>
      </c>
      <c r="G69" s="5" t="s">
        <v>398</v>
      </c>
      <c r="H69" s="5" t="s">
        <v>3537</v>
      </c>
      <c r="I69" s="24" t="str">
        <f>HYPERLINK("https://www.bilibili.com/video/BV1ne4y1A7oM?p=68", "BV1ne4y1A7oM?p=68")</f>
        <v>BV1ne4y1A7oM?p=68</v>
      </c>
      <c r="J69" s="4" t="str">
        <f ca="1">_xlfn.IFNA(VLOOKUP(INDIRECT("G"&amp;ROW()),minfo!$A:$M,COLUMN()-8,0),"")</f>
        <v>Paper Hearts</v>
      </c>
      <c r="K69" s="4" t="str">
        <f ca="1">_xlfn.IFNA(VLOOKUP(INDIRECT("G"&amp;ROW()),minfo!$A:$M,COLUMN()-8,0),"")</f>
        <v>Tori Kelly</v>
      </c>
      <c r="L69" s="4">
        <f ca="1">_xlfn.IFNA(VLOOKUP(INDIRECT("G"&amp;ROW()),minfo!$A:$M,COLUMN()-8,0),"")</f>
        <v>0</v>
      </c>
      <c r="M69" s="4">
        <f ca="1">_xlfn.IFNA(VLOOKUP(INDIRECT("G"&amp;ROW()),minfo!$A:$M,COLUMN()-8,0),"")</f>
        <v>0</v>
      </c>
      <c r="N69" s="4">
        <f ca="1">_xlfn.IFNA(VLOOKUP(INDIRECT("G"&amp;ROW()),minfo!$A:$M,COLUMN()-8,0),"")</f>
        <v>0</v>
      </c>
      <c r="O69" s="4" t="str">
        <f ca="1">_xlfn.IFNA(VLOOKUP(INDIRECT("G"&amp;ROW()),minfo!$A:$M,COLUMN()-8,0),"")</f>
        <v>https://i0.hdslb.com/bfs/station_src/music_metadata/d163890fde7ff71487a0619f16a06100.jpg</v>
      </c>
      <c r="P69" s="4">
        <f ca="1">_xlfn.IFNA(VLOOKUP(INDIRECT("G"&amp;ROW()),minfo!$A:$M,COLUMN()-8,0),"")</f>
        <v>0</v>
      </c>
      <c r="Q69" s="4">
        <f ca="1">_xlfn.IFNA(VLOOKUP(INDIRECT("G"&amp;ROW()),minfo!$A:$M,COLUMN()-8,0),"")</f>
        <v>65</v>
      </c>
      <c r="R69" s="4">
        <f ca="1">_xlfn.IFNA(VLOOKUP(INDIRECT("G"&amp;ROW()),minfo!$A:$M,COLUMN()-8,0),"")</f>
        <v>0</v>
      </c>
      <c r="S69" s="4" t="str">
        <f ca="1">_xlfn.IFNA(VLOOKUP(INDIRECT("G"&amp;ROW()),minfo!$A:$M,COLUMN()-8,0),"")</f>
        <v>Foreword</v>
      </c>
      <c r="T69" s="4">
        <f ca="1">_xlfn.IFNA(VLOOKUP(INDIRECT("G"&amp;ROW()),minfo!$A:$M,COLUMN()-8,0),"")</f>
        <v>14743388</v>
      </c>
      <c r="U69" s="4">
        <f ca="1">_xlfn.IFNA(VLOOKUP(INDIRECT("G"&amp;ROW()),minfo!$A:$M,COLUMN()-8,0),"")</f>
        <v>0</v>
      </c>
    </row>
    <row r="70" spans="1:21" ht="15.75" customHeight="1">
      <c r="A70" s="15">
        <v>69</v>
      </c>
      <c r="B70" s="4" t="s">
        <v>3611</v>
      </c>
      <c r="C70" s="4">
        <v>70</v>
      </c>
      <c r="D70" s="4">
        <v>69</v>
      </c>
      <c r="E70" s="4" t="s">
        <v>1067</v>
      </c>
      <c r="F70" s="16">
        <v>44969</v>
      </c>
      <c r="G70" s="5" t="s">
        <v>1066</v>
      </c>
      <c r="H70" s="5" t="s">
        <v>3537</v>
      </c>
      <c r="I70" s="24" t="str">
        <f>HYPERLINK("https://www.bilibili.com/video/BV1ne4y1A7oM?p=69", "BV1ne4y1A7oM?p=69")</f>
        <v>BV1ne4y1A7oM?p=69</v>
      </c>
      <c r="J70" s="4" t="str">
        <f ca="1">_xlfn.IFNA(VLOOKUP(INDIRECT("G"&amp;ROW()),minfo!$A:$M,COLUMN()-8,0),"")</f>
        <v>永不失联的爱</v>
      </c>
      <c r="K70" s="4" t="str">
        <f ca="1">_xlfn.IFNA(VLOOKUP(INDIRECT("G"&amp;ROW()),minfo!$A:$M,COLUMN()-8,0),"")</f>
        <v>Eric周兴哲</v>
      </c>
      <c r="L70" s="4">
        <f ca="1">_xlfn.IFNA(VLOOKUP(INDIRECT("G"&amp;ROW()),minfo!$A:$M,COLUMN()-8,0),"")</f>
        <v>0</v>
      </c>
      <c r="M70" s="4">
        <f ca="1">_xlfn.IFNA(VLOOKUP(INDIRECT("G"&amp;ROW()),minfo!$A:$M,COLUMN()-8,0),"")</f>
        <v>0</v>
      </c>
      <c r="N70" s="4">
        <f ca="1">_xlfn.IFNA(VLOOKUP(INDIRECT("G"&amp;ROW()),minfo!$A:$M,COLUMN()-8,0),"")</f>
        <v>0</v>
      </c>
      <c r="O70" s="4" t="str">
        <f ca="1">_xlfn.IFNA(VLOOKUP(INDIRECT("G"&amp;ROW()),minfo!$A:$M,COLUMN()-8,0),"")</f>
        <v>http://i0.hdslb.com/bfs/station_src/music_metadata/66d68e12c7bf06dfcd345e31ea45ac05.jpg</v>
      </c>
      <c r="P70" s="4" t="str">
        <f ca="1">_xlfn.IFNA(VLOOKUP(INDIRECT("G"&amp;ROW()),minfo!$A:$M,COLUMN()-8,0),"")</f>
        <v>http://i0.hdslb.com/bfs/station_src/music_metadata/4a6a6c9be708e96306f4fbc010bf2a12</v>
      </c>
      <c r="Q70" s="4">
        <f ca="1">_xlfn.IFNA(VLOOKUP(INDIRECT("G"&amp;ROW()),minfo!$A:$M,COLUMN()-8,0),"")</f>
        <v>1013</v>
      </c>
      <c r="R70" s="4">
        <f ca="1">_xlfn.IFNA(VLOOKUP(INDIRECT("G"&amp;ROW()),minfo!$A:$M,COLUMN()-8,0),"")</f>
        <v>0</v>
      </c>
      <c r="S70" s="4" t="str">
        <f ca="1">_xlfn.IFNA(VLOOKUP(INDIRECT("G"&amp;ROW()),minfo!$A:$M,COLUMN()-8,0),"")</f>
        <v>如果雨之后</v>
      </c>
      <c r="T70" s="4">
        <f ca="1">_xlfn.IFNA(VLOOKUP(INDIRECT("G"&amp;ROW()),minfo!$A:$M,COLUMN()-8,0),"")</f>
        <v>291250605</v>
      </c>
      <c r="U70" s="4">
        <f ca="1">_xlfn.IFNA(VLOOKUP(INDIRECT("G"&amp;ROW()),minfo!$A:$M,COLUMN()-8,0),"")</f>
        <v>0</v>
      </c>
    </row>
    <row r="71" spans="1:21" ht="15.75" customHeight="1">
      <c r="A71" s="15">
        <v>70</v>
      </c>
      <c r="B71" s="4" t="s">
        <v>3612</v>
      </c>
      <c r="C71" s="4">
        <v>71</v>
      </c>
      <c r="D71" s="4">
        <v>70</v>
      </c>
      <c r="E71" s="4" t="s">
        <v>3041</v>
      </c>
      <c r="F71" s="16">
        <v>44969</v>
      </c>
      <c r="G71" s="5" t="s">
        <v>3040</v>
      </c>
      <c r="H71" s="5" t="s">
        <v>3537</v>
      </c>
      <c r="I71" s="24" t="str">
        <f>HYPERLINK("https://www.bilibili.com/video/BV1ne4y1A7oM?p=70", "BV1ne4y1A7oM?p=70")</f>
        <v>BV1ne4y1A7oM?p=70</v>
      </c>
      <c r="J71" s="4" t="str">
        <f ca="1">_xlfn.IFNA(VLOOKUP(INDIRECT("G"&amp;ROW()),minfo!$A:$M,COLUMN()-8,0),"")</f>
        <v>陪我歌唱</v>
      </c>
      <c r="K71" s="4" t="str">
        <f ca="1">_xlfn.IFNA(VLOOKUP(INDIRECT("G"&amp;ROW()),minfo!$A:$M,COLUMN()-8,0),"")</f>
        <v>苏打绿</v>
      </c>
      <c r="L71" s="4">
        <f ca="1">_xlfn.IFNA(VLOOKUP(INDIRECT("G"&amp;ROW()),minfo!$A:$M,COLUMN()-8,0),"")</f>
        <v>0</v>
      </c>
      <c r="M71" s="4">
        <f ca="1">_xlfn.IFNA(VLOOKUP(INDIRECT("G"&amp;ROW()),minfo!$A:$M,COLUMN()-8,0),"")</f>
        <v>0</v>
      </c>
      <c r="N71" s="4">
        <f ca="1">_xlfn.IFNA(VLOOKUP(INDIRECT("G"&amp;ROW()),minfo!$A:$M,COLUMN()-8,0),"")</f>
        <v>0</v>
      </c>
      <c r="O71" s="4" t="str">
        <f ca="1">_xlfn.IFNA(VLOOKUP(INDIRECT("G"&amp;ROW()),minfo!$A:$M,COLUMN()-8,0),"")</f>
        <v>https://i0.hdslb.com/bfs/station_src/music_metadata/d1866137a55e3bfd54656084f70d6f21.jpg</v>
      </c>
      <c r="P71" s="4" t="str">
        <f ca="1">_xlfn.IFNA(VLOOKUP(INDIRECT("G"&amp;ROW()),minfo!$A:$M,COLUMN()-8,0),"")</f>
        <v>https://i0.hdslb.com/bfs/station_src/music_metadata/a46b2487416574fd19a099188181565d.txt</v>
      </c>
      <c r="Q71" s="4">
        <f ca="1">_xlfn.IFNA(VLOOKUP(INDIRECT("G"&amp;ROW()),minfo!$A:$M,COLUMN()-8,0),"")</f>
        <v>0</v>
      </c>
      <c r="R71" s="4">
        <f ca="1">_xlfn.IFNA(VLOOKUP(INDIRECT("G"&amp;ROW()),minfo!$A:$M,COLUMN()-8,0),"")</f>
        <v>0</v>
      </c>
      <c r="S71" s="4" t="str">
        <f ca="1">_xlfn.IFNA(VLOOKUP(INDIRECT("G"&amp;ROW()),minfo!$A:$M,COLUMN()-8,0),"")</f>
        <v>陪我歌唱 (苏打绿版)</v>
      </c>
      <c r="T71" s="4">
        <f ca="1">_xlfn.IFNA(VLOOKUP(INDIRECT("G"&amp;ROW()),minfo!$A:$M,COLUMN()-8,0),"")</f>
        <v>493220</v>
      </c>
      <c r="U71" s="4">
        <f ca="1">_xlfn.IFNA(VLOOKUP(INDIRECT("G"&amp;ROW()),minfo!$A:$M,COLUMN()-8,0),"")</f>
        <v>0</v>
      </c>
    </row>
    <row r="72" spans="1:21" ht="15.75" customHeight="1">
      <c r="A72" s="15">
        <v>71</v>
      </c>
      <c r="B72" s="4" t="s">
        <v>3613</v>
      </c>
      <c r="C72" s="4">
        <v>72</v>
      </c>
      <c r="D72" s="4">
        <v>71</v>
      </c>
      <c r="E72" s="4" t="s">
        <v>642</v>
      </c>
      <c r="F72" s="16">
        <v>44969</v>
      </c>
      <c r="G72" s="5" t="s">
        <v>641</v>
      </c>
      <c r="H72" s="5" t="s">
        <v>3537</v>
      </c>
      <c r="I72" s="24" t="str">
        <f>HYPERLINK("https://www.bilibili.com/video/BV1ne4y1A7oM?p=71", "BV1ne4y1A7oM?p=71")</f>
        <v>BV1ne4y1A7oM?p=71</v>
      </c>
      <c r="J72" s="4" t="str">
        <f ca="1">_xlfn.IFNA(VLOOKUP(INDIRECT("G"&amp;ROW()),minfo!$A:$M,COLUMN()-8,0),"")</f>
        <v>左边</v>
      </c>
      <c r="K72" s="4" t="str">
        <f ca="1">_xlfn.IFNA(VLOOKUP(INDIRECT("G"&amp;ROW()),minfo!$A:$M,COLUMN()-8,0),"")</f>
        <v>杨丞琳</v>
      </c>
      <c r="L72" s="4">
        <f ca="1">_xlfn.IFNA(VLOOKUP(INDIRECT("G"&amp;ROW()),minfo!$A:$M,COLUMN()-8,0),"")</f>
        <v>0</v>
      </c>
      <c r="M72" s="4">
        <f ca="1">_xlfn.IFNA(VLOOKUP(INDIRECT("G"&amp;ROW()),minfo!$A:$M,COLUMN()-8,0),"")</f>
        <v>0</v>
      </c>
      <c r="N72" s="4">
        <f ca="1">_xlfn.IFNA(VLOOKUP(INDIRECT("G"&amp;ROW()),minfo!$A:$M,COLUMN()-8,0),"")</f>
        <v>0</v>
      </c>
      <c r="O72" s="4" t="str">
        <f ca="1">_xlfn.IFNA(VLOOKUP(INDIRECT("G"&amp;ROW()),minfo!$A:$M,COLUMN()-8,0),"")</f>
        <v>https://i0.hdslb.com/bfs/station_src/music_metadata/0606c553b019d6955e7932dfd839f28c.jpg</v>
      </c>
      <c r="P72" s="4" t="str">
        <f ca="1">_xlfn.IFNA(VLOOKUP(INDIRECT("G"&amp;ROW()),minfo!$A:$M,COLUMN()-8,0),"")</f>
        <v>http://i0.hdslb.com/bfs/station_src/music_metadata/b2bbd1cc5e237296e0cf70a277cd471c</v>
      </c>
      <c r="Q72" s="4">
        <f ca="1">_xlfn.IFNA(VLOOKUP(INDIRECT("G"&amp;ROW()),minfo!$A:$M,COLUMN()-8,0),"")</f>
        <v>44</v>
      </c>
      <c r="R72" s="4" t="str">
        <f ca="1">_xlfn.IFNA(VLOOKUP(INDIRECT("G"&amp;ROW()),minfo!$A:$M,COLUMN()-8,0),"")</f>
        <v>电视剧《奋斗》插曲</v>
      </c>
      <c r="S72" s="4" t="str">
        <f ca="1">_xlfn.IFNA(VLOOKUP(INDIRECT("G"&amp;ROW()),minfo!$A:$M,COLUMN()-8,0),"")</f>
        <v>遇上爱</v>
      </c>
      <c r="T72" s="4">
        <f ca="1">_xlfn.IFNA(VLOOKUP(INDIRECT("G"&amp;ROW()),minfo!$A:$M,COLUMN()-8,0),"")</f>
        <v>28182657</v>
      </c>
      <c r="U72" s="4">
        <f ca="1">_xlfn.IFNA(VLOOKUP(INDIRECT("G"&amp;ROW()),minfo!$A:$M,COLUMN()-8,0),"")</f>
        <v>0</v>
      </c>
    </row>
    <row r="73" spans="1:21" ht="15.75" customHeight="1">
      <c r="A73" s="15">
        <v>72</v>
      </c>
      <c r="B73" s="4" t="s">
        <v>3614</v>
      </c>
      <c r="C73" s="4">
        <v>73</v>
      </c>
      <c r="D73" s="4">
        <v>72</v>
      </c>
      <c r="E73" s="4" t="s">
        <v>130</v>
      </c>
      <c r="F73" s="16">
        <v>44969</v>
      </c>
      <c r="G73" s="5" t="s">
        <v>130</v>
      </c>
      <c r="H73" s="5" t="s">
        <v>3537</v>
      </c>
      <c r="I73" s="24" t="str">
        <f>HYPERLINK("https://www.bilibili.com/video/BV1ne4y1A7oM?p=72", "BV1ne4y1A7oM?p=72")</f>
        <v>BV1ne4y1A7oM?p=72</v>
      </c>
      <c r="J73" s="4" t="str">
        <f ca="1">_xlfn.IFNA(VLOOKUP(INDIRECT("G"&amp;ROW()),minfo!$A:$M,COLUMN()-8,0),"")</f>
        <v>交响梦</v>
      </c>
      <c r="K73" s="4" t="str">
        <f ca="1">_xlfn.IFNA(VLOOKUP(INDIRECT("G"&amp;ROW()),minfo!$A:$M,COLUMN()-8,0),"")</f>
        <v>苏打绿</v>
      </c>
      <c r="L73" s="4">
        <f ca="1">_xlfn.IFNA(VLOOKUP(INDIRECT("G"&amp;ROW()),minfo!$A:$M,COLUMN()-8,0),"")</f>
        <v>0</v>
      </c>
      <c r="M73" s="4">
        <f ca="1">_xlfn.IFNA(VLOOKUP(INDIRECT("G"&amp;ROW()),minfo!$A:$M,COLUMN()-8,0),"")</f>
        <v>0</v>
      </c>
      <c r="N73" s="4">
        <f ca="1">_xlfn.IFNA(VLOOKUP(INDIRECT("G"&amp;ROW()),minfo!$A:$M,COLUMN()-8,0),"")</f>
        <v>0</v>
      </c>
      <c r="O73" s="4">
        <f ca="1">_xlfn.IFNA(VLOOKUP(INDIRECT("G"&amp;ROW()),minfo!$A:$M,COLUMN()-8,0),"")</f>
        <v>0</v>
      </c>
      <c r="P73" s="4">
        <f ca="1">_xlfn.IFNA(VLOOKUP(INDIRECT("G"&amp;ROW()),minfo!$A:$M,COLUMN()-8,0),"")</f>
        <v>0</v>
      </c>
      <c r="Q73" s="4">
        <f ca="1">_xlfn.IFNA(VLOOKUP(INDIRECT("G"&amp;ROW()),minfo!$A:$M,COLUMN()-8,0),"")</f>
        <v>0</v>
      </c>
      <c r="R73" s="4">
        <f ca="1">_xlfn.IFNA(VLOOKUP(INDIRECT("G"&amp;ROW()),minfo!$A:$M,COLUMN()-8,0),"")</f>
        <v>0</v>
      </c>
      <c r="S73" s="4">
        <f ca="1">_xlfn.IFNA(VLOOKUP(INDIRECT("G"&amp;ROW()),minfo!$A:$M,COLUMN()-8,0),"")</f>
        <v>0</v>
      </c>
      <c r="T73" s="4">
        <f ca="1">_xlfn.IFNA(VLOOKUP(INDIRECT("G"&amp;ROW()),minfo!$A:$M,COLUMN()-8,0),"")</f>
        <v>0</v>
      </c>
      <c r="U73" s="4">
        <f ca="1">_xlfn.IFNA(VLOOKUP(INDIRECT("G"&amp;ROW()),minfo!$A:$M,COLUMN()-8,0),"")</f>
        <v>0</v>
      </c>
    </row>
    <row r="74" spans="1:21" ht="15.75" customHeight="1">
      <c r="A74" s="15">
        <v>73</v>
      </c>
      <c r="B74" s="4" t="s">
        <v>3615</v>
      </c>
      <c r="C74" s="4">
        <v>74</v>
      </c>
      <c r="D74" s="4">
        <v>73</v>
      </c>
      <c r="E74" s="4" t="s">
        <v>404</v>
      </c>
      <c r="F74" s="16">
        <v>44969</v>
      </c>
      <c r="G74" s="5" t="s">
        <v>403</v>
      </c>
      <c r="H74" s="5" t="s">
        <v>3537</v>
      </c>
      <c r="I74" s="24" t="str">
        <f>HYPERLINK("https://www.bilibili.com/video/BV1ne4y1A7oM?p=73", "BV1ne4y1A7oM?p=73")</f>
        <v>BV1ne4y1A7oM?p=73</v>
      </c>
      <c r="J74" s="4" t="str">
        <f ca="1">_xlfn.IFNA(VLOOKUP(INDIRECT("G"&amp;ROW()),minfo!$A:$M,COLUMN()-8,0),"")</f>
        <v>无眠</v>
      </c>
      <c r="K74" s="4" t="str">
        <f ca="1">_xlfn.IFNA(VLOOKUP(INDIRECT("G"&amp;ROW()),minfo!$A:$M,COLUMN()-8,0),"")</f>
        <v>苏打绿</v>
      </c>
      <c r="L74" s="4">
        <f ca="1">_xlfn.IFNA(VLOOKUP(INDIRECT("G"&amp;ROW()),minfo!$A:$M,COLUMN()-8,0),"")</f>
        <v>0</v>
      </c>
      <c r="M74" s="4">
        <f ca="1">_xlfn.IFNA(VLOOKUP(INDIRECT("G"&amp;ROW()),minfo!$A:$M,COLUMN()-8,0),"")</f>
        <v>0</v>
      </c>
      <c r="N74" s="4">
        <f ca="1">_xlfn.IFNA(VLOOKUP(INDIRECT("G"&amp;ROW()),minfo!$A:$M,COLUMN()-8,0),"")</f>
        <v>0</v>
      </c>
      <c r="O74" s="4" t="str">
        <f ca="1">_xlfn.IFNA(VLOOKUP(INDIRECT("G"&amp;ROW()),minfo!$A:$M,COLUMN()-8,0),"")</f>
        <v>https://i0.hdslb.com/bfs/station_src/music_metadata/ce381d40d5668fce4078b49734ac5df3.jpg</v>
      </c>
      <c r="P74" s="4" t="str">
        <f ca="1">_xlfn.IFNA(VLOOKUP(INDIRECT("G"&amp;ROW()),minfo!$A:$M,COLUMN()-8,0),"")</f>
        <v>https://i0.hdslb.com/bfs/station_src/music_metadata/a10d73e7a113caa92a4fe727f216eb73.txt</v>
      </c>
      <c r="Q74" s="4">
        <f ca="1">_xlfn.IFNA(VLOOKUP(INDIRECT("G"&amp;ROW()),minfo!$A:$M,COLUMN()-8,0),"")</f>
        <v>29</v>
      </c>
      <c r="R74" s="4">
        <f ca="1">_xlfn.IFNA(VLOOKUP(INDIRECT("G"&amp;ROW()),minfo!$A:$M,COLUMN()-8,0),"")</f>
        <v>0</v>
      </c>
      <c r="S74" s="4" t="str">
        <f ca="1">_xlfn.IFNA(VLOOKUP(INDIRECT("G"&amp;ROW()),minfo!$A:$M,COLUMN()-8,0),"")</f>
        <v>音乐零时差-57</v>
      </c>
      <c r="T74" s="4">
        <f ca="1">_xlfn.IFNA(VLOOKUP(INDIRECT("G"&amp;ROW()),minfo!$A:$M,COLUMN()-8,0),"")</f>
        <v>4935297</v>
      </c>
      <c r="U74" s="4">
        <f ca="1">_xlfn.IFNA(VLOOKUP(INDIRECT("G"&amp;ROW()),minfo!$A:$M,COLUMN()-8,0),"")</f>
        <v>0</v>
      </c>
    </row>
    <row r="75" spans="1:21" ht="15.75" customHeight="1">
      <c r="A75" s="15">
        <v>74</v>
      </c>
      <c r="B75" s="4" t="s">
        <v>3616</v>
      </c>
      <c r="C75" s="4">
        <v>75</v>
      </c>
      <c r="D75" s="4">
        <v>74</v>
      </c>
      <c r="E75" s="4" t="s">
        <v>409</v>
      </c>
      <c r="F75" s="16">
        <v>44969</v>
      </c>
      <c r="G75" s="5" t="s">
        <v>408</v>
      </c>
      <c r="H75" s="5" t="s">
        <v>3537</v>
      </c>
      <c r="I75" s="24" t="str">
        <f>HYPERLINK("https://www.bilibili.com/video/BV1ne4y1A7oM?p=74", "BV1ne4y1A7oM?p=74")</f>
        <v>BV1ne4y1A7oM?p=74</v>
      </c>
      <c r="J75" s="4" t="str">
        <f ca="1">_xlfn.IFNA(VLOOKUP(INDIRECT("G"&amp;ROW()),minfo!$A:$M,COLUMN()-8,0),"")</f>
        <v>呼吸决定</v>
      </c>
      <c r="K75" s="4" t="str">
        <f ca="1">_xlfn.IFNA(VLOOKUP(INDIRECT("G"&amp;ROW()),minfo!$A:$M,COLUMN()-8,0),"")</f>
        <v>Fine乐团</v>
      </c>
      <c r="L75" s="4">
        <f ca="1">_xlfn.IFNA(VLOOKUP(INDIRECT("G"&amp;ROW()),minfo!$A:$M,COLUMN()-8,0),"")</f>
        <v>0</v>
      </c>
      <c r="M75" s="4">
        <f ca="1">_xlfn.IFNA(VLOOKUP(INDIRECT("G"&amp;ROW()),minfo!$A:$M,COLUMN()-8,0),"")</f>
        <v>0</v>
      </c>
      <c r="N75" s="4">
        <f ca="1">_xlfn.IFNA(VLOOKUP(INDIRECT("G"&amp;ROW()),minfo!$A:$M,COLUMN()-8,0),"")</f>
        <v>0</v>
      </c>
      <c r="O75" s="4" t="str">
        <f ca="1">_xlfn.IFNA(VLOOKUP(INDIRECT("G"&amp;ROW()),minfo!$A:$M,COLUMN()-8,0),"")</f>
        <v>http://i0.hdslb.com/bfs/station_src/music_metadata/de6c3020bce1962dc02b42568606781f.jpg</v>
      </c>
      <c r="P75" s="4" t="str">
        <f ca="1">_xlfn.IFNA(VLOOKUP(INDIRECT("G"&amp;ROW()),minfo!$A:$M,COLUMN()-8,0),"")</f>
        <v>http://i0.hdslb.com/bfs/station_src/music_metadata/9dfd516512eb23be6e624848db3bed57</v>
      </c>
      <c r="Q75" s="4">
        <f ca="1">_xlfn.IFNA(VLOOKUP(INDIRECT("G"&amp;ROW()),minfo!$A:$M,COLUMN()-8,0),"")</f>
        <v>838</v>
      </c>
      <c r="R75" s="4">
        <f ca="1">_xlfn.IFNA(VLOOKUP(INDIRECT("G"&amp;ROW()),minfo!$A:$M,COLUMN()-8,0),"")</f>
        <v>0</v>
      </c>
      <c r="S75" s="4">
        <f ca="1">_xlfn.IFNA(VLOOKUP(INDIRECT("G"&amp;ROW()),minfo!$A:$M,COLUMN()-8,0),"")</f>
        <v>0</v>
      </c>
      <c r="T75" s="4">
        <f ca="1">_xlfn.IFNA(VLOOKUP(INDIRECT("G"&amp;ROW()),minfo!$A:$M,COLUMN()-8,0),"")</f>
        <v>100019249</v>
      </c>
      <c r="U75" s="4">
        <f ca="1">_xlfn.IFNA(VLOOKUP(INDIRECT("G"&amp;ROW()),minfo!$A:$M,COLUMN()-8,0),"")</f>
        <v>0</v>
      </c>
    </row>
    <row r="76" spans="1:21" ht="15.75" customHeight="1">
      <c r="A76" s="15">
        <v>75</v>
      </c>
      <c r="B76" s="4" t="s">
        <v>3617</v>
      </c>
      <c r="C76" s="4">
        <v>76</v>
      </c>
      <c r="D76" s="4">
        <v>75</v>
      </c>
      <c r="E76" s="4" t="s">
        <v>414</v>
      </c>
      <c r="F76" s="16">
        <v>44971</v>
      </c>
      <c r="G76" s="5" t="s">
        <v>413</v>
      </c>
      <c r="H76" s="5" t="s">
        <v>3537</v>
      </c>
      <c r="I76" s="24" t="str">
        <f>HYPERLINK("https://www.bilibili.com/video/BV1ne4y1A7oM?p=75", "BV1ne4y1A7oM?p=75")</f>
        <v>BV1ne4y1A7oM?p=75</v>
      </c>
      <c r="J76" s="4" t="str">
        <f ca="1">_xlfn.IFNA(VLOOKUP(INDIRECT("G"&amp;ROW()),minfo!$A:$M,COLUMN()-8,0),"")</f>
        <v>告白气球</v>
      </c>
      <c r="K76" s="4" t="str">
        <f ca="1">_xlfn.IFNA(VLOOKUP(INDIRECT("G"&amp;ROW()),minfo!$A:$M,COLUMN()-8,0),"")</f>
        <v>周杰伦</v>
      </c>
      <c r="L76" s="4">
        <f ca="1">_xlfn.IFNA(VLOOKUP(INDIRECT("G"&amp;ROW()),minfo!$A:$M,COLUMN()-8,0),"")</f>
        <v>0</v>
      </c>
      <c r="M76" s="4">
        <f ca="1">_xlfn.IFNA(VLOOKUP(INDIRECT("G"&amp;ROW()),minfo!$A:$M,COLUMN()-8,0),"")</f>
        <v>0</v>
      </c>
      <c r="N76" s="4">
        <f ca="1">_xlfn.IFNA(VLOOKUP(INDIRECT("G"&amp;ROW()),minfo!$A:$M,COLUMN()-8,0),"")</f>
        <v>0</v>
      </c>
      <c r="O76" s="4" t="str">
        <f ca="1">_xlfn.IFNA(VLOOKUP(INDIRECT("G"&amp;ROW()),minfo!$A:$M,COLUMN()-8,0),"")</f>
        <v>https://i0.hdslb.com/bfs/station_src/music_metadata/597fc2909210e665dd3a007352426e49.jpg</v>
      </c>
      <c r="P76" s="4">
        <f ca="1">_xlfn.IFNA(VLOOKUP(INDIRECT("G"&amp;ROW()),minfo!$A:$M,COLUMN()-8,0),"")</f>
        <v>0</v>
      </c>
      <c r="Q76" s="4">
        <f ca="1">_xlfn.IFNA(VLOOKUP(INDIRECT("G"&amp;ROW()),minfo!$A:$M,COLUMN()-8,0),"")</f>
        <v>2791</v>
      </c>
      <c r="R76" s="4">
        <f ca="1">_xlfn.IFNA(VLOOKUP(INDIRECT("G"&amp;ROW()),minfo!$A:$M,COLUMN()-8,0),"")</f>
        <v>0</v>
      </c>
      <c r="S76" s="4" t="str">
        <f ca="1">_xlfn.IFNA(VLOOKUP(INDIRECT("G"&amp;ROW()),minfo!$A:$M,COLUMN()-8,0),"")</f>
        <v>周杰伦的床边故事</v>
      </c>
      <c r="T76" s="4">
        <f ca="1">_xlfn.IFNA(VLOOKUP(INDIRECT("G"&amp;ROW()),minfo!$A:$M,COLUMN()-8,0),"")</f>
        <v>787100295</v>
      </c>
      <c r="U76" s="4">
        <f ca="1">_xlfn.IFNA(VLOOKUP(INDIRECT("G"&amp;ROW()),minfo!$A:$M,COLUMN()-8,0),"")</f>
        <v>0</v>
      </c>
    </row>
    <row r="77" spans="1:21" ht="15.75" customHeight="1">
      <c r="A77" s="15">
        <v>76</v>
      </c>
      <c r="B77" s="4" t="s">
        <v>3618</v>
      </c>
      <c r="C77" s="4">
        <v>77</v>
      </c>
      <c r="D77" s="4">
        <v>76</v>
      </c>
      <c r="E77" s="4" t="s">
        <v>418</v>
      </c>
      <c r="F77" s="16">
        <v>44971</v>
      </c>
      <c r="G77" s="5" t="s">
        <v>417</v>
      </c>
      <c r="H77" s="5" t="s">
        <v>3537</v>
      </c>
      <c r="I77" s="24" t="str">
        <f>HYPERLINK("https://www.bilibili.com/video/BV1ne4y1A7oM?p=76", "BV1ne4y1A7oM?p=76")</f>
        <v>BV1ne4y1A7oM?p=76</v>
      </c>
      <c r="J77" s="4" t="str">
        <f ca="1">_xlfn.IFNA(VLOOKUP(INDIRECT("G"&amp;ROW()),minfo!$A:$M,COLUMN()-8,0),"")</f>
        <v>甜甜的</v>
      </c>
      <c r="K77" s="4" t="str">
        <f ca="1">_xlfn.IFNA(VLOOKUP(INDIRECT("G"&amp;ROW()),minfo!$A:$M,COLUMN()-8,0),"")</f>
        <v>周杰伦</v>
      </c>
      <c r="L77" s="4">
        <f ca="1">_xlfn.IFNA(VLOOKUP(INDIRECT("G"&amp;ROW()),minfo!$A:$M,COLUMN()-8,0),"")</f>
        <v>0</v>
      </c>
      <c r="M77" s="4">
        <f ca="1">_xlfn.IFNA(VLOOKUP(INDIRECT("G"&amp;ROW()),minfo!$A:$M,COLUMN()-8,0),"")</f>
        <v>0</v>
      </c>
      <c r="N77" s="4">
        <f ca="1">_xlfn.IFNA(VLOOKUP(INDIRECT("G"&amp;ROW()),minfo!$A:$M,COLUMN()-8,0),"")</f>
        <v>0</v>
      </c>
      <c r="O77" s="4" t="str">
        <f ca="1">_xlfn.IFNA(VLOOKUP(INDIRECT("G"&amp;ROW()),minfo!$A:$M,COLUMN()-8,0),"")</f>
        <v>http://i0.hdslb.com/bfs/station_src/music_metadata/b70b267ed4b8e6627ef2fddb400bc930.jpg</v>
      </c>
      <c r="P77" s="4" t="str">
        <f ca="1">_xlfn.IFNA(VLOOKUP(INDIRECT("G"&amp;ROW()),minfo!$A:$M,COLUMN()-8,0),"")</f>
        <v>http://i0.hdslb.com/bfs/station_src/music_metadata/279ee78db41e6396428b468a8620d95b</v>
      </c>
      <c r="Q77" s="4">
        <f ca="1">_xlfn.IFNA(VLOOKUP(INDIRECT("G"&amp;ROW()),minfo!$A:$M,COLUMN()-8,0),"")</f>
        <v>1115</v>
      </c>
      <c r="R77" s="4">
        <f ca="1">_xlfn.IFNA(VLOOKUP(INDIRECT("G"&amp;ROW()),minfo!$A:$M,COLUMN()-8,0),"")</f>
        <v>0</v>
      </c>
      <c r="S77" s="4" t="str">
        <f ca="1">_xlfn.IFNA(VLOOKUP(INDIRECT("G"&amp;ROW()),minfo!$A:$M,COLUMN()-8,0),"")</f>
        <v>我很忙</v>
      </c>
      <c r="T77" s="4">
        <f ca="1">_xlfn.IFNA(VLOOKUP(INDIRECT("G"&amp;ROW()),minfo!$A:$M,COLUMN()-8,0),"")</f>
        <v>514709406</v>
      </c>
      <c r="U77" s="4">
        <f ca="1">_xlfn.IFNA(VLOOKUP(INDIRECT("G"&amp;ROW()),minfo!$A:$M,COLUMN()-8,0),"")</f>
        <v>0</v>
      </c>
    </row>
    <row r="78" spans="1:21" ht="15.75" customHeight="1">
      <c r="A78" s="15">
        <v>77</v>
      </c>
      <c r="B78" s="4" t="s">
        <v>3619</v>
      </c>
      <c r="C78" s="4">
        <v>78</v>
      </c>
      <c r="D78" s="4">
        <v>77</v>
      </c>
      <c r="E78" s="4" t="s">
        <v>422</v>
      </c>
      <c r="F78" s="16">
        <v>44971</v>
      </c>
      <c r="G78" s="5" t="s">
        <v>421</v>
      </c>
      <c r="H78" s="5" t="s">
        <v>3537</v>
      </c>
      <c r="I78" s="24" t="str">
        <f>HYPERLINK("https://www.bilibili.com/video/BV1ne4y1A7oM?p=77", "BV1ne4y1A7oM?p=77")</f>
        <v>BV1ne4y1A7oM?p=77</v>
      </c>
      <c r="J78" s="4" t="str">
        <f ca="1">_xlfn.IFNA(VLOOKUP(INDIRECT("G"&amp;ROW()),minfo!$A:$M,COLUMN()-8,0),"")</f>
        <v>爱情废柴</v>
      </c>
      <c r="K78" s="4" t="str">
        <f ca="1">_xlfn.IFNA(VLOOKUP(INDIRECT("G"&amp;ROW()),minfo!$A:$M,COLUMN()-8,0),"")</f>
        <v>周杰伦</v>
      </c>
      <c r="L78" s="4">
        <f ca="1">_xlfn.IFNA(VLOOKUP(INDIRECT("G"&amp;ROW()),minfo!$A:$M,COLUMN()-8,0),"")</f>
        <v>0</v>
      </c>
      <c r="M78" s="4">
        <f ca="1">_xlfn.IFNA(VLOOKUP(INDIRECT("G"&amp;ROW()),minfo!$A:$M,COLUMN()-8,0),"")</f>
        <v>0</v>
      </c>
      <c r="N78" s="4">
        <f ca="1">_xlfn.IFNA(VLOOKUP(INDIRECT("G"&amp;ROW()),minfo!$A:$M,COLUMN()-8,0),"")</f>
        <v>0</v>
      </c>
      <c r="O78" s="4" t="str">
        <f ca="1">_xlfn.IFNA(VLOOKUP(INDIRECT("G"&amp;ROW()),minfo!$A:$M,COLUMN()-8,0),"")</f>
        <v>https://i0.hdslb.com/bfs/station_src/music_metadata/b27285ea13574397bca7b651a4eb0612.jpg</v>
      </c>
      <c r="P78" s="4" t="str">
        <f ca="1">_xlfn.IFNA(VLOOKUP(INDIRECT("G"&amp;ROW()),minfo!$A:$M,COLUMN()-8,0),"")</f>
        <v>copyright-crawler/music/task-lyric/640d4e7ac961e7c45dca2fe1.txt</v>
      </c>
      <c r="Q78" s="4">
        <f ca="1">_xlfn.IFNA(VLOOKUP(INDIRECT("G"&amp;ROW()),minfo!$A:$M,COLUMN()-8,0),"")</f>
        <v>984</v>
      </c>
      <c r="R78" s="4" t="str">
        <f ca="1">_xlfn.IFNA(VLOOKUP(INDIRECT("G"&amp;ROW()),minfo!$A:$M,COLUMN()-8,0),"")</f>
        <v>爱情废柴</v>
      </c>
      <c r="S78" s="4" t="str">
        <f ca="1">_xlfn.IFNA(VLOOKUP(INDIRECT("G"&amp;ROW()),minfo!$A:$M,COLUMN()-8,0),"")</f>
        <v>周杰伦的床边故事</v>
      </c>
      <c r="T78" s="4">
        <f ca="1">_xlfn.IFNA(VLOOKUP(INDIRECT("G"&amp;ROW()),minfo!$A:$M,COLUMN()-8,0),"")</f>
        <v>226606662</v>
      </c>
      <c r="U78" s="4">
        <f ca="1">_xlfn.IFNA(VLOOKUP(INDIRECT("G"&amp;ROW()),minfo!$A:$M,COLUMN()-8,0),"")</f>
        <v>0</v>
      </c>
    </row>
    <row r="79" spans="1:21" ht="15.75" customHeight="1">
      <c r="A79" s="15">
        <v>78</v>
      </c>
      <c r="B79" s="4" t="s">
        <v>3620</v>
      </c>
      <c r="C79" s="4">
        <v>79</v>
      </c>
      <c r="D79" s="4">
        <v>78</v>
      </c>
      <c r="E79" s="4" t="s">
        <v>426</v>
      </c>
      <c r="F79" s="16">
        <v>44971</v>
      </c>
      <c r="G79" s="5" t="s">
        <v>425</v>
      </c>
      <c r="H79" s="5" t="s">
        <v>3537</v>
      </c>
      <c r="I79" s="24" t="str">
        <f>HYPERLINK("https://www.bilibili.com/video/BV1ne4y1A7oM?p=78", "BV1ne4y1A7oM?p=78")</f>
        <v>BV1ne4y1A7oM?p=78</v>
      </c>
      <c r="J79" s="4" t="str">
        <f ca="1">_xlfn.IFNA(VLOOKUP(INDIRECT("G"&amp;ROW()),minfo!$A:$M,COLUMN()-8,0),"")</f>
        <v>说散就散</v>
      </c>
      <c r="K79" s="4" t="str">
        <f ca="1">_xlfn.IFNA(VLOOKUP(INDIRECT("G"&amp;ROW()),minfo!$A:$M,COLUMN()-8,0),"")</f>
        <v>袁娅维TIA RAY</v>
      </c>
      <c r="L79" s="4">
        <f ca="1">_xlfn.IFNA(VLOOKUP(INDIRECT("G"&amp;ROW()),minfo!$A:$M,COLUMN()-8,0),"")</f>
        <v>0</v>
      </c>
      <c r="M79" s="4">
        <f ca="1">_xlfn.IFNA(VLOOKUP(INDIRECT("G"&amp;ROW()),minfo!$A:$M,COLUMN()-8,0),"")</f>
        <v>0</v>
      </c>
      <c r="N79" s="4">
        <f ca="1">_xlfn.IFNA(VLOOKUP(INDIRECT("G"&amp;ROW()),minfo!$A:$M,COLUMN()-8,0),"")</f>
        <v>0</v>
      </c>
      <c r="O79" s="4" t="str">
        <f ca="1">_xlfn.IFNA(VLOOKUP(INDIRECT("G"&amp;ROW()),minfo!$A:$M,COLUMN()-8,0),"")</f>
        <v>http://i0.hdslb.com/bfs/station_src/music_metadata/0d2a98cfa94a37041a8fd9f6d060a0aa.jpg</v>
      </c>
      <c r="P79" s="4" t="str">
        <f ca="1">_xlfn.IFNA(VLOOKUP(INDIRECT("G"&amp;ROW()),minfo!$A:$M,COLUMN()-8,0),"")</f>
        <v>http://i0.hdslb.com/bfs/station_src/music_metadata/ac9c061324965249882f646ffef11dd0</v>
      </c>
      <c r="Q79" s="4">
        <f ca="1">_xlfn.IFNA(VLOOKUP(INDIRECT("G"&amp;ROW()),minfo!$A:$M,COLUMN()-8,0),"")</f>
        <v>876</v>
      </c>
      <c r="R79" s="4" t="str">
        <f ca="1">_xlfn.IFNA(VLOOKUP(INDIRECT("G"&amp;ROW()),minfo!$A:$M,COLUMN()-8,0),"")</f>
        <v>《前任3：再见前任》主题曲)</v>
      </c>
      <c r="S79" s="4" t="str">
        <f ca="1">_xlfn.IFNA(VLOOKUP(INDIRECT("G"&amp;ROW()),minfo!$A:$M,COLUMN()-8,0),"")</f>
        <v>说散就散</v>
      </c>
      <c r="T79" s="4">
        <f ca="1">_xlfn.IFNA(VLOOKUP(INDIRECT("G"&amp;ROW()),minfo!$A:$M,COLUMN()-8,0),"")</f>
        <v>263880895</v>
      </c>
      <c r="U79" s="4" t="str">
        <f ca="1">_xlfn.IFNA(VLOOKUP(INDIRECT("G"&amp;ROW()),minfo!$A:$M,COLUMN()-8,0),"")</f>
        <v>音乐榜最高NO.17</v>
      </c>
    </row>
    <row r="80" spans="1:21" ht="15.75" customHeight="1">
      <c r="A80" s="15">
        <v>79</v>
      </c>
      <c r="B80" s="4" t="s">
        <v>3621</v>
      </c>
      <c r="C80" s="4">
        <v>80</v>
      </c>
      <c r="D80" s="4">
        <v>79</v>
      </c>
      <c r="E80" s="4" t="s">
        <v>433</v>
      </c>
      <c r="F80" s="16">
        <v>44971</v>
      </c>
      <c r="G80" s="5" t="s">
        <v>432</v>
      </c>
      <c r="H80" s="5" t="s">
        <v>3537</v>
      </c>
      <c r="I80" s="24" t="str">
        <f>HYPERLINK("https://www.bilibili.com/video/BV1ne4y1A7oM?p=79", "BV1ne4y1A7oM?p=79")</f>
        <v>BV1ne4y1A7oM?p=79</v>
      </c>
      <c r="J80" s="4" t="str">
        <f ca="1">_xlfn.IFNA(VLOOKUP(INDIRECT("G"&amp;ROW()),minfo!$A:$M,COLUMN()-8,0),"")</f>
        <v>喜欢你</v>
      </c>
      <c r="K80" s="4" t="str">
        <f ca="1">_xlfn.IFNA(VLOOKUP(INDIRECT("G"&amp;ROW()),minfo!$A:$M,COLUMN()-8,0),"")</f>
        <v>陈洁仪</v>
      </c>
      <c r="L80" s="4">
        <f ca="1">_xlfn.IFNA(VLOOKUP(INDIRECT("G"&amp;ROW()),minfo!$A:$M,COLUMN()-8,0),"")</f>
        <v>0</v>
      </c>
      <c r="M80" s="4">
        <f ca="1">_xlfn.IFNA(VLOOKUP(INDIRECT("G"&amp;ROW()),minfo!$A:$M,COLUMN()-8,0),"")</f>
        <v>0</v>
      </c>
      <c r="N80" s="4">
        <f ca="1">_xlfn.IFNA(VLOOKUP(INDIRECT("G"&amp;ROW()),minfo!$A:$M,COLUMN()-8,0),"")</f>
        <v>0</v>
      </c>
      <c r="O80" s="4" t="str">
        <f ca="1">_xlfn.IFNA(VLOOKUP(INDIRECT("G"&amp;ROW()),minfo!$A:$M,COLUMN()-8,0),"")</f>
        <v>https://i0.hdslb.com/bfs/station_src/music_metadata/657c63920e8cf9a7db4753eb939d1dce.jpg</v>
      </c>
      <c r="P80" s="4" t="str">
        <f ca="1">_xlfn.IFNA(VLOOKUP(INDIRECT("G"&amp;ROW()),minfo!$A:$M,COLUMN()-8,0),"")</f>
        <v>http://i0.hdslb.com/bfs/station_src/music_metadata/6bffe0eed99a109396ffa9741cc156c7</v>
      </c>
      <c r="Q80" s="4">
        <f ca="1">_xlfn.IFNA(VLOOKUP(INDIRECT("G"&amp;ROW()),minfo!$A:$M,COLUMN()-8,0),"")</f>
        <v>587</v>
      </c>
      <c r="R80" s="4">
        <f ca="1">_xlfn.IFNA(VLOOKUP(INDIRECT("G"&amp;ROW()),minfo!$A:$M,COLUMN()-8,0),"")</f>
        <v>0</v>
      </c>
      <c r="S80" s="4" t="str">
        <f ca="1">_xlfn.IFNA(VLOOKUP(INDIRECT("G"&amp;ROW()),minfo!$A:$M,COLUMN()-8,0),"")</f>
        <v>陈洁仪的异想世界</v>
      </c>
      <c r="T80" s="4">
        <f ca="1">_xlfn.IFNA(VLOOKUP(INDIRECT("G"&amp;ROW()),minfo!$A:$M,COLUMN()-8,0),"")</f>
        <v>163210062</v>
      </c>
      <c r="U80" s="4">
        <f ca="1">_xlfn.IFNA(VLOOKUP(INDIRECT("G"&amp;ROW()),minfo!$A:$M,COLUMN()-8,0),"")</f>
        <v>0</v>
      </c>
    </row>
    <row r="81" spans="1:21" ht="15.75" customHeight="1">
      <c r="A81" s="15">
        <v>80</v>
      </c>
      <c r="B81" s="4" t="s">
        <v>3622</v>
      </c>
      <c r="C81" s="4">
        <v>81</v>
      </c>
      <c r="D81" s="4">
        <v>80</v>
      </c>
      <c r="E81" s="4" t="s">
        <v>3623</v>
      </c>
      <c r="F81" s="16">
        <v>44971</v>
      </c>
      <c r="G81" s="5" t="s">
        <v>438</v>
      </c>
      <c r="H81" s="5" t="s">
        <v>3537</v>
      </c>
      <c r="I81" s="24" t="str">
        <f>HYPERLINK("https://www.bilibili.com/video/BV1ne4y1A7oM?p=80", "BV1ne4y1A7oM?p=80")</f>
        <v>BV1ne4y1A7oM?p=80</v>
      </c>
      <c r="J81" s="4" t="str">
        <f ca="1">_xlfn.IFNA(VLOOKUP(INDIRECT("G"&amp;ROW()),minfo!$A:$M,COLUMN()-8,0),"")</f>
        <v>Can't Take My Eyes Off You</v>
      </c>
      <c r="K81" s="4" t="str">
        <f ca="1">_xlfn.IFNA(VLOOKUP(INDIRECT("G"&amp;ROW()),minfo!$A:$M,COLUMN()-8,0),"")</f>
        <v>Frankie Valli</v>
      </c>
      <c r="L81" s="4">
        <f ca="1">_xlfn.IFNA(VLOOKUP(INDIRECT("G"&amp;ROW()),minfo!$A:$M,COLUMN()-8,0),"")</f>
        <v>0</v>
      </c>
      <c r="M81" s="4">
        <f ca="1">_xlfn.IFNA(VLOOKUP(INDIRECT("G"&amp;ROW()),minfo!$A:$M,COLUMN()-8,0),"")</f>
        <v>0</v>
      </c>
      <c r="N81" s="4">
        <f ca="1">_xlfn.IFNA(VLOOKUP(INDIRECT("G"&amp;ROW()),minfo!$A:$M,COLUMN()-8,0),"")</f>
        <v>0</v>
      </c>
      <c r="O81" s="4" t="str">
        <f ca="1">_xlfn.IFNA(VLOOKUP(INDIRECT("G"&amp;ROW()),minfo!$A:$M,COLUMN()-8,0),"")</f>
        <v>https://i0.hdslb.com/bfs/station_src/music_metadata/404057822723aeab52e141ddaa73ecb5.jpg</v>
      </c>
      <c r="P81" s="4" t="str">
        <f ca="1">_xlfn.IFNA(VLOOKUP(INDIRECT("G"&amp;ROW()),minfo!$A:$M,COLUMN()-8,0),"")</f>
        <v>http://i0.hdslb.com/bfs/station_src/music_metadata/0699cf7dad910b89b43265c4ab589640</v>
      </c>
      <c r="Q81" s="4">
        <f ca="1">_xlfn.IFNA(VLOOKUP(INDIRECT("G"&amp;ROW()),minfo!$A:$M,COLUMN()-8,0),"")</f>
        <v>4479</v>
      </c>
      <c r="R81" s="4">
        <f ca="1">_xlfn.IFNA(VLOOKUP(INDIRECT("G"&amp;ROW()),minfo!$A:$M,COLUMN()-8,0),"")</f>
        <v>0</v>
      </c>
      <c r="S81" s="4" t="str">
        <f ca="1">_xlfn.IFNA(VLOOKUP(INDIRECT("G"&amp;ROW()),minfo!$A:$M,COLUMN()-8,0),"")</f>
        <v>The Very Best of Frankie Valli &amp; The 4 Seasons</v>
      </c>
      <c r="T81" s="4">
        <f ca="1">_xlfn.IFNA(VLOOKUP(INDIRECT("G"&amp;ROW()),minfo!$A:$M,COLUMN()-8,0),"")</f>
        <v>273561007</v>
      </c>
      <c r="U81" s="4">
        <f ca="1">_xlfn.IFNA(VLOOKUP(INDIRECT("G"&amp;ROW()),minfo!$A:$M,COLUMN()-8,0),"")</f>
        <v>0</v>
      </c>
    </row>
    <row r="82" spans="1:21" ht="15.75" customHeight="1">
      <c r="A82" s="15">
        <v>81</v>
      </c>
      <c r="B82" s="4" t="s">
        <v>3624</v>
      </c>
      <c r="C82" s="4">
        <v>82</v>
      </c>
      <c r="D82" s="4">
        <v>81</v>
      </c>
      <c r="E82" s="4" t="s">
        <v>445</v>
      </c>
      <c r="F82" s="16">
        <v>44971</v>
      </c>
      <c r="G82" s="5" t="s">
        <v>444</v>
      </c>
      <c r="H82" s="5" t="s">
        <v>3537</v>
      </c>
      <c r="I82" s="24" t="str">
        <f>HYPERLINK("https://www.bilibili.com/video/BV1ne4y1A7oM?p=81", "BV1ne4y1A7oM?p=81")</f>
        <v>BV1ne4y1A7oM?p=81</v>
      </c>
      <c r="J82" s="4" t="str">
        <f ca="1">_xlfn.IFNA(VLOOKUP(INDIRECT("G"&amp;ROW()),minfo!$A:$M,COLUMN()-8,0),"")</f>
        <v>残酷月光</v>
      </c>
      <c r="K82" s="4" t="str">
        <f ca="1">_xlfn.IFNA(VLOOKUP(INDIRECT("G"&amp;ROW()),minfo!$A:$M,COLUMN()-8,0),"")</f>
        <v>林宥嘉</v>
      </c>
      <c r="L82" s="4">
        <f ca="1">_xlfn.IFNA(VLOOKUP(INDIRECT("G"&amp;ROW()),minfo!$A:$M,COLUMN()-8,0),"")</f>
        <v>0</v>
      </c>
      <c r="M82" s="4">
        <f ca="1">_xlfn.IFNA(VLOOKUP(INDIRECT("G"&amp;ROW()),minfo!$A:$M,COLUMN()-8,0),"")</f>
        <v>0</v>
      </c>
      <c r="N82" s="4">
        <f ca="1">_xlfn.IFNA(VLOOKUP(INDIRECT("G"&amp;ROW()),minfo!$A:$M,COLUMN()-8,0),"")</f>
        <v>0</v>
      </c>
      <c r="O82" s="4" t="str">
        <f ca="1">_xlfn.IFNA(VLOOKUP(INDIRECT("G"&amp;ROW()),minfo!$A:$M,COLUMN()-8,0),"")</f>
        <v>https://i0.hdslb.com/bfs/station_src/music_metadata/ce9ac424f4b7f0eefa82ac853ca376b9.jpg</v>
      </c>
      <c r="P82" s="4" t="str">
        <f ca="1">_xlfn.IFNA(VLOOKUP(INDIRECT("G"&amp;ROW()),minfo!$A:$M,COLUMN()-8,0),"")</f>
        <v>http://i0.hdslb.com/bfs/station_src/music_metadata/7ac56c3c98e60f9cff717672bce72537</v>
      </c>
      <c r="Q82" s="4">
        <f ca="1">_xlfn.IFNA(VLOOKUP(INDIRECT("G"&amp;ROW()),minfo!$A:$M,COLUMN()-8,0),"")</f>
        <v>181</v>
      </c>
      <c r="R82" s="4">
        <f ca="1">_xlfn.IFNA(VLOOKUP(INDIRECT("G"&amp;ROW()),minfo!$A:$M,COLUMN()-8,0),"")</f>
        <v>0</v>
      </c>
      <c r="S82" s="4" t="str">
        <f ca="1">_xlfn.IFNA(VLOOKUP(INDIRECT("G"&amp;ROW()),minfo!$A:$M,COLUMN()-8,0),"")</f>
        <v>神秘嘉宾</v>
      </c>
      <c r="T82" s="4">
        <f ca="1">_xlfn.IFNA(VLOOKUP(INDIRECT("G"&amp;ROW()),minfo!$A:$M,COLUMN()-8,0),"")</f>
        <v>44513923</v>
      </c>
      <c r="U82" s="4">
        <f ca="1">_xlfn.IFNA(VLOOKUP(INDIRECT("G"&amp;ROW()),minfo!$A:$M,COLUMN()-8,0),"")</f>
        <v>0</v>
      </c>
    </row>
    <row r="83" spans="1:21" ht="15.75" customHeight="1">
      <c r="A83" s="15">
        <v>82</v>
      </c>
      <c r="B83" s="4" t="s">
        <v>3625</v>
      </c>
      <c r="C83" s="4">
        <v>83</v>
      </c>
      <c r="D83" s="4">
        <v>82</v>
      </c>
      <c r="E83" s="4" t="s">
        <v>451</v>
      </c>
      <c r="F83" s="16">
        <v>44971</v>
      </c>
      <c r="G83" s="5" t="s">
        <v>450</v>
      </c>
      <c r="H83" s="5" t="s">
        <v>3537</v>
      </c>
      <c r="I83" s="24" t="str">
        <f>HYPERLINK("https://www.bilibili.com/video/BV1ne4y1A7oM?p=82", "BV1ne4y1A7oM?p=82")</f>
        <v>BV1ne4y1A7oM?p=82</v>
      </c>
      <c r="J83" s="4" t="str">
        <f ca="1">_xlfn.IFNA(VLOOKUP(INDIRECT("G"&amp;ROW()),minfo!$A:$M,COLUMN()-8,0),"")</f>
        <v>浪费</v>
      </c>
      <c r="K83" s="4" t="str">
        <f ca="1">_xlfn.IFNA(VLOOKUP(INDIRECT("G"&amp;ROW()),minfo!$A:$M,COLUMN()-8,0),"")</f>
        <v>林宥嘉</v>
      </c>
      <c r="L83" s="4">
        <f ca="1">_xlfn.IFNA(VLOOKUP(INDIRECT("G"&amp;ROW()),minfo!$A:$M,COLUMN()-8,0),"")</f>
        <v>0</v>
      </c>
      <c r="M83" s="4">
        <f ca="1">_xlfn.IFNA(VLOOKUP(INDIRECT("G"&amp;ROW()),minfo!$A:$M,COLUMN()-8,0),"")</f>
        <v>0</v>
      </c>
      <c r="N83" s="4">
        <f ca="1">_xlfn.IFNA(VLOOKUP(INDIRECT("G"&amp;ROW()),minfo!$A:$M,COLUMN()-8,0),"")</f>
        <v>0</v>
      </c>
      <c r="O83" s="4" t="str">
        <f ca="1">_xlfn.IFNA(VLOOKUP(INDIRECT("G"&amp;ROW()),minfo!$A:$M,COLUMN()-8,0),"")</f>
        <v>https://i0.hdslb.com/bfs/station_src/music_metadata/8edf4a71ca316f37452096e7b421ff83.jpg</v>
      </c>
      <c r="P83" s="4" t="str">
        <f ca="1">_xlfn.IFNA(VLOOKUP(INDIRECT("G"&amp;ROW()),minfo!$A:$M,COLUMN()-8,0),"")</f>
        <v>http://i0.hdslb.com/bfs/station_src/music_metadata/7e20539e61bdd7fecdadac6a3f4ae620</v>
      </c>
      <c r="Q83" s="4">
        <f ca="1">_xlfn.IFNA(VLOOKUP(INDIRECT("G"&amp;ROW()),minfo!$A:$M,COLUMN()-8,0),"")</f>
        <v>87</v>
      </c>
      <c r="R83" s="4">
        <f ca="1">_xlfn.IFNA(VLOOKUP(INDIRECT("G"&amp;ROW()),minfo!$A:$M,COLUMN()-8,0),"")</f>
        <v>0</v>
      </c>
      <c r="S83" s="4" t="str">
        <f ca="1">_xlfn.IFNA(VLOOKUP(INDIRECT("G"&amp;ROW()),minfo!$A:$M,COLUMN()-8,0),"")</f>
        <v>大小说家</v>
      </c>
      <c r="T83" s="4">
        <f ca="1">_xlfn.IFNA(VLOOKUP(INDIRECT("G"&amp;ROW()),minfo!$A:$M,COLUMN()-8,0),"")</f>
        <v>47590404</v>
      </c>
      <c r="U83" s="4">
        <f ca="1">_xlfn.IFNA(VLOOKUP(INDIRECT("G"&amp;ROW()),minfo!$A:$M,COLUMN()-8,0),"")</f>
        <v>0</v>
      </c>
    </row>
    <row r="84" spans="1:21" ht="15.75" customHeight="1">
      <c r="A84" s="15">
        <v>83</v>
      </c>
      <c r="B84" s="4" t="s">
        <v>3626</v>
      </c>
      <c r="C84" s="4">
        <v>84</v>
      </c>
      <c r="D84" s="4">
        <v>83</v>
      </c>
      <c r="E84" s="4" t="s">
        <v>456</v>
      </c>
      <c r="F84" s="16">
        <v>44971</v>
      </c>
      <c r="G84" s="5" t="s">
        <v>455</v>
      </c>
      <c r="H84" s="5" t="s">
        <v>3537</v>
      </c>
      <c r="I84" s="24" t="str">
        <f>HYPERLINK("https://www.bilibili.com/video/BV1ne4y1A7oM?p=83", "BV1ne4y1A7oM?p=83")</f>
        <v>BV1ne4y1A7oM?p=83</v>
      </c>
      <c r="J84" s="4" t="str">
        <f ca="1">_xlfn.IFNA(VLOOKUP(INDIRECT("G"&amp;ROW()),minfo!$A:$M,COLUMN()-8,0),"")</f>
        <v>有可能的夜晚</v>
      </c>
      <c r="K84" s="4" t="str">
        <f ca="1">_xlfn.IFNA(VLOOKUP(INDIRECT("G"&amp;ROW()),minfo!$A:$M,COLUMN()-8,0),"")</f>
        <v>曾轶可</v>
      </c>
      <c r="L84" s="4">
        <f ca="1">_xlfn.IFNA(VLOOKUP(INDIRECT("G"&amp;ROW()),minfo!$A:$M,COLUMN()-8,0),"")</f>
        <v>0</v>
      </c>
      <c r="M84" s="4">
        <f ca="1">_xlfn.IFNA(VLOOKUP(INDIRECT("G"&amp;ROW()),minfo!$A:$M,COLUMN()-8,0),"")</f>
        <v>0</v>
      </c>
      <c r="N84" s="4">
        <f ca="1">_xlfn.IFNA(VLOOKUP(INDIRECT("G"&amp;ROW()),minfo!$A:$M,COLUMN()-8,0),"")</f>
        <v>0</v>
      </c>
      <c r="O84" s="4" t="str">
        <f ca="1">_xlfn.IFNA(VLOOKUP(INDIRECT("G"&amp;ROW()),minfo!$A:$M,COLUMN()-8,0),"")</f>
        <v>https://i0.hdslb.com/bfs/station_src/music_metadata/53d23a3f0bdaa3ba13e216981a35b510.jpg</v>
      </c>
      <c r="P84" s="4" t="str">
        <f ca="1">_xlfn.IFNA(VLOOKUP(INDIRECT("G"&amp;ROW()),minfo!$A:$M,COLUMN()-8,0),"")</f>
        <v>http://i0.hdslb.com/bfs/station_src/music_metadata/063b2a09ab4d9b1d20d545d5870808b2</v>
      </c>
      <c r="Q84" s="4">
        <f ca="1">_xlfn.IFNA(VLOOKUP(INDIRECT("G"&amp;ROW()),minfo!$A:$M,COLUMN()-8,0),"")</f>
        <v>189</v>
      </c>
      <c r="R84" s="4">
        <f ca="1">_xlfn.IFNA(VLOOKUP(INDIRECT("G"&amp;ROW()),minfo!$A:$M,COLUMN()-8,0),"")</f>
        <v>0</v>
      </c>
      <c r="S84" s="4" t="str">
        <f ca="1">_xlfn.IFNA(VLOOKUP(INDIRECT("G"&amp;ROW()),minfo!$A:$M,COLUMN()-8,0),"")</f>
        <v>会飞的贼</v>
      </c>
      <c r="T84" s="4">
        <f ca="1">_xlfn.IFNA(VLOOKUP(INDIRECT("G"&amp;ROW()),minfo!$A:$M,COLUMN()-8,0),"")</f>
        <v>61806044</v>
      </c>
      <c r="U84" s="4">
        <f ca="1">_xlfn.IFNA(VLOOKUP(INDIRECT("G"&amp;ROW()),minfo!$A:$M,COLUMN()-8,0),"")</f>
        <v>0</v>
      </c>
    </row>
    <row r="85" spans="1:21" ht="15.75" customHeight="1">
      <c r="A85" s="15">
        <v>84</v>
      </c>
      <c r="B85" s="4" t="s">
        <v>3627</v>
      </c>
      <c r="C85" s="4">
        <v>85</v>
      </c>
      <c r="D85" s="4">
        <v>84</v>
      </c>
      <c r="E85" s="4" t="s">
        <v>180</v>
      </c>
      <c r="F85" s="16">
        <v>44972</v>
      </c>
      <c r="G85" s="5" t="s">
        <v>179</v>
      </c>
      <c r="H85" s="5" t="s">
        <v>3537</v>
      </c>
      <c r="I85" s="24" t="str">
        <f>HYPERLINK("https://www.bilibili.com/video/BV1ne4y1A7oM?p=84", "BV1ne4y1A7oM?p=84")</f>
        <v>BV1ne4y1A7oM?p=84</v>
      </c>
      <c r="J85" s="4" t="str">
        <f ca="1">_xlfn.IFNA(VLOOKUP(INDIRECT("G"&amp;ROW()),minfo!$A:$M,COLUMN()-8,0),"")</f>
        <v>雪落下的声音</v>
      </c>
      <c r="K85" s="4" t="str">
        <f ca="1">_xlfn.IFNA(VLOOKUP(INDIRECT("G"&amp;ROW()),minfo!$A:$M,COLUMN()-8,0),"")</f>
        <v>陆虎</v>
      </c>
      <c r="L85" s="4">
        <f ca="1">_xlfn.IFNA(VLOOKUP(INDIRECT("G"&amp;ROW()),minfo!$A:$M,COLUMN()-8,0),"")</f>
        <v>0</v>
      </c>
      <c r="M85" s="4">
        <f ca="1">_xlfn.IFNA(VLOOKUP(INDIRECT("G"&amp;ROW()),minfo!$A:$M,COLUMN()-8,0),"")</f>
        <v>0</v>
      </c>
      <c r="N85" s="4">
        <f ca="1">_xlfn.IFNA(VLOOKUP(INDIRECT("G"&amp;ROW()),minfo!$A:$M,COLUMN()-8,0),"")</f>
        <v>0</v>
      </c>
      <c r="O85" s="4" t="str">
        <f ca="1">_xlfn.IFNA(VLOOKUP(INDIRECT("G"&amp;ROW()),minfo!$A:$M,COLUMN()-8,0),"")</f>
        <v>http://i0.hdslb.com/bfs/station_src/music_metadata/f4572c77b0f3a173236700166377c6c1.jpg</v>
      </c>
      <c r="P85" s="4" t="str">
        <f ca="1">_xlfn.IFNA(VLOOKUP(INDIRECT("G"&amp;ROW()),minfo!$A:$M,COLUMN()-8,0),"")</f>
        <v>http://i0.hdslb.com/bfs/station_src/music_metadata/0ede01b76f5911ecd8df09f7308038d9</v>
      </c>
      <c r="Q85" s="4">
        <f ca="1">_xlfn.IFNA(VLOOKUP(INDIRECT("G"&amp;ROW()),minfo!$A:$M,COLUMN()-8,0),"")</f>
        <v>1394</v>
      </c>
      <c r="R85" s="4" t="str">
        <f ca="1">_xlfn.IFNA(VLOOKUP(INDIRECT("G"&amp;ROW()),minfo!$A:$M,COLUMN()-8,0),"")</f>
        <v>《延禧攻略》电视剧片尾曲</v>
      </c>
      <c r="S85" s="4" t="str">
        <f ca="1">_xlfn.IFNA(VLOOKUP(INDIRECT("G"&amp;ROW()),minfo!$A:$M,COLUMN()-8,0),"")</f>
        <v>延禧攻略OST</v>
      </c>
      <c r="T85" s="4">
        <f ca="1">_xlfn.IFNA(VLOOKUP(INDIRECT("G"&amp;ROW()),minfo!$A:$M,COLUMN()-8,0),"")</f>
        <v>365899290</v>
      </c>
      <c r="U85" s="4">
        <f ca="1">_xlfn.IFNA(VLOOKUP(INDIRECT("G"&amp;ROW()),minfo!$A:$M,COLUMN()-8,0),"")</f>
        <v>0</v>
      </c>
    </row>
    <row r="86" spans="1:21" ht="15.75" customHeight="1">
      <c r="A86" s="15">
        <v>85</v>
      </c>
      <c r="B86" s="4" t="s">
        <v>3628</v>
      </c>
      <c r="C86" s="4">
        <v>86</v>
      </c>
      <c r="D86" s="4">
        <v>85</v>
      </c>
      <c r="E86" s="4" t="s">
        <v>462</v>
      </c>
      <c r="F86" s="16">
        <v>44972</v>
      </c>
      <c r="G86" s="5" t="s">
        <v>461</v>
      </c>
      <c r="H86" s="5" t="s">
        <v>3537</v>
      </c>
      <c r="I86" s="24" t="str">
        <f>HYPERLINK("https://www.bilibili.com/video/BV1ne4y1A7oM?p=85", "BV1ne4y1A7oM?p=85")</f>
        <v>BV1ne4y1A7oM?p=85</v>
      </c>
      <c r="J86" s="4" t="str">
        <f ca="1">_xlfn.IFNA(VLOOKUP(INDIRECT("G"&amp;ROW()),minfo!$A:$M,COLUMN()-8,0),"")</f>
        <v>人是_</v>
      </c>
      <c r="K86" s="4" t="str">
        <f ca="1">_xlfn.IFNA(VLOOKUP(INDIRECT("G"&amp;ROW()),minfo!$A:$M,COLUMN()-8,0),"")</f>
        <v>周深</v>
      </c>
      <c r="L86" s="4">
        <f ca="1">_xlfn.IFNA(VLOOKUP(INDIRECT("G"&amp;ROW()),minfo!$A:$M,COLUMN()-8,0),"")</f>
        <v>0</v>
      </c>
      <c r="M86" s="4">
        <f ca="1">_xlfn.IFNA(VLOOKUP(INDIRECT("G"&amp;ROW()),minfo!$A:$M,COLUMN()-8,0),"")</f>
        <v>315938</v>
      </c>
      <c r="N86" s="4">
        <f ca="1">_xlfn.IFNA(VLOOKUP(INDIRECT("G"&amp;ROW()),minfo!$A:$M,COLUMN()-8,0),"")</f>
        <v>67117</v>
      </c>
      <c r="O86" s="4" t="str">
        <f ca="1">_xlfn.IFNA(VLOOKUP(INDIRECT("G"&amp;ROW()),minfo!$A:$M,COLUMN()-8,0),"")</f>
        <v>https://i0.hdslb.com/bfs/station_src/music_metadata/cbc6b9595b8d8ddf3be5a4600fe4ee1f.jpg</v>
      </c>
      <c r="P86" s="4">
        <f ca="1">_xlfn.IFNA(VLOOKUP(INDIRECT("G"&amp;ROW()),minfo!$A:$M,COLUMN()-8,0),"")</f>
        <v>0</v>
      </c>
      <c r="Q86" s="4">
        <f ca="1">_xlfn.IFNA(VLOOKUP(INDIRECT("G"&amp;ROW()),minfo!$A:$M,COLUMN()-8,0),"")</f>
        <v>831</v>
      </c>
      <c r="R86" s="4">
        <f ca="1">_xlfn.IFNA(VLOOKUP(INDIRECT("G"&amp;ROW()),minfo!$A:$M,COLUMN()-8,0),"")</f>
        <v>0</v>
      </c>
      <c r="S86" s="4" t="str">
        <f ca="1">_xlfn.IFNA(VLOOKUP(INDIRECT("G"&amp;ROW()),minfo!$A:$M,COLUMN()-8,0),"")</f>
        <v>人是_</v>
      </c>
      <c r="T86" s="4">
        <f ca="1">_xlfn.IFNA(VLOOKUP(INDIRECT("G"&amp;ROW()),minfo!$A:$M,COLUMN()-8,0),"")</f>
        <v>80359568</v>
      </c>
      <c r="U86" s="4" t="str">
        <f ca="1">_xlfn.IFNA(VLOOKUP(INDIRECT("G"&amp;ROW()),minfo!$A:$M,COLUMN()-8,0),"")</f>
        <v>音乐榜最高NO.8</v>
      </c>
    </row>
    <row r="87" spans="1:21" ht="15.75" customHeight="1">
      <c r="A87" s="15">
        <v>86</v>
      </c>
      <c r="B87" s="4" t="s">
        <v>3629</v>
      </c>
      <c r="C87" s="4">
        <v>87</v>
      </c>
      <c r="D87" s="4">
        <v>86</v>
      </c>
      <c r="E87" s="4" t="s">
        <v>465</v>
      </c>
      <c r="F87" s="16">
        <v>44972</v>
      </c>
      <c r="G87" s="5" t="s">
        <v>464</v>
      </c>
      <c r="H87" s="5" t="s">
        <v>3537</v>
      </c>
      <c r="I87" s="24" t="str">
        <f>HYPERLINK("https://www.bilibili.com/video/BV1ne4y1A7oM?p=86", "BV1ne4y1A7oM?p=86")</f>
        <v>BV1ne4y1A7oM?p=86</v>
      </c>
      <c r="J87" s="4" t="str">
        <f ca="1">_xlfn.IFNA(VLOOKUP(INDIRECT("G"&amp;ROW()),minfo!$A:$M,COLUMN()-8,0),"")</f>
        <v>去有风的地方</v>
      </c>
      <c r="K87" s="4" t="str">
        <f ca="1">_xlfn.IFNA(VLOOKUP(INDIRECT("G"&amp;ROW()),minfo!$A:$M,COLUMN()-8,0),"")</f>
        <v>郁可唯</v>
      </c>
      <c r="L87" s="4">
        <f ca="1">_xlfn.IFNA(VLOOKUP(INDIRECT("G"&amp;ROW()),minfo!$A:$M,COLUMN()-8,0),"")</f>
        <v>0</v>
      </c>
      <c r="M87" s="4">
        <f ca="1">_xlfn.IFNA(VLOOKUP(INDIRECT("G"&amp;ROW()),minfo!$A:$M,COLUMN()-8,0),"")</f>
        <v>0</v>
      </c>
      <c r="N87" s="4">
        <f ca="1">_xlfn.IFNA(VLOOKUP(INDIRECT("G"&amp;ROW()),minfo!$A:$M,COLUMN()-8,0),"")</f>
        <v>0</v>
      </c>
      <c r="O87" s="4" t="str">
        <f ca="1">_xlfn.IFNA(VLOOKUP(INDIRECT("G"&amp;ROW()),minfo!$A:$M,COLUMN()-8,0),"")</f>
        <v>http://i0.hdslb.com/bfs/station_src/music_metadata/b093843de254f8f99076be76300b8733.jpg</v>
      </c>
      <c r="P87" s="4">
        <f ca="1">_xlfn.IFNA(VLOOKUP(INDIRECT("G"&amp;ROW()),minfo!$A:$M,COLUMN()-8,0),"")</f>
        <v>0</v>
      </c>
      <c r="Q87" s="4">
        <f ca="1">_xlfn.IFNA(VLOOKUP(INDIRECT("G"&amp;ROW()),minfo!$A:$M,COLUMN()-8,0),"")</f>
        <v>1229</v>
      </c>
      <c r="R87" s="4">
        <f ca="1">_xlfn.IFNA(VLOOKUP(INDIRECT("G"&amp;ROW()),minfo!$A:$M,COLUMN()-8,0),"")</f>
        <v>0</v>
      </c>
      <c r="S87" s="4" t="str">
        <f ca="1">_xlfn.IFNA(VLOOKUP(INDIRECT("G"&amp;ROW()),minfo!$A:$M,COLUMN()-8,0),"")</f>
        <v>去有风的地方</v>
      </c>
      <c r="T87" s="4">
        <f ca="1">_xlfn.IFNA(VLOOKUP(INDIRECT("G"&amp;ROW()),minfo!$A:$M,COLUMN()-8,0),"")</f>
        <v>77607898</v>
      </c>
      <c r="U87" s="4" t="str">
        <f ca="1">_xlfn.IFNA(VLOOKUP(INDIRECT("G"&amp;ROW()),minfo!$A:$M,COLUMN()-8,0),"")</f>
        <v>音乐榜最高NO.19</v>
      </c>
    </row>
    <row r="88" spans="1:21" ht="15.75" customHeight="1">
      <c r="A88" s="15">
        <v>87</v>
      </c>
      <c r="B88" s="4" t="s">
        <v>3630</v>
      </c>
      <c r="C88" s="4">
        <v>88</v>
      </c>
      <c r="D88" s="4">
        <v>87</v>
      </c>
      <c r="E88" s="4" t="s">
        <v>470</v>
      </c>
      <c r="F88" s="16">
        <v>44972</v>
      </c>
      <c r="G88" s="5" t="s">
        <v>469</v>
      </c>
      <c r="H88" s="5" t="s">
        <v>3537</v>
      </c>
      <c r="I88" s="24" t="str">
        <f>HYPERLINK("https://www.bilibili.com/video/BV1ne4y1A7oM?p=87", "BV1ne4y1A7oM?p=87")</f>
        <v>BV1ne4y1A7oM?p=87</v>
      </c>
      <c r="J88" s="4" t="str">
        <f ca="1">_xlfn.IFNA(VLOOKUP(INDIRECT("G"&amp;ROW()),minfo!$A:$M,COLUMN()-8,0),"")</f>
        <v>好想好想</v>
      </c>
      <c r="K88" s="4" t="str">
        <f ca="1">_xlfn.IFNA(VLOOKUP(INDIRECT("G"&amp;ROW()),minfo!$A:$M,COLUMN()-8,0),"")</f>
        <v>古巨基</v>
      </c>
      <c r="L88" s="4">
        <f ca="1">_xlfn.IFNA(VLOOKUP(INDIRECT("G"&amp;ROW()),minfo!$A:$M,COLUMN()-8,0),"")</f>
        <v>0</v>
      </c>
      <c r="M88" s="4">
        <f ca="1">_xlfn.IFNA(VLOOKUP(INDIRECT("G"&amp;ROW()),minfo!$A:$M,COLUMN()-8,0),"")</f>
        <v>0</v>
      </c>
      <c r="N88" s="4">
        <f ca="1">_xlfn.IFNA(VLOOKUP(INDIRECT("G"&amp;ROW()),minfo!$A:$M,COLUMN()-8,0),"")</f>
        <v>0</v>
      </c>
      <c r="O88" s="4" t="str">
        <f ca="1">_xlfn.IFNA(VLOOKUP(INDIRECT("G"&amp;ROW()),minfo!$A:$M,COLUMN()-8,0),"")</f>
        <v>https://i0.hdslb.com/bfs/station_src/music_metadata/1cdde0495aedd2a685e2f9ebee6d0c06.jpg</v>
      </c>
      <c r="P88" s="4" t="str">
        <f ca="1">_xlfn.IFNA(VLOOKUP(INDIRECT("G"&amp;ROW()),minfo!$A:$M,COLUMN()-8,0),"")</f>
        <v>http://i0.hdslb.com/bfs/station_src/music_metadata/8b34bd02e86c390825f9a8a1c208d59c</v>
      </c>
      <c r="Q88" s="4">
        <f ca="1">_xlfn.IFNA(VLOOKUP(INDIRECT("G"&amp;ROW()),minfo!$A:$M,COLUMN()-8,0),"")</f>
        <v>319</v>
      </c>
      <c r="R88" s="4" t="str">
        <f ca="1">_xlfn.IFNA(VLOOKUP(INDIRECT("G"&amp;ROW()),minfo!$A:$M,COLUMN()-8,0),"")</f>
        <v>《情深深雨濛濛》电视剧片尾曲</v>
      </c>
      <c r="S88" s="4" t="str">
        <f ca="1">_xlfn.IFNA(VLOOKUP(INDIRECT("G"&amp;ROW()),minfo!$A:$M,COLUMN()-8,0),"")</f>
        <v>情深深雨濛濛音乐全记录</v>
      </c>
      <c r="T88" s="4">
        <f ca="1">_xlfn.IFNA(VLOOKUP(INDIRECT("G"&amp;ROW()),minfo!$A:$M,COLUMN()-8,0),"")</f>
        <v>55140884</v>
      </c>
      <c r="U88" s="4">
        <f ca="1">_xlfn.IFNA(VLOOKUP(INDIRECT("G"&amp;ROW()),minfo!$A:$M,COLUMN()-8,0),"")</f>
        <v>0</v>
      </c>
    </row>
    <row r="89" spans="1:21" ht="15.75" customHeight="1">
      <c r="A89" s="15">
        <v>88</v>
      </c>
      <c r="B89" s="4" t="s">
        <v>3631</v>
      </c>
      <c r="C89" s="4">
        <v>89</v>
      </c>
      <c r="D89" s="4">
        <v>88</v>
      </c>
      <c r="E89" s="4" t="s">
        <v>477</v>
      </c>
      <c r="F89" s="16">
        <v>44972</v>
      </c>
      <c r="G89" s="5" t="s">
        <v>476</v>
      </c>
      <c r="H89" s="5" t="s">
        <v>3537</v>
      </c>
      <c r="I89" s="24" t="str">
        <f>HYPERLINK("https://www.bilibili.com/video/BV1ne4y1A7oM?p=88", "BV1ne4y1A7oM?p=88")</f>
        <v>BV1ne4y1A7oM?p=88</v>
      </c>
      <c r="J89" s="4" t="str">
        <f ca="1">_xlfn.IFNA(VLOOKUP(INDIRECT("G"&amp;ROW()),minfo!$A:$M,COLUMN()-8,0),"")</f>
        <v>我只在乎你</v>
      </c>
      <c r="K89" s="4" t="str">
        <f ca="1">_xlfn.IFNA(VLOOKUP(INDIRECT("G"&amp;ROW()),minfo!$A:$M,COLUMN()-8,0),"")</f>
        <v>邓丽君</v>
      </c>
      <c r="L89" s="4">
        <f ca="1">_xlfn.IFNA(VLOOKUP(INDIRECT("G"&amp;ROW()),minfo!$A:$M,COLUMN()-8,0),"")</f>
        <v>0</v>
      </c>
      <c r="M89" s="4">
        <f ca="1">_xlfn.IFNA(VLOOKUP(INDIRECT("G"&amp;ROW()),minfo!$A:$M,COLUMN()-8,0),"")</f>
        <v>0</v>
      </c>
      <c r="N89" s="4">
        <f ca="1">_xlfn.IFNA(VLOOKUP(INDIRECT("G"&amp;ROW()),minfo!$A:$M,COLUMN()-8,0),"")</f>
        <v>0</v>
      </c>
      <c r="O89" s="4" t="str">
        <f ca="1">_xlfn.IFNA(VLOOKUP(INDIRECT("G"&amp;ROW()),minfo!$A:$M,COLUMN()-8,0),"")</f>
        <v>https://i0.hdslb.com/bfs/station_src/music_metadata/20edcc42dece649a8fcfbc7a532d33cf.jpg</v>
      </c>
      <c r="P89" s="4" t="str">
        <f ca="1">_xlfn.IFNA(VLOOKUP(INDIRECT("G"&amp;ROW()),minfo!$A:$M,COLUMN()-8,0),"")</f>
        <v>http://i0.hdslb.com/bfs/station_src/music_metadata/49dfa16b48e0cab94adf65044415eee3</v>
      </c>
      <c r="Q89" s="4">
        <f ca="1">_xlfn.IFNA(VLOOKUP(INDIRECT("G"&amp;ROW()),minfo!$A:$M,COLUMN()-8,0),"")</f>
        <v>486</v>
      </c>
      <c r="R89" s="4">
        <f ca="1">_xlfn.IFNA(VLOOKUP(INDIRECT("G"&amp;ROW()),minfo!$A:$M,COLUMN()-8,0),"")</f>
        <v>0</v>
      </c>
      <c r="S89" s="4" t="str">
        <f ca="1">_xlfn.IFNA(VLOOKUP(INDIRECT("G"&amp;ROW()),minfo!$A:$M,COLUMN()-8,0),"")</f>
        <v>邓丽君金曲选01</v>
      </c>
      <c r="T89" s="4">
        <f ca="1">_xlfn.IFNA(VLOOKUP(INDIRECT("G"&amp;ROW()),minfo!$A:$M,COLUMN()-8,0),"")</f>
        <v>196147959</v>
      </c>
      <c r="U89" s="4">
        <f ca="1">_xlfn.IFNA(VLOOKUP(INDIRECT("G"&amp;ROW()),minfo!$A:$M,COLUMN()-8,0),"")</f>
        <v>0</v>
      </c>
    </row>
    <row r="90" spans="1:21" ht="15.75" customHeight="1">
      <c r="A90" s="15">
        <v>89</v>
      </c>
      <c r="B90" s="4" t="s">
        <v>3632</v>
      </c>
      <c r="C90" s="4">
        <v>90</v>
      </c>
      <c r="D90" s="4">
        <v>89</v>
      </c>
      <c r="E90" s="4" t="s">
        <v>483</v>
      </c>
      <c r="F90" s="16">
        <v>44974</v>
      </c>
      <c r="G90" s="5" t="s">
        <v>482</v>
      </c>
      <c r="H90" s="5" t="s">
        <v>3537</v>
      </c>
      <c r="I90" s="24" t="str">
        <f>HYPERLINK("https://www.bilibili.com/video/BV1ne4y1A7oM?p=89", "BV1ne4y1A7oM?p=89")</f>
        <v>BV1ne4y1A7oM?p=89</v>
      </c>
      <c r="J90" s="4" t="str">
        <f ca="1">_xlfn.IFNA(VLOOKUP(INDIRECT("G"&amp;ROW()),minfo!$A:$M,COLUMN()-8,0),"")</f>
        <v>三月雨</v>
      </c>
      <c r="K90" s="4" t="str">
        <f ca="1">_xlfn.IFNA(VLOOKUP(INDIRECT("G"&amp;ROW()),minfo!$A:$M,COLUMN()-8,0),"")</f>
        <v>洛天依</v>
      </c>
      <c r="L90" s="4">
        <f ca="1">_xlfn.IFNA(VLOOKUP(INDIRECT("G"&amp;ROW()),minfo!$A:$M,COLUMN()-8,0),"")</f>
        <v>0</v>
      </c>
      <c r="M90" s="4">
        <f ca="1">_xlfn.IFNA(VLOOKUP(INDIRECT("G"&amp;ROW()),minfo!$A:$M,COLUMN()-8,0),"")</f>
        <v>0</v>
      </c>
      <c r="N90" s="4">
        <f ca="1">_xlfn.IFNA(VLOOKUP(INDIRECT("G"&amp;ROW()),minfo!$A:$M,COLUMN()-8,0),"")</f>
        <v>0</v>
      </c>
      <c r="O90" s="4" t="str">
        <f ca="1">_xlfn.IFNA(VLOOKUP(INDIRECT("G"&amp;ROW()),minfo!$A:$M,COLUMN()-8,0),"")</f>
        <v>https://i0.hdslb.com/bfs/station_src/music_metadata/d9ec84386ae11b7d1479726beb84a9b0.jpg</v>
      </c>
      <c r="P90" s="4">
        <f ca="1">_xlfn.IFNA(VLOOKUP(INDIRECT("G"&amp;ROW()),minfo!$A:$M,COLUMN()-8,0),"")</f>
        <v>0</v>
      </c>
      <c r="Q90" s="4">
        <f ca="1">_xlfn.IFNA(VLOOKUP(INDIRECT("G"&amp;ROW()),minfo!$A:$M,COLUMN()-8,0),"")</f>
        <v>73</v>
      </c>
      <c r="R90" s="4">
        <f ca="1">_xlfn.IFNA(VLOOKUP(INDIRECT("G"&amp;ROW()),minfo!$A:$M,COLUMN()-8,0),"")</f>
        <v>0</v>
      </c>
      <c r="S90" s="4" t="str">
        <f ca="1">_xlfn.IFNA(VLOOKUP(INDIRECT("G"&amp;ROW()),minfo!$A:$M,COLUMN()-8,0),"")</f>
        <v>洛天依小鸡哔哔</v>
      </c>
      <c r="T90" s="4">
        <f ca="1">_xlfn.IFNA(VLOOKUP(INDIRECT("G"&amp;ROW()),minfo!$A:$M,COLUMN()-8,0),"")</f>
        <v>22973704</v>
      </c>
      <c r="U90" s="4">
        <f ca="1">_xlfn.IFNA(VLOOKUP(INDIRECT("G"&amp;ROW()),minfo!$A:$M,COLUMN()-8,0),"")</f>
        <v>0</v>
      </c>
    </row>
    <row r="91" spans="1:21" ht="15.75" customHeight="1">
      <c r="A91" s="15">
        <v>90</v>
      </c>
      <c r="B91" s="4" t="s">
        <v>3633</v>
      </c>
      <c r="C91" s="4">
        <v>91</v>
      </c>
      <c r="D91" s="4">
        <v>90</v>
      </c>
      <c r="E91" s="4" t="s">
        <v>488</v>
      </c>
      <c r="F91" s="16">
        <v>44974</v>
      </c>
      <c r="G91" s="5" t="s">
        <v>487</v>
      </c>
      <c r="H91" s="5" t="s">
        <v>3537</v>
      </c>
      <c r="I91" s="24" t="str">
        <f>HYPERLINK("https://www.bilibili.com/video/BV1ne4y1A7oM?p=90", "BV1ne4y1A7oM?p=90")</f>
        <v>BV1ne4y1A7oM?p=90</v>
      </c>
      <c r="J91" s="4" t="str">
        <f ca="1">_xlfn.IFNA(VLOOKUP(INDIRECT("G"&amp;ROW()),minfo!$A:$M,COLUMN()-8,0),"")</f>
        <v>如此</v>
      </c>
      <c r="K91" s="4" t="str">
        <f ca="1">_xlfn.IFNA(VLOOKUP(INDIRECT("G"&amp;ROW()),minfo!$A:$M,COLUMN()-8,0),"")</f>
        <v>单依纯</v>
      </c>
      <c r="L91" s="4">
        <f ca="1">_xlfn.IFNA(VLOOKUP(INDIRECT("G"&amp;ROW()),minfo!$A:$M,COLUMN()-8,0),"")</f>
        <v>0</v>
      </c>
      <c r="M91" s="4">
        <f ca="1">_xlfn.IFNA(VLOOKUP(INDIRECT("G"&amp;ROW()),minfo!$A:$M,COLUMN()-8,0),"")</f>
        <v>0</v>
      </c>
      <c r="N91" s="4">
        <f ca="1">_xlfn.IFNA(VLOOKUP(INDIRECT("G"&amp;ROW()),minfo!$A:$M,COLUMN()-8,0),"")</f>
        <v>0</v>
      </c>
      <c r="O91" s="4" t="str">
        <f ca="1">_xlfn.IFNA(VLOOKUP(INDIRECT("G"&amp;ROW()),minfo!$A:$M,COLUMN()-8,0),"")</f>
        <v>https://i0.hdslb.com/bfs/station_src/music_metadata/02e014c37d605c9c48efcef4cb1658b5.jpg</v>
      </c>
      <c r="P91" s="4">
        <f ca="1">_xlfn.IFNA(VLOOKUP(INDIRECT("G"&amp;ROW()),minfo!$A:$M,COLUMN()-8,0),"")</f>
        <v>0</v>
      </c>
      <c r="Q91" s="4">
        <f ca="1">_xlfn.IFNA(VLOOKUP(INDIRECT("G"&amp;ROW()),minfo!$A:$M,COLUMN()-8,0),"")</f>
        <v>32</v>
      </c>
      <c r="R91" s="4">
        <f ca="1">_xlfn.IFNA(VLOOKUP(INDIRECT("G"&amp;ROW()),minfo!$A:$M,COLUMN()-8,0),"")</f>
        <v>0</v>
      </c>
      <c r="S91" s="4" t="str">
        <f ca="1">_xlfn.IFNA(VLOOKUP(INDIRECT("G"&amp;ROW()),minfo!$A:$M,COLUMN()-8,0),"")</f>
        <v>2020中国好声音 第10期</v>
      </c>
      <c r="T91" s="4">
        <f ca="1">_xlfn.IFNA(VLOOKUP(INDIRECT("G"&amp;ROW()),minfo!$A:$M,COLUMN()-8,0),"")</f>
        <v>13362616</v>
      </c>
      <c r="U91" s="4">
        <f ca="1">_xlfn.IFNA(VLOOKUP(INDIRECT("G"&amp;ROW()),minfo!$A:$M,COLUMN()-8,0),"")</f>
        <v>0</v>
      </c>
    </row>
    <row r="92" spans="1:21" ht="15.75" customHeight="1">
      <c r="A92" s="15">
        <v>91</v>
      </c>
      <c r="B92" s="4" t="s">
        <v>3634</v>
      </c>
      <c r="C92" s="4">
        <v>92</v>
      </c>
      <c r="D92" s="4">
        <v>91</v>
      </c>
      <c r="E92" s="4" t="s">
        <v>492</v>
      </c>
      <c r="F92" s="16">
        <v>44974</v>
      </c>
      <c r="G92" s="5" t="s">
        <v>491</v>
      </c>
      <c r="H92" s="5" t="s">
        <v>3537</v>
      </c>
      <c r="I92" s="24" t="str">
        <f>HYPERLINK("https://www.bilibili.com/video/BV1ne4y1A7oM?p=91", "BV1ne4y1A7oM?p=91")</f>
        <v>BV1ne4y1A7oM?p=91</v>
      </c>
      <c r="J92" s="4" t="str">
        <f ca="1">_xlfn.IFNA(VLOOKUP(INDIRECT("G"&amp;ROW()),minfo!$A:$M,COLUMN()-8,0),"")</f>
        <v>像风一样</v>
      </c>
      <c r="K92" s="4" t="str">
        <f ca="1">_xlfn.IFNA(VLOOKUP(INDIRECT("G"&amp;ROW()),minfo!$A:$M,COLUMN()-8,0),"")</f>
        <v>薛之谦</v>
      </c>
      <c r="L92" s="4">
        <f ca="1">_xlfn.IFNA(VLOOKUP(INDIRECT("G"&amp;ROW()),minfo!$A:$M,COLUMN()-8,0),"")</f>
        <v>0</v>
      </c>
      <c r="M92" s="4">
        <f ca="1">_xlfn.IFNA(VLOOKUP(INDIRECT("G"&amp;ROW()),minfo!$A:$M,COLUMN()-8,0),"")</f>
        <v>658</v>
      </c>
      <c r="N92" s="4">
        <f ca="1">_xlfn.IFNA(VLOOKUP(INDIRECT("G"&amp;ROW()),minfo!$A:$M,COLUMN()-8,0),"")</f>
        <v>85</v>
      </c>
      <c r="O92" s="4" t="str">
        <f ca="1">_xlfn.IFNA(VLOOKUP(INDIRECT("G"&amp;ROW()),minfo!$A:$M,COLUMN()-8,0),"")</f>
        <v>http://i0.hdslb.com/bfs/station_src/music_metadata/a3a8c61a923efdb7e46195d46e94c363.jpg</v>
      </c>
      <c r="P92" s="4">
        <f ca="1">_xlfn.IFNA(VLOOKUP(INDIRECT("G"&amp;ROW()),minfo!$A:$M,COLUMN()-8,0),"")</f>
        <v>0</v>
      </c>
      <c r="Q92" s="4">
        <f ca="1">_xlfn.IFNA(VLOOKUP(INDIRECT("G"&amp;ROW()),minfo!$A:$M,COLUMN()-8,0),"")</f>
        <v>125</v>
      </c>
      <c r="R92" s="4" t="str">
        <f ca="1">_xlfn.IFNA(VLOOKUP(INDIRECT("G"&amp;ROW()),minfo!$A:$M,COLUMN()-8,0),"")</f>
        <v>像风一样</v>
      </c>
      <c r="S92" s="4" t="str">
        <f ca="1">_xlfn.IFNA(VLOOKUP(INDIRECT("G"&amp;ROW()),minfo!$A:$M,COLUMN()-8,0),"")</f>
        <v>渡 The Crossing</v>
      </c>
      <c r="T92" s="4">
        <f ca="1">_xlfn.IFNA(VLOOKUP(INDIRECT("G"&amp;ROW()),minfo!$A:$M,COLUMN()-8,0),"")</f>
        <v>87463982</v>
      </c>
      <c r="U92" s="4">
        <f ca="1">_xlfn.IFNA(VLOOKUP(INDIRECT("G"&amp;ROW()),minfo!$A:$M,COLUMN()-8,0),"")</f>
        <v>0</v>
      </c>
    </row>
    <row r="93" spans="1:21" ht="15.75" customHeight="1">
      <c r="A93" s="15">
        <v>92</v>
      </c>
      <c r="B93" s="4" t="s">
        <v>3635</v>
      </c>
      <c r="C93" s="4">
        <v>93</v>
      </c>
      <c r="D93" s="4">
        <v>92</v>
      </c>
      <c r="E93" s="4" t="s">
        <v>497</v>
      </c>
      <c r="F93" s="16">
        <v>44974</v>
      </c>
      <c r="G93" s="5" t="s">
        <v>496</v>
      </c>
      <c r="H93" s="5" t="s">
        <v>3537</v>
      </c>
      <c r="I93" s="24" t="str">
        <f>HYPERLINK("https://www.bilibili.com/video/BV1ne4y1A7oM?p=92", "BV1ne4y1A7oM?p=92")</f>
        <v>BV1ne4y1A7oM?p=92</v>
      </c>
      <c r="J93" s="4" t="str">
        <f ca="1">_xlfn.IFNA(VLOOKUP(INDIRECT("G"&amp;ROW()),minfo!$A:$M,COLUMN()-8,0),"")</f>
        <v>给电影人的情书</v>
      </c>
      <c r="K93" s="4" t="str">
        <f ca="1">_xlfn.IFNA(VLOOKUP(INDIRECT("G"&amp;ROW()),minfo!$A:$M,COLUMN()-8,0),"")</f>
        <v>蔡琴</v>
      </c>
      <c r="L93" s="4">
        <f ca="1">_xlfn.IFNA(VLOOKUP(INDIRECT("G"&amp;ROW()),minfo!$A:$M,COLUMN()-8,0),"")</f>
        <v>0</v>
      </c>
      <c r="M93" s="4">
        <f ca="1">_xlfn.IFNA(VLOOKUP(INDIRECT("G"&amp;ROW()),minfo!$A:$M,COLUMN()-8,0),"")</f>
        <v>0</v>
      </c>
      <c r="N93" s="4">
        <f ca="1">_xlfn.IFNA(VLOOKUP(INDIRECT("G"&amp;ROW()),minfo!$A:$M,COLUMN()-8,0),"")</f>
        <v>0</v>
      </c>
      <c r="O93" s="4" t="str">
        <f ca="1">_xlfn.IFNA(VLOOKUP(INDIRECT("G"&amp;ROW()),minfo!$A:$M,COLUMN()-8,0),"")</f>
        <v>https://i0.hdslb.com/bfs/station_src/music_metadata/5a642b125d5c75496a65d82a8b356a5f.jpg</v>
      </c>
      <c r="P93" s="4" t="str">
        <f ca="1">_xlfn.IFNA(VLOOKUP(INDIRECT("G"&amp;ROW()),minfo!$A:$M,COLUMN()-8,0),"")</f>
        <v>http://i0.hdslb.com/bfs/station_src/music_metadata/b70311934da8d72b044401d31b44294e</v>
      </c>
      <c r="Q93" s="4">
        <f ca="1">_xlfn.IFNA(VLOOKUP(INDIRECT("G"&amp;ROW()),minfo!$A:$M,COLUMN()-8,0),"")</f>
        <v>192</v>
      </c>
      <c r="R93" s="4">
        <f ca="1">_xlfn.IFNA(VLOOKUP(INDIRECT("G"&amp;ROW()),minfo!$A:$M,COLUMN()-8,0),"")</f>
        <v>0</v>
      </c>
      <c r="S93" s="4" t="str">
        <f ca="1">_xlfn.IFNA(VLOOKUP(INDIRECT("G"&amp;ROW()),minfo!$A:$M,COLUMN()-8,0),"")</f>
        <v>不悔</v>
      </c>
      <c r="T93" s="4">
        <f ca="1">_xlfn.IFNA(VLOOKUP(INDIRECT("G"&amp;ROW()),minfo!$A:$M,COLUMN()-8,0),"")</f>
        <v>47527216</v>
      </c>
      <c r="U93" s="4">
        <f ca="1">_xlfn.IFNA(VLOOKUP(INDIRECT("G"&amp;ROW()),minfo!$A:$M,COLUMN()-8,0),"")</f>
        <v>0</v>
      </c>
    </row>
    <row r="94" spans="1:21" ht="15.75" customHeight="1">
      <c r="A94" s="15">
        <v>93</v>
      </c>
      <c r="B94" s="4" t="s">
        <v>3636</v>
      </c>
      <c r="C94" s="4">
        <v>94</v>
      </c>
      <c r="D94" s="4">
        <v>93</v>
      </c>
      <c r="E94" s="4" t="s">
        <v>869</v>
      </c>
      <c r="F94" s="16">
        <v>44974</v>
      </c>
      <c r="G94" s="5" t="s">
        <v>868</v>
      </c>
      <c r="H94" s="5" t="s">
        <v>3537</v>
      </c>
      <c r="I94" s="24" t="str">
        <f>HYPERLINK("https://www.bilibili.com/video/BV1ne4y1A7oM?p=93", "BV1ne4y1A7oM?p=93")</f>
        <v>BV1ne4y1A7oM?p=93</v>
      </c>
      <c r="J94" s="4" t="str">
        <f ca="1">_xlfn.IFNA(VLOOKUP(INDIRECT("G"&amp;ROW()),minfo!$A:$M,COLUMN()-8,0),"")</f>
        <v>青花瓷</v>
      </c>
      <c r="K94" s="4" t="str">
        <f ca="1">_xlfn.IFNA(VLOOKUP(INDIRECT("G"&amp;ROW()),minfo!$A:$M,COLUMN()-8,0),"")</f>
        <v>周杰伦</v>
      </c>
      <c r="L94" s="4">
        <f ca="1">_xlfn.IFNA(VLOOKUP(INDIRECT("G"&amp;ROW()),minfo!$A:$M,COLUMN()-8,0),"")</f>
        <v>0</v>
      </c>
      <c r="M94" s="4">
        <f ca="1">_xlfn.IFNA(VLOOKUP(INDIRECT("G"&amp;ROW()),minfo!$A:$M,COLUMN()-8,0),"")</f>
        <v>0</v>
      </c>
      <c r="N94" s="4">
        <f ca="1">_xlfn.IFNA(VLOOKUP(INDIRECT("G"&amp;ROW()),minfo!$A:$M,COLUMN()-8,0),"")</f>
        <v>0</v>
      </c>
      <c r="O94" s="4" t="str">
        <f ca="1">_xlfn.IFNA(VLOOKUP(INDIRECT("G"&amp;ROW()),minfo!$A:$M,COLUMN()-8,0),"")</f>
        <v>https://i0.hdslb.com/bfs/station_src/music_metadata/41873834221338c2a2ad6bf64a0d923b.jpg</v>
      </c>
      <c r="P94" s="4">
        <f ca="1">_xlfn.IFNA(VLOOKUP(INDIRECT("G"&amp;ROW()),minfo!$A:$M,COLUMN()-8,0),"")</f>
        <v>0</v>
      </c>
      <c r="Q94" s="4">
        <f ca="1">_xlfn.IFNA(VLOOKUP(INDIRECT("G"&amp;ROW()),minfo!$A:$M,COLUMN()-8,0),"")</f>
        <v>9226</v>
      </c>
      <c r="R94" s="4">
        <f ca="1">_xlfn.IFNA(VLOOKUP(INDIRECT("G"&amp;ROW()),minfo!$A:$M,COLUMN()-8,0),"")</f>
        <v>0</v>
      </c>
      <c r="S94" s="4" t="str">
        <f ca="1">_xlfn.IFNA(VLOOKUP(INDIRECT("G"&amp;ROW()),minfo!$A:$M,COLUMN()-8,0),"")</f>
        <v>我很忙</v>
      </c>
      <c r="T94" s="4">
        <f ca="1">_xlfn.IFNA(VLOOKUP(INDIRECT("G"&amp;ROW()),minfo!$A:$M,COLUMN()-8,0),"")</f>
        <v>1341173223</v>
      </c>
      <c r="U94" s="4" t="str">
        <f ca="1">_xlfn.IFNA(VLOOKUP(INDIRECT("G"&amp;ROW()),minfo!$A:$M,COLUMN()-8,0),"")</f>
        <v>音乐榜最高NO.8</v>
      </c>
    </row>
    <row r="95" spans="1:21" ht="15.75" customHeight="1">
      <c r="A95" s="15">
        <v>94</v>
      </c>
      <c r="B95" s="4" t="s">
        <v>3637</v>
      </c>
      <c r="C95" s="4">
        <v>95</v>
      </c>
      <c r="D95" s="4">
        <v>94</v>
      </c>
      <c r="E95" s="4" t="s">
        <v>130</v>
      </c>
      <c r="F95" s="16">
        <v>44974</v>
      </c>
      <c r="G95" s="5" t="s">
        <v>130</v>
      </c>
      <c r="H95" s="5" t="s">
        <v>3537</v>
      </c>
      <c r="I95" s="24" t="str">
        <f>HYPERLINK("https://www.bilibili.com/video/BV1ne4y1A7oM?p=94", "BV1ne4y1A7oM?p=94")</f>
        <v>BV1ne4y1A7oM?p=94</v>
      </c>
      <c r="J95" s="4" t="str">
        <f ca="1">_xlfn.IFNA(VLOOKUP(INDIRECT("G"&amp;ROW()),minfo!$A:$M,COLUMN()-8,0),"")</f>
        <v>交响梦</v>
      </c>
      <c r="K95" s="4" t="str">
        <f ca="1">_xlfn.IFNA(VLOOKUP(INDIRECT("G"&amp;ROW()),minfo!$A:$M,COLUMN()-8,0),"")</f>
        <v>苏打绿</v>
      </c>
      <c r="L95" s="4">
        <f ca="1">_xlfn.IFNA(VLOOKUP(INDIRECT("G"&amp;ROW()),minfo!$A:$M,COLUMN()-8,0),"")</f>
        <v>0</v>
      </c>
      <c r="M95" s="4">
        <f ca="1">_xlfn.IFNA(VLOOKUP(INDIRECT("G"&amp;ROW()),minfo!$A:$M,COLUMN()-8,0),"")</f>
        <v>0</v>
      </c>
      <c r="N95" s="4">
        <f ca="1">_xlfn.IFNA(VLOOKUP(INDIRECT("G"&amp;ROW()),minfo!$A:$M,COLUMN()-8,0),"")</f>
        <v>0</v>
      </c>
      <c r="O95" s="4">
        <f ca="1">_xlfn.IFNA(VLOOKUP(INDIRECT("G"&amp;ROW()),minfo!$A:$M,COLUMN()-8,0),"")</f>
        <v>0</v>
      </c>
      <c r="P95" s="4">
        <f ca="1">_xlfn.IFNA(VLOOKUP(INDIRECT("G"&amp;ROW()),minfo!$A:$M,COLUMN()-8,0),"")</f>
        <v>0</v>
      </c>
      <c r="Q95" s="4">
        <f ca="1">_xlfn.IFNA(VLOOKUP(INDIRECT("G"&amp;ROW()),minfo!$A:$M,COLUMN()-8,0),"")</f>
        <v>0</v>
      </c>
      <c r="R95" s="4">
        <f ca="1">_xlfn.IFNA(VLOOKUP(INDIRECT("G"&amp;ROW()),minfo!$A:$M,COLUMN()-8,0),"")</f>
        <v>0</v>
      </c>
      <c r="S95" s="4">
        <f ca="1">_xlfn.IFNA(VLOOKUP(INDIRECT("G"&amp;ROW()),minfo!$A:$M,COLUMN()-8,0),"")</f>
        <v>0</v>
      </c>
      <c r="T95" s="4">
        <f ca="1">_xlfn.IFNA(VLOOKUP(INDIRECT("G"&amp;ROW()),minfo!$A:$M,COLUMN()-8,0),"")</f>
        <v>0</v>
      </c>
      <c r="U95" s="4">
        <f ca="1">_xlfn.IFNA(VLOOKUP(INDIRECT("G"&amp;ROW()),minfo!$A:$M,COLUMN()-8,0),"")</f>
        <v>0</v>
      </c>
    </row>
    <row r="96" spans="1:21" ht="15.75" customHeight="1">
      <c r="A96" s="15">
        <v>95</v>
      </c>
      <c r="B96" s="4" t="s">
        <v>3638</v>
      </c>
      <c r="C96" s="4">
        <v>96</v>
      </c>
      <c r="D96" s="4">
        <v>95</v>
      </c>
      <c r="E96" s="4" t="s">
        <v>404</v>
      </c>
      <c r="F96" s="16">
        <v>44974</v>
      </c>
      <c r="G96" s="5" t="s">
        <v>403</v>
      </c>
      <c r="H96" s="5" t="s">
        <v>3537</v>
      </c>
      <c r="I96" s="24" t="str">
        <f>HYPERLINK("https://www.bilibili.com/video/BV1ne4y1A7oM?p=95", "BV1ne4y1A7oM?p=95")</f>
        <v>BV1ne4y1A7oM?p=95</v>
      </c>
      <c r="J96" s="4" t="str">
        <f ca="1">_xlfn.IFNA(VLOOKUP(INDIRECT("G"&amp;ROW()),minfo!$A:$M,COLUMN()-8,0),"")</f>
        <v>无眠</v>
      </c>
      <c r="K96" s="4" t="str">
        <f ca="1">_xlfn.IFNA(VLOOKUP(INDIRECT("G"&amp;ROW()),minfo!$A:$M,COLUMN()-8,0),"")</f>
        <v>苏打绿</v>
      </c>
      <c r="L96" s="4">
        <f ca="1">_xlfn.IFNA(VLOOKUP(INDIRECT("G"&amp;ROW()),minfo!$A:$M,COLUMN()-8,0),"")</f>
        <v>0</v>
      </c>
      <c r="M96" s="4">
        <f ca="1">_xlfn.IFNA(VLOOKUP(INDIRECT("G"&amp;ROW()),minfo!$A:$M,COLUMN()-8,0),"")</f>
        <v>0</v>
      </c>
      <c r="N96" s="4">
        <f ca="1">_xlfn.IFNA(VLOOKUP(INDIRECT("G"&amp;ROW()),minfo!$A:$M,COLUMN()-8,0),"")</f>
        <v>0</v>
      </c>
      <c r="O96" s="4" t="str">
        <f ca="1">_xlfn.IFNA(VLOOKUP(INDIRECT("G"&amp;ROW()),minfo!$A:$M,COLUMN()-8,0),"")</f>
        <v>https://i0.hdslb.com/bfs/station_src/music_metadata/ce381d40d5668fce4078b49734ac5df3.jpg</v>
      </c>
      <c r="P96" s="4" t="str">
        <f ca="1">_xlfn.IFNA(VLOOKUP(INDIRECT("G"&amp;ROW()),minfo!$A:$M,COLUMN()-8,0),"")</f>
        <v>https://i0.hdslb.com/bfs/station_src/music_metadata/a10d73e7a113caa92a4fe727f216eb73.txt</v>
      </c>
      <c r="Q96" s="4">
        <f ca="1">_xlfn.IFNA(VLOOKUP(INDIRECT("G"&amp;ROW()),minfo!$A:$M,COLUMN()-8,0),"")</f>
        <v>29</v>
      </c>
      <c r="R96" s="4">
        <f ca="1">_xlfn.IFNA(VLOOKUP(INDIRECT("G"&amp;ROW()),minfo!$A:$M,COLUMN()-8,0),"")</f>
        <v>0</v>
      </c>
      <c r="S96" s="4" t="str">
        <f ca="1">_xlfn.IFNA(VLOOKUP(INDIRECT("G"&amp;ROW()),minfo!$A:$M,COLUMN()-8,0),"")</f>
        <v>音乐零时差-57</v>
      </c>
      <c r="T96" s="4">
        <f ca="1">_xlfn.IFNA(VLOOKUP(INDIRECT("G"&amp;ROW()),minfo!$A:$M,COLUMN()-8,0),"")</f>
        <v>4935297</v>
      </c>
      <c r="U96" s="4">
        <f ca="1">_xlfn.IFNA(VLOOKUP(INDIRECT("G"&amp;ROW()),minfo!$A:$M,COLUMN()-8,0),"")</f>
        <v>0</v>
      </c>
    </row>
    <row r="97" spans="1:21" ht="15.75" customHeight="1">
      <c r="A97" s="15">
        <v>96</v>
      </c>
      <c r="B97" s="4" t="s">
        <v>3639</v>
      </c>
      <c r="C97" s="4">
        <v>97</v>
      </c>
      <c r="D97" s="4">
        <v>96</v>
      </c>
      <c r="E97" s="4" t="s">
        <v>503</v>
      </c>
      <c r="F97" s="16">
        <v>44974</v>
      </c>
      <c r="G97" s="5" t="s">
        <v>502</v>
      </c>
      <c r="H97" s="5" t="s">
        <v>3537</v>
      </c>
      <c r="I97" s="24" t="str">
        <f>HYPERLINK("https://www.bilibili.com/video/BV1ne4y1A7oM?p=96", "BV1ne4y1A7oM?p=96")</f>
        <v>BV1ne4y1A7oM?p=96</v>
      </c>
      <c r="J97" s="4" t="str">
        <f ca="1">_xlfn.IFNA(VLOOKUP(INDIRECT("G"&amp;ROW()),minfo!$A:$M,COLUMN()-8,0),"")</f>
        <v>各站停靠</v>
      </c>
      <c r="K97" s="4" t="str">
        <f ca="1">_xlfn.IFNA(VLOOKUP(INDIRECT("G"&amp;ROW()),minfo!$A:$M,COLUMN()-8,0),"")</f>
        <v>苏打绿</v>
      </c>
      <c r="L97" s="4">
        <f ca="1">_xlfn.IFNA(VLOOKUP(INDIRECT("G"&amp;ROW()),minfo!$A:$M,COLUMN()-8,0),"")</f>
        <v>0</v>
      </c>
      <c r="M97" s="4">
        <f ca="1">_xlfn.IFNA(VLOOKUP(INDIRECT("G"&amp;ROW()),minfo!$A:$M,COLUMN()-8,0),"")</f>
        <v>0</v>
      </c>
      <c r="N97" s="4">
        <f ca="1">_xlfn.IFNA(VLOOKUP(INDIRECT("G"&amp;ROW()),minfo!$A:$M,COLUMN()-8,0),"")</f>
        <v>0</v>
      </c>
      <c r="O97" s="4" t="str">
        <f ca="1">_xlfn.IFNA(VLOOKUP(INDIRECT("G"&amp;ROW()),minfo!$A:$M,COLUMN()-8,0),"")</f>
        <v>https://i0.hdslb.com/bfs/station_src/music_metadata/9dda285ef9a52d920d867c32ef0e2361.jpg</v>
      </c>
      <c r="P97" s="4" t="str">
        <f ca="1">_xlfn.IFNA(VLOOKUP(INDIRECT("G"&amp;ROW()),minfo!$A:$M,COLUMN()-8,0),"")</f>
        <v>https://i0.hdslb.com/bfs/station_src/music_metadata/d7362b1b739a43d4234b32d4c2ea15b8.txt</v>
      </c>
      <c r="Q97" s="4">
        <f ca="1">_xlfn.IFNA(VLOOKUP(INDIRECT("G"&amp;ROW()),minfo!$A:$M,COLUMN()-8,0),"")</f>
        <v>2</v>
      </c>
      <c r="R97" s="4">
        <f ca="1">_xlfn.IFNA(VLOOKUP(INDIRECT("G"&amp;ROW()),minfo!$A:$M,COLUMN()-8,0),"")</f>
        <v>0</v>
      </c>
      <c r="S97" s="4" t="str">
        <f ca="1">_xlfn.IFNA(VLOOKUP(INDIRECT("G"&amp;ROW()),minfo!$A:$M,COLUMN()-8,0),"")</f>
        <v>春．日光</v>
      </c>
      <c r="T97" s="4">
        <f ca="1">_xlfn.IFNA(VLOOKUP(INDIRECT("G"&amp;ROW()),minfo!$A:$M,COLUMN()-8,0),"")</f>
        <v>1885829</v>
      </c>
      <c r="U97" s="4">
        <f ca="1">_xlfn.IFNA(VLOOKUP(INDIRECT("G"&amp;ROW()),minfo!$A:$M,COLUMN()-8,0),"")</f>
        <v>0</v>
      </c>
    </row>
    <row r="98" spans="1:21" ht="15.75" customHeight="1">
      <c r="A98" s="15">
        <v>97</v>
      </c>
      <c r="B98" s="4" t="s">
        <v>3640</v>
      </c>
      <c r="C98" s="4">
        <v>98</v>
      </c>
      <c r="D98" s="4">
        <v>97</v>
      </c>
      <c r="E98" s="4" t="s">
        <v>1596</v>
      </c>
      <c r="F98" s="16">
        <v>44974</v>
      </c>
      <c r="G98" s="5" t="s">
        <v>1595</v>
      </c>
      <c r="H98" s="5" t="s">
        <v>3537</v>
      </c>
      <c r="I98" s="24" t="str">
        <f>HYPERLINK("https://www.bilibili.com/video/BV1ne4y1A7oM?p=97", "BV1ne4y1A7oM?p=97")</f>
        <v>BV1ne4y1A7oM?p=97</v>
      </c>
      <c r="J98" s="4" t="str">
        <f ca="1">_xlfn.IFNA(VLOOKUP(INDIRECT("G"&amp;ROW()),minfo!$A:$M,COLUMN()-8,0),"")</f>
        <v>故事</v>
      </c>
      <c r="K98" s="4" t="str">
        <f ca="1">_xlfn.IFNA(VLOOKUP(INDIRECT("G"&amp;ROW()),minfo!$A:$M,COLUMN()-8,0),"")</f>
        <v>苏打绿</v>
      </c>
      <c r="L98" s="4">
        <f ca="1">_xlfn.IFNA(VLOOKUP(INDIRECT("G"&amp;ROW()),minfo!$A:$M,COLUMN()-8,0),"")</f>
        <v>0</v>
      </c>
      <c r="M98" s="4">
        <f ca="1">_xlfn.IFNA(VLOOKUP(INDIRECT("G"&amp;ROW()),minfo!$A:$M,COLUMN()-8,0),"")</f>
        <v>0</v>
      </c>
      <c r="N98" s="4">
        <f ca="1">_xlfn.IFNA(VLOOKUP(INDIRECT("G"&amp;ROW()),minfo!$A:$M,COLUMN()-8,0),"")</f>
        <v>0</v>
      </c>
      <c r="O98" s="4" t="str">
        <f ca="1">_xlfn.IFNA(VLOOKUP(INDIRECT("G"&amp;ROW()),minfo!$A:$M,COLUMN()-8,0),"")</f>
        <v>https://i0.hdslb.com/bfs/station_src/music_metadata/2d29fd5060f4c7150a75dd81e25fdbdd.jpg</v>
      </c>
      <c r="P98" s="4" t="str">
        <f ca="1">_xlfn.IFNA(VLOOKUP(INDIRECT("G"&amp;ROW()),minfo!$A:$M,COLUMN()-8,0),"")</f>
        <v>https://i0.hdslb.com/bfs/station_src/music_metadata/8c1c9743af2990403681c5a21d4fd2e9.txt</v>
      </c>
      <c r="Q98" s="4">
        <f ca="1">_xlfn.IFNA(VLOOKUP(INDIRECT("G"&amp;ROW()),minfo!$A:$M,COLUMN()-8,0),"")</f>
        <v>12</v>
      </c>
      <c r="R98" s="4">
        <f ca="1">_xlfn.IFNA(VLOOKUP(INDIRECT("G"&amp;ROW()),minfo!$A:$M,COLUMN()-8,0),"")</f>
        <v>0</v>
      </c>
      <c r="S98" s="4" t="str">
        <f ca="1">_xlfn.IFNA(VLOOKUP(INDIRECT("G"&amp;ROW()),minfo!$A:$M,COLUMN()-8,0),"")</f>
        <v>MOOV Live 2013 苏打绿</v>
      </c>
      <c r="T98" s="4">
        <f ca="1">_xlfn.IFNA(VLOOKUP(INDIRECT("G"&amp;ROW()),minfo!$A:$M,COLUMN()-8,0),"")</f>
        <v>3135196</v>
      </c>
      <c r="U98" s="4">
        <f ca="1">_xlfn.IFNA(VLOOKUP(INDIRECT("G"&amp;ROW()),minfo!$A:$M,COLUMN()-8,0),"")</f>
        <v>0</v>
      </c>
    </row>
    <row r="99" spans="1:21" ht="15.75" customHeight="1">
      <c r="A99" s="15">
        <v>98</v>
      </c>
      <c r="B99" s="4" t="s">
        <v>3641</v>
      </c>
      <c r="C99" s="4">
        <v>99</v>
      </c>
      <c r="D99" s="4">
        <v>98</v>
      </c>
      <c r="E99" s="4" t="s">
        <v>128</v>
      </c>
      <c r="F99" s="16">
        <v>44974</v>
      </c>
      <c r="G99" s="5" t="s">
        <v>128</v>
      </c>
      <c r="H99" s="5" t="s">
        <v>3537</v>
      </c>
      <c r="I99" s="24" t="str">
        <f>HYPERLINK("https://www.bilibili.com/video/BV1ne4y1A7oM?p=98", "BV1ne4y1A7oM?p=98")</f>
        <v>BV1ne4y1A7oM?p=98</v>
      </c>
      <c r="J99" s="4" t="str">
        <f ca="1">_xlfn.IFNA(VLOOKUP(INDIRECT("G"&amp;ROW()),minfo!$A:$M,COLUMN()-8,0),"")</f>
        <v>独处的时候</v>
      </c>
      <c r="K99" s="4" t="str">
        <f ca="1">_xlfn.IFNA(VLOOKUP(INDIRECT("G"&amp;ROW()),minfo!$A:$M,COLUMN()-8,0),"")</f>
        <v>沈妙极</v>
      </c>
      <c r="L99" s="4">
        <f ca="1">_xlfn.IFNA(VLOOKUP(INDIRECT("G"&amp;ROW()),minfo!$A:$M,COLUMN()-8,0),"")</f>
        <v>0</v>
      </c>
      <c r="M99" s="4">
        <f ca="1">_xlfn.IFNA(VLOOKUP(INDIRECT("G"&amp;ROW()),minfo!$A:$M,COLUMN()-8,0),"")</f>
        <v>0</v>
      </c>
      <c r="N99" s="4">
        <f ca="1">_xlfn.IFNA(VLOOKUP(INDIRECT("G"&amp;ROW()),minfo!$A:$M,COLUMN()-8,0),"")</f>
        <v>0</v>
      </c>
      <c r="O99" s="4">
        <f ca="1">_xlfn.IFNA(VLOOKUP(INDIRECT("G"&amp;ROW()),minfo!$A:$M,COLUMN()-8,0),"")</f>
        <v>0</v>
      </c>
      <c r="P99" s="4">
        <f ca="1">_xlfn.IFNA(VLOOKUP(INDIRECT("G"&amp;ROW()),minfo!$A:$M,COLUMN()-8,0),"")</f>
        <v>0</v>
      </c>
      <c r="Q99" s="4">
        <f ca="1">_xlfn.IFNA(VLOOKUP(INDIRECT("G"&amp;ROW()),minfo!$A:$M,COLUMN()-8,0),"")</f>
        <v>0</v>
      </c>
      <c r="R99" s="4">
        <f ca="1">_xlfn.IFNA(VLOOKUP(INDIRECT("G"&amp;ROW()),minfo!$A:$M,COLUMN()-8,0),"")</f>
        <v>0</v>
      </c>
      <c r="S99" s="4">
        <f ca="1">_xlfn.IFNA(VLOOKUP(INDIRECT("G"&amp;ROW()),minfo!$A:$M,COLUMN()-8,0),"")</f>
        <v>0</v>
      </c>
      <c r="T99" s="4">
        <f ca="1">_xlfn.IFNA(VLOOKUP(INDIRECT("G"&amp;ROW()),minfo!$A:$M,COLUMN()-8,0),"")</f>
        <v>0</v>
      </c>
      <c r="U99" s="4">
        <f ca="1">_xlfn.IFNA(VLOOKUP(INDIRECT("G"&amp;ROW()),minfo!$A:$M,COLUMN()-8,0),"")</f>
        <v>0</v>
      </c>
    </row>
    <row r="100" spans="1:21" ht="15.75" customHeight="1">
      <c r="A100" s="15">
        <v>99</v>
      </c>
      <c r="B100" s="4" t="s">
        <v>3642</v>
      </c>
      <c r="C100" s="4">
        <v>100</v>
      </c>
      <c r="D100" s="4">
        <v>99</v>
      </c>
      <c r="E100" s="4" t="s">
        <v>508</v>
      </c>
      <c r="F100" s="16">
        <v>44974</v>
      </c>
      <c r="G100" s="5" t="s">
        <v>507</v>
      </c>
      <c r="H100" s="5" t="s">
        <v>3537</v>
      </c>
      <c r="I100" s="24" t="str">
        <f>HYPERLINK("https://www.bilibili.com/video/BV1ne4y1A7oM?p=99", "BV1ne4y1A7oM?p=99")</f>
        <v>BV1ne4y1A7oM?p=99</v>
      </c>
      <c r="J100" s="4" t="str">
        <f ca="1">_xlfn.IFNA(VLOOKUP(INDIRECT("G"&amp;ROW()),minfo!$A:$M,COLUMN()-8,0),"")</f>
        <v>有形的翅膀</v>
      </c>
      <c r="K100" s="4" t="str">
        <f ca="1">_xlfn.IFNA(VLOOKUP(INDIRECT("G"&amp;ROW()),minfo!$A:$M,COLUMN()-8,0),"")</f>
        <v>张韶涵</v>
      </c>
      <c r="L100" s="4">
        <f ca="1">_xlfn.IFNA(VLOOKUP(INDIRECT("G"&amp;ROW()),minfo!$A:$M,COLUMN()-8,0),"")</f>
        <v>0</v>
      </c>
      <c r="M100" s="4">
        <f ca="1">_xlfn.IFNA(VLOOKUP(INDIRECT("G"&amp;ROW()),minfo!$A:$M,COLUMN()-8,0),"")</f>
        <v>0</v>
      </c>
      <c r="N100" s="4">
        <f ca="1">_xlfn.IFNA(VLOOKUP(INDIRECT("G"&amp;ROW()),minfo!$A:$M,COLUMN()-8,0),"")</f>
        <v>0</v>
      </c>
      <c r="O100" s="4" t="str">
        <f ca="1">_xlfn.IFNA(VLOOKUP(INDIRECT("G"&amp;ROW()),minfo!$A:$M,COLUMN()-8,0),"")</f>
        <v>https://i0.hdslb.com/bfs/station_src/music_metadata/87ebc407b662d3af1dda082818b3e246.jpg</v>
      </c>
      <c r="P100" s="4" t="str">
        <f ca="1">_xlfn.IFNA(VLOOKUP(INDIRECT("G"&amp;ROW()),minfo!$A:$M,COLUMN()-8,0),"")</f>
        <v>https://i0.hdslb.com/bfs/station_src/music_metadata/b26dccdf68fd599eb0a7303d1d71cb78.txt</v>
      </c>
      <c r="Q100" s="4">
        <f ca="1">_xlfn.IFNA(VLOOKUP(INDIRECT("G"&amp;ROW()),minfo!$A:$M,COLUMN()-8,0),"")</f>
        <v>346</v>
      </c>
      <c r="R100" s="4">
        <f ca="1">_xlfn.IFNA(VLOOKUP(INDIRECT("G"&amp;ROW()),minfo!$A:$M,COLUMN()-8,0),"")</f>
        <v>0</v>
      </c>
      <c r="S100" s="4" t="str">
        <f ca="1">_xlfn.IFNA(VLOOKUP(INDIRECT("G"&amp;ROW()),minfo!$A:$M,COLUMN()-8,0),"")</f>
        <v>有形的翅膀</v>
      </c>
      <c r="T100" s="4">
        <f ca="1">_xlfn.IFNA(VLOOKUP(INDIRECT("G"&amp;ROW()),minfo!$A:$M,COLUMN()-8,0),"")</f>
        <v>81243338</v>
      </c>
      <c r="U100" s="4" t="str">
        <f ca="1">_xlfn.IFNA(VLOOKUP(INDIRECT("G"&amp;ROW()),minfo!$A:$M,COLUMN()-8,0),"")</f>
        <v>本期音乐榜NO.7</v>
      </c>
    </row>
    <row r="101" spans="1:21" ht="15.75" customHeight="1">
      <c r="A101" s="15">
        <v>100</v>
      </c>
      <c r="B101" s="4" t="s">
        <v>3643</v>
      </c>
      <c r="C101" s="4">
        <v>101</v>
      </c>
      <c r="D101" s="4">
        <v>100</v>
      </c>
      <c r="E101" s="4" t="s">
        <v>3644</v>
      </c>
      <c r="F101" s="16">
        <v>44974</v>
      </c>
      <c r="G101" s="5" t="s">
        <v>513</v>
      </c>
      <c r="H101" s="5" t="s">
        <v>3537</v>
      </c>
      <c r="I101" s="24" t="str">
        <f>HYPERLINK("https://www.bilibili.com/video/BV1ne4y1A7oM?p=100", "BV1ne4y1A7oM?p=100")</f>
        <v>BV1ne4y1A7oM?p=100</v>
      </c>
      <c r="J101" s="4" t="str">
        <f ca="1">_xlfn.IFNA(VLOOKUP(INDIRECT("G"&amp;ROW()),minfo!$A:$M,COLUMN()-8,0),"")</f>
        <v>天知河</v>
      </c>
      <c r="K101" s="4" t="str">
        <f ca="1">_xlfn.IFNA(VLOOKUP(INDIRECT("G"&amp;ROW()),minfo!$A:$M,COLUMN()-8,0),"")</f>
        <v>说说Crystal</v>
      </c>
      <c r="L101" s="4">
        <f ca="1">_xlfn.IFNA(VLOOKUP(INDIRECT("G"&amp;ROW()),minfo!$A:$M,COLUMN()-8,0),"")</f>
        <v>0</v>
      </c>
      <c r="M101" s="4">
        <f ca="1">_xlfn.IFNA(VLOOKUP(INDIRECT("G"&amp;ROW()),minfo!$A:$M,COLUMN()-8,0),"")</f>
        <v>63471</v>
      </c>
      <c r="N101" s="4">
        <f ca="1">_xlfn.IFNA(VLOOKUP(INDIRECT("G"&amp;ROW()),minfo!$A:$M,COLUMN()-8,0),"")</f>
        <v>19895</v>
      </c>
      <c r="O101" s="4" t="str">
        <f ca="1">_xlfn.IFNA(VLOOKUP(INDIRECT("G"&amp;ROW()),minfo!$A:$M,COLUMN()-8,0),"")</f>
        <v>http://i0.hdslb.com/bfs/station_src/music_metadata/4ad5958a6b4bee52560f0cf175374bf7.jpg</v>
      </c>
      <c r="P101" s="4">
        <f ca="1">_xlfn.IFNA(VLOOKUP(INDIRECT("G"&amp;ROW()),minfo!$A:$M,COLUMN()-8,0),"")</f>
        <v>0</v>
      </c>
      <c r="Q101" s="4">
        <f ca="1">_xlfn.IFNA(VLOOKUP(INDIRECT("G"&amp;ROW()),minfo!$A:$M,COLUMN()-8,0),"")</f>
        <v>106</v>
      </c>
      <c r="R101" s="4">
        <f ca="1">_xlfn.IFNA(VLOOKUP(INDIRECT("G"&amp;ROW()),minfo!$A:$M,COLUMN()-8,0),"")</f>
        <v>0</v>
      </c>
      <c r="S101" s="4" t="str">
        <f ca="1">_xlfn.IFNA(VLOOKUP(INDIRECT("G"&amp;ROW()),minfo!$A:$M,COLUMN()-8,0),"")</f>
        <v>天知河</v>
      </c>
      <c r="T101" s="4">
        <f ca="1">_xlfn.IFNA(VLOOKUP(INDIRECT("G"&amp;ROW()),minfo!$A:$M,COLUMN()-8,0),"")</f>
        <v>3294592</v>
      </c>
      <c r="U101" s="4">
        <f ca="1">_xlfn.IFNA(VLOOKUP(INDIRECT("G"&amp;ROW()),minfo!$A:$M,COLUMN()-8,0),"")</f>
        <v>0</v>
      </c>
    </row>
    <row r="102" spans="1:21" ht="15.75" customHeight="1">
      <c r="A102" s="15">
        <v>101</v>
      </c>
      <c r="B102" s="4" t="s">
        <v>3645</v>
      </c>
      <c r="C102" s="4">
        <v>102</v>
      </c>
      <c r="D102" s="4">
        <v>101</v>
      </c>
      <c r="E102" s="4" t="s">
        <v>289</v>
      </c>
      <c r="F102" s="16">
        <v>44974</v>
      </c>
      <c r="G102" s="5" t="s">
        <v>288</v>
      </c>
      <c r="H102" s="5" t="s">
        <v>3537</v>
      </c>
      <c r="I102" s="24" t="str">
        <f>HYPERLINK("https://www.bilibili.com/video/BV1ne4y1A7oM?p=101", "BV1ne4y1A7oM?p=101")</f>
        <v>BV1ne4y1A7oM?p=101</v>
      </c>
      <c r="J102" s="4" t="str">
        <f ca="1">_xlfn.IFNA(VLOOKUP(INDIRECT("G"&amp;ROW()),minfo!$A:$M,COLUMN()-8,0),"")</f>
        <v>明明就</v>
      </c>
      <c r="K102" s="4" t="str">
        <f ca="1">_xlfn.IFNA(VLOOKUP(INDIRECT("G"&amp;ROW()),minfo!$A:$M,COLUMN()-8,0),"")</f>
        <v>周杰伦</v>
      </c>
      <c r="L102" s="4">
        <f ca="1">_xlfn.IFNA(VLOOKUP(INDIRECT("G"&amp;ROW()),minfo!$A:$M,COLUMN()-8,0),"")</f>
        <v>0</v>
      </c>
      <c r="M102" s="4">
        <f ca="1">_xlfn.IFNA(VLOOKUP(INDIRECT("G"&amp;ROW()),minfo!$A:$M,COLUMN()-8,0),"")</f>
        <v>0</v>
      </c>
      <c r="N102" s="4">
        <f ca="1">_xlfn.IFNA(VLOOKUP(INDIRECT("G"&amp;ROW()),minfo!$A:$M,COLUMN()-8,0),"")</f>
        <v>0</v>
      </c>
      <c r="O102" s="4" t="str">
        <f ca="1">_xlfn.IFNA(VLOOKUP(INDIRECT("G"&amp;ROW()),minfo!$A:$M,COLUMN()-8,0),"")</f>
        <v>https://i0.hdslb.com/bfs/station_src/music_metadata/b98a05427f027651ca3c0c8cbab055fe.jpg</v>
      </c>
      <c r="P102" s="4" t="str">
        <f ca="1">_xlfn.IFNA(VLOOKUP(INDIRECT("G"&amp;ROW()),minfo!$A:$M,COLUMN()-8,0),"")</f>
        <v>copyright-crawler/music/task-lyric/65093974f03c35ab34fd5795.txt</v>
      </c>
      <c r="Q102" s="4">
        <f ca="1">_xlfn.IFNA(VLOOKUP(INDIRECT("G"&amp;ROW()),minfo!$A:$M,COLUMN()-8,0),"")</f>
        <v>3451</v>
      </c>
      <c r="R102" s="4" t="str">
        <f ca="1">_xlfn.IFNA(VLOOKUP(INDIRECT("G"&amp;ROW()),minfo!$A:$M,COLUMN()-8,0),"")</f>
        <v>明明就</v>
      </c>
      <c r="S102" s="4" t="str">
        <f ca="1">_xlfn.IFNA(VLOOKUP(INDIRECT("G"&amp;ROW()),minfo!$A:$M,COLUMN()-8,0),"")</f>
        <v>十二新作</v>
      </c>
      <c r="T102" s="4">
        <f ca="1">_xlfn.IFNA(VLOOKUP(INDIRECT("G"&amp;ROW()),minfo!$A:$M,COLUMN()-8,0),"")</f>
        <v>424774252</v>
      </c>
      <c r="U102" s="4" t="str">
        <f ca="1">_xlfn.IFNA(VLOOKUP(INDIRECT("G"&amp;ROW()),minfo!$A:$M,COLUMN()-8,0),"")</f>
        <v>音乐榜最高NO.18</v>
      </c>
    </row>
    <row r="103" spans="1:21" ht="15.75" customHeight="1">
      <c r="A103" s="15">
        <v>102</v>
      </c>
      <c r="B103" s="4" t="s">
        <v>3646</v>
      </c>
      <c r="C103" s="4">
        <v>103</v>
      </c>
      <c r="D103" s="4">
        <v>102</v>
      </c>
      <c r="E103" s="4" t="s">
        <v>516</v>
      </c>
      <c r="F103" s="16">
        <v>44974</v>
      </c>
      <c r="G103" s="5" t="s">
        <v>515</v>
      </c>
      <c r="H103" s="5" t="s">
        <v>3537</v>
      </c>
      <c r="I103" s="24" t="str">
        <f>HYPERLINK("https://www.bilibili.com/video/BV1ne4y1A7oM?p=102", "BV1ne4y1A7oM?p=102")</f>
        <v>BV1ne4y1A7oM?p=102</v>
      </c>
      <c r="J103" s="4" t="str">
        <f ca="1">_xlfn.IFNA(VLOOKUP(INDIRECT("G"&amp;ROW()),minfo!$A:$M,COLUMN()-8,0),"")</f>
        <v>三人游</v>
      </c>
      <c r="K103" s="4" t="str">
        <f ca="1">_xlfn.IFNA(VLOOKUP(INDIRECT("G"&amp;ROW()),minfo!$A:$M,COLUMN()-8,0),"")</f>
        <v>方大同</v>
      </c>
      <c r="L103" s="4">
        <f ca="1">_xlfn.IFNA(VLOOKUP(INDIRECT("G"&amp;ROW()),minfo!$A:$M,COLUMN()-8,0),"")</f>
        <v>0</v>
      </c>
      <c r="M103" s="4">
        <f ca="1">_xlfn.IFNA(VLOOKUP(INDIRECT("G"&amp;ROW()),minfo!$A:$M,COLUMN()-8,0),"")</f>
        <v>0</v>
      </c>
      <c r="N103" s="4">
        <f ca="1">_xlfn.IFNA(VLOOKUP(INDIRECT("G"&amp;ROW()),minfo!$A:$M,COLUMN()-8,0),"")</f>
        <v>0</v>
      </c>
      <c r="O103" s="4" t="str">
        <f ca="1">_xlfn.IFNA(VLOOKUP(INDIRECT("G"&amp;ROW()),minfo!$A:$M,COLUMN()-8,0),"")</f>
        <v>http://i0.hdslb.com/bfs/station_src/music_metadata/b7f19bb4d6950ea8c340e7a28a34d747.jpg</v>
      </c>
      <c r="P103" s="4" t="str">
        <f ca="1">_xlfn.IFNA(VLOOKUP(INDIRECT("G"&amp;ROW()),minfo!$A:$M,COLUMN()-8,0),"")</f>
        <v>http://i0.hdslb.com/bfs/station_src/music_metadata/c983d086e43b8e108518877649db4439</v>
      </c>
      <c r="Q103" s="4">
        <f ca="1">_xlfn.IFNA(VLOOKUP(INDIRECT("G"&amp;ROW()),minfo!$A:$M,COLUMN()-8,0),"")</f>
        <v>210</v>
      </c>
      <c r="R103" s="4" t="str">
        <f ca="1">_xlfn.IFNA(VLOOKUP(INDIRECT("G"&amp;ROW()),minfo!$A:$M,COLUMN()-8,0),"")</f>
        <v>《冬季恋歌》韩剧中文版主题曲</v>
      </c>
      <c r="S103" s="4" t="str">
        <f ca="1">_xlfn.IFNA(VLOOKUP(INDIRECT("G"&amp;ROW()),minfo!$A:$M,COLUMN()-8,0),"")</f>
        <v>橙月</v>
      </c>
      <c r="T103" s="4">
        <f ca="1">_xlfn.IFNA(VLOOKUP(INDIRECT("G"&amp;ROW()),minfo!$A:$M,COLUMN()-8,0),"")</f>
        <v>33115292</v>
      </c>
      <c r="U103" s="4">
        <f ca="1">_xlfn.IFNA(VLOOKUP(INDIRECT("G"&amp;ROW()),minfo!$A:$M,COLUMN()-8,0),"")</f>
        <v>0</v>
      </c>
    </row>
    <row r="104" spans="1:21" ht="15.75" customHeight="1">
      <c r="A104" s="15">
        <v>103</v>
      </c>
      <c r="B104" s="4" t="s">
        <v>3647</v>
      </c>
      <c r="C104" s="4">
        <v>104</v>
      </c>
      <c r="D104" s="4">
        <v>103</v>
      </c>
      <c r="E104" s="4" t="s">
        <v>523</v>
      </c>
      <c r="F104" s="16">
        <v>44975</v>
      </c>
      <c r="G104" s="5" t="s">
        <v>522</v>
      </c>
      <c r="H104" s="5" t="s">
        <v>3537</v>
      </c>
      <c r="I104" s="24" t="str">
        <f>HYPERLINK("https://www.bilibili.com/video/BV1ne4y1A7oM?p=103", "BV1ne4y1A7oM?p=103")</f>
        <v>BV1ne4y1A7oM?p=103</v>
      </c>
      <c r="J104" s="4" t="str">
        <f ca="1">_xlfn.IFNA(VLOOKUP(INDIRECT("G"&amp;ROW()),minfo!$A:$M,COLUMN()-8,0),"")</f>
        <v>不醉不会</v>
      </c>
      <c r="K104" s="4" t="str">
        <f ca="1">_xlfn.IFNA(VLOOKUP(INDIRECT("G"&amp;ROW()),minfo!$A:$M,COLUMN()-8,0),"")</f>
        <v>田馥甄</v>
      </c>
      <c r="L104" s="4">
        <f ca="1">_xlfn.IFNA(VLOOKUP(INDIRECT("G"&amp;ROW()),minfo!$A:$M,COLUMN()-8,0),"")</f>
        <v>0</v>
      </c>
      <c r="M104" s="4">
        <f ca="1">_xlfn.IFNA(VLOOKUP(INDIRECT("G"&amp;ROW()),minfo!$A:$M,COLUMN()-8,0),"")</f>
        <v>0</v>
      </c>
      <c r="N104" s="4">
        <f ca="1">_xlfn.IFNA(VLOOKUP(INDIRECT("G"&amp;ROW()),minfo!$A:$M,COLUMN()-8,0),"")</f>
        <v>0</v>
      </c>
      <c r="O104" s="4" t="str">
        <f ca="1">_xlfn.IFNA(VLOOKUP(INDIRECT("G"&amp;ROW()),minfo!$A:$M,COLUMN()-8,0),"")</f>
        <v>https://i0.hdslb.com/bfs/station_src/music_metadata/89dd3a7fe31b05442c9ebecb6692d9c6.jpg</v>
      </c>
      <c r="P104" s="4" t="str">
        <f ca="1">_xlfn.IFNA(VLOOKUP(INDIRECT("G"&amp;ROW()),minfo!$A:$M,COLUMN()-8,0),"")</f>
        <v>http://i0.hdslb.com/bfs/station_src/music_metadata/e538f424a7bb1b824c88467288129a7b</v>
      </c>
      <c r="Q104" s="4">
        <f ca="1">_xlfn.IFNA(VLOOKUP(INDIRECT("G"&amp;ROW()),minfo!$A:$M,COLUMN()-8,0),"")</f>
        <v>46</v>
      </c>
      <c r="R104" s="4" t="str">
        <f ca="1">_xlfn.IFNA(VLOOKUP(INDIRECT("G"&amp;ROW()),minfo!$A:$M,COLUMN()-8,0),"")</f>
        <v>《没有名字的甜点店》电视剧主题曲</v>
      </c>
      <c r="S104" s="4" t="str">
        <f ca="1">_xlfn.IFNA(VLOOKUP(INDIRECT("G"&amp;ROW()),minfo!$A:$M,COLUMN()-8,0),"")</f>
        <v>渺小</v>
      </c>
      <c r="T104" s="4">
        <f ca="1">_xlfn.IFNA(VLOOKUP(INDIRECT("G"&amp;ROW()),minfo!$A:$M,COLUMN()-8,0),"")</f>
        <v>22119844</v>
      </c>
      <c r="U104" s="4">
        <f ca="1">_xlfn.IFNA(VLOOKUP(INDIRECT("G"&amp;ROW()),minfo!$A:$M,COLUMN()-8,0),"")</f>
        <v>0</v>
      </c>
    </row>
    <row r="105" spans="1:21" ht="15.75" customHeight="1">
      <c r="A105" s="15">
        <v>104</v>
      </c>
      <c r="B105" s="4" t="s">
        <v>3648</v>
      </c>
      <c r="C105" s="4">
        <v>105</v>
      </c>
      <c r="D105" s="4">
        <v>104</v>
      </c>
      <c r="E105" s="4" t="s">
        <v>530</v>
      </c>
      <c r="F105" s="16">
        <v>44975</v>
      </c>
      <c r="G105" s="5" t="s">
        <v>529</v>
      </c>
      <c r="H105" s="5" t="s">
        <v>3537</v>
      </c>
      <c r="I105" s="24" t="str">
        <f>HYPERLINK("https://www.bilibili.com/video/BV1ne4y1A7oM?p=104", "BV1ne4y1A7oM?p=104")</f>
        <v>BV1ne4y1A7oM?p=104</v>
      </c>
      <c r="J105" s="4" t="str">
        <f ca="1">_xlfn.IFNA(VLOOKUP(INDIRECT("G"&amp;ROW()),minfo!$A:$M,COLUMN()-8,0),"")</f>
        <v>身骑白马</v>
      </c>
      <c r="K105" s="4" t="str">
        <f ca="1">_xlfn.IFNA(VLOOKUP(INDIRECT("G"&amp;ROW()),minfo!$A:$M,COLUMN()-8,0),"")</f>
        <v>徐佳莹</v>
      </c>
      <c r="L105" s="4">
        <f ca="1">_xlfn.IFNA(VLOOKUP(INDIRECT("G"&amp;ROW()),minfo!$A:$M,COLUMN()-8,0),"")</f>
        <v>0</v>
      </c>
      <c r="M105" s="4">
        <f ca="1">_xlfn.IFNA(VLOOKUP(INDIRECT("G"&amp;ROW()),minfo!$A:$M,COLUMN()-8,0),"")</f>
        <v>0</v>
      </c>
      <c r="N105" s="4">
        <f ca="1">_xlfn.IFNA(VLOOKUP(INDIRECT("G"&amp;ROW()),minfo!$A:$M,COLUMN()-8,0),"")</f>
        <v>0</v>
      </c>
      <c r="O105" s="4" t="str">
        <f ca="1">_xlfn.IFNA(VLOOKUP(INDIRECT("G"&amp;ROW()),minfo!$A:$M,COLUMN()-8,0),"")</f>
        <v>http://i0.hdslb.com/bfs/station_src/music_metadata/5309866334d8550fdb4abccc389a5193.jpg</v>
      </c>
      <c r="P105" s="4" t="str">
        <f ca="1">_xlfn.IFNA(VLOOKUP(INDIRECT("G"&amp;ROW()),minfo!$A:$M,COLUMN()-8,0),"")</f>
        <v>http://i0.hdslb.com/bfs/station_src/music_metadata/54d4cd6cf66cfb9eadbebde296a31478</v>
      </c>
      <c r="Q105" s="4">
        <f ca="1">_xlfn.IFNA(VLOOKUP(INDIRECT("G"&amp;ROW()),minfo!$A:$M,COLUMN()-8,0),"")</f>
        <v>1245</v>
      </c>
      <c r="R105" s="4">
        <f ca="1">_xlfn.IFNA(VLOOKUP(INDIRECT("G"&amp;ROW()),minfo!$A:$M,COLUMN()-8,0),"")</f>
        <v>0</v>
      </c>
      <c r="S105" s="4" t="str">
        <f ca="1">_xlfn.IFNA(VLOOKUP(INDIRECT("G"&amp;ROW()),minfo!$A:$M,COLUMN()-8,0),"")</f>
        <v>LaLa首张创作专辑</v>
      </c>
      <c r="T105" s="4">
        <f ca="1">_xlfn.IFNA(VLOOKUP(INDIRECT("G"&amp;ROW()),minfo!$A:$M,COLUMN()-8,0),"")</f>
        <v>198103765</v>
      </c>
      <c r="U105" s="4" t="str">
        <f ca="1">_xlfn.IFNA(VLOOKUP(INDIRECT("G"&amp;ROW()),minfo!$A:$M,COLUMN()-8,0),"")</f>
        <v>音乐榜最高NO.10</v>
      </c>
    </row>
    <row r="106" spans="1:21" ht="15.75" customHeight="1">
      <c r="A106" s="15">
        <v>105</v>
      </c>
      <c r="B106" s="4" t="s">
        <v>3649</v>
      </c>
      <c r="C106" s="4">
        <v>106</v>
      </c>
      <c r="D106" s="4">
        <v>105</v>
      </c>
      <c r="E106" s="4" t="s">
        <v>536</v>
      </c>
      <c r="F106" s="16">
        <v>44979</v>
      </c>
      <c r="G106" s="5" t="s">
        <v>535</v>
      </c>
      <c r="H106" s="5" t="s">
        <v>3537</v>
      </c>
      <c r="I106" s="24" t="str">
        <f>HYPERLINK("https://www.bilibili.com/video/BV1ne4y1A7oM?p=105", "BV1ne4y1A7oM?p=105")</f>
        <v>BV1ne4y1A7oM?p=105</v>
      </c>
      <c r="J106" s="4" t="str">
        <f ca="1">_xlfn.IFNA(VLOOKUP(INDIRECT("G"&amp;ROW()),minfo!$A:$M,COLUMN()-8,0),"")</f>
        <v>红颜如霜</v>
      </c>
      <c r="K106" s="4" t="str">
        <f ca="1">_xlfn.IFNA(VLOOKUP(INDIRECT("G"&amp;ROW()),minfo!$A:$M,COLUMN()-8,0),"")</f>
        <v>周杰伦</v>
      </c>
      <c r="L106" s="4">
        <f ca="1">_xlfn.IFNA(VLOOKUP(INDIRECT("G"&amp;ROW()),minfo!$A:$M,COLUMN()-8,0),"")</f>
        <v>0</v>
      </c>
      <c r="M106" s="4">
        <f ca="1">_xlfn.IFNA(VLOOKUP(INDIRECT("G"&amp;ROW()),minfo!$A:$M,COLUMN()-8,0),"")</f>
        <v>179425</v>
      </c>
      <c r="N106" s="4">
        <f ca="1">_xlfn.IFNA(VLOOKUP(INDIRECT("G"&amp;ROW()),minfo!$A:$M,COLUMN()-8,0),"")</f>
        <v>61254</v>
      </c>
      <c r="O106" s="4" t="str">
        <f ca="1">_xlfn.IFNA(VLOOKUP(INDIRECT("G"&amp;ROW()),minfo!$A:$M,COLUMN()-8,0),"")</f>
        <v>https://i0.hdslb.com/bfs/station_src/music_metadata/b0bbef33041121e4c8107f9d82ff0e60.jpg</v>
      </c>
      <c r="P106" s="4">
        <f ca="1">_xlfn.IFNA(VLOOKUP(INDIRECT("G"&amp;ROW()),minfo!$A:$M,COLUMN()-8,0),"")</f>
        <v>0</v>
      </c>
      <c r="Q106" s="4">
        <f ca="1">_xlfn.IFNA(VLOOKUP(INDIRECT("G"&amp;ROW()),minfo!$A:$M,COLUMN()-8,0),"")</f>
        <v>17510</v>
      </c>
      <c r="R106" s="4">
        <f ca="1">_xlfn.IFNA(VLOOKUP(INDIRECT("G"&amp;ROW()),minfo!$A:$M,COLUMN()-8,0),"")</f>
        <v>0</v>
      </c>
      <c r="S106" s="4" t="str">
        <f ca="1">_xlfn.IFNA(VLOOKUP(INDIRECT("G"&amp;ROW()),minfo!$A:$M,COLUMN()-8,0),"")</f>
        <v>最伟大的作品</v>
      </c>
      <c r="T106" s="4">
        <f ca="1">_xlfn.IFNA(VLOOKUP(INDIRECT("G"&amp;ROW()),minfo!$A:$M,COLUMN()-8,0),"")</f>
        <v>237302125</v>
      </c>
      <c r="U106" s="4" t="str">
        <f ca="1">_xlfn.IFNA(VLOOKUP(INDIRECT("G"&amp;ROW()),minfo!$A:$M,COLUMN()-8,0),"")</f>
        <v>音乐榜最高NO.2</v>
      </c>
    </row>
    <row r="107" spans="1:21" ht="15.75" customHeight="1">
      <c r="A107" s="15">
        <v>106</v>
      </c>
      <c r="B107" s="4" t="s">
        <v>3650</v>
      </c>
      <c r="C107" s="4">
        <v>107</v>
      </c>
      <c r="D107" s="4">
        <v>106</v>
      </c>
      <c r="E107" s="4" t="s">
        <v>445</v>
      </c>
      <c r="F107" s="16">
        <v>44979</v>
      </c>
      <c r="G107" s="5" t="s">
        <v>444</v>
      </c>
      <c r="H107" s="5" t="s">
        <v>3537</v>
      </c>
      <c r="I107" s="24" t="str">
        <f>HYPERLINK("https://www.bilibili.com/video/BV1ne4y1A7oM?p=106", "BV1ne4y1A7oM?p=106")</f>
        <v>BV1ne4y1A7oM?p=106</v>
      </c>
      <c r="J107" s="4" t="str">
        <f ca="1">_xlfn.IFNA(VLOOKUP(INDIRECT("G"&amp;ROW()),minfo!$A:$M,COLUMN()-8,0),"")</f>
        <v>残酷月光</v>
      </c>
      <c r="K107" s="4" t="str">
        <f ca="1">_xlfn.IFNA(VLOOKUP(INDIRECT("G"&amp;ROW()),minfo!$A:$M,COLUMN()-8,0),"")</f>
        <v>林宥嘉</v>
      </c>
      <c r="L107" s="4">
        <f ca="1">_xlfn.IFNA(VLOOKUP(INDIRECT("G"&amp;ROW()),minfo!$A:$M,COLUMN()-8,0),"")</f>
        <v>0</v>
      </c>
      <c r="M107" s="4">
        <f ca="1">_xlfn.IFNA(VLOOKUP(INDIRECT("G"&amp;ROW()),minfo!$A:$M,COLUMN()-8,0),"")</f>
        <v>0</v>
      </c>
      <c r="N107" s="4">
        <f ca="1">_xlfn.IFNA(VLOOKUP(INDIRECT("G"&amp;ROW()),minfo!$A:$M,COLUMN()-8,0),"")</f>
        <v>0</v>
      </c>
      <c r="O107" s="4" t="str">
        <f ca="1">_xlfn.IFNA(VLOOKUP(INDIRECT("G"&amp;ROW()),minfo!$A:$M,COLUMN()-8,0),"")</f>
        <v>https://i0.hdslb.com/bfs/station_src/music_metadata/ce9ac424f4b7f0eefa82ac853ca376b9.jpg</v>
      </c>
      <c r="P107" s="4" t="str">
        <f ca="1">_xlfn.IFNA(VLOOKUP(INDIRECT("G"&amp;ROW()),minfo!$A:$M,COLUMN()-8,0),"")</f>
        <v>http://i0.hdslb.com/bfs/station_src/music_metadata/7ac56c3c98e60f9cff717672bce72537</v>
      </c>
      <c r="Q107" s="4">
        <f ca="1">_xlfn.IFNA(VLOOKUP(INDIRECT("G"&amp;ROW()),minfo!$A:$M,COLUMN()-8,0),"")</f>
        <v>181</v>
      </c>
      <c r="R107" s="4">
        <f ca="1">_xlfn.IFNA(VLOOKUP(INDIRECT("G"&amp;ROW()),minfo!$A:$M,COLUMN()-8,0),"")</f>
        <v>0</v>
      </c>
      <c r="S107" s="4" t="str">
        <f ca="1">_xlfn.IFNA(VLOOKUP(INDIRECT("G"&amp;ROW()),minfo!$A:$M,COLUMN()-8,0),"")</f>
        <v>神秘嘉宾</v>
      </c>
      <c r="T107" s="4">
        <f ca="1">_xlfn.IFNA(VLOOKUP(INDIRECT("G"&amp;ROW()),minfo!$A:$M,COLUMN()-8,0),"")</f>
        <v>44513923</v>
      </c>
      <c r="U107" s="4">
        <f ca="1">_xlfn.IFNA(VLOOKUP(INDIRECT("G"&amp;ROW()),minfo!$A:$M,COLUMN()-8,0),"")</f>
        <v>0</v>
      </c>
    </row>
    <row r="108" spans="1:21" ht="15.75" customHeight="1">
      <c r="A108" s="15">
        <v>107</v>
      </c>
      <c r="B108" s="4" t="s">
        <v>3651</v>
      </c>
      <c r="C108" s="4">
        <v>108</v>
      </c>
      <c r="D108" s="4">
        <v>107</v>
      </c>
      <c r="E108" s="4" t="s">
        <v>540</v>
      </c>
      <c r="F108" s="16">
        <v>44979</v>
      </c>
      <c r="G108" s="5" t="s">
        <v>539</v>
      </c>
      <c r="H108" s="5" t="s">
        <v>3537</v>
      </c>
      <c r="I108" s="24" t="str">
        <f>HYPERLINK("https://www.bilibili.com/video/BV1ne4y1A7oM?p=107", "BV1ne4y1A7oM?p=107")</f>
        <v>BV1ne4y1A7oM?p=107</v>
      </c>
      <c r="J108" s="4" t="str">
        <f ca="1">_xlfn.IFNA(VLOOKUP(INDIRECT("G"&amp;ROW()),minfo!$A:$M,COLUMN()-8,0),"")</f>
        <v>如果你也听说</v>
      </c>
      <c r="K108" s="4" t="str">
        <f ca="1">_xlfn.IFNA(VLOOKUP(INDIRECT("G"&amp;ROW()),minfo!$A:$M,COLUMN()-8,0),"")</f>
        <v>张惠妹</v>
      </c>
      <c r="L108" s="4">
        <f ca="1">_xlfn.IFNA(VLOOKUP(INDIRECT("G"&amp;ROW()),minfo!$A:$M,COLUMN()-8,0),"")</f>
        <v>0</v>
      </c>
      <c r="M108" s="4">
        <f ca="1">_xlfn.IFNA(VLOOKUP(INDIRECT("G"&amp;ROW()),minfo!$A:$M,COLUMN()-8,0),"")</f>
        <v>0</v>
      </c>
      <c r="N108" s="4">
        <f ca="1">_xlfn.IFNA(VLOOKUP(INDIRECT("G"&amp;ROW()),minfo!$A:$M,COLUMN()-8,0),"")</f>
        <v>0</v>
      </c>
      <c r="O108" s="4" t="str">
        <f ca="1">_xlfn.IFNA(VLOOKUP(INDIRECT("G"&amp;ROW()),minfo!$A:$M,COLUMN()-8,0),"")</f>
        <v>https://i0.hdslb.com/bfs/station_src/music_metadata/817afa2e773e7b58be0aa81357a6d3ba.jpg</v>
      </c>
      <c r="P108" s="4" t="str">
        <f ca="1">_xlfn.IFNA(VLOOKUP(INDIRECT("G"&amp;ROW()),minfo!$A:$M,COLUMN()-8,0),"")</f>
        <v>http://i0.hdslb.com/bfs/station_src/music_metadata/bf62c79e96e7ed1fd3cc328229e1279c</v>
      </c>
      <c r="Q108" s="4">
        <f ca="1">_xlfn.IFNA(VLOOKUP(INDIRECT("G"&amp;ROW()),minfo!$A:$M,COLUMN()-8,0),"")</f>
        <v>131</v>
      </c>
      <c r="R108" s="4">
        <f ca="1">_xlfn.IFNA(VLOOKUP(INDIRECT("G"&amp;ROW()),minfo!$A:$M,COLUMN()-8,0),"")</f>
        <v>0</v>
      </c>
      <c r="S108" s="4" t="str">
        <f ca="1">_xlfn.IFNA(VLOOKUP(INDIRECT("G"&amp;ROW()),minfo!$A:$M,COLUMN()-8,0),"")</f>
        <v>我最亲爱的张惠妹 - 给自己的精选（2015 Edition）</v>
      </c>
      <c r="T108" s="4">
        <f ca="1">_xlfn.IFNA(VLOOKUP(INDIRECT("G"&amp;ROW()),minfo!$A:$M,COLUMN()-8,0),"")</f>
        <v>70228527</v>
      </c>
      <c r="U108" s="4">
        <f ca="1">_xlfn.IFNA(VLOOKUP(INDIRECT("G"&amp;ROW()),minfo!$A:$M,COLUMN()-8,0),"")</f>
        <v>0</v>
      </c>
    </row>
    <row r="109" spans="1:21" ht="15.75" customHeight="1">
      <c r="A109" s="15">
        <v>108</v>
      </c>
      <c r="B109" s="4" t="s">
        <v>3652</v>
      </c>
      <c r="C109" s="4">
        <v>109</v>
      </c>
      <c r="D109" s="4">
        <v>108</v>
      </c>
      <c r="E109" s="4" t="s">
        <v>546</v>
      </c>
      <c r="F109" s="16">
        <v>44979</v>
      </c>
      <c r="G109" s="5" t="s">
        <v>545</v>
      </c>
      <c r="H109" s="5" t="s">
        <v>3537</v>
      </c>
      <c r="I109" s="24" t="str">
        <f>HYPERLINK("https://www.bilibili.com/video/BV1ne4y1A7oM?p=108", "BV1ne4y1A7oM?p=108")</f>
        <v>BV1ne4y1A7oM?p=108</v>
      </c>
      <c r="J109" s="4" t="str">
        <f ca="1">_xlfn.IFNA(VLOOKUP(INDIRECT("G"&amp;ROW()),minfo!$A:$M,COLUMN()-8,0),"")</f>
        <v>阿楚姑娘</v>
      </c>
      <c r="K109" s="4" t="str">
        <f ca="1">_xlfn.IFNA(VLOOKUP(INDIRECT("G"&amp;ROW()),minfo!$A:$M,COLUMN()-8,0),"")</f>
        <v>袁娅维TIA RAY</v>
      </c>
      <c r="L109" s="4">
        <f ca="1">_xlfn.IFNA(VLOOKUP(INDIRECT("G"&amp;ROW()),minfo!$A:$M,COLUMN()-8,0),"")</f>
        <v>0</v>
      </c>
      <c r="M109" s="4">
        <f ca="1">_xlfn.IFNA(VLOOKUP(INDIRECT("G"&amp;ROW()),minfo!$A:$M,COLUMN()-8,0),"")</f>
        <v>0</v>
      </c>
      <c r="N109" s="4">
        <f ca="1">_xlfn.IFNA(VLOOKUP(INDIRECT("G"&amp;ROW()),minfo!$A:$M,COLUMN()-8,0),"")</f>
        <v>0</v>
      </c>
      <c r="O109" s="4" t="str">
        <f ca="1">_xlfn.IFNA(VLOOKUP(INDIRECT("G"&amp;ROW()),minfo!$A:$M,COLUMN()-8,0),"")</f>
        <v>http://i0.hdslb.com/bfs/station_src/music_metadata/490252348b1df68e4145357b5fc3aad5.jpg</v>
      </c>
      <c r="P109" s="4" t="str">
        <f ca="1">_xlfn.IFNA(VLOOKUP(INDIRECT("G"&amp;ROW()),minfo!$A:$M,COLUMN()-8,0),"")</f>
        <v>http://i0.hdslb.com/bfs/station_src/music_metadata/03c91235e156d3e1f46836f93beeb9f7</v>
      </c>
      <c r="Q109" s="4">
        <f ca="1">_xlfn.IFNA(VLOOKUP(INDIRECT("G"&amp;ROW()),minfo!$A:$M,COLUMN()-8,0),"")</f>
        <v>139</v>
      </c>
      <c r="R109" s="4">
        <f ca="1">_xlfn.IFNA(VLOOKUP(INDIRECT("G"&amp;ROW()),minfo!$A:$M,COLUMN()-8,0),"")</f>
        <v>0</v>
      </c>
      <c r="S109" s="4" t="str">
        <f ca="1">_xlfn.IFNA(VLOOKUP(INDIRECT("G"&amp;ROW()),minfo!$A:$M,COLUMN()-8,0),"")</f>
        <v>阿楚姑娘</v>
      </c>
      <c r="T109" s="4">
        <f ca="1">_xlfn.IFNA(VLOOKUP(INDIRECT("G"&amp;ROW()),minfo!$A:$M,COLUMN()-8,0),"")</f>
        <v>27303668</v>
      </c>
      <c r="U109" s="4">
        <f ca="1">_xlfn.IFNA(VLOOKUP(INDIRECT("G"&amp;ROW()),minfo!$A:$M,COLUMN()-8,0),"")</f>
        <v>0</v>
      </c>
    </row>
    <row r="110" spans="1:21" ht="15.75" customHeight="1">
      <c r="A110" s="15">
        <v>109</v>
      </c>
      <c r="B110" s="4" t="s">
        <v>3653</v>
      </c>
      <c r="C110" s="4">
        <v>110</v>
      </c>
      <c r="D110" s="4">
        <v>109</v>
      </c>
      <c r="E110" s="4" t="s">
        <v>550</v>
      </c>
      <c r="F110" s="16">
        <v>44979</v>
      </c>
      <c r="G110" s="5" t="s">
        <v>549</v>
      </c>
      <c r="H110" s="5" t="s">
        <v>3537</v>
      </c>
      <c r="I110" s="24" t="str">
        <f>HYPERLINK("https://www.bilibili.com/video/BV1ne4y1A7oM?p=109", "BV1ne4y1A7oM?p=109")</f>
        <v>BV1ne4y1A7oM?p=109</v>
      </c>
      <c r="J110" s="4" t="str">
        <f ca="1">_xlfn.IFNA(VLOOKUP(INDIRECT("G"&amp;ROW()),minfo!$A:$M,COLUMN()-8,0),"")</f>
        <v>靠近</v>
      </c>
      <c r="K110" s="4" t="str">
        <f ca="1">_xlfn.IFNA(VLOOKUP(INDIRECT("G"&amp;ROW()),minfo!$A:$M,COLUMN()-8,0),"")</f>
        <v>罗震环</v>
      </c>
      <c r="L110" s="4">
        <f ca="1">_xlfn.IFNA(VLOOKUP(INDIRECT("G"&amp;ROW()),minfo!$A:$M,COLUMN()-8,0),"")</f>
        <v>0</v>
      </c>
      <c r="M110" s="4">
        <f ca="1">_xlfn.IFNA(VLOOKUP(INDIRECT("G"&amp;ROW()),minfo!$A:$M,COLUMN()-8,0),"")</f>
        <v>0</v>
      </c>
      <c r="N110" s="4">
        <f ca="1">_xlfn.IFNA(VLOOKUP(INDIRECT("G"&amp;ROW()),minfo!$A:$M,COLUMN()-8,0),"")</f>
        <v>0</v>
      </c>
      <c r="O110" s="4" t="str">
        <f ca="1">_xlfn.IFNA(VLOOKUP(INDIRECT("G"&amp;ROW()),minfo!$A:$M,COLUMN()-8,0),"")</f>
        <v>https://i0.hdslb.com/bfs/station_src/music_metadata/38ab4a46f651a446f01ba757be262549.jpg</v>
      </c>
      <c r="P110" s="4" t="str">
        <f ca="1">_xlfn.IFNA(VLOOKUP(INDIRECT("G"&amp;ROW()),minfo!$A:$M,COLUMN()-8,0),"")</f>
        <v>https://i0.hdslb.com/bfs/station_src/music_metadata/1aa4ee4fef9645e7092232f4801fb704.txt</v>
      </c>
      <c r="Q110" s="4">
        <f ca="1">_xlfn.IFNA(VLOOKUP(INDIRECT("G"&amp;ROW()),minfo!$A:$M,COLUMN()-8,0),"")</f>
        <v>1651</v>
      </c>
      <c r="R110" s="4" t="str">
        <f ca="1">_xlfn.IFNA(VLOOKUP(INDIRECT("G"&amp;ROW()),minfo!$A:$M,COLUMN()-8,0),"")</f>
        <v>《爱情公寓3》电视剧片尾曲</v>
      </c>
      <c r="S110" s="4" t="str">
        <f ca="1">_xlfn.IFNA(VLOOKUP(INDIRECT("G"&amp;ROW()),minfo!$A:$M,COLUMN()-8,0),"")</f>
        <v>爱情公寓3 电视剧原声带</v>
      </c>
      <c r="T110" s="4">
        <f ca="1">_xlfn.IFNA(VLOOKUP(INDIRECT("G"&amp;ROW()),minfo!$A:$M,COLUMN()-8,0),"")</f>
        <v>197851447</v>
      </c>
      <c r="U110" s="4">
        <f ca="1">_xlfn.IFNA(VLOOKUP(INDIRECT("G"&amp;ROW()),minfo!$A:$M,COLUMN()-8,0),"")</f>
        <v>0</v>
      </c>
    </row>
    <row r="111" spans="1:21" ht="15.75" customHeight="1">
      <c r="A111" s="15">
        <v>110</v>
      </c>
      <c r="B111" s="4" t="s">
        <v>3654</v>
      </c>
      <c r="C111" s="4">
        <v>111</v>
      </c>
      <c r="D111" s="4">
        <v>110</v>
      </c>
      <c r="E111" s="4" t="s">
        <v>557</v>
      </c>
      <c r="F111" s="16">
        <v>44979</v>
      </c>
      <c r="G111" s="5" t="s">
        <v>556</v>
      </c>
      <c r="H111" s="5" t="s">
        <v>3537</v>
      </c>
      <c r="I111" s="24" t="str">
        <f>HYPERLINK("https://www.bilibili.com/video/BV1ne4y1A7oM?p=110", "BV1ne4y1A7oM?p=110")</f>
        <v>BV1ne4y1A7oM?p=110</v>
      </c>
      <c r="J111" s="4" t="str">
        <f ca="1">_xlfn.IFNA(VLOOKUP(INDIRECT("G"&amp;ROW()),minfo!$A:$M,COLUMN()-8,0),"")</f>
        <v>在那东山顶上</v>
      </c>
      <c r="K111" s="4" t="str">
        <f ca="1">_xlfn.IFNA(VLOOKUP(INDIRECT("G"&amp;ROW()),minfo!$A:$M,COLUMN()-8,0),"")</f>
        <v>谭晶</v>
      </c>
      <c r="L111" s="4">
        <f ca="1">_xlfn.IFNA(VLOOKUP(INDIRECT("G"&amp;ROW()),minfo!$A:$M,COLUMN()-8,0),"")</f>
        <v>0</v>
      </c>
      <c r="M111" s="4">
        <f ca="1">_xlfn.IFNA(VLOOKUP(INDIRECT("G"&amp;ROW()),minfo!$A:$M,COLUMN()-8,0),"")</f>
        <v>0</v>
      </c>
      <c r="N111" s="4">
        <f ca="1">_xlfn.IFNA(VLOOKUP(INDIRECT("G"&amp;ROW()),minfo!$A:$M,COLUMN()-8,0),"")</f>
        <v>0</v>
      </c>
      <c r="O111" s="4" t="str">
        <f ca="1">_xlfn.IFNA(VLOOKUP(INDIRECT("G"&amp;ROW()),minfo!$A:$M,COLUMN()-8,0),"")</f>
        <v>https://i0.hdslb.com/bfs/station_src/music_metadata/59de415080268909059e7e45a48b31ec.jpg</v>
      </c>
      <c r="P111" s="4" t="str">
        <f ca="1">_xlfn.IFNA(VLOOKUP(INDIRECT("G"&amp;ROW()),minfo!$A:$M,COLUMN()-8,0),"")</f>
        <v>https://i0.hdslb.com/bfs/station_src/music_metadata/eda2f54f706c4adaca6ef517d1b4f09d.txt</v>
      </c>
      <c r="Q111" s="4">
        <f ca="1">_xlfn.IFNA(VLOOKUP(INDIRECT("G"&amp;ROW()),minfo!$A:$M,COLUMN()-8,0),"")</f>
        <v>6</v>
      </c>
      <c r="R111" s="4">
        <f ca="1">_xlfn.IFNA(VLOOKUP(INDIRECT("G"&amp;ROW()),minfo!$A:$M,COLUMN()-8,0),"")</f>
        <v>0</v>
      </c>
      <c r="S111" s="4" t="str">
        <f ca="1">_xlfn.IFNA(VLOOKUP(INDIRECT("G"&amp;ROW()),minfo!$A:$M,COLUMN()-8,0),"")</f>
        <v>龙图腾</v>
      </c>
      <c r="T111" s="4">
        <f ca="1">_xlfn.IFNA(VLOOKUP(INDIRECT("G"&amp;ROW()),minfo!$A:$M,COLUMN()-8,0),"")</f>
        <v>6950668</v>
      </c>
      <c r="U111" s="4">
        <f ca="1">_xlfn.IFNA(VLOOKUP(INDIRECT("G"&amp;ROW()),minfo!$A:$M,COLUMN()-8,0),"")</f>
        <v>0</v>
      </c>
    </row>
    <row r="112" spans="1:21" ht="15.75" customHeight="1">
      <c r="A112" s="15">
        <v>111</v>
      </c>
      <c r="B112" s="4" t="s">
        <v>3655</v>
      </c>
      <c r="C112" s="4">
        <v>112</v>
      </c>
      <c r="D112" s="4">
        <v>111</v>
      </c>
      <c r="E112" s="4" t="s">
        <v>563</v>
      </c>
      <c r="F112" s="16">
        <v>44979</v>
      </c>
      <c r="G112" s="5" t="s">
        <v>562</v>
      </c>
      <c r="H112" s="5" t="s">
        <v>3537</v>
      </c>
      <c r="I112" s="24" t="str">
        <f>HYPERLINK("https://www.bilibili.com/video/BV1ne4y1A7oM?p=111", "BV1ne4y1A7oM?p=111")</f>
        <v>BV1ne4y1A7oM?p=111</v>
      </c>
      <c r="J112" s="4" t="str">
        <f ca="1">_xlfn.IFNA(VLOOKUP(INDIRECT("G"&amp;ROW()),minfo!$A:$M,COLUMN()-8,0),"")</f>
        <v>龙文</v>
      </c>
      <c r="K112" s="4" t="str">
        <f ca="1">_xlfn.IFNA(VLOOKUP(INDIRECT("G"&amp;ROW()),minfo!$A:$M,COLUMN()-8,0),"")</f>
        <v>谭晶</v>
      </c>
      <c r="L112" s="4">
        <f ca="1">_xlfn.IFNA(VLOOKUP(INDIRECT("G"&amp;ROW()),minfo!$A:$M,COLUMN()-8,0),"")</f>
        <v>0</v>
      </c>
      <c r="M112" s="4">
        <f ca="1">_xlfn.IFNA(VLOOKUP(INDIRECT("G"&amp;ROW()),minfo!$A:$M,COLUMN()-8,0),"")</f>
        <v>0</v>
      </c>
      <c r="N112" s="4">
        <f ca="1">_xlfn.IFNA(VLOOKUP(INDIRECT("G"&amp;ROW()),minfo!$A:$M,COLUMN()-8,0),"")</f>
        <v>0</v>
      </c>
      <c r="O112" s="4" t="str">
        <f ca="1">_xlfn.IFNA(VLOOKUP(INDIRECT("G"&amp;ROW()),minfo!$A:$M,COLUMN()-8,0),"")</f>
        <v>https://i0.hdslb.com/bfs/station_src/music_metadata/062a90918f086d711e1940245da47ca6.jpg</v>
      </c>
      <c r="P112" s="4" t="str">
        <f ca="1">_xlfn.IFNA(VLOOKUP(INDIRECT("G"&amp;ROW()),minfo!$A:$M,COLUMN()-8,0),"")</f>
        <v>https://i0.hdslb.com/bfs/station_src/music_metadata/f4ad8d701662a5378d193efa3deff24e.txt</v>
      </c>
      <c r="Q112" s="4">
        <f ca="1">_xlfn.IFNA(VLOOKUP(INDIRECT("G"&amp;ROW()),minfo!$A:$M,COLUMN()-8,0),"")</f>
        <v>3</v>
      </c>
      <c r="R112" s="4">
        <f ca="1">_xlfn.IFNA(VLOOKUP(INDIRECT("G"&amp;ROW()),minfo!$A:$M,COLUMN()-8,0),"")</f>
        <v>0</v>
      </c>
      <c r="S112" s="4" t="str">
        <f ca="1">_xlfn.IFNA(VLOOKUP(INDIRECT("G"&amp;ROW()),minfo!$A:$M,COLUMN()-8,0),"")</f>
        <v>谭晶单曲集</v>
      </c>
      <c r="T112" s="4">
        <f ca="1">_xlfn.IFNA(VLOOKUP(INDIRECT("G"&amp;ROW()),minfo!$A:$M,COLUMN()-8,0),"")</f>
        <v>4837871</v>
      </c>
      <c r="U112" s="4">
        <f ca="1">_xlfn.IFNA(VLOOKUP(INDIRECT("G"&amp;ROW()),minfo!$A:$M,COLUMN()-8,0),"")</f>
        <v>0</v>
      </c>
    </row>
    <row r="113" spans="1:21" ht="15.75" customHeight="1">
      <c r="A113" s="15">
        <v>112</v>
      </c>
      <c r="B113" s="4" t="s">
        <v>3656</v>
      </c>
      <c r="C113" s="4">
        <v>113</v>
      </c>
      <c r="D113" s="4">
        <v>112</v>
      </c>
      <c r="E113" s="4" t="s">
        <v>328</v>
      </c>
      <c r="F113" s="16">
        <v>44985</v>
      </c>
      <c r="G113" s="5" t="s">
        <v>327</v>
      </c>
      <c r="H113" s="5" t="s">
        <v>3537</v>
      </c>
      <c r="I113" s="24" t="str">
        <f>HYPERLINK("https://www.bilibili.com/video/BV1ne4y1A7oM?p=112", "BV1ne4y1A7oM?p=112")</f>
        <v>BV1ne4y1A7oM?p=112</v>
      </c>
      <c r="J113" s="4" t="str">
        <f ca="1">_xlfn.IFNA(VLOOKUP(INDIRECT("G"&amp;ROW()),minfo!$A:$M,COLUMN()-8,0),"")</f>
        <v>浪漫手机</v>
      </c>
      <c r="K113" s="4" t="str">
        <f ca="1">_xlfn.IFNA(VLOOKUP(INDIRECT("G"&amp;ROW()),minfo!$A:$M,COLUMN()-8,0),"")</f>
        <v>周杰伦</v>
      </c>
      <c r="L113" s="4">
        <f ca="1">_xlfn.IFNA(VLOOKUP(INDIRECT("G"&amp;ROW()),minfo!$A:$M,COLUMN()-8,0),"")</f>
        <v>0</v>
      </c>
      <c r="M113" s="4">
        <f ca="1">_xlfn.IFNA(VLOOKUP(INDIRECT("G"&amp;ROW()),minfo!$A:$M,COLUMN()-8,0),"")</f>
        <v>0</v>
      </c>
      <c r="N113" s="4">
        <f ca="1">_xlfn.IFNA(VLOOKUP(INDIRECT("G"&amp;ROW()),minfo!$A:$M,COLUMN()-8,0),"")</f>
        <v>0</v>
      </c>
      <c r="O113" s="4" t="str">
        <f ca="1">_xlfn.IFNA(VLOOKUP(INDIRECT("G"&amp;ROW()),minfo!$A:$M,COLUMN()-8,0),"")</f>
        <v>https://i0.hdslb.com/bfs/station_src/music_metadata/8eedd1a09269c8d74ed387337e626b75.jpg</v>
      </c>
      <c r="P113" s="4" t="str">
        <f ca="1">_xlfn.IFNA(VLOOKUP(INDIRECT("G"&amp;ROW()),minfo!$A:$M,COLUMN()-8,0),"")</f>
        <v>https://i0.hdslb.com/bfs/station_src/music_metadata/ae5c6e95bbcbbf46dea75520d23f2e3e.txt</v>
      </c>
      <c r="Q113" s="4">
        <f ca="1">_xlfn.IFNA(VLOOKUP(INDIRECT("G"&amp;ROW()),minfo!$A:$M,COLUMN()-8,0),"")</f>
        <v>757</v>
      </c>
      <c r="R113" s="4">
        <f ca="1">_xlfn.IFNA(VLOOKUP(INDIRECT("G"&amp;ROW()),minfo!$A:$M,COLUMN()-8,0),"")</f>
        <v>0</v>
      </c>
      <c r="S113" s="4" t="str">
        <f ca="1">_xlfn.IFNA(VLOOKUP(INDIRECT("G"&amp;ROW()),minfo!$A:$M,COLUMN()-8,0),"")</f>
        <v>十一月的萧邦</v>
      </c>
      <c r="T113" s="4">
        <f ca="1">_xlfn.IFNA(VLOOKUP(INDIRECT("G"&amp;ROW()),minfo!$A:$M,COLUMN()-8,0),"")</f>
        <v>267490941</v>
      </c>
      <c r="U113" s="4">
        <f ca="1">_xlfn.IFNA(VLOOKUP(INDIRECT("G"&amp;ROW()),minfo!$A:$M,COLUMN()-8,0),"")</f>
        <v>0</v>
      </c>
    </row>
    <row r="114" spans="1:21" ht="15.75" customHeight="1">
      <c r="A114" s="15">
        <v>113</v>
      </c>
      <c r="B114" s="4" t="s">
        <v>3657</v>
      </c>
      <c r="C114" s="4">
        <v>114</v>
      </c>
      <c r="D114" s="4">
        <v>113</v>
      </c>
      <c r="E114" s="4" t="s">
        <v>568</v>
      </c>
      <c r="F114" s="16">
        <v>44985</v>
      </c>
      <c r="G114" s="5" t="s">
        <v>864</v>
      </c>
      <c r="H114" s="5" t="s">
        <v>3537</v>
      </c>
      <c r="I114" s="24" t="str">
        <f>HYPERLINK("https://www.bilibili.com/video/BV1ne4y1A7oM?p=113", "BV1ne4y1A7oM?p=113")</f>
        <v>BV1ne4y1A7oM?p=113</v>
      </c>
      <c r="J114" s="4" t="str">
        <f ca="1">_xlfn.IFNA(VLOOKUP(INDIRECT("G"&amp;ROW()),minfo!$A:$M,COLUMN()-8,0),"")</f>
        <v>乌梅子酱</v>
      </c>
      <c r="K114" s="4" t="str">
        <f ca="1">_xlfn.IFNA(VLOOKUP(INDIRECT("G"&amp;ROW()),minfo!$A:$M,COLUMN()-8,0),"")</f>
        <v>李荣浩</v>
      </c>
      <c r="L114" s="4">
        <f ca="1">_xlfn.IFNA(VLOOKUP(INDIRECT("G"&amp;ROW()),minfo!$A:$M,COLUMN()-8,0),"")</f>
        <v>0</v>
      </c>
      <c r="M114" s="4">
        <f ca="1">_xlfn.IFNA(VLOOKUP(INDIRECT("G"&amp;ROW()),minfo!$A:$M,COLUMN()-8,0),"")</f>
        <v>0</v>
      </c>
      <c r="N114" s="4">
        <f ca="1">_xlfn.IFNA(VLOOKUP(INDIRECT("G"&amp;ROW()),minfo!$A:$M,COLUMN()-8,0),"")</f>
        <v>0</v>
      </c>
      <c r="O114" s="4" t="str">
        <f ca="1">_xlfn.IFNA(VLOOKUP(INDIRECT("G"&amp;ROW()),minfo!$A:$M,COLUMN()-8,0),"")</f>
        <v>https://i0.hdslb.com/bfs/station_src/music_metadata/9ca5c7e277da8afb806c6e32ced62a88.jpg</v>
      </c>
      <c r="P114" s="4" t="str">
        <f ca="1">_xlfn.IFNA(VLOOKUP(INDIRECT("G"&amp;ROW()),minfo!$A:$M,COLUMN()-8,0),"")</f>
        <v>copyright-crawler/music/lyric/86e5dbf825b8cc46f04240eae52987ff/86e5dbf825b8cc46f04240eae52987ff.txt</v>
      </c>
      <c r="Q114" s="4">
        <f ca="1">_xlfn.IFNA(VLOOKUP(INDIRECT("G"&amp;ROW()),minfo!$A:$M,COLUMN()-8,0),"")</f>
        <v>6745</v>
      </c>
      <c r="R114" s="4">
        <f ca="1">_xlfn.IFNA(VLOOKUP(INDIRECT("G"&amp;ROW()),minfo!$A:$M,COLUMN()-8,0),"")</f>
        <v>0</v>
      </c>
      <c r="S114" s="4" t="str">
        <f ca="1">_xlfn.IFNA(VLOOKUP(INDIRECT("G"&amp;ROW()),minfo!$A:$M,COLUMN()-8,0),"")</f>
        <v>乌梅子酱</v>
      </c>
      <c r="T114" s="4">
        <f ca="1">_xlfn.IFNA(VLOOKUP(INDIRECT("G"&amp;ROW()),minfo!$A:$M,COLUMN()-8,0),"")</f>
        <v>215251902</v>
      </c>
      <c r="U114" s="4" t="str">
        <f ca="1">_xlfn.IFNA(VLOOKUP(INDIRECT("G"&amp;ROW()),minfo!$A:$M,COLUMN()-8,0),"")</f>
        <v>音乐榜最高NO.1</v>
      </c>
    </row>
    <row r="115" spans="1:21" ht="15.75" customHeight="1">
      <c r="A115" s="15">
        <v>114</v>
      </c>
      <c r="B115" s="4" t="s">
        <v>3658</v>
      </c>
      <c r="C115" s="4">
        <v>115</v>
      </c>
      <c r="D115" s="4">
        <v>114</v>
      </c>
      <c r="E115" s="4" t="s">
        <v>573</v>
      </c>
      <c r="F115" s="16">
        <v>44985</v>
      </c>
      <c r="G115" s="5" t="s">
        <v>572</v>
      </c>
      <c r="H115" s="5" t="s">
        <v>3537</v>
      </c>
      <c r="I115" s="24" t="str">
        <f>HYPERLINK("https://www.bilibili.com/video/BV1ne4y1A7oM?p=114", "BV1ne4y1A7oM?p=114")</f>
        <v>BV1ne4y1A7oM?p=114</v>
      </c>
      <c r="J115" s="4" t="str">
        <f ca="1">_xlfn.IFNA(VLOOKUP(INDIRECT("G"&amp;ROW()),minfo!$A:$M,COLUMN()-8,0),"")</f>
        <v>红玫瑰</v>
      </c>
      <c r="K115" s="4" t="str">
        <f ca="1">_xlfn.IFNA(VLOOKUP(INDIRECT("G"&amp;ROW()),minfo!$A:$M,COLUMN()-8,0),"")</f>
        <v>陈奕迅</v>
      </c>
      <c r="L115" s="4">
        <f ca="1">_xlfn.IFNA(VLOOKUP(INDIRECT("G"&amp;ROW()),minfo!$A:$M,COLUMN()-8,0),"")</f>
        <v>0</v>
      </c>
      <c r="M115" s="4">
        <f ca="1">_xlfn.IFNA(VLOOKUP(INDIRECT("G"&amp;ROW()),minfo!$A:$M,COLUMN()-8,0),"")</f>
        <v>0</v>
      </c>
      <c r="N115" s="4">
        <f ca="1">_xlfn.IFNA(VLOOKUP(INDIRECT("G"&amp;ROW()),minfo!$A:$M,COLUMN()-8,0),"")</f>
        <v>0</v>
      </c>
      <c r="O115" s="4" t="str">
        <f ca="1">_xlfn.IFNA(VLOOKUP(INDIRECT("G"&amp;ROW()),minfo!$A:$M,COLUMN()-8,0),"")</f>
        <v>https://i0.hdslb.com/bfs/station_src/music_metadata/daf19af215835bc6fc2fd9f40df9b04c.jpg</v>
      </c>
      <c r="P115" s="4" t="str">
        <f ca="1">_xlfn.IFNA(VLOOKUP(INDIRECT("G"&amp;ROW()),minfo!$A:$M,COLUMN()-8,0),"")</f>
        <v>https://i0.hdslb.com/bfs/station_src/music_metadata/b2ebf3e83b28b1a8211f6c0893a42e7a.txt</v>
      </c>
      <c r="Q115" s="4">
        <f ca="1">_xlfn.IFNA(VLOOKUP(INDIRECT("G"&amp;ROW()),minfo!$A:$M,COLUMN()-8,0),"")</f>
        <v>662</v>
      </c>
      <c r="R115" s="4">
        <f ca="1">_xlfn.IFNA(VLOOKUP(INDIRECT("G"&amp;ROW()),minfo!$A:$M,COLUMN()-8,0),"")</f>
        <v>0</v>
      </c>
      <c r="S115" s="4" t="str">
        <f ca="1">_xlfn.IFNA(VLOOKUP(INDIRECT("G"&amp;ROW()),minfo!$A:$M,COLUMN()-8,0),"")</f>
        <v>认了吧</v>
      </c>
      <c r="T115" s="4">
        <f ca="1">_xlfn.IFNA(VLOOKUP(INDIRECT("G"&amp;ROW()),minfo!$A:$M,COLUMN()-8,0),"")</f>
        <v>297394501</v>
      </c>
      <c r="U115" s="4">
        <f ca="1">_xlfn.IFNA(VLOOKUP(INDIRECT("G"&amp;ROW()),minfo!$A:$M,COLUMN()-8,0),"")</f>
        <v>0</v>
      </c>
    </row>
    <row r="116" spans="1:21" ht="15.75" customHeight="1">
      <c r="A116" s="15">
        <v>115</v>
      </c>
      <c r="B116" s="4" t="s">
        <v>3659</v>
      </c>
      <c r="C116" s="4">
        <v>116</v>
      </c>
      <c r="D116" s="4">
        <v>115</v>
      </c>
      <c r="E116" s="4" t="s">
        <v>579</v>
      </c>
      <c r="F116" s="16">
        <v>44985</v>
      </c>
      <c r="G116" s="5" t="s">
        <v>578</v>
      </c>
      <c r="H116" s="5" t="s">
        <v>3537</v>
      </c>
      <c r="I116" s="24" t="str">
        <f>HYPERLINK("https://www.bilibili.com/video/BV1ne4y1A7oM?p=115", "BV1ne4y1A7oM?p=115")</f>
        <v>BV1ne4y1A7oM?p=115</v>
      </c>
      <c r="J116" s="4" t="str">
        <f ca="1">_xlfn.IFNA(VLOOKUP(INDIRECT("G"&amp;ROW()),minfo!$A:$M,COLUMN()-8,0),"")</f>
        <v>月光</v>
      </c>
      <c r="K116" s="4" t="str">
        <f ca="1">_xlfn.IFNA(VLOOKUP(INDIRECT("G"&amp;ROW()),minfo!$A:$M,COLUMN()-8,0),"")</f>
        <v>胡彦斌</v>
      </c>
      <c r="L116" s="4">
        <f ca="1">_xlfn.IFNA(VLOOKUP(INDIRECT("G"&amp;ROW()),minfo!$A:$M,COLUMN()-8,0),"")</f>
        <v>0</v>
      </c>
      <c r="M116" s="4">
        <f ca="1">_xlfn.IFNA(VLOOKUP(INDIRECT("G"&amp;ROW()),minfo!$A:$M,COLUMN()-8,0),"")</f>
        <v>0</v>
      </c>
      <c r="N116" s="4">
        <f ca="1">_xlfn.IFNA(VLOOKUP(INDIRECT("G"&amp;ROW()),minfo!$A:$M,COLUMN()-8,0),"")</f>
        <v>0</v>
      </c>
      <c r="O116" s="4" t="str">
        <f ca="1">_xlfn.IFNA(VLOOKUP(INDIRECT("G"&amp;ROW()),minfo!$A:$M,COLUMN()-8,0),"")</f>
        <v>https://i0.hdslb.com/bfs/station_src/music_metadata/7cc411366d037e788cb0589e4b72b353.jpg</v>
      </c>
      <c r="P116" s="4" t="str">
        <f ca="1">_xlfn.IFNA(VLOOKUP(INDIRECT("G"&amp;ROW()),minfo!$A:$M,COLUMN()-8,0),"")</f>
        <v>https://i0.hdslb.com/bfs/station_src/music_metadata/24b147c13fc9ffd4dfb30a3a88355255.txt</v>
      </c>
      <c r="Q116" s="4">
        <f ca="1">_xlfn.IFNA(VLOOKUP(INDIRECT("G"&amp;ROW()),minfo!$A:$M,COLUMN()-8,0),"")</f>
        <v>3207</v>
      </c>
      <c r="R116" s="4" t="str">
        <f ca="1">_xlfn.IFNA(VLOOKUP(INDIRECT("G"&amp;ROW()),minfo!$A:$M,COLUMN()-8,0),"")</f>
        <v>《秦时明月》动画主题曲|《秦时明月之君临天下》动画片头曲</v>
      </c>
      <c r="S116" s="4" t="str">
        <f ca="1">_xlfn.IFNA(VLOOKUP(INDIRECT("G"&amp;ROW()),minfo!$A:$M,COLUMN()-8,0),"")</f>
        <v>男人歌 (全胜铂金版)</v>
      </c>
      <c r="T116" s="4">
        <f ca="1">_xlfn.IFNA(VLOOKUP(INDIRECT("G"&amp;ROW()),minfo!$A:$M,COLUMN()-8,0),"")</f>
        <v>276993628</v>
      </c>
      <c r="U116" s="4">
        <f ca="1">_xlfn.IFNA(VLOOKUP(INDIRECT("G"&amp;ROW()),minfo!$A:$M,COLUMN()-8,0),"")</f>
        <v>0</v>
      </c>
    </row>
    <row r="117" spans="1:21" ht="15.75" customHeight="1">
      <c r="A117" s="15">
        <v>116</v>
      </c>
      <c r="B117" s="4" t="s">
        <v>3660</v>
      </c>
      <c r="C117" s="4">
        <v>117</v>
      </c>
      <c r="D117" s="4">
        <v>116</v>
      </c>
      <c r="E117" s="4" t="s">
        <v>586</v>
      </c>
      <c r="F117" s="16">
        <v>44986</v>
      </c>
      <c r="G117" s="5" t="s">
        <v>585</v>
      </c>
      <c r="H117" s="5" t="s">
        <v>3537</v>
      </c>
      <c r="I117" s="24" t="str">
        <f>HYPERLINK("https://www.bilibili.com/video/BV1ne4y1A7oM?p=116", "BV1ne4y1A7oM?p=116")</f>
        <v>BV1ne4y1A7oM?p=116</v>
      </c>
      <c r="J117" s="4" t="str">
        <f ca="1">_xlfn.IFNA(VLOOKUP(INDIRECT("G"&amp;ROW()),minfo!$A:$M,COLUMN()-8,0),"")</f>
        <v>没有意外</v>
      </c>
      <c r="K117" s="4" t="str">
        <f ca="1">_xlfn.IFNA(VLOOKUP(INDIRECT("G"&amp;ROW()),minfo!$A:$M,COLUMN()-8,0),"")</f>
        <v>蔡徐坤</v>
      </c>
      <c r="L117" s="4">
        <f ca="1">_xlfn.IFNA(VLOOKUP(INDIRECT("G"&amp;ROW()),minfo!$A:$M,COLUMN()-8,0),"")</f>
        <v>0</v>
      </c>
      <c r="M117" s="4">
        <f ca="1">_xlfn.IFNA(VLOOKUP(INDIRECT("G"&amp;ROW()),minfo!$A:$M,COLUMN()-8,0),"")</f>
        <v>0</v>
      </c>
      <c r="N117" s="4">
        <f ca="1">_xlfn.IFNA(VLOOKUP(INDIRECT("G"&amp;ROW()),minfo!$A:$M,COLUMN()-8,0),"")</f>
        <v>0</v>
      </c>
      <c r="O117" s="4" t="str">
        <f ca="1">_xlfn.IFNA(VLOOKUP(INDIRECT("G"&amp;ROW()),minfo!$A:$M,COLUMN()-8,0),"")</f>
        <v>http://i0.hdslb.com/bfs/station_src/music_metadata/f37afb45f33a17cecec99b227ddb4e26.jpg</v>
      </c>
      <c r="P117" s="4" t="str">
        <f ca="1">_xlfn.IFNA(VLOOKUP(INDIRECT("G"&amp;ROW()),minfo!$A:$M,COLUMN()-8,0),"")</f>
        <v>http://i0.hdslb.com/bfs/station_src/music_metadata/3d75587acbe57120ade22b9852225059</v>
      </c>
      <c r="Q117" s="4">
        <f ca="1">_xlfn.IFNA(VLOOKUP(INDIRECT("G"&amp;ROW()),minfo!$A:$M,COLUMN()-8,0),"")</f>
        <v>64</v>
      </c>
      <c r="R117" s="4">
        <f ca="1">_xlfn.IFNA(VLOOKUP(INDIRECT("G"&amp;ROW()),minfo!$A:$M,COLUMN()-8,0),"")</f>
        <v>0</v>
      </c>
      <c r="S117" s="4">
        <f ca="1">_xlfn.IFNA(VLOOKUP(INDIRECT("G"&amp;ROW()),minfo!$A:$M,COLUMN()-8,0),"")</f>
        <v>0</v>
      </c>
      <c r="T117" s="4">
        <f ca="1">_xlfn.IFNA(VLOOKUP(INDIRECT("G"&amp;ROW()),minfo!$A:$M,COLUMN()-8,0),"")</f>
        <v>16563722</v>
      </c>
      <c r="U117" s="4">
        <f ca="1">_xlfn.IFNA(VLOOKUP(INDIRECT("G"&amp;ROW()),minfo!$A:$M,COLUMN()-8,0),"")</f>
        <v>0</v>
      </c>
    </row>
    <row r="118" spans="1:21" ht="15.75" customHeight="1">
      <c r="A118" s="15">
        <v>117</v>
      </c>
      <c r="B118" s="4" t="s">
        <v>3661</v>
      </c>
      <c r="C118" s="4">
        <v>118</v>
      </c>
      <c r="D118" s="4">
        <v>117</v>
      </c>
      <c r="E118" s="4" t="s">
        <v>591</v>
      </c>
      <c r="F118" s="16">
        <v>44986</v>
      </c>
      <c r="G118" s="5" t="s">
        <v>590</v>
      </c>
      <c r="H118" s="5" t="s">
        <v>3537</v>
      </c>
      <c r="I118" s="24" t="str">
        <f>HYPERLINK("https://www.bilibili.com/video/BV1ne4y1A7oM?p=117", "BV1ne4y1A7oM?p=117")</f>
        <v>BV1ne4y1A7oM?p=117</v>
      </c>
      <c r="J118" s="4" t="str">
        <f ca="1">_xlfn.IFNA(VLOOKUP(INDIRECT("G"&amp;ROW()),minfo!$A:$M,COLUMN()-8,0),"")</f>
        <v>别找我麻烦</v>
      </c>
      <c r="K118" s="4" t="str">
        <f ca="1">_xlfn.IFNA(VLOOKUP(INDIRECT("G"&amp;ROW()),minfo!$A:$M,COLUMN()-8,0),"")</f>
        <v>蔡健雅</v>
      </c>
      <c r="L118" s="4">
        <f ca="1">_xlfn.IFNA(VLOOKUP(INDIRECT("G"&amp;ROW()),minfo!$A:$M,COLUMN()-8,0),"")</f>
        <v>0</v>
      </c>
      <c r="M118" s="4">
        <f ca="1">_xlfn.IFNA(VLOOKUP(INDIRECT("G"&amp;ROW()),minfo!$A:$M,COLUMN()-8,0),"")</f>
        <v>0</v>
      </c>
      <c r="N118" s="4">
        <f ca="1">_xlfn.IFNA(VLOOKUP(INDIRECT("G"&amp;ROW()),minfo!$A:$M,COLUMN()-8,0),"")</f>
        <v>0</v>
      </c>
      <c r="O118" s="4" t="str">
        <f ca="1">_xlfn.IFNA(VLOOKUP(INDIRECT("G"&amp;ROW()),minfo!$A:$M,COLUMN()-8,0),"")</f>
        <v>https://i0.hdslb.com/bfs/station_src/music_metadata/dc437f3f836d4d4da370db110f3d5b32.jpg</v>
      </c>
      <c r="P118" s="4" t="str">
        <f ca="1">_xlfn.IFNA(VLOOKUP(INDIRECT("G"&amp;ROW()),minfo!$A:$M,COLUMN()-8,0),"")</f>
        <v>https://i0.hdslb.com/bfs/station_src/music_metadata/2602aa09e28c74ea2fefea262e80b0b3.txt</v>
      </c>
      <c r="Q118" s="4">
        <f ca="1">_xlfn.IFNA(VLOOKUP(INDIRECT("G"&amp;ROW()),minfo!$A:$M,COLUMN()-8,0),"")</f>
        <v>142</v>
      </c>
      <c r="R118" s="4">
        <f ca="1">_xlfn.IFNA(VLOOKUP(INDIRECT("G"&amp;ROW()),minfo!$A:$M,COLUMN()-8,0),"")</f>
        <v>0</v>
      </c>
      <c r="S118" s="4" t="str">
        <f ca="1">_xlfn.IFNA(VLOOKUP(INDIRECT("G"&amp;ROW()),minfo!$A:$M,COLUMN()-8,0),"")</f>
        <v>说到爱</v>
      </c>
      <c r="T118" s="4">
        <f ca="1">_xlfn.IFNA(VLOOKUP(INDIRECT("G"&amp;ROW()),minfo!$A:$M,COLUMN()-8,0),"")</f>
        <v>66377472</v>
      </c>
      <c r="U118" s="4">
        <f ca="1">_xlfn.IFNA(VLOOKUP(INDIRECT("G"&amp;ROW()),minfo!$A:$M,COLUMN()-8,0),"")</f>
        <v>0</v>
      </c>
    </row>
    <row r="119" spans="1:21" ht="15.75" customHeight="1">
      <c r="A119" s="15">
        <v>118</v>
      </c>
      <c r="B119" s="4" t="s">
        <v>3662</v>
      </c>
      <c r="C119" s="4">
        <v>119</v>
      </c>
      <c r="D119" s="4">
        <v>118</v>
      </c>
      <c r="E119" s="4" t="s">
        <v>597</v>
      </c>
      <c r="F119" s="16">
        <v>44986</v>
      </c>
      <c r="G119" s="5" t="s">
        <v>596</v>
      </c>
      <c r="H119" s="5" t="s">
        <v>3537</v>
      </c>
      <c r="I119" s="24" t="str">
        <f>HYPERLINK("https://www.bilibili.com/video/BV1ne4y1A7oM?p=118", "BV1ne4y1A7oM?p=118")</f>
        <v>BV1ne4y1A7oM?p=118</v>
      </c>
      <c r="J119" s="4" t="str">
        <f ca="1">_xlfn.IFNA(VLOOKUP(INDIRECT("G"&amp;ROW()),minfo!$A:$M,COLUMN()-8,0),"")</f>
        <v>十万毫升泪水</v>
      </c>
      <c r="K119" s="4" t="str">
        <f ca="1">_xlfn.IFNA(VLOOKUP(INDIRECT("G"&amp;ROW()),minfo!$A:$M,COLUMN()-8,0),"")</f>
        <v>蔡健雅</v>
      </c>
      <c r="L119" s="4">
        <f ca="1">_xlfn.IFNA(VLOOKUP(INDIRECT("G"&amp;ROW()),minfo!$A:$M,COLUMN()-8,0),"")</f>
        <v>0</v>
      </c>
      <c r="M119" s="4">
        <f ca="1">_xlfn.IFNA(VLOOKUP(INDIRECT("G"&amp;ROW()),minfo!$A:$M,COLUMN()-8,0),"")</f>
        <v>0</v>
      </c>
      <c r="N119" s="4">
        <f ca="1">_xlfn.IFNA(VLOOKUP(INDIRECT("G"&amp;ROW()),minfo!$A:$M,COLUMN()-8,0),"")</f>
        <v>0</v>
      </c>
      <c r="O119" s="4" t="str">
        <f ca="1">_xlfn.IFNA(VLOOKUP(INDIRECT("G"&amp;ROW()),minfo!$A:$M,COLUMN()-8,0),"")</f>
        <v>https://i0.hdslb.com/bfs/station_src/music_metadata/43003db948184238a261743b3e985d11.jpg</v>
      </c>
      <c r="P119" s="4" t="str">
        <f ca="1">_xlfn.IFNA(VLOOKUP(INDIRECT("G"&amp;ROW()),minfo!$A:$M,COLUMN()-8,0),"")</f>
        <v>https://i0.hdslb.com/bfs/station_src/music_metadata/b460bce037ba5523f9fe4dceb112d960.txt</v>
      </c>
      <c r="Q119" s="4">
        <f ca="1">_xlfn.IFNA(VLOOKUP(INDIRECT("G"&amp;ROW()),minfo!$A:$M,COLUMN()-8,0),"")</f>
        <v>6</v>
      </c>
      <c r="R119" s="4" t="str">
        <f ca="1">_xlfn.IFNA(VLOOKUP(INDIRECT("G"&amp;ROW()),minfo!$A:$M,COLUMN()-8,0),"")</f>
        <v>电影《爱在午夜希腊时》中文宣传曲</v>
      </c>
      <c r="S119" s="4" t="str">
        <f ca="1">_xlfn.IFNA(VLOOKUP(INDIRECT("G"&amp;ROW()),minfo!$A:$M,COLUMN()-8,0),"")</f>
        <v>十万毫升泪水</v>
      </c>
      <c r="T119" s="4">
        <f ca="1">_xlfn.IFNA(VLOOKUP(INDIRECT("G"&amp;ROW()),minfo!$A:$M,COLUMN()-8,0),"")</f>
        <v>7862640</v>
      </c>
      <c r="U119" s="4">
        <f ca="1">_xlfn.IFNA(VLOOKUP(INDIRECT("G"&amp;ROW()),minfo!$A:$M,COLUMN()-8,0),"")</f>
        <v>0</v>
      </c>
    </row>
    <row r="120" spans="1:21" ht="15.75" customHeight="1">
      <c r="A120" s="15">
        <v>119</v>
      </c>
      <c r="B120" s="4" t="s">
        <v>3663</v>
      </c>
      <c r="C120" s="4">
        <v>120</v>
      </c>
      <c r="D120" s="4">
        <v>119</v>
      </c>
      <c r="E120" s="4" t="s">
        <v>602</v>
      </c>
      <c r="F120" s="16">
        <v>44986</v>
      </c>
      <c r="G120" s="5" t="s">
        <v>601</v>
      </c>
      <c r="H120" s="5" t="s">
        <v>3537</v>
      </c>
      <c r="I120" s="24" t="str">
        <f>HYPERLINK("https://www.bilibili.com/video/BV1ne4y1A7oM?p=119", "BV1ne4y1A7oM?p=119")</f>
        <v>BV1ne4y1A7oM?p=119</v>
      </c>
      <c r="J120" s="4" t="str">
        <f ca="1">_xlfn.IFNA(VLOOKUP(INDIRECT("G"&amp;ROW()),minfo!$A:$M,COLUMN()-8,0),"")</f>
        <v>抛物线</v>
      </c>
      <c r="K120" s="4" t="str">
        <f ca="1">_xlfn.IFNA(VLOOKUP(INDIRECT("G"&amp;ROW()),minfo!$A:$M,COLUMN()-8,0),"")</f>
        <v>蔡健雅</v>
      </c>
      <c r="L120" s="4">
        <f ca="1">_xlfn.IFNA(VLOOKUP(INDIRECT("G"&amp;ROW()),minfo!$A:$M,COLUMN()-8,0),"")</f>
        <v>0</v>
      </c>
      <c r="M120" s="4">
        <f ca="1">_xlfn.IFNA(VLOOKUP(INDIRECT("G"&amp;ROW()),minfo!$A:$M,COLUMN()-8,0),"")</f>
        <v>0</v>
      </c>
      <c r="N120" s="4">
        <f ca="1">_xlfn.IFNA(VLOOKUP(INDIRECT("G"&amp;ROW()),minfo!$A:$M,COLUMN()-8,0),"")</f>
        <v>0</v>
      </c>
      <c r="O120" s="4" t="str">
        <f ca="1">_xlfn.IFNA(VLOOKUP(INDIRECT("G"&amp;ROW()),minfo!$A:$M,COLUMN()-8,0),"")</f>
        <v>https://i0.hdslb.com/bfs/station_src/music_metadata/1192f5d3f5d804716f741e0d9dc73211.jpg</v>
      </c>
      <c r="P120" s="4" t="str">
        <f ca="1">_xlfn.IFNA(VLOOKUP(INDIRECT("G"&amp;ROW()),minfo!$A:$M,COLUMN()-8,0),"")</f>
        <v>https://i0.hdslb.com/bfs/station_src/music_metadata/80d5b0a836c4d402e6c2ea0619723fad.txt</v>
      </c>
      <c r="Q120" s="4">
        <f ca="1">_xlfn.IFNA(VLOOKUP(INDIRECT("G"&amp;ROW()),minfo!$A:$M,COLUMN()-8,0),"")</f>
        <v>0</v>
      </c>
      <c r="R120" s="4">
        <f ca="1">_xlfn.IFNA(VLOOKUP(INDIRECT("G"&amp;ROW()),minfo!$A:$M,COLUMN()-8,0),"")</f>
        <v>0</v>
      </c>
      <c r="S120" s="4" t="str">
        <f ca="1">_xlfn.IFNA(VLOOKUP(INDIRECT("G"&amp;ROW()),minfo!$A:$M,COLUMN()-8,0),"")</f>
        <v>若你碰到他</v>
      </c>
      <c r="T120" s="4">
        <f ca="1">_xlfn.IFNA(VLOOKUP(INDIRECT("G"&amp;ROW()),minfo!$A:$M,COLUMN()-8,0),"")</f>
        <v>1605044</v>
      </c>
      <c r="U120" s="4">
        <f ca="1">_xlfn.IFNA(VLOOKUP(INDIRECT("G"&amp;ROW()),minfo!$A:$M,COLUMN()-8,0),"")</f>
        <v>0</v>
      </c>
    </row>
    <row r="121" spans="1:21" ht="15.75" customHeight="1">
      <c r="A121" s="15">
        <v>120</v>
      </c>
      <c r="B121" s="4" t="s">
        <v>3664</v>
      </c>
      <c r="C121" s="4">
        <v>121</v>
      </c>
      <c r="D121" s="4">
        <v>120</v>
      </c>
      <c r="E121" s="4" t="s">
        <v>607</v>
      </c>
      <c r="F121" s="16">
        <v>44986</v>
      </c>
      <c r="G121" s="5" t="s">
        <v>606</v>
      </c>
      <c r="H121" s="5" t="s">
        <v>3537</v>
      </c>
      <c r="I121" s="24" t="str">
        <f>HYPERLINK("https://www.bilibili.com/video/BV1ne4y1A7oM?p=120", "BV1ne4y1A7oM?p=120")</f>
        <v>BV1ne4y1A7oM?p=120</v>
      </c>
      <c r="J121" s="4" t="str">
        <f ca="1">_xlfn.IFNA(VLOOKUP(INDIRECT("G"&amp;ROW()),minfo!$A:$M,COLUMN()-8,0),"")</f>
        <v>紫</v>
      </c>
      <c r="K121" s="4" t="str">
        <f ca="1">_xlfn.IFNA(VLOOKUP(INDIRECT("G"&amp;ROW()),minfo!$A:$M,COLUMN()-8,0),"")</f>
        <v>蔡健雅</v>
      </c>
      <c r="L121" s="4">
        <f ca="1">_xlfn.IFNA(VLOOKUP(INDIRECT("G"&amp;ROW()),minfo!$A:$M,COLUMN()-8,0),"")</f>
        <v>0</v>
      </c>
      <c r="M121" s="4">
        <f ca="1">_xlfn.IFNA(VLOOKUP(INDIRECT("G"&amp;ROW()),minfo!$A:$M,COLUMN()-8,0),"")</f>
        <v>0</v>
      </c>
      <c r="N121" s="4">
        <f ca="1">_xlfn.IFNA(VLOOKUP(INDIRECT("G"&amp;ROW()),minfo!$A:$M,COLUMN()-8,0),"")</f>
        <v>0</v>
      </c>
      <c r="O121" s="4" t="str">
        <f ca="1">_xlfn.IFNA(VLOOKUP(INDIRECT("G"&amp;ROW()),minfo!$A:$M,COLUMN()-8,0),"")</f>
        <v>https://i0.hdslb.com/bfs/station_src/music_metadata/0ee1f50e85aaa87f457222254614ff14.jpg</v>
      </c>
      <c r="P121" s="4" t="str">
        <f ca="1">_xlfn.IFNA(VLOOKUP(INDIRECT("G"&amp;ROW()),minfo!$A:$M,COLUMN()-8,0),"")</f>
        <v>http://i0.hdslb.com/bfs/station_src/music_metadata/3f01cd76b8f7163484e41682aefb646c</v>
      </c>
      <c r="Q121" s="4">
        <f ca="1">_xlfn.IFNA(VLOOKUP(INDIRECT("G"&amp;ROW()),minfo!$A:$M,COLUMN()-8,0),"")</f>
        <v>1051</v>
      </c>
      <c r="R121" s="4" t="str">
        <f ca="1">_xlfn.IFNA(VLOOKUP(INDIRECT("G"&amp;ROW()),minfo!$A:$M,COLUMN()-8,0),"")</f>
        <v>《悟空传》电影插曲</v>
      </c>
      <c r="S121" s="4" t="str">
        <f ca="1">_xlfn.IFNA(VLOOKUP(INDIRECT("G"&amp;ROW()),minfo!$A:$M,COLUMN()-8,0),"")</f>
        <v>悟空传 电影音乐原声带</v>
      </c>
      <c r="T121" s="4">
        <f ca="1">_xlfn.IFNA(VLOOKUP(INDIRECT("G"&amp;ROW()),minfo!$A:$M,COLUMN()-8,0),"")</f>
        <v>114809007</v>
      </c>
      <c r="U121" s="4">
        <f ca="1">_xlfn.IFNA(VLOOKUP(INDIRECT("G"&amp;ROW()),minfo!$A:$M,COLUMN()-8,0),"")</f>
        <v>0</v>
      </c>
    </row>
    <row r="122" spans="1:21" ht="15.75" customHeight="1">
      <c r="A122" s="15">
        <v>121</v>
      </c>
      <c r="B122" s="4" t="s">
        <v>3665</v>
      </c>
      <c r="C122" s="4">
        <v>122</v>
      </c>
      <c r="D122" s="4">
        <v>121</v>
      </c>
      <c r="E122" s="4" t="s">
        <v>465</v>
      </c>
      <c r="F122" s="16">
        <v>44986</v>
      </c>
      <c r="G122" s="5" t="s">
        <v>464</v>
      </c>
      <c r="H122" s="5" t="s">
        <v>3537</v>
      </c>
      <c r="I122" s="24" t="str">
        <f>HYPERLINK("https://www.bilibili.com/video/BV1ne4y1A7oM?p=121", "BV1ne4y1A7oM?p=121")</f>
        <v>BV1ne4y1A7oM?p=121</v>
      </c>
      <c r="J122" s="4" t="str">
        <f ca="1">_xlfn.IFNA(VLOOKUP(INDIRECT("G"&amp;ROW()),minfo!$A:$M,COLUMN()-8,0),"")</f>
        <v>去有风的地方</v>
      </c>
      <c r="K122" s="4" t="str">
        <f ca="1">_xlfn.IFNA(VLOOKUP(INDIRECT("G"&amp;ROW()),minfo!$A:$M,COLUMN()-8,0),"")</f>
        <v>郁可唯</v>
      </c>
      <c r="L122" s="4">
        <f ca="1">_xlfn.IFNA(VLOOKUP(INDIRECT("G"&amp;ROW()),minfo!$A:$M,COLUMN()-8,0),"")</f>
        <v>0</v>
      </c>
      <c r="M122" s="4">
        <f ca="1">_xlfn.IFNA(VLOOKUP(INDIRECT("G"&amp;ROW()),minfo!$A:$M,COLUMN()-8,0),"")</f>
        <v>0</v>
      </c>
      <c r="N122" s="4">
        <f ca="1">_xlfn.IFNA(VLOOKUP(INDIRECT("G"&amp;ROW()),minfo!$A:$M,COLUMN()-8,0),"")</f>
        <v>0</v>
      </c>
      <c r="O122" s="4" t="str">
        <f ca="1">_xlfn.IFNA(VLOOKUP(INDIRECT("G"&amp;ROW()),minfo!$A:$M,COLUMN()-8,0),"")</f>
        <v>http://i0.hdslb.com/bfs/station_src/music_metadata/b093843de254f8f99076be76300b8733.jpg</v>
      </c>
      <c r="P122" s="4">
        <f ca="1">_xlfn.IFNA(VLOOKUP(INDIRECT("G"&amp;ROW()),minfo!$A:$M,COLUMN()-8,0),"")</f>
        <v>0</v>
      </c>
      <c r="Q122" s="4">
        <f ca="1">_xlfn.IFNA(VLOOKUP(INDIRECT("G"&amp;ROW()),minfo!$A:$M,COLUMN()-8,0),"")</f>
        <v>1229</v>
      </c>
      <c r="R122" s="4">
        <f ca="1">_xlfn.IFNA(VLOOKUP(INDIRECT("G"&amp;ROW()),minfo!$A:$M,COLUMN()-8,0),"")</f>
        <v>0</v>
      </c>
      <c r="S122" s="4" t="str">
        <f ca="1">_xlfn.IFNA(VLOOKUP(INDIRECT("G"&amp;ROW()),minfo!$A:$M,COLUMN()-8,0),"")</f>
        <v>去有风的地方</v>
      </c>
      <c r="T122" s="4">
        <f ca="1">_xlfn.IFNA(VLOOKUP(INDIRECT("G"&amp;ROW()),minfo!$A:$M,COLUMN()-8,0),"")</f>
        <v>77607898</v>
      </c>
      <c r="U122" s="4" t="str">
        <f ca="1">_xlfn.IFNA(VLOOKUP(INDIRECT("G"&amp;ROW()),minfo!$A:$M,COLUMN()-8,0),"")</f>
        <v>音乐榜最高NO.19</v>
      </c>
    </row>
    <row r="123" spans="1:21" ht="15.75" customHeight="1">
      <c r="A123" s="15">
        <v>122</v>
      </c>
      <c r="B123" s="4" t="s">
        <v>3666</v>
      </c>
      <c r="C123" s="4">
        <v>123</v>
      </c>
      <c r="D123" s="4">
        <v>122</v>
      </c>
      <c r="E123" s="4" t="s">
        <v>462</v>
      </c>
      <c r="F123" s="16">
        <v>44986</v>
      </c>
      <c r="G123" s="5" t="s">
        <v>461</v>
      </c>
      <c r="H123" s="5" t="s">
        <v>3537</v>
      </c>
      <c r="I123" s="24" t="str">
        <f>HYPERLINK("https://www.bilibili.com/video/BV1ne4y1A7oM?p=122", "BV1ne4y1A7oM?p=122")</f>
        <v>BV1ne4y1A7oM?p=122</v>
      </c>
      <c r="J123" s="4" t="str">
        <f ca="1">_xlfn.IFNA(VLOOKUP(INDIRECT("G"&amp;ROW()),minfo!$A:$M,COLUMN()-8,0),"")</f>
        <v>人是_</v>
      </c>
      <c r="K123" s="4" t="str">
        <f ca="1">_xlfn.IFNA(VLOOKUP(INDIRECT("G"&amp;ROW()),minfo!$A:$M,COLUMN()-8,0),"")</f>
        <v>周深</v>
      </c>
      <c r="L123" s="4">
        <f ca="1">_xlfn.IFNA(VLOOKUP(INDIRECT("G"&amp;ROW()),minfo!$A:$M,COLUMN()-8,0),"")</f>
        <v>0</v>
      </c>
      <c r="M123" s="4">
        <f ca="1">_xlfn.IFNA(VLOOKUP(INDIRECT("G"&amp;ROW()),minfo!$A:$M,COLUMN()-8,0),"")</f>
        <v>315938</v>
      </c>
      <c r="N123" s="4">
        <f ca="1">_xlfn.IFNA(VLOOKUP(INDIRECT("G"&amp;ROW()),minfo!$A:$M,COLUMN()-8,0),"")</f>
        <v>67117</v>
      </c>
      <c r="O123" s="4" t="str">
        <f ca="1">_xlfn.IFNA(VLOOKUP(INDIRECT("G"&amp;ROW()),minfo!$A:$M,COLUMN()-8,0),"")</f>
        <v>https://i0.hdslb.com/bfs/station_src/music_metadata/cbc6b9595b8d8ddf3be5a4600fe4ee1f.jpg</v>
      </c>
      <c r="P123" s="4">
        <f ca="1">_xlfn.IFNA(VLOOKUP(INDIRECT("G"&amp;ROW()),minfo!$A:$M,COLUMN()-8,0),"")</f>
        <v>0</v>
      </c>
      <c r="Q123" s="4">
        <f ca="1">_xlfn.IFNA(VLOOKUP(INDIRECT("G"&amp;ROW()),minfo!$A:$M,COLUMN()-8,0),"")</f>
        <v>831</v>
      </c>
      <c r="R123" s="4">
        <f ca="1">_xlfn.IFNA(VLOOKUP(INDIRECT("G"&amp;ROW()),minfo!$A:$M,COLUMN()-8,0),"")</f>
        <v>0</v>
      </c>
      <c r="S123" s="4" t="str">
        <f ca="1">_xlfn.IFNA(VLOOKUP(INDIRECT("G"&amp;ROW()),minfo!$A:$M,COLUMN()-8,0),"")</f>
        <v>人是_</v>
      </c>
      <c r="T123" s="4">
        <f ca="1">_xlfn.IFNA(VLOOKUP(INDIRECT("G"&amp;ROW()),minfo!$A:$M,COLUMN()-8,0),"")</f>
        <v>80359568</v>
      </c>
      <c r="U123" s="4" t="str">
        <f ca="1">_xlfn.IFNA(VLOOKUP(INDIRECT("G"&amp;ROW()),minfo!$A:$M,COLUMN()-8,0),"")</f>
        <v>音乐榜最高NO.8</v>
      </c>
    </row>
    <row r="124" spans="1:21" ht="15.75" customHeight="1">
      <c r="A124" s="15">
        <v>123</v>
      </c>
      <c r="B124" s="4" t="s">
        <v>3667</v>
      </c>
      <c r="C124" s="4">
        <v>124</v>
      </c>
      <c r="D124" s="4">
        <v>123</v>
      </c>
      <c r="E124" s="4" t="s">
        <v>613</v>
      </c>
      <c r="F124" s="16">
        <v>44986</v>
      </c>
      <c r="G124" s="5" t="s">
        <v>612</v>
      </c>
      <c r="H124" s="5" t="s">
        <v>3537</v>
      </c>
      <c r="I124" s="24" t="str">
        <f>HYPERLINK("https://www.bilibili.com/video/BV1ne4y1A7oM?p=123", "BV1ne4y1A7oM?p=123")</f>
        <v>BV1ne4y1A7oM?p=123</v>
      </c>
      <c r="J124" s="4" t="str">
        <f ca="1">_xlfn.IFNA(VLOOKUP(INDIRECT("G"&amp;ROW()),minfo!$A:$M,COLUMN()-8,0),"")</f>
        <v>美丽的神话</v>
      </c>
      <c r="K124" s="4" t="str">
        <f ca="1">_xlfn.IFNA(VLOOKUP(INDIRECT("G"&amp;ROW()),minfo!$A:$M,COLUMN()-8,0),"")</f>
        <v>孙楠&amp;韩红</v>
      </c>
      <c r="L124" s="4">
        <f ca="1">_xlfn.IFNA(VLOOKUP(INDIRECT("G"&amp;ROW()),minfo!$A:$M,COLUMN()-8,0),"")</f>
        <v>0</v>
      </c>
      <c r="M124" s="4">
        <f ca="1">_xlfn.IFNA(VLOOKUP(INDIRECT("G"&amp;ROW()),minfo!$A:$M,COLUMN()-8,0),"")</f>
        <v>0</v>
      </c>
      <c r="N124" s="4">
        <f ca="1">_xlfn.IFNA(VLOOKUP(INDIRECT("G"&amp;ROW()),minfo!$A:$M,COLUMN()-8,0),"")</f>
        <v>0</v>
      </c>
      <c r="O124" s="4" t="str">
        <f ca="1">_xlfn.IFNA(VLOOKUP(INDIRECT("G"&amp;ROW()),minfo!$A:$M,COLUMN()-8,0),"")</f>
        <v>http://i0.hdslb.com/bfs/station_src/music_metadata/f4023a2151ef0d6621e5b812c91dd137.jpg</v>
      </c>
      <c r="P124" s="4" t="str">
        <f ca="1">_xlfn.IFNA(VLOOKUP(INDIRECT("G"&amp;ROW()),minfo!$A:$M,COLUMN()-8,0),"")</f>
        <v>http://i0.hdslb.com/bfs/station_src/music_metadata/dde8278396b4e5cd1061d542ea3061b2</v>
      </c>
      <c r="Q124" s="4">
        <f ca="1">_xlfn.IFNA(VLOOKUP(INDIRECT("G"&amp;ROW()),minfo!$A:$M,COLUMN()-8,0),"")</f>
        <v>3780</v>
      </c>
      <c r="R124" s="4" t="str">
        <f ca="1">_xlfn.IFNA(VLOOKUP(INDIRECT("G"&amp;ROW()),minfo!$A:$M,COLUMN()-8,0),"")</f>
        <v>《神话》电影主题曲</v>
      </c>
      <c r="S124" s="4" t="str">
        <f ca="1">_xlfn.IFNA(VLOOKUP(INDIRECT("G"&amp;ROW()),minfo!$A:$M,COLUMN()-8,0),"")</f>
        <v>神话 电影原声音乐</v>
      </c>
      <c r="T124" s="4">
        <f ca="1">_xlfn.IFNA(VLOOKUP(INDIRECT("G"&amp;ROW()),minfo!$A:$M,COLUMN()-8,0),"")</f>
        <v>702290705</v>
      </c>
      <c r="U124" s="4">
        <f ca="1">_xlfn.IFNA(VLOOKUP(INDIRECT("G"&amp;ROW()),minfo!$A:$M,COLUMN()-8,0),"")</f>
        <v>0</v>
      </c>
    </row>
    <row r="125" spans="1:21" ht="15.75" customHeight="1">
      <c r="A125" s="15">
        <v>124</v>
      </c>
      <c r="B125" s="4" t="s">
        <v>3668</v>
      </c>
      <c r="C125" s="4">
        <v>125</v>
      </c>
      <c r="D125" s="4">
        <v>124</v>
      </c>
      <c r="E125" s="4" t="s">
        <v>620</v>
      </c>
      <c r="F125" s="16">
        <v>44986</v>
      </c>
      <c r="G125" s="5" t="s">
        <v>619</v>
      </c>
      <c r="H125" s="5" t="s">
        <v>3537</v>
      </c>
      <c r="I125" s="24" t="str">
        <f>HYPERLINK("https://www.bilibili.com/video/BV1ne4y1A7oM?p=124", "BV1ne4y1A7oM?p=124")</f>
        <v>BV1ne4y1A7oM?p=124</v>
      </c>
      <c r="J125" s="4" t="str">
        <f ca="1">_xlfn.IFNA(VLOOKUP(INDIRECT("G"&amp;ROW()),minfo!$A:$M,COLUMN()-8,0),"")</f>
        <v>春三月</v>
      </c>
      <c r="K125" s="4" t="str">
        <f ca="1">_xlfn.IFNA(VLOOKUP(INDIRECT("G"&amp;ROW()),minfo!$A:$M,COLUMN()-8,0),"")</f>
        <v>司南</v>
      </c>
      <c r="L125" s="4">
        <f ca="1">_xlfn.IFNA(VLOOKUP(INDIRECT("G"&amp;ROW()),minfo!$A:$M,COLUMN()-8,0),"")</f>
        <v>0</v>
      </c>
      <c r="M125" s="4">
        <f ca="1">_xlfn.IFNA(VLOOKUP(INDIRECT("G"&amp;ROW()),minfo!$A:$M,COLUMN()-8,0),"")</f>
        <v>0</v>
      </c>
      <c r="N125" s="4">
        <f ca="1">_xlfn.IFNA(VLOOKUP(INDIRECT("G"&amp;ROW()),minfo!$A:$M,COLUMN()-8,0),"")</f>
        <v>0</v>
      </c>
      <c r="O125" s="4" t="str">
        <f ca="1">_xlfn.IFNA(VLOOKUP(INDIRECT("G"&amp;ROW()),minfo!$A:$M,COLUMN()-8,0),"")</f>
        <v>http://i0.hdslb.com/bfs/station_src/music_metadata/1e8f55a59589012b750c6ec41b99d497.jpg</v>
      </c>
      <c r="P125" s="4" t="str">
        <f ca="1">_xlfn.IFNA(VLOOKUP(INDIRECT("G"&amp;ROW()),minfo!$A:$M,COLUMN()-8,0),"")</f>
        <v>http://i0.hdslb.com/bfs/station_src/music_metadata/c1d8969f8a1bbd139cb0cff290fb17e7</v>
      </c>
      <c r="Q125" s="4">
        <f ca="1">_xlfn.IFNA(VLOOKUP(INDIRECT("G"&amp;ROW()),minfo!$A:$M,COLUMN()-8,0),"")</f>
        <v>1717</v>
      </c>
      <c r="R125" s="4">
        <f ca="1">_xlfn.IFNA(VLOOKUP(INDIRECT("G"&amp;ROW()),minfo!$A:$M,COLUMN()-8,0),"")</f>
        <v>0</v>
      </c>
      <c r="S125" s="4" t="str">
        <f ca="1">_xlfn.IFNA(VLOOKUP(INDIRECT("G"&amp;ROW()),minfo!$A:$M,COLUMN()-8,0),"")</f>
        <v>春三月</v>
      </c>
      <c r="T125" s="4">
        <f ca="1">_xlfn.IFNA(VLOOKUP(INDIRECT("G"&amp;ROW()),minfo!$A:$M,COLUMN()-8,0),"")</f>
        <v>176570518</v>
      </c>
      <c r="U125" s="4">
        <f ca="1">_xlfn.IFNA(VLOOKUP(INDIRECT("G"&amp;ROW()),minfo!$A:$M,COLUMN()-8,0),"")</f>
        <v>0</v>
      </c>
    </row>
    <row r="126" spans="1:21" ht="15.75" customHeight="1">
      <c r="A126" s="15">
        <v>125</v>
      </c>
      <c r="B126" s="4" t="s">
        <v>3669</v>
      </c>
      <c r="C126" s="4">
        <v>126</v>
      </c>
      <c r="D126" s="4">
        <v>125</v>
      </c>
      <c r="E126" s="4" t="s">
        <v>625</v>
      </c>
      <c r="F126" s="16">
        <v>44986</v>
      </c>
      <c r="G126" s="5" t="s">
        <v>624</v>
      </c>
      <c r="H126" s="5" t="s">
        <v>3537</v>
      </c>
      <c r="I126" s="24" t="str">
        <f>HYPERLINK("https://www.bilibili.com/video/BV1ne4y1A7oM?p=125", "BV1ne4y1A7oM?p=125")</f>
        <v>BV1ne4y1A7oM?p=125</v>
      </c>
      <c r="J126" s="4" t="str">
        <f ca="1">_xlfn.IFNA(VLOOKUP(INDIRECT("G"&amp;ROW()),minfo!$A:$M,COLUMN()-8,0),"")</f>
        <v>起风了</v>
      </c>
      <c r="K126" s="4" t="str">
        <f ca="1">_xlfn.IFNA(VLOOKUP(INDIRECT("G"&amp;ROW()),minfo!$A:$M,COLUMN()-8,0),"")</f>
        <v>买辣椒也用券</v>
      </c>
      <c r="L126" s="4">
        <f ca="1">_xlfn.IFNA(VLOOKUP(INDIRECT("G"&amp;ROW()),minfo!$A:$M,COLUMN()-8,0),"")</f>
        <v>0</v>
      </c>
      <c r="M126" s="4">
        <f ca="1">_xlfn.IFNA(VLOOKUP(INDIRECT("G"&amp;ROW()),minfo!$A:$M,COLUMN()-8,0),"")</f>
        <v>0</v>
      </c>
      <c r="N126" s="4">
        <f ca="1">_xlfn.IFNA(VLOOKUP(INDIRECT("G"&amp;ROW()),minfo!$A:$M,COLUMN()-8,0),"")</f>
        <v>0</v>
      </c>
      <c r="O126" s="4" t="str">
        <f ca="1">_xlfn.IFNA(VLOOKUP(INDIRECT("G"&amp;ROW()),minfo!$A:$M,COLUMN()-8,0),"")</f>
        <v>http://i0.hdslb.com/bfs/station_src/music_metadata/4341df7b05060da3fa257852d02fd62e.jpg</v>
      </c>
      <c r="P126" s="4" t="str">
        <f ca="1">_xlfn.IFNA(VLOOKUP(INDIRECT("G"&amp;ROW()),minfo!$A:$M,COLUMN()-8,0),"")</f>
        <v>http://i0.hdslb.com/bfs/station_src/music_metadata/1575d5c9be369d87a8c2c118c3176b49</v>
      </c>
      <c r="Q126" s="4">
        <f ca="1">_xlfn.IFNA(VLOOKUP(INDIRECT("G"&amp;ROW()),minfo!$A:$M,COLUMN()-8,0),"")</f>
        <v>24523</v>
      </c>
      <c r="R126" s="4" t="str">
        <f ca="1">_xlfn.IFNA(VLOOKUP(INDIRECT("G"&amp;ROW()),minfo!$A:$M,COLUMN()-8,0),"")</f>
        <v>原曲：《ヤキモチ》—高桥优</v>
      </c>
      <c r="S126" s="4" t="str">
        <f ca="1">_xlfn.IFNA(VLOOKUP(INDIRECT("G"&amp;ROW()),minfo!$A:$M,COLUMN()-8,0),"")</f>
        <v xml:space="preserve"> 起风了 (旧版)</v>
      </c>
      <c r="T126" s="4">
        <f ca="1">_xlfn.IFNA(VLOOKUP(INDIRECT("G"&amp;ROW()),minfo!$A:$M,COLUMN()-8,0),"")</f>
        <v>7050600351</v>
      </c>
      <c r="U126" s="4" t="str">
        <f ca="1">_xlfn.IFNA(VLOOKUP(INDIRECT("G"&amp;ROW()),minfo!$A:$M,COLUMN()-8,0),"")</f>
        <v>音乐榜最高NO.6</v>
      </c>
    </row>
    <row r="127" spans="1:21" ht="15.75" customHeight="1">
      <c r="A127" s="15">
        <v>126</v>
      </c>
      <c r="B127" s="4" t="s">
        <v>3670</v>
      </c>
      <c r="C127" s="4">
        <v>127</v>
      </c>
      <c r="D127" s="4">
        <v>126</v>
      </c>
      <c r="E127" s="4" t="s">
        <v>633</v>
      </c>
      <c r="F127" s="16">
        <v>44986</v>
      </c>
      <c r="G127" s="5" t="s">
        <v>632</v>
      </c>
      <c r="H127" s="5" t="s">
        <v>3537</v>
      </c>
      <c r="I127" s="24" t="str">
        <f>HYPERLINK("https://www.bilibili.com/video/BV1ne4y1A7oM?p=126", "BV1ne4y1A7oM?p=126")</f>
        <v>BV1ne4y1A7oM?p=126</v>
      </c>
      <c r="J127" s="4" t="str">
        <f ca="1">_xlfn.IFNA(VLOOKUP(INDIRECT("G"&amp;ROW()),minfo!$A:$M,COLUMN()-8,0),"")</f>
        <v>菊花台</v>
      </c>
      <c r="K127" s="4" t="str">
        <f ca="1">_xlfn.IFNA(VLOOKUP(INDIRECT("G"&amp;ROW()),minfo!$A:$M,COLUMN()-8,0),"")</f>
        <v>周杰伦</v>
      </c>
      <c r="L127" s="4">
        <f ca="1">_xlfn.IFNA(VLOOKUP(INDIRECT("G"&amp;ROW()),minfo!$A:$M,COLUMN()-8,0),"")</f>
        <v>0</v>
      </c>
      <c r="M127" s="4">
        <f ca="1">_xlfn.IFNA(VLOOKUP(INDIRECT("G"&amp;ROW()),minfo!$A:$M,COLUMN()-8,0),"")</f>
        <v>2979</v>
      </c>
      <c r="N127" s="4">
        <f ca="1">_xlfn.IFNA(VLOOKUP(INDIRECT("G"&amp;ROW()),minfo!$A:$M,COLUMN()-8,0),"")</f>
        <v>36</v>
      </c>
      <c r="O127" s="4" t="str">
        <f ca="1">_xlfn.IFNA(VLOOKUP(INDIRECT("G"&amp;ROW()),minfo!$A:$M,COLUMN()-8,0),"")</f>
        <v>https://i0.hdslb.com/bfs/station_src/music_metadata/20d128e1483e9a2518cb37688cbed34d.jpg</v>
      </c>
      <c r="P127" s="4" t="str">
        <f ca="1">_xlfn.IFNA(VLOOKUP(INDIRECT("G"&amp;ROW()),minfo!$A:$M,COLUMN()-8,0),"")</f>
        <v>copyright-crawler/music/task-lyric/623f921e903bdc3e606d8940.txt</v>
      </c>
      <c r="Q127" s="4">
        <f ca="1">_xlfn.IFNA(VLOOKUP(INDIRECT("G"&amp;ROW()),minfo!$A:$M,COLUMN()-8,0),"")</f>
        <v>976</v>
      </c>
      <c r="R127" s="4" t="str">
        <f ca="1">_xlfn.IFNA(VLOOKUP(INDIRECT("G"&amp;ROW()),minfo!$A:$M,COLUMN()-8,0),"")</f>
        <v>菊花台</v>
      </c>
      <c r="S127" s="4" t="str">
        <f ca="1">_xlfn.IFNA(VLOOKUP(INDIRECT("G"&amp;ROW()),minfo!$A:$M,COLUMN()-8,0),"")</f>
        <v>依然范特西</v>
      </c>
      <c r="T127" s="4">
        <f ca="1">_xlfn.IFNA(VLOOKUP(INDIRECT("G"&amp;ROW()),minfo!$A:$M,COLUMN()-8,0),"")</f>
        <v>335567107</v>
      </c>
      <c r="U127" s="4" t="str">
        <f ca="1">_xlfn.IFNA(VLOOKUP(INDIRECT("G"&amp;ROW()),minfo!$A:$M,COLUMN()-8,0),"")</f>
        <v>音乐榜最高NO.14</v>
      </c>
    </row>
    <row r="128" spans="1:21" ht="15.75" customHeight="1">
      <c r="A128" s="15">
        <v>127</v>
      </c>
      <c r="B128" s="4" t="s">
        <v>3671</v>
      </c>
      <c r="C128" s="4">
        <v>128</v>
      </c>
      <c r="D128" s="4">
        <v>127</v>
      </c>
      <c r="E128" s="4" t="s">
        <v>633</v>
      </c>
      <c r="F128" s="16">
        <v>44986</v>
      </c>
      <c r="G128" s="5" t="s">
        <v>632</v>
      </c>
      <c r="H128" s="5" t="s">
        <v>3537</v>
      </c>
      <c r="I128" s="24" t="str">
        <f>HYPERLINK("https://www.bilibili.com/video/BV1ne4y1A7oM?p=127", "BV1ne4y1A7oM?p=127")</f>
        <v>BV1ne4y1A7oM?p=127</v>
      </c>
      <c r="J128" s="4" t="str">
        <f ca="1">_xlfn.IFNA(VLOOKUP(INDIRECT("G"&amp;ROW()),minfo!$A:$M,COLUMN()-8,0),"")</f>
        <v>菊花台</v>
      </c>
      <c r="K128" s="4" t="str">
        <f ca="1">_xlfn.IFNA(VLOOKUP(INDIRECT("G"&amp;ROW()),minfo!$A:$M,COLUMN()-8,0),"")</f>
        <v>周杰伦</v>
      </c>
      <c r="L128" s="4">
        <f ca="1">_xlfn.IFNA(VLOOKUP(INDIRECT("G"&amp;ROW()),minfo!$A:$M,COLUMN()-8,0),"")</f>
        <v>0</v>
      </c>
      <c r="M128" s="4">
        <f ca="1">_xlfn.IFNA(VLOOKUP(INDIRECT("G"&amp;ROW()),minfo!$A:$M,COLUMN()-8,0),"")</f>
        <v>2979</v>
      </c>
      <c r="N128" s="4">
        <f ca="1">_xlfn.IFNA(VLOOKUP(INDIRECT("G"&amp;ROW()),minfo!$A:$M,COLUMN()-8,0),"")</f>
        <v>36</v>
      </c>
      <c r="O128" s="4" t="str">
        <f ca="1">_xlfn.IFNA(VLOOKUP(INDIRECT("G"&amp;ROW()),minfo!$A:$M,COLUMN()-8,0),"")</f>
        <v>https://i0.hdslb.com/bfs/station_src/music_metadata/20d128e1483e9a2518cb37688cbed34d.jpg</v>
      </c>
      <c r="P128" s="4" t="str">
        <f ca="1">_xlfn.IFNA(VLOOKUP(INDIRECT("G"&amp;ROW()),minfo!$A:$M,COLUMN()-8,0),"")</f>
        <v>copyright-crawler/music/task-lyric/623f921e903bdc3e606d8940.txt</v>
      </c>
      <c r="Q128" s="4">
        <f ca="1">_xlfn.IFNA(VLOOKUP(INDIRECT("G"&amp;ROW()),minfo!$A:$M,COLUMN()-8,0),"")</f>
        <v>976</v>
      </c>
      <c r="R128" s="4" t="str">
        <f ca="1">_xlfn.IFNA(VLOOKUP(INDIRECT("G"&amp;ROW()),minfo!$A:$M,COLUMN()-8,0),"")</f>
        <v>菊花台</v>
      </c>
      <c r="S128" s="4" t="str">
        <f ca="1">_xlfn.IFNA(VLOOKUP(INDIRECT("G"&amp;ROW()),minfo!$A:$M,COLUMN()-8,0),"")</f>
        <v>依然范特西</v>
      </c>
      <c r="T128" s="4">
        <f ca="1">_xlfn.IFNA(VLOOKUP(INDIRECT("G"&amp;ROW()),minfo!$A:$M,COLUMN()-8,0),"")</f>
        <v>335567107</v>
      </c>
      <c r="U128" s="4" t="str">
        <f ca="1">_xlfn.IFNA(VLOOKUP(INDIRECT("G"&amp;ROW()),minfo!$A:$M,COLUMN()-8,0),"")</f>
        <v>音乐榜最高NO.14</v>
      </c>
    </row>
    <row r="129" spans="1:21" ht="15.75" customHeight="1">
      <c r="A129" s="15">
        <v>128</v>
      </c>
      <c r="B129" s="4" t="s">
        <v>3672</v>
      </c>
      <c r="C129" s="4">
        <v>129</v>
      </c>
      <c r="D129" s="4">
        <v>128</v>
      </c>
      <c r="E129" s="4" t="s">
        <v>120</v>
      </c>
      <c r="F129" s="16">
        <v>44989</v>
      </c>
      <c r="G129" s="5" t="s">
        <v>120</v>
      </c>
      <c r="H129" s="5" t="s">
        <v>3537</v>
      </c>
      <c r="I129" s="24" t="str">
        <f>HYPERLINK("https://www.bilibili.com/video/BV1ne4y1A7oM?p=128", "BV1ne4y1A7oM?p=128")</f>
        <v>BV1ne4y1A7oM?p=128</v>
      </c>
      <c r="J129" s="4" t="str">
        <f ca="1">_xlfn.IFNA(VLOOKUP(INDIRECT("G"&amp;ROW()),minfo!$A:$M,COLUMN()-8,0),"")</f>
        <v>烟火人间月</v>
      </c>
      <c r="K129" s="4" t="str">
        <f ca="1">_xlfn.IFNA(VLOOKUP(INDIRECT("G"&amp;ROW()),minfo!$A:$M,COLUMN()-8,0),"")</f>
        <v>三无Marblue</v>
      </c>
      <c r="L129" s="4" t="str">
        <f ca="1">_xlfn.IFNA(VLOOKUP(INDIRECT("G"&amp;ROW()),minfo!$A:$M,COLUMN()-8,0),"")</f>
        <v>BV1X84y1b7Dn</v>
      </c>
      <c r="M129" s="4">
        <f ca="1">_xlfn.IFNA(VLOOKUP(INDIRECT("G"&amp;ROW()),minfo!$A:$M,COLUMN()-8,0),"")</f>
        <v>0</v>
      </c>
      <c r="N129" s="4">
        <f ca="1">_xlfn.IFNA(VLOOKUP(INDIRECT("G"&amp;ROW()),minfo!$A:$M,COLUMN()-8,0),"")</f>
        <v>0</v>
      </c>
      <c r="O129" s="4">
        <f ca="1">_xlfn.IFNA(VLOOKUP(INDIRECT("G"&amp;ROW()),minfo!$A:$M,COLUMN()-8,0),"")</f>
        <v>0</v>
      </c>
      <c r="P129" s="4">
        <f ca="1">_xlfn.IFNA(VLOOKUP(INDIRECT("G"&amp;ROW()),minfo!$A:$M,COLUMN()-8,0),"")</f>
        <v>0</v>
      </c>
      <c r="Q129" s="4">
        <f ca="1">_xlfn.IFNA(VLOOKUP(INDIRECT("G"&amp;ROW()),minfo!$A:$M,COLUMN()-8,0),"")</f>
        <v>0</v>
      </c>
      <c r="R129" s="4">
        <f ca="1">_xlfn.IFNA(VLOOKUP(INDIRECT("G"&amp;ROW()),minfo!$A:$M,COLUMN()-8,0),"")</f>
        <v>0</v>
      </c>
      <c r="S129" s="4">
        <f ca="1">_xlfn.IFNA(VLOOKUP(INDIRECT("G"&amp;ROW()),minfo!$A:$M,COLUMN()-8,0),"")</f>
        <v>0</v>
      </c>
      <c r="T129" s="4">
        <f ca="1">_xlfn.IFNA(VLOOKUP(INDIRECT("G"&amp;ROW()),minfo!$A:$M,COLUMN()-8,0),"")</f>
        <v>0</v>
      </c>
      <c r="U129" s="4">
        <f ca="1">_xlfn.IFNA(VLOOKUP(INDIRECT("G"&amp;ROW()),minfo!$A:$M,COLUMN()-8,0),"")</f>
        <v>0</v>
      </c>
    </row>
    <row r="130" spans="1:21" ht="15.75" customHeight="1">
      <c r="A130" s="15">
        <v>129</v>
      </c>
      <c r="B130" s="4" t="s">
        <v>3673</v>
      </c>
      <c r="C130" s="4">
        <v>130</v>
      </c>
      <c r="D130" s="4">
        <v>129</v>
      </c>
      <c r="E130" s="4" t="s">
        <v>638</v>
      </c>
      <c r="F130" s="16">
        <v>44989</v>
      </c>
      <c r="G130" s="5" t="s">
        <v>637</v>
      </c>
      <c r="H130" s="5" t="s">
        <v>3537</v>
      </c>
      <c r="I130" s="24" t="str">
        <f>HYPERLINK("https://www.bilibili.com/video/BV1ne4y1A7oM?p=129", "BV1ne4y1A7oM?p=129")</f>
        <v>BV1ne4y1A7oM?p=129</v>
      </c>
      <c r="J130" s="4" t="str">
        <f ca="1">_xlfn.IFNA(VLOOKUP(INDIRECT("G"&amp;ROW()),minfo!$A:$M,COLUMN()-8,0),"")</f>
        <v>搁浅</v>
      </c>
      <c r="K130" s="4" t="str">
        <f ca="1">_xlfn.IFNA(VLOOKUP(INDIRECT("G"&amp;ROW()),minfo!$A:$M,COLUMN()-8,0),"")</f>
        <v>周杰伦</v>
      </c>
      <c r="L130" s="4">
        <f ca="1">_xlfn.IFNA(VLOOKUP(INDIRECT("G"&amp;ROW()),minfo!$A:$M,COLUMN()-8,0),"")</f>
        <v>0</v>
      </c>
      <c r="M130" s="4">
        <f ca="1">_xlfn.IFNA(VLOOKUP(INDIRECT("G"&amp;ROW()),minfo!$A:$M,COLUMN()-8,0),"")</f>
        <v>0</v>
      </c>
      <c r="N130" s="4">
        <f ca="1">_xlfn.IFNA(VLOOKUP(INDIRECT("G"&amp;ROW()),minfo!$A:$M,COLUMN()-8,0),"")</f>
        <v>0</v>
      </c>
      <c r="O130" s="4" t="str">
        <f ca="1">_xlfn.IFNA(VLOOKUP(INDIRECT("G"&amp;ROW()),minfo!$A:$M,COLUMN()-8,0),"")</f>
        <v>https://i0.hdslb.com/bfs/station_src/music_metadata/5ea93d49aa366e4340787bbc3d63de25.jpg</v>
      </c>
      <c r="P130" s="4">
        <f ca="1">_xlfn.IFNA(VLOOKUP(INDIRECT("G"&amp;ROW()),minfo!$A:$M,COLUMN()-8,0),"")</f>
        <v>0</v>
      </c>
      <c r="Q130" s="4">
        <f ca="1">_xlfn.IFNA(VLOOKUP(INDIRECT("G"&amp;ROW()),minfo!$A:$M,COLUMN()-8,0),"")</f>
        <v>4120</v>
      </c>
      <c r="R130" s="4">
        <f ca="1">_xlfn.IFNA(VLOOKUP(INDIRECT("G"&amp;ROW()),minfo!$A:$M,COLUMN()-8,0),"")</f>
        <v>0</v>
      </c>
      <c r="S130" s="4" t="str">
        <f ca="1">_xlfn.IFNA(VLOOKUP(INDIRECT("G"&amp;ROW()),minfo!$A:$M,COLUMN()-8,0),"")</f>
        <v>七里香</v>
      </c>
      <c r="T130" s="4">
        <f ca="1">_xlfn.IFNA(VLOOKUP(INDIRECT("G"&amp;ROW()),minfo!$A:$M,COLUMN()-8,0),"")</f>
        <v>593603418</v>
      </c>
      <c r="U130" s="4">
        <f ca="1">_xlfn.IFNA(VLOOKUP(INDIRECT("G"&amp;ROW()),minfo!$A:$M,COLUMN()-8,0),"")</f>
        <v>0</v>
      </c>
    </row>
    <row r="131" spans="1:21" ht="15.75" customHeight="1">
      <c r="A131" s="15">
        <v>130</v>
      </c>
      <c r="B131" s="4" t="s">
        <v>3674</v>
      </c>
      <c r="C131" s="4">
        <v>131</v>
      </c>
      <c r="D131" s="4">
        <v>130</v>
      </c>
      <c r="E131" s="4" t="s">
        <v>642</v>
      </c>
      <c r="F131" s="16">
        <v>44989</v>
      </c>
      <c r="G131" s="5" t="s">
        <v>641</v>
      </c>
      <c r="H131" s="5" t="s">
        <v>3537</v>
      </c>
      <c r="I131" s="24" t="str">
        <f>HYPERLINK("https://www.bilibili.com/video/BV1ne4y1A7oM?p=130", "BV1ne4y1A7oM?p=130")</f>
        <v>BV1ne4y1A7oM?p=130</v>
      </c>
      <c r="J131" s="4" t="str">
        <f ca="1">_xlfn.IFNA(VLOOKUP(INDIRECT("G"&amp;ROW()),minfo!$A:$M,COLUMN()-8,0),"")</f>
        <v>左边</v>
      </c>
      <c r="K131" s="4" t="str">
        <f ca="1">_xlfn.IFNA(VLOOKUP(INDIRECT("G"&amp;ROW()),minfo!$A:$M,COLUMN()-8,0),"")</f>
        <v>杨丞琳</v>
      </c>
      <c r="L131" s="4">
        <f ca="1">_xlfn.IFNA(VLOOKUP(INDIRECT("G"&amp;ROW()),minfo!$A:$M,COLUMN()-8,0),"")</f>
        <v>0</v>
      </c>
      <c r="M131" s="4">
        <f ca="1">_xlfn.IFNA(VLOOKUP(INDIRECT("G"&amp;ROW()),minfo!$A:$M,COLUMN()-8,0),"")</f>
        <v>0</v>
      </c>
      <c r="N131" s="4">
        <f ca="1">_xlfn.IFNA(VLOOKUP(INDIRECT("G"&amp;ROW()),minfo!$A:$M,COLUMN()-8,0),"")</f>
        <v>0</v>
      </c>
      <c r="O131" s="4" t="str">
        <f ca="1">_xlfn.IFNA(VLOOKUP(INDIRECT("G"&amp;ROW()),minfo!$A:$M,COLUMN()-8,0),"")</f>
        <v>https://i0.hdslb.com/bfs/station_src/music_metadata/0606c553b019d6955e7932dfd839f28c.jpg</v>
      </c>
      <c r="P131" s="4" t="str">
        <f ca="1">_xlfn.IFNA(VLOOKUP(INDIRECT("G"&amp;ROW()),minfo!$A:$M,COLUMN()-8,0),"")</f>
        <v>http://i0.hdslb.com/bfs/station_src/music_metadata/b2bbd1cc5e237296e0cf70a277cd471c</v>
      </c>
      <c r="Q131" s="4">
        <f ca="1">_xlfn.IFNA(VLOOKUP(INDIRECT("G"&amp;ROW()),minfo!$A:$M,COLUMN()-8,0),"")</f>
        <v>44</v>
      </c>
      <c r="R131" s="4" t="str">
        <f ca="1">_xlfn.IFNA(VLOOKUP(INDIRECT("G"&amp;ROW()),minfo!$A:$M,COLUMN()-8,0),"")</f>
        <v>电视剧《奋斗》插曲</v>
      </c>
      <c r="S131" s="4" t="str">
        <f ca="1">_xlfn.IFNA(VLOOKUP(INDIRECT("G"&amp;ROW()),minfo!$A:$M,COLUMN()-8,0),"")</f>
        <v>遇上爱</v>
      </c>
      <c r="T131" s="4">
        <f ca="1">_xlfn.IFNA(VLOOKUP(INDIRECT("G"&amp;ROW()),minfo!$A:$M,COLUMN()-8,0),"")</f>
        <v>28182657</v>
      </c>
      <c r="U131" s="4">
        <f ca="1">_xlfn.IFNA(VLOOKUP(INDIRECT("G"&amp;ROW()),minfo!$A:$M,COLUMN()-8,0),"")</f>
        <v>0</v>
      </c>
    </row>
    <row r="132" spans="1:21" ht="15.75" customHeight="1">
      <c r="A132" s="15">
        <v>131</v>
      </c>
      <c r="B132" s="4" t="s">
        <v>3675</v>
      </c>
      <c r="C132" s="4">
        <v>132</v>
      </c>
      <c r="D132" s="4">
        <v>131</v>
      </c>
      <c r="E132" s="4" t="s">
        <v>649</v>
      </c>
      <c r="F132" s="16">
        <v>44990</v>
      </c>
      <c r="G132" s="5" t="s">
        <v>648</v>
      </c>
      <c r="H132" s="5" t="s">
        <v>3537</v>
      </c>
      <c r="I132" s="24" t="str">
        <f>HYPERLINK("https://www.bilibili.com/video/BV1ne4y1A7oM?p=131", "BV1ne4y1A7oM?p=131")</f>
        <v>BV1ne4y1A7oM?p=131</v>
      </c>
      <c r="J132" s="4" t="str">
        <f ca="1">_xlfn.IFNA(VLOOKUP(INDIRECT("G"&amp;ROW()),minfo!$A:$M,COLUMN()-8,0),"")</f>
        <v>假如爱有天意</v>
      </c>
      <c r="K132" s="4" t="str">
        <f ca="1">_xlfn.IFNA(VLOOKUP(INDIRECT("G"&amp;ROW()),minfo!$A:$M,COLUMN()-8,0),"")</f>
        <v>李健</v>
      </c>
      <c r="L132" s="4">
        <f ca="1">_xlfn.IFNA(VLOOKUP(INDIRECT("G"&amp;ROW()),minfo!$A:$M,COLUMN()-8,0),"")</f>
        <v>0</v>
      </c>
      <c r="M132" s="4">
        <f ca="1">_xlfn.IFNA(VLOOKUP(INDIRECT("G"&amp;ROW()),minfo!$A:$M,COLUMN()-8,0),"")</f>
        <v>0</v>
      </c>
      <c r="N132" s="4">
        <f ca="1">_xlfn.IFNA(VLOOKUP(INDIRECT("G"&amp;ROW()),minfo!$A:$M,COLUMN()-8,0),"")</f>
        <v>0</v>
      </c>
      <c r="O132" s="4" t="str">
        <f ca="1">_xlfn.IFNA(VLOOKUP(INDIRECT("G"&amp;ROW()),minfo!$A:$M,COLUMN()-8,0),"")</f>
        <v>https://i0.hdslb.com/bfs/station_src/music_metadata/4b86fcae21e92aaa575bf6018b576dbf.jpg</v>
      </c>
      <c r="P132" s="4" t="str">
        <f ca="1">_xlfn.IFNA(VLOOKUP(INDIRECT("G"&amp;ROW()),minfo!$A:$M,COLUMN()-8,0),"")</f>
        <v>http://i0.hdslb.com/bfs/station_src/music_metadata/7b01ab21af25547478adc56fa63915fc</v>
      </c>
      <c r="Q132" s="4">
        <f ca="1">_xlfn.IFNA(VLOOKUP(INDIRECT("G"&amp;ROW()),minfo!$A:$M,COLUMN()-8,0),"")</f>
        <v>410</v>
      </c>
      <c r="R132" s="4" t="str">
        <f ca="1">_xlfn.IFNA(VLOOKUP(INDIRECT("G"&amp;ROW()),minfo!$A:$M,COLUMN()-8,0),"")</f>
        <v>《太平轮·彼岸》电影推广曲</v>
      </c>
      <c r="S132" s="4" t="str">
        <f ca="1">_xlfn.IFNA(VLOOKUP(INDIRECT("G"&amp;ROW()),minfo!$A:$M,COLUMN()-8,0),"")</f>
        <v>李健</v>
      </c>
      <c r="T132" s="4">
        <f ca="1">_xlfn.IFNA(VLOOKUP(INDIRECT("G"&amp;ROW()),minfo!$A:$M,COLUMN()-8,0),"")</f>
        <v>92493052</v>
      </c>
      <c r="U132" s="4">
        <f ca="1">_xlfn.IFNA(VLOOKUP(INDIRECT("G"&amp;ROW()),minfo!$A:$M,COLUMN()-8,0),"")</f>
        <v>0</v>
      </c>
    </row>
    <row r="133" spans="1:21" ht="15.75" customHeight="1">
      <c r="A133" s="15">
        <v>132</v>
      </c>
      <c r="B133" s="4" t="s">
        <v>3676</v>
      </c>
      <c r="C133" s="4">
        <v>133</v>
      </c>
      <c r="D133" s="4">
        <v>132</v>
      </c>
      <c r="E133" s="4" t="s">
        <v>14</v>
      </c>
      <c r="F133" s="16">
        <v>44990</v>
      </c>
      <c r="G133" s="5" t="s">
        <v>13</v>
      </c>
      <c r="H133" s="5" t="s">
        <v>3537</v>
      </c>
      <c r="I133" s="24" t="str">
        <f>HYPERLINK("https://www.bilibili.com/video/BV1ne4y1A7oM?p=132", "BV1ne4y1A7oM?p=132")</f>
        <v>BV1ne4y1A7oM?p=132</v>
      </c>
      <c r="J133" s="4" t="str">
        <f ca="1">_xlfn.IFNA(VLOOKUP(INDIRECT("G"&amp;ROW()),minfo!$A:$M,COLUMN()-8,0),"")</f>
        <v>瓦解</v>
      </c>
      <c r="K133" s="4" t="str">
        <f ca="1">_xlfn.IFNA(VLOOKUP(INDIRECT("G"&amp;ROW()),minfo!$A:$M,COLUMN()-8,0),"")</f>
        <v>南拳妈妈</v>
      </c>
      <c r="L133" s="4">
        <f ca="1">_xlfn.IFNA(VLOOKUP(INDIRECT("G"&amp;ROW()),minfo!$A:$M,COLUMN()-8,0),"")</f>
        <v>0</v>
      </c>
      <c r="M133" s="4">
        <f ca="1">_xlfn.IFNA(VLOOKUP(INDIRECT("G"&amp;ROW()),minfo!$A:$M,COLUMN()-8,0),"")</f>
        <v>0</v>
      </c>
      <c r="N133" s="4">
        <f ca="1">_xlfn.IFNA(VLOOKUP(INDIRECT("G"&amp;ROW()),minfo!$A:$M,COLUMN()-8,0),"")</f>
        <v>0</v>
      </c>
      <c r="O133" s="4" t="str">
        <f ca="1">_xlfn.IFNA(VLOOKUP(INDIRECT("G"&amp;ROW()),minfo!$A:$M,COLUMN()-8,0),"")</f>
        <v>https://i0.hdslb.com/bfs/station_src/music_metadata/284aedba73bbb46dd43548a108598c32.jpg</v>
      </c>
      <c r="P133" s="4" t="str">
        <f ca="1">_xlfn.IFNA(VLOOKUP(INDIRECT("G"&amp;ROW()),minfo!$A:$M,COLUMN()-8,0),"")</f>
        <v>http://i0.hdslb.com/bfs/station_src/music_metadata/4d7bef88af4faa856325802b023ef85e</v>
      </c>
      <c r="Q133" s="4">
        <f ca="1">_xlfn.IFNA(VLOOKUP(INDIRECT("G"&amp;ROW()),minfo!$A:$M,COLUMN()-8,0),"")</f>
        <v>129</v>
      </c>
      <c r="R133" s="4">
        <f ca="1">_xlfn.IFNA(VLOOKUP(INDIRECT("G"&amp;ROW()),minfo!$A:$M,COLUMN()-8,0),"")</f>
        <v>0</v>
      </c>
      <c r="S133" s="4" t="str">
        <f ca="1">_xlfn.IFNA(VLOOKUP(INDIRECT("G"&amp;ROW()),minfo!$A:$M,COLUMN()-8,0),"")</f>
        <v>南拳妈妈的夏天</v>
      </c>
      <c r="T133" s="4">
        <f ca="1">_xlfn.IFNA(VLOOKUP(INDIRECT("G"&amp;ROW()),minfo!$A:$M,COLUMN()-8,0),"")</f>
        <v>122109069</v>
      </c>
      <c r="U133" s="4">
        <f ca="1">_xlfn.IFNA(VLOOKUP(INDIRECT("G"&amp;ROW()),minfo!$A:$M,COLUMN()-8,0),"")</f>
        <v>0</v>
      </c>
    </row>
    <row r="134" spans="1:21" ht="15.75" customHeight="1">
      <c r="A134" s="15">
        <v>133</v>
      </c>
      <c r="B134" s="4" t="s">
        <v>3677</v>
      </c>
      <c r="C134" s="4">
        <v>134</v>
      </c>
      <c r="D134" s="4">
        <v>133</v>
      </c>
      <c r="E134" s="4" t="s">
        <v>655</v>
      </c>
      <c r="F134" s="16">
        <v>44990</v>
      </c>
      <c r="G134" s="5" t="s">
        <v>654</v>
      </c>
      <c r="H134" s="5" t="s">
        <v>3537</v>
      </c>
      <c r="I134" s="24" t="str">
        <f>HYPERLINK("https://www.bilibili.com/video/BV1ne4y1A7oM?p=133", "BV1ne4y1A7oM?p=133")</f>
        <v>BV1ne4y1A7oM?p=133</v>
      </c>
      <c r="J134" s="4" t="str">
        <f ca="1">_xlfn.IFNA(VLOOKUP(INDIRECT("G"&amp;ROW()),minfo!$A:$M,COLUMN()-8,0),"")</f>
        <v>路过人间</v>
      </c>
      <c r="K134" s="4" t="str">
        <f ca="1">_xlfn.IFNA(VLOOKUP(INDIRECT("G"&amp;ROW()),minfo!$A:$M,COLUMN()-8,0),"")</f>
        <v>郁可唯</v>
      </c>
      <c r="L134" s="4">
        <f ca="1">_xlfn.IFNA(VLOOKUP(INDIRECT("G"&amp;ROW()),minfo!$A:$M,COLUMN()-8,0),"")</f>
        <v>0</v>
      </c>
      <c r="M134" s="4">
        <f ca="1">_xlfn.IFNA(VLOOKUP(INDIRECT("G"&amp;ROW()),minfo!$A:$M,COLUMN()-8,0),"")</f>
        <v>17966</v>
      </c>
      <c r="N134" s="4">
        <f ca="1">_xlfn.IFNA(VLOOKUP(INDIRECT("G"&amp;ROW()),minfo!$A:$M,COLUMN()-8,0),"")</f>
        <v>8458</v>
      </c>
      <c r="O134" s="4" t="str">
        <f ca="1">_xlfn.IFNA(VLOOKUP(INDIRECT("G"&amp;ROW()),minfo!$A:$M,COLUMN()-8,0),"")</f>
        <v>http://i0.hdslb.com/bfs/station_src/music_metadata/570f6a193a95780dfeae2a4dfe0cb932.jpg</v>
      </c>
      <c r="P134" s="4" t="str">
        <f ca="1">_xlfn.IFNA(VLOOKUP(INDIRECT("G"&amp;ROW()),minfo!$A:$M,COLUMN()-8,0),"")</f>
        <v>http://i0.hdslb.com/bfs/station_src/music_metadata/0386d6bc66823747cb1d61d511d20a21</v>
      </c>
      <c r="Q134" s="4">
        <f ca="1">_xlfn.IFNA(VLOOKUP(INDIRECT("G"&amp;ROW()),minfo!$A:$M,COLUMN()-8,0),"")</f>
        <v>1296</v>
      </c>
      <c r="R134" s="4">
        <f ca="1">_xlfn.IFNA(VLOOKUP(INDIRECT("G"&amp;ROW()),minfo!$A:$M,COLUMN()-8,0),"")</f>
        <v>0</v>
      </c>
      <c r="S134" s="4" t="str">
        <f ca="1">_xlfn.IFNA(VLOOKUP(INDIRECT("G"&amp;ROW()),minfo!$A:$M,COLUMN()-8,0),"")</f>
        <v>路过人间</v>
      </c>
      <c r="T134" s="4">
        <f ca="1">_xlfn.IFNA(VLOOKUP(INDIRECT("G"&amp;ROW()),minfo!$A:$M,COLUMN()-8,0),"")</f>
        <v>218547878</v>
      </c>
      <c r="U134" s="4" t="str">
        <f ca="1">_xlfn.IFNA(VLOOKUP(INDIRECT("G"&amp;ROW()),minfo!$A:$M,COLUMN()-8,0),"")</f>
        <v>音乐榜最高NO.10</v>
      </c>
    </row>
    <row r="135" spans="1:21" ht="15.75" customHeight="1">
      <c r="A135" s="15">
        <v>134</v>
      </c>
      <c r="B135" s="4" t="s">
        <v>3678</v>
      </c>
      <c r="C135" s="4">
        <v>135</v>
      </c>
      <c r="D135" s="4">
        <v>134</v>
      </c>
      <c r="E135" s="4" t="s">
        <v>324</v>
      </c>
      <c r="F135" s="16">
        <v>44993</v>
      </c>
      <c r="G135" s="5" t="s">
        <v>323</v>
      </c>
      <c r="H135" s="5" t="s">
        <v>3537</v>
      </c>
      <c r="I135" s="24" t="str">
        <f>HYPERLINK("https://www.bilibili.com/video/BV1ne4y1A7oM?p=134", "BV1ne4y1A7oM?p=134")</f>
        <v>BV1ne4y1A7oM?p=134</v>
      </c>
      <c r="J135" s="4" t="str">
        <f ca="1">_xlfn.IFNA(VLOOKUP(INDIRECT("G"&amp;ROW()),minfo!$A:$M,COLUMN()-8,0),"")</f>
        <v>致你</v>
      </c>
      <c r="K135" s="4" t="str">
        <f ca="1">_xlfn.IFNA(VLOOKUP(INDIRECT("G"&amp;ROW()),minfo!$A:$M,COLUMN()-8,0),"")</f>
        <v>王赫野</v>
      </c>
      <c r="L135" s="4">
        <f ca="1">_xlfn.IFNA(VLOOKUP(INDIRECT("G"&amp;ROW()),minfo!$A:$M,COLUMN()-8,0),"")</f>
        <v>0</v>
      </c>
      <c r="M135" s="4">
        <f ca="1">_xlfn.IFNA(VLOOKUP(INDIRECT("G"&amp;ROW()),minfo!$A:$M,COLUMN()-8,0),"")</f>
        <v>0</v>
      </c>
      <c r="N135" s="4">
        <f ca="1">_xlfn.IFNA(VLOOKUP(INDIRECT("G"&amp;ROW()),minfo!$A:$M,COLUMN()-8,0),"")</f>
        <v>0</v>
      </c>
      <c r="O135" s="4" t="str">
        <f ca="1">_xlfn.IFNA(VLOOKUP(INDIRECT("G"&amp;ROW()),minfo!$A:$M,COLUMN()-8,0),"")</f>
        <v>http://i0.hdslb.com/bfs/station_src/music_metadata/683916d89744a5d7c887a277e409cfaf.jpg</v>
      </c>
      <c r="P135" s="4">
        <f ca="1">_xlfn.IFNA(VLOOKUP(INDIRECT("G"&amp;ROW()),minfo!$A:$M,COLUMN()-8,0),"")</f>
        <v>0</v>
      </c>
      <c r="Q135" s="4">
        <f ca="1">_xlfn.IFNA(VLOOKUP(INDIRECT("G"&amp;ROW()),minfo!$A:$M,COLUMN()-8,0),"")</f>
        <v>3362</v>
      </c>
      <c r="R135" s="4">
        <f ca="1">_xlfn.IFNA(VLOOKUP(INDIRECT("G"&amp;ROW()),minfo!$A:$M,COLUMN()-8,0),"")</f>
        <v>0</v>
      </c>
      <c r="S135" s="4" t="str">
        <f ca="1">_xlfn.IFNA(VLOOKUP(INDIRECT("G"&amp;ROW()),minfo!$A:$M,COLUMN()-8,0),"")</f>
        <v>致你</v>
      </c>
      <c r="T135" s="4">
        <f ca="1">_xlfn.IFNA(VLOOKUP(INDIRECT("G"&amp;ROW()),minfo!$A:$M,COLUMN()-8,0),"")</f>
        <v>258996748</v>
      </c>
      <c r="U135" s="4">
        <f ca="1">_xlfn.IFNA(VLOOKUP(INDIRECT("G"&amp;ROW()),minfo!$A:$M,COLUMN()-8,0),"")</f>
        <v>0</v>
      </c>
    </row>
    <row r="136" spans="1:21" ht="15.75" customHeight="1">
      <c r="A136" s="15">
        <v>135</v>
      </c>
      <c r="B136" s="4" t="s">
        <v>3679</v>
      </c>
      <c r="C136" s="4">
        <v>136</v>
      </c>
      <c r="D136" s="4">
        <v>135</v>
      </c>
      <c r="E136" s="4" t="s">
        <v>3680</v>
      </c>
      <c r="F136" s="16">
        <v>44993</v>
      </c>
      <c r="G136" s="5" t="s">
        <v>658</v>
      </c>
      <c r="H136" s="5" t="s">
        <v>3537</v>
      </c>
      <c r="I136" s="24" t="str">
        <f>HYPERLINK("https://www.bilibili.com/video/BV1ne4y1A7oM?p=135", "BV1ne4y1A7oM?p=135")</f>
        <v>BV1ne4y1A7oM?p=135</v>
      </c>
      <c r="J136" s="4" t="str">
        <f ca="1">_xlfn.IFNA(VLOOKUP(INDIRECT("G"&amp;ROW()),minfo!$A:$M,COLUMN()-8,0),"")</f>
        <v>爱就一个字</v>
      </c>
      <c r="K136" s="4" t="str">
        <f ca="1">_xlfn.IFNA(VLOOKUP(INDIRECT("G"&amp;ROW()),minfo!$A:$M,COLUMN()-8,0),"")</f>
        <v>张信哲</v>
      </c>
      <c r="L136" s="4">
        <f ca="1">_xlfn.IFNA(VLOOKUP(INDIRECT("G"&amp;ROW()),minfo!$A:$M,COLUMN()-8,0),"")</f>
        <v>0</v>
      </c>
      <c r="M136" s="4">
        <f ca="1">_xlfn.IFNA(VLOOKUP(INDIRECT("G"&amp;ROW()),minfo!$A:$M,COLUMN()-8,0),"")</f>
        <v>0</v>
      </c>
      <c r="N136" s="4">
        <f ca="1">_xlfn.IFNA(VLOOKUP(INDIRECT("G"&amp;ROW()),minfo!$A:$M,COLUMN()-8,0),"")</f>
        <v>0</v>
      </c>
      <c r="O136" s="4" t="str">
        <f ca="1">_xlfn.IFNA(VLOOKUP(INDIRECT("G"&amp;ROW()),minfo!$A:$M,COLUMN()-8,0),"")</f>
        <v>https://i0.hdslb.com/bfs/station_src/music_metadata/eedf3625069b7bc0f7e914af5059ac37.jpg</v>
      </c>
      <c r="P136" s="4" t="str">
        <f ca="1">_xlfn.IFNA(VLOOKUP(INDIRECT("G"&amp;ROW()),minfo!$A:$M,COLUMN()-8,0),"")</f>
        <v>https://i0.hdslb.com/bfs/station_src/music_metadata/e9904da2f3f323dfba2f266736dcfd88.txt</v>
      </c>
      <c r="Q136" s="4">
        <f ca="1">_xlfn.IFNA(VLOOKUP(INDIRECT("G"&amp;ROW()),minfo!$A:$M,COLUMN()-8,0),"")</f>
        <v>737</v>
      </c>
      <c r="R136" s="4">
        <f ca="1">_xlfn.IFNA(VLOOKUP(INDIRECT("G"&amp;ROW()),minfo!$A:$M,COLUMN()-8,0),"")</f>
        <v>0</v>
      </c>
      <c r="S136" s="4" t="str">
        <f ca="1">_xlfn.IFNA(VLOOKUP(INDIRECT("G"&amp;ROW()),minfo!$A:$M,COLUMN()-8,0),"")</f>
        <v>我好想</v>
      </c>
      <c r="T136" s="4">
        <f ca="1">_xlfn.IFNA(VLOOKUP(INDIRECT("G"&amp;ROW()),minfo!$A:$M,COLUMN()-8,0),"")</f>
        <v>223366660</v>
      </c>
      <c r="U136" s="4">
        <f ca="1">_xlfn.IFNA(VLOOKUP(INDIRECT("G"&amp;ROW()),minfo!$A:$M,COLUMN()-8,0),"")</f>
        <v>0</v>
      </c>
    </row>
    <row r="137" spans="1:21" ht="15.75" customHeight="1">
      <c r="A137" s="15">
        <v>136</v>
      </c>
      <c r="B137" s="4" t="s">
        <v>3681</v>
      </c>
      <c r="C137" s="4">
        <v>137</v>
      </c>
      <c r="D137" s="4">
        <v>136</v>
      </c>
      <c r="E137" s="4" t="s">
        <v>150</v>
      </c>
      <c r="F137" s="16">
        <v>44993</v>
      </c>
      <c r="G137" s="5" t="s">
        <v>149</v>
      </c>
      <c r="H137" s="5" t="s">
        <v>3537</v>
      </c>
      <c r="I137" s="24" t="str">
        <f>HYPERLINK("https://www.bilibili.com/video/BV1ne4y1A7oM?p=136", "BV1ne4y1A7oM?p=136")</f>
        <v>BV1ne4y1A7oM?p=136</v>
      </c>
      <c r="J137" s="4" t="str">
        <f ca="1">_xlfn.IFNA(VLOOKUP(INDIRECT("G"&amp;ROW()),minfo!$A:$M,COLUMN()-8,0),"")</f>
        <v>繁华唱遍</v>
      </c>
      <c r="K137" s="4" t="str">
        <f ca="1">_xlfn.IFNA(VLOOKUP(INDIRECT("G"&amp;ROW()),minfo!$A:$M,COLUMN()-8,0),"")</f>
        <v>乐正绫</v>
      </c>
      <c r="L137" s="4">
        <f ca="1">_xlfn.IFNA(VLOOKUP(INDIRECT("G"&amp;ROW()),minfo!$A:$M,COLUMN()-8,0),"")</f>
        <v>0</v>
      </c>
      <c r="M137" s="4">
        <f ca="1">_xlfn.IFNA(VLOOKUP(INDIRECT("G"&amp;ROW()),minfo!$A:$M,COLUMN()-8,0),"")</f>
        <v>277</v>
      </c>
      <c r="N137" s="4">
        <f ca="1">_xlfn.IFNA(VLOOKUP(INDIRECT("G"&amp;ROW()),minfo!$A:$M,COLUMN()-8,0),"")</f>
        <v>2</v>
      </c>
      <c r="O137" s="4">
        <f ca="1">_xlfn.IFNA(VLOOKUP(INDIRECT("G"&amp;ROW()),minfo!$A:$M,COLUMN()-8,0),"")</f>
        <v>0</v>
      </c>
      <c r="P137" s="4">
        <f ca="1">_xlfn.IFNA(VLOOKUP(INDIRECT("G"&amp;ROW()),minfo!$A:$M,COLUMN()-8,0),"")</f>
        <v>0</v>
      </c>
      <c r="Q137" s="4">
        <f ca="1">_xlfn.IFNA(VLOOKUP(INDIRECT("G"&amp;ROW()),minfo!$A:$M,COLUMN()-8,0),"")</f>
        <v>156</v>
      </c>
      <c r="R137" s="4">
        <f ca="1">_xlfn.IFNA(VLOOKUP(INDIRECT("G"&amp;ROW()),minfo!$A:$M,COLUMN()-8,0),"")</f>
        <v>0</v>
      </c>
      <c r="S137" s="4">
        <f ca="1">_xlfn.IFNA(VLOOKUP(INDIRECT("G"&amp;ROW()),minfo!$A:$M,COLUMN()-8,0),"")</f>
        <v>0</v>
      </c>
      <c r="T137" s="4">
        <f ca="1">_xlfn.IFNA(VLOOKUP(INDIRECT("G"&amp;ROW()),minfo!$A:$M,COLUMN()-8,0),"")</f>
        <v>71832236</v>
      </c>
      <c r="U137" s="4">
        <f ca="1">_xlfn.IFNA(VLOOKUP(INDIRECT("G"&amp;ROW()),minfo!$A:$M,COLUMN()-8,0),"")</f>
        <v>0</v>
      </c>
    </row>
    <row r="138" spans="1:21" ht="15.75" customHeight="1">
      <c r="A138" s="15">
        <v>137</v>
      </c>
      <c r="B138" s="4" t="s">
        <v>3682</v>
      </c>
      <c r="C138" s="4">
        <v>138</v>
      </c>
      <c r="D138" s="4">
        <v>137</v>
      </c>
      <c r="E138" s="4" t="s">
        <v>3683</v>
      </c>
      <c r="F138" s="16">
        <v>44993</v>
      </c>
      <c r="G138" s="5" t="s">
        <v>203</v>
      </c>
      <c r="H138" s="5" t="s">
        <v>3537</v>
      </c>
      <c r="I138" s="24" t="str">
        <f>HYPERLINK("https://www.bilibili.com/video/BV1ne4y1A7oM?p=137", "BV1ne4y1A7oM?p=137")</f>
        <v>BV1ne4y1A7oM?p=137</v>
      </c>
      <c r="J138" s="4" t="str">
        <f ca="1">_xlfn.IFNA(VLOOKUP(INDIRECT("G"&amp;ROW()),minfo!$A:$M,COLUMN()-8,0),"")</f>
        <v>不问天</v>
      </c>
      <c r="K138" s="4" t="str">
        <f ca="1">_xlfn.IFNA(VLOOKUP(INDIRECT("G"&amp;ROW()),minfo!$A:$M,COLUMN()-8,0),"")</f>
        <v>说说Crystal</v>
      </c>
      <c r="L138" s="4">
        <f ca="1">_xlfn.IFNA(VLOOKUP(INDIRECT("G"&amp;ROW()),minfo!$A:$M,COLUMN()-8,0),"")</f>
        <v>0</v>
      </c>
      <c r="M138" s="4">
        <f ca="1">_xlfn.IFNA(VLOOKUP(INDIRECT("G"&amp;ROW()),minfo!$A:$M,COLUMN()-8,0),"")</f>
        <v>0</v>
      </c>
      <c r="N138" s="4">
        <f ca="1">_xlfn.IFNA(VLOOKUP(INDIRECT("G"&amp;ROW()),minfo!$A:$M,COLUMN()-8,0),"")</f>
        <v>0</v>
      </c>
      <c r="O138" s="4" t="str">
        <f ca="1">_xlfn.IFNA(VLOOKUP(INDIRECT("G"&amp;ROW()),minfo!$A:$M,COLUMN()-8,0),"")</f>
        <v>https://i0.hdslb.com/bfs/station_src/music_metadata/ce3a0da2a7e64a49fa42a6e3db521f57.jpg</v>
      </c>
      <c r="P138" s="4" t="str">
        <f ca="1">_xlfn.IFNA(VLOOKUP(INDIRECT("G"&amp;ROW()),minfo!$A:$M,COLUMN()-8,0),"")</f>
        <v>https://i0.hdslb.com/bfs/station_src/music_metadata/02cd9198a33924449443fc704a92a25a.txt</v>
      </c>
      <c r="Q138" s="4">
        <f ca="1">_xlfn.IFNA(VLOOKUP(INDIRECT("G"&amp;ROW()),minfo!$A:$M,COLUMN()-8,0),"")</f>
        <v>149</v>
      </c>
      <c r="R138" s="4">
        <f ca="1">_xlfn.IFNA(VLOOKUP(INDIRECT("G"&amp;ROW()),minfo!$A:$M,COLUMN()-8,0),"")</f>
        <v>0</v>
      </c>
      <c r="S138" s="4" t="str">
        <f ca="1">_xlfn.IFNA(VLOOKUP(INDIRECT("G"&amp;ROW()),minfo!$A:$M,COLUMN()-8,0),"")</f>
        <v>2021哔哩哔哩拜年纪</v>
      </c>
      <c r="T138" s="4">
        <f ca="1">_xlfn.IFNA(VLOOKUP(INDIRECT("G"&amp;ROW()),minfo!$A:$M,COLUMN()-8,0),"")</f>
        <v>33137051</v>
      </c>
      <c r="U138" s="4">
        <f ca="1">_xlfn.IFNA(VLOOKUP(INDIRECT("G"&amp;ROW()),minfo!$A:$M,COLUMN()-8,0),"")</f>
        <v>0</v>
      </c>
    </row>
    <row r="139" spans="1:21" ht="15.75" customHeight="1">
      <c r="A139" s="15">
        <v>138</v>
      </c>
      <c r="B139" s="4" t="s">
        <v>3684</v>
      </c>
      <c r="C139" s="4">
        <v>139</v>
      </c>
      <c r="D139" s="4">
        <v>138</v>
      </c>
      <c r="E139" s="4" t="s">
        <v>113</v>
      </c>
      <c r="F139" s="16">
        <v>44993</v>
      </c>
      <c r="G139" s="5" t="s">
        <v>113</v>
      </c>
      <c r="H139" s="5" t="s">
        <v>3537</v>
      </c>
      <c r="I139" s="24" t="str">
        <f>HYPERLINK("https://www.bilibili.com/video/BV1ne4y1A7oM?p=138", "BV1ne4y1A7oM?p=138")</f>
        <v>BV1ne4y1A7oM?p=138</v>
      </c>
      <c r="J139" s="4" t="str">
        <f ca="1">_xlfn.IFNA(VLOOKUP(INDIRECT("G"&amp;ROW()),minfo!$A:$M,COLUMN()-8,0),"")</f>
        <v>牡丹亭畔</v>
      </c>
      <c r="K139" s="4" t="str">
        <f ca="1">_xlfn.IFNA(VLOOKUP(INDIRECT("G"&amp;ROW()),minfo!$A:$M,COLUMN()-8,0),"")</f>
        <v>说说Crystal</v>
      </c>
      <c r="L139" s="4" t="str">
        <f ca="1">_xlfn.IFNA(VLOOKUP(INDIRECT("G"&amp;ROW()),minfo!$A:$M,COLUMN()-8,0),"")</f>
        <v>BV1CP411M7tc</v>
      </c>
      <c r="M139" s="4">
        <f ca="1">_xlfn.IFNA(VLOOKUP(INDIRECT("G"&amp;ROW()),minfo!$A:$M,COLUMN()-8,0),"")</f>
        <v>0</v>
      </c>
      <c r="N139" s="4">
        <f ca="1">_xlfn.IFNA(VLOOKUP(INDIRECT("G"&amp;ROW()),minfo!$A:$M,COLUMN()-8,0),"")</f>
        <v>0</v>
      </c>
      <c r="O139" s="4">
        <f ca="1">_xlfn.IFNA(VLOOKUP(INDIRECT("G"&amp;ROW()),minfo!$A:$M,COLUMN()-8,0),"")</f>
        <v>0</v>
      </c>
      <c r="P139" s="4">
        <f ca="1">_xlfn.IFNA(VLOOKUP(INDIRECT("G"&amp;ROW()),minfo!$A:$M,COLUMN()-8,0),"")</f>
        <v>0</v>
      </c>
      <c r="Q139" s="4">
        <f ca="1">_xlfn.IFNA(VLOOKUP(INDIRECT("G"&amp;ROW()),minfo!$A:$M,COLUMN()-8,0),"")</f>
        <v>0</v>
      </c>
      <c r="R139" s="4">
        <f ca="1">_xlfn.IFNA(VLOOKUP(INDIRECT("G"&amp;ROW()),minfo!$A:$M,COLUMN()-8,0),"")</f>
        <v>0</v>
      </c>
      <c r="S139" s="4">
        <f ca="1">_xlfn.IFNA(VLOOKUP(INDIRECT("G"&amp;ROW()),minfo!$A:$M,COLUMN()-8,0),"")</f>
        <v>0</v>
      </c>
      <c r="T139" s="4">
        <f ca="1">_xlfn.IFNA(VLOOKUP(INDIRECT("G"&amp;ROW()),minfo!$A:$M,COLUMN()-8,0),"")</f>
        <v>0</v>
      </c>
      <c r="U139" s="4">
        <f ca="1">_xlfn.IFNA(VLOOKUP(INDIRECT("G"&amp;ROW()),minfo!$A:$M,COLUMN()-8,0),"")</f>
        <v>0</v>
      </c>
    </row>
    <row r="140" spans="1:21" ht="15.75" customHeight="1">
      <c r="A140" s="15">
        <v>139</v>
      </c>
      <c r="B140" s="4" t="s">
        <v>3685</v>
      </c>
      <c r="C140" s="4">
        <v>140</v>
      </c>
      <c r="D140" s="4">
        <v>139</v>
      </c>
      <c r="E140" s="4" t="s">
        <v>3686</v>
      </c>
      <c r="F140" s="16">
        <v>44993</v>
      </c>
      <c r="G140" s="5" t="s">
        <v>668</v>
      </c>
      <c r="H140" s="5" t="s">
        <v>3537</v>
      </c>
      <c r="I140" s="24" t="str">
        <f>HYPERLINK("https://www.bilibili.com/video/BV1ne4y1A7oM?p=139", "BV1ne4y1A7oM?p=139")</f>
        <v>BV1ne4y1A7oM?p=139</v>
      </c>
      <c r="J140" s="4" t="str">
        <f ca="1">_xlfn.IFNA(VLOOKUP(INDIRECT("G"&amp;ROW()),minfo!$A:$M,COLUMN()-8,0),"")</f>
        <v>Caro mio ben</v>
      </c>
      <c r="K140" s="4" t="str">
        <f ca="1">_xlfn.IFNA(VLOOKUP(INDIRECT("G"&amp;ROW()),minfo!$A:$M,COLUMN()-8,0),"")</f>
        <v>Cecilia Bartoli,György Fischer</v>
      </c>
      <c r="L140" s="4">
        <f ca="1">_xlfn.IFNA(VLOOKUP(INDIRECT("G"&amp;ROW()),minfo!$A:$M,COLUMN()-8,0),"")</f>
        <v>0</v>
      </c>
      <c r="M140" s="4">
        <f ca="1">_xlfn.IFNA(VLOOKUP(INDIRECT("G"&amp;ROW()),minfo!$A:$M,COLUMN()-8,0),"")</f>
        <v>0</v>
      </c>
      <c r="N140" s="4">
        <f ca="1">_xlfn.IFNA(VLOOKUP(INDIRECT("G"&amp;ROW()),minfo!$A:$M,COLUMN()-8,0),"")</f>
        <v>0</v>
      </c>
      <c r="O140" s="4" t="str">
        <f ca="1">_xlfn.IFNA(VLOOKUP(INDIRECT("G"&amp;ROW()),minfo!$A:$M,COLUMN()-8,0),"")</f>
        <v>https://i0.hdslb.com/bfs/station_src/music_metadata/0981282252a965b7fe42604b66b68284.jpg</v>
      </c>
      <c r="P140" s="4">
        <f ca="1">_xlfn.IFNA(VLOOKUP(INDIRECT("G"&amp;ROW()),minfo!$A:$M,COLUMN()-8,0),"")</f>
        <v>0</v>
      </c>
      <c r="Q140" s="4">
        <f ca="1">_xlfn.IFNA(VLOOKUP(INDIRECT("G"&amp;ROW()),minfo!$A:$M,COLUMN()-8,0),"")</f>
        <v>4</v>
      </c>
      <c r="R140" s="4">
        <f ca="1">_xlfn.IFNA(VLOOKUP(INDIRECT("G"&amp;ROW()),minfo!$A:$M,COLUMN()-8,0),"")</f>
        <v>0</v>
      </c>
      <c r="S140" s="4" t="str">
        <f ca="1">_xlfn.IFNA(VLOOKUP(INDIRECT("G"&amp;ROW()),minfo!$A:$M,COLUMN()-8,0),"")</f>
        <v>Cecilia Bartoli - Arie Antiche: Se tu m'ami</v>
      </c>
      <c r="T140" s="4">
        <f ca="1">_xlfn.IFNA(VLOOKUP(INDIRECT("G"&amp;ROW()),minfo!$A:$M,COLUMN()-8,0),"")</f>
        <v>789902</v>
      </c>
      <c r="U140" s="4">
        <f ca="1">_xlfn.IFNA(VLOOKUP(INDIRECT("G"&amp;ROW()),minfo!$A:$M,COLUMN()-8,0),"")</f>
        <v>0</v>
      </c>
    </row>
    <row r="141" spans="1:21" ht="15.75" customHeight="1">
      <c r="A141" s="15">
        <v>140</v>
      </c>
      <c r="B141" s="4" t="s">
        <v>3687</v>
      </c>
      <c r="C141" s="4">
        <v>141</v>
      </c>
      <c r="D141" s="4">
        <v>140</v>
      </c>
      <c r="E141" s="4" t="s">
        <v>3688</v>
      </c>
      <c r="F141" s="16">
        <v>44993</v>
      </c>
      <c r="G141" s="5" t="s">
        <v>668</v>
      </c>
      <c r="H141" s="5" t="s">
        <v>3537</v>
      </c>
      <c r="I141" s="24" t="str">
        <f>HYPERLINK("https://www.bilibili.com/video/BV1ne4y1A7oM?p=140", "BV1ne4y1A7oM?p=140")</f>
        <v>BV1ne4y1A7oM?p=140</v>
      </c>
      <c r="J141" s="4" t="str">
        <f ca="1">_xlfn.IFNA(VLOOKUP(INDIRECT("G"&amp;ROW()),minfo!$A:$M,COLUMN()-8,0),"")</f>
        <v>Caro mio ben</v>
      </c>
      <c r="K141" s="4" t="str">
        <f ca="1">_xlfn.IFNA(VLOOKUP(INDIRECT("G"&amp;ROW()),minfo!$A:$M,COLUMN()-8,0),"")</f>
        <v>Cecilia Bartoli,György Fischer</v>
      </c>
      <c r="L141" s="4">
        <f ca="1">_xlfn.IFNA(VLOOKUP(INDIRECT("G"&amp;ROW()),minfo!$A:$M,COLUMN()-8,0),"")</f>
        <v>0</v>
      </c>
      <c r="M141" s="4">
        <f ca="1">_xlfn.IFNA(VLOOKUP(INDIRECT("G"&amp;ROW()),minfo!$A:$M,COLUMN()-8,0),"")</f>
        <v>0</v>
      </c>
      <c r="N141" s="4">
        <f ca="1">_xlfn.IFNA(VLOOKUP(INDIRECT("G"&amp;ROW()),minfo!$A:$M,COLUMN()-8,0),"")</f>
        <v>0</v>
      </c>
      <c r="O141" s="4" t="str">
        <f ca="1">_xlfn.IFNA(VLOOKUP(INDIRECT("G"&amp;ROW()),minfo!$A:$M,COLUMN()-8,0),"")</f>
        <v>https://i0.hdslb.com/bfs/station_src/music_metadata/0981282252a965b7fe42604b66b68284.jpg</v>
      </c>
      <c r="P141" s="4">
        <f ca="1">_xlfn.IFNA(VLOOKUP(INDIRECT("G"&amp;ROW()),minfo!$A:$M,COLUMN()-8,0),"")</f>
        <v>0</v>
      </c>
      <c r="Q141" s="4">
        <f ca="1">_xlfn.IFNA(VLOOKUP(INDIRECT("G"&amp;ROW()),minfo!$A:$M,COLUMN()-8,0),"")</f>
        <v>4</v>
      </c>
      <c r="R141" s="4">
        <f ca="1">_xlfn.IFNA(VLOOKUP(INDIRECT("G"&amp;ROW()),minfo!$A:$M,COLUMN()-8,0),"")</f>
        <v>0</v>
      </c>
      <c r="S141" s="4" t="str">
        <f ca="1">_xlfn.IFNA(VLOOKUP(INDIRECT("G"&amp;ROW()),minfo!$A:$M,COLUMN()-8,0),"")</f>
        <v>Cecilia Bartoli - Arie Antiche: Se tu m'ami</v>
      </c>
      <c r="T141" s="4">
        <f ca="1">_xlfn.IFNA(VLOOKUP(INDIRECT("G"&amp;ROW()),minfo!$A:$M,COLUMN()-8,0),"")</f>
        <v>789902</v>
      </c>
      <c r="U141" s="4">
        <f ca="1">_xlfn.IFNA(VLOOKUP(INDIRECT("G"&amp;ROW()),minfo!$A:$M,COLUMN()-8,0),"")</f>
        <v>0</v>
      </c>
    </row>
    <row r="142" spans="1:21" ht="15.75" customHeight="1">
      <c r="A142" s="15">
        <v>141</v>
      </c>
      <c r="B142" s="4" t="s">
        <v>3689</v>
      </c>
      <c r="C142" s="4">
        <v>142</v>
      </c>
      <c r="D142" s="4">
        <v>141</v>
      </c>
      <c r="E142" s="4" t="s">
        <v>3690</v>
      </c>
      <c r="F142" s="16">
        <v>44993</v>
      </c>
      <c r="G142" s="5" t="s">
        <v>3045</v>
      </c>
      <c r="H142" s="5" t="s">
        <v>3537</v>
      </c>
      <c r="I142" s="24" t="str">
        <f>HYPERLINK("https://www.bilibili.com/video/BV1ne4y1A7oM?p=141", "BV1ne4y1A7oM?p=141")</f>
        <v>BV1ne4y1A7oM?p=141</v>
      </c>
      <c r="J142" s="4" t="str">
        <f ca="1">_xlfn.IFNA(VLOOKUP(INDIRECT("G"&amp;ROW()),minfo!$A:$M,COLUMN()-8,0),"")</f>
        <v>Intorno all'idol mio</v>
      </c>
      <c r="K142" s="4" t="str">
        <f ca="1">_xlfn.IFNA(VLOOKUP(INDIRECT("G"&amp;ROW()),minfo!$A:$M,COLUMN()-8,0),"")</f>
        <v>Cecilia Bartoli,György Fischer</v>
      </c>
      <c r="L142" s="4">
        <f ca="1">_xlfn.IFNA(VLOOKUP(INDIRECT("G"&amp;ROW()),minfo!$A:$M,COLUMN()-8,0),"")</f>
        <v>0</v>
      </c>
      <c r="M142" s="4">
        <f ca="1">_xlfn.IFNA(VLOOKUP(INDIRECT("G"&amp;ROW()),minfo!$A:$M,COLUMN()-8,0),"")</f>
        <v>0</v>
      </c>
      <c r="N142" s="4">
        <f ca="1">_xlfn.IFNA(VLOOKUP(INDIRECT("G"&amp;ROW()),minfo!$A:$M,COLUMN()-8,0),"")</f>
        <v>0</v>
      </c>
      <c r="O142" s="4" t="str">
        <f ca="1">_xlfn.IFNA(VLOOKUP(INDIRECT("G"&amp;ROW()),minfo!$A:$M,COLUMN()-8,0),"")</f>
        <v>https://i0.hdslb.com/bfs/station_src/music_metadata/fdf23963e530147beb8fb18bfdec033a.jpg</v>
      </c>
      <c r="P142" s="4" t="str">
        <f ca="1">_xlfn.IFNA(VLOOKUP(INDIRECT("G"&amp;ROW()),minfo!$A:$M,COLUMN()-8,0),"")</f>
        <v>https://i0.hdslb.com/bfs/station_src/music_metadata/eb9ad2f5e11dbc935e71a73d850c79e9.txt</v>
      </c>
      <c r="Q142" s="4">
        <f ca="1">_xlfn.IFNA(VLOOKUP(INDIRECT("G"&amp;ROW()),minfo!$A:$M,COLUMN()-8,0),"")</f>
        <v>2</v>
      </c>
      <c r="R142" s="4">
        <f ca="1">_xlfn.IFNA(VLOOKUP(INDIRECT("G"&amp;ROW()),minfo!$A:$M,COLUMN()-8,0),"")</f>
        <v>0</v>
      </c>
      <c r="S142" s="4" t="str">
        <f ca="1">_xlfn.IFNA(VLOOKUP(INDIRECT("G"&amp;ROW()),minfo!$A:$M,COLUMN()-8,0),"")</f>
        <v>Cecilia Bartoli - Arie Antiche: Se tu m'ami</v>
      </c>
      <c r="T142" s="4">
        <f ca="1">_xlfn.IFNA(VLOOKUP(INDIRECT("G"&amp;ROW()),minfo!$A:$M,COLUMN()-8,0),"")</f>
        <v>482295</v>
      </c>
      <c r="U142" s="4">
        <f ca="1">_xlfn.IFNA(VLOOKUP(INDIRECT("G"&amp;ROW()),minfo!$A:$M,COLUMN()-8,0),"")</f>
        <v>0</v>
      </c>
    </row>
    <row r="143" spans="1:21" ht="15.75" customHeight="1">
      <c r="A143" s="15">
        <v>142</v>
      </c>
      <c r="B143" s="4" t="s">
        <v>3691</v>
      </c>
      <c r="C143" s="4">
        <v>143</v>
      </c>
      <c r="D143" s="4">
        <v>142</v>
      </c>
      <c r="E143" s="4" t="s">
        <v>128</v>
      </c>
      <c r="F143" s="16">
        <v>44993</v>
      </c>
      <c r="G143" s="5" t="s">
        <v>128</v>
      </c>
      <c r="H143" s="5" t="s">
        <v>3537</v>
      </c>
      <c r="I143" s="24" t="str">
        <f>HYPERLINK("https://www.bilibili.com/video/BV1ne4y1A7oM?p=142", "BV1ne4y1A7oM?p=142")</f>
        <v>BV1ne4y1A7oM?p=142</v>
      </c>
      <c r="J143" s="4" t="str">
        <f ca="1">_xlfn.IFNA(VLOOKUP(INDIRECT("G"&amp;ROW()),minfo!$A:$M,COLUMN()-8,0),"")</f>
        <v>独处的时候</v>
      </c>
      <c r="K143" s="4" t="str">
        <f ca="1">_xlfn.IFNA(VLOOKUP(INDIRECT("G"&amp;ROW()),minfo!$A:$M,COLUMN()-8,0),"")</f>
        <v>沈妙极</v>
      </c>
      <c r="L143" s="4">
        <f ca="1">_xlfn.IFNA(VLOOKUP(INDIRECT("G"&amp;ROW()),minfo!$A:$M,COLUMN()-8,0),"")</f>
        <v>0</v>
      </c>
      <c r="M143" s="4">
        <f ca="1">_xlfn.IFNA(VLOOKUP(INDIRECT("G"&amp;ROW()),minfo!$A:$M,COLUMN()-8,0),"")</f>
        <v>0</v>
      </c>
      <c r="N143" s="4">
        <f ca="1">_xlfn.IFNA(VLOOKUP(INDIRECT("G"&amp;ROW()),minfo!$A:$M,COLUMN()-8,0),"")</f>
        <v>0</v>
      </c>
      <c r="O143" s="4">
        <f ca="1">_xlfn.IFNA(VLOOKUP(INDIRECT("G"&amp;ROW()),minfo!$A:$M,COLUMN()-8,0),"")</f>
        <v>0</v>
      </c>
      <c r="P143" s="4">
        <f ca="1">_xlfn.IFNA(VLOOKUP(INDIRECT("G"&amp;ROW()),minfo!$A:$M,COLUMN()-8,0),"")</f>
        <v>0</v>
      </c>
      <c r="Q143" s="4">
        <f ca="1">_xlfn.IFNA(VLOOKUP(INDIRECT("G"&amp;ROW()),minfo!$A:$M,COLUMN()-8,0),"")</f>
        <v>0</v>
      </c>
      <c r="R143" s="4">
        <f ca="1">_xlfn.IFNA(VLOOKUP(INDIRECT("G"&amp;ROW()),minfo!$A:$M,COLUMN()-8,0),"")</f>
        <v>0</v>
      </c>
      <c r="S143" s="4">
        <f ca="1">_xlfn.IFNA(VLOOKUP(INDIRECT("G"&amp;ROW()),minfo!$A:$M,COLUMN()-8,0),"")</f>
        <v>0</v>
      </c>
      <c r="T143" s="4">
        <f ca="1">_xlfn.IFNA(VLOOKUP(INDIRECT("G"&amp;ROW()),minfo!$A:$M,COLUMN()-8,0),"")</f>
        <v>0</v>
      </c>
      <c r="U143" s="4">
        <f ca="1">_xlfn.IFNA(VLOOKUP(INDIRECT("G"&amp;ROW()),minfo!$A:$M,COLUMN()-8,0),"")</f>
        <v>0</v>
      </c>
    </row>
    <row r="144" spans="1:21" ht="15.75" customHeight="1">
      <c r="A144" s="15">
        <v>143</v>
      </c>
      <c r="B144" s="4" t="s">
        <v>3692</v>
      </c>
      <c r="C144" s="4">
        <v>144</v>
      </c>
      <c r="D144" s="4">
        <v>143</v>
      </c>
      <c r="E144" s="4" t="s">
        <v>3693</v>
      </c>
      <c r="F144" s="16">
        <v>44993</v>
      </c>
      <c r="G144" s="5" t="s">
        <v>673</v>
      </c>
      <c r="H144" s="5" t="s">
        <v>3537</v>
      </c>
      <c r="I144" s="24" t="str">
        <f>HYPERLINK("https://www.bilibili.com/video/BV1ne4y1A7oM?p=143", "BV1ne4y1A7oM?p=143")</f>
        <v>BV1ne4y1A7oM?p=143</v>
      </c>
      <c r="J144" s="4" t="str">
        <f ca="1">_xlfn.IFNA(VLOOKUP(INDIRECT("G"&amp;ROW()),minfo!$A:$M,COLUMN()-8,0),"")</f>
        <v>先生</v>
      </c>
      <c r="K144" s="4" t="str">
        <f ca="1">_xlfn.IFNA(VLOOKUP(INDIRECT("G"&amp;ROW()),minfo!$A:$M,COLUMN()-8,0),"")</f>
        <v>Pomelo安妮</v>
      </c>
      <c r="L144" s="4">
        <f ca="1">_xlfn.IFNA(VLOOKUP(INDIRECT("G"&amp;ROW()),minfo!$A:$M,COLUMN()-8,0),"")</f>
        <v>0</v>
      </c>
      <c r="M144" s="4">
        <f ca="1">_xlfn.IFNA(VLOOKUP(INDIRECT("G"&amp;ROW()),minfo!$A:$M,COLUMN()-8,0),"")</f>
        <v>54575</v>
      </c>
      <c r="N144" s="4">
        <f ca="1">_xlfn.IFNA(VLOOKUP(INDIRECT("G"&amp;ROW()),minfo!$A:$M,COLUMN()-8,0),"")</f>
        <v>8902</v>
      </c>
      <c r="O144" s="4" t="str">
        <f ca="1">_xlfn.IFNA(VLOOKUP(INDIRECT("G"&amp;ROW()),minfo!$A:$M,COLUMN()-8,0),"")</f>
        <v>http://i0.hdslb.com/bfs/station_src/music_metadata/abd9baa925b3f956c34b35698bd85e21.jpg</v>
      </c>
      <c r="P144" s="4">
        <f ca="1">_xlfn.IFNA(VLOOKUP(INDIRECT("G"&amp;ROW()),minfo!$A:$M,COLUMN()-8,0),"")</f>
        <v>0</v>
      </c>
      <c r="Q144" s="4">
        <f ca="1">_xlfn.IFNA(VLOOKUP(INDIRECT("G"&amp;ROW()),minfo!$A:$M,COLUMN()-8,0),"")</f>
        <v>22</v>
      </c>
      <c r="R144" s="4">
        <f ca="1">_xlfn.IFNA(VLOOKUP(INDIRECT("G"&amp;ROW()),minfo!$A:$M,COLUMN()-8,0),"")</f>
        <v>0</v>
      </c>
      <c r="S144" s="4" t="str">
        <f ca="1">_xlfn.IFNA(VLOOKUP(INDIRECT("G"&amp;ROW()),minfo!$A:$M,COLUMN()-8,0),"")</f>
        <v>先生</v>
      </c>
      <c r="T144" s="4">
        <f ca="1">_xlfn.IFNA(VLOOKUP(INDIRECT("G"&amp;ROW()),minfo!$A:$M,COLUMN()-8,0),"")</f>
        <v>2354363</v>
      </c>
      <c r="U144" s="4">
        <f ca="1">_xlfn.IFNA(VLOOKUP(INDIRECT("G"&amp;ROW()),minfo!$A:$M,COLUMN()-8,0),"")</f>
        <v>0</v>
      </c>
    </row>
    <row r="145" spans="1:21" ht="15.75" customHeight="1">
      <c r="A145" s="15">
        <v>144</v>
      </c>
      <c r="B145" s="4" t="s">
        <v>3694</v>
      </c>
      <c r="C145" s="4">
        <v>145</v>
      </c>
      <c r="D145" s="4">
        <v>144</v>
      </c>
      <c r="E145" s="4" t="s">
        <v>638</v>
      </c>
      <c r="F145" s="16">
        <v>44996</v>
      </c>
      <c r="G145" s="5" t="s">
        <v>637</v>
      </c>
      <c r="H145" s="5" t="s">
        <v>3537</v>
      </c>
      <c r="I145" s="24" t="str">
        <f>HYPERLINK("https://www.bilibili.com/video/BV1ne4y1A7oM?p=144", "BV1ne4y1A7oM?p=144")</f>
        <v>BV1ne4y1A7oM?p=144</v>
      </c>
      <c r="J145" s="4" t="str">
        <f ca="1">_xlfn.IFNA(VLOOKUP(INDIRECT("G"&amp;ROW()),minfo!$A:$M,COLUMN()-8,0),"")</f>
        <v>搁浅</v>
      </c>
      <c r="K145" s="4" t="str">
        <f ca="1">_xlfn.IFNA(VLOOKUP(INDIRECT("G"&amp;ROW()),minfo!$A:$M,COLUMN()-8,0),"")</f>
        <v>周杰伦</v>
      </c>
      <c r="L145" s="4">
        <f ca="1">_xlfn.IFNA(VLOOKUP(INDIRECT("G"&amp;ROW()),minfo!$A:$M,COLUMN()-8,0),"")</f>
        <v>0</v>
      </c>
      <c r="M145" s="4">
        <f ca="1">_xlfn.IFNA(VLOOKUP(INDIRECT("G"&amp;ROW()),minfo!$A:$M,COLUMN()-8,0),"")</f>
        <v>0</v>
      </c>
      <c r="N145" s="4">
        <f ca="1">_xlfn.IFNA(VLOOKUP(INDIRECT("G"&amp;ROW()),minfo!$A:$M,COLUMN()-8,0),"")</f>
        <v>0</v>
      </c>
      <c r="O145" s="4" t="str">
        <f ca="1">_xlfn.IFNA(VLOOKUP(INDIRECT("G"&amp;ROW()),minfo!$A:$M,COLUMN()-8,0),"")</f>
        <v>https://i0.hdslb.com/bfs/station_src/music_metadata/5ea93d49aa366e4340787bbc3d63de25.jpg</v>
      </c>
      <c r="P145" s="4">
        <f ca="1">_xlfn.IFNA(VLOOKUP(INDIRECT("G"&amp;ROW()),minfo!$A:$M,COLUMN()-8,0),"")</f>
        <v>0</v>
      </c>
      <c r="Q145" s="4">
        <f ca="1">_xlfn.IFNA(VLOOKUP(INDIRECT("G"&amp;ROW()),minfo!$A:$M,COLUMN()-8,0),"")</f>
        <v>4120</v>
      </c>
      <c r="R145" s="4">
        <f ca="1">_xlfn.IFNA(VLOOKUP(INDIRECT("G"&amp;ROW()),minfo!$A:$M,COLUMN()-8,0),"")</f>
        <v>0</v>
      </c>
      <c r="S145" s="4" t="str">
        <f ca="1">_xlfn.IFNA(VLOOKUP(INDIRECT("G"&amp;ROW()),minfo!$A:$M,COLUMN()-8,0),"")</f>
        <v>七里香</v>
      </c>
      <c r="T145" s="4">
        <f ca="1">_xlfn.IFNA(VLOOKUP(INDIRECT("G"&amp;ROW()),minfo!$A:$M,COLUMN()-8,0),"")</f>
        <v>593603418</v>
      </c>
      <c r="U145" s="4">
        <f ca="1">_xlfn.IFNA(VLOOKUP(INDIRECT("G"&amp;ROW()),minfo!$A:$M,COLUMN()-8,0),"")</f>
        <v>0</v>
      </c>
    </row>
    <row r="146" spans="1:21" ht="15.75" customHeight="1">
      <c r="A146" s="15">
        <v>145</v>
      </c>
      <c r="B146" s="4" t="s">
        <v>3695</v>
      </c>
      <c r="C146" s="4">
        <v>146</v>
      </c>
      <c r="D146" s="4">
        <v>145</v>
      </c>
      <c r="E146" s="4" t="s">
        <v>568</v>
      </c>
      <c r="F146" s="16">
        <v>44996</v>
      </c>
      <c r="G146" s="5" t="s">
        <v>864</v>
      </c>
      <c r="H146" s="5" t="s">
        <v>3537</v>
      </c>
      <c r="I146" s="24" t="str">
        <f>HYPERLINK("https://www.bilibili.com/video/BV1ne4y1A7oM?p=145", "BV1ne4y1A7oM?p=145")</f>
        <v>BV1ne4y1A7oM?p=145</v>
      </c>
      <c r="J146" s="4" t="str">
        <f ca="1">_xlfn.IFNA(VLOOKUP(INDIRECT("G"&amp;ROW()),minfo!$A:$M,COLUMN()-8,0),"")</f>
        <v>乌梅子酱</v>
      </c>
      <c r="K146" s="4" t="str">
        <f ca="1">_xlfn.IFNA(VLOOKUP(INDIRECT("G"&amp;ROW()),minfo!$A:$M,COLUMN()-8,0),"")</f>
        <v>李荣浩</v>
      </c>
      <c r="L146" s="4">
        <f ca="1">_xlfn.IFNA(VLOOKUP(INDIRECT("G"&amp;ROW()),minfo!$A:$M,COLUMN()-8,0),"")</f>
        <v>0</v>
      </c>
      <c r="M146" s="4">
        <f ca="1">_xlfn.IFNA(VLOOKUP(INDIRECT("G"&amp;ROW()),minfo!$A:$M,COLUMN()-8,0),"")</f>
        <v>0</v>
      </c>
      <c r="N146" s="4">
        <f ca="1">_xlfn.IFNA(VLOOKUP(INDIRECT("G"&amp;ROW()),minfo!$A:$M,COLUMN()-8,0),"")</f>
        <v>0</v>
      </c>
      <c r="O146" s="4" t="str">
        <f ca="1">_xlfn.IFNA(VLOOKUP(INDIRECT("G"&amp;ROW()),minfo!$A:$M,COLUMN()-8,0),"")</f>
        <v>https://i0.hdslb.com/bfs/station_src/music_metadata/9ca5c7e277da8afb806c6e32ced62a88.jpg</v>
      </c>
      <c r="P146" s="4" t="str">
        <f ca="1">_xlfn.IFNA(VLOOKUP(INDIRECT("G"&amp;ROW()),minfo!$A:$M,COLUMN()-8,0),"")</f>
        <v>copyright-crawler/music/lyric/86e5dbf825b8cc46f04240eae52987ff/86e5dbf825b8cc46f04240eae52987ff.txt</v>
      </c>
      <c r="Q146" s="4">
        <f ca="1">_xlfn.IFNA(VLOOKUP(INDIRECT("G"&amp;ROW()),minfo!$A:$M,COLUMN()-8,0),"")</f>
        <v>6745</v>
      </c>
      <c r="R146" s="4">
        <f ca="1">_xlfn.IFNA(VLOOKUP(INDIRECT("G"&amp;ROW()),minfo!$A:$M,COLUMN()-8,0),"")</f>
        <v>0</v>
      </c>
      <c r="S146" s="4" t="str">
        <f ca="1">_xlfn.IFNA(VLOOKUP(INDIRECT("G"&amp;ROW()),minfo!$A:$M,COLUMN()-8,0),"")</f>
        <v>乌梅子酱</v>
      </c>
      <c r="T146" s="4">
        <f ca="1">_xlfn.IFNA(VLOOKUP(INDIRECT("G"&amp;ROW()),minfo!$A:$M,COLUMN()-8,0),"")</f>
        <v>215251902</v>
      </c>
      <c r="U146" s="4" t="str">
        <f ca="1">_xlfn.IFNA(VLOOKUP(INDIRECT("G"&amp;ROW()),minfo!$A:$M,COLUMN()-8,0),"")</f>
        <v>音乐榜最高NO.1</v>
      </c>
    </row>
    <row r="147" spans="1:21" ht="15.75" customHeight="1">
      <c r="A147" s="15">
        <v>146</v>
      </c>
      <c r="B147" s="4" t="s">
        <v>3696</v>
      </c>
      <c r="C147" s="4">
        <v>147</v>
      </c>
      <c r="D147" s="4">
        <v>146</v>
      </c>
      <c r="E147" s="4" t="s">
        <v>678</v>
      </c>
      <c r="F147" s="16">
        <v>44996</v>
      </c>
      <c r="G147" s="5" t="s">
        <v>677</v>
      </c>
      <c r="H147" s="5" t="s">
        <v>3537</v>
      </c>
      <c r="I147" s="24" t="str">
        <f>HYPERLINK("https://www.bilibili.com/video/BV1ne4y1A7oM?p=146", "BV1ne4y1A7oM?p=146")</f>
        <v>BV1ne4y1A7oM?p=146</v>
      </c>
      <c r="J147" s="4" t="str">
        <f ca="1">_xlfn.IFNA(VLOOKUP(INDIRECT("G"&amp;ROW()),minfo!$A:$M,COLUMN()-8,0),"")</f>
        <v>将故事写成我们</v>
      </c>
      <c r="K147" s="4" t="str">
        <f ca="1">_xlfn.IFNA(VLOOKUP(INDIRECT("G"&amp;ROW()),minfo!$A:$M,COLUMN()-8,0),"")</f>
        <v>林俊杰</v>
      </c>
      <c r="L147" s="4">
        <f ca="1">_xlfn.IFNA(VLOOKUP(INDIRECT("G"&amp;ROW()),minfo!$A:$M,COLUMN()-8,0),"")</f>
        <v>0</v>
      </c>
      <c r="M147" s="4">
        <f ca="1">_xlfn.IFNA(VLOOKUP(INDIRECT("G"&amp;ROW()),minfo!$A:$M,COLUMN()-8,0),"")</f>
        <v>1032</v>
      </c>
      <c r="N147" s="4">
        <f ca="1">_xlfn.IFNA(VLOOKUP(INDIRECT("G"&amp;ROW()),minfo!$A:$M,COLUMN()-8,0),"")</f>
        <v>165</v>
      </c>
      <c r="O147" s="4" t="str">
        <f ca="1">_xlfn.IFNA(VLOOKUP(INDIRECT("G"&amp;ROW()),minfo!$A:$M,COLUMN()-8,0),"")</f>
        <v>http://i0.hdslb.com/bfs/station_src/music_metadata/63fe00af138c363552e6aff10baba93e.jpg</v>
      </c>
      <c r="P147" s="4" t="str">
        <f ca="1">_xlfn.IFNA(VLOOKUP(INDIRECT("G"&amp;ROW()),minfo!$A:$M,COLUMN()-8,0),"")</f>
        <v>http://i0.hdslb.com/bfs/station_src/music_metadata/2c6ada3c80c79f0dd8b56da48df1f4ad</v>
      </c>
      <c r="Q147" s="4">
        <f ca="1">_xlfn.IFNA(VLOOKUP(INDIRECT("G"&amp;ROW()),minfo!$A:$M,COLUMN()-8,0),"")</f>
        <v>138</v>
      </c>
      <c r="R147" s="4">
        <f ca="1">_xlfn.IFNA(VLOOKUP(INDIRECT("G"&amp;ROW()),minfo!$A:$M,COLUMN()-8,0),"")</f>
        <v>0</v>
      </c>
      <c r="S147" s="4" t="str">
        <f ca="1">_xlfn.IFNA(VLOOKUP(INDIRECT("G"&amp;ROW()),minfo!$A:$M,COLUMN()-8,0),"")</f>
        <v>将故事写成我们</v>
      </c>
      <c r="T147" s="4">
        <f ca="1">_xlfn.IFNA(VLOOKUP(INDIRECT("G"&amp;ROW()),minfo!$A:$M,COLUMN()-8,0),"")</f>
        <v>64920351</v>
      </c>
      <c r="U147" s="4">
        <f ca="1">_xlfn.IFNA(VLOOKUP(INDIRECT("G"&amp;ROW()),minfo!$A:$M,COLUMN()-8,0),"")</f>
        <v>0</v>
      </c>
    </row>
    <row r="148" spans="1:21" ht="15.75" customHeight="1">
      <c r="A148" s="15">
        <v>147</v>
      </c>
      <c r="B148" s="4" t="s">
        <v>3697</v>
      </c>
      <c r="C148" s="4">
        <v>148</v>
      </c>
      <c r="D148" s="4">
        <v>147</v>
      </c>
      <c r="E148" s="4" t="s">
        <v>683</v>
      </c>
      <c r="F148" s="16">
        <v>44996</v>
      </c>
      <c r="G148" s="5" t="s">
        <v>682</v>
      </c>
      <c r="H148" s="5" t="s">
        <v>3537</v>
      </c>
      <c r="I148" s="24" t="str">
        <f>HYPERLINK("https://www.bilibili.com/video/BV1ne4y1A7oM?p=147", "BV1ne4y1A7oM?p=147")</f>
        <v>BV1ne4y1A7oM?p=147</v>
      </c>
      <c r="J148" s="4" t="str">
        <f ca="1">_xlfn.IFNA(VLOOKUP(INDIRECT("G"&amp;ROW()),minfo!$A:$M,COLUMN()-8,0),"")</f>
        <v>翅膀</v>
      </c>
      <c r="K148" s="4" t="str">
        <f ca="1">_xlfn.IFNA(VLOOKUP(INDIRECT("G"&amp;ROW()),minfo!$A:$M,COLUMN()-8,0),"")</f>
        <v>林俊杰</v>
      </c>
      <c r="L148" s="4">
        <f ca="1">_xlfn.IFNA(VLOOKUP(INDIRECT("G"&amp;ROW()),minfo!$A:$M,COLUMN()-8,0),"")</f>
        <v>0</v>
      </c>
      <c r="M148" s="4">
        <f ca="1">_xlfn.IFNA(VLOOKUP(INDIRECT("G"&amp;ROW()),minfo!$A:$M,COLUMN()-8,0),"")</f>
        <v>0</v>
      </c>
      <c r="N148" s="4">
        <f ca="1">_xlfn.IFNA(VLOOKUP(INDIRECT("G"&amp;ROW()),minfo!$A:$M,COLUMN()-8,0),"")</f>
        <v>0</v>
      </c>
      <c r="O148" s="4" t="str">
        <f ca="1">_xlfn.IFNA(VLOOKUP(INDIRECT("G"&amp;ROW()),minfo!$A:$M,COLUMN()-8,0),"")</f>
        <v>https://i0.hdslb.com/bfs/station_src/music_metadata/21d90da3561f5ecc4b0febfb44a261f8.jpg</v>
      </c>
      <c r="P148" s="4" t="str">
        <f ca="1">_xlfn.IFNA(VLOOKUP(INDIRECT("G"&amp;ROW()),minfo!$A:$M,COLUMN()-8,0),"")</f>
        <v>https://i0.hdslb.com/bfs/station_src/music_metadata/73f8a18239ae15d29ce08c084ba9ba98.txt</v>
      </c>
      <c r="Q148" s="4">
        <f ca="1">_xlfn.IFNA(VLOOKUP(INDIRECT("G"&amp;ROW()),minfo!$A:$M,COLUMN()-8,0),"")</f>
        <v>17</v>
      </c>
      <c r="R148" s="4">
        <f ca="1">_xlfn.IFNA(VLOOKUP(INDIRECT("G"&amp;ROW()),minfo!$A:$M,COLUMN()-8,0),"")</f>
        <v>0</v>
      </c>
      <c r="S148" s="4" t="str">
        <f ca="1">_xlfn.IFNA(VLOOKUP(INDIRECT("G"&amp;ROW()),minfo!$A:$M,COLUMN()-8,0),"")</f>
        <v>乐行者</v>
      </c>
      <c r="T148" s="4">
        <f ca="1">_xlfn.IFNA(VLOOKUP(INDIRECT("G"&amp;ROW()),minfo!$A:$M,COLUMN()-8,0),"")</f>
        <v>30870161</v>
      </c>
      <c r="U148" s="4">
        <f ca="1">_xlfn.IFNA(VLOOKUP(INDIRECT("G"&amp;ROW()),minfo!$A:$M,COLUMN()-8,0),"")</f>
        <v>0</v>
      </c>
    </row>
    <row r="149" spans="1:21" ht="15.75" customHeight="1">
      <c r="A149" s="15">
        <v>148</v>
      </c>
      <c r="B149" s="4" t="s">
        <v>3698</v>
      </c>
      <c r="C149" s="4">
        <v>149</v>
      </c>
      <c r="D149" s="4">
        <v>148</v>
      </c>
      <c r="E149" s="4" t="s">
        <v>688</v>
      </c>
      <c r="F149" s="16">
        <v>44996</v>
      </c>
      <c r="G149" s="5" t="s">
        <v>687</v>
      </c>
      <c r="H149" s="5" t="s">
        <v>3537</v>
      </c>
      <c r="I149" s="24" t="str">
        <f>HYPERLINK("https://www.bilibili.com/video/BV1ne4y1A7oM?p=148", "BV1ne4y1A7oM?p=148")</f>
        <v>BV1ne4y1A7oM?p=148</v>
      </c>
      <c r="J149" s="4" t="str">
        <f ca="1">_xlfn.IFNA(VLOOKUP(INDIRECT("G"&amp;ROW()),minfo!$A:$M,COLUMN()-8,0),"")</f>
        <v>关键词</v>
      </c>
      <c r="K149" s="4" t="str">
        <f ca="1">_xlfn.IFNA(VLOOKUP(INDIRECT("G"&amp;ROW()),minfo!$A:$M,COLUMN()-8,0),"")</f>
        <v>林俊杰</v>
      </c>
      <c r="L149" s="4">
        <f ca="1">_xlfn.IFNA(VLOOKUP(INDIRECT("G"&amp;ROW()),minfo!$A:$M,COLUMN()-8,0),"")</f>
        <v>0</v>
      </c>
      <c r="M149" s="4">
        <f ca="1">_xlfn.IFNA(VLOOKUP(INDIRECT("G"&amp;ROW()),minfo!$A:$M,COLUMN()-8,0),"")</f>
        <v>314</v>
      </c>
      <c r="N149" s="4">
        <f ca="1">_xlfn.IFNA(VLOOKUP(INDIRECT("G"&amp;ROW()),minfo!$A:$M,COLUMN()-8,0),"")</f>
        <v>49</v>
      </c>
      <c r="O149" s="4" t="str">
        <f ca="1">_xlfn.IFNA(VLOOKUP(INDIRECT("G"&amp;ROW()),minfo!$A:$M,COLUMN()-8,0),"")</f>
        <v>http://i0.hdslb.com/bfs/station_src/music_metadata/2a51c18f069a58269fc8cde88e0fb107.jpg</v>
      </c>
      <c r="P149" s="4" t="str">
        <f ca="1">_xlfn.IFNA(VLOOKUP(INDIRECT("G"&amp;ROW()),minfo!$A:$M,COLUMN()-8,0),"")</f>
        <v>http://i0.hdslb.com/bfs/station_src/music_metadata/b66ef916b6cf54b30ab6d5ba87db00fd</v>
      </c>
      <c r="Q149" s="4">
        <f ca="1">_xlfn.IFNA(VLOOKUP(INDIRECT("G"&amp;ROW()),minfo!$A:$M,COLUMN()-8,0),"")</f>
        <v>765</v>
      </c>
      <c r="R149" s="4">
        <f ca="1">_xlfn.IFNA(VLOOKUP(INDIRECT("G"&amp;ROW()),minfo!$A:$M,COLUMN()-8,0),"")</f>
        <v>0</v>
      </c>
      <c r="S149" s="4" t="str">
        <f ca="1">_xlfn.IFNA(VLOOKUP(INDIRECT("G"&amp;ROW()),minfo!$A:$M,COLUMN()-8,0),"")</f>
        <v>和自己对话 From M.E. To Myself</v>
      </c>
      <c r="T149" s="4">
        <f ca="1">_xlfn.IFNA(VLOOKUP(INDIRECT("G"&amp;ROW()),minfo!$A:$M,COLUMN()-8,0),"")</f>
        <v>287090873</v>
      </c>
      <c r="U149" s="4">
        <f ca="1">_xlfn.IFNA(VLOOKUP(INDIRECT("G"&amp;ROW()),minfo!$A:$M,COLUMN()-8,0),"")</f>
        <v>0</v>
      </c>
    </row>
    <row r="150" spans="1:21" ht="15.75" customHeight="1">
      <c r="A150" s="15">
        <v>149</v>
      </c>
      <c r="B150" s="4" t="s">
        <v>3699</v>
      </c>
      <c r="C150" s="4">
        <v>150</v>
      </c>
      <c r="D150" s="4">
        <v>149</v>
      </c>
      <c r="E150" s="4" t="s">
        <v>693</v>
      </c>
      <c r="F150" s="16">
        <v>44996</v>
      </c>
      <c r="G150" s="5" t="s">
        <v>692</v>
      </c>
      <c r="H150" s="5" t="s">
        <v>3537</v>
      </c>
      <c r="I150" s="24" t="str">
        <f>HYPERLINK("https://www.bilibili.com/video/BV1ne4y1A7oM?p=149", "BV1ne4y1A7oM?p=149")</f>
        <v>BV1ne4y1A7oM?p=149</v>
      </c>
      <c r="J150" s="4" t="str">
        <f ca="1">_xlfn.IFNA(VLOOKUP(INDIRECT("G"&amp;ROW()),minfo!$A:$M,COLUMN()-8,0),"")</f>
        <v>爱情悬崖</v>
      </c>
      <c r="K150" s="4" t="str">
        <f ca="1">_xlfn.IFNA(VLOOKUP(INDIRECT("G"&amp;ROW()),minfo!$A:$M,COLUMN()-8,0),"")</f>
        <v>周杰伦</v>
      </c>
      <c r="L150" s="4">
        <f ca="1">_xlfn.IFNA(VLOOKUP(INDIRECT("G"&amp;ROW()),minfo!$A:$M,COLUMN()-8,0),"")</f>
        <v>0</v>
      </c>
      <c r="M150" s="4">
        <f ca="1">_xlfn.IFNA(VLOOKUP(INDIRECT("G"&amp;ROW()),minfo!$A:$M,COLUMN()-8,0),"")</f>
        <v>0</v>
      </c>
      <c r="N150" s="4">
        <f ca="1">_xlfn.IFNA(VLOOKUP(INDIRECT("G"&amp;ROW()),minfo!$A:$M,COLUMN()-8,0),"")</f>
        <v>0</v>
      </c>
      <c r="O150" s="4" t="str">
        <f ca="1">_xlfn.IFNA(VLOOKUP(INDIRECT("G"&amp;ROW()),minfo!$A:$M,COLUMN()-8,0),"")</f>
        <v>https://i0.hdslb.com/bfs/station_src/music_metadata/09deb9d4f4775eb43172424de93829e1.jpg</v>
      </c>
      <c r="P150" s="4">
        <f ca="1">_xlfn.IFNA(VLOOKUP(INDIRECT("G"&amp;ROW()),minfo!$A:$M,COLUMN()-8,0),"")</f>
        <v>0</v>
      </c>
      <c r="Q150" s="4">
        <f ca="1">_xlfn.IFNA(VLOOKUP(INDIRECT("G"&amp;ROW()),minfo!$A:$M,COLUMN()-8,0),"")</f>
        <v>265</v>
      </c>
      <c r="R150" s="4">
        <f ca="1">_xlfn.IFNA(VLOOKUP(INDIRECT("G"&amp;ROW()),minfo!$A:$M,COLUMN()-8,0),"")</f>
        <v>0</v>
      </c>
      <c r="S150" s="4" t="str">
        <f ca="1">_xlfn.IFNA(VLOOKUP(INDIRECT("G"&amp;ROW()),minfo!$A:$M,COLUMN()-8,0),"")</f>
        <v>叶惠美</v>
      </c>
      <c r="T150" s="4">
        <f ca="1">_xlfn.IFNA(VLOOKUP(INDIRECT("G"&amp;ROW()),minfo!$A:$M,COLUMN()-8,0),"")</f>
        <v>186750231</v>
      </c>
      <c r="U150" s="4">
        <f ca="1">_xlfn.IFNA(VLOOKUP(INDIRECT("G"&amp;ROW()),minfo!$A:$M,COLUMN()-8,0),"")</f>
        <v>0</v>
      </c>
    </row>
    <row r="151" spans="1:21" ht="15.75" customHeight="1">
      <c r="A151" s="15">
        <v>150</v>
      </c>
      <c r="B151" s="4" t="s">
        <v>3700</v>
      </c>
      <c r="C151" s="4">
        <v>151</v>
      </c>
      <c r="D151" s="4">
        <v>150</v>
      </c>
      <c r="E151" s="4" t="s">
        <v>642</v>
      </c>
      <c r="F151" s="16">
        <v>44996</v>
      </c>
      <c r="G151" s="5" t="s">
        <v>641</v>
      </c>
      <c r="H151" s="5" t="s">
        <v>3537</v>
      </c>
      <c r="I151" s="24" t="str">
        <f>HYPERLINK("https://www.bilibili.com/video/BV1ne4y1A7oM?p=150", "BV1ne4y1A7oM?p=150")</f>
        <v>BV1ne4y1A7oM?p=150</v>
      </c>
      <c r="J151" s="4" t="str">
        <f ca="1">_xlfn.IFNA(VLOOKUP(INDIRECT("G"&amp;ROW()),minfo!$A:$M,COLUMN()-8,0),"")</f>
        <v>左边</v>
      </c>
      <c r="K151" s="4" t="str">
        <f ca="1">_xlfn.IFNA(VLOOKUP(INDIRECT("G"&amp;ROW()),minfo!$A:$M,COLUMN()-8,0),"")</f>
        <v>杨丞琳</v>
      </c>
      <c r="L151" s="4">
        <f ca="1">_xlfn.IFNA(VLOOKUP(INDIRECT("G"&amp;ROW()),minfo!$A:$M,COLUMN()-8,0),"")</f>
        <v>0</v>
      </c>
      <c r="M151" s="4">
        <f ca="1">_xlfn.IFNA(VLOOKUP(INDIRECT("G"&amp;ROW()),minfo!$A:$M,COLUMN()-8,0),"")</f>
        <v>0</v>
      </c>
      <c r="N151" s="4">
        <f ca="1">_xlfn.IFNA(VLOOKUP(INDIRECT("G"&amp;ROW()),minfo!$A:$M,COLUMN()-8,0),"")</f>
        <v>0</v>
      </c>
      <c r="O151" s="4" t="str">
        <f ca="1">_xlfn.IFNA(VLOOKUP(INDIRECT("G"&amp;ROW()),minfo!$A:$M,COLUMN()-8,0),"")</f>
        <v>https://i0.hdslb.com/bfs/station_src/music_metadata/0606c553b019d6955e7932dfd839f28c.jpg</v>
      </c>
      <c r="P151" s="4" t="str">
        <f ca="1">_xlfn.IFNA(VLOOKUP(INDIRECT("G"&amp;ROW()),minfo!$A:$M,COLUMN()-8,0),"")</f>
        <v>http://i0.hdslb.com/bfs/station_src/music_metadata/b2bbd1cc5e237296e0cf70a277cd471c</v>
      </c>
      <c r="Q151" s="4">
        <f ca="1">_xlfn.IFNA(VLOOKUP(INDIRECT("G"&amp;ROW()),minfo!$A:$M,COLUMN()-8,0),"")</f>
        <v>44</v>
      </c>
      <c r="R151" s="4" t="str">
        <f ca="1">_xlfn.IFNA(VLOOKUP(INDIRECT("G"&amp;ROW()),minfo!$A:$M,COLUMN()-8,0),"")</f>
        <v>电视剧《奋斗》插曲</v>
      </c>
      <c r="S151" s="4" t="str">
        <f ca="1">_xlfn.IFNA(VLOOKUP(INDIRECT("G"&amp;ROW()),minfo!$A:$M,COLUMN()-8,0),"")</f>
        <v>遇上爱</v>
      </c>
      <c r="T151" s="4">
        <f ca="1">_xlfn.IFNA(VLOOKUP(INDIRECT("G"&amp;ROW()),minfo!$A:$M,COLUMN()-8,0),"")</f>
        <v>28182657</v>
      </c>
      <c r="U151" s="4">
        <f ca="1">_xlfn.IFNA(VLOOKUP(INDIRECT("G"&amp;ROW()),minfo!$A:$M,COLUMN()-8,0),"")</f>
        <v>0</v>
      </c>
    </row>
    <row r="152" spans="1:21" ht="15.75" customHeight="1">
      <c r="A152" s="15">
        <v>151</v>
      </c>
      <c r="B152" s="4" t="s">
        <v>3701</v>
      </c>
      <c r="C152" s="4">
        <v>152</v>
      </c>
      <c r="D152" s="4">
        <v>151</v>
      </c>
      <c r="E152" s="4" t="s">
        <v>696</v>
      </c>
      <c r="F152" s="16">
        <v>44996</v>
      </c>
      <c r="G152" s="5" t="s">
        <v>695</v>
      </c>
      <c r="H152" s="5" t="s">
        <v>3537</v>
      </c>
      <c r="I152" s="24" t="str">
        <f>HYPERLINK("https://www.bilibili.com/video/BV1ne4y1A7oM?p=151", "BV1ne4y1A7oM?p=151")</f>
        <v>BV1ne4y1A7oM?p=151</v>
      </c>
      <c r="J152" s="4" t="str">
        <f ca="1">_xlfn.IFNA(VLOOKUP(INDIRECT("G"&amp;ROW()),minfo!$A:$M,COLUMN()-8,0),"")</f>
        <v>分身</v>
      </c>
      <c r="K152" s="4" t="str">
        <f ca="1">_xlfn.IFNA(VLOOKUP(INDIRECT("G"&amp;ROW()),minfo!$A:$M,COLUMN()-8,0),"")</f>
        <v>单依纯</v>
      </c>
      <c r="L152" s="4">
        <f ca="1">_xlfn.IFNA(VLOOKUP(INDIRECT("G"&amp;ROW()),minfo!$A:$M,COLUMN()-8,0),"")</f>
        <v>0</v>
      </c>
      <c r="M152" s="4">
        <f ca="1">_xlfn.IFNA(VLOOKUP(INDIRECT("G"&amp;ROW()),minfo!$A:$M,COLUMN()-8,0),"")</f>
        <v>0</v>
      </c>
      <c r="N152" s="4">
        <f ca="1">_xlfn.IFNA(VLOOKUP(INDIRECT("G"&amp;ROW()),minfo!$A:$M,COLUMN()-8,0),"")</f>
        <v>0</v>
      </c>
      <c r="O152" s="4" t="str">
        <f ca="1">_xlfn.IFNA(VLOOKUP(INDIRECT("G"&amp;ROW()),minfo!$A:$M,COLUMN()-8,0),"")</f>
        <v>http://i0.hdslb.com/bfs/station_src/music_metadata/0fd80cf4360670d154b7c8c64ae7abde.jpg</v>
      </c>
      <c r="P152" s="4">
        <f ca="1">_xlfn.IFNA(VLOOKUP(INDIRECT("G"&amp;ROW()),minfo!$A:$M,COLUMN()-8,0),"")</f>
        <v>0</v>
      </c>
      <c r="Q152" s="4">
        <f ca="1">_xlfn.IFNA(VLOOKUP(INDIRECT("G"&amp;ROW()),minfo!$A:$M,COLUMN()-8,0),"")</f>
        <v>13</v>
      </c>
      <c r="R152" s="4">
        <f ca="1">_xlfn.IFNA(VLOOKUP(INDIRECT("G"&amp;ROW()),minfo!$A:$M,COLUMN()-8,0),"")</f>
        <v>0</v>
      </c>
      <c r="S152" s="4" t="str">
        <f ca="1">_xlfn.IFNA(VLOOKUP(INDIRECT("G"&amp;ROW()),minfo!$A:$M,COLUMN()-8,0),"")</f>
        <v>分身</v>
      </c>
      <c r="T152" s="4">
        <f ca="1">_xlfn.IFNA(VLOOKUP(INDIRECT("G"&amp;ROW()),minfo!$A:$M,COLUMN()-8,0),"")</f>
        <v>3245965</v>
      </c>
      <c r="U152" s="4">
        <f ca="1">_xlfn.IFNA(VLOOKUP(INDIRECT("G"&amp;ROW()),minfo!$A:$M,COLUMN()-8,0),"")</f>
        <v>0</v>
      </c>
    </row>
    <row r="153" spans="1:21" ht="15.75" customHeight="1">
      <c r="A153" s="15">
        <v>152</v>
      </c>
      <c r="B153" s="4" t="s">
        <v>3702</v>
      </c>
      <c r="C153" s="4">
        <v>153</v>
      </c>
      <c r="D153" s="4">
        <v>152</v>
      </c>
      <c r="E153" s="4" t="s">
        <v>696</v>
      </c>
      <c r="F153" s="16">
        <v>44996</v>
      </c>
      <c r="G153" s="5" t="s">
        <v>695</v>
      </c>
      <c r="H153" s="5" t="s">
        <v>3537</v>
      </c>
      <c r="I153" s="24" t="str">
        <f>HYPERLINK("https://www.bilibili.com/video/BV1ne4y1A7oM?p=152", "BV1ne4y1A7oM?p=152")</f>
        <v>BV1ne4y1A7oM?p=152</v>
      </c>
      <c r="J153" s="4" t="str">
        <f ca="1">_xlfn.IFNA(VLOOKUP(INDIRECT("G"&amp;ROW()),minfo!$A:$M,COLUMN()-8,0),"")</f>
        <v>分身</v>
      </c>
      <c r="K153" s="4" t="str">
        <f ca="1">_xlfn.IFNA(VLOOKUP(INDIRECT("G"&amp;ROW()),minfo!$A:$M,COLUMN()-8,0),"")</f>
        <v>单依纯</v>
      </c>
      <c r="L153" s="4">
        <f ca="1">_xlfn.IFNA(VLOOKUP(INDIRECT("G"&amp;ROW()),minfo!$A:$M,COLUMN()-8,0),"")</f>
        <v>0</v>
      </c>
      <c r="M153" s="4">
        <f ca="1">_xlfn.IFNA(VLOOKUP(INDIRECT("G"&amp;ROW()),minfo!$A:$M,COLUMN()-8,0),"")</f>
        <v>0</v>
      </c>
      <c r="N153" s="4">
        <f ca="1">_xlfn.IFNA(VLOOKUP(INDIRECT("G"&amp;ROW()),minfo!$A:$M,COLUMN()-8,0),"")</f>
        <v>0</v>
      </c>
      <c r="O153" s="4" t="str">
        <f ca="1">_xlfn.IFNA(VLOOKUP(INDIRECT("G"&amp;ROW()),minfo!$A:$M,COLUMN()-8,0),"")</f>
        <v>http://i0.hdslb.com/bfs/station_src/music_metadata/0fd80cf4360670d154b7c8c64ae7abde.jpg</v>
      </c>
      <c r="P153" s="4">
        <f ca="1">_xlfn.IFNA(VLOOKUP(INDIRECT("G"&amp;ROW()),minfo!$A:$M,COLUMN()-8,0),"")</f>
        <v>0</v>
      </c>
      <c r="Q153" s="4">
        <f ca="1">_xlfn.IFNA(VLOOKUP(INDIRECT("G"&amp;ROW()),minfo!$A:$M,COLUMN()-8,0),"")</f>
        <v>13</v>
      </c>
      <c r="R153" s="4">
        <f ca="1">_xlfn.IFNA(VLOOKUP(INDIRECT("G"&amp;ROW()),minfo!$A:$M,COLUMN()-8,0),"")</f>
        <v>0</v>
      </c>
      <c r="S153" s="4" t="str">
        <f ca="1">_xlfn.IFNA(VLOOKUP(INDIRECT("G"&amp;ROW()),minfo!$A:$M,COLUMN()-8,0),"")</f>
        <v>分身</v>
      </c>
      <c r="T153" s="4">
        <f ca="1">_xlfn.IFNA(VLOOKUP(INDIRECT("G"&amp;ROW()),minfo!$A:$M,COLUMN()-8,0),"")</f>
        <v>3245965</v>
      </c>
      <c r="U153" s="4">
        <f ca="1">_xlfn.IFNA(VLOOKUP(INDIRECT("G"&amp;ROW()),minfo!$A:$M,COLUMN()-8,0),"")</f>
        <v>0</v>
      </c>
    </row>
    <row r="154" spans="1:21" ht="15.75" customHeight="1">
      <c r="A154" s="15">
        <v>153</v>
      </c>
      <c r="B154" s="4" t="s">
        <v>3703</v>
      </c>
      <c r="C154" s="4">
        <v>154</v>
      </c>
      <c r="D154" s="4">
        <v>153</v>
      </c>
      <c r="E154" s="4" t="s">
        <v>3704</v>
      </c>
      <c r="F154" s="16">
        <v>44996</v>
      </c>
      <c r="G154" s="5" t="s">
        <v>695</v>
      </c>
      <c r="H154" s="5" t="s">
        <v>3537</v>
      </c>
      <c r="I154" s="24" t="str">
        <f>HYPERLINK("https://www.bilibili.com/video/BV1ne4y1A7oM?p=153", "BV1ne4y1A7oM?p=153")</f>
        <v>BV1ne4y1A7oM?p=153</v>
      </c>
      <c r="J154" s="4" t="str">
        <f ca="1">_xlfn.IFNA(VLOOKUP(INDIRECT("G"&amp;ROW()),minfo!$A:$M,COLUMN()-8,0),"")</f>
        <v>分身</v>
      </c>
      <c r="K154" s="4" t="str">
        <f ca="1">_xlfn.IFNA(VLOOKUP(INDIRECT("G"&amp;ROW()),minfo!$A:$M,COLUMN()-8,0),"")</f>
        <v>单依纯</v>
      </c>
      <c r="L154" s="4">
        <f ca="1">_xlfn.IFNA(VLOOKUP(INDIRECT("G"&amp;ROW()),minfo!$A:$M,COLUMN()-8,0),"")</f>
        <v>0</v>
      </c>
      <c r="M154" s="4">
        <f ca="1">_xlfn.IFNA(VLOOKUP(INDIRECT("G"&amp;ROW()),minfo!$A:$M,COLUMN()-8,0),"")</f>
        <v>0</v>
      </c>
      <c r="N154" s="4">
        <f ca="1">_xlfn.IFNA(VLOOKUP(INDIRECT("G"&amp;ROW()),minfo!$A:$M,COLUMN()-8,0),"")</f>
        <v>0</v>
      </c>
      <c r="O154" s="4" t="str">
        <f ca="1">_xlfn.IFNA(VLOOKUP(INDIRECT("G"&amp;ROW()),minfo!$A:$M,COLUMN()-8,0),"")</f>
        <v>http://i0.hdslb.com/bfs/station_src/music_metadata/0fd80cf4360670d154b7c8c64ae7abde.jpg</v>
      </c>
      <c r="P154" s="4">
        <f ca="1">_xlfn.IFNA(VLOOKUP(INDIRECT("G"&amp;ROW()),minfo!$A:$M,COLUMN()-8,0),"")</f>
        <v>0</v>
      </c>
      <c r="Q154" s="4">
        <f ca="1">_xlfn.IFNA(VLOOKUP(INDIRECT("G"&amp;ROW()),minfo!$A:$M,COLUMN()-8,0),"")</f>
        <v>13</v>
      </c>
      <c r="R154" s="4">
        <f ca="1">_xlfn.IFNA(VLOOKUP(INDIRECT("G"&amp;ROW()),minfo!$A:$M,COLUMN()-8,0),"")</f>
        <v>0</v>
      </c>
      <c r="S154" s="4" t="str">
        <f ca="1">_xlfn.IFNA(VLOOKUP(INDIRECT("G"&amp;ROW()),minfo!$A:$M,COLUMN()-8,0),"")</f>
        <v>分身</v>
      </c>
      <c r="T154" s="4">
        <f ca="1">_xlfn.IFNA(VLOOKUP(INDIRECT("G"&amp;ROW()),minfo!$A:$M,COLUMN()-8,0),"")</f>
        <v>3245965</v>
      </c>
      <c r="U154" s="4">
        <f ca="1">_xlfn.IFNA(VLOOKUP(INDIRECT("G"&amp;ROW()),minfo!$A:$M,COLUMN()-8,0),"")</f>
        <v>0</v>
      </c>
    </row>
    <row r="155" spans="1:21" ht="15.75" customHeight="1">
      <c r="A155" s="15">
        <v>154</v>
      </c>
      <c r="B155" s="4" t="s">
        <v>3705</v>
      </c>
      <c r="C155" s="4">
        <v>155</v>
      </c>
      <c r="D155" s="4">
        <v>154</v>
      </c>
      <c r="E155" s="4" t="s">
        <v>546</v>
      </c>
      <c r="F155" s="16">
        <v>44996</v>
      </c>
      <c r="G155" s="5" t="s">
        <v>545</v>
      </c>
      <c r="H155" s="5" t="s">
        <v>3537</v>
      </c>
      <c r="I155" s="24" t="str">
        <f>HYPERLINK("https://www.bilibili.com/video/BV1ne4y1A7oM?p=154", "BV1ne4y1A7oM?p=154")</f>
        <v>BV1ne4y1A7oM?p=154</v>
      </c>
      <c r="J155" s="4" t="str">
        <f ca="1">_xlfn.IFNA(VLOOKUP(INDIRECT("G"&amp;ROW()),minfo!$A:$M,COLUMN()-8,0),"")</f>
        <v>阿楚姑娘</v>
      </c>
      <c r="K155" s="4" t="str">
        <f ca="1">_xlfn.IFNA(VLOOKUP(INDIRECT("G"&amp;ROW()),minfo!$A:$M,COLUMN()-8,0),"")</f>
        <v>袁娅维TIA RAY</v>
      </c>
      <c r="L155" s="4">
        <f ca="1">_xlfn.IFNA(VLOOKUP(INDIRECT("G"&amp;ROW()),minfo!$A:$M,COLUMN()-8,0),"")</f>
        <v>0</v>
      </c>
      <c r="M155" s="4">
        <f ca="1">_xlfn.IFNA(VLOOKUP(INDIRECT("G"&amp;ROW()),minfo!$A:$M,COLUMN()-8,0),"")</f>
        <v>0</v>
      </c>
      <c r="N155" s="4">
        <f ca="1">_xlfn.IFNA(VLOOKUP(INDIRECT("G"&amp;ROW()),minfo!$A:$M,COLUMN()-8,0),"")</f>
        <v>0</v>
      </c>
      <c r="O155" s="4" t="str">
        <f ca="1">_xlfn.IFNA(VLOOKUP(INDIRECT("G"&amp;ROW()),minfo!$A:$M,COLUMN()-8,0),"")</f>
        <v>http://i0.hdslb.com/bfs/station_src/music_metadata/490252348b1df68e4145357b5fc3aad5.jpg</v>
      </c>
      <c r="P155" s="4" t="str">
        <f ca="1">_xlfn.IFNA(VLOOKUP(INDIRECT("G"&amp;ROW()),minfo!$A:$M,COLUMN()-8,0),"")</f>
        <v>http://i0.hdslb.com/bfs/station_src/music_metadata/03c91235e156d3e1f46836f93beeb9f7</v>
      </c>
      <c r="Q155" s="4">
        <f ca="1">_xlfn.IFNA(VLOOKUP(INDIRECT("G"&amp;ROW()),minfo!$A:$M,COLUMN()-8,0),"")</f>
        <v>139</v>
      </c>
      <c r="R155" s="4">
        <f ca="1">_xlfn.IFNA(VLOOKUP(INDIRECT("G"&amp;ROW()),minfo!$A:$M,COLUMN()-8,0),"")</f>
        <v>0</v>
      </c>
      <c r="S155" s="4" t="str">
        <f ca="1">_xlfn.IFNA(VLOOKUP(INDIRECT("G"&amp;ROW()),minfo!$A:$M,COLUMN()-8,0),"")</f>
        <v>阿楚姑娘</v>
      </c>
      <c r="T155" s="4">
        <f ca="1">_xlfn.IFNA(VLOOKUP(INDIRECT("G"&amp;ROW()),minfo!$A:$M,COLUMN()-8,0),"")</f>
        <v>27303668</v>
      </c>
      <c r="U155" s="4">
        <f ca="1">_xlfn.IFNA(VLOOKUP(INDIRECT("G"&amp;ROW()),minfo!$A:$M,COLUMN()-8,0),"")</f>
        <v>0</v>
      </c>
    </row>
    <row r="156" spans="1:21" ht="15.75" customHeight="1">
      <c r="A156" s="15">
        <v>155</v>
      </c>
      <c r="B156" s="4" t="s">
        <v>3706</v>
      </c>
      <c r="C156" s="4">
        <v>156</v>
      </c>
      <c r="D156" s="4">
        <v>155</v>
      </c>
      <c r="E156" s="4" t="s">
        <v>699</v>
      </c>
      <c r="F156" s="16">
        <v>44996</v>
      </c>
      <c r="G156" s="5" t="s">
        <v>698</v>
      </c>
      <c r="H156" s="5" t="s">
        <v>3537</v>
      </c>
      <c r="I156" s="24" t="str">
        <f>HYPERLINK("https://www.bilibili.com/video/BV1ne4y1A7oM?p=155", "BV1ne4y1A7oM?p=155")</f>
        <v>BV1ne4y1A7oM?p=155</v>
      </c>
      <c r="J156" s="4" t="str">
        <f ca="1">_xlfn.IFNA(VLOOKUP(INDIRECT("G"&amp;ROW()),minfo!$A:$M,COLUMN()-8,0),"")</f>
        <v>凄美地</v>
      </c>
      <c r="K156" s="4" t="str">
        <f ca="1">_xlfn.IFNA(VLOOKUP(INDIRECT("G"&amp;ROW()),minfo!$A:$M,COLUMN()-8,0),"")</f>
        <v>郭顶</v>
      </c>
      <c r="L156" s="4">
        <f ca="1">_xlfn.IFNA(VLOOKUP(INDIRECT("G"&amp;ROW()),minfo!$A:$M,COLUMN()-8,0),"")</f>
        <v>0</v>
      </c>
      <c r="M156" s="4">
        <f ca="1">_xlfn.IFNA(VLOOKUP(INDIRECT("G"&amp;ROW()),minfo!$A:$M,COLUMN()-8,0),"")</f>
        <v>100657</v>
      </c>
      <c r="N156" s="4">
        <f ca="1">_xlfn.IFNA(VLOOKUP(INDIRECT("G"&amp;ROW()),minfo!$A:$M,COLUMN()-8,0),"")</f>
        <v>21121</v>
      </c>
      <c r="O156" s="4" t="str">
        <f ca="1">_xlfn.IFNA(VLOOKUP(INDIRECT("G"&amp;ROW()),minfo!$A:$M,COLUMN()-8,0),"")</f>
        <v>http://i0.hdslb.com/bfs/station_src/music_metadata/45c66fceda09e6bb1431d0bd2b04b2d9.jpg</v>
      </c>
      <c r="P156" s="4" t="str">
        <f ca="1">_xlfn.IFNA(VLOOKUP(INDIRECT("G"&amp;ROW()),minfo!$A:$M,COLUMN()-8,0),"")</f>
        <v>http://i0.hdslb.com/bfs/station_src/music_metadata/62c3f56521310cc5f6b88b48093213b2</v>
      </c>
      <c r="Q156" s="4">
        <f ca="1">_xlfn.IFNA(VLOOKUP(INDIRECT("G"&amp;ROW()),minfo!$A:$M,COLUMN()-8,0),"")</f>
        <v>18948</v>
      </c>
      <c r="R156" s="4">
        <f ca="1">_xlfn.IFNA(VLOOKUP(INDIRECT("G"&amp;ROW()),minfo!$A:$M,COLUMN()-8,0),"")</f>
        <v>0</v>
      </c>
      <c r="S156" s="4" t="str">
        <f ca="1">_xlfn.IFNA(VLOOKUP(INDIRECT("G"&amp;ROW()),minfo!$A:$M,COLUMN()-8,0),"")</f>
        <v>飞行器的执行周期</v>
      </c>
      <c r="T156" s="4">
        <f ca="1">_xlfn.IFNA(VLOOKUP(INDIRECT("G"&amp;ROW()),minfo!$A:$M,COLUMN()-8,0),"")</f>
        <v>1973644689</v>
      </c>
      <c r="U156" s="4" t="str">
        <f ca="1">_xlfn.IFNA(VLOOKUP(INDIRECT("G"&amp;ROW()),minfo!$A:$M,COLUMN()-8,0),"")</f>
        <v>音乐榜最高NO.1</v>
      </c>
    </row>
    <row r="157" spans="1:21" ht="15.75" customHeight="1">
      <c r="A157" s="15">
        <v>156</v>
      </c>
      <c r="B157" s="4" t="s">
        <v>3707</v>
      </c>
      <c r="C157" s="4">
        <v>157</v>
      </c>
      <c r="D157" s="4">
        <v>156</v>
      </c>
      <c r="E157" s="4" t="s">
        <v>706</v>
      </c>
      <c r="F157" s="16">
        <v>44996</v>
      </c>
      <c r="G157" s="5" t="s">
        <v>705</v>
      </c>
      <c r="H157" s="5" t="s">
        <v>3537</v>
      </c>
      <c r="I157" s="24" t="str">
        <f>HYPERLINK("https://www.bilibili.com/video/BV1ne4y1A7oM?p=156", "BV1ne4y1A7oM?p=156")</f>
        <v>BV1ne4y1A7oM?p=156</v>
      </c>
      <c r="J157" s="4" t="str">
        <f ca="1">_xlfn.IFNA(VLOOKUP(INDIRECT("G"&amp;ROW()),minfo!$A:$M,COLUMN()-8,0),"")</f>
        <v>易燃易爆炸</v>
      </c>
      <c r="K157" s="4" t="str">
        <f ca="1">_xlfn.IFNA(VLOOKUP(INDIRECT("G"&amp;ROW()),minfo!$A:$M,COLUMN()-8,0),"")</f>
        <v>陈粒</v>
      </c>
      <c r="L157" s="4">
        <f ca="1">_xlfn.IFNA(VLOOKUP(INDIRECT("G"&amp;ROW()),minfo!$A:$M,COLUMN()-8,0),"")</f>
        <v>0</v>
      </c>
      <c r="M157" s="4">
        <f ca="1">_xlfn.IFNA(VLOOKUP(INDIRECT("G"&amp;ROW()),minfo!$A:$M,COLUMN()-8,0),"")</f>
        <v>0</v>
      </c>
      <c r="N157" s="4">
        <f ca="1">_xlfn.IFNA(VLOOKUP(INDIRECT("G"&amp;ROW()),minfo!$A:$M,COLUMN()-8,0),"")</f>
        <v>0</v>
      </c>
      <c r="O157" s="4" t="str">
        <f ca="1">_xlfn.IFNA(VLOOKUP(INDIRECT("G"&amp;ROW()),minfo!$A:$M,COLUMN()-8,0),"")</f>
        <v>https://i0.hdslb.com/bfs/station_src/music_metadata/e4e51e2c02608106bb1f72aeac58a8b9.jpg</v>
      </c>
      <c r="P157" s="4">
        <f ca="1">_xlfn.IFNA(VLOOKUP(INDIRECT("G"&amp;ROW()),minfo!$A:$M,COLUMN()-8,0),"")</f>
        <v>0</v>
      </c>
      <c r="Q157" s="4">
        <f ca="1">_xlfn.IFNA(VLOOKUP(INDIRECT("G"&amp;ROW()),minfo!$A:$M,COLUMN()-8,0),"")</f>
        <v>1656</v>
      </c>
      <c r="R157" s="4">
        <f ca="1">_xlfn.IFNA(VLOOKUP(INDIRECT("G"&amp;ROW()),minfo!$A:$M,COLUMN()-8,0),"")</f>
        <v>0</v>
      </c>
      <c r="S157" s="4" t="str">
        <f ca="1">_xlfn.IFNA(VLOOKUP(INDIRECT("G"&amp;ROW()),minfo!$A:$M,COLUMN()-8,0),"")</f>
        <v>如也</v>
      </c>
      <c r="T157" s="4">
        <f ca="1">_xlfn.IFNA(VLOOKUP(INDIRECT("G"&amp;ROW()),minfo!$A:$M,COLUMN()-8,0),"")</f>
        <v>409143030</v>
      </c>
      <c r="U157" s="4">
        <f ca="1">_xlfn.IFNA(VLOOKUP(INDIRECT("G"&amp;ROW()),minfo!$A:$M,COLUMN()-8,0),"")</f>
        <v>0</v>
      </c>
    </row>
    <row r="158" spans="1:21" ht="15.75" customHeight="1">
      <c r="A158" s="15">
        <v>157</v>
      </c>
      <c r="B158" s="4" t="s">
        <v>3708</v>
      </c>
      <c r="C158" s="4">
        <v>158</v>
      </c>
      <c r="D158" s="4">
        <v>157</v>
      </c>
      <c r="E158" s="4" t="s">
        <v>711</v>
      </c>
      <c r="F158" s="16">
        <v>44996</v>
      </c>
      <c r="G158" s="5" t="s">
        <v>710</v>
      </c>
      <c r="H158" s="5" t="s">
        <v>3537</v>
      </c>
      <c r="I158" s="24" t="str">
        <f>HYPERLINK("https://www.bilibili.com/video/BV1ne4y1A7oM?p=157", "BV1ne4y1A7oM?p=157")</f>
        <v>BV1ne4y1A7oM?p=157</v>
      </c>
      <c r="J158" s="4" t="str">
        <f ca="1">_xlfn.IFNA(VLOOKUP(INDIRECT("G"&amp;ROW()),minfo!$A:$M,COLUMN()-8,0),"")</f>
        <v>阿刁</v>
      </c>
      <c r="K158" s="4" t="str">
        <f ca="1">_xlfn.IFNA(VLOOKUP(INDIRECT("G"&amp;ROW()),minfo!$A:$M,COLUMN()-8,0),"")</f>
        <v>张韶涵</v>
      </c>
      <c r="L158" s="4">
        <f ca="1">_xlfn.IFNA(VLOOKUP(INDIRECT("G"&amp;ROW()),minfo!$A:$M,COLUMN()-8,0),"")</f>
        <v>0</v>
      </c>
      <c r="M158" s="4">
        <f ca="1">_xlfn.IFNA(VLOOKUP(INDIRECT("G"&amp;ROW()),minfo!$A:$M,COLUMN()-8,0),"")</f>
        <v>0</v>
      </c>
      <c r="N158" s="4">
        <f ca="1">_xlfn.IFNA(VLOOKUP(INDIRECT("G"&amp;ROW()),minfo!$A:$M,COLUMN()-8,0),"")</f>
        <v>0</v>
      </c>
      <c r="O158" s="4" t="str">
        <f ca="1">_xlfn.IFNA(VLOOKUP(INDIRECT("G"&amp;ROW()),minfo!$A:$M,COLUMN()-8,0),"")</f>
        <v>https://i0.hdslb.com/bfs/station_src/music_metadata/e87119ffac229234e193f93af6126b84.jpg</v>
      </c>
      <c r="P158" s="4" t="str">
        <f ca="1">_xlfn.IFNA(VLOOKUP(INDIRECT("G"&amp;ROW()),minfo!$A:$M,COLUMN()-8,0),"")</f>
        <v>https://i0.hdslb.com/bfs/station_src/music_metadata/41092baedcd8ec382a5eebb76bf40be5.txt</v>
      </c>
      <c r="Q158" s="4">
        <f ca="1">_xlfn.IFNA(VLOOKUP(INDIRECT("G"&amp;ROW()),minfo!$A:$M,COLUMN()-8,0),"")</f>
        <v>0</v>
      </c>
      <c r="R158" s="4">
        <f ca="1">_xlfn.IFNA(VLOOKUP(INDIRECT("G"&amp;ROW()),minfo!$A:$M,COLUMN()-8,0),"")</f>
        <v>0</v>
      </c>
      <c r="S158" s="4" t="str">
        <f ca="1">_xlfn.IFNA(VLOOKUP(INDIRECT("G"&amp;ROW()),minfo!$A:$M,COLUMN()-8,0),"")</f>
        <v>刘苏萱7岁歌曲专辑</v>
      </c>
      <c r="T158" s="4">
        <f ca="1">_xlfn.IFNA(VLOOKUP(INDIRECT("G"&amp;ROW()),minfo!$A:$M,COLUMN()-8,0),"")</f>
        <v>190631</v>
      </c>
      <c r="U158" s="4">
        <f ca="1">_xlfn.IFNA(VLOOKUP(INDIRECT("G"&amp;ROW()),minfo!$A:$M,COLUMN()-8,0),"")</f>
        <v>0</v>
      </c>
    </row>
    <row r="159" spans="1:21" ht="15.75" customHeight="1">
      <c r="A159" s="15">
        <v>158</v>
      </c>
      <c r="B159" s="4" t="s">
        <v>3709</v>
      </c>
      <c r="C159" s="4">
        <v>159</v>
      </c>
      <c r="D159" s="4">
        <v>158</v>
      </c>
      <c r="E159" s="4" t="s">
        <v>716</v>
      </c>
      <c r="F159" s="16">
        <v>44996</v>
      </c>
      <c r="G159" s="5" t="s">
        <v>715</v>
      </c>
      <c r="H159" s="5" t="s">
        <v>3537</v>
      </c>
      <c r="I159" s="24" t="str">
        <f>HYPERLINK("https://www.bilibili.com/video/BV1ne4y1A7oM?p=158", "BV1ne4y1A7oM?p=158")</f>
        <v>BV1ne4y1A7oM?p=158</v>
      </c>
      <c r="J159" s="4" t="str">
        <f ca="1">_xlfn.IFNA(VLOOKUP(INDIRECT("G"&amp;ROW()),minfo!$A:$M,COLUMN()-8,0),"")</f>
        <v>梦里花</v>
      </c>
      <c r="K159" s="4" t="str">
        <f ca="1">_xlfn.IFNA(VLOOKUP(INDIRECT("G"&amp;ROW()),minfo!$A:$M,COLUMN()-8,0),"")</f>
        <v>张韶涵</v>
      </c>
      <c r="L159" s="4">
        <f ca="1">_xlfn.IFNA(VLOOKUP(INDIRECT("G"&amp;ROW()),minfo!$A:$M,COLUMN()-8,0),"")</f>
        <v>0</v>
      </c>
      <c r="M159" s="4">
        <f ca="1">_xlfn.IFNA(VLOOKUP(INDIRECT("G"&amp;ROW()),minfo!$A:$M,COLUMN()-8,0),"")</f>
        <v>0</v>
      </c>
      <c r="N159" s="4">
        <f ca="1">_xlfn.IFNA(VLOOKUP(INDIRECT("G"&amp;ROW()),minfo!$A:$M,COLUMN()-8,0),"")</f>
        <v>0</v>
      </c>
      <c r="O159" s="4" t="str">
        <f ca="1">_xlfn.IFNA(VLOOKUP(INDIRECT("G"&amp;ROW()),minfo!$A:$M,COLUMN()-8,0),"")</f>
        <v>https://i0.hdslb.com/bfs/station_src/music_metadata/371c7789b9d6392ec0e4f64347fe10b7.jpg</v>
      </c>
      <c r="P159" s="4" t="str">
        <f ca="1">_xlfn.IFNA(VLOOKUP(INDIRECT("G"&amp;ROW()),minfo!$A:$M,COLUMN()-8,0),"")</f>
        <v>https://i0.hdslb.com/bfs/station_src/music_metadata/107ce5fdef68e361b024d6e36ead18fb.txt</v>
      </c>
      <c r="Q159" s="4">
        <f ca="1">_xlfn.IFNA(VLOOKUP(INDIRECT("G"&amp;ROW()),minfo!$A:$M,COLUMN()-8,0),"")</f>
        <v>2669</v>
      </c>
      <c r="R159" s="4">
        <f ca="1">_xlfn.IFNA(VLOOKUP(INDIRECT("G"&amp;ROW()),minfo!$A:$M,COLUMN()-8,0),"")</f>
        <v>0</v>
      </c>
      <c r="S159" s="4" t="str">
        <f ca="1">_xlfn.IFNA(VLOOKUP(INDIRECT("G"&amp;ROW()),minfo!$A:$M,COLUMN()-8,0),"")</f>
        <v>梦里花</v>
      </c>
      <c r="T159" s="4">
        <f ca="1">_xlfn.IFNA(VLOOKUP(INDIRECT("G"&amp;ROW()),minfo!$A:$M,COLUMN()-8,0),"")</f>
        <v>157739697</v>
      </c>
      <c r="U159" s="4">
        <f ca="1">_xlfn.IFNA(VLOOKUP(INDIRECT("G"&amp;ROW()),minfo!$A:$M,COLUMN()-8,0),"")</f>
        <v>0</v>
      </c>
    </row>
    <row r="160" spans="1:21" ht="15.75" customHeight="1">
      <c r="A160" s="15">
        <v>159</v>
      </c>
      <c r="B160" s="4" t="s">
        <v>3710</v>
      </c>
      <c r="C160" s="4">
        <v>160</v>
      </c>
      <c r="D160" s="4">
        <v>159</v>
      </c>
      <c r="E160" s="4" t="s">
        <v>720</v>
      </c>
      <c r="F160" s="16">
        <v>44996</v>
      </c>
      <c r="G160" s="5" t="s">
        <v>719</v>
      </c>
      <c r="H160" s="5" t="s">
        <v>3537</v>
      </c>
      <c r="I160" s="24" t="str">
        <f>HYPERLINK("https://www.bilibili.com/video/BV1ne4y1A7oM?p=159", "BV1ne4y1A7oM?p=159")</f>
        <v>BV1ne4y1A7oM?p=159</v>
      </c>
      <c r="J160" s="4" t="str">
        <f ca="1">_xlfn.IFNA(VLOOKUP(INDIRECT("G"&amp;ROW()),minfo!$A:$M,COLUMN()-8,0),"")</f>
        <v>落叶归根</v>
      </c>
      <c r="K160" s="4" t="str">
        <f ca="1">_xlfn.IFNA(VLOOKUP(INDIRECT("G"&amp;ROW()),minfo!$A:$M,COLUMN()-8,0),"")</f>
        <v>王力宏</v>
      </c>
      <c r="L160" s="4">
        <f ca="1">_xlfn.IFNA(VLOOKUP(INDIRECT("G"&amp;ROW()),minfo!$A:$M,COLUMN()-8,0),"")</f>
        <v>0</v>
      </c>
      <c r="M160" s="4">
        <f ca="1">_xlfn.IFNA(VLOOKUP(INDIRECT("G"&amp;ROW()),minfo!$A:$M,COLUMN()-8,0),"")</f>
        <v>3387</v>
      </c>
      <c r="N160" s="4">
        <f ca="1">_xlfn.IFNA(VLOOKUP(INDIRECT("G"&amp;ROW()),minfo!$A:$M,COLUMN()-8,0),"")</f>
        <v>845</v>
      </c>
      <c r="O160" s="4" t="str">
        <f ca="1">_xlfn.IFNA(VLOOKUP(INDIRECT("G"&amp;ROW()),minfo!$A:$M,COLUMN()-8,0),"")</f>
        <v>https://i0.hdslb.com/bfs/station_src/music_metadata/a8ffd1d411d13153eb4745f7b32606c9.jpg</v>
      </c>
      <c r="P160" s="4" t="str">
        <f ca="1">_xlfn.IFNA(VLOOKUP(INDIRECT("G"&amp;ROW()),minfo!$A:$M,COLUMN()-8,0),"")</f>
        <v>https://i0.hdslb.com/bfs/station_src/music_metadata/bcd960f324898e0e42f392683fa178ba.txt</v>
      </c>
      <c r="Q160" s="4">
        <f ca="1">_xlfn.IFNA(VLOOKUP(INDIRECT("G"&amp;ROW()),minfo!$A:$M,COLUMN()-8,0),"")</f>
        <v>60</v>
      </c>
      <c r="R160" s="4">
        <f ca="1">_xlfn.IFNA(VLOOKUP(INDIRECT("G"&amp;ROW()),minfo!$A:$M,COLUMN()-8,0),"")</f>
        <v>0</v>
      </c>
      <c r="S160" s="4" t="str">
        <f ca="1">_xlfn.IFNA(VLOOKUP(INDIRECT("G"&amp;ROW()),minfo!$A:$M,COLUMN()-8,0),"")</f>
        <v>改变自己</v>
      </c>
      <c r="T160" s="4">
        <f ca="1">_xlfn.IFNA(VLOOKUP(INDIRECT("G"&amp;ROW()),minfo!$A:$M,COLUMN()-8,0),"")</f>
        <v>41008288</v>
      </c>
      <c r="U160" s="4">
        <f ca="1">_xlfn.IFNA(VLOOKUP(INDIRECT("G"&amp;ROW()),minfo!$A:$M,COLUMN()-8,0),"")</f>
        <v>0</v>
      </c>
    </row>
    <row r="161" spans="1:21" ht="15.75" customHeight="1">
      <c r="A161" s="15">
        <v>160</v>
      </c>
      <c r="B161" s="4" t="s">
        <v>3711</v>
      </c>
      <c r="C161" s="4">
        <v>161</v>
      </c>
      <c r="D161" s="4">
        <v>160</v>
      </c>
      <c r="E161" s="4" t="s">
        <v>726</v>
      </c>
      <c r="F161" s="16">
        <v>44996</v>
      </c>
      <c r="G161" s="5" t="s">
        <v>725</v>
      </c>
      <c r="H161" s="5" t="s">
        <v>3537</v>
      </c>
      <c r="I161" s="24" t="str">
        <f>HYPERLINK("https://www.bilibili.com/video/BV1ne4y1A7oM?p=160", "BV1ne4y1A7oM?p=160")</f>
        <v>BV1ne4y1A7oM?p=160</v>
      </c>
      <c r="J161" s="4" t="str">
        <f ca="1">_xlfn.IFNA(VLOOKUP(INDIRECT("G"&amp;ROW()),minfo!$A:$M,COLUMN()-8,0),"")</f>
        <v>茉莉花</v>
      </c>
      <c r="K161" s="4" t="str">
        <f ca="1">_xlfn.IFNA(VLOOKUP(INDIRECT("G"&amp;ROW()),minfo!$A:$M,COLUMN()-8,0),"")</f>
        <v>群星</v>
      </c>
      <c r="L161" s="4">
        <f ca="1">_xlfn.IFNA(VLOOKUP(INDIRECT("G"&amp;ROW()),minfo!$A:$M,COLUMN()-8,0),"")</f>
        <v>0</v>
      </c>
      <c r="M161" s="4">
        <f ca="1">_xlfn.IFNA(VLOOKUP(INDIRECT("G"&amp;ROW()),minfo!$A:$M,COLUMN()-8,0),"")</f>
        <v>0</v>
      </c>
      <c r="N161" s="4">
        <f ca="1">_xlfn.IFNA(VLOOKUP(INDIRECT("G"&amp;ROW()),minfo!$A:$M,COLUMN()-8,0),"")</f>
        <v>0</v>
      </c>
      <c r="O161" s="4" t="str">
        <f ca="1">_xlfn.IFNA(VLOOKUP(INDIRECT("G"&amp;ROW()),minfo!$A:$M,COLUMN()-8,0),"")</f>
        <v>https://i0.hdslb.com/bfs/station_src/music_metadata/e03b06a414da98ba449eefdff7d60f88.jpg</v>
      </c>
      <c r="P161" s="4" t="str">
        <f ca="1">_xlfn.IFNA(VLOOKUP(INDIRECT("G"&amp;ROW()),minfo!$A:$M,COLUMN()-8,0),"")</f>
        <v>https://i0.hdslb.com/bfs/station_src/music_metadata/f7e4d3ca608b74e750bc6ef547b43dbd.txt</v>
      </c>
      <c r="Q161" s="4">
        <f ca="1">_xlfn.IFNA(VLOOKUP(INDIRECT("G"&amp;ROW()),minfo!$A:$M,COLUMN()-8,0),"")</f>
        <v>39</v>
      </c>
      <c r="R161" s="4">
        <f ca="1">_xlfn.IFNA(VLOOKUP(INDIRECT("G"&amp;ROW()),minfo!$A:$M,COLUMN()-8,0),"")</f>
        <v>0</v>
      </c>
      <c r="S161" s="4" t="str">
        <f ca="1">_xlfn.IFNA(VLOOKUP(INDIRECT("G"&amp;ROW()),minfo!$A:$M,COLUMN()-8,0),"")</f>
        <v>试机二号</v>
      </c>
      <c r="T161" s="4">
        <f ca="1">_xlfn.IFNA(VLOOKUP(INDIRECT("G"&amp;ROW()),minfo!$A:$M,COLUMN()-8,0),"")</f>
        <v>14230993</v>
      </c>
      <c r="U161" s="4">
        <f ca="1">_xlfn.IFNA(VLOOKUP(INDIRECT("G"&amp;ROW()),minfo!$A:$M,COLUMN()-8,0),"")</f>
        <v>0</v>
      </c>
    </row>
    <row r="162" spans="1:21" ht="15.75" customHeight="1">
      <c r="A162" s="15">
        <v>161</v>
      </c>
      <c r="B162" s="4" t="s">
        <v>3712</v>
      </c>
      <c r="C162" s="4">
        <v>162</v>
      </c>
      <c r="D162" s="4">
        <v>161</v>
      </c>
      <c r="E162" s="4" t="s">
        <v>65</v>
      </c>
      <c r="F162" s="16">
        <v>44996</v>
      </c>
      <c r="G162" s="5" t="s">
        <v>513</v>
      </c>
      <c r="H162" s="5" t="s">
        <v>3537</v>
      </c>
      <c r="I162" s="24" t="str">
        <f>HYPERLINK("https://www.bilibili.com/video/BV1ne4y1A7oM?p=161", "BV1ne4y1A7oM?p=161")</f>
        <v>BV1ne4y1A7oM?p=161</v>
      </c>
      <c r="J162" s="4" t="str">
        <f ca="1">_xlfn.IFNA(VLOOKUP(INDIRECT("G"&amp;ROW()),minfo!$A:$M,COLUMN()-8,0),"")</f>
        <v>天知河</v>
      </c>
      <c r="K162" s="4" t="str">
        <f ca="1">_xlfn.IFNA(VLOOKUP(INDIRECT("G"&amp;ROW()),minfo!$A:$M,COLUMN()-8,0),"")</f>
        <v>说说Crystal</v>
      </c>
      <c r="L162" s="4">
        <f ca="1">_xlfn.IFNA(VLOOKUP(INDIRECT("G"&amp;ROW()),minfo!$A:$M,COLUMN()-8,0),"")</f>
        <v>0</v>
      </c>
      <c r="M162" s="4">
        <f ca="1">_xlfn.IFNA(VLOOKUP(INDIRECT("G"&amp;ROW()),minfo!$A:$M,COLUMN()-8,0),"")</f>
        <v>63471</v>
      </c>
      <c r="N162" s="4">
        <f ca="1">_xlfn.IFNA(VLOOKUP(INDIRECT("G"&amp;ROW()),minfo!$A:$M,COLUMN()-8,0),"")</f>
        <v>19895</v>
      </c>
      <c r="O162" s="4" t="str">
        <f ca="1">_xlfn.IFNA(VLOOKUP(INDIRECT("G"&amp;ROW()),minfo!$A:$M,COLUMN()-8,0),"")</f>
        <v>http://i0.hdslb.com/bfs/station_src/music_metadata/4ad5958a6b4bee52560f0cf175374bf7.jpg</v>
      </c>
      <c r="P162" s="4">
        <f ca="1">_xlfn.IFNA(VLOOKUP(INDIRECT("G"&amp;ROW()),minfo!$A:$M,COLUMN()-8,0),"")</f>
        <v>0</v>
      </c>
      <c r="Q162" s="4">
        <f ca="1">_xlfn.IFNA(VLOOKUP(INDIRECT("G"&amp;ROW()),minfo!$A:$M,COLUMN()-8,0),"")</f>
        <v>106</v>
      </c>
      <c r="R162" s="4">
        <f ca="1">_xlfn.IFNA(VLOOKUP(INDIRECT("G"&amp;ROW()),minfo!$A:$M,COLUMN()-8,0),"")</f>
        <v>0</v>
      </c>
      <c r="S162" s="4" t="str">
        <f ca="1">_xlfn.IFNA(VLOOKUP(INDIRECT("G"&amp;ROW()),minfo!$A:$M,COLUMN()-8,0),"")</f>
        <v>天知河</v>
      </c>
      <c r="T162" s="4">
        <f ca="1">_xlfn.IFNA(VLOOKUP(INDIRECT("G"&amp;ROW()),minfo!$A:$M,COLUMN()-8,0),"")</f>
        <v>3294592</v>
      </c>
      <c r="U162" s="4">
        <f ca="1">_xlfn.IFNA(VLOOKUP(INDIRECT("G"&amp;ROW()),minfo!$A:$M,COLUMN()-8,0),"")</f>
        <v>0</v>
      </c>
    </row>
    <row r="163" spans="1:21" ht="15.75" customHeight="1">
      <c r="A163" s="15">
        <v>162</v>
      </c>
      <c r="B163" s="4" t="s">
        <v>3713</v>
      </c>
      <c r="C163" s="4">
        <v>163</v>
      </c>
      <c r="D163" s="4">
        <v>162</v>
      </c>
      <c r="E163" s="4" t="s">
        <v>418</v>
      </c>
      <c r="F163" s="16">
        <v>44999</v>
      </c>
      <c r="G163" s="5" t="s">
        <v>417</v>
      </c>
      <c r="H163" s="5" t="s">
        <v>3537</v>
      </c>
      <c r="I163" s="24" t="str">
        <f>HYPERLINK("https://www.bilibili.com/video/BV1ne4y1A7oM?p=162", "BV1ne4y1A7oM?p=162")</f>
        <v>BV1ne4y1A7oM?p=162</v>
      </c>
      <c r="J163" s="4" t="str">
        <f ca="1">_xlfn.IFNA(VLOOKUP(INDIRECT("G"&amp;ROW()),minfo!$A:$M,COLUMN()-8,0),"")</f>
        <v>甜甜的</v>
      </c>
      <c r="K163" s="4" t="str">
        <f ca="1">_xlfn.IFNA(VLOOKUP(INDIRECT("G"&amp;ROW()),minfo!$A:$M,COLUMN()-8,0),"")</f>
        <v>周杰伦</v>
      </c>
      <c r="L163" s="4">
        <f ca="1">_xlfn.IFNA(VLOOKUP(INDIRECT("G"&amp;ROW()),minfo!$A:$M,COLUMN()-8,0),"")</f>
        <v>0</v>
      </c>
      <c r="M163" s="4">
        <f ca="1">_xlfn.IFNA(VLOOKUP(INDIRECT("G"&amp;ROW()),minfo!$A:$M,COLUMN()-8,0),"")</f>
        <v>0</v>
      </c>
      <c r="N163" s="4">
        <f ca="1">_xlfn.IFNA(VLOOKUP(INDIRECT("G"&amp;ROW()),minfo!$A:$M,COLUMN()-8,0),"")</f>
        <v>0</v>
      </c>
      <c r="O163" s="4" t="str">
        <f ca="1">_xlfn.IFNA(VLOOKUP(INDIRECT("G"&amp;ROW()),minfo!$A:$M,COLUMN()-8,0),"")</f>
        <v>http://i0.hdslb.com/bfs/station_src/music_metadata/b70b267ed4b8e6627ef2fddb400bc930.jpg</v>
      </c>
      <c r="P163" s="4" t="str">
        <f ca="1">_xlfn.IFNA(VLOOKUP(INDIRECT("G"&amp;ROW()),minfo!$A:$M,COLUMN()-8,0),"")</f>
        <v>http://i0.hdslb.com/bfs/station_src/music_metadata/279ee78db41e6396428b468a8620d95b</v>
      </c>
      <c r="Q163" s="4">
        <f ca="1">_xlfn.IFNA(VLOOKUP(INDIRECT("G"&amp;ROW()),minfo!$A:$M,COLUMN()-8,0),"")</f>
        <v>1115</v>
      </c>
      <c r="R163" s="4">
        <f ca="1">_xlfn.IFNA(VLOOKUP(INDIRECT("G"&amp;ROW()),minfo!$A:$M,COLUMN()-8,0),"")</f>
        <v>0</v>
      </c>
      <c r="S163" s="4" t="str">
        <f ca="1">_xlfn.IFNA(VLOOKUP(INDIRECT("G"&amp;ROW()),minfo!$A:$M,COLUMN()-8,0),"")</f>
        <v>我很忙</v>
      </c>
      <c r="T163" s="4">
        <f ca="1">_xlfn.IFNA(VLOOKUP(INDIRECT("G"&amp;ROW()),minfo!$A:$M,COLUMN()-8,0),"")</f>
        <v>514709406</v>
      </c>
      <c r="U163" s="4">
        <f ca="1">_xlfn.IFNA(VLOOKUP(INDIRECT("G"&amp;ROW()),minfo!$A:$M,COLUMN()-8,0),"")</f>
        <v>0</v>
      </c>
    </row>
    <row r="164" spans="1:21" ht="15.75" customHeight="1">
      <c r="A164" s="15">
        <v>163</v>
      </c>
      <c r="B164" s="4" t="s">
        <v>3714</v>
      </c>
      <c r="C164" s="4">
        <v>164</v>
      </c>
      <c r="D164" s="4">
        <v>163</v>
      </c>
      <c r="E164" s="4" t="s">
        <v>732</v>
      </c>
      <c r="F164" s="16">
        <v>44999</v>
      </c>
      <c r="G164" s="5" t="s">
        <v>731</v>
      </c>
      <c r="H164" s="5" t="s">
        <v>3537</v>
      </c>
      <c r="I164" s="24" t="str">
        <f>HYPERLINK("https://www.bilibili.com/video/BV1ne4y1A7oM?p=163", "BV1ne4y1A7oM?p=163")</f>
        <v>BV1ne4y1A7oM?p=163</v>
      </c>
      <c r="J164" s="4" t="str">
        <f ca="1">_xlfn.IFNA(VLOOKUP(INDIRECT("G"&amp;ROW()),minfo!$A:$M,COLUMN()-8,0),"")</f>
        <v>园游会</v>
      </c>
      <c r="K164" s="4" t="str">
        <f ca="1">_xlfn.IFNA(VLOOKUP(INDIRECT("G"&amp;ROW()),minfo!$A:$M,COLUMN()-8,0),"")</f>
        <v>周杰伦</v>
      </c>
      <c r="L164" s="4">
        <f ca="1">_xlfn.IFNA(VLOOKUP(INDIRECT("G"&amp;ROW()),minfo!$A:$M,COLUMN()-8,0),"")</f>
        <v>0</v>
      </c>
      <c r="M164" s="4">
        <f ca="1">_xlfn.IFNA(VLOOKUP(INDIRECT("G"&amp;ROW()),minfo!$A:$M,COLUMN()-8,0),"")</f>
        <v>0</v>
      </c>
      <c r="N164" s="4">
        <f ca="1">_xlfn.IFNA(VLOOKUP(INDIRECT("G"&amp;ROW()),minfo!$A:$M,COLUMN()-8,0),"")</f>
        <v>0</v>
      </c>
      <c r="O164" s="4" t="str">
        <f ca="1">_xlfn.IFNA(VLOOKUP(INDIRECT("G"&amp;ROW()),minfo!$A:$M,COLUMN()-8,0),"")</f>
        <v>https://i0.hdslb.com/bfs/station_src/music_metadata/6e1ac13753b4f6ee9b6064e5eea74ee9.jpg</v>
      </c>
      <c r="P164" s="4">
        <f ca="1">_xlfn.IFNA(VLOOKUP(INDIRECT("G"&amp;ROW()),minfo!$A:$M,COLUMN()-8,0),"")</f>
        <v>0</v>
      </c>
      <c r="Q164" s="4">
        <f ca="1">_xlfn.IFNA(VLOOKUP(INDIRECT("G"&amp;ROW()),minfo!$A:$M,COLUMN()-8,0),"")</f>
        <v>2471</v>
      </c>
      <c r="R164" s="4">
        <f ca="1">_xlfn.IFNA(VLOOKUP(INDIRECT("G"&amp;ROW()),minfo!$A:$M,COLUMN()-8,0),"")</f>
        <v>0</v>
      </c>
      <c r="S164" s="4" t="str">
        <f ca="1">_xlfn.IFNA(VLOOKUP(INDIRECT("G"&amp;ROW()),minfo!$A:$M,COLUMN()-8,0),"")</f>
        <v>七里香</v>
      </c>
      <c r="T164" s="4">
        <f ca="1">_xlfn.IFNA(VLOOKUP(INDIRECT("G"&amp;ROW()),minfo!$A:$M,COLUMN()-8,0),"")</f>
        <v>492310935</v>
      </c>
      <c r="U164" s="4" t="str">
        <f ca="1">_xlfn.IFNA(VLOOKUP(INDIRECT("G"&amp;ROW()),minfo!$A:$M,COLUMN()-8,0),"")</f>
        <v>音乐榜最高NO.13</v>
      </c>
    </row>
    <row r="165" spans="1:21" ht="15.75" customHeight="1">
      <c r="A165" s="15">
        <v>164</v>
      </c>
      <c r="B165" s="4" t="s">
        <v>3715</v>
      </c>
      <c r="C165" s="4">
        <v>165</v>
      </c>
      <c r="D165" s="4">
        <v>164</v>
      </c>
      <c r="E165" s="4" t="s">
        <v>736</v>
      </c>
      <c r="F165" s="16">
        <v>44999</v>
      </c>
      <c r="G165" s="5" t="s">
        <v>735</v>
      </c>
      <c r="H165" s="5" t="s">
        <v>3537</v>
      </c>
      <c r="I165" s="24" t="str">
        <f>HYPERLINK("https://www.bilibili.com/video/BV1ne4y1A7oM?p=164", "BV1ne4y1A7oM?p=164")</f>
        <v>BV1ne4y1A7oM?p=164</v>
      </c>
      <c r="J165" s="4" t="str">
        <f ca="1">_xlfn.IFNA(VLOOKUP(INDIRECT("G"&amp;ROW()),minfo!$A:$M,COLUMN()-8,0),"")</f>
        <v>花一开就相爱吧</v>
      </c>
      <c r="K165" s="4" t="str">
        <f ca="1">_xlfn.IFNA(VLOOKUP(INDIRECT("G"&amp;ROW()),minfo!$A:$M,COLUMN()-8,0),"")</f>
        <v>林依晨</v>
      </c>
      <c r="L165" s="4">
        <f ca="1">_xlfn.IFNA(VLOOKUP(INDIRECT("G"&amp;ROW()),minfo!$A:$M,COLUMN()-8,0),"")</f>
        <v>0</v>
      </c>
      <c r="M165" s="4">
        <f ca="1">_xlfn.IFNA(VLOOKUP(INDIRECT("G"&amp;ROW()),minfo!$A:$M,COLUMN()-8,0),"")</f>
        <v>0</v>
      </c>
      <c r="N165" s="4">
        <f ca="1">_xlfn.IFNA(VLOOKUP(INDIRECT("G"&amp;ROW()),minfo!$A:$M,COLUMN()-8,0),"")</f>
        <v>0</v>
      </c>
      <c r="O165" s="4" t="str">
        <f ca="1">_xlfn.IFNA(VLOOKUP(INDIRECT("G"&amp;ROW()),minfo!$A:$M,COLUMN()-8,0),"")</f>
        <v>https://i0.hdslb.com/bfs/station_src/music_metadata/64a48ebd48feecac91ab30c1fcc17d0b.jpg</v>
      </c>
      <c r="P165" s="4">
        <f ca="1">_xlfn.IFNA(VLOOKUP(INDIRECT("G"&amp;ROW()),minfo!$A:$M,COLUMN()-8,0),"")</f>
        <v>0</v>
      </c>
      <c r="Q165" s="4">
        <f ca="1">_xlfn.IFNA(VLOOKUP(INDIRECT("G"&amp;ROW()),minfo!$A:$M,COLUMN()-8,0),"")</f>
        <v>2</v>
      </c>
      <c r="R165" s="4">
        <f ca="1">_xlfn.IFNA(VLOOKUP(INDIRECT("G"&amp;ROW()),minfo!$A:$M,COLUMN()-8,0),"")</f>
        <v>0</v>
      </c>
      <c r="S165" s="4" t="str">
        <f ca="1">_xlfn.IFNA(VLOOKUP(INDIRECT("G"&amp;ROW()),minfo!$A:$M,COLUMN()-8,0),"")</f>
        <v>美好的旅行</v>
      </c>
      <c r="T165" s="4">
        <f ca="1">_xlfn.IFNA(VLOOKUP(INDIRECT("G"&amp;ROW()),minfo!$A:$M,COLUMN()-8,0),"")</f>
        <v>4126537</v>
      </c>
      <c r="U165" s="4">
        <f ca="1">_xlfn.IFNA(VLOOKUP(INDIRECT("G"&amp;ROW()),minfo!$A:$M,COLUMN()-8,0),"")</f>
        <v>0</v>
      </c>
    </row>
    <row r="166" spans="1:21" ht="15.75" customHeight="1">
      <c r="A166" s="15">
        <v>165</v>
      </c>
      <c r="B166" s="4" t="s">
        <v>3716</v>
      </c>
      <c r="C166" s="4">
        <v>166</v>
      </c>
      <c r="D166" s="4">
        <v>165</v>
      </c>
      <c r="E166" s="4" t="s">
        <v>693</v>
      </c>
      <c r="F166" s="16">
        <v>45000</v>
      </c>
      <c r="G166" s="5" t="s">
        <v>692</v>
      </c>
      <c r="H166" s="5" t="s">
        <v>3537</v>
      </c>
      <c r="I166" s="24" t="str">
        <f>HYPERLINK("https://www.bilibili.com/video/BV1ne4y1A7oM?p=165", "BV1ne4y1A7oM?p=165")</f>
        <v>BV1ne4y1A7oM?p=165</v>
      </c>
      <c r="J166" s="4" t="str">
        <f ca="1">_xlfn.IFNA(VLOOKUP(INDIRECT("G"&amp;ROW()),minfo!$A:$M,COLUMN()-8,0),"")</f>
        <v>爱情悬崖</v>
      </c>
      <c r="K166" s="4" t="str">
        <f ca="1">_xlfn.IFNA(VLOOKUP(INDIRECT("G"&amp;ROW()),minfo!$A:$M,COLUMN()-8,0),"")</f>
        <v>周杰伦</v>
      </c>
      <c r="L166" s="4">
        <f ca="1">_xlfn.IFNA(VLOOKUP(INDIRECT("G"&amp;ROW()),minfo!$A:$M,COLUMN()-8,0),"")</f>
        <v>0</v>
      </c>
      <c r="M166" s="4">
        <f ca="1">_xlfn.IFNA(VLOOKUP(INDIRECT("G"&amp;ROW()),minfo!$A:$M,COLUMN()-8,0),"")</f>
        <v>0</v>
      </c>
      <c r="N166" s="4">
        <f ca="1">_xlfn.IFNA(VLOOKUP(INDIRECT("G"&amp;ROW()),minfo!$A:$M,COLUMN()-8,0),"")</f>
        <v>0</v>
      </c>
      <c r="O166" s="4" t="str">
        <f ca="1">_xlfn.IFNA(VLOOKUP(INDIRECT("G"&amp;ROW()),minfo!$A:$M,COLUMN()-8,0),"")</f>
        <v>https://i0.hdslb.com/bfs/station_src/music_metadata/09deb9d4f4775eb43172424de93829e1.jpg</v>
      </c>
      <c r="P166" s="4">
        <f ca="1">_xlfn.IFNA(VLOOKUP(INDIRECT("G"&amp;ROW()),minfo!$A:$M,COLUMN()-8,0),"")</f>
        <v>0</v>
      </c>
      <c r="Q166" s="4">
        <f ca="1">_xlfn.IFNA(VLOOKUP(INDIRECT("G"&amp;ROW()),minfo!$A:$M,COLUMN()-8,0),"")</f>
        <v>265</v>
      </c>
      <c r="R166" s="4">
        <f ca="1">_xlfn.IFNA(VLOOKUP(INDIRECT("G"&amp;ROW()),minfo!$A:$M,COLUMN()-8,0),"")</f>
        <v>0</v>
      </c>
      <c r="S166" s="4" t="str">
        <f ca="1">_xlfn.IFNA(VLOOKUP(INDIRECT("G"&amp;ROW()),minfo!$A:$M,COLUMN()-8,0),"")</f>
        <v>叶惠美</v>
      </c>
      <c r="T166" s="4">
        <f ca="1">_xlfn.IFNA(VLOOKUP(INDIRECT("G"&amp;ROW()),minfo!$A:$M,COLUMN()-8,0),"")</f>
        <v>186750231</v>
      </c>
      <c r="U166" s="4">
        <f ca="1">_xlfn.IFNA(VLOOKUP(INDIRECT("G"&amp;ROW()),minfo!$A:$M,COLUMN()-8,0),"")</f>
        <v>0</v>
      </c>
    </row>
    <row r="167" spans="1:21" ht="15.75" customHeight="1">
      <c r="A167" s="15">
        <v>166</v>
      </c>
      <c r="B167" s="4" t="s">
        <v>3717</v>
      </c>
      <c r="C167" s="4">
        <v>167</v>
      </c>
      <c r="D167" s="4">
        <v>166</v>
      </c>
      <c r="E167" s="4" t="s">
        <v>3718</v>
      </c>
      <c r="F167" s="16">
        <v>45000</v>
      </c>
      <c r="G167" s="5" t="s">
        <v>186</v>
      </c>
      <c r="H167" s="5" t="s">
        <v>3537</v>
      </c>
      <c r="I167" s="24" t="str">
        <f>HYPERLINK("https://www.bilibili.com/video/BV1ne4y1A7oM?p=166", "BV1ne4y1A7oM?p=166")</f>
        <v>BV1ne4y1A7oM?p=166</v>
      </c>
      <c r="J167" s="4" t="str">
        <f ca="1">_xlfn.IFNA(VLOOKUP(INDIRECT("G"&amp;ROW()),minfo!$A:$M,COLUMN()-8,0),"")</f>
        <v>Rubia</v>
      </c>
      <c r="K167" s="4" t="str">
        <f ca="1">_xlfn.IFNA(VLOOKUP(INDIRECT("G"&amp;ROW()),minfo!$A:$M,COLUMN()-8,0),"")</f>
        <v>周深</v>
      </c>
      <c r="L167" s="4">
        <f ca="1">_xlfn.IFNA(VLOOKUP(INDIRECT("G"&amp;ROW()),minfo!$A:$M,COLUMN()-8,0),"")</f>
        <v>0</v>
      </c>
      <c r="M167" s="4">
        <f ca="1">_xlfn.IFNA(VLOOKUP(INDIRECT("G"&amp;ROW()),minfo!$A:$M,COLUMN()-8,0),"")</f>
        <v>516030</v>
      </c>
      <c r="N167" s="4">
        <f ca="1">_xlfn.IFNA(VLOOKUP(INDIRECT("G"&amp;ROW()),minfo!$A:$M,COLUMN()-8,0),"")</f>
        <v>96155</v>
      </c>
      <c r="O167" s="4" t="str">
        <f ca="1">_xlfn.IFNA(VLOOKUP(INDIRECT("G"&amp;ROW()),minfo!$A:$M,COLUMN()-8,0),"")</f>
        <v>https://i0.hdslb.com/bfs/station_src/music_metadata/58bc0047ef309717106ab37f9f0eaaef.jpg</v>
      </c>
      <c r="P167" s="4" t="str">
        <f ca="1">_xlfn.IFNA(VLOOKUP(INDIRECT("G"&amp;ROW()),minfo!$A:$M,COLUMN()-8,0),"")</f>
        <v>http://i0.hdslb.com/bfs/station_src/music_metadata/004573c098a52ded7995aead78b01386</v>
      </c>
      <c r="Q167" s="4">
        <f ca="1">_xlfn.IFNA(VLOOKUP(INDIRECT("G"&amp;ROW()),minfo!$A:$M,COLUMN()-8,0),"")</f>
        <v>4410</v>
      </c>
      <c r="R167" s="4">
        <f ca="1">_xlfn.IFNA(VLOOKUP(INDIRECT("G"&amp;ROW()),minfo!$A:$M,COLUMN()-8,0),"")</f>
        <v>0</v>
      </c>
      <c r="S167" s="4" t="str">
        <f ca="1">_xlfn.IFNA(VLOOKUP(INDIRECT("G"&amp;ROW()),minfo!$A:$M,COLUMN()-8,0),"")</f>
        <v>Rubia</v>
      </c>
      <c r="T167" s="4">
        <f ca="1">_xlfn.IFNA(VLOOKUP(INDIRECT("G"&amp;ROW()),minfo!$A:$M,COLUMN()-8,0),"")</f>
        <v>217211932</v>
      </c>
      <c r="U167" s="4">
        <f ca="1">_xlfn.IFNA(VLOOKUP(INDIRECT("G"&amp;ROW()),minfo!$A:$M,COLUMN()-8,0),"")</f>
        <v>0</v>
      </c>
    </row>
    <row r="168" spans="1:21" ht="15.75" customHeight="1">
      <c r="A168" s="15">
        <v>167</v>
      </c>
      <c r="B168" s="4" t="s">
        <v>3719</v>
      </c>
      <c r="C168" s="4">
        <v>168</v>
      </c>
      <c r="D168" s="4">
        <v>167</v>
      </c>
      <c r="E168" s="4" t="s">
        <v>160</v>
      </c>
      <c r="F168" s="16">
        <v>45000</v>
      </c>
      <c r="G168" s="5" t="s">
        <v>159</v>
      </c>
      <c r="H168" s="5" t="s">
        <v>3537</v>
      </c>
      <c r="I168" s="24" t="str">
        <f>HYPERLINK("https://www.bilibili.com/video/BV1ne4y1A7oM?p=167", "BV1ne4y1A7oM?p=167")</f>
        <v>BV1ne4y1A7oM?p=167</v>
      </c>
      <c r="J168" s="4" t="str">
        <f ca="1">_xlfn.IFNA(VLOOKUP(INDIRECT("G"&amp;ROW()),minfo!$A:$M,COLUMN()-8,0),"")</f>
        <v>梨花颂</v>
      </c>
      <c r="K168" s="4" t="str">
        <f ca="1">_xlfn.IFNA(VLOOKUP(INDIRECT("G"&amp;ROW()),minfo!$A:$M,COLUMN()-8,0),"")</f>
        <v>梅葆玖</v>
      </c>
      <c r="L168" s="4">
        <f ca="1">_xlfn.IFNA(VLOOKUP(INDIRECT("G"&amp;ROW()),minfo!$A:$M,COLUMN()-8,0),"")</f>
        <v>0</v>
      </c>
      <c r="M168" s="4">
        <f ca="1">_xlfn.IFNA(VLOOKUP(INDIRECT("G"&amp;ROW()),minfo!$A:$M,COLUMN()-8,0),"")</f>
        <v>0</v>
      </c>
      <c r="N168" s="4">
        <f ca="1">_xlfn.IFNA(VLOOKUP(INDIRECT("G"&amp;ROW()),minfo!$A:$M,COLUMN()-8,0),"")</f>
        <v>0</v>
      </c>
      <c r="O168" s="4" t="str">
        <f ca="1">_xlfn.IFNA(VLOOKUP(INDIRECT("G"&amp;ROW()),minfo!$A:$M,COLUMN()-8,0),"")</f>
        <v>https://i0.hdslb.com/bfs/station_src/music_metadata/9abefe4483d585f499e254df741d2f35.jpg</v>
      </c>
      <c r="P168" s="4" t="str">
        <f ca="1">_xlfn.IFNA(VLOOKUP(INDIRECT("G"&amp;ROW()),minfo!$A:$M,COLUMN()-8,0),"")</f>
        <v>https://i0.hdslb.com/bfs/station_src/music_metadata/0357286453ce4a1fc693b22b663fe56d.txt</v>
      </c>
      <c r="Q168" s="4">
        <f ca="1">_xlfn.IFNA(VLOOKUP(INDIRECT("G"&amp;ROW()),minfo!$A:$M,COLUMN()-8,0),"")</f>
        <v>75</v>
      </c>
      <c r="R168" s="4" t="str">
        <f ca="1">_xlfn.IFNA(VLOOKUP(INDIRECT("G"&amp;ROW()),minfo!$A:$M,COLUMN()-8,0),"")</f>
        <v>新编历史京剧《大唐贵妃》主题曲</v>
      </c>
      <c r="S168" s="4" t="str">
        <f ca="1">_xlfn.IFNA(VLOOKUP(INDIRECT("G"&amp;ROW()),minfo!$A:$M,COLUMN()-8,0),"")</f>
        <v>热门华语260</v>
      </c>
      <c r="T168" s="4">
        <f ca="1">_xlfn.IFNA(VLOOKUP(INDIRECT("G"&amp;ROW()),minfo!$A:$M,COLUMN()-8,0),"")</f>
        <v>19576567</v>
      </c>
      <c r="U168" s="4">
        <f ca="1">_xlfn.IFNA(VLOOKUP(INDIRECT("G"&amp;ROW()),minfo!$A:$M,COLUMN()-8,0),"")</f>
        <v>0</v>
      </c>
    </row>
    <row r="169" spans="1:21" ht="15.75" customHeight="1">
      <c r="A169" s="15">
        <v>168</v>
      </c>
      <c r="B169" s="4" t="s">
        <v>3720</v>
      </c>
      <c r="C169" s="4">
        <v>169</v>
      </c>
      <c r="D169" s="4">
        <v>168</v>
      </c>
      <c r="E169" s="4" t="s">
        <v>741</v>
      </c>
      <c r="F169" s="16">
        <v>45000</v>
      </c>
      <c r="G169" s="5" t="s">
        <v>740</v>
      </c>
      <c r="H169" s="5" t="s">
        <v>3537</v>
      </c>
      <c r="I169" s="24" t="str">
        <f>HYPERLINK("https://www.bilibili.com/video/BV1ne4y1A7oM?p=168", "BV1ne4y1A7oM?p=168")</f>
        <v>BV1ne4y1A7oM?p=168</v>
      </c>
      <c r="J169" s="4" t="str">
        <f ca="1">_xlfn.IFNA(VLOOKUP(INDIRECT("G"&amp;ROW()),minfo!$A:$M,COLUMN()-8,0),"")</f>
        <v>遇见</v>
      </c>
      <c r="K169" s="4" t="str">
        <f ca="1">_xlfn.IFNA(VLOOKUP(INDIRECT("G"&amp;ROW()),minfo!$A:$M,COLUMN()-8,0),"")</f>
        <v>孙燕姿</v>
      </c>
      <c r="L169" s="4">
        <f ca="1">_xlfn.IFNA(VLOOKUP(INDIRECT("G"&amp;ROW()),minfo!$A:$M,COLUMN()-8,0),"")</f>
        <v>0</v>
      </c>
      <c r="M169" s="4">
        <f ca="1">_xlfn.IFNA(VLOOKUP(INDIRECT("G"&amp;ROW()),minfo!$A:$M,COLUMN()-8,0),"")</f>
        <v>0</v>
      </c>
      <c r="N169" s="4">
        <f ca="1">_xlfn.IFNA(VLOOKUP(INDIRECT("G"&amp;ROW()),minfo!$A:$M,COLUMN()-8,0),"")</f>
        <v>0</v>
      </c>
      <c r="O169" s="4" t="str">
        <f ca="1">_xlfn.IFNA(VLOOKUP(INDIRECT("G"&amp;ROW()),minfo!$A:$M,COLUMN()-8,0),"")</f>
        <v>https://i0.hdslb.com/bfs/station_src/music_metadata/5bbf2ce1843bc60f9c57b02a09acd1ef.jpg</v>
      </c>
      <c r="P169" s="4" t="str">
        <f ca="1">_xlfn.IFNA(VLOOKUP(INDIRECT("G"&amp;ROW()),minfo!$A:$M,COLUMN()-8,0),"")</f>
        <v>http://i0.hdslb.com/bfs/station_src/music_metadata/2523f48e1475d1352ae5e229ebdb0384</v>
      </c>
      <c r="Q169" s="4">
        <f ca="1">_xlfn.IFNA(VLOOKUP(INDIRECT("G"&amp;ROW()),minfo!$A:$M,COLUMN()-8,0),"")</f>
        <v>1290</v>
      </c>
      <c r="R169" s="4" t="str">
        <f ca="1">_xlfn.IFNA(VLOOKUP(INDIRECT("G"&amp;ROW()),minfo!$A:$M,COLUMN()-8,0),"")</f>
        <v>《向左走，向右走》电影主题曲</v>
      </c>
      <c r="S169" s="4" t="str">
        <f ca="1">_xlfn.IFNA(VLOOKUP(INDIRECT("G"&amp;ROW()),minfo!$A:$M,COLUMN()-8,0),"")</f>
        <v>The Moment</v>
      </c>
      <c r="T169" s="4">
        <f ca="1">_xlfn.IFNA(VLOOKUP(INDIRECT("G"&amp;ROW()),minfo!$A:$M,COLUMN()-8,0),"")</f>
        <v>486888927</v>
      </c>
      <c r="U169" s="4" t="str">
        <f ca="1">_xlfn.IFNA(VLOOKUP(INDIRECT("G"&amp;ROW()),minfo!$A:$M,COLUMN()-8,0),"")</f>
        <v>音乐榜最高NO.15</v>
      </c>
    </row>
    <row r="170" spans="1:21" ht="15.75" customHeight="1">
      <c r="A170" s="15">
        <v>169</v>
      </c>
      <c r="B170" s="4" t="s">
        <v>3721</v>
      </c>
      <c r="C170" s="4">
        <v>170</v>
      </c>
      <c r="D170" s="4">
        <v>169</v>
      </c>
      <c r="E170" s="4" t="s">
        <v>153</v>
      </c>
      <c r="F170" s="16">
        <v>45006</v>
      </c>
      <c r="G170" s="5" t="s">
        <v>152</v>
      </c>
      <c r="H170" s="5" t="s">
        <v>3537</v>
      </c>
      <c r="I170" s="24" t="str">
        <f>HYPERLINK("https://www.bilibili.com/video/BV1ne4y1A7oM?p=169", "BV1ne4y1A7oM?p=169")</f>
        <v>BV1ne4y1A7oM?p=169</v>
      </c>
      <c r="J170" s="4" t="str">
        <f ca="1">_xlfn.IFNA(VLOOKUP(INDIRECT("G"&amp;ROW()),minfo!$A:$M,COLUMN()-8,0),"")</f>
        <v>听见下雨的声音</v>
      </c>
      <c r="K170" s="4" t="str">
        <f ca="1">_xlfn.IFNA(VLOOKUP(INDIRECT("G"&amp;ROW()),minfo!$A:$M,COLUMN()-8,0),"")</f>
        <v>周杰伦</v>
      </c>
      <c r="L170" s="4">
        <f ca="1">_xlfn.IFNA(VLOOKUP(INDIRECT("G"&amp;ROW()),minfo!$A:$M,COLUMN()-8,0),"")</f>
        <v>0</v>
      </c>
      <c r="M170" s="4">
        <f ca="1">_xlfn.IFNA(VLOOKUP(INDIRECT("G"&amp;ROW()),minfo!$A:$M,COLUMN()-8,0),"")</f>
        <v>0</v>
      </c>
      <c r="N170" s="4">
        <f ca="1">_xlfn.IFNA(VLOOKUP(INDIRECT("G"&amp;ROW()),minfo!$A:$M,COLUMN()-8,0),"")</f>
        <v>0</v>
      </c>
      <c r="O170" s="4" t="str">
        <f ca="1">_xlfn.IFNA(VLOOKUP(INDIRECT("G"&amp;ROW()),minfo!$A:$M,COLUMN()-8,0),"")</f>
        <v>http://i0.hdslb.com/bfs/station_src/music_metadata/f190c7459496ee7ff2a9ebb250df5398.jpg</v>
      </c>
      <c r="P170" s="4" t="str">
        <f ca="1">_xlfn.IFNA(VLOOKUP(INDIRECT("G"&amp;ROW()),minfo!$A:$M,COLUMN()-8,0),"")</f>
        <v>http://i0.hdslb.com/bfs/station_src/music_metadata/0d0869a8c2bb7470dd66d7fec7591c32</v>
      </c>
      <c r="Q170" s="4">
        <f ca="1">_xlfn.IFNA(VLOOKUP(INDIRECT("G"&amp;ROW()),minfo!$A:$M,COLUMN()-8,0),"")</f>
        <v>689</v>
      </c>
      <c r="R170" s="4" t="str">
        <f ca="1">_xlfn.IFNA(VLOOKUP(INDIRECT("G"&amp;ROW()),minfo!$A:$M,COLUMN()-8,0),"")</f>
        <v>《听见下雨声音》电影主题曲</v>
      </c>
      <c r="S170" s="4" t="str">
        <f ca="1">_xlfn.IFNA(VLOOKUP(INDIRECT("G"&amp;ROW()),minfo!$A:$M,COLUMN()-8,0),"")</f>
        <v>哎呦，不错哦</v>
      </c>
      <c r="T170" s="4">
        <f ca="1">_xlfn.IFNA(VLOOKUP(INDIRECT("G"&amp;ROW()),minfo!$A:$M,COLUMN()-8,0),"")</f>
        <v>220057953</v>
      </c>
      <c r="U170" s="4">
        <f ca="1">_xlfn.IFNA(VLOOKUP(INDIRECT("G"&amp;ROW()),minfo!$A:$M,COLUMN()-8,0),"")</f>
        <v>0</v>
      </c>
    </row>
    <row r="171" spans="1:21" ht="15.75" customHeight="1">
      <c r="A171" s="15">
        <v>170</v>
      </c>
      <c r="B171" s="4" t="s">
        <v>3722</v>
      </c>
      <c r="C171" s="4">
        <v>171</v>
      </c>
      <c r="D171" s="4">
        <v>170</v>
      </c>
      <c r="E171" s="4" t="s">
        <v>749</v>
      </c>
      <c r="F171" s="16">
        <v>45006</v>
      </c>
      <c r="G171" s="5" t="s">
        <v>748</v>
      </c>
      <c r="H171" s="5" t="s">
        <v>3537</v>
      </c>
      <c r="I171" s="24" t="str">
        <f>HYPERLINK("https://www.bilibili.com/video/BV1ne4y1A7oM?p=170", "BV1ne4y1A7oM?p=170")</f>
        <v>BV1ne4y1A7oM?p=170</v>
      </c>
      <c r="J171" s="4" t="str">
        <f ca="1">_xlfn.IFNA(VLOOKUP(INDIRECT("G"&amp;ROW()),minfo!$A:$M,COLUMN()-8,0),"")</f>
        <v>我好想你</v>
      </c>
      <c r="K171" s="4" t="str">
        <f ca="1">_xlfn.IFNA(VLOOKUP(INDIRECT("G"&amp;ROW()),minfo!$A:$M,COLUMN()-8,0),"")</f>
        <v>苏打绿</v>
      </c>
      <c r="L171" s="4">
        <f ca="1">_xlfn.IFNA(VLOOKUP(INDIRECT("G"&amp;ROW()),minfo!$A:$M,COLUMN()-8,0),"")</f>
        <v>0</v>
      </c>
      <c r="M171" s="4">
        <f ca="1">_xlfn.IFNA(VLOOKUP(INDIRECT("G"&amp;ROW()),minfo!$A:$M,COLUMN()-8,0),"")</f>
        <v>0</v>
      </c>
      <c r="N171" s="4">
        <f ca="1">_xlfn.IFNA(VLOOKUP(INDIRECT("G"&amp;ROW()),minfo!$A:$M,COLUMN()-8,0),"")</f>
        <v>0</v>
      </c>
      <c r="O171" s="4" t="str">
        <f ca="1">_xlfn.IFNA(VLOOKUP(INDIRECT("G"&amp;ROW()),minfo!$A:$M,COLUMN()-8,0),"")</f>
        <v>https://i0.hdslb.com/bfs/station_src/music_metadata/142298774c35c909c17cc46ed0028323.jpg</v>
      </c>
      <c r="P171" s="4" t="str">
        <f ca="1">_xlfn.IFNA(VLOOKUP(INDIRECT("G"&amp;ROW()),minfo!$A:$M,COLUMN()-8,0),"")</f>
        <v>http://i0.hdslb.com/bfs/station_src/music_metadata/a561acc490d86e8b1eff97408e8b2033</v>
      </c>
      <c r="Q171" s="4">
        <f ca="1">_xlfn.IFNA(VLOOKUP(INDIRECT("G"&amp;ROW()),minfo!$A:$M,COLUMN()-8,0),"")</f>
        <v>6140</v>
      </c>
      <c r="R171" s="4">
        <f ca="1">_xlfn.IFNA(VLOOKUP(INDIRECT("G"&amp;ROW()),minfo!$A:$M,COLUMN()-8,0),"")</f>
        <v>0</v>
      </c>
      <c r="S171" s="4" t="str">
        <f ca="1">_xlfn.IFNA(VLOOKUP(INDIRECT("G"&amp;ROW()),minfo!$A:$M,COLUMN()-8,0),"")</f>
        <v>MOOV Live 2013 苏打绿</v>
      </c>
      <c r="T171" s="4">
        <f ca="1">_xlfn.IFNA(VLOOKUP(INDIRECT("G"&amp;ROW()),minfo!$A:$M,COLUMN()-8,0),"")</f>
        <v>400198699</v>
      </c>
      <c r="U171" s="4" t="str">
        <f ca="1">_xlfn.IFNA(VLOOKUP(INDIRECT("G"&amp;ROW()),minfo!$A:$M,COLUMN()-8,0),"")</f>
        <v>音乐榜最高NO.7</v>
      </c>
    </row>
    <row r="172" spans="1:21" ht="15.75" customHeight="1">
      <c r="A172" s="15">
        <v>171</v>
      </c>
      <c r="B172" s="4" t="s">
        <v>3723</v>
      </c>
      <c r="C172" s="4">
        <v>172</v>
      </c>
      <c r="D172" s="4">
        <v>171</v>
      </c>
      <c r="E172" s="4" t="s">
        <v>699</v>
      </c>
      <c r="F172" s="16">
        <v>45006</v>
      </c>
      <c r="G172" s="5" t="s">
        <v>698</v>
      </c>
      <c r="H172" s="5" t="s">
        <v>3537</v>
      </c>
      <c r="I172" s="24" t="str">
        <f>HYPERLINK("https://www.bilibili.com/video/BV1ne4y1A7oM?p=171", "BV1ne4y1A7oM?p=171")</f>
        <v>BV1ne4y1A7oM?p=171</v>
      </c>
      <c r="J172" s="4" t="str">
        <f ca="1">_xlfn.IFNA(VLOOKUP(INDIRECT("G"&amp;ROW()),minfo!$A:$M,COLUMN()-8,0),"")</f>
        <v>凄美地</v>
      </c>
      <c r="K172" s="4" t="str">
        <f ca="1">_xlfn.IFNA(VLOOKUP(INDIRECT("G"&amp;ROW()),minfo!$A:$M,COLUMN()-8,0),"")</f>
        <v>郭顶</v>
      </c>
      <c r="L172" s="4">
        <f ca="1">_xlfn.IFNA(VLOOKUP(INDIRECT("G"&amp;ROW()),minfo!$A:$M,COLUMN()-8,0),"")</f>
        <v>0</v>
      </c>
      <c r="M172" s="4">
        <f ca="1">_xlfn.IFNA(VLOOKUP(INDIRECT("G"&amp;ROW()),minfo!$A:$M,COLUMN()-8,0),"")</f>
        <v>100657</v>
      </c>
      <c r="N172" s="4">
        <f ca="1">_xlfn.IFNA(VLOOKUP(INDIRECT("G"&amp;ROW()),minfo!$A:$M,COLUMN()-8,0),"")</f>
        <v>21121</v>
      </c>
      <c r="O172" s="4" t="str">
        <f ca="1">_xlfn.IFNA(VLOOKUP(INDIRECT("G"&amp;ROW()),minfo!$A:$M,COLUMN()-8,0),"")</f>
        <v>http://i0.hdslb.com/bfs/station_src/music_metadata/45c66fceda09e6bb1431d0bd2b04b2d9.jpg</v>
      </c>
      <c r="P172" s="4" t="str">
        <f ca="1">_xlfn.IFNA(VLOOKUP(INDIRECT("G"&amp;ROW()),minfo!$A:$M,COLUMN()-8,0),"")</f>
        <v>http://i0.hdslb.com/bfs/station_src/music_metadata/62c3f56521310cc5f6b88b48093213b2</v>
      </c>
      <c r="Q172" s="4">
        <f ca="1">_xlfn.IFNA(VLOOKUP(INDIRECT("G"&amp;ROW()),minfo!$A:$M,COLUMN()-8,0),"")</f>
        <v>18948</v>
      </c>
      <c r="R172" s="4">
        <f ca="1">_xlfn.IFNA(VLOOKUP(INDIRECT("G"&amp;ROW()),minfo!$A:$M,COLUMN()-8,0),"")</f>
        <v>0</v>
      </c>
      <c r="S172" s="4" t="str">
        <f ca="1">_xlfn.IFNA(VLOOKUP(INDIRECT("G"&amp;ROW()),minfo!$A:$M,COLUMN()-8,0),"")</f>
        <v>飞行器的执行周期</v>
      </c>
      <c r="T172" s="4">
        <f ca="1">_xlfn.IFNA(VLOOKUP(INDIRECT("G"&amp;ROW()),minfo!$A:$M,COLUMN()-8,0),"")</f>
        <v>1973644689</v>
      </c>
      <c r="U172" s="4" t="str">
        <f ca="1">_xlfn.IFNA(VLOOKUP(INDIRECT("G"&amp;ROW()),minfo!$A:$M,COLUMN()-8,0),"")</f>
        <v>音乐榜最高NO.1</v>
      </c>
    </row>
    <row r="173" spans="1:21" ht="15.75" customHeight="1">
      <c r="A173" s="15">
        <v>172</v>
      </c>
      <c r="B173" s="4" t="s">
        <v>3724</v>
      </c>
      <c r="C173" s="4">
        <v>173</v>
      </c>
      <c r="D173" s="4">
        <v>172</v>
      </c>
      <c r="E173" s="4" t="s">
        <v>754</v>
      </c>
      <c r="F173" s="16">
        <v>45006</v>
      </c>
      <c r="G173" s="5" t="s">
        <v>753</v>
      </c>
      <c r="H173" s="5" t="s">
        <v>3537</v>
      </c>
      <c r="I173" s="24" t="str">
        <f>HYPERLINK("https://www.bilibili.com/video/BV1ne4y1A7oM?p=172", "BV1ne4y1A7oM?p=172")</f>
        <v>BV1ne4y1A7oM?p=172</v>
      </c>
      <c r="J173" s="4" t="str">
        <f ca="1">_xlfn.IFNA(VLOOKUP(INDIRECT("G"&amp;ROW()),minfo!$A:$M,COLUMN()-8,0),"")</f>
        <v>台风</v>
      </c>
      <c r="K173" s="4" t="str">
        <f ca="1">_xlfn.IFNA(VLOOKUP(INDIRECT("G"&amp;ROW()),minfo!$A:$M,COLUMN()-8,0),"")</f>
        <v>郁一凡</v>
      </c>
      <c r="L173" s="4">
        <f ca="1">_xlfn.IFNA(VLOOKUP(INDIRECT("G"&amp;ROW()),minfo!$A:$M,COLUMN()-8,0),"")</f>
        <v>0</v>
      </c>
      <c r="M173" s="4">
        <f ca="1">_xlfn.IFNA(VLOOKUP(INDIRECT("G"&amp;ROW()),minfo!$A:$M,COLUMN()-8,0),"")</f>
        <v>0</v>
      </c>
      <c r="N173" s="4">
        <f ca="1">_xlfn.IFNA(VLOOKUP(INDIRECT("G"&amp;ROW()),minfo!$A:$M,COLUMN()-8,0),"")</f>
        <v>0</v>
      </c>
      <c r="O173" s="4" t="str">
        <f ca="1">_xlfn.IFNA(VLOOKUP(INDIRECT("G"&amp;ROW()),minfo!$A:$M,COLUMN()-8,0),"")</f>
        <v>https://i0.hdslb.com/bfs/station_src/music_metadata/e62e120e862336e6b171c835ae52b792.jpg</v>
      </c>
      <c r="P173" s="4" t="str">
        <f ca="1">_xlfn.IFNA(VLOOKUP(INDIRECT("G"&amp;ROW()),minfo!$A:$M,COLUMN()-8,0),"")</f>
        <v>https://i0.hdslb.com/bfs/station_src/music_metadata/4025503f8f2dced9cfa0f785fcbd250a.txt</v>
      </c>
      <c r="Q173" s="4">
        <f ca="1">_xlfn.IFNA(VLOOKUP(INDIRECT("G"&amp;ROW()),minfo!$A:$M,COLUMN()-8,0),"")</f>
        <v>18</v>
      </c>
      <c r="R173" s="4">
        <f ca="1">_xlfn.IFNA(VLOOKUP(INDIRECT("G"&amp;ROW()),minfo!$A:$M,COLUMN()-8,0),"")</f>
        <v>0</v>
      </c>
      <c r="S173" s="4" t="str">
        <f ca="1">_xlfn.IFNA(VLOOKUP(INDIRECT("G"&amp;ROW()),minfo!$A:$M,COLUMN()-8,0),"")</f>
        <v>我的音乐你听吗 第2期</v>
      </c>
      <c r="T173" s="4">
        <f ca="1">_xlfn.IFNA(VLOOKUP(INDIRECT("G"&amp;ROW()),minfo!$A:$M,COLUMN()-8,0),"")</f>
        <v>11454087</v>
      </c>
      <c r="U173" s="4">
        <f ca="1">_xlfn.IFNA(VLOOKUP(INDIRECT("G"&amp;ROW()),minfo!$A:$M,COLUMN()-8,0),"")</f>
        <v>0</v>
      </c>
    </row>
    <row r="174" spans="1:21" ht="15.75" customHeight="1">
      <c r="A174" s="15">
        <v>173</v>
      </c>
      <c r="B174" s="4" t="s">
        <v>3725</v>
      </c>
      <c r="C174" s="4">
        <v>174</v>
      </c>
      <c r="D174" s="4">
        <v>173</v>
      </c>
      <c r="E174" s="4" t="s">
        <v>760</v>
      </c>
      <c r="F174" s="16">
        <v>45006</v>
      </c>
      <c r="G174" s="5" t="s">
        <v>759</v>
      </c>
      <c r="H174" s="5" t="s">
        <v>3537</v>
      </c>
      <c r="I174" s="24" t="str">
        <f>HYPERLINK("https://www.bilibili.com/video/BV1ne4y1A7oM?p=173", "BV1ne4y1A7oM?p=173")</f>
        <v>BV1ne4y1A7oM?p=173</v>
      </c>
      <c r="J174" s="4" t="str">
        <f ca="1">_xlfn.IFNA(VLOOKUP(INDIRECT("G"&amp;ROW()),minfo!$A:$M,COLUMN()-8,0),"")</f>
        <v>大笨钟</v>
      </c>
      <c r="K174" s="4" t="str">
        <f ca="1">_xlfn.IFNA(VLOOKUP(INDIRECT("G"&amp;ROW()),minfo!$A:$M,COLUMN()-8,0),"")</f>
        <v>周杰伦</v>
      </c>
      <c r="L174" s="4">
        <f ca="1">_xlfn.IFNA(VLOOKUP(INDIRECT("G"&amp;ROW()),minfo!$A:$M,COLUMN()-8,0),"")</f>
        <v>0</v>
      </c>
      <c r="M174" s="4">
        <f ca="1">_xlfn.IFNA(VLOOKUP(INDIRECT("G"&amp;ROW()),minfo!$A:$M,COLUMN()-8,0),"")</f>
        <v>0</v>
      </c>
      <c r="N174" s="4">
        <f ca="1">_xlfn.IFNA(VLOOKUP(INDIRECT("G"&amp;ROW()),minfo!$A:$M,COLUMN()-8,0),"")</f>
        <v>0</v>
      </c>
      <c r="O174" s="4" t="str">
        <f ca="1">_xlfn.IFNA(VLOOKUP(INDIRECT("G"&amp;ROW()),minfo!$A:$M,COLUMN()-8,0),"")</f>
        <v>https://i0.hdslb.com/bfs/station_src/music_metadata/ec4dd0b1aa0bba73b944620a9f015307.jpg</v>
      </c>
      <c r="P174" s="4">
        <f ca="1">_xlfn.IFNA(VLOOKUP(INDIRECT("G"&amp;ROW()),minfo!$A:$M,COLUMN()-8,0),"")</f>
        <v>0</v>
      </c>
      <c r="Q174" s="4">
        <f ca="1">_xlfn.IFNA(VLOOKUP(INDIRECT("G"&amp;ROW()),minfo!$A:$M,COLUMN()-8,0),"")</f>
        <v>724</v>
      </c>
      <c r="R174" s="4">
        <f ca="1">_xlfn.IFNA(VLOOKUP(INDIRECT("G"&amp;ROW()),minfo!$A:$M,COLUMN()-8,0),"")</f>
        <v>0</v>
      </c>
      <c r="S174" s="4" t="str">
        <f ca="1">_xlfn.IFNA(VLOOKUP(INDIRECT("G"&amp;ROW()),minfo!$A:$M,COLUMN()-8,0),"")</f>
        <v>十二新作</v>
      </c>
      <c r="T174" s="4">
        <f ca="1">_xlfn.IFNA(VLOOKUP(INDIRECT("G"&amp;ROW()),minfo!$A:$M,COLUMN()-8,0),"")</f>
        <v>252697838</v>
      </c>
      <c r="U174" s="4">
        <f ca="1">_xlfn.IFNA(VLOOKUP(INDIRECT("G"&amp;ROW()),minfo!$A:$M,COLUMN()-8,0),"")</f>
        <v>0</v>
      </c>
    </row>
    <row r="175" spans="1:21" ht="15.75" customHeight="1">
      <c r="A175" s="15">
        <v>174</v>
      </c>
      <c r="B175" s="4" t="s">
        <v>3726</v>
      </c>
      <c r="C175" s="4">
        <v>175</v>
      </c>
      <c r="D175" s="4">
        <v>174</v>
      </c>
      <c r="E175" s="4" t="s">
        <v>47</v>
      </c>
      <c r="F175" s="16">
        <v>45006</v>
      </c>
      <c r="G175" s="5" t="s">
        <v>46</v>
      </c>
      <c r="H175" s="5" t="s">
        <v>3537</v>
      </c>
      <c r="I175" s="24" t="str">
        <f>HYPERLINK("https://www.bilibili.com/video/BV1ne4y1A7oM?p=174", "BV1ne4y1A7oM?p=174")</f>
        <v>BV1ne4y1A7oM?p=174</v>
      </c>
      <c r="J175" s="4" t="str">
        <f ca="1">_xlfn.IFNA(VLOOKUP(INDIRECT("G"&amp;ROW()),minfo!$A:$M,COLUMN()-8,0),"")</f>
        <v>在夜里跳舞</v>
      </c>
      <c r="K175" s="4" t="str">
        <f ca="1">_xlfn.IFNA(VLOOKUP(INDIRECT("G"&amp;ROW()),minfo!$A:$M,COLUMN()-8,0),"")</f>
        <v>单依纯</v>
      </c>
      <c r="L175" s="4">
        <f ca="1">_xlfn.IFNA(VLOOKUP(INDIRECT("G"&amp;ROW()),minfo!$A:$M,COLUMN()-8,0),"")</f>
        <v>0</v>
      </c>
      <c r="M175" s="4">
        <f ca="1">_xlfn.IFNA(VLOOKUP(INDIRECT("G"&amp;ROW()),minfo!$A:$M,COLUMN()-8,0),"")</f>
        <v>0</v>
      </c>
      <c r="N175" s="4">
        <f ca="1">_xlfn.IFNA(VLOOKUP(INDIRECT("G"&amp;ROW()),minfo!$A:$M,COLUMN()-8,0),"")</f>
        <v>0</v>
      </c>
      <c r="O175" s="4" t="str">
        <f ca="1">_xlfn.IFNA(VLOOKUP(INDIRECT("G"&amp;ROW()),minfo!$A:$M,COLUMN()-8,0),"")</f>
        <v>https://i0.hdslb.com/bfs/station_src/music_metadata/8290748e31edb0e5ad1e0965087b2aab.jpg</v>
      </c>
      <c r="P175" s="4" t="str">
        <f ca="1">_xlfn.IFNA(VLOOKUP(INDIRECT("G"&amp;ROW()),minfo!$A:$M,COLUMN()-8,0),"")</f>
        <v>http://i0.hdslb.com/bfs/station_src/music_metadata/29d5595276e7ec7758df19c35809517b</v>
      </c>
      <c r="Q175" s="4">
        <f ca="1">_xlfn.IFNA(VLOOKUP(INDIRECT("G"&amp;ROW()),minfo!$A:$M,COLUMN()-8,0),"")</f>
        <v>298</v>
      </c>
      <c r="R175" s="4">
        <f ca="1">_xlfn.IFNA(VLOOKUP(INDIRECT("G"&amp;ROW()),minfo!$A:$M,COLUMN()-8,0),"")</f>
        <v>0</v>
      </c>
      <c r="S175" s="4" t="str">
        <f ca="1">_xlfn.IFNA(VLOOKUP(INDIRECT("G"&amp;ROW()),minfo!$A:$M,COLUMN()-8,0),"")</f>
        <v>在夜里跳舞</v>
      </c>
      <c r="T175" s="4">
        <f ca="1">_xlfn.IFNA(VLOOKUP(INDIRECT("G"&amp;ROW()),minfo!$A:$M,COLUMN()-8,0),"")</f>
        <v>21106106</v>
      </c>
      <c r="U175" s="4">
        <f ca="1">_xlfn.IFNA(VLOOKUP(INDIRECT("G"&amp;ROW()),minfo!$A:$M,COLUMN()-8,0),"")</f>
        <v>0</v>
      </c>
    </row>
    <row r="176" spans="1:21" ht="15.75" customHeight="1">
      <c r="A176" s="15">
        <v>175</v>
      </c>
      <c r="B176" s="4" t="s">
        <v>3727</v>
      </c>
      <c r="C176" s="4">
        <v>176</v>
      </c>
      <c r="D176" s="4">
        <v>175</v>
      </c>
      <c r="E176" s="4" t="s">
        <v>3610</v>
      </c>
      <c r="F176" s="16">
        <v>45006</v>
      </c>
      <c r="G176" s="5" t="s">
        <v>398</v>
      </c>
      <c r="H176" s="5" t="s">
        <v>3537</v>
      </c>
      <c r="I176" s="24" t="str">
        <f>HYPERLINK("https://www.bilibili.com/video/BV1ne4y1A7oM?p=175", "BV1ne4y1A7oM?p=175")</f>
        <v>BV1ne4y1A7oM?p=175</v>
      </c>
      <c r="J176" s="4" t="str">
        <f ca="1">_xlfn.IFNA(VLOOKUP(INDIRECT("G"&amp;ROW()),minfo!$A:$M,COLUMN()-8,0),"")</f>
        <v>Paper Hearts</v>
      </c>
      <c r="K176" s="4" t="str">
        <f ca="1">_xlfn.IFNA(VLOOKUP(INDIRECT("G"&amp;ROW()),minfo!$A:$M,COLUMN()-8,0),"")</f>
        <v>Tori Kelly</v>
      </c>
      <c r="L176" s="4">
        <f ca="1">_xlfn.IFNA(VLOOKUP(INDIRECT("G"&amp;ROW()),minfo!$A:$M,COLUMN()-8,0),"")</f>
        <v>0</v>
      </c>
      <c r="M176" s="4">
        <f ca="1">_xlfn.IFNA(VLOOKUP(INDIRECT("G"&amp;ROW()),minfo!$A:$M,COLUMN()-8,0),"")</f>
        <v>0</v>
      </c>
      <c r="N176" s="4">
        <f ca="1">_xlfn.IFNA(VLOOKUP(INDIRECT("G"&amp;ROW()),minfo!$A:$M,COLUMN()-8,0),"")</f>
        <v>0</v>
      </c>
      <c r="O176" s="4" t="str">
        <f ca="1">_xlfn.IFNA(VLOOKUP(INDIRECT("G"&amp;ROW()),minfo!$A:$M,COLUMN()-8,0),"")</f>
        <v>https://i0.hdslb.com/bfs/station_src/music_metadata/d163890fde7ff71487a0619f16a06100.jpg</v>
      </c>
      <c r="P176" s="4">
        <f ca="1">_xlfn.IFNA(VLOOKUP(INDIRECT("G"&amp;ROW()),minfo!$A:$M,COLUMN()-8,0),"")</f>
        <v>0</v>
      </c>
      <c r="Q176" s="4">
        <f ca="1">_xlfn.IFNA(VLOOKUP(INDIRECT("G"&amp;ROW()),minfo!$A:$M,COLUMN()-8,0),"")</f>
        <v>65</v>
      </c>
      <c r="R176" s="4">
        <f ca="1">_xlfn.IFNA(VLOOKUP(INDIRECT("G"&amp;ROW()),minfo!$A:$M,COLUMN()-8,0),"")</f>
        <v>0</v>
      </c>
      <c r="S176" s="4" t="str">
        <f ca="1">_xlfn.IFNA(VLOOKUP(INDIRECT("G"&amp;ROW()),minfo!$A:$M,COLUMN()-8,0),"")</f>
        <v>Foreword</v>
      </c>
      <c r="T176" s="4">
        <f ca="1">_xlfn.IFNA(VLOOKUP(INDIRECT("G"&amp;ROW()),minfo!$A:$M,COLUMN()-8,0),"")</f>
        <v>14743388</v>
      </c>
      <c r="U176" s="4">
        <f ca="1">_xlfn.IFNA(VLOOKUP(INDIRECT("G"&amp;ROW()),minfo!$A:$M,COLUMN()-8,0),"")</f>
        <v>0</v>
      </c>
    </row>
    <row r="177" spans="1:21" ht="15.75" customHeight="1">
      <c r="A177" s="15">
        <v>176</v>
      </c>
      <c r="B177" s="4" t="s">
        <v>3728</v>
      </c>
      <c r="C177" s="4">
        <v>177</v>
      </c>
      <c r="D177" s="4">
        <v>176</v>
      </c>
      <c r="E177" s="4" t="s">
        <v>488</v>
      </c>
      <c r="F177" s="16">
        <v>45006</v>
      </c>
      <c r="G177" s="5" t="s">
        <v>487</v>
      </c>
      <c r="H177" s="5" t="s">
        <v>3537</v>
      </c>
      <c r="I177" s="24" t="str">
        <f>HYPERLINK("https://www.bilibili.com/video/BV1ne4y1A7oM?p=176", "BV1ne4y1A7oM?p=176")</f>
        <v>BV1ne4y1A7oM?p=176</v>
      </c>
      <c r="J177" s="4" t="str">
        <f ca="1">_xlfn.IFNA(VLOOKUP(INDIRECT("G"&amp;ROW()),minfo!$A:$M,COLUMN()-8,0),"")</f>
        <v>如此</v>
      </c>
      <c r="K177" s="4" t="str">
        <f ca="1">_xlfn.IFNA(VLOOKUP(INDIRECT("G"&amp;ROW()),minfo!$A:$M,COLUMN()-8,0),"")</f>
        <v>单依纯</v>
      </c>
      <c r="L177" s="4">
        <f ca="1">_xlfn.IFNA(VLOOKUP(INDIRECT("G"&amp;ROW()),minfo!$A:$M,COLUMN()-8,0),"")</f>
        <v>0</v>
      </c>
      <c r="M177" s="4">
        <f ca="1">_xlfn.IFNA(VLOOKUP(INDIRECT("G"&amp;ROW()),minfo!$A:$M,COLUMN()-8,0),"")</f>
        <v>0</v>
      </c>
      <c r="N177" s="4">
        <f ca="1">_xlfn.IFNA(VLOOKUP(INDIRECT("G"&amp;ROW()),minfo!$A:$M,COLUMN()-8,0),"")</f>
        <v>0</v>
      </c>
      <c r="O177" s="4" t="str">
        <f ca="1">_xlfn.IFNA(VLOOKUP(INDIRECT("G"&amp;ROW()),minfo!$A:$M,COLUMN()-8,0),"")</f>
        <v>https://i0.hdslb.com/bfs/station_src/music_metadata/02e014c37d605c9c48efcef4cb1658b5.jpg</v>
      </c>
      <c r="P177" s="4">
        <f ca="1">_xlfn.IFNA(VLOOKUP(INDIRECT("G"&amp;ROW()),minfo!$A:$M,COLUMN()-8,0),"")</f>
        <v>0</v>
      </c>
      <c r="Q177" s="4">
        <f ca="1">_xlfn.IFNA(VLOOKUP(INDIRECT("G"&amp;ROW()),minfo!$A:$M,COLUMN()-8,0),"")</f>
        <v>32</v>
      </c>
      <c r="R177" s="4">
        <f ca="1">_xlfn.IFNA(VLOOKUP(INDIRECT("G"&amp;ROW()),minfo!$A:$M,COLUMN()-8,0),"")</f>
        <v>0</v>
      </c>
      <c r="S177" s="4" t="str">
        <f ca="1">_xlfn.IFNA(VLOOKUP(INDIRECT("G"&amp;ROW()),minfo!$A:$M,COLUMN()-8,0),"")</f>
        <v>2020中国好声音 第10期</v>
      </c>
      <c r="T177" s="4">
        <f ca="1">_xlfn.IFNA(VLOOKUP(INDIRECT("G"&amp;ROW()),minfo!$A:$M,COLUMN()-8,0),"")</f>
        <v>13362616</v>
      </c>
      <c r="U177" s="4">
        <f ca="1">_xlfn.IFNA(VLOOKUP(INDIRECT("G"&amp;ROW()),minfo!$A:$M,COLUMN()-8,0),"")</f>
        <v>0</v>
      </c>
    </row>
    <row r="178" spans="1:21" ht="15.75" customHeight="1">
      <c r="A178" s="15">
        <v>177</v>
      </c>
      <c r="B178" s="4" t="s">
        <v>3729</v>
      </c>
      <c r="C178" s="4">
        <v>178</v>
      </c>
      <c r="D178" s="4">
        <v>177</v>
      </c>
      <c r="E178" s="4" t="s">
        <v>763</v>
      </c>
      <c r="F178" s="16">
        <v>45006</v>
      </c>
      <c r="G178" s="5" t="s">
        <v>762</v>
      </c>
      <c r="H178" s="5" t="s">
        <v>3537</v>
      </c>
      <c r="I178" s="24" t="str">
        <f>HYPERLINK("https://www.bilibili.com/video/BV1ne4y1A7oM?p=177", "BV1ne4y1A7oM?p=177")</f>
        <v>BV1ne4y1A7oM?p=177</v>
      </c>
      <c r="J178" s="4" t="str">
        <f ca="1">_xlfn.IFNA(VLOOKUP(INDIRECT("G"&amp;ROW()),minfo!$A:$M,COLUMN()-8,0),"")</f>
        <v>喂</v>
      </c>
      <c r="K178" s="4" t="str">
        <f ca="1">_xlfn.IFNA(VLOOKUP(INDIRECT("G"&amp;ROW()),minfo!$A:$M,COLUMN()-8,0),"")</f>
        <v>单依纯</v>
      </c>
      <c r="L178" s="4">
        <f ca="1">_xlfn.IFNA(VLOOKUP(INDIRECT("G"&amp;ROW()),minfo!$A:$M,COLUMN()-8,0),"")</f>
        <v>0</v>
      </c>
      <c r="M178" s="4">
        <f ca="1">_xlfn.IFNA(VLOOKUP(INDIRECT("G"&amp;ROW()),minfo!$A:$M,COLUMN()-8,0),"")</f>
        <v>0</v>
      </c>
      <c r="N178" s="4">
        <f ca="1">_xlfn.IFNA(VLOOKUP(INDIRECT("G"&amp;ROW()),minfo!$A:$M,COLUMN()-8,0),"")</f>
        <v>0</v>
      </c>
      <c r="O178" s="4" t="str">
        <f ca="1">_xlfn.IFNA(VLOOKUP(INDIRECT("G"&amp;ROW()),minfo!$A:$M,COLUMN()-8,0),"")</f>
        <v>http://i0.hdslb.com/bfs/station_src/music_metadata/3e25166ec82d69eca35a1a16729579ed.jpg</v>
      </c>
      <c r="P178" s="4" t="str">
        <f ca="1">_xlfn.IFNA(VLOOKUP(INDIRECT("G"&amp;ROW()),minfo!$A:$M,COLUMN()-8,0),"")</f>
        <v>http://i0.hdslb.com/bfs/station_src/music_metadata/2751e8840adbe50ca18c15e272712e78</v>
      </c>
      <c r="Q178" s="4">
        <f ca="1">_xlfn.IFNA(VLOOKUP(INDIRECT("G"&amp;ROW()),minfo!$A:$M,COLUMN()-8,0),"")</f>
        <v>90</v>
      </c>
      <c r="R178" s="4">
        <f ca="1">_xlfn.IFNA(VLOOKUP(INDIRECT("G"&amp;ROW()),minfo!$A:$M,COLUMN()-8,0),"")</f>
        <v>0</v>
      </c>
      <c r="S178" s="4" t="str">
        <f ca="1">_xlfn.IFNA(VLOOKUP(INDIRECT("G"&amp;ROW()),minfo!$A:$M,COLUMN()-8,0),"")</f>
        <v>喂</v>
      </c>
      <c r="T178" s="4">
        <f ca="1">_xlfn.IFNA(VLOOKUP(INDIRECT("G"&amp;ROW()),minfo!$A:$M,COLUMN()-8,0),"")</f>
        <v>9314230</v>
      </c>
      <c r="U178" s="4">
        <f ca="1">_xlfn.IFNA(VLOOKUP(INDIRECT("G"&amp;ROW()),minfo!$A:$M,COLUMN()-8,0),"")</f>
        <v>0</v>
      </c>
    </row>
    <row r="179" spans="1:21" ht="15.75" customHeight="1">
      <c r="A179" s="15">
        <v>178</v>
      </c>
      <c r="B179" s="4" t="s">
        <v>3730</v>
      </c>
      <c r="C179" s="4">
        <v>179</v>
      </c>
      <c r="D179" s="4">
        <v>178</v>
      </c>
      <c r="E179" s="4" t="s">
        <v>579</v>
      </c>
      <c r="F179" s="16">
        <v>45006</v>
      </c>
      <c r="G179" s="5" t="s">
        <v>578</v>
      </c>
      <c r="H179" s="5" t="s">
        <v>3537</v>
      </c>
      <c r="I179" s="24" t="str">
        <f>HYPERLINK("https://www.bilibili.com/video/BV1ne4y1A7oM?p=178", "BV1ne4y1A7oM?p=178")</f>
        <v>BV1ne4y1A7oM?p=178</v>
      </c>
      <c r="J179" s="4" t="str">
        <f ca="1">_xlfn.IFNA(VLOOKUP(INDIRECT("G"&amp;ROW()),minfo!$A:$M,COLUMN()-8,0),"")</f>
        <v>月光</v>
      </c>
      <c r="K179" s="4" t="str">
        <f ca="1">_xlfn.IFNA(VLOOKUP(INDIRECT("G"&amp;ROW()),minfo!$A:$M,COLUMN()-8,0),"")</f>
        <v>胡彦斌</v>
      </c>
      <c r="L179" s="4">
        <f ca="1">_xlfn.IFNA(VLOOKUP(INDIRECT("G"&amp;ROW()),minfo!$A:$M,COLUMN()-8,0),"")</f>
        <v>0</v>
      </c>
      <c r="M179" s="4">
        <f ca="1">_xlfn.IFNA(VLOOKUP(INDIRECT("G"&amp;ROW()),minfo!$A:$M,COLUMN()-8,0),"")</f>
        <v>0</v>
      </c>
      <c r="N179" s="4">
        <f ca="1">_xlfn.IFNA(VLOOKUP(INDIRECT("G"&amp;ROW()),minfo!$A:$M,COLUMN()-8,0),"")</f>
        <v>0</v>
      </c>
      <c r="O179" s="4" t="str">
        <f ca="1">_xlfn.IFNA(VLOOKUP(INDIRECT("G"&amp;ROW()),minfo!$A:$M,COLUMN()-8,0),"")</f>
        <v>https://i0.hdslb.com/bfs/station_src/music_metadata/7cc411366d037e788cb0589e4b72b353.jpg</v>
      </c>
      <c r="P179" s="4" t="str">
        <f ca="1">_xlfn.IFNA(VLOOKUP(INDIRECT("G"&amp;ROW()),minfo!$A:$M,COLUMN()-8,0),"")</f>
        <v>https://i0.hdslb.com/bfs/station_src/music_metadata/24b147c13fc9ffd4dfb30a3a88355255.txt</v>
      </c>
      <c r="Q179" s="4">
        <f ca="1">_xlfn.IFNA(VLOOKUP(INDIRECT("G"&amp;ROW()),minfo!$A:$M,COLUMN()-8,0),"")</f>
        <v>3207</v>
      </c>
      <c r="R179" s="4" t="str">
        <f ca="1">_xlfn.IFNA(VLOOKUP(INDIRECT("G"&amp;ROW()),minfo!$A:$M,COLUMN()-8,0),"")</f>
        <v>《秦时明月》动画主题曲|《秦时明月之君临天下》动画片头曲</v>
      </c>
      <c r="S179" s="4" t="str">
        <f ca="1">_xlfn.IFNA(VLOOKUP(INDIRECT("G"&amp;ROW()),minfo!$A:$M,COLUMN()-8,0),"")</f>
        <v>男人歌 (全胜铂金版)</v>
      </c>
      <c r="T179" s="4">
        <f ca="1">_xlfn.IFNA(VLOOKUP(INDIRECT("G"&amp;ROW()),minfo!$A:$M,COLUMN()-8,0),"")</f>
        <v>276993628</v>
      </c>
      <c r="U179" s="4">
        <f ca="1">_xlfn.IFNA(VLOOKUP(INDIRECT("G"&amp;ROW()),minfo!$A:$M,COLUMN()-8,0),"")</f>
        <v>0</v>
      </c>
    </row>
    <row r="180" spans="1:21" ht="15.75" customHeight="1">
      <c r="A180" s="15">
        <v>179</v>
      </c>
      <c r="B180" s="4" t="s">
        <v>3731</v>
      </c>
      <c r="C180" s="4">
        <v>180</v>
      </c>
      <c r="D180" s="4">
        <v>179</v>
      </c>
      <c r="E180" s="4" t="s">
        <v>659</v>
      </c>
      <c r="F180" s="16">
        <v>45006</v>
      </c>
      <c r="G180" s="5" t="s">
        <v>658</v>
      </c>
      <c r="H180" s="5" t="s">
        <v>3537</v>
      </c>
      <c r="I180" s="24" t="str">
        <f>HYPERLINK("https://www.bilibili.com/video/BV1ne4y1A7oM?p=179", "BV1ne4y1A7oM?p=179")</f>
        <v>BV1ne4y1A7oM?p=179</v>
      </c>
      <c r="J180" s="4" t="str">
        <f ca="1">_xlfn.IFNA(VLOOKUP(INDIRECT("G"&amp;ROW()),minfo!$A:$M,COLUMN()-8,0),"")</f>
        <v>爱就一个字</v>
      </c>
      <c r="K180" s="4" t="str">
        <f ca="1">_xlfn.IFNA(VLOOKUP(INDIRECT("G"&amp;ROW()),minfo!$A:$M,COLUMN()-8,0),"")</f>
        <v>张信哲</v>
      </c>
      <c r="L180" s="4">
        <f ca="1">_xlfn.IFNA(VLOOKUP(INDIRECT("G"&amp;ROW()),minfo!$A:$M,COLUMN()-8,0),"")</f>
        <v>0</v>
      </c>
      <c r="M180" s="4">
        <f ca="1">_xlfn.IFNA(VLOOKUP(INDIRECT("G"&amp;ROW()),minfo!$A:$M,COLUMN()-8,0),"")</f>
        <v>0</v>
      </c>
      <c r="N180" s="4">
        <f ca="1">_xlfn.IFNA(VLOOKUP(INDIRECT("G"&amp;ROW()),minfo!$A:$M,COLUMN()-8,0),"")</f>
        <v>0</v>
      </c>
      <c r="O180" s="4" t="str">
        <f ca="1">_xlfn.IFNA(VLOOKUP(INDIRECT("G"&amp;ROW()),minfo!$A:$M,COLUMN()-8,0),"")</f>
        <v>https://i0.hdslb.com/bfs/station_src/music_metadata/eedf3625069b7bc0f7e914af5059ac37.jpg</v>
      </c>
      <c r="P180" s="4" t="str">
        <f ca="1">_xlfn.IFNA(VLOOKUP(INDIRECT("G"&amp;ROW()),minfo!$A:$M,COLUMN()-8,0),"")</f>
        <v>https://i0.hdslb.com/bfs/station_src/music_metadata/e9904da2f3f323dfba2f266736dcfd88.txt</v>
      </c>
      <c r="Q180" s="4">
        <f ca="1">_xlfn.IFNA(VLOOKUP(INDIRECT("G"&amp;ROW()),minfo!$A:$M,COLUMN()-8,0),"")</f>
        <v>737</v>
      </c>
      <c r="R180" s="4">
        <f ca="1">_xlfn.IFNA(VLOOKUP(INDIRECT("G"&amp;ROW()),minfo!$A:$M,COLUMN()-8,0),"")</f>
        <v>0</v>
      </c>
      <c r="S180" s="4" t="str">
        <f ca="1">_xlfn.IFNA(VLOOKUP(INDIRECT("G"&amp;ROW()),minfo!$A:$M,COLUMN()-8,0),"")</f>
        <v>我好想</v>
      </c>
      <c r="T180" s="4">
        <f ca="1">_xlfn.IFNA(VLOOKUP(INDIRECT("G"&amp;ROW()),minfo!$A:$M,COLUMN()-8,0),"")</f>
        <v>223366660</v>
      </c>
      <c r="U180" s="4">
        <f ca="1">_xlfn.IFNA(VLOOKUP(INDIRECT("G"&amp;ROW()),minfo!$A:$M,COLUMN()-8,0),"")</f>
        <v>0</v>
      </c>
    </row>
    <row r="181" spans="1:21" ht="15.75" customHeight="1">
      <c r="A181" s="15">
        <v>180</v>
      </c>
      <c r="B181" s="4" t="s">
        <v>3732</v>
      </c>
      <c r="C181" s="4">
        <v>181</v>
      </c>
      <c r="D181" s="4">
        <v>180</v>
      </c>
      <c r="E181" s="4" t="s">
        <v>767</v>
      </c>
      <c r="F181" s="16">
        <v>45006</v>
      </c>
      <c r="G181" s="5" t="s">
        <v>766</v>
      </c>
      <c r="H181" s="5" t="s">
        <v>3537</v>
      </c>
      <c r="I181" s="24" t="str">
        <f>HYPERLINK("https://www.bilibili.com/video/BV1ne4y1A7oM?p=180", "BV1ne4y1A7oM?p=180")</f>
        <v>BV1ne4y1A7oM?p=180</v>
      </c>
      <c r="J181" s="4" t="str">
        <f ca="1">_xlfn.IFNA(VLOOKUP(INDIRECT("G"&amp;ROW()),minfo!$A:$M,COLUMN()-8,0),"")</f>
        <v>爱如潮水</v>
      </c>
      <c r="K181" s="4" t="str">
        <f ca="1">_xlfn.IFNA(VLOOKUP(INDIRECT("G"&amp;ROW()),minfo!$A:$M,COLUMN()-8,0),"")</f>
        <v>张信哲</v>
      </c>
      <c r="L181" s="4">
        <f ca="1">_xlfn.IFNA(VLOOKUP(INDIRECT("G"&amp;ROW()),minfo!$A:$M,COLUMN()-8,0),"")</f>
        <v>0</v>
      </c>
      <c r="M181" s="4">
        <f ca="1">_xlfn.IFNA(VLOOKUP(INDIRECT("G"&amp;ROW()),minfo!$A:$M,COLUMN()-8,0),"")</f>
        <v>0</v>
      </c>
      <c r="N181" s="4">
        <f ca="1">_xlfn.IFNA(VLOOKUP(INDIRECT("G"&amp;ROW()),minfo!$A:$M,COLUMN()-8,0),"")</f>
        <v>0</v>
      </c>
      <c r="O181" s="4" t="str">
        <f ca="1">_xlfn.IFNA(VLOOKUP(INDIRECT("G"&amp;ROW()),minfo!$A:$M,COLUMN()-8,0),"")</f>
        <v>https://i0.hdslb.com/bfs/station_src/music_metadata/8779c1ac31d3b3a08de562cf24e8207c.jpg</v>
      </c>
      <c r="P181" s="4" t="str">
        <f ca="1">_xlfn.IFNA(VLOOKUP(INDIRECT("G"&amp;ROW()),minfo!$A:$M,COLUMN()-8,0),"")</f>
        <v>http://i0.hdslb.com/bfs/station_src/music_metadata/6d448393a2c136d5067765a4e66ac74d</v>
      </c>
      <c r="Q181" s="4">
        <f ca="1">_xlfn.IFNA(VLOOKUP(INDIRECT("G"&amp;ROW()),minfo!$A:$M,COLUMN()-8,0),"")</f>
        <v>421</v>
      </c>
      <c r="R181" s="4">
        <f ca="1">_xlfn.IFNA(VLOOKUP(INDIRECT("G"&amp;ROW()),minfo!$A:$M,COLUMN()-8,0),"")</f>
        <v>0</v>
      </c>
      <c r="S181" s="4" t="str">
        <f ca="1">_xlfn.IFNA(VLOOKUP(INDIRECT("G"&amp;ROW()),minfo!$A:$M,COLUMN()-8,0),"")</f>
        <v>心事</v>
      </c>
      <c r="T181" s="4">
        <f ca="1">_xlfn.IFNA(VLOOKUP(INDIRECT("G"&amp;ROW()),minfo!$A:$M,COLUMN()-8,0),"")</f>
        <v>159595948</v>
      </c>
      <c r="U181" s="4">
        <f ca="1">_xlfn.IFNA(VLOOKUP(INDIRECT("G"&amp;ROW()),minfo!$A:$M,COLUMN()-8,0),"")</f>
        <v>0</v>
      </c>
    </row>
    <row r="182" spans="1:21" ht="15.75" customHeight="1">
      <c r="A182" s="15">
        <v>181</v>
      </c>
      <c r="B182" s="4" t="s">
        <v>3733</v>
      </c>
      <c r="C182" s="4">
        <v>182</v>
      </c>
      <c r="D182" s="4">
        <v>181</v>
      </c>
      <c r="E182" s="4" t="s">
        <v>3734</v>
      </c>
      <c r="F182" s="16">
        <v>45006</v>
      </c>
      <c r="G182" s="5" t="s">
        <v>771</v>
      </c>
      <c r="H182" s="5" t="s">
        <v>3537</v>
      </c>
      <c r="I182" s="24" t="str">
        <f>HYPERLINK("https://www.bilibili.com/video/BV1ne4y1A7oM?p=181", "BV1ne4y1A7oM?p=181")</f>
        <v>BV1ne4y1A7oM?p=181</v>
      </c>
      <c r="J182" s="4" t="str">
        <f ca="1">_xlfn.IFNA(VLOOKUP(INDIRECT("G"&amp;ROW()),minfo!$A:$M,COLUMN()-8,0),"")</f>
        <v>Da Capo</v>
      </c>
      <c r="K182" s="4" t="str">
        <f ca="1">_xlfn.IFNA(VLOOKUP(INDIRECT("G"&amp;ROW()),minfo!$A:$M,COLUMN()-8,0),"")</f>
        <v>HOYO-MiX</v>
      </c>
      <c r="L182" s="4">
        <f ca="1">_xlfn.IFNA(VLOOKUP(INDIRECT("G"&amp;ROW()),minfo!$A:$M,COLUMN()-8,0),"")</f>
        <v>0</v>
      </c>
      <c r="M182" s="4">
        <f ca="1">_xlfn.IFNA(VLOOKUP(INDIRECT("G"&amp;ROW()),minfo!$A:$M,COLUMN()-8,0),"")</f>
        <v>371028</v>
      </c>
      <c r="N182" s="4">
        <f ca="1">_xlfn.IFNA(VLOOKUP(INDIRECT("G"&amp;ROW()),minfo!$A:$M,COLUMN()-8,0),"")</f>
        <v>46827</v>
      </c>
      <c r="O182" s="4" t="str">
        <f ca="1">_xlfn.IFNA(VLOOKUP(INDIRECT("G"&amp;ROW()),minfo!$A:$M,COLUMN()-8,0),"")</f>
        <v>https://i0.hdslb.com/bfs/station_src/music_metadata/7a9cf5180d2e8b433b69c7064ff0efe1.jpg</v>
      </c>
      <c r="P182" s="4">
        <f ca="1">_xlfn.IFNA(VLOOKUP(INDIRECT("G"&amp;ROW()),minfo!$A:$M,COLUMN()-8,0),"")</f>
        <v>0</v>
      </c>
      <c r="Q182" s="4">
        <f ca="1">_xlfn.IFNA(VLOOKUP(INDIRECT("G"&amp;ROW()),minfo!$A:$M,COLUMN()-8,0),"")</f>
        <v>6426</v>
      </c>
      <c r="R182" s="4">
        <f ca="1">_xlfn.IFNA(VLOOKUP(INDIRECT("G"&amp;ROW()),minfo!$A:$M,COLUMN()-8,0),"")</f>
        <v>0</v>
      </c>
      <c r="S182" s="4" t="str">
        <f ca="1">_xlfn.IFNA(VLOOKUP(INDIRECT("G"&amp;ROW()),minfo!$A:$M,COLUMN()-8,0),"")</f>
        <v>Da Capo</v>
      </c>
      <c r="T182" s="4">
        <f ca="1">_xlfn.IFNA(VLOOKUP(INDIRECT("G"&amp;ROW()),minfo!$A:$M,COLUMN()-8,0),"")</f>
        <v>127070294</v>
      </c>
      <c r="U182" s="4" t="str">
        <f ca="1">_xlfn.IFNA(VLOOKUP(INDIRECT("G"&amp;ROW()),minfo!$A:$M,COLUMN()-8,0),"")</f>
        <v>音乐榜最高NO.1</v>
      </c>
    </row>
    <row r="183" spans="1:21" ht="15.75" customHeight="1">
      <c r="A183" s="15">
        <v>182</v>
      </c>
      <c r="B183" s="4" t="s">
        <v>3735</v>
      </c>
      <c r="C183" s="4">
        <v>183</v>
      </c>
      <c r="D183" s="4">
        <v>182</v>
      </c>
      <c r="E183" s="4" t="s">
        <v>775</v>
      </c>
      <c r="F183" s="16">
        <v>45007</v>
      </c>
      <c r="G183" s="5" t="s">
        <v>774</v>
      </c>
      <c r="H183" s="5" t="s">
        <v>3537</v>
      </c>
      <c r="I183" s="24" t="str">
        <f>HYPERLINK("https://www.bilibili.com/video/BV1ne4y1A7oM?p=182", "BV1ne4y1A7oM?p=182")</f>
        <v>BV1ne4y1A7oM?p=182</v>
      </c>
      <c r="J183" s="4" t="str">
        <f ca="1">_xlfn.IFNA(VLOOKUP(INDIRECT("G"&amp;ROW()),minfo!$A:$M,COLUMN()-8,0),"")</f>
        <v>我的梦</v>
      </c>
      <c r="K183" s="4" t="str">
        <f ca="1">_xlfn.IFNA(VLOOKUP(INDIRECT("G"&amp;ROW()),minfo!$A:$M,COLUMN()-8,0),"")</f>
        <v>张靓颖</v>
      </c>
      <c r="L183" s="4">
        <f ca="1">_xlfn.IFNA(VLOOKUP(INDIRECT("G"&amp;ROW()),minfo!$A:$M,COLUMN()-8,0),"")</f>
        <v>0</v>
      </c>
      <c r="M183" s="4">
        <f ca="1">_xlfn.IFNA(VLOOKUP(INDIRECT("G"&amp;ROW()),minfo!$A:$M,COLUMN()-8,0),"")</f>
        <v>0</v>
      </c>
      <c r="N183" s="4">
        <f ca="1">_xlfn.IFNA(VLOOKUP(INDIRECT("G"&amp;ROW()),minfo!$A:$M,COLUMN()-8,0),"")</f>
        <v>0</v>
      </c>
      <c r="O183" s="4" t="str">
        <f ca="1">_xlfn.IFNA(VLOOKUP(INDIRECT("G"&amp;ROW()),minfo!$A:$M,COLUMN()-8,0),"")</f>
        <v>https://i0.hdslb.com/bfs/station_src/music_metadata/835602ae15dd1b906d1ff30173ed231b.jpg</v>
      </c>
      <c r="P183" s="4" t="str">
        <f ca="1">_xlfn.IFNA(VLOOKUP(INDIRECT("G"&amp;ROW()),minfo!$A:$M,COLUMN()-8,0),"")</f>
        <v>http://i0.hdslb.com/bfs/station_src/music_metadata/64616656b314bfa45e6146933adda63f</v>
      </c>
      <c r="Q183" s="4">
        <f ca="1">_xlfn.IFNA(VLOOKUP(INDIRECT("G"&amp;ROW()),minfo!$A:$M,COLUMN()-8,0),"")</f>
        <v>227</v>
      </c>
      <c r="R183" s="4" t="str">
        <f ca="1">_xlfn.IFNA(VLOOKUP(INDIRECT("G"&amp;ROW()),minfo!$A:$M,COLUMN()-8,0),"")</f>
        <v>华为手机主题曲|《为了你我愿意热爱整个世界》影视剧主题曲</v>
      </c>
      <c r="S183" s="4" t="str">
        <f ca="1">_xlfn.IFNA(VLOOKUP(INDIRECT("G"&amp;ROW()),minfo!$A:$M,COLUMN()-8,0),"")</f>
        <v>我的梦</v>
      </c>
      <c r="T183" s="4">
        <f ca="1">_xlfn.IFNA(VLOOKUP(INDIRECT("G"&amp;ROW()),minfo!$A:$M,COLUMN()-8,0),"")</f>
        <v>55474043</v>
      </c>
      <c r="U183" s="4">
        <f ca="1">_xlfn.IFNA(VLOOKUP(INDIRECT("G"&amp;ROW()),minfo!$A:$M,COLUMN()-8,0),"")</f>
        <v>0</v>
      </c>
    </row>
    <row r="184" spans="1:21" ht="15.75" customHeight="1">
      <c r="A184" s="15">
        <v>183</v>
      </c>
      <c r="B184" s="4" t="s">
        <v>3736</v>
      </c>
      <c r="C184" s="4">
        <v>184</v>
      </c>
      <c r="D184" s="4">
        <v>183</v>
      </c>
      <c r="E184" s="4" t="s">
        <v>781</v>
      </c>
      <c r="F184" s="16">
        <v>45007</v>
      </c>
      <c r="G184" s="5" t="s">
        <v>780</v>
      </c>
      <c r="H184" s="5" t="s">
        <v>3537</v>
      </c>
      <c r="I184" s="24" t="str">
        <f>HYPERLINK("https://www.bilibili.com/video/BV1ne4y1A7oM?p=183", "BV1ne4y1A7oM?p=183")</f>
        <v>BV1ne4y1A7oM?p=183</v>
      </c>
      <c r="J184" s="4" t="str">
        <f ca="1">_xlfn.IFNA(VLOOKUP(INDIRECT("G"&amp;ROW()),minfo!$A:$M,COLUMN()-8,0),"")</f>
        <v>小小</v>
      </c>
      <c r="K184" s="4" t="str">
        <f ca="1">_xlfn.IFNA(VLOOKUP(INDIRECT("G"&amp;ROW()),minfo!$A:$M,COLUMN()-8,0),"")</f>
        <v>容祖儿</v>
      </c>
      <c r="L184" s="4">
        <f ca="1">_xlfn.IFNA(VLOOKUP(INDIRECT("G"&amp;ROW()),minfo!$A:$M,COLUMN()-8,0),"")</f>
        <v>0</v>
      </c>
      <c r="M184" s="4">
        <f ca="1">_xlfn.IFNA(VLOOKUP(INDIRECT("G"&amp;ROW()),minfo!$A:$M,COLUMN()-8,0),"")</f>
        <v>0</v>
      </c>
      <c r="N184" s="4">
        <f ca="1">_xlfn.IFNA(VLOOKUP(INDIRECT("G"&amp;ROW()),minfo!$A:$M,COLUMN()-8,0),"")</f>
        <v>0</v>
      </c>
      <c r="O184" s="4" t="str">
        <f ca="1">_xlfn.IFNA(VLOOKUP(INDIRECT("G"&amp;ROW()),minfo!$A:$M,COLUMN()-8,0),"")</f>
        <v>https://i0.hdslb.com/bfs/station_src/music_metadata/b9d714ef715f7687d8bb23e6a2aba371.jpg</v>
      </c>
      <c r="P184" s="4" t="str">
        <f ca="1">_xlfn.IFNA(VLOOKUP(INDIRECT("G"&amp;ROW()),minfo!$A:$M,COLUMN()-8,0),"")</f>
        <v>http://i0.hdslb.com/bfs/station_src/music_metadata/bb836ee3f63bcd025917ff09534c243d</v>
      </c>
      <c r="Q184" s="4">
        <f ca="1">_xlfn.IFNA(VLOOKUP(INDIRECT("G"&amp;ROW()),minfo!$A:$M,COLUMN()-8,0),"")</f>
        <v>668</v>
      </c>
      <c r="R184" s="4">
        <f ca="1">_xlfn.IFNA(VLOOKUP(INDIRECT("G"&amp;ROW()),minfo!$A:$M,COLUMN()-8,0),"")</f>
        <v>0</v>
      </c>
      <c r="S184" s="4" t="str">
        <f ca="1">_xlfn.IFNA(VLOOKUP(INDIRECT("G"&amp;ROW()),minfo!$A:$M,COLUMN()-8,0),"")</f>
        <v>小小</v>
      </c>
      <c r="T184" s="4">
        <f ca="1">_xlfn.IFNA(VLOOKUP(INDIRECT("G"&amp;ROW()),minfo!$A:$M,COLUMN()-8,0),"")</f>
        <v>101119426</v>
      </c>
      <c r="U184" s="4">
        <f ca="1">_xlfn.IFNA(VLOOKUP(INDIRECT("G"&amp;ROW()),minfo!$A:$M,COLUMN()-8,0),"")</f>
        <v>0</v>
      </c>
    </row>
    <row r="185" spans="1:21" ht="15.75" customHeight="1">
      <c r="A185" s="15">
        <v>184</v>
      </c>
      <c r="B185" s="4" t="s">
        <v>3737</v>
      </c>
      <c r="C185" s="4">
        <v>185</v>
      </c>
      <c r="D185" s="4">
        <v>184</v>
      </c>
      <c r="E185" s="4" t="s">
        <v>786</v>
      </c>
      <c r="F185" s="16">
        <v>45007</v>
      </c>
      <c r="G185" s="5" t="s">
        <v>785</v>
      </c>
      <c r="H185" s="5" t="s">
        <v>3537</v>
      </c>
      <c r="I185" s="24" t="str">
        <f>HYPERLINK("https://www.bilibili.com/video/BV1ne4y1A7oM?p=184", "BV1ne4y1A7oM?p=184")</f>
        <v>BV1ne4y1A7oM?p=184</v>
      </c>
      <c r="J185" s="4" t="str">
        <f ca="1">_xlfn.IFNA(VLOOKUP(INDIRECT("G"&amp;ROW()),minfo!$A:$M,COLUMN()-8,0),"")</f>
        <v>浪漫血液</v>
      </c>
      <c r="K185" s="4" t="str">
        <f ca="1">_xlfn.IFNA(VLOOKUP(INDIRECT("G"&amp;ROW()),minfo!$A:$M,COLUMN()-8,0),"")</f>
        <v>林俊杰</v>
      </c>
      <c r="L185" s="4">
        <f ca="1">_xlfn.IFNA(VLOOKUP(INDIRECT("G"&amp;ROW()),minfo!$A:$M,COLUMN()-8,0),"")</f>
        <v>0</v>
      </c>
      <c r="M185" s="4">
        <f ca="1">_xlfn.IFNA(VLOOKUP(INDIRECT("G"&amp;ROW()),minfo!$A:$M,COLUMN()-8,0),"")</f>
        <v>0</v>
      </c>
      <c r="N185" s="4">
        <f ca="1">_xlfn.IFNA(VLOOKUP(INDIRECT("G"&amp;ROW()),minfo!$A:$M,COLUMN()-8,0),"")</f>
        <v>0</v>
      </c>
      <c r="O185" s="4" t="str">
        <f ca="1">_xlfn.IFNA(VLOOKUP(INDIRECT("G"&amp;ROW()),minfo!$A:$M,COLUMN()-8,0),"")</f>
        <v>https://i0.hdslb.com/bfs/station_src/music_metadata/df4cb70c4afd251b03add35ca9a9908e.jpg</v>
      </c>
      <c r="P185" s="4" t="str">
        <f ca="1">_xlfn.IFNA(VLOOKUP(INDIRECT("G"&amp;ROW()),minfo!$A:$M,COLUMN()-8,0),"")</f>
        <v>http://i0.hdslb.com/bfs/station_src/music_metadata/1681acdfafc8cdc08a44ca96f53471a4</v>
      </c>
      <c r="Q185" s="4">
        <f ca="1">_xlfn.IFNA(VLOOKUP(INDIRECT("G"&amp;ROW()),minfo!$A:$M,COLUMN()-8,0),"")</f>
        <v>1583</v>
      </c>
      <c r="R185" s="4">
        <f ca="1">_xlfn.IFNA(VLOOKUP(INDIRECT("G"&amp;ROW()),minfo!$A:$M,COLUMN()-8,0),"")</f>
        <v>0</v>
      </c>
      <c r="S185" s="4" t="str">
        <f ca="1">_xlfn.IFNA(VLOOKUP(INDIRECT("G"&amp;ROW()),minfo!$A:$M,COLUMN()-8,0),"")</f>
        <v>新地球</v>
      </c>
      <c r="T185" s="4">
        <f ca="1">_xlfn.IFNA(VLOOKUP(INDIRECT("G"&amp;ROW()),minfo!$A:$M,COLUMN()-8,0),"")</f>
        <v>140930479</v>
      </c>
      <c r="U185" s="4">
        <f ca="1">_xlfn.IFNA(VLOOKUP(INDIRECT("G"&amp;ROW()),minfo!$A:$M,COLUMN()-8,0),"")</f>
        <v>0</v>
      </c>
    </row>
    <row r="186" spans="1:21" ht="15.75" customHeight="1">
      <c r="A186" s="15">
        <v>185</v>
      </c>
      <c r="B186" s="4" t="s">
        <v>3738</v>
      </c>
      <c r="C186" s="4">
        <v>186</v>
      </c>
      <c r="D186" s="4">
        <v>185</v>
      </c>
      <c r="E186" s="4" t="s">
        <v>791</v>
      </c>
      <c r="F186" s="16">
        <v>45007</v>
      </c>
      <c r="G186" s="5" t="s">
        <v>790</v>
      </c>
      <c r="H186" s="5" t="s">
        <v>3537</v>
      </c>
      <c r="I186" s="24" t="str">
        <f>HYPERLINK("https://www.bilibili.com/video/BV1ne4y1A7oM?p=185", "BV1ne4y1A7oM?p=185")</f>
        <v>BV1ne4y1A7oM?p=185</v>
      </c>
      <c r="J186" s="4" t="str">
        <f ca="1">_xlfn.IFNA(VLOOKUP(INDIRECT("G"&amp;ROW()),minfo!$A:$M,COLUMN()-8,0),"")</f>
        <v>问情</v>
      </c>
      <c r="K186" s="4" t="str">
        <f ca="1">_xlfn.IFNA(VLOOKUP(INDIRECT("G"&amp;ROW()),minfo!$A:$M,COLUMN()-8,0),"")</f>
        <v>蔡幸娟</v>
      </c>
      <c r="L186" s="4">
        <f ca="1">_xlfn.IFNA(VLOOKUP(INDIRECT("G"&amp;ROW()),minfo!$A:$M,COLUMN()-8,0),"")</f>
        <v>0</v>
      </c>
      <c r="M186" s="4">
        <f ca="1">_xlfn.IFNA(VLOOKUP(INDIRECT("G"&amp;ROW()),minfo!$A:$M,COLUMN()-8,0),"")</f>
        <v>0</v>
      </c>
      <c r="N186" s="4">
        <f ca="1">_xlfn.IFNA(VLOOKUP(INDIRECT("G"&amp;ROW()),minfo!$A:$M,COLUMN()-8,0),"")</f>
        <v>0</v>
      </c>
      <c r="O186" s="4" t="str">
        <f ca="1">_xlfn.IFNA(VLOOKUP(INDIRECT("G"&amp;ROW()),minfo!$A:$M,COLUMN()-8,0),"")</f>
        <v>https://i0.hdslb.com/bfs/station_src/music_metadata/cc3f30de69ccb18840ef36cb031a3d82.jpg</v>
      </c>
      <c r="P186" s="4" t="str">
        <f ca="1">_xlfn.IFNA(VLOOKUP(INDIRECT("G"&amp;ROW()),minfo!$A:$M,COLUMN()-8,0),"")</f>
        <v>http://i0.hdslb.com/bfs/station_src/music_metadata/4abc16881d62e191e388f0c8b7701e97</v>
      </c>
      <c r="Q186" s="4">
        <f ca="1">_xlfn.IFNA(VLOOKUP(INDIRECT("G"&amp;ROW()),minfo!$A:$M,COLUMN()-8,0),"")</f>
        <v>411</v>
      </c>
      <c r="R186" s="4" t="str">
        <f ca="1">_xlfn.IFNA(VLOOKUP(INDIRECT("G"&amp;ROW()),minfo!$A:$M,COLUMN()-8,0),"")</f>
        <v>《戏说乾隆》电视剧台湾版主题曲</v>
      </c>
      <c r="S186" s="4" t="str">
        <f ca="1">_xlfn.IFNA(VLOOKUP(INDIRECT("G"&amp;ROW()),minfo!$A:$M,COLUMN()-8,0),"")</f>
        <v>蔡幸娟精粹集, Vol. 2</v>
      </c>
      <c r="T186" s="4">
        <f ca="1">_xlfn.IFNA(VLOOKUP(INDIRECT("G"&amp;ROW()),minfo!$A:$M,COLUMN()-8,0),"")</f>
        <v>32102012</v>
      </c>
      <c r="U186" s="4">
        <f ca="1">_xlfn.IFNA(VLOOKUP(INDIRECT("G"&amp;ROW()),minfo!$A:$M,COLUMN()-8,0),"")</f>
        <v>0</v>
      </c>
    </row>
    <row r="187" spans="1:21" ht="15.75" customHeight="1">
      <c r="A187" s="15">
        <v>186</v>
      </c>
      <c r="B187" s="4" t="s">
        <v>3739</v>
      </c>
      <c r="C187" s="4">
        <v>187</v>
      </c>
      <c r="D187" s="4">
        <v>186</v>
      </c>
      <c r="E187" s="4" t="s">
        <v>289</v>
      </c>
      <c r="F187" s="16">
        <v>45009</v>
      </c>
      <c r="G187" s="5" t="s">
        <v>288</v>
      </c>
      <c r="H187" s="5" t="s">
        <v>3537</v>
      </c>
      <c r="I187" s="24" t="str">
        <f>HYPERLINK("https://www.bilibili.com/video/BV1ne4y1A7oM?p=186", "BV1ne4y1A7oM?p=186")</f>
        <v>BV1ne4y1A7oM?p=186</v>
      </c>
      <c r="J187" s="4" t="str">
        <f ca="1">_xlfn.IFNA(VLOOKUP(INDIRECT("G"&amp;ROW()),minfo!$A:$M,COLUMN()-8,0),"")</f>
        <v>明明就</v>
      </c>
      <c r="K187" s="4" t="str">
        <f ca="1">_xlfn.IFNA(VLOOKUP(INDIRECT("G"&amp;ROW()),minfo!$A:$M,COLUMN()-8,0),"")</f>
        <v>周杰伦</v>
      </c>
      <c r="L187" s="4">
        <f ca="1">_xlfn.IFNA(VLOOKUP(INDIRECT("G"&amp;ROW()),minfo!$A:$M,COLUMN()-8,0),"")</f>
        <v>0</v>
      </c>
      <c r="M187" s="4">
        <f ca="1">_xlfn.IFNA(VLOOKUP(INDIRECT("G"&amp;ROW()),minfo!$A:$M,COLUMN()-8,0),"")</f>
        <v>0</v>
      </c>
      <c r="N187" s="4">
        <f ca="1">_xlfn.IFNA(VLOOKUP(INDIRECT("G"&amp;ROW()),minfo!$A:$M,COLUMN()-8,0),"")</f>
        <v>0</v>
      </c>
      <c r="O187" s="4" t="str">
        <f ca="1">_xlfn.IFNA(VLOOKUP(INDIRECT("G"&amp;ROW()),minfo!$A:$M,COLUMN()-8,0),"")</f>
        <v>https://i0.hdslb.com/bfs/station_src/music_metadata/b98a05427f027651ca3c0c8cbab055fe.jpg</v>
      </c>
      <c r="P187" s="4" t="str">
        <f ca="1">_xlfn.IFNA(VLOOKUP(INDIRECT("G"&amp;ROW()),minfo!$A:$M,COLUMN()-8,0),"")</f>
        <v>copyright-crawler/music/task-lyric/65093974f03c35ab34fd5795.txt</v>
      </c>
      <c r="Q187" s="4">
        <f ca="1">_xlfn.IFNA(VLOOKUP(INDIRECT("G"&amp;ROW()),minfo!$A:$M,COLUMN()-8,0),"")</f>
        <v>3451</v>
      </c>
      <c r="R187" s="4" t="str">
        <f ca="1">_xlfn.IFNA(VLOOKUP(INDIRECT("G"&amp;ROW()),minfo!$A:$M,COLUMN()-8,0),"")</f>
        <v>明明就</v>
      </c>
      <c r="S187" s="4" t="str">
        <f ca="1">_xlfn.IFNA(VLOOKUP(INDIRECT("G"&amp;ROW()),minfo!$A:$M,COLUMN()-8,0),"")</f>
        <v>十二新作</v>
      </c>
      <c r="T187" s="4">
        <f ca="1">_xlfn.IFNA(VLOOKUP(INDIRECT("G"&amp;ROW()),minfo!$A:$M,COLUMN()-8,0),"")</f>
        <v>424774252</v>
      </c>
      <c r="U187" s="4" t="str">
        <f ca="1">_xlfn.IFNA(VLOOKUP(INDIRECT("G"&amp;ROW()),minfo!$A:$M,COLUMN()-8,0),"")</f>
        <v>音乐榜最高NO.18</v>
      </c>
    </row>
    <row r="188" spans="1:21" ht="15.75" customHeight="1">
      <c r="A188" s="15">
        <v>187</v>
      </c>
      <c r="B188" s="4" t="s">
        <v>3740</v>
      </c>
      <c r="C188" s="4">
        <v>188</v>
      </c>
      <c r="D188" s="4">
        <v>187</v>
      </c>
      <c r="E188" s="4" t="s">
        <v>798</v>
      </c>
      <c r="F188" s="16">
        <v>45009</v>
      </c>
      <c r="G188" s="5" t="s">
        <v>797</v>
      </c>
      <c r="H188" s="5" t="s">
        <v>3537</v>
      </c>
      <c r="I188" s="24" t="str">
        <f>HYPERLINK("https://www.bilibili.com/video/BV1ne4y1A7oM?p=187", "BV1ne4y1A7oM?p=187")</f>
        <v>BV1ne4y1A7oM?p=187</v>
      </c>
      <c r="J188" s="4" t="str">
        <f ca="1">_xlfn.IFNA(VLOOKUP(INDIRECT("G"&amp;ROW()),minfo!$A:$M,COLUMN()-8,0),"")</f>
        <v>让她降落</v>
      </c>
      <c r="K188" s="4" t="str">
        <f ca="1">_xlfn.IFNA(VLOOKUP(INDIRECT("G"&amp;ROW()),minfo!$A:$M,COLUMN()-8,0),"")</f>
        <v>何璐</v>
      </c>
      <c r="L188" s="4">
        <f ca="1">_xlfn.IFNA(VLOOKUP(INDIRECT("G"&amp;ROW()),minfo!$A:$M,COLUMN()-8,0),"")</f>
        <v>0</v>
      </c>
      <c r="M188" s="4">
        <f ca="1">_xlfn.IFNA(VLOOKUP(INDIRECT("G"&amp;ROW()),minfo!$A:$M,COLUMN()-8,0),"")</f>
        <v>0</v>
      </c>
      <c r="N188" s="4">
        <f ca="1">_xlfn.IFNA(VLOOKUP(INDIRECT("G"&amp;ROW()),minfo!$A:$M,COLUMN()-8,0),"")</f>
        <v>0</v>
      </c>
      <c r="O188" s="4" t="str">
        <f ca="1">_xlfn.IFNA(VLOOKUP(INDIRECT("G"&amp;ROW()),minfo!$A:$M,COLUMN()-8,0),"")</f>
        <v>http://i0.hdslb.com/bfs/station_src/music_metadata/cac3cdb113beb631fc51a8ee80236746.jpg</v>
      </c>
      <c r="P188" s="4" t="str">
        <f ca="1">_xlfn.IFNA(VLOOKUP(INDIRECT("G"&amp;ROW()),minfo!$A:$M,COLUMN()-8,0),"")</f>
        <v>http://i0.hdslb.com/bfs/station_src/music_metadata/61a0ea9f4aae0b0d39b3cda25e077499</v>
      </c>
      <c r="Q188" s="4">
        <f ca="1">_xlfn.IFNA(VLOOKUP(INDIRECT("G"&amp;ROW()),minfo!$A:$M,COLUMN()-8,0),"")</f>
        <v>850</v>
      </c>
      <c r="R188" s="4">
        <f ca="1">_xlfn.IFNA(VLOOKUP(INDIRECT("G"&amp;ROW()),minfo!$A:$M,COLUMN()-8,0),"")</f>
        <v>0</v>
      </c>
      <c r="S188" s="4" t="str">
        <f ca="1">_xlfn.IFNA(VLOOKUP(INDIRECT("G"&amp;ROW()),minfo!$A:$M,COLUMN()-8,0),"")</f>
        <v>让她降落</v>
      </c>
      <c r="T188" s="4">
        <f ca="1">_xlfn.IFNA(VLOOKUP(INDIRECT("G"&amp;ROW()),minfo!$A:$M,COLUMN()-8,0),"")</f>
        <v>168699816</v>
      </c>
      <c r="U188" s="4">
        <f ca="1">_xlfn.IFNA(VLOOKUP(INDIRECT("G"&amp;ROW()),minfo!$A:$M,COLUMN()-8,0),"")</f>
        <v>0</v>
      </c>
    </row>
    <row r="189" spans="1:21" ht="15.75" customHeight="1">
      <c r="A189" s="15">
        <v>188</v>
      </c>
      <c r="B189" s="4" t="s">
        <v>3741</v>
      </c>
      <c r="C189" s="4">
        <v>189</v>
      </c>
      <c r="D189" s="4">
        <v>188</v>
      </c>
      <c r="E189" s="4" t="s">
        <v>208</v>
      </c>
      <c r="F189" s="16">
        <v>45009</v>
      </c>
      <c r="G189" s="5" t="s">
        <v>207</v>
      </c>
      <c r="H189" s="5" t="s">
        <v>3537</v>
      </c>
      <c r="I189" s="24" t="str">
        <f>HYPERLINK("https://www.bilibili.com/video/BV1ne4y1A7oM?p=188", "BV1ne4y1A7oM?p=188")</f>
        <v>BV1ne4y1A7oM?p=188</v>
      </c>
      <c r="J189" s="4" t="str">
        <f ca="1">_xlfn.IFNA(VLOOKUP(INDIRECT("G"&amp;ROW()),minfo!$A:$M,COLUMN()-8,0),"")</f>
        <v>九万字</v>
      </c>
      <c r="K189" s="4" t="str">
        <f ca="1">_xlfn.IFNA(VLOOKUP(INDIRECT("G"&amp;ROW()),minfo!$A:$M,COLUMN()-8,0),"")</f>
        <v>黄诗扶</v>
      </c>
      <c r="L189" s="4">
        <f ca="1">_xlfn.IFNA(VLOOKUP(INDIRECT("G"&amp;ROW()),minfo!$A:$M,COLUMN()-8,0),"")</f>
        <v>0</v>
      </c>
      <c r="M189" s="4">
        <f ca="1">_xlfn.IFNA(VLOOKUP(INDIRECT("G"&amp;ROW()),minfo!$A:$M,COLUMN()-8,0),"")</f>
        <v>0</v>
      </c>
      <c r="N189" s="4">
        <f ca="1">_xlfn.IFNA(VLOOKUP(INDIRECT("G"&amp;ROW()),minfo!$A:$M,COLUMN()-8,0),"")</f>
        <v>0</v>
      </c>
      <c r="O189" s="4" t="str">
        <f ca="1">_xlfn.IFNA(VLOOKUP(INDIRECT("G"&amp;ROW()),minfo!$A:$M,COLUMN()-8,0),"")</f>
        <v>https://i0.hdslb.com/bfs/station_src/music_metadata/83a5f6d1f6977ede1ad685d90a46a593.jpg</v>
      </c>
      <c r="P189" s="4" t="str">
        <f ca="1">_xlfn.IFNA(VLOOKUP(INDIRECT("G"&amp;ROW()),minfo!$A:$M,COLUMN()-8,0),"")</f>
        <v>http://i0.hdslb.com/bfs/station_src/music_metadata/98ec7b6623082ffe27055a48eaf15a9f</v>
      </c>
      <c r="Q189" s="4">
        <f ca="1">_xlfn.IFNA(VLOOKUP(INDIRECT("G"&amp;ROW()),minfo!$A:$M,COLUMN()-8,0),"")</f>
        <v>1270</v>
      </c>
      <c r="R189" s="4">
        <f ca="1">_xlfn.IFNA(VLOOKUP(INDIRECT("G"&amp;ROW()),minfo!$A:$M,COLUMN()-8,0),"")</f>
        <v>0</v>
      </c>
      <c r="S189" s="4" t="str">
        <f ca="1">_xlfn.IFNA(VLOOKUP(INDIRECT("G"&amp;ROW()),minfo!$A:$M,COLUMN()-8,0),"")</f>
        <v>人间不值得</v>
      </c>
      <c r="T189" s="4">
        <f ca="1">_xlfn.IFNA(VLOOKUP(INDIRECT("G"&amp;ROW()),minfo!$A:$M,COLUMN()-8,0),"")</f>
        <v>256686027</v>
      </c>
      <c r="U189" s="4">
        <f ca="1">_xlfn.IFNA(VLOOKUP(INDIRECT("G"&amp;ROW()),minfo!$A:$M,COLUMN()-8,0),"")</f>
        <v>0</v>
      </c>
    </row>
    <row r="190" spans="1:21" ht="15.75" customHeight="1">
      <c r="A190" s="15">
        <v>189</v>
      </c>
      <c r="B190" s="4" t="s">
        <v>3742</v>
      </c>
      <c r="C190" s="4">
        <v>190</v>
      </c>
      <c r="D190" s="4">
        <v>189</v>
      </c>
      <c r="E190" s="4" t="s">
        <v>803</v>
      </c>
      <c r="F190" s="16">
        <v>45010</v>
      </c>
      <c r="G190" s="5" t="s">
        <v>802</v>
      </c>
      <c r="H190" s="5" t="s">
        <v>3537</v>
      </c>
      <c r="I190" s="24" t="str">
        <f>HYPERLINK("https://www.bilibili.com/video/BV1ne4y1A7oM?p=189", "BV1ne4y1A7oM?p=189")</f>
        <v>BV1ne4y1A7oM?p=189</v>
      </c>
      <c r="J190" s="4" t="str">
        <f ca="1">_xlfn.IFNA(VLOOKUP(INDIRECT("G"&amp;ROW()),minfo!$A:$M,COLUMN()-8,0),"")</f>
        <v>想你就写信</v>
      </c>
      <c r="K190" s="4" t="str">
        <f ca="1">_xlfn.IFNA(VLOOKUP(INDIRECT("G"&amp;ROW()),minfo!$A:$M,COLUMN()-8,0),"")</f>
        <v>浪花兄弟</v>
      </c>
      <c r="L190" s="4">
        <f ca="1">_xlfn.IFNA(VLOOKUP(INDIRECT("G"&amp;ROW()),minfo!$A:$M,COLUMN()-8,0),"")</f>
        <v>0</v>
      </c>
      <c r="M190" s="4">
        <f ca="1">_xlfn.IFNA(VLOOKUP(INDIRECT("G"&amp;ROW()),minfo!$A:$M,COLUMN()-8,0),"")</f>
        <v>0</v>
      </c>
      <c r="N190" s="4">
        <f ca="1">_xlfn.IFNA(VLOOKUP(INDIRECT("G"&amp;ROW()),minfo!$A:$M,COLUMN()-8,0),"")</f>
        <v>0</v>
      </c>
      <c r="O190" s="4" t="str">
        <f ca="1">_xlfn.IFNA(VLOOKUP(INDIRECT("G"&amp;ROW()),minfo!$A:$M,COLUMN()-8,0),"")</f>
        <v>https://i0.hdslb.com/bfs/station_src/music_metadata/c494254cb10689e9150cd2c3c37e4f19.jpg</v>
      </c>
      <c r="P190" s="4" t="str">
        <f ca="1">_xlfn.IFNA(VLOOKUP(INDIRECT("G"&amp;ROW()),minfo!$A:$M,COLUMN()-8,0),"")</f>
        <v>copyright-crawler/music/task-lyric/632888ea0d3b01572d56840a.txt</v>
      </c>
      <c r="Q190" s="4">
        <f ca="1">_xlfn.IFNA(VLOOKUP(INDIRECT("G"&amp;ROW()),minfo!$A:$M,COLUMN()-8,0),"")</f>
        <v>46</v>
      </c>
      <c r="R190" s="4" t="str">
        <f ca="1">_xlfn.IFNA(VLOOKUP(INDIRECT("G"&amp;ROW()),minfo!$A:$M,COLUMN()-8,0),"")</f>
        <v>想你就写信</v>
      </c>
      <c r="S190" s="4" t="str">
        <f ca="1">_xlfn.IFNA(VLOOKUP(INDIRECT("G"&amp;ROW()),minfo!$A:$M,COLUMN()-8,0),"")</f>
        <v>浪花兄弟</v>
      </c>
      <c r="T190" s="4">
        <f ca="1">_xlfn.IFNA(VLOOKUP(INDIRECT("G"&amp;ROW()),minfo!$A:$M,COLUMN()-8,0),"")</f>
        <v>11174372</v>
      </c>
      <c r="U190" s="4">
        <f ca="1">_xlfn.IFNA(VLOOKUP(INDIRECT("G"&amp;ROW()),minfo!$A:$M,COLUMN()-8,0),"")</f>
        <v>0</v>
      </c>
    </row>
    <row r="191" spans="1:21" ht="15.75" customHeight="1">
      <c r="A191" s="15">
        <v>190</v>
      </c>
      <c r="B191" s="4" t="s">
        <v>3743</v>
      </c>
      <c r="C191" s="4">
        <v>191</v>
      </c>
      <c r="D191" s="4">
        <v>190</v>
      </c>
      <c r="E191" s="4" t="s">
        <v>808</v>
      </c>
      <c r="F191" s="16">
        <v>45010</v>
      </c>
      <c r="G191" s="5" t="s">
        <v>807</v>
      </c>
      <c r="H191" s="5" t="s">
        <v>3537</v>
      </c>
      <c r="I191" s="24" t="str">
        <f>HYPERLINK("https://www.bilibili.com/video/BV1ne4y1A7oM?p=190", "BV1ne4y1A7oM?p=190")</f>
        <v>BV1ne4y1A7oM?p=190</v>
      </c>
      <c r="J191" s="4" t="str">
        <f ca="1">_xlfn.IFNA(VLOOKUP(INDIRECT("G"&amp;ROW()),minfo!$A:$M,COLUMN()-8,0),"")</f>
        <v>上海一九四三</v>
      </c>
      <c r="K191" s="4" t="str">
        <f ca="1">_xlfn.IFNA(VLOOKUP(INDIRECT("G"&amp;ROW()),minfo!$A:$M,COLUMN()-8,0),"")</f>
        <v>周杰伦</v>
      </c>
      <c r="L191" s="4">
        <f ca="1">_xlfn.IFNA(VLOOKUP(INDIRECT("G"&amp;ROW()),minfo!$A:$M,COLUMN()-8,0),"")</f>
        <v>0</v>
      </c>
      <c r="M191" s="4">
        <f ca="1">_xlfn.IFNA(VLOOKUP(INDIRECT("G"&amp;ROW()),minfo!$A:$M,COLUMN()-8,0),"")</f>
        <v>0</v>
      </c>
      <c r="N191" s="4">
        <f ca="1">_xlfn.IFNA(VLOOKUP(INDIRECT("G"&amp;ROW()),minfo!$A:$M,COLUMN()-8,0),"")</f>
        <v>0</v>
      </c>
      <c r="O191" s="4" t="str">
        <f ca="1">_xlfn.IFNA(VLOOKUP(INDIRECT("G"&amp;ROW()),minfo!$A:$M,COLUMN()-8,0),"")</f>
        <v>https://i0.hdslb.com/bfs/station_src/music_metadata/00515c7749037eb5e54b1b53955bc7ff.jpg</v>
      </c>
      <c r="P191" s="4" t="str">
        <f ca="1">_xlfn.IFNA(VLOOKUP(INDIRECT("G"&amp;ROW()),minfo!$A:$M,COLUMN()-8,0),"")</f>
        <v>http://i0.hdslb.com/bfs/station_src/music_metadata/ff8a043954c6ca13adc9e5f1c94ecd23</v>
      </c>
      <c r="Q191" s="4">
        <f ca="1">_xlfn.IFNA(VLOOKUP(INDIRECT("G"&amp;ROW()),minfo!$A:$M,COLUMN()-8,0),"")</f>
        <v>529</v>
      </c>
      <c r="R191" s="4">
        <f ca="1">_xlfn.IFNA(VLOOKUP(INDIRECT("G"&amp;ROW()),minfo!$A:$M,COLUMN()-8,0),"")</f>
        <v>0</v>
      </c>
      <c r="S191" s="4" t="str">
        <f ca="1">_xlfn.IFNA(VLOOKUP(INDIRECT("G"&amp;ROW()),minfo!$A:$M,COLUMN()-8,0),"")</f>
        <v>范特西</v>
      </c>
      <c r="T191" s="4">
        <f ca="1">_xlfn.IFNA(VLOOKUP(INDIRECT("G"&amp;ROW()),minfo!$A:$M,COLUMN()-8,0),"")</f>
        <v>224985389</v>
      </c>
      <c r="U191" s="4">
        <f ca="1">_xlfn.IFNA(VLOOKUP(INDIRECT("G"&amp;ROW()),minfo!$A:$M,COLUMN()-8,0),"")</f>
        <v>0</v>
      </c>
    </row>
    <row r="192" spans="1:21" ht="15.75" customHeight="1">
      <c r="A192" s="15">
        <v>191</v>
      </c>
      <c r="B192" s="4" t="s">
        <v>3744</v>
      </c>
      <c r="C192" s="4">
        <v>192</v>
      </c>
      <c r="D192" s="4">
        <v>191</v>
      </c>
      <c r="E192" s="4" t="s">
        <v>3745</v>
      </c>
      <c r="F192" s="16">
        <v>45013</v>
      </c>
      <c r="G192" s="5" t="s">
        <v>771</v>
      </c>
      <c r="H192" s="5" t="s">
        <v>3537</v>
      </c>
      <c r="I192" s="24" t="str">
        <f>HYPERLINK("https://www.bilibili.com/video/BV1ne4y1A7oM?p=191", "BV1ne4y1A7oM?p=191")</f>
        <v>BV1ne4y1A7oM?p=191</v>
      </c>
      <c r="J192" s="4" t="str">
        <f ca="1">_xlfn.IFNA(VLOOKUP(INDIRECT("G"&amp;ROW()),minfo!$A:$M,COLUMN()-8,0),"")</f>
        <v>Da Capo</v>
      </c>
      <c r="K192" s="4" t="str">
        <f ca="1">_xlfn.IFNA(VLOOKUP(INDIRECT("G"&amp;ROW()),minfo!$A:$M,COLUMN()-8,0),"")</f>
        <v>HOYO-MiX</v>
      </c>
      <c r="L192" s="4">
        <f ca="1">_xlfn.IFNA(VLOOKUP(INDIRECT("G"&amp;ROW()),minfo!$A:$M,COLUMN()-8,0),"")</f>
        <v>0</v>
      </c>
      <c r="M192" s="4">
        <f ca="1">_xlfn.IFNA(VLOOKUP(INDIRECT("G"&amp;ROW()),minfo!$A:$M,COLUMN()-8,0),"")</f>
        <v>371028</v>
      </c>
      <c r="N192" s="4">
        <f ca="1">_xlfn.IFNA(VLOOKUP(INDIRECT("G"&amp;ROW()),minfo!$A:$M,COLUMN()-8,0),"")</f>
        <v>46827</v>
      </c>
      <c r="O192" s="4" t="str">
        <f ca="1">_xlfn.IFNA(VLOOKUP(INDIRECT("G"&amp;ROW()),minfo!$A:$M,COLUMN()-8,0),"")</f>
        <v>https://i0.hdslb.com/bfs/station_src/music_metadata/7a9cf5180d2e8b433b69c7064ff0efe1.jpg</v>
      </c>
      <c r="P192" s="4">
        <f ca="1">_xlfn.IFNA(VLOOKUP(INDIRECT("G"&amp;ROW()),minfo!$A:$M,COLUMN()-8,0),"")</f>
        <v>0</v>
      </c>
      <c r="Q192" s="4">
        <f ca="1">_xlfn.IFNA(VLOOKUP(INDIRECT("G"&amp;ROW()),minfo!$A:$M,COLUMN()-8,0),"")</f>
        <v>6426</v>
      </c>
      <c r="R192" s="4">
        <f ca="1">_xlfn.IFNA(VLOOKUP(INDIRECT("G"&amp;ROW()),minfo!$A:$M,COLUMN()-8,0),"")</f>
        <v>0</v>
      </c>
      <c r="S192" s="4" t="str">
        <f ca="1">_xlfn.IFNA(VLOOKUP(INDIRECT("G"&amp;ROW()),minfo!$A:$M,COLUMN()-8,0),"")</f>
        <v>Da Capo</v>
      </c>
      <c r="T192" s="4">
        <f ca="1">_xlfn.IFNA(VLOOKUP(INDIRECT("G"&amp;ROW()),minfo!$A:$M,COLUMN()-8,0),"")</f>
        <v>127070294</v>
      </c>
      <c r="U192" s="4" t="str">
        <f ca="1">_xlfn.IFNA(VLOOKUP(INDIRECT("G"&amp;ROW()),minfo!$A:$M,COLUMN()-8,0),"")</f>
        <v>音乐榜最高NO.1</v>
      </c>
    </row>
    <row r="193" spans="1:21" ht="15.75" customHeight="1">
      <c r="A193" s="15">
        <v>192</v>
      </c>
      <c r="B193" s="4" t="s">
        <v>3746</v>
      </c>
      <c r="C193" s="4">
        <v>193</v>
      </c>
      <c r="D193" s="4">
        <v>192</v>
      </c>
      <c r="E193" s="4" t="s">
        <v>812</v>
      </c>
      <c r="F193" s="16">
        <v>45013</v>
      </c>
      <c r="G193" s="5" t="s">
        <v>811</v>
      </c>
      <c r="H193" s="5" t="s">
        <v>3537</v>
      </c>
      <c r="I193" s="24" t="str">
        <f>HYPERLINK("https://www.bilibili.com/video/BV1ne4y1A7oM?p=192", "BV1ne4y1A7oM?p=192")</f>
        <v>BV1ne4y1A7oM?p=192</v>
      </c>
      <c r="J193" s="4" t="str">
        <f ca="1">_xlfn.IFNA(VLOOKUP(INDIRECT("G"&amp;ROW()),minfo!$A:$M,COLUMN()-8,0),"")</f>
        <v>下雨的夜晚</v>
      </c>
      <c r="K193" s="4" t="str">
        <f ca="1">_xlfn.IFNA(VLOOKUP(INDIRECT("G"&amp;ROW()),minfo!$A:$M,COLUMN()-8,0),"")</f>
        <v>苏打绿</v>
      </c>
      <c r="L193" s="4">
        <f ca="1">_xlfn.IFNA(VLOOKUP(INDIRECT("G"&amp;ROW()),minfo!$A:$M,COLUMN()-8,0),"")</f>
        <v>0</v>
      </c>
      <c r="M193" s="4">
        <f ca="1">_xlfn.IFNA(VLOOKUP(INDIRECT("G"&amp;ROW()),minfo!$A:$M,COLUMN()-8,0),"")</f>
        <v>0</v>
      </c>
      <c r="N193" s="4">
        <f ca="1">_xlfn.IFNA(VLOOKUP(INDIRECT("G"&amp;ROW()),minfo!$A:$M,COLUMN()-8,0),"")</f>
        <v>0</v>
      </c>
      <c r="O193" s="4" t="str">
        <f ca="1">_xlfn.IFNA(VLOOKUP(INDIRECT("G"&amp;ROW()),minfo!$A:$M,COLUMN()-8,0),"")</f>
        <v>https://i0.hdslb.com/bfs/station_src/music_metadata/515892bd2a4d344caf93fec714c813be.jpg</v>
      </c>
      <c r="P193" s="4">
        <f ca="1">_xlfn.IFNA(VLOOKUP(INDIRECT("G"&amp;ROW()),minfo!$A:$M,COLUMN()-8,0),"")</f>
        <v>0</v>
      </c>
      <c r="Q193" s="4">
        <f ca="1">_xlfn.IFNA(VLOOKUP(INDIRECT("G"&amp;ROW()),minfo!$A:$M,COLUMN()-8,0),"")</f>
        <v>14</v>
      </c>
      <c r="R193" s="4">
        <f ca="1">_xlfn.IFNA(VLOOKUP(INDIRECT("G"&amp;ROW()),minfo!$A:$M,COLUMN()-8,0),"")</f>
        <v>0</v>
      </c>
      <c r="S193" s="4" t="str">
        <f ca="1">_xlfn.IFNA(VLOOKUP(INDIRECT("G"&amp;ROW()),minfo!$A:$M,COLUMN()-8,0),"")</f>
        <v>冬 未了</v>
      </c>
      <c r="T193" s="4">
        <f ca="1">_xlfn.IFNA(VLOOKUP(INDIRECT("G"&amp;ROW()),minfo!$A:$M,COLUMN()-8,0),"")</f>
        <v>3649724</v>
      </c>
      <c r="U193" s="4">
        <f ca="1">_xlfn.IFNA(VLOOKUP(INDIRECT("G"&amp;ROW()),minfo!$A:$M,COLUMN()-8,0),"")</f>
        <v>0</v>
      </c>
    </row>
    <row r="194" spans="1:21" ht="15.75" customHeight="1">
      <c r="A194" s="15">
        <v>193</v>
      </c>
      <c r="B194" s="4" t="s">
        <v>3747</v>
      </c>
      <c r="C194" s="4">
        <v>194</v>
      </c>
      <c r="D194" s="4">
        <v>193</v>
      </c>
      <c r="E194" s="4" t="s">
        <v>638</v>
      </c>
      <c r="F194" s="16">
        <v>45013</v>
      </c>
      <c r="G194" s="5" t="s">
        <v>637</v>
      </c>
      <c r="H194" s="5" t="s">
        <v>3537</v>
      </c>
      <c r="I194" s="24" t="str">
        <f>HYPERLINK("https://www.bilibili.com/video/BV1ne4y1A7oM?p=193", "BV1ne4y1A7oM?p=193")</f>
        <v>BV1ne4y1A7oM?p=193</v>
      </c>
      <c r="J194" s="4" t="str">
        <f ca="1">_xlfn.IFNA(VLOOKUP(INDIRECT("G"&amp;ROW()),minfo!$A:$M,COLUMN()-8,0),"")</f>
        <v>搁浅</v>
      </c>
      <c r="K194" s="4" t="str">
        <f ca="1">_xlfn.IFNA(VLOOKUP(INDIRECT("G"&amp;ROW()),minfo!$A:$M,COLUMN()-8,0),"")</f>
        <v>周杰伦</v>
      </c>
      <c r="L194" s="4">
        <f ca="1">_xlfn.IFNA(VLOOKUP(INDIRECT("G"&amp;ROW()),minfo!$A:$M,COLUMN()-8,0),"")</f>
        <v>0</v>
      </c>
      <c r="M194" s="4">
        <f ca="1">_xlfn.IFNA(VLOOKUP(INDIRECT("G"&amp;ROW()),minfo!$A:$M,COLUMN()-8,0),"")</f>
        <v>0</v>
      </c>
      <c r="N194" s="4">
        <f ca="1">_xlfn.IFNA(VLOOKUP(INDIRECT("G"&amp;ROW()),minfo!$A:$M,COLUMN()-8,0),"")</f>
        <v>0</v>
      </c>
      <c r="O194" s="4" t="str">
        <f ca="1">_xlfn.IFNA(VLOOKUP(INDIRECT("G"&amp;ROW()),minfo!$A:$M,COLUMN()-8,0),"")</f>
        <v>https://i0.hdslb.com/bfs/station_src/music_metadata/5ea93d49aa366e4340787bbc3d63de25.jpg</v>
      </c>
      <c r="P194" s="4">
        <f ca="1">_xlfn.IFNA(VLOOKUP(INDIRECT("G"&amp;ROW()),minfo!$A:$M,COLUMN()-8,0),"")</f>
        <v>0</v>
      </c>
      <c r="Q194" s="4">
        <f ca="1">_xlfn.IFNA(VLOOKUP(INDIRECT("G"&amp;ROW()),minfo!$A:$M,COLUMN()-8,0),"")</f>
        <v>4120</v>
      </c>
      <c r="R194" s="4">
        <f ca="1">_xlfn.IFNA(VLOOKUP(INDIRECT("G"&amp;ROW()),minfo!$A:$M,COLUMN()-8,0),"")</f>
        <v>0</v>
      </c>
      <c r="S194" s="4" t="str">
        <f ca="1">_xlfn.IFNA(VLOOKUP(INDIRECT("G"&amp;ROW()),minfo!$A:$M,COLUMN()-8,0),"")</f>
        <v>七里香</v>
      </c>
      <c r="T194" s="4">
        <f ca="1">_xlfn.IFNA(VLOOKUP(INDIRECT("G"&amp;ROW()),minfo!$A:$M,COLUMN()-8,0),"")</f>
        <v>593603418</v>
      </c>
      <c r="U194" s="4">
        <f ca="1">_xlfn.IFNA(VLOOKUP(INDIRECT("G"&amp;ROW()),minfo!$A:$M,COLUMN()-8,0),"")</f>
        <v>0</v>
      </c>
    </row>
    <row r="195" spans="1:21" ht="15.75" customHeight="1">
      <c r="A195" s="15">
        <v>194</v>
      </c>
      <c r="B195" s="4" t="s">
        <v>3748</v>
      </c>
      <c r="C195" s="4">
        <v>195</v>
      </c>
      <c r="D195" s="4">
        <v>194</v>
      </c>
      <c r="E195" s="4" t="s">
        <v>3749</v>
      </c>
      <c r="F195" s="16">
        <v>45013</v>
      </c>
      <c r="G195" s="5" t="s">
        <v>753</v>
      </c>
      <c r="H195" s="5" t="s">
        <v>3537</v>
      </c>
      <c r="I195" s="24" t="str">
        <f>HYPERLINK("https://www.bilibili.com/video/BV1ne4y1A7oM?p=194", "BV1ne4y1A7oM?p=194")</f>
        <v>BV1ne4y1A7oM?p=194</v>
      </c>
      <c r="J195" s="4" t="str">
        <f ca="1">_xlfn.IFNA(VLOOKUP(INDIRECT("G"&amp;ROW()),minfo!$A:$M,COLUMN()-8,0),"")</f>
        <v>台风</v>
      </c>
      <c r="K195" s="4" t="str">
        <f ca="1">_xlfn.IFNA(VLOOKUP(INDIRECT("G"&amp;ROW()),minfo!$A:$M,COLUMN()-8,0),"")</f>
        <v>郁一凡</v>
      </c>
      <c r="L195" s="4">
        <f ca="1">_xlfn.IFNA(VLOOKUP(INDIRECT("G"&amp;ROW()),minfo!$A:$M,COLUMN()-8,0),"")</f>
        <v>0</v>
      </c>
      <c r="M195" s="4">
        <f ca="1">_xlfn.IFNA(VLOOKUP(INDIRECT("G"&amp;ROW()),minfo!$A:$M,COLUMN()-8,0),"")</f>
        <v>0</v>
      </c>
      <c r="N195" s="4">
        <f ca="1">_xlfn.IFNA(VLOOKUP(INDIRECT("G"&amp;ROW()),minfo!$A:$M,COLUMN()-8,0),"")</f>
        <v>0</v>
      </c>
      <c r="O195" s="4" t="str">
        <f ca="1">_xlfn.IFNA(VLOOKUP(INDIRECT("G"&amp;ROW()),minfo!$A:$M,COLUMN()-8,0),"")</f>
        <v>https://i0.hdslb.com/bfs/station_src/music_metadata/e62e120e862336e6b171c835ae52b792.jpg</v>
      </c>
      <c r="P195" s="4" t="str">
        <f ca="1">_xlfn.IFNA(VLOOKUP(INDIRECT("G"&amp;ROW()),minfo!$A:$M,COLUMN()-8,0),"")</f>
        <v>https://i0.hdslb.com/bfs/station_src/music_metadata/4025503f8f2dced9cfa0f785fcbd250a.txt</v>
      </c>
      <c r="Q195" s="4">
        <f ca="1">_xlfn.IFNA(VLOOKUP(INDIRECT("G"&amp;ROW()),minfo!$A:$M,COLUMN()-8,0),"")</f>
        <v>18</v>
      </c>
      <c r="R195" s="4">
        <f ca="1">_xlfn.IFNA(VLOOKUP(INDIRECT("G"&amp;ROW()),minfo!$A:$M,COLUMN()-8,0),"")</f>
        <v>0</v>
      </c>
      <c r="S195" s="4" t="str">
        <f ca="1">_xlfn.IFNA(VLOOKUP(INDIRECT("G"&amp;ROW()),minfo!$A:$M,COLUMN()-8,0),"")</f>
        <v>我的音乐你听吗 第2期</v>
      </c>
      <c r="T195" s="4">
        <f ca="1">_xlfn.IFNA(VLOOKUP(INDIRECT("G"&amp;ROW()),minfo!$A:$M,COLUMN()-8,0),"")</f>
        <v>11454087</v>
      </c>
      <c r="U195" s="4">
        <f ca="1">_xlfn.IFNA(VLOOKUP(INDIRECT("G"&amp;ROW()),minfo!$A:$M,COLUMN()-8,0),"")</f>
        <v>0</v>
      </c>
    </row>
    <row r="196" spans="1:21" ht="15.75" customHeight="1">
      <c r="A196" s="15">
        <v>195</v>
      </c>
      <c r="B196" s="4" t="s">
        <v>3750</v>
      </c>
      <c r="C196" s="4">
        <v>196</v>
      </c>
      <c r="D196" s="4">
        <v>195</v>
      </c>
      <c r="E196" s="4" t="s">
        <v>816</v>
      </c>
      <c r="F196" s="16">
        <v>45013</v>
      </c>
      <c r="G196" s="5" t="s">
        <v>815</v>
      </c>
      <c r="H196" s="5" t="s">
        <v>3537</v>
      </c>
      <c r="I196" s="24" t="str">
        <f>HYPERLINK("https://www.bilibili.com/video/BV1ne4y1A7oM?p=195", "BV1ne4y1A7oM?p=195")</f>
        <v>BV1ne4y1A7oM?p=195</v>
      </c>
      <c r="J196" s="4" t="str">
        <f ca="1">_xlfn.IFNA(VLOOKUP(INDIRECT("G"&amp;ROW()),minfo!$A:$M,COLUMN()-8,0),"")</f>
        <v>开不了口</v>
      </c>
      <c r="K196" s="4" t="str">
        <f ca="1">_xlfn.IFNA(VLOOKUP(INDIRECT("G"&amp;ROW()),minfo!$A:$M,COLUMN()-8,0),"")</f>
        <v>周杰伦</v>
      </c>
      <c r="L196" s="4">
        <f ca="1">_xlfn.IFNA(VLOOKUP(INDIRECT("G"&amp;ROW()),minfo!$A:$M,COLUMN()-8,0),"")</f>
        <v>0</v>
      </c>
      <c r="M196" s="4">
        <f ca="1">_xlfn.IFNA(VLOOKUP(INDIRECT("G"&amp;ROW()),minfo!$A:$M,COLUMN()-8,0),"")</f>
        <v>0</v>
      </c>
      <c r="N196" s="4">
        <f ca="1">_xlfn.IFNA(VLOOKUP(INDIRECT("G"&amp;ROW()),minfo!$A:$M,COLUMN()-8,0),"")</f>
        <v>0</v>
      </c>
      <c r="O196" s="4" t="str">
        <f ca="1">_xlfn.IFNA(VLOOKUP(INDIRECT("G"&amp;ROW()),minfo!$A:$M,COLUMN()-8,0),"")</f>
        <v>http://i0.hdslb.com/bfs/station_src/music_metadata/d0f745972711cd41b07e10e96dd6512a.jpg</v>
      </c>
      <c r="P196" s="4" t="str">
        <f ca="1">_xlfn.IFNA(VLOOKUP(INDIRECT("G"&amp;ROW()),minfo!$A:$M,COLUMN()-8,0),"")</f>
        <v>http://i0.hdslb.com/bfs/station_src/music_metadata/9e21bb6bd3e9e6c6a099ea6fe790a7e4</v>
      </c>
      <c r="Q196" s="4">
        <f ca="1">_xlfn.IFNA(VLOOKUP(INDIRECT("G"&amp;ROW()),minfo!$A:$M,COLUMN()-8,0),"")</f>
        <v>1670</v>
      </c>
      <c r="R196" s="4">
        <f ca="1">_xlfn.IFNA(VLOOKUP(INDIRECT("G"&amp;ROW()),minfo!$A:$M,COLUMN()-8,0),"")</f>
        <v>0</v>
      </c>
      <c r="S196" s="4" t="str">
        <f ca="1">_xlfn.IFNA(VLOOKUP(INDIRECT("G"&amp;ROW()),minfo!$A:$M,COLUMN()-8,0),"")</f>
        <v>范特西</v>
      </c>
      <c r="T196" s="4">
        <f ca="1">_xlfn.IFNA(VLOOKUP(INDIRECT("G"&amp;ROW()),minfo!$A:$M,COLUMN()-8,0),"")</f>
        <v>374265212</v>
      </c>
      <c r="U196" s="4">
        <f ca="1">_xlfn.IFNA(VLOOKUP(INDIRECT("G"&amp;ROW()),minfo!$A:$M,COLUMN()-8,0),"")</f>
        <v>0</v>
      </c>
    </row>
    <row r="197" spans="1:21" ht="15.75" customHeight="1">
      <c r="A197" s="15">
        <v>196</v>
      </c>
      <c r="B197" s="4" t="s">
        <v>3751</v>
      </c>
      <c r="C197" s="4">
        <v>197</v>
      </c>
      <c r="D197" s="4">
        <v>196</v>
      </c>
      <c r="E197" s="4" t="s">
        <v>820</v>
      </c>
      <c r="F197" s="16">
        <v>45013</v>
      </c>
      <c r="G197" s="5" t="s">
        <v>819</v>
      </c>
      <c r="H197" s="5" t="s">
        <v>3537</v>
      </c>
      <c r="I197" s="24" t="str">
        <f>HYPERLINK("https://www.bilibili.com/video/BV1ne4y1A7oM?p=196", "BV1ne4y1A7oM?p=196")</f>
        <v>BV1ne4y1A7oM?p=196</v>
      </c>
      <c r="J197" s="4" t="str">
        <f ca="1">_xlfn.IFNA(VLOOKUP(INDIRECT("G"&amp;ROW()),minfo!$A:$M,COLUMN()-8,0),"")</f>
        <v>桃花诺</v>
      </c>
      <c r="K197" s="4" t="str">
        <f ca="1">_xlfn.IFNA(VLOOKUP(INDIRECT("G"&amp;ROW()),minfo!$A:$M,COLUMN()-8,0),"")</f>
        <v>G.E.M.邓紫棋</v>
      </c>
      <c r="L197" s="4">
        <f ca="1">_xlfn.IFNA(VLOOKUP(INDIRECT("G"&amp;ROW()),minfo!$A:$M,COLUMN()-8,0),"")</f>
        <v>0</v>
      </c>
      <c r="M197" s="4">
        <f ca="1">_xlfn.IFNA(VLOOKUP(INDIRECT("G"&amp;ROW()),minfo!$A:$M,COLUMN()-8,0),"")</f>
        <v>0</v>
      </c>
      <c r="N197" s="4">
        <f ca="1">_xlfn.IFNA(VLOOKUP(INDIRECT("G"&amp;ROW()),minfo!$A:$M,COLUMN()-8,0),"")</f>
        <v>0</v>
      </c>
      <c r="O197" s="4" t="str">
        <f ca="1">_xlfn.IFNA(VLOOKUP(INDIRECT("G"&amp;ROW()),minfo!$A:$M,COLUMN()-8,0),"")</f>
        <v>https://i0.hdslb.com/bfs/station_src/music_metadata/6bae981f8da9ae3dbca588bcb85bcd39.jpg</v>
      </c>
      <c r="P197" s="4" t="str">
        <f ca="1">_xlfn.IFNA(VLOOKUP(INDIRECT("G"&amp;ROW()),minfo!$A:$M,COLUMN()-8,0),"")</f>
        <v>http://i0.hdslb.com/bfs/station_src/music_metadata/6b3b9bf58de18a94decf4fedf7355d72</v>
      </c>
      <c r="Q197" s="4">
        <f ca="1">_xlfn.IFNA(VLOOKUP(INDIRECT("G"&amp;ROW()),minfo!$A:$M,COLUMN()-8,0),"")</f>
        <v>3108</v>
      </c>
      <c r="R197" s="4" t="str">
        <f ca="1">_xlfn.IFNA(VLOOKUP(INDIRECT("G"&amp;ROW()),minfo!$A:$M,COLUMN()-8,0),"")</f>
        <v>《上古情歌》电视剧片尾曲</v>
      </c>
      <c r="S197" s="4" t="str">
        <f ca="1">_xlfn.IFNA(VLOOKUP(INDIRECT("G"&amp;ROW()),minfo!$A:$M,COLUMN()-8,0),"")</f>
        <v>上古情歌 电视剧原声带</v>
      </c>
      <c r="T197" s="4">
        <f ca="1">_xlfn.IFNA(VLOOKUP(INDIRECT("G"&amp;ROW()),minfo!$A:$M,COLUMN()-8,0),"")</f>
        <v>860841206</v>
      </c>
      <c r="U197" s="4" t="str">
        <f ca="1">_xlfn.IFNA(VLOOKUP(INDIRECT("G"&amp;ROW()),minfo!$A:$M,COLUMN()-8,0),"")</f>
        <v>音乐榜最高NO.12</v>
      </c>
    </row>
    <row r="198" spans="1:21" ht="15.75" customHeight="1">
      <c r="A198" s="15">
        <v>197</v>
      </c>
      <c r="B198" s="4" t="s">
        <v>3752</v>
      </c>
      <c r="C198" s="4">
        <v>198</v>
      </c>
      <c r="D198" s="4">
        <v>197</v>
      </c>
      <c r="E198" s="4" t="s">
        <v>828</v>
      </c>
      <c r="F198" s="16">
        <v>45013</v>
      </c>
      <c r="G198" s="5" t="s">
        <v>827</v>
      </c>
      <c r="H198" s="5" t="s">
        <v>3537</v>
      </c>
      <c r="I198" s="24" t="str">
        <f>HYPERLINK("https://www.bilibili.com/video/BV1ne4y1A7oM?p=197", "BV1ne4y1A7oM?p=197")</f>
        <v>BV1ne4y1A7oM?p=197</v>
      </c>
      <c r="J198" s="4" t="str">
        <f ca="1">_xlfn.IFNA(VLOOKUP(INDIRECT("G"&amp;ROW()),minfo!$A:$M,COLUMN()-8,0),"")</f>
        <v>离不开你</v>
      </c>
      <c r="K198" s="4" t="str">
        <f ca="1">_xlfn.IFNA(VLOOKUP(INDIRECT("G"&amp;ROW()),minfo!$A:$M,COLUMN()-8,0),"")</f>
        <v>刘悦</v>
      </c>
      <c r="L198" s="4">
        <f ca="1">_xlfn.IFNA(VLOOKUP(INDIRECT("G"&amp;ROW()),minfo!$A:$M,COLUMN()-8,0),"")</f>
        <v>0</v>
      </c>
      <c r="M198" s="4">
        <f ca="1">_xlfn.IFNA(VLOOKUP(INDIRECT("G"&amp;ROW()),minfo!$A:$M,COLUMN()-8,0),"")</f>
        <v>0</v>
      </c>
      <c r="N198" s="4">
        <f ca="1">_xlfn.IFNA(VLOOKUP(INDIRECT("G"&amp;ROW()),minfo!$A:$M,COLUMN()-8,0),"")</f>
        <v>0</v>
      </c>
      <c r="O198" s="4" t="str">
        <f ca="1">_xlfn.IFNA(VLOOKUP(INDIRECT("G"&amp;ROW()),minfo!$A:$M,COLUMN()-8,0),"")</f>
        <v>https://i0.hdslb.com/bfs/station_src/music_metadata/6dcb19366718620471fe6d829ca33dd9.jpg</v>
      </c>
      <c r="P198" s="4" t="str">
        <f ca="1">_xlfn.IFNA(VLOOKUP(INDIRECT("G"&amp;ROW()),minfo!$A:$M,COLUMN()-8,0),"")</f>
        <v>https://i0.hdslb.com/bfs/station_src/music_metadata/828120bc5713fab07615a4083c764464.txt</v>
      </c>
      <c r="Q198" s="4">
        <f ca="1">_xlfn.IFNA(VLOOKUP(INDIRECT("G"&amp;ROW()),minfo!$A:$M,COLUMN()-8,0),"")</f>
        <v>41</v>
      </c>
      <c r="R198" s="4">
        <f ca="1">_xlfn.IFNA(VLOOKUP(INDIRECT("G"&amp;ROW()),minfo!$A:$M,COLUMN()-8,0),"")</f>
        <v>0</v>
      </c>
      <c r="S198" s="4" t="str">
        <f ca="1">_xlfn.IFNA(VLOOKUP(INDIRECT("G"&amp;ROW()),minfo!$A:$M,COLUMN()-8,0),"")</f>
        <v>情歌难唱</v>
      </c>
      <c r="T198" s="4">
        <f ca="1">_xlfn.IFNA(VLOOKUP(INDIRECT("G"&amp;ROW()),minfo!$A:$M,COLUMN()-8,0),"")</f>
        <v>29260153</v>
      </c>
      <c r="U198" s="4">
        <f ca="1">_xlfn.IFNA(VLOOKUP(INDIRECT("G"&amp;ROW()),minfo!$A:$M,COLUMN()-8,0),"")</f>
        <v>0</v>
      </c>
    </row>
    <row r="199" spans="1:21" ht="15.75" customHeight="1">
      <c r="A199" s="15">
        <v>198</v>
      </c>
      <c r="B199" s="4" t="s">
        <v>3753</v>
      </c>
      <c r="C199" s="4">
        <v>199</v>
      </c>
      <c r="D199" s="4">
        <v>1</v>
      </c>
      <c r="E199" s="4" t="s">
        <v>536</v>
      </c>
      <c r="F199" s="16">
        <v>45018</v>
      </c>
      <c r="G199" s="5" t="s">
        <v>535</v>
      </c>
      <c r="H199" s="5" t="s">
        <v>3754</v>
      </c>
      <c r="I199" s="24" t="str">
        <f>HYPERLINK("https://www.bilibili.com/video/BV1cs4y1w7Lv?p=1", "BV1cs4y1w7Lv?p=1")</f>
        <v>BV1cs4y1w7Lv?p=1</v>
      </c>
      <c r="J199" s="4" t="str">
        <f ca="1">_xlfn.IFNA(VLOOKUP(INDIRECT("G"&amp;ROW()),minfo!$A:$M,COLUMN()-8,0),"")</f>
        <v>红颜如霜</v>
      </c>
      <c r="K199" s="4" t="str">
        <f ca="1">_xlfn.IFNA(VLOOKUP(INDIRECT("G"&amp;ROW()),minfo!$A:$M,COLUMN()-8,0),"")</f>
        <v>周杰伦</v>
      </c>
      <c r="L199" s="4">
        <f ca="1">_xlfn.IFNA(VLOOKUP(INDIRECT("G"&amp;ROW()),minfo!$A:$M,COLUMN()-8,0),"")</f>
        <v>0</v>
      </c>
      <c r="M199" s="4">
        <f ca="1">_xlfn.IFNA(VLOOKUP(INDIRECT("G"&amp;ROW()),minfo!$A:$M,COLUMN()-8,0),"")</f>
        <v>179425</v>
      </c>
      <c r="N199" s="4">
        <f ca="1">_xlfn.IFNA(VLOOKUP(INDIRECT("G"&amp;ROW()),minfo!$A:$M,COLUMN()-8,0),"")</f>
        <v>61254</v>
      </c>
      <c r="O199" s="4" t="str">
        <f ca="1">_xlfn.IFNA(VLOOKUP(INDIRECT("G"&amp;ROW()),minfo!$A:$M,COLUMN()-8,0),"")</f>
        <v>https://i0.hdslb.com/bfs/station_src/music_metadata/b0bbef33041121e4c8107f9d82ff0e60.jpg</v>
      </c>
      <c r="P199" s="4">
        <f ca="1">_xlfn.IFNA(VLOOKUP(INDIRECT("G"&amp;ROW()),minfo!$A:$M,COLUMN()-8,0),"")</f>
        <v>0</v>
      </c>
      <c r="Q199" s="4">
        <f ca="1">_xlfn.IFNA(VLOOKUP(INDIRECT("G"&amp;ROW()),minfo!$A:$M,COLUMN()-8,0),"")</f>
        <v>17510</v>
      </c>
      <c r="R199" s="4">
        <f ca="1">_xlfn.IFNA(VLOOKUP(INDIRECT("G"&amp;ROW()),minfo!$A:$M,COLUMN()-8,0),"")</f>
        <v>0</v>
      </c>
      <c r="S199" s="4" t="str">
        <f ca="1">_xlfn.IFNA(VLOOKUP(INDIRECT("G"&amp;ROW()),minfo!$A:$M,COLUMN()-8,0),"")</f>
        <v>最伟大的作品</v>
      </c>
      <c r="T199" s="4">
        <f ca="1">_xlfn.IFNA(VLOOKUP(INDIRECT("G"&amp;ROW()),minfo!$A:$M,COLUMN()-8,0),"")</f>
        <v>237302125</v>
      </c>
      <c r="U199" s="4" t="str">
        <f ca="1">_xlfn.IFNA(VLOOKUP(INDIRECT("G"&amp;ROW()),minfo!$A:$M,COLUMN()-8,0),"")</f>
        <v>音乐榜最高NO.2</v>
      </c>
    </row>
    <row r="200" spans="1:21" ht="15.75" customHeight="1">
      <c r="A200" s="15">
        <v>199</v>
      </c>
      <c r="B200" s="4" t="s">
        <v>3755</v>
      </c>
      <c r="C200" s="4">
        <v>200</v>
      </c>
      <c r="D200" s="4">
        <v>2</v>
      </c>
      <c r="E200" s="4" t="s">
        <v>834</v>
      </c>
      <c r="F200" s="16">
        <v>45021</v>
      </c>
      <c r="G200" s="5" t="s">
        <v>833</v>
      </c>
      <c r="H200" s="5" t="s">
        <v>3754</v>
      </c>
      <c r="I200" s="24" t="str">
        <f>HYPERLINK("https://www.bilibili.com/video/BV1cs4y1w7Lv?p=2", "BV1cs4y1w7Lv?p=2")</f>
        <v>BV1cs4y1w7Lv?p=2</v>
      </c>
      <c r="J200" s="4" t="str">
        <f ca="1">_xlfn.IFNA(VLOOKUP(INDIRECT("G"&amp;ROW()),minfo!$A:$M,COLUMN()-8,0),"")</f>
        <v>锦鲤抄</v>
      </c>
      <c r="K200" s="4" t="str">
        <f ca="1">_xlfn.IFNA(VLOOKUP(INDIRECT("G"&amp;ROW()),minfo!$A:$M,COLUMN()-8,0),"")</f>
        <v>银临/云の泣</v>
      </c>
      <c r="L200" s="4">
        <f ca="1">_xlfn.IFNA(VLOOKUP(INDIRECT("G"&amp;ROW()),minfo!$A:$M,COLUMN()-8,0),"")</f>
        <v>0</v>
      </c>
      <c r="M200" s="4">
        <f ca="1">_xlfn.IFNA(VLOOKUP(INDIRECT("G"&amp;ROW()),minfo!$A:$M,COLUMN()-8,0),"")</f>
        <v>0</v>
      </c>
      <c r="N200" s="4">
        <f ca="1">_xlfn.IFNA(VLOOKUP(INDIRECT("G"&amp;ROW()),minfo!$A:$M,COLUMN()-8,0),"")</f>
        <v>0</v>
      </c>
      <c r="O200" s="4" t="str">
        <f ca="1">_xlfn.IFNA(VLOOKUP(INDIRECT("G"&amp;ROW()),minfo!$A:$M,COLUMN()-8,0),"")</f>
        <v>http://i0.hdslb.com/bfs/station_src/music_metadata/4afbefd3c04f63214361dc43c99c9986.jpg</v>
      </c>
      <c r="P200" s="4" t="str">
        <f ca="1">_xlfn.IFNA(VLOOKUP(INDIRECT("G"&amp;ROW()),minfo!$A:$M,COLUMN()-8,0),"")</f>
        <v>http://i0.hdslb.com/bfs/station_src/music_metadata/5a614dd394085de19715027062d2c8a2</v>
      </c>
      <c r="Q200" s="4">
        <f ca="1">_xlfn.IFNA(VLOOKUP(INDIRECT("G"&amp;ROW()),minfo!$A:$M,COLUMN()-8,0),"")</f>
        <v>766</v>
      </c>
      <c r="R200" s="4">
        <f ca="1">_xlfn.IFNA(VLOOKUP(INDIRECT("G"&amp;ROW()),minfo!$A:$M,COLUMN()-8,0),"")</f>
        <v>0</v>
      </c>
      <c r="S200" s="4" t="str">
        <f ca="1">_xlfn.IFNA(VLOOKUP(INDIRECT("G"&amp;ROW()),minfo!$A:$M,COLUMN()-8,0),"")</f>
        <v>锦鲤抄</v>
      </c>
      <c r="T200" s="4">
        <f ca="1">_xlfn.IFNA(VLOOKUP(INDIRECT("G"&amp;ROW()),minfo!$A:$M,COLUMN()-8,0),"")</f>
        <v>198812540</v>
      </c>
      <c r="U200" s="4">
        <f ca="1">_xlfn.IFNA(VLOOKUP(INDIRECT("G"&amp;ROW()),minfo!$A:$M,COLUMN()-8,0),"")</f>
        <v>0</v>
      </c>
    </row>
    <row r="201" spans="1:21" ht="15.75" customHeight="1">
      <c r="A201" s="15">
        <v>200</v>
      </c>
      <c r="B201" s="4" t="s">
        <v>3756</v>
      </c>
      <c r="C201" s="4">
        <v>201</v>
      </c>
      <c r="D201" s="4">
        <v>3</v>
      </c>
      <c r="E201" s="4" t="s">
        <v>579</v>
      </c>
      <c r="F201" s="16">
        <v>45021</v>
      </c>
      <c r="G201" s="5" t="s">
        <v>578</v>
      </c>
      <c r="H201" s="5" t="s">
        <v>3754</v>
      </c>
      <c r="I201" s="24" t="str">
        <f>HYPERLINK("https://www.bilibili.com/video/BV1cs4y1w7Lv?p=3", "BV1cs4y1w7Lv?p=3")</f>
        <v>BV1cs4y1w7Lv?p=3</v>
      </c>
      <c r="J201" s="4" t="str">
        <f ca="1">_xlfn.IFNA(VLOOKUP(INDIRECT("G"&amp;ROW()),minfo!$A:$M,COLUMN()-8,0),"")</f>
        <v>月光</v>
      </c>
      <c r="K201" s="4" t="str">
        <f ca="1">_xlfn.IFNA(VLOOKUP(INDIRECT("G"&amp;ROW()),minfo!$A:$M,COLUMN()-8,0),"")</f>
        <v>胡彦斌</v>
      </c>
      <c r="L201" s="4">
        <f ca="1">_xlfn.IFNA(VLOOKUP(INDIRECT("G"&amp;ROW()),minfo!$A:$M,COLUMN()-8,0),"")</f>
        <v>0</v>
      </c>
      <c r="M201" s="4">
        <f ca="1">_xlfn.IFNA(VLOOKUP(INDIRECT("G"&amp;ROW()),minfo!$A:$M,COLUMN()-8,0),"")</f>
        <v>0</v>
      </c>
      <c r="N201" s="4">
        <f ca="1">_xlfn.IFNA(VLOOKUP(INDIRECT("G"&amp;ROW()),minfo!$A:$M,COLUMN()-8,0),"")</f>
        <v>0</v>
      </c>
      <c r="O201" s="4" t="str">
        <f ca="1">_xlfn.IFNA(VLOOKUP(INDIRECT("G"&amp;ROW()),minfo!$A:$M,COLUMN()-8,0),"")</f>
        <v>https://i0.hdslb.com/bfs/station_src/music_metadata/7cc411366d037e788cb0589e4b72b353.jpg</v>
      </c>
      <c r="P201" s="4" t="str">
        <f ca="1">_xlfn.IFNA(VLOOKUP(INDIRECT("G"&amp;ROW()),minfo!$A:$M,COLUMN()-8,0),"")</f>
        <v>https://i0.hdslb.com/bfs/station_src/music_metadata/24b147c13fc9ffd4dfb30a3a88355255.txt</v>
      </c>
      <c r="Q201" s="4">
        <f ca="1">_xlfn.IFNA(VLOOKUP(INDIRECT("G"&amp;ROW()),minfo!$A:$M,COLUMN()-8,0),"")</f>
        <v>3207</v>
      </c>
      <c r="R201" s="4" t="str">
        <f ca="1">_xlfn.IFNA(VLOOKUP(INDIRECT("G"&amp;ROW()),minfo!$A:$M,COLUMN()-8,0),"")</f>
        <v>《秦时明月》动画主题曲|《秦时明月之君临天下》动画片头曲</v>
      </c>
      <c r="S201" s="4" t="str">
        <f ca="1">_xlfn.IFNA(VLOOKUP(INDIRECT("G"&amp;ROW()),minfo!$A:$M,COLUMN()-8,0),"")</f>
        <v>男人歌 (全胜铂金版)</v>
      </c>
      <c r="T201" s="4">
        <f ca="1">_xlfn.IFNA(VLOOKUP(INDIRECT("G"&amp;ROW()),minfo!$A:$M,COLUMN()-8,0),"")</f>
        <v>276993628</v>
      </c>
      <c r="U201" s="4">
        <f ca="1">_xlfn.IFNA(VLOOKUP(INDIRECT("G"&amp;ROW()),minfo!$A:$M,COLUMN()-8,0),"")</f>
        <v>0</v>
      </c>
    </row>
    <row r="202" spans="1:21" ht="15.75" customHeight="1">
      <c r="A202" s="15">
        <v>201</v>
      </c>
      <c r="B202" s="4" t="s">
        <v>3757</v>
      </c>
      <c r="C202" s="4">
        <v>202</v>
      </c>
      <c r="D202" s="4">
        <v>4</v>
      </c>
      <c r="E202" s="4" t="s">
        <v>113</v>
      </c>
      <c r="F202" s="16">
        <v>45021</v>
      </c>
      <c r="G202" s="5" t="s">
        <v>113</v>
      </c>
      <c r="H202" s="5" t="s">
        <v>3754</v>
      </c>
      <c r="I202" s="24" t="str">
        <f>HYPERLINK("https://www.bilibili.com/video/BV1cs4y1w7Lv?p=4", "BV1cs4y1w7Lv?p=4")</f>
        <v>BV1cs4y1w7Lv?p=4</v>
      </c>
      <c r="J202" s="4" t="str">
        <f ca="1">_xlfn.IFNA(VLOOKUP(INDIRECT("G"&amp;ROW()),minfo!$A:$M,COLUMN()-8,0),"")</f>
        <v>牡丹亭畔</v>
      </c>
      <c r="K202" s="4" t="str">
        <f ca="1">_xlfn.IFNA(VLOOKUP(INDIRECT("G"&amp;ROW()),minfo!$A:$M,COLUMN()-8,0),"")</f>
        <v>说说Crystal</v>
      </c>
      <c r="L202" s="4" t="str">
        <f ca="1">_xlfn.IFNA(VLOOKUP(INDIRECT("G"&amp;ROW()),minfo!$A:$M,COLUMN()-8,0),"")</f>
        <v>BV1CP411M7tc</v>
      </c>
      <c r="M202" s="4">
        <f ca="1">_xlfn.IFNA(VLOOKUP(INDIRECT("G"&amp;ROW()),minfo!$A:$M,COLUMN()-8,0),"")</f>
        <v>0</v>
      </c>
      <c r="N202" s="4">
        <f ca="1">_xlfn.IFNA(VLOOKUP(INDIRECT("G"&amp;ROW()),minfo!$A:$M,COLUMN()-8,0),"")</f>
        <v>0</v>
      </c>
      <c r="O202" s="4">
        <f ca="1">_xlfn.IFNA(VLOOKUP(INDIRECT("G"&amp;ROW()),minfo!$A:$M,COLUMN()-8,0),"")</f>
        <v>0</v>
      </c>
      <c r="P202" s="4">
        <f ca="1">_xlfn.IFNA(VLOOKUP(INDIRECT("G"&amp;ROW()),minfo!$A:$M,COLUMN()-8,0),"")</f>
        <v>0</v>
      </c>
      <c r="Q202" s="4">
        <f ca="1">_xlfn.IFNA(VLOOKUP(INDIRECT("G"&amp;ROW()),minfo!$A:$M,COLUMN()-8,0),"")</f>
        <v>0</v>
      </c>
      <c r="R202" s="4">
        <f ca="1">_xlfn.IFNA(VLOOKUP(INDIRECT("G"&amp;ROW()),minfo!$A:$M,COLUMN()-8,0),"")</f>
        <v>0</v>
      </c>
      <c r="S202" s="4">
        <f ca="1">_xlfn.IFNA(VLOOKUP(INDIRECT("G"&amp;ROW()),minfo!$A:$M,COLUMN()-8,0),"")</f>
        <v>0</v>
      </c>
      <c r="T202" s="4">
        <f ca="1">_xlfn.IFNA(VLOOKUP(INDIRECT("G"&amp;ROW()),minfo!$A:$M,COLUMN()-8,0),"")</f>
        <v>0</v>
      </c>
      <c r="U202" s="4">
        <f ca="1">_xlfn.IFNA(VLOOKUP(INDIRECT("G"&amp;ROW()),minfo!$A:$M,COLUMN()-8,0),"")</f>
        <v>0</v>
      </c>
    </row>
    <row r="203" spans="1:21" ht="15.75" customHeight="1">
      <c r="A203" s="15">
        <v>202</v>
      </c>
      <c r="B203" s="4" t="s">
        <v>3758</v>
      </c>
      <c r="C203" s="4">
        <v>203</v>
      </c>
      <c r="D203" s="4">
        <v>5</v>
      </c>
      <c r="E203" s="4" t="s">
        <v>1078</v>
      </c>
      <c r="F203" s="16">
        <v>45021</v>
      </c>
      <c r="G203" s="5" t="s">
        <v>1077</v>
      </c>
      <c r="H203" s="5" t="s">
        <v>3754</v>
      </c>
      <c r="I203" s="24" t="str">
        <f>HYPERLINK("https://www.bilibili.com/video/BV1cs4y1w7Lv?p=5", "BV1cs4y1w7Lv?p=5")</f>
        <v>BV1cs4y1w7Lv?p=5</v>
      </c>
      <c r="J203" s="4" t="str">
        <f ca="1">_xlfn.IFNA(VLOOKUP(INDIRECT("G"&amp;ROW()),minfo!$A:$M,COLUMN()-8,0),"")</f>
        <v>最长的电影</v>
      </c>
      <c r="K203" s="4" t="str">
        <f ca="1">_xlfn.IFNA(VLOOKUP(INDIRECT("G"&amp;ROW()),minfo!$A:$M,COLUMN()-8,0),"")</f>
        <v>周杰伦</v>
      </c>
      <c r="L203" s="4">
        <f ca="1">_xlfn.IFNA(VLOOKUP(INDIRECT("G"&amp;ROW()),minfo!$A:$M,COLUMN()-8,0),"")</f>
        <v>0</v>
      </c>
      <c r="M203" s="4">
        <f ca="1">_xlfn.IFNA(VLOOKUP(INDIRECT("G"&amp;ROW()),minfo!$A:$M,COLUMN()-8,0),"")</f>
        <v>0</v>
      </c>
      <c r="N203" s="4">
        <f ca="1">_xlfn.IFNA(VLOOKUP(INDIRECT("G"&amp;ROW()),minfo!$A:$M,COLUMN()-8,0),"")</f>
        <v>0</v>
      </c>
      <c r="O203" s="4" t="str">
        <f ca="1">_xlfn.IFNA(VLOOKUP(INDIRECT("G"&amp;ROW()),minfo!$A:$M,COLUMN()-8,0),"")</f>
        <v>https://i0.hdslb.com/bfs/station_src/music_metadata/7eaa1a96d6dc901ac8d38b532ba49f47.jpg</v>
      </c>
      <c r="P203" s="4" t="str">
        <f ca="1">_xlfn.IFNA(VLOOKUP(INDIRECT("G"&amp;ROW()),minfo!$A:$M,COLUMN()-8,0),"")</f>
        <v>http://i0.hdslb.com/bfs/station_src/music_metadata/62e80a61723a09aff7da0f2c4f4612c9</v>
      </c>
      <c r="Q203" s="4">
        <f ca="1">_xlfn.IFNA(VLOOKUP(INDIRECT("G"&amp;ROW()),minfo!$A:$M,COLUMN()-8,0),"")</f>
        <v>2026</v>
      </c>
      <c r="R203" s="4">
        <f ca="1">_xlfn.IFNA(VLOOKUP(INDIRECT("G"&amp;ROW()),minfo!$A:$M,COLUMN()-8,0),"")</f>
        <v>0</v>
      </c>
      <c r="S203" s="4" t="str">
        <f ca="1">_xlfn.IFNA(VLOOKUP(INDIRECT("G"&amp;ROW()),minfo!$A:$M,COLUMN()-8,0),"")</f>
        <v>我很忙</v>
      </c>
      <c r="T203" s="4">
        <f ca="1">_xlfn.IFNA(VLOOKUP(INDIRECT("G"&amp;ROW()),minfo!$A:$M,COLUMN()-8,0),"")</f>
        <v>437092203</v>
      </c>
      <c r="U203" s="4">
        <f ca="1">_xlfn.IFNA(VLOOKUP(INDIRECT("G"&amp;ROW()),minfo!$A:$M,COLUMN()-8,0),"")</f>
        <v>0</v>
      </c>
    </row>
    <row r="204" spans="1:21" ht="15.75" customHeight="1">
      <c r="A204" s="15">
        <v>203</v>
      </c>
      <c r="B204" s="4" t="s">
        <v>3759</v>
      </c>
      <c r="C204" s="4">
        <v>204</v>
      </c>
      <c r="D204" s="4">
        <v>6</v>
      </c>
      <c r="E204" s="4" t="s">
        <v>67</v>
      </c>
      <c r="F204" s="16">
        <v>45021</v>
      </c>
      <c r="G204" s="5" t="s">
        <v>67</v>
      </c>
      <c r="H204" s="5" t="s">
        <v>3754</v>
      </c>
      <c r="I204" s="24" t="str">
        <f>HYPERLINK("https://www.bilibili.com/video/BV1cs4y1w7Lv?p=6", "BV1cs4y1w7Lv?p=6")</f>
        <v>BV1cs4y1w7Lv?p=6</v>
      </c>
      <c r="J204" s="4" t="str">
        <f ca="1">_xlfn.IFNA(VLOOKUP(INDIRECT("G"&amp;ROW()),minfo!$A:$M,COLUMN()-8,0),"")</f>
        <v>回乡偶书</v>
      </c>
      <c r="K204" s="4" t="str">
        <f ca="1">_xlfn.IFNA(VLOOKUP(INDIRECT("G"&amp;ROW()),minfo!$A:$M,COLUMN()-8,0),"")</f>
        <v>说说Crystal</v>
      </c>
      <c r="L204" s="4" t="str">
        <f ca="1">_xlfn.IFNA(VLOOKUP(INDIRECT("G"&amp;ROW()),minfo!$A:$M,COLUMN()-8,0),"")</f>
        <v>BV1dv4y197cw</v>
      </c>
      <c r="M204" s="4">
        <f ca="1">_xlfn.IFNA(VLOOKUP(INDIRECT("G"&amp;ROW()),minfo!$A:$M,COLUMN()-8,0),"")</f>
        <v>0</v>
      </c>
      <c r="N204" s="4">
        <f ca="1">_xlfn.IFNA(VLOOKUP(INDIRECT("G"&amp;ROW()),minfo!$A:$M,COLUMN()-8,0),"")</f>
        <v>0</v>
      </c>
      <c r="O204" s="4">
        <f ca="1">_xlfn.IFNA(VLOOKUP(INDIRECT("G"&amp;ROW()),minfo!$A:$M,COLUMN()-8,0),"")</f>
        <v>0</v>
      </c>
      <c r="P204" s="4">
        <f ca="1">_xlfn.IFNA(VLOOKUP(INDIRECT("G"&amp;ROW()),minfo!$A:$M,COLUMN()-8,0),"")</f>
        <v>0</v>
      </c>
      <c r="Q204" s="4">
        <f ca="1">_xlfn.IFNA(VLOOKUP(INDIRECT("G"&amp;ROW()),minfo!$A:$M,COLUMN()-8,0),"")</f>
        <v>0</v>
      </c>
      <c r="R204" s="4">
        <f ca="1">_xlfn.IFNA(VLOOKUP(INDIRECT("G"&amp;ROW()),minfo!$A:$M,COLUMN()-8,0),"")</f>
        <v>0</v>
      </c>
      <c r="S204" s="4">
        <f ca="1">_xlfn.IFNA(VLOOKUP(INDIRECT("G"&amp;ROW()),minfo!$A:$M,COLUMN()-8,0),"")</f>
        <v>0</v>
      </c>
      <c r="T204" s="4">
        <f ca="1">_xlfn.IFNA(VLOOKUP(INDIRECT("G"&amp;ROW()),minfo!$A:$M,COLUMN()-8,0),"")</f>
        <v>0</v>
      </c>
      <c r="U204" s="4">
        <f ca="1">_xlfn.IFNA(VLOOKUP(INDIRECT("G"&amp;ROW()),minfo!$A:$M,COLUMN()-8,0),"")</f>
        <v>0</v>
      </c>
    </row>
    <row r="205" spans="1:21" ht="15.75" customHeight="1">
      <c r="A205" s="15">
        <v>204</v>
      </c>
      <c r="B205" s="4" t="s">
        <v>3760</v>
      </c>
      <c r="C205" s="4">
        <v>205</v>
      </c>
      <c r="D205" s="4">
        <v>7</v>
      </c>
      <c r="E205" s="4" t="s">
        <v>93</v>
      </c>
      <c r="F205" s="16">
        <v>45021</v>
      </c>
      <c r="G205" s="5" t="s">
        <v>273</v>
      </c>
      <c r="H205" s="5" t="s">
        <v>3754</v>
      </c>
      <c r="I205" s="24" t="str">
        <f>HYPERLINK("https://www.bilibili.com/video/BV1cs4y1w7Lv?p=7", "BV1cs4y1w7Lv?p=7")</f>
        <v>BV1cs4y1w7Lv?p=7</v>
      </c>
      <c r="J205" s="4" t="str">
        <f ca="1">_xlfn.IFNA(VLOOKUP(INDIRECT("G"&amp;ROW()),minfo!$A:$M,COLUMN()-8,0),"")</f>
        <v>罗敷</v>
      </c>
      <c r="K205" s="4" t="str">
        <f ca="1">_xlfn.IFNA(VLOOKUP(INDIRECT("G"&amp;ROW()),minfo!$A:$M,COLUMN()-8,0),"")</f>
        <v>说说Crystal</v>
      </c>
      <c r="L205" s="4">
        <f ca="1">_xlfn.IFNA(VLOOKUP(INDIRECT("G"&amp;ROW()),minfo!$A:$M,COLUMN()-8,0),"")</f>
        <v>0</v>
      </c>
      <c r="M205" s="4">
        <f ca="1">_xlfn.IFNA(VLOOKUP(INDIRECT("G"&amp;ROW()),minfo!$A:$M,COLUMN()-8,0),"")</f>
        <v>0</v>
      </c>
      <c r="N205" s="4">
        <f ca="1">_xlfn.IFNA(VLOOKUP(INDIRECT("G"&amp;ROW()),minfo!$A:$M,COLUMN()-8,0),"")</f>
        <v>0</v>
      </c>
      <c r="O205" s="4" t="str">
        <f ca="1">_xlfn.IFNA(VLOOKUP(INDIRECT("G"&amp;ROW()),minfo!$A:$M,COLUMN()-8,0),"")</f>
        <v>https://i0.hdslb.com/bfs/station_src/music_metadata/1b7b9e3e2c4c793577a84986cdadb2cc.jpg</v>
      </c>
      <c r="P205" s="4">
        <f ca="1">_xlfn.IFNA(VLOOKUP(INDIRECT("G"&amp;ROW()),minfo!$A:$M,COLUMN()-8,0),"")</f>
        <v>0</v>
      </c>
      <c r="Q205" s="4">
        <f ca="1">_xlfn.IFNA(VLOOKUP(INDIRECT("G"&amp;ROW()),minfo!$A:$M,COLUMN()-8,0),"")</f>
        <v>0</v>
      </c>
      <c r="R205" s="4">
        <f ca="1">_xlfn.IFNA(VLOOKUP(INDIRECT("G"&amp;ROW()),minfo!$A:$M,COLUMN()-8,0),"")</f>
        <v>0</v>
      </c>
      <c r="S205" s="4" t="str">
        <f ca="1">_xlfn.IFNA(VLOOKUP(INDIRECT("G"&amp;ROW()),minfo!$A:$M,COLUMN()-8,0),"")</f>
        <v>【说说·原创】这一曲只倾心于你 |《罗敷》</v>
      </c>
      <c r="T205" s="4">
        <f ca="1">_xlfn.IFNA(VLOOKUP(INDIRECT("G"&amp;ROW()),minfo!$A:$M,COLUMN()-8,0),"")</f>
        <v>323164</v>
      </c>
      <c r="U205" s="4">
        <f ca="1">_xlfn.IFNA(VLOOKUP(INDIRECT("G"&amp;ROW()),minfo!$A:$M,COLUMN()-8,0),"")</f>
        <v>0</v>
      </c>
    </row>
    <row r="206" spans="1:21" ht="15.75" customHeight="1">
      <c r="A206" s="15">
        <v>205</v>
      </c>
      <c r="B206" s="4" t="s">
        <v>3761</v>
      </c>
      <c r="C206" s="4">
        <v>206</v>
      </c>
      <c r="D206" s="4">
        <v>8</v>
      </c>
      <c r="E206" s="4" t="s">
        <v>3762</v>
      </c>
      <c r="F206" s="16">
        <v>45021</v>
      </c>
      <c r="G206" s="5" t="s">
        <v>838</v>
      </c>
      <c r="H206" s="5" t="s">
        <v>3754</v>
      </c>
      <c r="I206" s="24" t="str">
        <f>HYPERLINK("https://www.bilibili.com/video/BV1cs4y1w7Lv?p=8", "BV1cs4y1w7Lv?p=8")</f>
        <v>BV1cs4y1w7Lv?p=8</v>
      </c>
      <c r="J206" s="4" t="str">
        <f ca="1">_xlfn.IFNA(VLOOKUP(INDIRECT("G"&amp;ROW()),minfo!$A:$M,COLUMN()-8,0),"")</f>
        <v>七里香</v>
      </c>
      <c r="K206" s="4" t="str">
        <f ca="1">_xlfn.IFNA(VLOOKUP(INDIRECT("G"&amp;ROW()),minfo!$A:$M,COLUMN()-8,0),"")</f>
        <v>周杰伦</v>
      </c>
      <c r="L206" s="4">
        <f ca="1">_xlfn.IFNA(VLOOKUP(INDIRECT("G"&amp;ROW()),minfo!$A:$M,COLUMN()-8,0),"")</f>
        <v>0</v>
      </c>
      <c r="M206" s="4">
        <f ca="1">_xlfn.IFNA(VLOOKUP(INDIRECT("G"&amp;ROW()),minfo!$A:$M,COLUMN()-8,0),"")</f>
        <v>6714</v>
      </c>
      <c r="N206" s="4">
        <f ca="1">_xlfn.IFNA(VLOOKUP(INDIRECT("G"&amp;ROW()),minfo!$A:$M,COLUMN()-8,0),"")</f>
        <v>200</v>
      </c>
      <c r="O206" s="4" t="str">
        <f ca="1">_xlfn.IFNA(VLOOKUP(INDIRECT("G"&amp;ROW()),minfo!$A:$M,COLUMN()-8,0),"")</f>
        <v>https://i0.hdslb.com/bfs/station_src/music_metadata/cc542b9d467cfc48aecb420fa38f29a5.jpg</v>
      </c>
      <c r="P206" s="4">
        <f ca="1">_xlfn.IFNA(VLOOKUP(INDIRECT("G"&amp;ROW()),minfo!$A:$M,COLUMN()-8,0),"")</f>
        <v>0</v>
      </c>
      <c r="Q206" s="4">
        <f ca="1">_xlfn.IFNA(VLOOKUP(INDIRECT("G"&amp;ROW()),minfo!$A:$M,COLUMN()-8,0),"")</f>
        <v>13878</v>
      </c>
      <c r="R206" s="4">
        <f ca="1">_xlfn.IFNA(VLOOKUP(INDIRECT("G"&amp;ROW()),minfo!$A:$M,COLUMN()-8,0),"")</f>
        <v>0</v>
      </c>
      <c r="S206" s="4" t="str">
        <f ca="1">_xlfn.IFNA(VLOOKUP(INDIRECT("G"&amp;ROW()),minfo!$A:$M,COLUMN()-8,0),"")</f>
        <v>七里香</v>
      </c>
      <c r="T206" s="4">
        <f ca="1">_xlfn.IFNA(VLOOKUP(INDIRECT("G"&amp;ROW()),minfo!$A:$M,COLUMN()-8,0),"")</f>
        <v>1124988076</v>
      </c>
      <c r="U206" s="4" t="str">
        <f ca="1">_xlfn.IFNA(VLOOKUP(INDIRECT("G"&amp;ROW()),minfo!$A:$M,COLUMN()-8,0),"")</f>
        <v>音乐榜最高NO.17</v>
      </c>
    </row>
    <row r="207" spans="1:21" ht="15.75" customHeight="1">
      <c r="A207" s="15">
        <v>206</v>
      </c>
      <c r="B207" s="4" t="s">
        <v>3763</v>
      </c>
      <c r="C207" s="4">
        <v>207</v>
      </c>
      <c r="D207" s="4">
        <v>9</v>
      </c>
      <c r="E207" s="4" t="s">
        <v>816</v>
      </c>
      <c r="F207" s="16">
        <v>45021</v>
      </c>
      <c r="G207" s="5" t="s">
        <v>815</v>
      </c>
      <c r="H207" s="5" t="s">
        <v>3754</v>
      </c>
      <c r="I207" s="24" t="str">
        <f>HYPERLINK("https://www.bilibili.com/video/BV1cs4y1w7Lv?p=9", "BV1cs4y1w7Lv?p=9")</f>
        <v>BV1cs4y1w7Lv?p=9</v>
      </c>
      <c r="J207" s="4" t="str">
        <f ca="1">_xlfn.IFNA(VLOOKUP(INDIRECT("G"&amp;ROW()),minfo!$A:$M,COLUMN()-8,0),"")</f>
        <v>开不了口</v>
      </c>
      <c r="K207" s="4" t="str">
        <f ca="1">_xlfn.IFNA(VLOOKUP(INDIRECT("G"&amp;ROW()),minfo!$A:$M,COLUMN()-8,0),"")</f>
        <v>周杰伦</v>
      </c>
      <c r="L207" s="4">
        <f ca="1">_xlfn.IFNA(VLOOKUP(INDIRECT("G"&amp;ROW()),minfo!$A:$M,COLUMN()-8,0),"")</f>
        <v>0</v>
      </c>
      <c r="M207" s="4">
        <f ca="1">_xlfn.IFNA(VLOOKUP(INDIRECT("G"&amp;ROW()),minfo!$A:$M,COLUMN()-8,0),"")</f>
        <v>0</v>
      </c>
      <c r="N207" s="4">
        <f ca="1">_xlfn.IFNA(VLOOKUP(INDIRECT("G"&amp;ROW()),minfo!$A:$M,COLUMN()-8,0),"")</f>
        <v>0</v>
      </c>
      <c r="O207" s="4" t="str">
        <f ca="1">_xlfn.IFNA(VLOOKUP(INDIRECT("G"&amp;ROW()),minfo!$A:$M,COLUMN()-8,0),"")</f>
        <v>http://i0.hdslb.com/bfs/station_src/music_metadata/d0f745972711cd41b07e10e96dd6512a.jpg</v>
      </c>
      <c r="P207" s="4" t="str">
        <f ca="1">_xlfn.IFNA(VLOOKUP(INDIRECT("G"&amp;ROW()),minfo!$A:$M,COLUMN()-8,0),"")</f>
        <v>http://i0.hdslb.com/bfs/station_src/music_metadata/9e21bb6bd3e9e6c6a099ea6fe790a7e4</v>
      </c>
      <c r="Q207" s="4">
        <f ca="1">_xlfn.IFNA(VLOOKUP(INDIRECT("G"&amp;ROW()),minfo!$A:$M,COLUMN()-8,0),"")</f>
        <v>1670</v>
      </c>
      <c r="R207" s="4">
        <f ca="1">_xlfn.IFNA(VLOOKUP(INDIRECT("G"&amp;ROW()),minfo!$A:$M,COLUMN()-8,0),"")</f>
        <v>0</v>
      </c>
      <c r="S207" s="4" t="str">
        <f ca="1">_xlfn.IFNA(VLOOKUP(INDIRECT("G"&amp;ROW()),minfo!$A:$M,COLUMN()-8,0),"")</f>
        <v>范特西</v>
      </c>
      <c r="T207" s="4">
        <f ca="1">_xlfn.IFNA(VLOOKUP(INDIRECT("G"&amp;ROW()),minfo!$A:$M,COLUMN()-8,0),"")</f>
        <v>374265212</v>
      </c>
      <c r="U207" s="4">
        <f ca="1">_xlfn.IFNA(VLOOKUP(INDIRECT("G"&amp;ROW()),minfo!$A:$M,COLUMN()-8,0),"")</f>
        <v>0</v>
      </c>
    </row>
    <row r="208" spans="1:21" ht="15.75" customHeight="1">
      <c r="A208" s="15">
        <v>207</v>
      </c>
      <c r="B208" s="4" t="s">
        <v>3764</v>
      </c>
      <c r="C208" s="4">
        <v>208</v>
      </c>
      <c r="D208" s="4">
        <v>10</v>
      </c>
      <c r="E208" s="4" t="s">
        <v>259</v>
      </c>
      <c r="F208" s="16">
        <v>45021</v>
      </c>
      <c r="G208" s="5" t="s">
        <v>258</v>
      </c>
      <c r="H208" s="5" t="s">
        <v>3754</v>
      </c>
      <c r="I208" s="24" t="str">
        <f>HYPERLINK("https://www.bilibili.com/video/BV1cs4y1w7Lv?p=10", "BV1cs4y1w7Lv?p=10")</f>
        <v>BV1cs4y1w7Lv?p=10</v>
      </c>
      <c r="J208" s="4" t="str">
        <f ca="1">_xlfn.IFNA(VLOOKUP(INDIRECT("G"&amp;ROW()),minfo!$A:$M,COLUMN()-8,0),"")</f>
        <v>枫</v>
      </c>
      <c r="K208" s="4" t="str">
        <f ca="1">_xlfn.IFNA(VLOOKUP(INDIRECT("G"&amp;ROW()),minfo!$A:$M,COLUMN()-8,0),"")</f>
        <v>周杰伦</v>
      </c>
      <c r="L208" s="4">
        <f ca="1">_xlfn.IFNA(VLOOKUP(INDIRECT("G"&amp;ROW()),minfo!$A:$M,COLUMN()-8,0),"")</f>
        <v>0</v>
      </c>
      <c r="M208" s="4">
        <f ca="1">_xlfn.IFNA(VLOOKUP(INDIRECT("G"&amp;ROW()),minfo!$A:$M,COLUMN()-8,0),"")</f>
        <v>0</v>
      </c>
      <c r="N208" s="4">
        <f ca="1">_xlfn.IFNA(VLOOKUP(INDIRECT("G"&amp;ROW()),minfo!$A:$M,COLUMN()-8,0),"")</f>
        <v>0</v>
      </c>
      <c r="O208" s="4" t="str">
        <f ca="1">_xlfn.IFNA(VLOOKUP(INDIRECT("G"&amp;ROW()),minfo!$A:$M,COLUMN()-8,0),"")</f>
        <v>https://i0.hdslb.com/bfs/station_src/music_metadata/fb82b0fb2908b09d88ba13ef0db91863.jpg</v>
      </c>
      <c r="P208" s="4" t="str">
        <f ca="1">_xlfn.IFNA(VLOOKUP(INDIRECT("G"&amp;ROW()),minfo!$A:$M,COLUMN()-8,0),"")</f>
        <v>http://i0.hdslb.com/bfs/station_src/music_metadata/9b1e7a89ea3eead8b8c6b32cdb30abd9</v>
      </c>
      <c r="Q208" s="4">
        <f ca="1">_xlfn.IFNA(VLOOKUP(INDIRECT("G"&amp;ROW()),minfo!$A:$M,COLUMN()-8,0),"")</f>
        <v>6002</v>
      </c>
      <c r="R208" s="4">
        <f ca="1">_xlfn.IFNA(VLOOKUP(INDIRECT("G"&amp;ROW()),minfo!$A:$M,COLUMN()-8,0),"")</f>
        <v>0</v>
      </c>
      <c r="S208" s="4" t="str">
        <f ca="1">_xlfn.IFNA(VLOOKUP(INDIRECT("G"&amp;ROW()),minfo!$A:$M,COLUMN()-8,0),"")</f>
        <v>十一月的萧邦</v>
      </c>
      <c r="T208" s="4">
        <f ca="1">_xlfn.IFNA(VLOOKUP(INDIRECT("G"&amp;ROW()),minfo!$A:$M,COLUMN()-8,0),"")</f>
        <v>560749777</v>
      </c>
      <c r="U208" s="4">
        <f ca="1">_xlfn.IFNA(VLOOKUP(INDIRECT("G"&amp;ROW()),minfo!$A:$M,COLUMN()-8,0),"")</f>
        <v>0</v>
      </c>
    </row>
    <row r="209" spans="1:21" ht="15.75" customHeight="1">
      <c r="A209" s="15">
        <v>208</v>
      </c>
      <c r="B209" s="4" t="s">
        <v>3765</v>
      </c>
      <c r="C209" s="4">
        <v>209</v>
      </c>
      <c r="D209" s="4">
        <v>11</v>
      </c>
      <c r="E209" s="4" t="s">
        <v>841</v>
      </c>
      <c r="F209" s="16">
        <v>45021</v>
      </c>
      <c r="G209" s="5" t="s">
        <v>840</v>
      </c>
      <c r="H209" s="5" t="s">
        <v>3754</v>
      </c>
      <c r="I209" s="24" t="str">
        <f>HYPERLINK("https://www.bilibili.com/video/BV1cs4y1w7Lv?p=11", "BV1cs4y1w7Lv?p=11")</f>
        <v>BV1cs4y1w7Lv?p=11</v>
      </c>
      <c r="J209" s="4" t="str">
        <f ca="1">_xlfn.IFNA(VLOOKUP(INDIRECT("G"&amp;ROW()),minfo!$A:$M,COLUMN()-8,0),"")</f>
        <v>炫境</v>
      </c>
      <c r="K209" s="4" t="str">
        <f ca="1">_xlfn.IFNA(VLOOKUP(INDIRECT("G"&amp;ROW()),minfo!$A:$M,COLUMN()-8,0),"")</f>
        <v>常思思</v>
      </c>
      <c r="L209" s="4">
        <f ca="1">_xlfn.IFNA(VLOOKUP(INDIRECT("G"&amp;ROW()),minfo!$A:$M,COLUMN()-8,0),"")</f>
        <v>0</v>
      </c>
      <c r="M209" s="4">
        <f ca="1">_xlfn.IFNA(VLOOKUP(INDIRECT("G"&amp;ROW()),minfo!$A:$M,COLUMN()-8,0),"")</f>
        <v>0</v>
      </c>
      <c r="N209" s="4">
        <f ca="1">_xlfn.IFNA(VLOOKUP(INDIRECT("G"&amp;ROW()),minfo!$A:$M,COLUMN()-8,0),"")</f>
        <v>0</v>
      </c>
      <c r="O209" s="4" t="str">
        <f ca="1">_xlfn.IFNA(VLOOKUP(INDIRECT("G"&amp;ROW()),minfo!$A:$M,COLUMN()-8,0),"")</f>
        <v>https://i0.hdslb.com/bfs/station_src/music_metadata/bb472fb5bb963e3196367a80a378cb42.jpg</v>
      </c>
      <c r="P209" s="4" t="str">
        <f ca="1">_xlfn.IFNA(VLOOKUP(INDIRECT("G"&amp;ROW()),minfo!$A:$M,COLUMN()-8,0),"")</f>
        <v>https://i0.hdslb.com/bfs/station_src/music_metadata/d43ca0170afc09df9cd4618d3854ebce.txt</v>
      </c>
      <c r="Q209" s="4">
        <f ca="1">_xlfn.IFNA(VLOOKUP(INDIRECT("G"&amp;ROW()),minfo!$A:$M,COLUMN()-8,0),"")</f>
        <v>10</v>
      </c>
      <c r="R209" s="4">
        <f ca="1">_xlfn.IFNA(VLOOKUP(INDIRECT("G"&amp;ROW()),minfo!$A:$M,COLUMN()-8,0),"")</f>
        <v>0</v>
      </c>
      <c r="S209" s="4" t="str">
        <f ca="1">_xlfn.IFNA(VLOOKUP(INDIRECT("G"&amp;ROW()),minfo!$A:$M,COLUMN()-8,0),"")</f>
        <v>常思思作品集</v>
      </c>
      <c r="T209" s="4">
        <f ca="1">_xlfn.IFNA(VLOOKUP(INDIRECT("G"&amp;ROW()),minfo!$A:$M,COLUMN()-8,0),"")</f>
        <v>13953335</v>
      </c>
      <c r="U209" s="4">
        <f ca="1">_xlfn.IFNA(VLOOKUP(INDIRECT("G"&amp;ROW()),minfo!$A:$M,COLUMN()-8,0),"")</f>
        <v>0</v>
      </c>
    </row>
    <row r="210" spans="1:21" ht="15.75" customHeight="1">
      <c r="A210" s="15">
        <v>209</v>
      </c>
      <c r="B210" s="4" t="s">
        <v>3766</v>
      </c>
      <c r="C210" s="4">
        <v>210</v>
      </c>
      <c r="D210" s="4">
        <v>12</v>
      </c>
      <c r="E210" s="4" t="s">
        <v>846</v>
      </c>
      <c r="F210" s="16">
        <v>45021</v>
      </c>
      <c r="G210" s="5" t="s">
        <v>845</v>
      </c>
      <c r="H210" s="5" t="s">
        <v>3754</v>
      </c>
      <c r="I210" s="24" t="str">
        <f>HYPERLINK("https://www.bilibili.com/video/BV1cs4y1w7Lv?p=12", "BV1cs4y1w7Lv?p=12")</f>
        <v>BV1cs4y1w7Lv?p=12</v>
      </c>
      <c r="J210" s="4" t="str">
        <f ca="1">_xlfn.IFNA(VLOOKUP(INDIRECT("G"&amp;ROW()),minfo!$A:$M,COLUMN()-8,0),"")</f>
        <v>左手指月</v>
      </c>
      <c r="K210" s="4" t="str">
        <f ca="1">_xlfn.IFNA(VLOOKUP(INDIRECT("G"&amp;ROW()),minfo!$A:$M,COLUMN()-8,0),"")</f>
        <v>萨顶顶</v>
      </c>
      <c r="L210" s="4">
        <f ca="1">_xlfn.IFNA(VLOOKUP(INDIRECT("G"&amp;ROW()),minfo!$A:$M,COLUMN()-8,0),"")</f>
        <v>0</v>
      </c>
      <c r="M210" s="4">
        <f ca="1">_xlfn.IFNA(VLOOKUP(INDIRECT("G"&amp;ROW()),minfo!$A:$M,COLUMN()-8,0),"")</f>
        <v>0</v>
      </c>
      <c r="N210" s="4">
        <f ca="1">_xlfn.IFNA(VLOOKUP(INDIRECT("G"&amp;ROW()),minfo!$A:$M,COLUMN()-8,0),"")</f>
        <v>0</v>
      </c>
      <c r="O210" s="4" t="str">
        <f ca="1">_xlfn.IFNA(VLOOKUP(INDIRECT("G"&amp;ROW()),minfo!$A:$M,COLUMN()-8,0),"")</f>
        <v>http://i0.hdslb.com/bfs/station_src/music_metadata/fe8994db7a3105222f29993a7e9a6d6e.jpg</v>
      </c>
      <c r="P210" s="4" t="str">
        <f ca="1">_xlfn.IFNA(VLOOKUP(INDIRECT("G"&amp;ROW()),minfo!$A:$M,COLUMN()-8,0),"")</f>
        <v>http://i0.hdslb.com/bfs/station_src/music_metadata/78e1f08a3ddf3473daad2f7995590a90</v>
      </c>
      <c r="Q210" s="4">
        <f ca="1">_xlfn.IFNA(VLOOKUP(INDIRECT("G"&amp;ROW()),minfo!$A:$M,COLUMN()-8,0),"")</f>
        <v>1334</v>
      </c>
      <c r="R210" s="4" t="str">
        <f ca="1">_xlfn.IFNA(VLOOKUP(INDIRECT("G"&amp;ROW()),minfo!$A:$M,COLUMN()-8,0),"")</f>
        <v>《香蜜沉沉烬如霜》电视剧片尾曲</v>
      </c>
      <c r="S210" s="4" t="str">
        <f ca="1">_xlfn.IFNA(VLOOKUP(INDIRECT("G"&amp;ROW()),minfo!$A:$M,COLUMN()-8,0),"")</f>
        <v>香蜜沉沉烬如霜 电视原声音乐专辑</v>
      </c>
      <c r="T210" s="4">
        <f ca="1">_xlfn.IFNA(VLOOKUP(INDIRECT("G"&amp;ROW()),minfo!$A:$M,COLUMN()-8,0),"")</f>
        <v>594956132</v>
      </c>
      <c r="U210" s="4" t="str">
        <f ca="1">_xlfn.IFNA(VLOOKUP(INDIRECT("G"&amp;ROW()),minfo!$A:$M,COLUMN()-8,0),"")</f>
        <v>音乐榜最高NO.16</v>
      </c>
    </row>
    <row r="211" spans="1:21" ht="15.75" customHeight="1">
      <c r="A211" s="15">
        <v>210</v>
      </c>
      <c r="B211" s="4" t="s">
        <v>3767</v>
      </c>
      <c r="C211" s="4">
        <v>211</v>
      </c>
      <c r="D211" s="4">
        <v>13</v>
      </c>
      <c r="E211" s="4" t="s">
        <v>854</v>
      </c>
      <c r="F211" s="16">
        <v>45021</v>
      </c>
      <c r="G211" s="5" t="s">
        <v>853</v>
      </c>
      <c r="H211" s="5" t="s">
        <v>3754</v>
      </c>
      <c r="I211" s="24" t="str">
        <f>HYPERLINK("https://www.bilibili.com/video/BV1cs4y1w7Lv?p=13", "BV1cs4y1w7Lv?p=13")</f>
        <v>BV1cs4y1w7Lv?p=13</v>
      </c>
      <c r="J211" s="4" t="str">
        <f ca="1">_xlfn.IFNA(VLOOKUP(INDIRECT("G"&amp;ROW()),minfo!$A:$M,COLUMN()-8,0),"")</f>
        <v>九儿</v>
      </c>
      <c r="K211" s="4" t="str">
        <f ca="1">_xlfn.IFNA(VLOOKUP(INDIRECT("G"&amp;ROW()),minfo!$A:$M,COLUMN()-8,0),"")</f>
        <v>韩红</v>
      </c>
      <c r="L211" s="4">
        <f ca="1">_xlfn.IFNA(VLOOKUP(INDIRECT("G"&amp;ROW()),minfo!$A:$M,COLUMN()-8,0),"")</f>
        <v>0</v>
      </c>
      <c r="M211" s="4">
        <f ca="1">_xlfn.IFNA(VLOOKUP(INDIRECT("G"&amp;ROW()),minfo!$A:$M,COLUMN()-8,0),"")</f>
        <v>0</v>
      </c>
      <c r="N211" s="4">
        <f ca="1">_xlfn.IFNA(VLOOKUP(INDIRECT("G"&amp;ROW()),minfo!$A:$M,COLUMN()-8,0),"")</f>
        <v>0</v>
      </c>
      <c r="O211" s="4" t="str">
        <f ca="1">_xlfn.IFNA(VLOOKUP(INDIRECT("G"&amp;ROW()),minfo!$A:$M,COLUMN()-8,0),"")</f>
        <v>http://i0.hdslb.com/bfs/station_src/music_metadata/4b1235563c7c1ddf528cbdad350afb65.jpg</v>
      </c>
      <c r="P211" s="4" t="str">
        <f ca="1">_xlfn.IFNA(VLOOKUP(INDIRECT("G"&amp;ROW()),minfo!$A:$M,COLUMN()-8,0),"")</f>
        <v>http://i0.hdslb.com/bfs/station_src/music_metadata/4de1f7be8adf439f12c97751ef8d1383</v>
      </c>
      <c r="Q211" s="4">
        <f ca="1">_xlfn.IFNA(VLOOKUP(INDIRECT("G"&amp;ROW()),minfo!$A:$M,COLUMN()-8,0),"")</f>
        <v>357</v>
      </c>
      <c r="R211" s="4" t="str">
        <f ca="1">_xlfn.IFNA(VLOOKUP(INDIRECT("G"&amp;ROW()),minfo!$A:$M,COLUMN()-8,0),"")</f>
        <v>《红高粱》电视剧主题曲</v>
      </c>
      <c r="S211" s="4" t="str">
        <f ca="1">_xlfn.IFNA(VLOOKUP(INDIRECT("G"&amp;ROW()),minfo!$A:$M,COLUMN()-8,0),"")</f>
        <v>红高粱 电视剧原声带</v>
      </c>
      <c r="T211" s="4">
        <f ca="1">_xlfn.IFNA(VLOOKUP(INDIRECT("G"&amp;ROW()),minfo!$A:$M,COLUMN()-8,0),"")</f>
        <v>173322581</v>
      </c>
      <c r="U211" s="4">
        <f ca="1">_xlfn.IFNA(VLOOKUP(INDIRECT("G"&amp;ROW()),minfo!$A:$M,COLUMN()-8,0),"")</f>
        <v>0</v>
      </c>
    </row>
    <row r="212" spans="1:21" ht="15.75" customHeight="1">
      <c r="A212" s="15">
        <v>211</v>
      </c>
      <c r="B212" s="4" t="s">
        <v>3768</v>
      </c>
      <c r="C212" s="4">
        <v>212</v>
      </c>
      <c r="D212" s="4">
        <v>14</v>
      </c>
      <c r="E212" s="4" t="s">
        <v>860</v>
      </c>
      <c r="F212" s="16">
        <v>45021</v>
      </c>
      <c r="G212" s="5" t="s">
        <v>859</v>
      </c>
      <c r="H212" s="5" t="s">
        <v>3754</v>
      </c>
      <c r="I212" s="24" t="str">
        <f>HYPERLINK("https://www.bilibili.com/video/BV1cs4y1w7Lv?p=14", "BV1cs4y1w7Lv?p=14")</f>
        <v>BV1cs4y1w7Lv?p=14</v>
      </c>
      <c r="J212" s="4" t="str">
        <f ca="1">_xlfn.IFNA(VLOOKUP(INDIRECT("G"&amp;ROW()),minfo!$A:$M,COLUMN()-8,0),"")</f>
        <v>秋水长天</v>
      </c>
      <c r="K212" s="4" t="str">
        <f ca="1">_xlfn.IFNA(VLOOKUP(INDIRECT("G"&amp;ROW()),minfo!$A:$M,COLUMN()-8,0),"")</f>
        <v>常思思</v>
      </c>
      <c r="L212" s="4">
        <f ca="1">_xlfn.IFNA(VLOOKUP(INDIRECT("G"&amp;ROW()),minfo!$A:$M,COLUMN()-8,0),"")</f>
        <v>0</v>
      </c>
      <c r="M212" s="4">
        <f ca="1">_xlfn.IFNA(VLOOKUP(INDIRECT("G"&amp;ROW()),minfo!$A:$M,COLUMN()-8,0),"")</f>
        <v>0</v>
      </c>
      <c r="N212" s="4">
        <f ca="1">_xlfn.IFNA(VLOOKUP(INDIRECT("G"&amp;ROW()),minfo!$A:$M,COLUMN()-8,0),"")</f>
        <v>0</v>
      </c>
      <c r="O212" s="4" t="str">
        <f ca="1">_xlfn.IFNA(VLOOKUP(INDIRECT("G"&amp;ROW()),minfo!$A:$M,COLUMN()-8,0),"")</f>
        <v>https://i0.hdslb.com/bfs/station_src/music_metadata/d520e489abaf715fb24ccc60f72dc6e4.jpg</v>
      </c>
      <c r="P212" s="4" t="str">
        <f ca="1">_xlfn.IFNA(VLOOKUP(INDIRECT("G"&amp;ROW()),minfo!$A:$M,COLUMN()-8,0),"")</f>
        <v>https://i0.hdslb.com/bfs/station_src/music_metadata/56ca13041f9dd35abfd03e02fe5cf59f.txt</v>
      </c>
      <c r="Q212" s="4">
        <f ca="1">_xlfn.IFNA(VLOOKUP(INDIRECT("G"&amp;ROW()),minfo!$A:$M,COLUMN()-8,0),"")</f>
        <v>1</v>
      </c>
      <c r="R212" s="4">
        <f ca="1">_xlfn.IFNA(VLOOKUP(INDIRECT("G"&amp;ROW()),minfo!$A:$M,COLUMN()-8,0),"")</f>
        <v>0</v>
      </c>
      <c r="S212" s="4" t="str">
        <f ca="1">_xlfn.IFNA(VLOOKUP(INDIRECT("G"&amp;ROW()),minfo!$A:$M,COLUMN()-8,0),"")</f>
        <v>常思思精选歌曲集</v>
      </c>
      <c r="T212" s="4">
        <f ca="1">_xlfn.IFNA(VLOOKUP(INDIRECT("G"&amp;ROW()),minfo!$A:$M,COLUMN()-8,0),"")</f>
        <v>1335190</v>
      </c>
      <c r="U212" s="4">
        <f ca="1">_xlfn.IFNA(VLOOKUP(INDIRECT("G"&amp;ROW()),minfo!$A:$M,COLUMN()-8,0),"")</f>
        <v>0</v>
      </c>
    </row>
    <row r="213" spans="1:21" ht="15.75" customHeight="1">
      <c r="A213" s="15">
        <v>212</v>
      </c>
      <c r="B213" s="4" t="s">
        <v>3769</v>
      </c>
      <c r="C213" s="4">
        <v>213</v>
      </c>
      <c r="D213" s="4">
        <v>15</v>
      </c>
      <c r="E213" s="4" t="s">
        <v>568</v>
      </c>
      <c r="F213" s="16">
        <v>45021</v>
      </c>
      <c r="G213" s="5" t="s">
        <v>864</v>
      </c>
      <c r="H213" s="5" t="s">
        <v>3754</v>
      </c>
      <c r="I213" s="24" t="str">
        <f>HYPERLINK("https://www.bilibili.com/video/BV1cs4y1w7Lv?p=15", "BV1cs4y1w7Lv?p=15")</f>
        <v>BV1cs4y1w7Lv?p=15</v>
      </c>
      <c r="J213" s="4" t="str">
        <f ca="1">_xlfn.IFNA(VLOOKUP(INDIRECT("G"&amp;ROW()),minfo!$A:$M,COLUMN()-8,0),"")</f>
        <v>乌梅子酱</v>
      </c>
      <c r="K213" s="4" t="str">
        <f ca="1">_xlfn.IFNA(VLOOKUP(INDIRECT("G"&amp;ROW()),minfo!$A:$M,COLUMN()-8,0),"")</f>
        <v>李荣浩</v>
      </c>
      <c r="L213" s="4">
        <f ca="1">_xlfn.IFNA(VLOOKUP(INDIRECT("G"&amp;ROW()),minfo!$A:$M,COLUMN()-8,0),"")</f>
        <v>0</v>
      </c>
      <c r="M213" s="4">
        <f ca="1">_xlfn.IFNA(VLOOKUP(INDIRECT("G"&amp;ROW()),minfo!$A:$M,COLUMN()-8,0),"")</f>
        <v>0</v>
      </c>
      <c r="N213" s="4">
        <f ca="1">_xlfn.IFNA(VLOOKUP(INDIRECT("G"&amp;ROW()),minfo!$A:$M,COLUMN()-8,0),"")</f>
        <v>0</v>
      </c>
      <c r="O213" s="4" t="str">
        <f ca="1">_xlfn.IFNA(VLOOKUP(INDIRECT("G"&amp;ROW()),minfo!$A:$M,COLUMN()-8,0),"")</f>
        <v>https://i0.hdslb.com/bfs/station_src/music_metadata/9ca5c7e277da8afb806c6e32ced62a88.jpg</v>
      </c>
      <c r="P213" s="4" t="str">
        <f ca="1">_xlfn.IFNA(VLOOKUP(INDIRECT("G"&amp;ROW()),minfo!$A:$M,COLUMN()-8,0),"")</f>
        <v>copyright-crawler/music/lyric/86e5dbf825b8cc46f04240eae52987ff/86e5dbf825b8cc46f04240eae52987ff.txt</v>
      </c>
      <c r="Q213" s="4">
        <f ca="1">_xlfn.IFNA(VLOOKUP(INDIRECT("G"&amp;ROW()),minfo!$A:$M,COLUMN()-8,0),"")</f>
        <v>6745</v>
      </c>
      <c r="R213" s="4">
        <f ca="1">_xlfn.IFNA(VLOOKUP(INDIRECT("G"&amp;ROW()),minfo!$A:$M,COLUMN()-8,0),"")</f>
        <v>0</v>
      </c>
      <c r="S213" s="4" t="str">
        <f ca="1">_xlfn.IFNA(VLOOKUP(INDIRECT("G"&amp;ROW()),minfo!$A:$M,COLUMN()-8,0),"")</f>
        <v>乌梅子酱</v>
      </c>
      <c r="T213" s="4">
        <f ca="1">_xlfn.IFNA(VLOOKUP(INDIRECT("G"&amp;ROW()),minfo!$A:$M,COLUMN()-8,0),"")</f>
        <v>215251902</v>
      </c>
      <c r="U213" s="4" t="str">
        <f ca="1">_xlfn.IFNA(VLOOKUP(INDIRECT("G"&amp;ROW()),minfo!$A:$M,COLUMN()-8,0),"")</f>
        <v>音乐榜最高NO.1</v>
      </c>
    </row>
    <row r="214" spans="1:21" ht="15.75" customHeight="1">
      <c r="A214" s="15">
        <v>213</v>
      </c>
      <c r="B214" s="4" t="s">
        <v>3770</v>
      </c>
      <c r="C214" s="4">
        <v>214</v>
      </c>
      <c r="D214" s="4">
        <v>16</v>
      </c>
      <c r="E214" s="4" t="s">
        <v>404</v>
      </c>
      <c r="F214" s="16">
        <v>45024</v>
      </c>
      <c r="G214" s="5" t="s">
        <v>403</v>
      </c>
      <c r="H214" s="5" t="s">
        <v>3754</v>
      </c>
      <c r="I214" s="24" t="str">
        <f>HYPERLINK("https://www.bilibili.com/video/BV1cs4y1w7Lv?p=16", "BV1cs4y1w7Lv?p=16")</f>
        <v>BV1cs4y1w7Lv?p=16</v>
      </c>
      <c r="J214" s="4" t="str">
        <f ca="1">_xlfn.IFNA(VLOOKUP(INDIRECT("G"&amp;ROW()),minfo!$A:$M,COLUMN()-8,0),"")</f>
        <v>无眠</v>
      </c>
      <c r="K214" s="4" t="str">
        <f ca="1">_xlfn.IFNA(VLOOKUP(INDIRECT("G"&amp;ROW()),minfo!$A:$M,COLUMN()-8,0),"")</f>
        <v>苏打绿</v>
      </c>
      <c r="L214" s="4">
        <f ca="1">_xlfn.IFNA(VLOOKUP(INDIRECT("G"&amp;ROW()),minfo!$A:$M,COLUMN()-8,0),"")</f>
        <v>0</v>
      </c>
      <c r="M214" s="4">
        <f ca="1">_xlfn.IFNA(VLOOKUP(INDIRECT("G"&amp;ROW()),minfo!$A:$M,COLUMN()-8,0),"")</f>
        <v>0</v>
      </c>
      <c r="N214" s="4">
        <f ca="1">_xlfn.IFNA(VLOOKUP(INDIRECT("G"&amp;ROW()),minfo!$A:$M,COLUMN()-8,0),"")</f>
        <v>0</v>
      </c>
      <c r="O214" s="4" t="str">
        <f ca="1">_xlfn.IFNA(VLOOKUP(INDIRECT("G"&amp;ROW()),minfo!$A:$M,COLUMN()-8,0),"")</f>
        <v>https://i0.hdslb.com/bfs/station_src/music_metadata/ce381d40d5668fce4078b49734ac5df3.jpg</v>
      </c>
      <c r="P214" s="4" t="str">
        <f ca="1">_xlfn.IFNA(VLOOKUP(INDIRECT("G"&amp;ROW()),minfo!$A:$M,COLUMN()-8,0),"")</f>
        <v>https://i0.hdslb.com/bfs/station_src/music_metadata/a10d73e7a113caa92a4fe727f216eb73.txt</v>
      </c>
      <c r="Q214" s="4">
        <f ca="1">_xlfn.IFNA(VLOOKUP(INDIRECT("G"&amp;ROW()),minfo!$A:$M,COLUMN()-8,0),"")</f>
        <v>29</v>
      </c>
      <c r="R214" s="4">
        <f ca="1">_xlfn.IFNA(VLOOKUP(INDIRECT("G"&amp;ROW()),minfo!$A:$M,COLUMN()-8,0),"")</f>
        <v>0</v>
      </c>
      <c r="S214" s="4" t="str">
        <f ca="1">_xlfn.IFNA(VLOOKUP(INDIRECT("G"&amp;ROW()),minfo!$A:$M,COLUMN()-8,0),"")</f>
        <v>音乐零时差-57</v>
      </c>
      <c r="T214" s="4">
        <f ca="1">_xlfn.IFNA(VLOOKUP(INDIRECT("G"&amp;ROW()),minfo!$A:$M,COLUMN()-8,0),"")</f>
        <v>4935297</v>
      </c>
      <c r="U214" s="4">
        <f ca="1">_xlfn.IFNA(VLOOKUP(INDIRECT("G"&amp;ROW()),minfo!$A:$M,COLUMN()-8,0),"")</f>
        <v>0</v>
      </c>
    </row>
    <row r="215" spans="1:21" ht="15.75" customHeight="1">
      <c r="A215" s="15">
        <v>214</v>
      </c>
      <c r="B215" s="4" t="s">
        <v>3771</v>
      </c>
      <c r="C215" s="4">
        <v>215</v>
      </c>
      <c r="D215" s="4">
        <v>17</v>
      </c>
      <c r="E215" s="4" t="s">
        <v>642</v>
      </c>
      <c r="F215" s="16">
        <v>45024</v>
      </c>
      <c r="G215" s="5" t="s">
        <v>641</v>
      </c>
      <c r="H215" s="5" t="s">
        <v>3754</v>
      </c>
      <c r="I215" s="24" t="str">
        <f>HYPERLINK("https://www.bilibili.com/video/BV1cs4y1w7Lv?p=17", "BV1cs4y1w7Lv?p=17")</f>
        <v>BV1cs4y1w7Lv?p=17</v>
      </c>
      <c r="J215" s="4" t="str">
        <f ca="1">_xlfn.IFNA(VLOOKUP(INDIRECT("G"&amp;ROW()),minfo!$A:$M,COLUMN()-8,0),"")</f>
        <v>左边</v>
      </c>
      <c r="K215" s="4" t="str">
        <f ca="1">_xlfn.IFNA(VLOOKUP(INDIRECT("G"&amp;ROW()),minfo!$A:$M,COLUMN()-8,0),"")</f>
        <v>杨丞琳</v>
      </c>
      <c r="L215" s="4">
        <f ca="1">_xlfn.IFNA(VLOOKUP(INDIRECT("G"&amp;ROW()),minfo!$A:$M,COLUMN()-8,0),"")</f>
        <v>0</v>
      </c>
      <c r="M215" s="4">
        <f ca="1">_xlfn.IFNA(VLOOKUP(INDIRECT("G"&amp;ROW()),minfo!$A:$M,COLUMN()-8,0),"")</f>
        <v>0</v>
      </c>
      <c r="N215" s="4">
        <f ca="1">_xlfn.IFNA(VLOOKUP(INDIRECT("G"&amp;ROW()),minfo!$A:$M,COLUMN()-8,0),"")</f>
        <v>0</v>
      </c>
      <c r="O215" s="4" t="str">
        <f ca="1">_xlfn.IFNA(VLOOKUP(INDIRECT("G"&amp;ROW()),minfo!$A:$M,COLUMN()-8,0),"")</f>
        <v>https://i0.hdslb.com/bfs/station_src/music_metadata/0606c553b019d6955e7932dfd839f28c.jpg</v>
      </c>
      <c r="P215" s="4" t="str">
        <f ca="1">_xlfn.IFNA(VLOOKUP(INDIRECT("G"&amp;ROW()),minfo!$A:$M,COLUMN()-8,0),"")</f>
        <v>http://i0.hdslb.com/bfs/station_src/music_metadata/b2bbd1cc5e237296e0cf70a277cd471c</v>
      </c>
      <c r="Q215" s="4">
        <f ca="1">_xlfn.IFNA(VLOOKUP(INDIRECT("G"&amp;ROW()),minfo!$A:$M,COLUMN()-8,0),"")</f>
        <v>44</v>
      </c>
      <c r="R215" s="4" t="str">
        <f ca="1">_xlfn.IFNA(VLOOKUP(INDIRECT("G"&amp;ROW()),minfo!$A:$M,COLUMN()-8,0),"")</f>
        <v>电视剧《奋斗》插曲</v>
      </c>
      <c r="S215" s="4" t="str">
        <f ca="1">_xlfn.IFNA(VLOOKUP(INDIRECT("G"&amp;ROW()),minfo!$A:$M,COLUMN()-8,0),"")</f>
        <v>遇上爱</v>
      </c>
      <c r="T215" s="4">
        <f ca="1">_xlfn.IFNA(VLOOKUP(INDIRECT("G"&amp;ROW()),minfo!$A:$M,COLUMN()-8,0),"")</f>
        <v>28182657</v>
      </c>
      <c r="U215" s="4">
        <f ca="1">_xlfn.IFNA(VLOOKUP(INDIRECT("G"&amp;ROW()),minfo!$A:$M,COLUMN()-8,0),"")</f>
        <v>0</v>
      </c>
    </row>
    <row r="216" spans="1:21" ht="15.75" customHeight="1">
      <c r="A216" s="15">
        <v>215</v>
      </c>
      <c r="B216" s="4" t="s">
        <v>3772</v>
      </c>
      <c r="C216" s="4">
        <v>216</v>
      </c>
      <c r="D216" s="4">
        <v>18</v>
      </c>
      <c r="E216" s="4" t="s">
        <v>3041</v>
      </c>
      <c r="F216" s="16">
        <v>45024</v>
      </c>
      <c r="G216" s="5" t="s">
        <v>3040</v>
      </c>
      <c r="H216" s="5" t="s">
        <v>3754</v>
      </c>
      <c r="I216" s="24" t="str">
        <f>HYPERLINK("https://www.bilibili.com/video/BV1cs4y1w7Lv?p=18", "BV1cs4y1w7Lv?p=18")</f>
        <v>BV1cs4y1w7Lv?p=18</v>
      </c>
      <c r="J216" s="4" t="str">
        <f ca="1">_xlfn.IFNA(VLOOKUP(INDIRECT("G"&amp;ROW()),minfo!$A:$M,COLUMN()-8,0),"")</f>
        <v>陪我歌唱</v>
      </c>
      <c r="K216" s="4" t="str">
        <f ca="1">_xlfn.IFNA(VLOOKUP(INDIRECT("G"&amp;ROW()),minfo!$A:$M,COLUMN()-8,0),"")</f>
        <v>苏打绿</v>
      </c>
      <c r="L216" s="4">
        <f ca="1">_xlfn.IFNA(VLOOKUP(INDIRECT("G"&amp;ROW()),minfo!$A:$M,COLUMN()-8,0),"")</f>
        <v>0</v>
      </c>
      <c r="M216" s="4">
        <f ca="1">_xlfn.IFNA(VLOOKUP(INDIRECT("G"&amp;ROW()),minfo!$A:$M,COLUMN()-8,0),"")</f>
        <v>0</v>
      </c>
      <c r="N216" s="4">
        <f ca="1">_xlfn.IFNA(VLOOKUP(INDIRECT("G"&amp;ROW()),minfo!$A:$M,COLUMN()-8,0),"")</f>
        <v>0</v>
      </c>
      <c r="O216" s="4" t="str">
        <f ca="1">_xlfn.IFNA(VLOOKUP(INDIRECT("G"&amp;ROW()),minfo!$A:$M,COLUMN()-8,0),"")</f>
        <v>https://i0.hdslb.com/bfs/station_src/music_metadata/d1866137a55e3bfd54656084f70d6f21.jpg</v>
      </c>
      <c r="P216" s="4" t="str">
        <f ca="1">_xlfn.IFNA(VLOOKUP(INDIRECT("G"&amp;ROW()),minfo!$A:$M,COLUMN()-8,0),"")</f>
        <v>https://i0.hdslb.com/bfs/station_src/music_metadata/a46b2487416574fd19a099188181565d.txt</v>
      </c>
      <c r="Q216" s="4">
        <f ca="1">_xlfn.IFNA(VLOOKUP(INDIRECT("G"&amp;ROW()),minfo!$A:$M,COLUMN()-8,0),"")</f>
        <v>0</v>
      </c>
      <c r="R216" s="4">
        <f ca="1">_xlfn.IFNA(VLOOKUP(INDIRECT("G"&amp;ROW()),minfo!$A:$M,COLUMN()-8,0),"")</f>
        <v>0</v>
      </c>
      <c r="S216" s="4" t="str">
        <f ca="1">_xlfn.IFNA(VLOOKUP(INDIRECT("G"&amp;ROW()),minfo!$A:$M,COLUMN()-8,0),"")</f>
        <v>陪我歌唱 (苏打绿版)</v>
      </c>
      <c r="T216" s="4">
        <f ca="1">_xlfn.IFNA(VLOOKUP(INDIRECT("G"&amp;ROW()),minfo!$A:$M,COLUMN()-8,0),"")</f>
        <v>493220</v>
      </c>
      <c r="U216" s="4">
        <f ca="1">_xlfn.IFNA(VLOOKUP(INDIRECT("G"&amp;ROW()),minfo!$A:$M,COLUMN()-8,0),"")</f>
        <v>0</v>
      </c>
    </row>
    <row r="217" spans="1:21" ht="15.75" customHeight="1">
      <c r="A217" s="15">
        <v>216</v>
      </c>
      <c r="B217" s="4" t="s">
        <v>3773</v>
      </c>
      <c r="C217" s="4">
        <v>217</v>
      </c>
      <c r="D217" s="4">
        <v>19</v>
      </c>
      <c r="E217" s="4" t="s">
        <v>130</v>
      </c>
      <c r="F217" s="16">
        <v>45024</v>
      </c>
      <c r="G217" s="5" t="s">
        <v>130</v>
      </c>
      <c r="H217" s="5" t="s">
        <v>3754</v>
      </c>
      <c r="I217" s="24" t="str">
        <f>HYPERLINK("https://www.bilibili.com/video/BV1cs4y1w7Lv?p=19", "BV1cs4y1w7Lv?p=19")</f>
        <v>BV1cs4y1w7Lv?p=19</v>
      </c>
      <c r="J217" s="4" t="str">
        <f ca="1">_xlfn.IFNA(VLOOKUP(INDIRECT("G"&amp;ROW()),minfo!$A:$M,COLUMN()-8,0),"")</f>
        <v>交响梦</v>
      </c>
      <c r="K217" s="4" t="str">
        <f ca="1">_xlfn.IFNA(VLOOKUP(INDIRECT("G"&amp;ROW()),minfo!$A:$M,COLUMN()-8,0),"")</f>
        <v>苏打绿</v>
      </c>
      <c r="L217" s="4">
        <f ca="1">_xlfn.IFNA(VLOOKUP(INDIRECT("G"&amp;ROW()),minfo!$A:$M,COLUMN()-8,0),"")</f>
        <v>0</v>
      </c>
      <c r="M217" s="4">
        <f ca="1">_xlfn.IFNA(VLOOKUP(INDIRECT("G"&amp;ROW()),minfo!$A:$M,COLUMN()-8,0),"")</f>
        <v>0</v>
      </c>
      <c r="N217" s="4">
        <f ca="1">_xlfn.IFNA(VLOOKUP(INDIRECT("G"&amp;ROW()),minfo!$A:$M,COLUMN()-8,0),"")</f>
        <v>0</v>
      </c>
      <c r="O217" s="4">
        <f ca="1">_xlfn.IFNA(VLOOKUP(INDIRECT("G"&amp;ROW()),minfo!$A:$M,COLUMN()-8,0),"")</f>
        <v>0</v>
      </c>
      <c r="P217" s="4">
        <f ca="1">_xlfn.IFNA(VLOOKUP(INDIRECT("G"&amp;ROW()),minfo!$A:$M,COLUMN()-8,0),"")</f>
        <v>0</v>
      </c>
      <c r="Q217" s="4">
        <f ca="1">_xlfn.IFNA(VLOOKUP(INDIRECT("G"&amp;ROW()),minfo!$A:$M,COLUMN()-8,0),"")</f>
        <v>0</v>
      </c>
      <c r="R217" s="4">
        <f ca="1">_xlfn.IFNA(VLOOKUP(INDIRECT("G"&amp;ROW()),minfo!$A:$M,COLUMN()-8,0),"")</f>
        <v>0</v>
      </c>
      <c r="S217" s="4">
        <f ca="1">_xlfn.IFNA(VLOOKUP(INDIRECT("G"&amp;ROW()),minfo!$A:$M,COLUMN()-8,0),"")</f>
        <v>0</v>
      </c>
      <c r="T217" s="4">
        <f ca="1">_xlfn.IFNA(VLOOKUP(INDIRECT("G"&amp;ROW()),minfo!$A:$M,COLUMN()-8,0),"")</f>
        <v>0</v>
      </c>
      <c r="U217" s="4">
        <f ca="1">_xlfn.IFNA(VLOOKUP(INDIRECT("G"&amp;ROW()),minfo!$A:$M,COLUMN()-8,0),"")</f>
        <v>0</v>
      </c>
    </row>
    <row r="218" spans="1:21" ht="15.75" customHeight="1">
      <c r="A218" s="15">
        <v>217</v>
      </c>
      <c r="B218" s="4" t="s">
        <v>3774</v>
      </c>
      <c r="C218" s="4">
        <v>218</v>
      </c>
      <c r="D218" s="4">
        <v>20</v>
      </c>
      <c r="E218" s="4" t="s">
        <v>409</v>
      </c>
      <c r="F218" s="16">
        <v>45024</v>
      </c>
      <c r="G218" s="5" t="s">
        <v>408</v>
      </c>
      <c r="H218" s="5" t="s">
        <v>3754</v>
      </c>
      <c r="I218" s="24" t="str">
        <f>HYPERLINK("https://www.bilibili.com/video/BV1cs4y1w7Lv?p=20", "BV1cs4y1w7Lv?p=20")</f>
        <v>BV1cs4y1w7Lv?p=20</v>
      </c>
      <c r="J218" s="4" t="str">
        <f ca="1">_xlfn.IFNA(VLOOKUP(INDIRECT("G"&amp;ROW()),minfo!$A:$M,COLUMN()-8,0),"")</f>
        <v>呼吸决定</v>
      </c>
      <c r="K218" s="4" t="str">
        <f ca="1">_xlfn.IFNA(VLOOKUP(INDIRECT("G"&amp;ROW()),minfo!$A:$M,COLUMN()-8,0),"")</f>
        <v>Fine乐团</v>
      </c>
      <c r="L218" s="4">
        <f ca="1">_xlfn.IFNA(VLOOKUP(INDIRECT("G"&amp;ROW()),minfo!$A:$M,COLUMN()-8,0),"")</f>
        <v>0</v>
      </c>
      <c r="M218" s="4">
        <f ca="1">_xlfn.IFNA(VLOOKUP(INDIRECT("G"&amp;ROW()),minfo!$A:$M,COLUMN()-8,0),"")</f>
        <v>0</v>
      </c>
      <c r="N218" s="4">
        <f ca="1">_xlfn.IFNA(VLOOKUP(INDIRECT("G"&amp;ROW()),minfo!$A:$M,COLUMN()-8,0),"")</f>
        <v>0</v>
      </c>
      <c r="O218" s="4" t="str">
        <f ca="1">_xlfn.IFNA(VLOOKUP(INDIRECT("G"&amp;ROW()),minfo!$A:$M,COLUMN()-8,0),"")</f>
        <v>http://i0.hdslb.com/bfs/station_src/music_metadata/de6c3020bce1962dc02b42568606781f.jpg</v>
      </c>
      <c r="P218" s="4" t="str">
        <f ca="1">_xlfn.IFNA(VLOOKUP(INDIRECT("G"&amp;ROW()),minfo!$A:$M,COLUMN()-8,0),"")</f>
        <v>http://i0.hdslb.com/bfs/station_src/music_metadata/9dfd516512eb23be6e624848db3bed57</v>
      </c>
      <c r="Q218" s="4">
        <f ca="1">_xlfn.IFNA(VLOOKUP(INDIRECT("G"&amp;ROW()),minfo!$A:$M,COLUMN()-8,0),"")</f>
        <v>838</v>
      </c>
      <c r="R218" s="4">
        <f ca="1">_xlfn.IFNA(VLOOKUP(INDIRECT("G"&amp;ROW()),minfo!$A:$M,COLUMN()-8,0),"")</f>
        <v>0</v>
      </c>
      <c r="S218" s="4">
        <f ca="1">_xlfn.IFNA(VLOOKUP(INDIRECT("G"&amp;ROW()),minfo!$A:$M,COLUMN()-8,0),"")</f>
        <v>0</v>
      </c>
      <c r="T218" s="4">
        <f ca="1">_xlfn.IFNA(VLOOKUP(INDIRECT("G"&amp;ROW()),minfo!$A:$M,COLUMN()-8,0),"")</f>
        <v>100019249</v>
      </c>
      <c r="U218" s="4">
        <f ca="1">_xlfn.IFNA(VLOOKUP(INDIRECT("G"&amp;ROW()),minfo!$A:$M,COLUMN()-8,0),"")</f>
        <v>0</v>
      </c>
    </row>
    <row r="219" spans="1:21" ht="15.75" customHeight="1">
      <c r="A219" s="15">
        <v>218</v>
      </c>
      <c r="B219" s="4" t="s">
        <v>3775</v>
      </c>
      <c r="C219" s="4">
        <v>219</v>
      </c>
      <c r="D219" s="4">
        <v>21</v>
      </c>
      <c r="E219" s="4" t="s">
        <v>3551</v>
      </c>
      <c r="F219" s="16">
        <v>45024</v>
      </c>
      <c r="G219" s="5" t="s">
        <v>186</v>
      </c>
      <c r="H219" s="5" t="s">
        <v>3754</v>
      </c>
      <c r="I219" s="24" t="str">
        <f>HYPERLINK("https://www.bilibili.com/video/BV1cs4y1w7Lv?p=21", "BV1cs4y1w7Lv?p=21")</f>
        <v>BV1cs4y1w7Lv?p=21</v>
      </c>
      <c r="J219" s="4" t="str">
        <f ca="1">_xlfn.IFNA(VLOOKUP(INDIRECT("G"&amp;ROW()),minfo!$A:$M,COLUMN()-8,0),"")</f>
        <v>Rubia</v>
      </c>
      <c r="K219" s="4" t="str">
        <f ca="1">_xlfn.IFNA(VLOOKUP(INDIRECT("G"&amp;ROW()),minfo!$A:$M,COLUMN()-8,0),"")</f>
        <v>周深</v>
      </c>
      <c r="L219" s="4">
        <f ca="1">_xlfn.IFNA(VLOOKUP(INDIRECT("G"&amp;ROW()),minfo!$A:$M,COLUMN()-8,0),"")</f>
        <v>0</v>
      </c>
      <c r="M219" s="4">
        <f ca="1">_xlfn.IFNA(VLOOKUP(INDIRECT("G"&amp;ROW()),minfo!$A:$M,COLUMN()-8,0),"")</f>
        <v>516030</v>
      </c>
      <c r="N219" s="4">
        <f ca="1">_xlfn.IFNA(VLOOKUP(INDIRECT("G"&amp;ROW()),minfo!$A:$M,COLUMN()-8,0),"")</f>
        <v>96155</v>
      </c>
      <c r="O219" s="4" t="str">
        <f ca="1">_xlfn.IFNA(VLOOKUP(INDIRECT("G"&amp;ROW()),minfo!$A:$M,COLUMN()-8,0),"")</f>
        <v>https://i0.hdslb.com/bfs/station_src/music_metadata/58bc0047ef309717106ab37f9f0eaaef.jpg</v>
      </c>
      <c r="P219" s="4" t="str">
        <f ca="1">_xlfn.IFNA(VLOOKUP(INDIRECT("G"&amp;ROW()),minfo!$A:$M,COLUMN()-8,0),"")</f>
        <v>http://i0.hdslb.com/bfs/station_src/music_metadata/004573c098a52ded7995aead78b01386</v>
      </c>
      <c r="Q219" s="4">
        <f ca="1">_xlfn.IFNA(VLOOKUP(INDIRECT("G"&amp;ROW()),minfo!$A:$M,COLUMN()-8,0),"")</f>
        <v>4410</v>
      </c>
      <c r="R219" s="4">
        <f ca="1">_xlfn.IFNA(VLOOKUP(INDIRECT("G"&amp;ROW()),minfo!$A:$M,COLUMN()-8,0),"")</f>
        <v>0</v>
      </c>
      <c r="S219" s="4" t="str">
        <f ca="1">_xlfn.IFNA(VLOOKUP(INDIRECT("G"&amp;ROW()),minfo!$A:$M,COLUMN()-8,0),"")</f>
        <v>Rubia</v>
      </c>
      <c r="T219" s="4">
        <f ca="1">_xlfn.IFNA(VLOOKUP(INDIRECT("G"&amp;ROW()),minfo!$A:$M,COLUMN()-8,0),"")</f>
        <v>217211932</v>
      </c>
      <c r="U219" s="4">
        <f ca="1">_xlfn.IFNA(VLOOKUP(INDIRECT("G"&amp;ROW()),minfo!$A:$M,COLUMN()-8,0),"")</f>
        <v>0</v>
      </c>
    </row>
    <row r="220" spans="1:21" ht="15.75" customHeight="1">
      <c r="A220" s="15">
        <v>219</v>
      </c>
      <c r="B220" s="4" t="s">
        <v>3776</v>
      </c>
      <c r="C220" s="4">
        <v>220</v>
      </c>
      <c r="D220" s="4">
        <v>22</v>
      </c>
      <c r="E220" s="4" t="s">
        <v>3745</v>
      </c>
      <c r="F220" s="16">
        <v>45024</v>
      </c>
      <c r="G220" s="5" t="s">
        <v>771</v>
      </c>
      <c r="H220" s="5" t="s">
        <v>3754</v>
      </c>
      <c r="I220" s="24" t="str">
        <f>HYPERLINK("https://www.bilibili.com/video/BV1cs4y1w7Lv?p=22", "BV1cs4y1w7Lv?p=22")</f>
        <v>BV1cs4y1w7Lv?p=22</v>
      </c>
      <c r="J220" s="4" t="str">
        <f ca="1">_xlfn.IFNA(VLOOKUP(INDIRECT("G"&amp;ROW()),minfo!$A:$M,COLUMN()-8,0),"")</f>
        <v>Da Capo</v>
      </c>
      <c r="K220" s="4" t="str">
        <f ca="1">_xlfn.IFNA(VLOOKUP(INDIRECT("G"&amp;ROW()),minfo!$A:$M,COLUMN()-8,0),"")</f>
        <v>HOYO-MiX</v>
      </c>
      <c r="L220" s="4">
        <f ca="1">_xlfn.IFNA(VLOOKUP(INDIRECT("G"&amp;ROW()),minfo!$A:$M,COLUMN()-8,0),"")</f>
        <v>0</v>
      </c>
      <c r="M220" s="4">
        <f ca="1">_xlfn.IFNA(VLOOKUP(INDIRECT("G"&amp;ROW()),minfo!$A:$M,COLUMN()-8,0),"")</f>
        <v>371028</v>
      </c>
      <c r="N220" s="4">
        <f ca="1">_xlfn.IFNA(VLOOKUP(INDIRECT("G"&amp;ROW()),minfo!$A:$M,COLUMN()-8,0),"")</f>
        <v>46827</v>
      </c>
      <c r="O220" s="4" t="str">
        <f ca="1">_xlfn.IFNA(VLOOKUP(INDIRECT("G"&amp;ROW()),minfo!$A:$M,COLUMN()-8,0),"")</f>
        <v>https://i0.hdslb.com/bfs/station_src/music_metadata/7a9cf5180d2e8b433b69c7064ff0efe1.jpg</v>
      </c>
      <c r="P220" s="4">
        <f ca="1">_xlfn.IFNA(VLOOKUP(INDIRECT("G"&amp;ROW()),minfo!$A:$M,COLUMN()-8,0),"")</f>
        <v>0</v>
      </c>
      <c r="Q220" s="4">
        <f ca="1">_xlfn.IFNA(VLOOKUP(INDIRECT("G"&amp;ROW()),minfo!$A:$M,COLUMN()-8,0),"")</f>
        <v>6426</v>
      </c>
      <c r="R220" s="4">
        <f ca="1">_xlfn.IFNA(VLOOKUP(INDIRECT("G"&amp;ROW()),minfo!$A:$M,COLUMN()-8,0),"")</f>
        <v>0</v>
      </c>
      <c r="S220" s="4" t="str">
        <f ca="1">_xlfn.IFNA(VLOOKUP(INDIRECT("G"&amp;ROW()),minfo!$A:$M,COLUMN()-8,0),"")</f>
        <v>Da Capo</v>
      </c>
      <c r="T220" s="4">
        <f ca="1">_xlfn.IFNA(VLOOKUP(INDIRECT("G"&amp;ROW()),minfo!$A:$M,COLUMN()-8,0),"")</f>
        <v>127070294</v>
      </c>
      <c r="U220" s="4" t="str">
        <f ca="1">_xlfn.IFNA(VLOOKUP(INDIRECT("G"&amp;ROW()),minfo!$A:$M,COLUMN()-8,0),"")</f>
        <v>音乐榜最高NO.1</v>
      </c>
    </row>
    <row r="221" spans="1:21" ht="15.75" customHeight="1">
      <c r="A221" s="15">
        <v>220</v>
      </c>
      <c r="B221" s="4" t="s">
        <v>3777</v>
      </c>
      <c r="C221" s="4">
        <v>221</v>
      </c>
      <c r="D221" s="4">
        <v>23</v>
      </c>
      <c r="E221" s="4" t="s">
        <v>869</v>
      </c>
      <c r="F221" s="16">
        <v>45024</v>
      </c>
      <c r="G221" s="5" t="s">
        <v>868</v>
      </c>
      <c r="H221" s="5" t="s">
        <v>3754</v>
      </c>
      <c r="I221" s="24" t="str">
        <f>HYPERLINK("https://www.bilibili.com/video/BV1cs4y1w7Lv?p=23", "BV1cs4y1w7Lv?p=23")</f>
        <v>BV1cs4y1w7Lv?p=23</v>
      </c>
      <c r="J221" s="4" t="str">
        <f ca="1">_xlfn.IFNA(VLOOKUP(INDIRECT("G"&amp;ROW()),minfo!$A:$M,COLUMN()-8,0),"")</f>
        <v>青花瓷</v>
      </c>
      <c r="K221" s="4" t="str">
        <f ca="1">_xlfn.IFNA(VLOOKUP(INDIRECT("G"&amp;ROW()),minfo!$A:$M,COLUMN()-8,0),"")</f>
        <v>周杰伦</v>
      </c>
      <c r="L221" s="4">
        <f ca="1">_xlfn.IFNA(VLOOKUP(INDIRECT("G"&amp;ROW()),minfo!$A:$M,COLUMN()-8,0),"")</f>
        <v>0</v>
      </c>
      <c r="M221" s="4">
        <f ca="1">_xlfn.IFNA(VLOOKUP(INDIRECT("G"&amp;ROW()),minfo!$A:$M,COLUMN()-8,0),"")</f>
        <v>0</v>
      </c>
      <c r="N221" s="4">
        <f ca="1">_xlfn.IFNA(VLOOKUP(INDIRECT("G"&amp;ROW()),minfo!$A:$M,COLUMN()-8,0),"")</f>
        <v>0</v>
      </c>
      <c r="O221" s="4" t="str">
        <f ca="1">_xlfn.IFNA(VLOOKUP(INDIRECT("G"&amp;ROW()),minfo!$A:$M,COLUMN()-8,0),"")</f>
        <v>https://i0.hdslb.com/bfs/station_src/music_metadata/41873834221338c2a2ad6bf64a0d923b.jpg</v>
      </c>
      <c r="P221" s="4">
        <f ca="1">_xlfn.IFNA(VLOOKUP(INDIRECT("G"&amp;ROW()),minfo!$A:$M,COLUMN()-8,0),"")</f>
        <v>0</v>
      </c>
      <c r="Q221" s="4">
        <f ca="1">_xlfn.IFNA(VLOOKUP(INDIRECT("G"&amp;ROW()),minfo!$A:$M,COLUMN()-8,0),"")</f>
        <v>9226</v>
      </c>
      <c r="R221" s="4">
        <f ca="1">_xlfn.IFNA(VLOOKUP(INDIRECT("G"&amp;ROW()),minfo!$A:$M,COLUMN()-8,0),"")</f>
        <v>0</v>
      </c>
      <c r="S221" s="4" t="str">
        <f ca="1">_xlfn.IFNA(VLOOKUP(INDIRECT("G"&amp;ROW()),minfo!$A:$M,COLUMN()-8,0),"")</f>
        <v>我很忙</v>
      </c>
      <c r="T221" s="4">
        <f ca="1">_xlfn.IFNA(VLOOKUP(INDIRECT("G"&amp;ROW()),minfo!$A:$M,COLUMN()-8,0),"")</f>
        <v>1341173223</v>
      </c>
      <c r="U221" s="4" t="str">
        <f ca="1">_xlfn.IFNA(VLOOKUP(INDIRECT("G"&amp;ROW()),minfo!$A:$M,COLUMN()-8,0),"")</f>
        <v>音乐榜最高NO.8</v>
      </c>
    </row>
    <row r="222" spans="1:21" ht="15.75" customHeight="1">
      <c r="A222" s="15">
        <v>221</v>
      </c>
      <c r="B222" s="4" t="s">
        <v>3778</v>
      </c>
      <c r="C222" s="4">
        <v>222</v>
      </c>
      <c r="D222" s="4">
        <v>24</v>
      </c>
      <c r="E222" s="4" t="s">
        <v>754</v>
      </c>
      <c r="F222" s="16">
        <v>45024</v>
      </c>
      <c r="G222" s="5" t="s">
        <v>753</v>
      </c>
      <c r="H222" s="5" t="s">
        <v>3754</v>
      </c>
      <c r="I222" s="24" t="str">
        <f>HYPERLINK("https://www.bilibili.com/video/BV1cs4y1w7Lv?p=24", "BV1cs4y1w7Lv?p=24")</f>
        <v>BV1cs4y1w7Lv?p=24</v>
      </c>
      <c r="J222" s="4" t="str">
        <f ca="1">_xlfn.IFNA(VLOOKUP(INDIRECT("G"&amp;ROW()),minfo!$A:$M,COLUMN()-8,0),"")</f>
        <v>台风</v>
      </c>
      <c r="K222" s="4" t="str">
        <f ca="1">_xlfn.IFNA(VLOOKUP(INDIRECT("G"&amp;ROW()),minfo!$A:$M,COLUMN()-8,0),"")</f>
        <v>郁一凡</v>
      </c>
      <c r="L222" s="4">
        <f ca="1">_xlfn.IFNA(VLOOKUP(INDIRECT("G"&amp;ROW()),minfo!$A:$M,COLUMN()-8,0),"")</f>
        <v>0</v>
      </c>
      <c r="M222" s="4">
        <f ca="1">_xlfn.IFNA(VLOOKUP(INDIRECT("G"&amp;ROW()),minfo!$A:$M,COLUMN()-8,0),"")</f>
        <v>0</v>
      </c>
      <c r="N222" s="4">
        <f ca="1">_xlfn.IFNA(VLOOKUP(INDIRECT("G"&amp;ROW()),minfo!$A:$M,COLUMN()-8,0),"")</f>
        <v>0</v>
      </c>
      <c r="O222" s="4" t="str">
        <f ca="1">_xlfn.IFNA(VLOOKUP(INDIRECT("G"&amp;ROW()),minfo!$A:$M,COLUMN()-8,0),"")</f>
        <v>https://i0.hdslb.com/bfs/station_src/music_metadata/e62e120e862336e6b171c835ae52b792.jpg</v>
      </c>
      <c r="P222" s="4" t="str">
        <f ca="1">_xlfn.IFNA(VLOOKUP(INDIRECT("G"&amp;ROW()),minfo!$A:$M,COLUMN()-8,0),"")</f>
        <v>https://i0.hdslb.com/bfs/station_src/music_metadata/4025503f8f2dced9cfa0f785fcbd250a.txt</v>
      </c>
      <c r="Q222" s="4">
        <f ca="1">_xlfn.IFNA(VLOOKUP(INDIRECT("G"&amp;ROW()),minfo!$A:$M,COLUMN()-8,0),"")</f>
        <v>18</v>
      </c>
      <c r="R222" s="4">
        <f ca="1">_xlfn.IFNA(VLOOKUP(INDIRECT("G"&amp;ROW()),minfo!$A:$M,COLUMN()-8,0),"")</f>
        <v>0</v>
      </c>
      <c r="S222" s="4" t="str">
        <f ca="1">_xlfn.IFNA(VLOOKUP(INDIRECT("G"&amp;ROW()),minfo!$A:$M,COLUMN()-8,0),"")</f>
        <v>我的音乐你听吗 第2期</v>
      </c>
      <c r="T222" s="4">
        <f ca="1">_xlfn.IFNA(VLOOKUP(INDIRECT("G"&amp;ROW()),minfo!$A:$M,COLUMN()-8,0),"")</f>
        <v>11454087</v>
      </c>
      <c r="U222" s="4">
        <f ca="1">_xlfn.IFNA(VLOOKUP(INDIRECT("G"&amp;ROW()),minfo!$A:$M,COLUMN()-8,0),"")</f>
        <v>0</v>
      </c>
    </row>
    <row r="223" spans="1:21" ht="15.75" customHeight="1">
      <c r="A223" s="15">
        <v>222</v>
      </c>
      <c r="B223" s="4" t="s">
        <v>3779</v>
      </c>
      <c r="C223" s="4">
        <v>223</v>
      </c>
      <c r="D223" s="4">
        <v>25</v>
      </c>
      <c r="E223" s="4" t="s">
        <v>872</v>
      </c>
      <c r="F223" s="16">
        <v>45025</v>
      </c>
      <c r="G223" s="5" t="s">
        <v>871</v>
      </c>
      <c r="H223" s="5" t="s">
        <v>3754</v>
      </c>
      <c r="I223" s="24" t="str">
        <f>HYPERLINK("https://www.bilibili.com/video/BV1cs4y1w7Lv?p=25", "BV1cs4y1w7Lv?p=25")</f>
        <v>BV1cs4y1w7Lv?p=25</v>
      </c>
      <c r="J223" s="4" t="str">
        <f ca="1">_xlfn.IFNA(VLOOKUP(INDIRECT("G"&amp;ROW()),minfo!$A:$M,COLUMN()-8,0),"")</f>
        <v>一样的月光</v>
      </c>
      <c r="K223" s="4" t="str">
        <f ca="1">_xlfn.IFNA(VLOOKUP(INDIRECT("G"&amp;ROW()),minfo!$A:$M,COLUMN()-8,0),"")</f>
        <v>徐佳莹</v>
      </c>
      <c r="L223" s="4">
        <f ca="1">_xlfn.IFNA(VLOOKUP(INDIRECT("G"&amp;ROW()),minfo!$A:$M,COLUMN()-8,0),"")</f>
        <v>0</v>
      </c>
      <c r="M223" s="4">
        <f ca="1">_xlfn.IFNA(VLOOKUP(INDIRECT("G"&amp;ROW()),minfo!$A:$M,COLUMN()-8,0),"")</f>
        <v>0</v>
      </c>
      <c r="N223" s="4">
        <f ca="1">_xlfn.IFNA(VLOOKUP(INDIRECT("G"&amp;ROW()),minfo!$A:$M,COLUMN()-8,0),"")</f>
        <v>0</v>
      </c>
      <c r="O223" s="4" t="str">
        <f ca="1">_xlfn.IFNA(VLOOKUP(INDIRECT("G"&amp;ROW()),minfo!$A:$M,COLUMN()-8,0),"")</f>
        <v>https://i0.hdslb.com/bfs/station_src/music_metadata/bb47ed0b6da92d07d9492a6e3982d7f7.jpg</v>
      </c>
      <c r="P223" s="4" t="str">
        <f ca="1">_xlfn.IFNA(VLOOKUP(INDIRECT("G"&amp;ROW()),minfo!$A:$M,COLUMN()-8,0),"")</f>
        <v>http://i0.hdslb.com/bfs/station_src/music_metadata/df58f5b1cd8da2f562b22b6c913ab846</v>
      </c>
      <c r="Q223" s="4">
        <f ca="1">_xlfn.IFNA(VLOOKUP(INDIRECT("G"&amp;ROW()),minfo!$A:$M,COLUMN()-8,0),"")</f>
        <v>1830</v>
      </c>
      <c r="R223" s="4">
        <f ca="1">_xlfn.IFNA(VLOOKUP(INDIRECT("G"&amp;ROW()),minfo!$A:$M,COLUMN()-8,0),"")</f>
        <v>0</v>
      </c>
      <c r="S223" s="4" t="str">
        <f ca="1">_xlfn.IFNA(VLOOKUP(INDIRECT("G"&amp;ROW()),minfo!$A:$M,COLUMN()-8,0),"")</f>
        <v>LaLa首张创作专辑</v>
      </c>
      <c r="T223" s="4">
        <f ca="1">_xlfn.IFNA(VLOOKUP(INDIRECT("G"&amp;ROW()),minfo!$A:$M,COLUMN()-8,0),"")</f>
        <v>312017425</v>
      </c>
      <c r="U223" s="4">
        <f ca="1">_xlfn.IFNA(VLOOKUP(INDIRECT("G"&amp;ROW()),minfo!$A:$M,COLUMN()-8,0),"")</f>
        <v>0</v>
      </c>
    </row>
    <row r="224" spans="1:21" ht="15.75" customHeight="1">
      <c r="A224" s="15">
        <v>223</v>
      </c>
      <c r="B224" s="4" t="s">
        <v>3780</v>
      </c>
      <c r="C224" s="4">
        <v>224</v>
      </c>
      <c r="D224" s="4">
        <v>26</v>
      </c>
      <c r="E224" s="4" t="s">
        <v>791</v>
      </c>
      <c r="F224" s="16">
        <v>45028</v>
      </c>
      <c r="G224" s="5" t="s">
        <v>875</v>
      </c>
      <c r="H224" s="5" t="s">
        <v>3754</v>
      </c>
      <c r="I224" s="24" t="str">
        <f>HYPERLINK("https://www.bilibili.com/video/BV1cs4y1w7Lv?p=26", "BV1cs4y1w7Lv?p=26")</f>
        <v>BV1cs4y1w7Lv?p=26</v>
      </c>
      <c r="J224" s="4" t="str">
        <f ca="1">_xlfn.IFNA(VLOOKUP(INDIRECT("G"&amp;ROW()),minfo!$A:$M,COLUMN()-8,0),"")</f>
        <v>问情</v>
      </c>
      <c r="K224" s="4" t="str">
        <f ca="1">_xlfn.IFNA(VLOOKUP(INDIRECT("G"&amp;ROW()),minfo!$A:$M,COLUMN()-8,0),"")</f>
        <v>蔡幸娟</v>
      </c>
      <c r="L224" s="4">
        <f ca="1">_xlfn.IFNA(VLOOKUP(INDIRECT("G"&amp;ROW()),minfo!$A:$M,COLUMN()-8,0),"")</f>
        <v>0</v>
      </c>
      <c r="M224" s="4">
        <f ca="1">_xlfn.IFNA(VLOOKUP(INDIRECT("G"&amp;ROW()),minfo!$A:$M,COLUMN()-8,0),"")</f>
        <v>0</v>
      </c>
      <c r="N224" s="4">
        <f ca="1">_xlfn.IFNA(VLOOKUP(INDIRECT("G"&amp;ROW()),minfo!$A:$M,COLUMN()-8,0),"")</f>
        <v>0</v>
      </c>
      <c r="O224" s="4" t="str">
        <f ca="1">_xlfn.IFNA(VLOOKUP(INDIRECT("G"&amp;ROW()),minfo!$A:$M,COLUMN()-8,0),"")</f>
        <v>https://i0.hdslb.com/bfs/station_src/music_metadata/60c89f4499b531519e5e09314ab2d071.jpg</v>
      </c>
      <c r="P224" s="4" t="str">
        <f ca="1">_xlfn.IFNA(VLOOKUP(INDIRECT("G"&amp;ROW()),minfo!$A:$M,COLUMN()-8,0),"")</f>
        <v>https://i0.hdslb.com/bfs/station_src/music_metadata/7b2478f5aaed1401ed3c955d57aa81e8.txt</v>
      </c>
      <c r="Q224" s="4">
        <f ca="1">_xlfn.IFNA(VLOOKUP(INDIRECT("G"&amp;ROW()),minfo!$A:$M,COLUMN()-8,0),"")</f>
        <v>0</v>
      </c>
      <c r="R224" s="4">
        <f ca="1">_xlfn.IFNA(VLOOKUP(INDIRECT("G"&amp;ROW()),minfo!$A:$M,COLUMN()-8,0),"")</f>
        <v>0</v>
      </c>
      <c r="S224" s="4" t="str">
        <f ca="1">_xlfn.IFNA(VLOOKUP(INDIRECT("G"&amp;ROW()),minfo!$A:$M,COLUMN()-8,0),"")</f>
        <v>问情</v>
      </c>
      <c r="T224" s="4">
        <f ca="1">_xlfn.IFNA(VLOOKUP(INDIRECT("G"&amp;ROW()),minfo!$A:$M,COLUMN()-8,0),"")</f>
        <v>631131</v>
      </c>
      <c r="U224" s="4">
        <f ca="1">_xlfn.IFNA(VLOOKUP(INDIRECT("G"&amp;ROW()),minfo!$A:$M,COLUMN()-8,0),"")</f>
        <v>0</v>
      </c>
    </row>
    <row r="225" spans="1:21" ht="15.75" customHeight="1">
      <c r="A225" s="15">
        <v>224</v>
      </c>
      <c r="B225" s="4" t="s">
        <v>3781</v>
      </c>
      <c r="C225" s="4">
        <v>225</v>
      </c>
      <c r="D225" s="4">
        <v>27</v>
      </c>
      <c r="E225" s="4" t="s">
        <v>289</v>
      </c>
      <c r="F225" s="16">
        <v>45028</v>
      </c>
      <c r="G225" s="5" t="s">
        <v>288</v>
      </c>
      <c r="H225" s="5" t="s">
        <v>3754</v>
      </c>
      <c r="I225" s="24" t="str">
        <f>HYPERLINK("https://www.bilibili.com/video/BV1cs4y1w7Lv?p=27", "BV1cs4y1w7Lv?p=27")</f>
        <v>BV1cs4y1w7Lv?p=27</v>
      </c>
      <c r="J225" s="4" t="str">
        <f ca="1">_xlfn.IFNA(VLOOKUP(INDIRECT("G"&amp;ROW()),minfo!$A:$M,COLUMN()-8,0),"")</f>
        <v>明明就</v>
      </c>
      <c r="K225" s="4" t="str">
        <f ca="1">_xlfn.IFNA(VLOOKUP(INDIRECT("G"&amp;ROW()),minfo!$A:$M,COLUMN()-8,0),"")</f>
        <v>周杰伦</v>
      </c>
      <c r="L225" s="4">
        <f ca="1">_xlfn.IFNA(VLOOKUP(INDIRECT("G"&amp;ROW()),minfo!$A:$M,COLUMN()-8,0),"")</f>
        <v>0</v>
      </c>
      <c r="M225" s="4">
        <f ca="1">_xlfn.IFNA(VLOOKUP(INDIRECT("G"&amp;ROW()),minfo!$A:$M,COLUMN()-8,0),"")</f>
        <v>0</v>
      </c>
      <c r="N225" s="4">
        <f ca="1">_xlfn.IFNA(VLOOKUP(INDIRECT("G"&amp;ROW()),minfo!$A:$M,COLUMN()-8,0),"")</f>
        <v>0</v>
      </c>
      <c r="O225" s="4" t="str">
        <f ca="1">_xlfn.IFNA(VLOOKUP(INDIRECT("G"&amp;ROW()),minfo!$A:$M,COLUMN()-8,0),"")</f>
        <v>https://i0.hdslb.com/bfs/station_src/music_metadata/b98a05427f027651ca3c0c8cbab055fe.jpg</v>
      </c>
      <c r="P225" s="4" t="str">
        <f ca="1">_xlfn.IFNA(VLOOKUP(INDIRECT("G"&amp;ROW()),minfo!$A:$M,COLUMN()-8,0),"")</f>
        <v>copyright-crawler/music/task-lyric/65093974f03c35ab34fd5795.txt</v>
      </c>
      <c r="Q225" s="4">
        <f ca="1">_xlfn.IFNA(VLOOKUP(INDIRECT("G"&amp;ROW()),minfo!$A:$M,COLUMN()-8,0),"")</f>
        <v>3451</v>
      </c>
      <c r="R225" s="4" t="str">
        <f ca="1">_xlfn.IFNA(VLOOKUP(INDIRECT("G"&amp;ROW()),minfo!$A:$M,COLUMN()-8,0),"")</f>
        <v>明明就</v>
      </c>
      <c r="S225" s="4" t="str">
        <f ca="1">_xlfn.IFNA(VLOOKUP(INDIRECT("G"&amp;ROW()),minfo!$A:$M,COLUMN()-8,0),"")</f>
        <v>十二新作</v>
      </c>
      <c r="T225" s="4">
        <f ca="1">_xlfn.IFNA(VLOOKUP(INDIRECT("G"&amp;ROW()),minfo!$A:$M,COLUMN()-8,0),"")</f>
        <v>424774252</v>
      </c>
      <c r="U225" s="4" t="str">
        <f ca="1">_xlfn.IFNA(VLOOKUP(INDIRECT("G"&amp;ROW()),minfo!$A:$M,COLUMN()-8,0),"")</f>
        <v>音乐榜最高NO.18</v>
      </c>
    </row>
    <row r="226" spans="1:21" ht="15.75" customHeight="1">
      <c r="A226" s="15">
        <v>225</v>
      </c>
      <c r="B226" s="4" t="s">
        <v>3782</v>
      </c>
      <c r="C226" s="4">
        <v>226</v>
      </c>
      <c r="D226" s="4">
        <v>28</v>
      </c>
      <c r="E226" s="4" t="s">
        <v>879</v>
      </c>
      <c r="F226" s="16">
        <v>45028</v>
      </c>
      <c r="G226" s="5" t="s">
        <v>878</v>
      </c>
      <c r="H226" s="5" t="s">
        <v>3754</v>
      </c>
      <c r="I226" s="24" t="str">
        <f>HYPERLINK("https://www.bilibili.com/video/BV1cs4y1w7Lv?p=28", "BV1cs4y1w7Lv?p=28")</f>
        <v>BV1cs4y1w7Lv?p=28</v>
      </c>
      <c r="J226" s="4" t="str">
        <f ca="1">_xlfn.IFNA(VLOOKUP(INDIRECT("G"&amp;ROW()),minfo!$A:$M,COLUMN()-8,0),"")</f>
        <v>发如雪</v>
      </c>
      <c r="K226" s="4" t="str">
        <f ca="1">_xlfn.IFNA(VLOOKUP(INDIRECT("G"&amp;ROW()),minfo!$A:$M,COLUMN()-8,0),"")</f>
        <v>周杰伦</v>
      </c>
      <c r="L226" s="4">
        <f ca="1">_xlfn.IFNA(VLOOKUP(INDIRECT("G"&amp;ROW()),minfo!$A:$M,COLUMN()-8,0),"")</f>
        <v>0</v>
      </c>
      <c r="M226" s="4">
        <f ca="1">_xlfn.IFNA(VLOOKUP(INDIRECT("G"&amp;ROW()),minfo!$A:$M,COLUMN()-8,0),"")</f>
        <v>0</v>
      </c>
      <c r="N226" s="4">
        <f ca="1">_xlfn.IFNA(VLOOKUP(INDIRECT("G"&amp;ROW()),minfo!$A:$M,COLUMN()-8,0),"")</f>
        <v>0</v>
      </c>
      <c r="O226" s="4" t="str">
        <f ca="1">_xlfn.IFNA(VLOOKUP(INDIRECT("G"&amp;ROW()),minfo!$A:$M,COLUMN()-8,0),"")</f>
        <v>https://i0.hdslb.com/bfs/station_src/music_metadata/4f19787695e451c7ec6f082affe19c57.jpg</v>
      </c>
      <c r="P226" s="4" t="str">
        <f ca="1">_xlfn.IFNA(VLOOKUP(INDIRECT("G"&amp;ROW()),minfo!$A:$M,COLUMN()-8,0),"")</f>
        <v>http://i0.hdslb.com/bfs/station_src/music_metadata/e48762ee9e6f3b4048f790c705f187cd</v>
      </c>
      <c r="Q226" s="4">
        <f ca="1">_xlfn.IFNA(VLOOKUP(INDIRECT("G"&amp;ROW()),minfo!$A:$M,COLUMN()-8,0),"")</f>
        <v>5236</v>
      </c>
      <c r="R226" s="4">
        <f ca="1">_xlfn.IFNA(VLOOKUP(INDIRECT("G"&amp;ROW()),minfo!$A:$M,COLUMN()-8,0),"")</f>
        <v>0</v>
      </c>
      <c r="S226" s="4" t="str">
        <f ca="1">_xlfn.IFNA(VLOOKUP(INDIRECT("G"&amp;ROW()),minfo!$A:$M,COLUMN()-8,0),"")</f>
        <v>十一月的萧邦</v>
      </c>
      <c r="T226" s="4">
        <f ca="1">_xlfn.IFNA(VLOOKUP(INDIRECT("G"&amp;ROW()),minfo!$A:$M,COLUMN()-8,0),"")</f>
        <v>561545897</v>
      </c>
      <c r="U226" s="4">
        <f ca="1">_xlfn.IFNA(VLOOKUP(INDIRECT("G"&amp;ROW()),minfo!$A:$M,COLUMN()-8,0),"")</f>
        <v>0</v>
      </c>
    </row>
    <row r="227" spans="1:21" ht="15.75" customHeight="1">
      <c r="A227" s="15">
        <v>226</v>
      </c>
      <c r="B227" s="4" t="s">
        <v>3783</v>
      </c>
      <c r="C227" s="4">
        <v>227</v>
      </c>
      <c r="D227" s="4">
        <v>29</v>
      </c>
      <c r="E227" s="4" t="s">
        <v>883</v>
      </c>
      <c r="F227" s="16">
        <v>45028</v>
      </c>
      <c r="G227" s="5" t="s">
        <v>882</v>
      </c>
      <c r="H227" s="5" t="s">
        <v>3754</v>
      </c>
      <c r="I227" s="24" t="str">
        <f>HYPERLINK("https://www.bilibili.com/video/BV1cs4y1w7Lv?p=29", "BV1cs4y1w7Lv?p=29")</f>
        <v>BV1cs4y1w7Lv?p=29</v>
      </c>
      <c r="J227" s="4" t="str">
        <f ca="1">_xlfn.IFNA(VLOOKUP(INDIRECT("G"&amp;ROW()),minfo!$A:$M,COLUMN()-8,0),"")</f>
        <v>大眠</v>
      </c>
      <c r="K227" s="4" t="str">
        <f ca="1">_xlfn.IFNA(VLOOKUP(INDIRECT("G"&amp;ROW()),minfo!$A:$M,COLUMN()-8,0),"")</f>
        <v>王心凌</v>
      </c>
      <c r="L227" s="4">
        <f ca="1">_xlfn.IFNA(VLOOKUP(INDIRECT("G"&amp;ROW()),minfo!$A:$M,COLUMN()-8,0),"")</f>
        <v>0</v>
      </c>
      <c r="M227" s="4">
        <f ca="1">_xlfn.IFNA(VLOOKUP(INDIRECT("G"&amp;ROW()),minfo!$A:$M,COLUMN()-8,0),"")</f>
        <v>0</v>
      </c>
      <c r="N227" s="4">
        <f ca="1">_xlfn.IFNA(VLOOKUP(INDIRECT("G"&amp;ROW()),minfo!$A:$M,COLUMN()-8,0),"")</f>
        <v>0</v>
      </c>
      <c r="O227" s="4" t="str">
        <f ca="1">_xlfn.IFNA(VLOOKUP(INDIRECT("G"&amp;ROW()),minfo!$A:$M,COLUMN()-8,0),"")</f>
        <v>https://i0.hdslb.com/bfs/station_src/music_metadata/af5d28f2df8d5c17a196bebcb46c7319.jpg</v>
      </c>
      <c r="P227" s="4" t="str">
        <f ca="1">_xlfn.IFNA(VLOOKUP(INDIRECT("G"&amp;ROW()),minfo!$A:$M,COLUMN()-8,0),"")</f>
        <v>http://i0.hdslb.com/bfs/station_src/music_metadata/f1798c26021de0c1e651d2f042b7cf9b</v>
      </c>
      <c r="Q227" s="4">
        <f ca="1">_xlfn.IFNA(VLOOKUP(INDIRECT("G"&amp;ROW()),minfo!$A:$M,COLUMN()-8,0),"")</f>
        <v>1078</v>
      </c>
      <c r="R227" s="4">
        <f ca="1">_xlfn.IFNA(VLOOKUP(INDIRECT("G"&amp;ROW()),minfo!$A:$M,COLUMN()-8,0),"")</f>
        <v>0</v>
      </c>
      <c r="S227" s="4" t="str">
        <f ca="1">_xlfn.IFNA(VLOOKUP(INDIRECT("G"&amp;ROW()),minfo!$A:$M,COLUMN()-8,0),"")</f>
        <v>CYNDILOVES2SING 爱。心凌</v>
      </c>
      <c r="T227" s="4">
        <f ca="1">_xlfn.IFNA(VLOOKUP(INDIRECT("G"&amp;ROW()),minfo!$A:$M,COLUMN()-8,0),"")</f>
        <v>152298390</v>
      </c>
      <c r="U227" s="4">
        <f ca="1">_xlfn.IFNA(VLOOKUP(INDIRECT("G"&amp;ROW()),minfo!$A:$M,COLUMN()-8,0),"")</f>
        <v>0</v>
      </c>
    </row>
    <row r="228" spans="1:21" ht="15.75" customHeight="1">
      <c r="A228" s="15">
        <v>227</v>
      </c>
      <c r="B228" s="4" t="s">
        <v>3784</v>
      </c>
      <c r="C228" s="4">
        <v>228</v>
      </c>
      <c r="D228" s="4">
        <v>30</v>
      </c>
      <c r="E228" s="4" t="s">
        <v>693</v>
      </c>
      <c r="F228" s="16">
        <v>45029</v>
      </c>
      <c r="G228" s="5" t="s">
        <v>692</v>
      </c>
      <c r="H228" s="5" t="s">
        <v>3754</v>
      </c>
      <c r="I228" s="24" t="str">
        <f>HYPERLINK("https://www.bilibili.com/video/BV1cs4y1w7Lv?p=30", "BV1cs4y1w7Lv?p=30")</f>
        <v>BV1cs4y1w7Lv?p=30</v>
      </c>
      <c r="J228" s="4" t="str">
        <f ca="1">_xlfn.IFNA(VLOOKUP(INDIRECT("G"&amp;ROW()),minfo!$A:$M,COLUMN()-8,0),"")</f>
        <v>爱情悬崖</v>
      </c>
      <c r="K228" s="4" t="str">
        <f ca="1">_xlfn.IFNA(VLOOKUP(INDIRECT("G"&amp;ROW()),minfo!$A:$M,COLUMN()-8,0),"")</f>
        <v>周杰伦</v>
      </c>
      <c r="L228" s="4">
        <f ca="1">_xlfn.IFNA(VLOOKUP(INDIRECT("G"&amp;ROW()),minfo!$A:$M,COLUMN()-8,0),"")</f>
        <v>0</v>
      </c>
      <c r="M228" s="4">
        <f ca="1">_xlfn.IFNA(VLOOKUP(INDIRECT("G"&amp;ROW()),minfo!$A:$M,COLUMN()-8,0),"")</f>
        <v>0</v>
      </c>
      <c r="N228" s="4">
        <f ca="1">_xlfn.IFNA(VLOOKUP(INDIRECT("G"&amp;ROW()),minfo!$A:$M,COLUMN()-8,0),"")</f>
        <v>0</v>
      </c>
      <c r="O228" s="4" t="str">
        <f ca="1">_xlfn.IFNA(VLOOKUP(INDIRECT("G"&amp;ROW()),minfo!$A:$M,COLUMN()-8,0),"")</f>
        <v>https://i0.hdslb.com/bfs/station_src/music_metadata/09deb9d4f4775eb43172424de93829e1.jpg</v>
      </c>
      <c r="P228" s="4">
        <f ca="1">_xlfn.IFNA(VLOOKUP(INDIRECT("G"&amp;ROW()),minfo!$A:$M,COLUMN()-8,0),"")</f>
        <v>0</v>
      </c>
      <c r="Q228" s="4">
        <f ca="1">_xlfn.IFNA(VLOOKUP(INDIRECT("G"&amp;ROW()),minfo!$A:$M,COLUMN()-8,0),"")</f>
        <v>265</v>
      </c>
      <c r="R228" s="4">
        <f ca="1">_xlfn.IFNA(VLOOKUP(INDIRECT("G"&amp;ROW()),minfo!$A:$M,COLUMN()-8,0),"")</f>
        <v>0</v>
      </c>
      <c r="S228" s="4" t="str">
        <f ca="1">_xlfn.IFNA(VLOOKUP(INDIRECT("G"&amp;ROW()),minfo!$A:$M,COLUMN()-8,0),"")</f>
        <v>叶惠美</v>
      </c>
      <c r="T228" s="4">
        <f ca="1">_xlfn.IFNA(VLOOKUP(INDIRECT("G"&amp;ROW()),minfo!$A:$M,COLUMN()-8,0),"")</f>
        <v>186750231</v>
      </c>
      <c r="U228" s="4">
        <f ca="1">_xlfn.IFNA(VLOOKUP(INDIRECT("G"&amp;ROW()),minfo!$A:$M,COLUMN()-8,0),"")</f>
        <v>0</v>
      </c>
    </row>
    <row r="229" spans="1:21" ht="15.75" customHeight="1">
      <c r="A229" s="15">
        <v>228</v>
      </c>
      <c r="B229" s="4" t="s">
        <v>3785</v>
      </c>
      <c r="C229" s="4">
        <v>229</v>
      </c>
      <c r="D229" s="4">
        <v>31</v>
      </c>
      <c r="E229" s="4" t="s">
        <v>3786</v>
      </c>
      <c r="F229" s="16">
        <v>45030</v>
      </c>
      <c r="G229" s="5" t="s">
        <v>513</v>
      </c>
      <c r="H229" s="5" t="s">
        <v>3754</v>
      </c>
      <c r="I229" s="24" t="str">
        <f>HYPERLINK("https://www.bilibili.com/video/BV1cs4y1w7Lv?p=31", "BV1cs4y1w7Lv?p=31")</f>
        <v>BV1cs4y1w7Lv?p=31</v>
      </c>
      <c r="J229" s="4" t="str">
        <f ca="1">_xlfn.IFNA(VLOOKUP(INDIRECT("G"&amp;ROW()),minfo!$A:$M,COLUMN()-8,0),"")</f>
        <v>天知河</v>
      </c>
      <c r="K229" s="4" t="str">
        <f ca="1">_xlfn.IFNA(VLOOKUP(INDIRECT("G"&amp;ROW()),minfo!$A:$M,COLUMN()-8,0),"")</f>
        <v>说说Crystal</v>
      </c>
      <c r="L229" s="4">
        <f ca="1">_xlfn.IFNA(VLOOKUP(INDIRECT("G"&amp;ROW()),minfo!$A:$M,COLUMN()-8,0),"")</f>
        <v>0</v>
      </c>
      <c r="M229" s="4">
        <f ca="1">_xlfn.IFNA(VLOOKUP(INDIRECT("G"&amp;ROW()),minfo!$A:$M,COLUMN()-8,0),"")</f>
        <v>63471</v>
      </c>
      <c r="N229" s="4">
        <f ca="1">_xlfn.IFNA(VLOOKUP(INDIRECT("G"&amp;ROW()),minfo!$A:$M,COLUMN()-8,0),"")</f>
        <v>19895</v>
      </c>
      <c r="O229" s="4" t="str">
        <f ca="1">_xlfn.IFNA(VLOOKUP(INDIRECT("G"&amp;ROW()),minfo!$A:$M,COLUMN()-8,0),"")</f>
        <v>http://i0.hdslb.com/bfs/station_src/music_metadata/4ad5958a6b4bee52560f0cf175374bf7.jpg</v>
      </c>
      <c r="P229" s="4">
        <f ca="1">_xlfn.IFNA(VLOOKUP(INDIRECT("G"&amp;ROW()),minfo!$A:$M,COLUMN()-8,0),"")</f>
        <v>0</v>
      </c>
      <c r="Q229" s="4">
        <f ca="1">_xlfn.IFNA(VLOOKUP(INDIRECT("G"&amp;ROW()),minfo!$A:$M,COLUMN()-8,0),"")</f>
        <v>106</v>
      </c>
      <c r="R229" s="4">
        <f ca="1">_xlfn.IFNA(VLOOKUP(INDIRECT("G"&amp;ROW()),minfo!$A:$M,COLUMN()-8,0),"")</f>
        <v>0</v>
      </c>
      <c r="S229" s="4" t="str">
        <f ca="1">_xlfn.IFNA(VLOOKUP(INDIRECT("G"&amp;ROW()),minfo!$A:$M,COLUMN()-8,0),"")</f>
        <v>天知河</v>
      </c>
      <c r="T229" s="4">
        <f ca="1">_xlfn.IFNA(VLOOKUP(INDIRECT("G"&amp;ROW()),minfo!$A:$M,COLUMN()-8,0),"")</f>
        <v>3294592</v>
      </c>
      <c r="U229" s="4">
        <f ca="1">_xlfn.IFNA(VLOOKUP(INDIRECT("G"&amp;ROW()),minfo!$A:$M,COLUMN()-8,0),"")</f>
        <v>0</v>
      </c>
    </row>
    <row r="230" spans="1:21" ht="15.75" customHeight="1">
      <c r="A230" s="15">
        <v>229</v>
      </c>
      <c r="B230" s="4" t="s">
        <v>3787</v>
      </c>
      <c r="C230" s="4">
        <v>230</v>
      </c>
      <c r="D230" s="4">
        <v>32</v>
      </c>
      <c r="E230" s="4" t="s">
        <v>65</v>
      </c>
      <c r="F230" s="16">
        <v>45030</v>
      </c>
      <c r="G230" s="5" t="s">
        <v>513</v>
      </c>
      <c r="H230" s="5" t="s">
        <v>3754</v>
      </c>
      <c r="I230" s="24" t="str">
        <f>HYPERLINK("https://www.bilibili.com/video/BV1cs4y1w7Lv?p=32", "BV1cs4y1w7Lv?p=32")</f>
        <v>BV1cs4y1w7Lv?p=32</v>
      </c>
      <c r="J230" s="4" t="str">
        <f ca="1">_xlfn.IFNA(VLOOKUP(INDIRECT("G"&amp;ROW()),minfo!$A:$M,COLUMN()-8,0),"")</f>
        <v>天知河</v>
      </c>
      <c r="K230" s="4" t="str">
        <f ca="1">_xlfn.IFNA(VLOOKUP(INDIRECT("G"&amp;ROW()),minfo!$A:$M,COLUMN()-8,0),"")</f>
        <v>说说Crystal</v>
      </c>
      <c r="L230" s="4">
        <f ca="1">_xlfn.IFNA(VLOOKUP(INDIRECT("G"&amp;ROW()),minfo!$A:$M,COLUMN()-8,0),"")</f>
        <v>0</v>
      </c>
      <c r="M230" s="4">
        <f ca="1">_xlfn.IFNA(VLOOKUP(INDIRECT("G"&amp;ROW()),minfo!$A:$M,COLUMN()-8,0),"")</f>
        <v>63471</v>
      </c>
      <c r="N230" s="4">
        <f ca="1">_xlfn.IFNA(VLOOKUP(INDIRECT("G"&amp;ROW()),minfo!$A:$M,COLUMN()-8,0),"")</f>
        <v>19895</v>
      </c>
      <c r="O230" s="4" t="str">
        <f ca="1">_xlfn.IFNA(VLOOKUP(INDIRECT("G"&amp;ROW()),minfo!$A:$M,COLUMN()-8,0),"")</f>
        <v>http://i0.hdslb.com/bfs/station_src/music_metadata/4ad5958a6b4bee52560f0cf175374bf7.jpg</v>
      </c>
      <c r="P230" s="4">
        <f ca="1">_xlfn.IFNA(VLOOKUP(INDIRECT("G"&amp;ROW()),minfo!$A:$M,COLUMN()-8,0),"")</f>
        <v>0</v>
      </c>
      <c r="Q230" s="4">
        <f ca="1">_xlfn.IFNA(VLOOKUP(INDIRECT("G"&amp;ROW()),minfo!$A:$M,COLUMN()-8,0),"")</f>
        <v>106</v>
      </c>
      <c r="R230" s="4">
        <f ca="1">_xlfn.IFNA(VLOOKUP(INDIRECT("G"&amp;ROW()),minfo!$A:$M,COLUMN()-8,0),"")</f>
        <v>0</v>
      </c>
      <c r="S230" s="4" t="str">
        <f ca="1">_xlfn.IFNA(VLOOKUP(INDIRECT("G"&amp;ROW()),minfo!$A:$M,COLUMN()-8,0),"")</f>
        <v>天知河</v>
      </c>
      <c r="T230" s="4">
        <f ca="1">_xlfn.IFNA(VLOOKUP(INDIRECT("G"&amp;ROW()),minfo!$A:$M,COLUMN()-8,0),"")</f>
        <v>3294592</v>
      </c>
      <c r="U230" s="4">
        <f ca="1">_xlfn.IFNA(VLOOKUP(INDIRECT("G"&amp;ROW()),minfo!$A:$M,COLUMN()-8,0),"")</f>
        <v>0</v>
      </c>
    </row>
    <row r="231" spans="1:21" ht="15.75" customHeight="1">
      <c r="A231" s="15">
        <v>230</v>
      </c>
      <c r="B231" s="4" t="s">
        <v>3788</v>
      </c>
      <c r="C231" s="4">
        <v>231</v>
      </c>
      <c r="D231" s="4">
        <v>33</v>
      </c>
      <c r="E231" s="4" t="s">
        <v>889</v>
      </c>
      <c r="F231" s="16">
        <v>45030</v>
      </c>
      <c r="G231" s="5" t="s">
        <v>888</v>
      </c>
      <c r="H231" s="5" t="s">
        <v>3754</v>
      </c>
      <c r="I231" s="24" t="str">
        <f>HYPERLINK("https://www.bilibili.com/video/BV1cs4y1w7Lv?p=33", "BV1cs4y1w7Lv?p=33")</f>
        <v>BV1cs4y1w7Lv?p=33</v>
      </c>
      <c r="J231" s="4" t="str">
        <f ca="1">_xlfn.IFNA(VLOOKUP(INDIRECT("G"&amp;ROW()),minfo!$A:$M,COLUMN()-8,0),"")</f>
        <v>牵丝戏</v>
      </c>
      <c r="K231" s="4" t="str">
        <f ca="1">_xlfn.IFNA(VLOOKUP(INDIRECT("G"&amp;ROW()),minfo!$A:$M,COLUMN()-8,0),"")</f>
        <v>Aki阿杰,银临</v>
      </c>
      <c r="L231" s="4">
        <f ca="1">_xlfn.IFNA(VLOOKUP(INDIRECT("G"&amp;ROW()),minfo!$A:$M,COLUMN()-8,0),"")</f>
        <v>0</v>
      </c>
      <c r="M231" s="4">
        <f ca="1">_xlfn.IFNA(VLOOKUP(INDIRECT("G"&amp;ROW()),minfo!$A:$M,COLUMN()-8,0),"")</f>
        <v>0</v>
      </c>
      <c r="N231" s="4">
        <f ca="1">_xlfn.IFNA(VLOOKUP(INDIRECT("G"&amp;ROW()),minfo!$A:$M,COLUMN()-8,0),"")</f>
        <v>0</v>
      </c>
      <c r="O231" s="4" t="str">
        <f ca="1">_xlfn.IFNA(VLOOKUP(INDIRECT("G"&amp;ROW()),minfo!$A:$M,COLUMN()-8,0),"")</f>
        <v>http://i0.hdslb.com/bfs/station_src/music_metadata/72595c526fcf49f274790d64d054c75b.jpg</v>
      </c>
      <c r="P231" s="4" t="str">
        <f ca="1">_xlfn.IFNA(VLOOKUP(INDIRECT("G"&amp;ROW()),minfo!$A:$M,COLUMN()-8,0),"")</f>
        <v>http://i0.hdslb.com/bfs/station_src/music_metadata/14006e77b0b81667b2717d8b056c1ce1</v>
      </c>
      <c r="Q231" s="4">
        <f ca="1">_xlfn.IFNA(VLOOKUP(INDIRECT("G"&amp;ROW()),minfo!$A:$M,COLUMN()-8,0),"")</f>
        <v>5373</v>
      </c>
      <c r="R231" s="4">
        <f ca="1">_xlfn.IFNA(VLOOKUP(INDIRECT("G"&amp;ROW()),minfo!$A:$M,COLUMN()-8,0),"")</f>
        <v>0</v>
      </c>
      <c r="S231" s="4" t="str">
        <f ca="1">_xlfn.IFNA(VLOOKUP(INDIRECT("G"&amp;ROW()),minfo!$A:$M,COLUMN()-8,0),"")</f>
        <v>牵丝戏</v>
      </c>
      <c r="T231" s="4">
        <f ca="1">_xlfn.IFNA(VLOOKUP(INDIRECT("G"&amp;ROW()),minfo!$A:$M,COLUMN()-8,0),"")</f>
        <v>1130927274</v>
      </c>
      <c r="U231" s="4">
        <f ca="1">_xlfn.IFNA(VLOOKUP(INDIRECT("G"&amp;ROW()),minfo!$A:$M,COLUMN()-8,0),"")</f>
        <v>0</v>
      </c>
    </row>
    <row r="232" spans="1:21" ht="15.75" customHeight="1">
      <c r="A232" s="15">
        <v>231</v>
      </c>
      <c r="B232" s="4" t="s">
        <v>3789</v>
      </c>
      <c r="C232" s="4">
        <v>232</v>
      </c>
      <c r="D232" s="4">
        <v>34</v>
      </c>
      <c r="E232" s="4" t="s">
        <v>894</v>
      </c>
      <c r="F232" s="16">
        <v>45030</v>
      </c>
      <c r="G232" s="5" t="s">
        <v>893</v>
      </c>
      <c r="H232" s="5" t="s">
        <v>3754</v>
      </c>
      <c r="I232" s="24" t="str">
        <f>HYPERLINK("https://www.bilibili.com/video/BV1cs4y1w7Lv?p=34", "BV1cs4y1w7Lv?p=34")</f>
        <v>BV1cs4y1w7Lv?p=34</v>
      </c>
      <c r="J232" s="4" t="str">
        <f ca="1">_xlfn.IFNA(VLOOKUP(INDIRECT("G"&amp;ROW()),minfo!$A:$M,COLUMN()-8,0),"")</f>
        <v>星河叹</v>
      </c>
      <c r="K232" s="4" t="str">
        <f ca="1">_xlfn.IFNA(VLOOKUP(INDIRECT("G"&amp;ROW()),minfo!$A:$M,COLUMN()-8,0),"")</f>
        <v>黄龄</v>
      </c>
      <c r="L232" s="4">
        <f ca="1">_xlfn.IFNA(VLOOKUP(INDIRECT("G"&amp;ROW()),minfo!$A:$M,COLUMN()-8,0),"")</f>
        <v>0</v>
      </c>
      <c r="M232" s="4">
        <f ca="1">_xlfn.IFNA(VLOOKUP(INDIRECT("G"&amp;ROW()),minfo!$A:$M,COLUMN()-8,0),"")</f>
        <v>0</v>
      </c>
      <c r="N232" s="4">
        <f ca="1">_xlfn.IFNA(VLOOKUP(INDIRECT("G"&amp;ROW()),minfo!$A:$M,COLUMN()-8,0),"")</f>
        <v>0</v>
      </c>
      <c r="O232" s="4" t="str">
        <f ca="1">_xlfn.IFNA(VLOOKUP(INDIRECT("G"&amp;ROW()),minfo!$A:$M,COLUMN()-8,0),"")</f>
        <v>https://i0.hdslb.com/bfs/station_src/music_metadata/f3e960ffbb9dd3ffa3c10d67471b7cde.jpg</v>
      </c>
      <c r="P232" s="4" t="str">
        <f ca="1">_xlfn.IFNA(VLOOKUP(INDIRECT("G"&amp;ROW()),minfo!$A:$M,COLUMN()-8,0),"")</f>
        <v>http://i0.hdslb.com/bfs/station_src/music_metadata/6360e90a7e0e9e0a5a8afded3b15d213</v>
      </c>
      <c r="Q232" s="4">
        <f ca="1">_xlfn.IFNA(VLOOKUP(INDIRECT("G"&amp;ROW()),minfo!$A:$M,COLUMN()-8,0),"")</f>
        <v>3174</v>
      </c>
      <c r="R232" s="4" t="str">
        <f ca="1">_xlfn.IFNA(VLOOKUP(INDIRECT("G"&amp;ROW()),minfo!$A:$M,COLUMN()-8,0),"")</f>
        <v>《星汉灿烂》电视剧女主人物曲</v>
      </c>
      <c r="S232" s="4" t="str">
        <f ca="1">_xlfn.IFNA(VLOOKUP(INDIRECT("G"&amp;ROW()),minfo!$A:$M,COLUMN()-8,0),"")</f>
        <v>星河叹</v>
      </c>
      <c r="T232" s="4">
        <f ca="1">_xlfn.IFNA(VLOOKUP(INDIRECT("G"&amp;ROW()),minfo!$A:$M,COLUMN()-8,0),"")</f>
        <v>152096732</v>
      </c>
      <c r="U232" s="4">
        <f ca="1">_xlfn.IFNA(VLOOKUP(INDIRECT("G"&amp;ROW()),minfo!$A:$M,COLUMN()-8,0),"")</f>
        <v>0</v>
      </c>
    </row>
    <row r="233" spans="1:21" ht="15.75" customHeight="1">
      <c r="A233" s="15">
        <v>232</v>
      </c>
      <c r="B233" s="4" t="s">
        <v>3790</v>
      </c>
      <c r="C233" s="4">
        <v>233</v>
      </c>
      <c r="D233" s="4">
        <v>35</v>
      </c>
      <c r="E233" s="4" t="s">
        <v>899</v>
      </c>
      <c r="F233" s="16">
        <v>45030</v>
      </c>
      <c r="G233" s="5" t="s">
        <v>898</v>
      </c>
      <c r="H233" s="5" t="s">
        <v>3754</v>
      </c>
      <c r="I233" s="24" t="str">
        <f>HYPERLINK("https://www.bilibili.com/video/BV1cs4y1w7Lv?p=35", "BV1cs4y1w7Lv?p=35")</f>
        <v>BV1cs4y1w7Lv?p=35</v>
      </c>
      <c r="J233" s="4" t="str">
        <f ca="1">_xlfn.IFNA(VLOOKUP(INDIRECT("G"&amp;ROW()),minfo!$A:$M,COLUMN()-8,0),"")</f>
        <v>愿望</v>
      </c>
      <c r="K233" s="4" t="str">
        <f ca="1">_xlfn.IFNA(VLOOKUP(INDIRECT("G"&amp;ROW()),minfo!$A:$M,COLUMN()-8,0),"")</f>
        <v>胡彦斌</v>
      </c>
      <c r="L233" s="4">
        <f ca="1">_xlfn.IFNA(VLOOKUP(INDIRECT("G"&amp;ROW()),minfo!$A:$M,COLUMN()-8,0),"")</f>
        <v>0</v>
      </c>
      <c r="M233" s="4">
        <f ca="1">_xlfn.IFNA(VLOOKUP(INDIRECT("G"&amp;ROW()),minfo!$A:$M,COLUMN()-8,0),"")</f>
        <v>0</v>
      </c>
      <c r="N233" s="4">
        <f ca="1">_xlfn.IFNA(VLOOKUP(INDIRECT("G"&amp;ROW()),minfo!$A:$M,COLUMN()-8,0),"")</f>
        <v>0</v>
      </c>
      <c r="O233" s="4" t="str">
        <f ca="1">_xlfn.IFNA(VLOOKUP(INDIRECT("G"&amp;ROW()),minfo!$A:$M,COLUMN()-8,0),"")</f>
        <v>https://i0.hdslb.com/bfs/station_src/music_metadata/b26472ef388f52098eeaa5b929c63c0e.jpg</v>
      </c>
      <c r="P233" s="4" t="str">
        <f ca="1">_xlfn.IFNA(VLOOKUP(INDIRECT("G"&amp;ROW()),minfo!$A:$M,COLUMN()-8,0),"")</f>
        <v>https://i0.hdslb.com/bfs/station_src/music_metadata/13ce2c549e261cc0452296fc6dad7bf8.txt</v>
      </c>
      <c r="Q233" s="4">
        <f ca="1">_xlfn.IFNA(VLOOKUP(INDIRECT("G"&amp;ROW()),minfo!$A:$M,COLUMN()-8,0),"")</f>
        <v>8</v>
      </c>
      <c r="R233" s="4">
        <f ca="1">_xlfn.IFNA(VLOOKUP(INDIRECT("G"&amp;ROW()),minfo!$A:$M,COLUMN()-8,0),"")</f>
        <v>0</v>
      </c>
      <c r="S233" s="4" t="str">
        <f ca="1">_xlfn.IFNA(VLOOKUP(INDIRECT("G"&amp;ROW()),minfo!$A:$M,COLUMN()-8,0),"")</f>
        <v>音乐密码</v>
      </c>
      <c r="T233" s="4">
        <f ca="1">_xlfn.IFNA(VLOOKUP(INDIRECT("G"&amp;ROW()),minfo!$A:$M,COLUMN()-8,0),"")</f>
        <v>3422991</v>
      </c>
      <c r="U233" s="4">
        <f ca="1">_xlfn.IFNA(VLOOKUP(INDIRECT("G"&amp;ROW()),minfo!$A:$M,COLUMN()-8,0),"")</f>
        <v>0</v>
      </c>
    </row>
    <row r="234" spans="1:21" ht="15.75" customHeight="1">
      <c r="A234" s="15">
        <v>233</v>
      </c>
      <c r="B234" s="4" t="s">
        <v>3791</v>
      </c>
      <c r="C234" s="4">
        <v>234</v>
      </c>
      <c r="D234" s="4">
        <v>36</v>
      </c>
      <c r="E234" s="4" t="s">
        <v>579</v>
      </c>
      <c r="F234" s="16">
        <v>45030</v>
      </c>
      <c r="G234" s="5" t="s">
        <v>578</v>
      </c>
      <c r="H234" s="5" t="s">
        <v>3754</v>
      </c>
      <c r="I234" s="24" t="str">
        <f>HYPERLINK("https://www.bilibili.com/video/BV1cs4y1w7Lv?p=36", "BV1cs4y1w7Lv?p=36")</f>
        <v>BV1cs4y1w7Lv?p=36</v>
      </c>
      <c r="J234" s="4" t="str">
        <f ca="1">_xlfn.IFNA(VLOOKUP(INDIRECT("G"&amp;ROW()),minfo!$A:$M,COLUMN()-8,0),"")</f>
        <v>月光</v>
      </c>
      <c r="K234" s="4" t="str">
        <f ca="1">_xlfn.IFNA(VLOOKUP(INDIRECT("G"&amp;ROW()),minfo!$A:$M,COLUMN()-8,0),"")</f>
        <v>胡彦斌</v>
      </c>
      <c r="L234" s="4">
        <f ca="1">_xlfn.IFNA(VLOOKUP(INDIRECT("G"&amp;ROW()),minfo!$A:$M,COLUMN()-8,0),"")</f>
        <v>0</v>
      </c>
      <c r="M234" s="4">
        <f ca="1">_xlfn.IFNA(VLOOKUP(INDIRECT("G"&amp;ROW()),minfo!$A:$M,COLUMN()-8,0),"")</f>
        <v>0</v>
      </c>
      <c r="N234" s="4">
        <f ca="1">_xlfn.IFNA(VLOOKUP(INDIRECT("G"&amp;ROW()),minfo!$A:$M,COLUMN()-8,0),"")</f>
        <v>0</v>
      </c>
      <c r="O234" s="4" t="str">
        <f ca="1">_xlfn.IFNA(VLOOKUP(INDIRECT("G"&amp;ROW()),minfo!$A:$M,COLUMN()-8,0),"")</f>
        <v>https://i0.hdslb.com/bfs/station_src/music_metadata/7cc411366d037e788cb0589e4b72b353.jpg</v>
      </c>
      <c r="P234" s="4" t="str">
        <f ca="1">_xlfn.IFNA(VLOOKUP(INDIRECT("G"&amp;ROW()),minfo!$A:$M,COLUMN()-8,0),"")</f>
        <v>https://i0.hdslb.com/bfs/station_src/music_metadata/24b147c13fc9ffd4dfb30a3a88355255.txt</v>
      </c>
      <c r="Q234" s="4">
        <f ca="1">_xlfn.IFNA(VLOOKUP(INDIRECT("G"&amp;ROW()),minfo!$A:$M,COLUMN()-8,0),"")</f>
        <v>3207</v>
      </c>
      <c r="R234" s="4" t="str">
        <f ca="1">_xlfn.IFNA(VLOOKUP(INDIRECT("G"&amp;ROW()),minfo!$A:$M,COLUMN()-8,0),"")</f>
        <v>《秦时明月》动画主题曲|《秦时明月之君临天下》动画片头曲</v>
      </c>
      <c r="S234" s="4" t="str">
        <f ca="1">_xlfn.IFNA(VLOOKUP(INDIRECT("G"&amp;ROW()),minfo!$A:$M,COLUMN()-8,0),"")</f>
        <v>男人歌 (全胜铂金版)</v>
      </c>
      <c r="T234" s="4">
        <f ca="1">_xlfn.IFNA(VLOOKUP(INDIRECT("G"&amp;ROW()),minfo!$A:$M,COLUMN()-8,0),"")</f>
        <v>276993628</v>
      </c>
      <c r="U234" s="4">
        <f ca="1">_xlfn.IFNA(VLOOKUP(INDIRECT("G"&amp;ROW()),minfo!$A:$M,COLUMN()-8,0),"")</f>
        <v>0</v>
      </c>
    </row>
    <row r="235" spans="1:21" ht="15.75" customHeight="1">
      <c r="A235" s="15">
        <v>234</v>
      </c>
      <c r="B235" s="4" t="s">
        <v>3792</v>
      </c>
      <c r="C235" s="4">
        <v>235</v>
      </c>
      <c r="D235" s="4">
        <v>37</v>
      </c>
      <c r="E235" s="4" t="s">
        <v>808</v>
      </c>
      <c r="F235" s="16">
        <v>45030</v>
      </c>
      <c r="G235" s="5" t="s">
        <v>807</v>
      </c>
      <c r="H235" s="5" t="s">
        <v>3754</v>
      </c>
      <c r="I235" s="24" t="str">
        <f>HYPERLINK("https://www.bilibili.com/video/BV1cs4y1w7Lv?p=37", "BV1cs4y1w7Lv?p=37")</f>
        <v>BV1cs4y1w7Lv?p=37</v>
      </c>
      <c r="J235" s="4" t="str">
        <f ca="1">_xlfn.IFNA(VLOOKUP(INDIRECT("G"&amp;ROW()),minfo!$A:$M,COLUMN()-8,0),"")</f>
        <v>上海一九四三</v>
      </c>
      <c r="K235" s="4" t="str">
        <f ca="1">_xlfn.IFNA(VLOOKUP(INDIRECT("G"&amp;ROW()),minfo!$A:$M,COLUMN()-8,0),"")</f>
        <v>周杰伦</v>
      </c>
      <c r="L235" s="4">
        <f ca="1">_xlfn.IFNA(VLOOKUP(INDIRECT("G"&amp;ROW()),minfo!$A:$M,COLUMN()-8,0),"")</f>
        <v>0</v>
      </c>
      <c r="M235" s="4">
        <f ca="1">_xlfn.IFNA(VLOOKUP(INDIRECT("G"&amp;ROW()),minfo!$A:$M,COLUMN()-8,0),"")</f>
        <v>0</v>
      </c>
      <c r="N235" s="4">
        <f ca="1">_xlfn.IFNA(VLOOKUP(INDIRECT("G"&amp;ROW()),minfo!$A:$M,COLUMN()-8,0),"")</f>
        <v>0</v>
      </c>
      <c r="O235" s="4" t="str">
        <f ca="1">_xlfn.IFNA(VLOOKUP(INDIRECT("G"&amp;ROW()),minfo!$A:$M,COLUMN()-8,0),"")</f>
        <v>https://i0.hdslb.com/bfs/station_src/music_metadata/00515c7749037eb5e54b1b53955bc7ff.jpg</v>
      </c>
      <c r="P235" s="4" t="str">
        <f ca="1">_xlfn.IFNA(VLOOKUP(INDIRECT("G"&amp;ROW()),minfo!$A:$M,COLUMN()-8,0),"")</f>
        <v>http://i0.hdslb.com/bfs/station_src/music_metadata/ff8a043954c6ca13adc9e5f1c94ecd23</v>
      </c>
      <c r="Q235" s="4">
        <f ca="1">_xlfn.IFNA(VLOOKUP(INDIRECT("G"&amp;ROW()),minfo!$A:$M,COLUMN()-8,0),"")</f>
        <v>529</v>
      </c>
      <c r="R235" s="4">
        <f ca="1">_xlfn.IFNA(VLOOKUP(INDIRECT("G"&amp;ROW()),minfo!$A:$M,COLUMN()-8,0),"")</f>
        <v>0</v>
      </c>
      <c r="S235" s="4" t="str">
        <f ca="1">_xlfn.IFNA(VLOOKUP(INDIRECT("G"&amp;ROW()),minfo!$A:$M,COLUMN()-8,0),"")</f>
        <v>范特西</v>
      </c>
      <c r="T235" s="4">
        <f ca="1">_xlfn.IFNA(VLOOKUP(INDIRECT("G"&amp;ROW()),minfo!$A:$M,COLUMN()-8,0),"")</f>
        <v>224985389</v>
      </c>
      <c r="U235" s="4">
        <f ca="1">_xlfn.IFNA(VLOOKUP(INDIRECT("G"&amp;ROW()),minfo!$A:$M,COLUMN()-8,0),"")</f>
        <v>0</v>
      </c>
    </row>
    <row r="236" spans="1:21" ht="15.75" customHeight="1">
      <c r="A236" s="15">
        <v>235</v>
      </c>
      <c r="B236" s="4" t="s">
        <v>3793</v>
      </c>
      <c r="C236" s="4">
        <v>236</v>
      </c>
      <c r="D236" s="4">
        <v>38</v>
      </c>
      <c r="E236" s="4" t="s">
        <v>904</v>
      </c>
      <c r="F236" s="16">
        <v>45030</v>
      </c>
      <c r="G236" s="5" t="s">
        <v>903</v>
      </c>
      <c r="H236" s="5" t="s">
        <v>3754</v>
      </c>
      <c r="I236" s="24" t="str">
        <f>HYPERLINK("https://www.bilibili.com/video/BV1cs4y1w7Lv?p=38", "BV1cs4y1w7Lv?p=38")</f>
        <v>BV1cs4y1w7Lv?p=38</v>
      </c>
      <c r="J236" s="4" t="str">
        <f ca="1">_xlfn.IFNA(VLOOKUP(INDIRECT("G"&amp;ROW()),minfo!$A:$M,COLUMN()-8,0),"")</f>
        <v>轨迹</v>
      </c>
      <c r="K236" s="4" t="str">
        <f ca="1">_xlfn.IFNA(VLOOKUP(INDIRECT("G"&amp;ROW()),minfo!$A:$M,COLUMN()-8,0),"")</f>
        <v>周杰伦</v>
      </c>
      <c r="L236" s="4">
        <f ca="1">_xlfn.IFNA(VLOOKUP(INDIRECT("G"&amp;ROW()),minfo!$A:$M,COLUMN()-8,0),"")</f>
        <v>0</v>
      </c>
      <c r="M236" s="4">
        <f ca="1">_xlfn.IFNA(VLOOKUP(INDIRECT("G"&amp;ROW()),minfo!$A:$M,COLUMN()-8,0),"")</f>
        <v>0</v>
      </c>
      <c r="N236" s="4">
        <f ca="1">_xlfn.IFNA(VLOOKUP(INDIRECT("G"&amp;ROW()),minfo!$A:$M,COLUMN()-8,0),"")</f>
        <v>0</v>
      </c>
      <c r="O236" s="4" t="str">
        <f ca="1">_xlfn.IFNA(VLOOKUP(INDIRECT("G"&amp;ROW()),minfo!$A:$M,COLUMN()-8,0),"")</f>
        <v>https://i0.hdslb.com/bfs/station_src/music_metadata/439418765b962c30a2db33196128f32b.jpg</v>
      </c>
      <c r="P236" s="4" t="str">
        <f ca="1">_xlfn.IFNA(VLOOKUP(INDIRECT("G"&amp;ROW()),minfo!$A:$M,COLUMN()-8,0),"")</f>
        <v>copyright-crawler/music/task-lyric/6267f46a504b4c0665fd7bfd.txt</v>
      </c>
      <c r="Q236" s="4">
        <f ca="1">_xlfn.IFNA(VLOOKUP(INDIRECT("G"&amp;ROW()),minfo!$A:$M,COLUMN()-8,0),"")</f>
        <v>2850</v>
      </c>
      <c r="R236" s="4" t="str">
        <f ca="1">_xlfn.IFNA(VLOOKUP(INDIRECT("G"&amp;ROW()),minfo!$A:$M,COLUMN()-8,0),"")</f>
        <v>轨迹</v>
      </c>
      <c r="S236" s="4" t="str">
        <f ca="1">_xlfn.IFNA(VLOOKUP(INDIRECT("G"&amp;ROW()),minfo!$A:$M,COLUMN()-8,0),"")</f>
        <v>寻找周杰伦</v>
      </c>
      <c r="T236" s="4">
        <f ca="1">_xlfn.IFNA(VLOOKUP(INDIRECT("G"&amp;ROW()),minfo!$A:$M,COLUMN()-8,0),"")</f>
        <v>416774055</v>
      </c>
      <c r="U236" s="4">
        <f ca="1">_xlfn.IFNA(VLOOKUP(INDIRECT("G"&amp;ROW()),minfo!$A:$M,COLUMN()-8,0),"")</f>
        <v>0</v>
      </c>
    </row>
    <row r="237" spans="1:21" ht="15.75" customHeight="1">
      <c r="A237" s="15">
        <v>236</v>
      </c>
      <c r="B237" s="4" t="s">
        <v>3794</v>
      </c>
      <c r="C237" s="4">
        <v>237</v>
      </c>
      <c r="D237" s="4">
        <v>39</v>
      </c>
      <c r="E237" s="4" t="s">
        <v>909</v>
      </c>
      <c r="F237" s="16">
        <v>45030</v>
      </c>
      <c r="G237" s="5" t="s">
        <v>908</v>
      </c>
      <c r="H237" s="5" t="s">
        <v>3754</v>
      </c>
      <c r="I237" s="24" t="str">
        <f>HYPERLINK("https://www.bilibili.com/video/BV1cs4y1w7Lv?p=39", "BV1cs4y1w7Lv?p=39")</f>
        <v>BV1cs4y1w7Lv?p=39</v>
      </c>
      <c r="J237" s="4" t="str">
        <f ca="1">_xlfn.IFNA(VLOOKUP(INDIRECT("G"&amp;ROW()),minfo!$A:$M,COLUMN()-8,0),"")</f>
        <v>再见深海</v>
      </c>
      <c r="K237" s="4" t="str">
        <f ca="1">_xlfn.IFNA(VLOOKUP(INDIRECT("G"&amp;ROW()),minfo!$A:$M,COLUMN()-8,0),"")</f>
        <v>唐汉霄</v>
      </c>
      <c r="L237" s="4">
        <f ca="1">_xlfn.IFNA(VLOOKUP(INDIRECT("G"&amp;ROW()),minfo!$A:$M,COLUMN()-8,0),"")</f>
        <v>0</v>
      </c>
      <c r="M237" s="4">
        <f ca="1">_xlfn.IFNA(VLOOKUP(INDIRECT("G"&amp;ROW()),minfo!$A:$M,COLUMN()-8,0),"")</f>
        <v>36024</v>
      </c>
      <c r="N237" s="4">
        <f ca="1">_xlfn.IFNA(VLOOKUP(INDIRECT("G"&amp;ROW()),minfo!$A:$M,COLUMN()-8,0),"")</f>
        <v>5360</v>
      </c>
      <c r="O237" s="4" t="str">
        <f ca="1">_xlfn.IFNA(VLOOKUP(INDIRECT("G"&amp;ROW()),minfo!$A:$M,COLUMN()-8,0),"")</f>
        <v>http://i0.hdslb.com/bfs/station_src/music_metadata/125614d52d7873a21f10529ee87cc3dd.jpg</v>
      </c>
      <c r="P237" s="4">
        <f ca="1">_xlfn.IFNA(VLOOKUP(INDIRECT("G"&amp;ROW()),minfo!$A:$M,COLUMN()-8,0),"")</f>
        <v>0</v>
      </c>
      <c r="Q237" s="4">
        <f ca="1">_xlfn.IFNA(VLOOKUP(INDIRECT("G"&amp;ROW()),minfo!$A:$M,COLUMN()-8,0),"")</f>
        <v>1337</v>
      </c>
      <c r="R237" s="4">
        <f ca="1">_xlfn.IFNA(VLOOKUP(INDIRECT("G"&amp;ROW()),minfo!$A:$M,COLUMN()-8,0),"")</f>
        <v>0</v>
      </c>
      <c r="S237" s="4" t="str">
        <f ca="1">_xlfn.IFNA(VLOOKUP(INDIRECT("G"&amp;ROW()),minfo!$A:$M,COLUMN()-8,0),"")</f>
        <v>再见深海(微亮的瞬间)</v>
      </c>
      <c r="T237" s="4">
        <f ca="1">_xlfn.IFNA(VLOOKUP(INDIRECT("G"&amp;ROW()),minfo!$A:$M,COLUMN()-8,0),"")</f>
        <v>106771637</v>
      </c>
      <c r="U237" s="4" t="str">
        <f ca="1">_xlfn.IFNA(VLOOKUP(INDIRECT("G"&amp;ROW()),minfo!$A:$M,COLUMN()-8,0),"")</f>
        <v>音乐榜最高NO.18</v>
      </c>
    </row>
    <row r="238" spans="1:21" ht="15.75" customHeight="1">
      <c r="A238" s="15">
        <v>237</v>
      </c>
      <c r="B238" s="4" t="s">
        <v>3795</v>
      </c>
      <c r="C238" s="4">
        <v>238</v>
      </c>
      <c r="D238" s="4">
        <v>40</v>
      </c>
      <c r="E238" s="4" t="s">
        <v>319</v>
      </c>
      <c r="F238" s="16">
        <v>45031</v>
      </c>
      <c r="G238" s="5" t="s">
        <v>318</v>
      </c>
      <c r="H238" s="5" t="s">
        <v>3754</v>
      </c>
      <c r="I238" s="24" t="str">
        <f>HYPERLINK("https://www.bilibili.com/video/BV1cs4y1w7Lv?p=40", "BV1cs4y1w7Lv?p=40")</f>
        <v>BV1cs4y1w7Lv?p=40</v>
      </c>
      <c r="J238" s="4" t="str">
        <f ca="1">_xlfn.IFNA(VLOOKUP(INDIRECT("G"&amp;ROW()),minfo!$A:$M,COLUMN()-8,0),"")</f>
        <v>晴天</v>
      </c>
      <c r="K238" s="4" t="str">
        <f ca="1">_xlfn.IFNA(VLOOKUP(INDIRECT("G"&amp;ROW()),minfo!$A:$M,COLUMN()-8,0),"")</f>
        <v>周杰伦</v>
      </c>
      <c r="L238" s="4">
        <f ca="1">_xlfn.IFNA(VLOOKUP(INDIRECT("G"&amp;ROW()),minfo!$A:$M,COLUMN()-8,0),"")</f>
        <v>0</v>
      </c>
      <c r="M238" s="4">
        <f ca="1">_xlfn.IFNA(VLOOKUP(INDIRECT("G"&amp;ROW()),minfo!$A:$M,COLUMN()-8,0),"")</f>
        <v>5048</v>
      </c>
      <c r="N238" s="4">
        <f ca="1">_xlfn.IFNA(VLOOKUP(INDIRECT("G"&amp;ROW()),minfo!$A:$M,COLUMN()-8,0),"")</f>
        <v>135</v>
      </c>
      <c r="O238" s="4" t="str">
        <f ca="1">_xlfn.IFNA(VLOOKUP(INDIRECT("G"&amp;ROW()),minfo!$A:$M,COLUMN()-8,0),"")</f>
        <v>https://i0.hdslb.com/bfs/station_src/music_metadata/2efa8f0df2aff949dee33b3f46a56312.jpg</v>
      </c>
      <c r="P238" s="4">
        <f ca="1">_xlfn.IFNA(VLOOKUP(INDIRECT("G"&amp;ROW()),minfo!$A:$M,COLUMN()-8,0),"")</f>
        <v>0</v>
      </c>
      <c r="Q238" s="4">
        <f ca="1">_xlfn.IFNA(VLOOKUP(INDIRECT("G"&amp;ROW()),minfo!$A:$M,COLUMN()-8,0),"")</f>
        <v>15983</v>
      </c>
      <c r="R238" s="4">
        <f ca="1">_xlfn.IFNA(VLOOKUP(INDIRECT("G"&amp;ROW()),minfo!$A:$M,COLUMN()-8,0),"")</f>
        <v>0</v>
      </c>
      <c r="S238" s="4" t="str">
        <f ca="1">_xlfn.IFNA(VLOOKUP(INDIRECT("G"&amp;ROW()),minfo!$A:$M,COLUMN()-8,0),"")</f>
        <v>叶惠美</v>
      </c>
      <c r="T238" s="4">
        <f ca="1">_xlfn.IFNA(VLOOKUP(INDIRECT("G"&amp;ROW()),minfo!$A:$M,COLUMN()-8,0),"")</f>
        <v>1497162616</v>
      </c>
      <c r="U238" s="4" t="str">
        <f ca="1">_xlfn.IFNA(VLOOKUP(INDIRECT("G"&amp;ROW()),minfo!$A:$M,COLUMN()-8,0),"")</f>
        <v>音乐榜最高NO.8</v>
      </c>
    </row>
    <row r="239" spans="1:21" ht="15.75" customHeight="1">
      <c r="A239" s="15">
        <v>238</v>
      </c>
      <c r="B239" s="4" t="s">
        <v>3796</v>
      </c>
      <c r="C239" s="4">
        <v>239</v>
      </c>
      <c r="D239" s="4">
        <v>41</v>
      </c>
      <c r="E239" s="4" t="s">
        <v>3608</v>
      </c>
      <c r="F239" s="16">
        <v>45034</v>
      </c>
      <c r="G239" s="5" t="s">
        <v>393</v>
      </c>
      <c r="H239" s="5" t="s">
        <v>3754</v>
      </c>
      <c r="I239" s="24" t="str">
        <f>HYPERLINK("https://www.bilibili.com/video/BV1cs4y1w7Lv?p=41", "BV1cs4y1w7Lv?p=41")</f>
        <v>BV1cs4y1w7Lv?p=41</v>
      </c>
      <c r="J239" s="4" t="str">
        <f ca="1">_xlfn.IFNA(VLOOKUP(INDIRECT("G"&amp;ROW()),minfo!$A:$M,COLUMN()-8,0),"")</f>
        <v>RingRingRing</v>
      </c>
      <c r="K239" s="4" t="str">
        <f ca="1">_xlfn.IFNA(VLOOKUP(INDIRECT("G"&amp;ROW()),minfo!$A:$M,COLUMN()-8,0),"")</f>
        <v>S.H.E</v>
      </c>
      <c r="L239" s="4">
        <f ca="1">_xlfn.IFNA(VLOOKUP(INDIRECT("G"&amp;ROW()),minfo!$A:$M,COLUMN()-8,0),"")</f>
        <v>0</v>
      </c>
      <c r="M239" s="4">
        <f ca="1">_xlfn.IFNA(VLOOKUP(INDIRECT("G"&amp;ROW()),minfo!$A:$M,COLUMN()-8,0),"")</f>
        <v>0</v>
      </c>
      <c r="N239" s="4">
        <f ca="1">_xlfn.IFNA(VLOOKUP(INDIRECT("G"&amp;ROW()),minfo!$A:$M,COLUMN()-8,0),"")</f>
        <v>0</v>
      </c>
      <c r="O239" s="4" t="str">
        <f ca="1">_xlfn.IFNA(VLOOKUP(INDIRECT("G"&amp;ROW()),minfo!$A:$M,COLUMN()-8,0),"")</f>
        <v>http://i0.hdslb.com/bfs/station_src/music_metadata/118b3cbdbc9aeb5dc89685ab0f853a01.jpg</v>
      </c>
      <c r="P239" s="4">
        <f ca="1">_xlfn.IFNA(VLOOKUP(INDIRECT("G"&amp;ROW()),minfo!$A:$M,COLUMN()-8,0),"")</f>
        <v>0</v>
      </c>
      <c r="Q239" s="4">
        <f ca="1">_xlfn.IFNA(VLOOKUP(INDIRECT("G"&amp;ROW()),minfo!$A:$M,COLUMN()-8,0),"")</f>
        <v>2174</v>
      </c>
      <c r="R239" s="4">
        <f ca="1">_xlfn.IFNA(VLOOKUP(INDIRECT("G"&amp;ROW()),minfo!$A:$M,COLUMN()-8,0),"")</f>
        <v>0</v>
      </c>
      <c r="S239" s="4" t="str">
        <f ca="1">_xlfn.IFNA(VLOOKUP(INDIRECT("G"&amp;ROW()),minfo!$A:$M,COLUMN()-8,0),"")</f>
        <v>Forever 新歌+精选</v>
      </c>
      <c r="T239" s="4">
        <f ca="1">_xlfn.IFNA(VLOOKUP(INDIRECT("G"&amp;ROW()),minfo!$A:$M,COLUMN()-8,0),"")</f>
        <v>383197673</v>
      </c>
      <c r="U239" s="4" t="str">
        <f ca="1">_xlfn.IFNA(VLOOKUP(INDIRECT("G"&amp;ROW()),minfo!$A:$M,COLUMN()-8,0),"")</f>
        <v>音乐榜最高NO.18</v>
      </c>
    </row>
    <row r="240" spans="1:21" ht="15.75" customHeight="1">
      <c r="A240" s="15">
        <v>239</v>
      </c>
      <c r="B240" s="4" t="s">
        <v>3797</v>
      </c>
      <c r="C240" s="4">
        <v>240</v>
      </c>
      <c r="D240" s="4">
        <v>42</v>
      </c>
      <c r="E240" s="4" t="s">
        <v>255</v>
      </c>
      <c r="F240" s="16">
        <v>45034</v>
      </c>
      <c r="G240" s="5" t="s">
        <v>254</v>
      </c>
      <c r="H240" s="5" t="s">
        <v>3754</v>
      </c>
      <c r="I240" s="24" t="str">
        <f>HYPERLINK("https://www.bilibili.com/video/BV1cs4y1w7Lv?p=42", "BV1cs4y1w7Lv?p=42")</f>
        <v>BV1cs4y1w7Lv?p=42</v>
      </c>
      <c r="J240" s="4" t="str">
        <f ca="1">_xlfn.IFNA(VLOOKUP(INDIRECT("G"&amp;ROW()),minfo!$A:$M,COLUMN()-8,0),"")</f>
        <v>安静</v>
      </c>
      <c r="K240" s="4" t="str">
        <f ca="1">_xlfn.IFNA(VLOOKUP(INDIRECT("G"&amp;ROW()),minfo!$A:$M,COLUMN()-8,0),"")</f>
        <v>周杰伦</v>
      </c>
      <c r="L240" s="4">
        <f ca="1">_xlfn.IFNA(VLOOKUP(INDIRECT("G"&amp;ROW()),minfo!$A:$M,COLUMN()-8,0),"")</f>
        <v>0</v>
      </c>
      <c r="M240" s="4">
        <f ca="1">_xlfn.IFNA(VLOOKUP(INDIRECT("G"&amp;ROW()),minfo!$A:$M,COLUMN()-8,0),"")</f>
        <v>0</v>
      </c>
      <c r="N240" s="4">
        <f ca="1">_xlfn.IFNA(VLOOKUP(INDIRECT("G"&amp;ROW()),minfo!$A:$M,COLUMN()-8,0),"")</f>
        <v>0</v>
      </c>
      <c r="O240" s="4" t="str">
        <f ca="1">_xlfn.IFNA(VLOOKUP(INDIRECT("G"&amp;ROW()),minfo!$A:$M,COLUMN()-8,0),"")</f>
        <v>https://i0.hdslb.com/bfs/station_src/music_metadata/163260acec8882a8b4bd00db01f5e9b4.jpg</v>
      </c>
      <c r="P240" s="4">
        <f ca="1">_xlfn.IFNA(VLOOKUP(INDIRECT("G"&amp;ROW()),minfo!$A:$M,COLUMN()-8,0),"")</f>
        <v>0</v>
      </c>
      <c r="Q240" s="4">
        <f ca="1">_xlfn.IFNA(VLOOKUP(INDIRECT("G"&amp;ROW()),minfo!$A:$M,COLUMN()-8,0),"")</f>
        <v>1261</v>
      </c>
      <c r="R240" s="4">
        <f ca="1">_xlfn.IFNA(VLOOKUP(INDIRECT("G"&amp;ROW()),minfo!$A:$M,COLUMN()-8,0),"")</f>
        <v>0</v>
      </c>
      <c r="S240" s="4" t="str">
        <f ca="1">_xlfn.IFNA(VLOOKUP(INDIRECT("G"&amp;ROW()),minfo!$A:$M,COLUMN()-8,0),"")</f>
        <v>范特西</v>
      </c>
      <c r="T240" s="4">
        <f ca="1">_xlfn.IFNA(VLOOKUP(INDIRECT("G"&amp;ROW()),minfo!$A:$M,COLUMN()-8,0),"")</f>
        <v>396368679</v>
      </c>
      <c r="U240" s="4">
        <f ca="1">_xlfn.IFNA(VLOOKUP(INDIRECT("G"&amp;ROW()),minfo!$A:$M,COLUMN()-8,0),"")</f>
        <v>0</v>
      </c>
    </row>
    <row r="241" spans="1:21" ht="15.75" customHeight="1">
      <c r="A241" s="15">
        <v>240</v>
      </c>
      <c r="B241" s="4" t="s">
        <v>3798</v>
      </c>
      <c r="C241" s="4">
        <v>241</v>
      </c>
      <c r="D241" s="4">
        <v>43</v>
      </c>
      <c r="E241" s="4" t="s">
        <v>390</v>
      </c>
      <c r="F241" s="16">
        <v>45034</v>
      </c>
      <c r="G241" s="5" t="s">
        <v>389</v>
      </c>
      <c r="H241" s="5" t="s">
        <v>3754</v>
      </c>
      <c r="I241" s="24" t="str">
        <f>HYPERLINK("https://www.bilibili.com/video/BV1cs4y1w7Lv?p=43", "BV1cs4y1w7Lv?p=43")</f>
        <v>BV1cs4y1w7Lv?p=43</v>
      </c>
      <c r="J241" s="4" t="str">
        <f ca="1">_xlfn.IFNA(VLOOKUP(INDIRECT("G"&amp;ROW()),minfo!$A:$M,COLUMN()-8,0),"")</f>
        <v>龙卷风</v>
      </c>
      <c r="K241" s="4" t="str">
        <f ca="1">_xlfn.IFNA(VLOOKUP(INDIRECT("G"&amp;ROW()),minfo!$A:$M,COLUMN()-8,0),"")</f>
        <v>周杰伦</v>
      </c>
      <c r="L241" s="4">
        <f ca="1">_xlfn.IFNA(VLOOKUP(INDIRECT("G"&amp;ROW()),minfo!$A:$M,COLUMN()-8,0),"")</f>
        <v>0</v>
      </c>
      <c r="M241" s="4">
        <f ca="1">_xlfn.IFNA(VLOOKUP(INDIRECT("G"&amp;ROW()),minfo!$A:$M,COLUMN()-8,0),"")</f>
        <v>0</v>
      </c>
      <c r="N241" s="4">
        <f ca="1">_xlfn.IFNA(VLOOKUP(INDIRECT("G"&amp;ROW()),minfo!$A:$M,COLUMN()-8,0),"")</f>
        <v>0</v>
      </c>
      <c r="O241" s="4" t="str">
        <f ca="1">_xlfn.IFNA(VLOOKUP(INDIRECT("G"&amp;ROW()),minfo!$A:$M,COLUMN()-8,0),"")</f>
        <v>https://i0.hdslb.com/bfs/station_src/music_metadata/d343e724b396706e5d98b10b1def1e6a.jpg</v>
      </c>
      <c r="P241" s="4" t="str">
        <f ca="1">_xlfn.IFNA(VLOOKUP(INDIRECT("G"&amp;ROW()),minfo!$A:$M,COLUMN()-8,0),"")</f>
        <v>http://i0.hdslb.com/bfs/station_src/music_metadata/8c8d724377f706aa02f776532d7ecf5f</v>
      </c>
      <c r="Q241" s="4">
        <f ca="1">_xlfn.IFNA(VLOOKUP(INDIRECT("G"&amp;ROW()),minfo!$A:$M,COLUMN()-8,0),"")</f>
        <v>4083</v>
      </c>
      <c r="R241" s="4">
        <f ca="1">_xlfn.IFNA(VLOOKUP(INDIRECT("G"&amp;ROW()),minfo!$A:$M,COLUMN()-8,0),"")</f>
        <v>0</v>
      </c>
      <c r="S241" s="4" t="str">
        <f ca="1">_xlfn.IFNA(VLOOKUP(INDIRECT("G"&amp;ROW()),minfo!$A:$M,COLUMN()-8,0),"")</f>
        <v>Jay</v>
      </c>
      <c r="T241" s="4">
        <f ca="1">_xlfn.IFNA(VLOOKUP(INDIRECT("G"&amp;ROW()),minfo!$A:$M,COLUMN()-8,0),"")</f>
        <v>457122858</v>
      </c>
      <c r="U241" s="4">
        <f ca="1">_xlfn.IFNA(VLOOKUP(INDIRECT("G"&amp;ROW()),minfo!$A:$M,COLUMN()-8,0),"")</f>
        <v>0</v>
      </c>
    </row>
    <row r="242" spans="1:21" ht="15.75" customHeight="1">
      <c r="A242" s="15">
        <v>241</v>
      </c>
      <c r="B242" s="4" t="s">
        <v>3799</v>
      </c>
      <c r="C242" s="4">
        <v>242</v>
      </c>
      <c r="D242" s="4">
        <v>44</v>
      </c>
      <c r="E242" s="4" t="s">
        <v>914</v>
      </c>
      <c r="F242" s="16">
        <v>45035</v>
      </c>
      <c r="G242" s="5" t="s">
        <v>913</v>
      </c>
      <c r="H242" s="5" t="s">
        <v>3754</v>
      </c>
      <c r="I242" s="24" t="str">
        <f>HYPERLINK("https://www.bilibili.com/video/BV1cs4y1w7Lv?p=44", "BV1cs4y1w7Lv?p=44")</f>
        <v>BV1cs4y1w7Lv?p=44</v>
      </c>
      <c r="J242" s="4" t="str">
        <f ca="1">_xlfn.IFNA(VLOOKUP(INDIRECT("G"&amp;ROW()),minfo!$A:$M,COLUMN()-8,0),"")</f>
        <v>小城谣</v>
      </c>
      <c r="K242" s="4" t="str">
        <f ca="1">_xlfn.IFNA(VLOOKUP(INDIRECT("G"&amp;ROW()),minfo!$A:$M,COLUMN()-8,0),"")</f>
        <v>胡碧乔</v>
      </c>
      <c r="L242" s="4">
        <f ca="1">_xlfn.IFNA(VLOOKUP(INDIRECT("G"&amp;ROW()),minfo!$A:$M,COLUMN()-8,0),"")</f>
        <v>0</v>
      </c>
      <c r="M242" s="4">
        <f ca="1">_xlfn.IFNA(VLOOKUP(INDIRECT("G"&amp;ROW()),minfo!$A:$M,COLUMN()-8,0),"")</f>
        <v>0</v>
      </c>
      <c r="N242" s="4">
        <f ca="1">_xlfn.IFNA(VLOOKUP(INDIRECT("G"&amp;ROW()),minfo!$A:$M,COLUMN()-8,0),"")</f>
        <v>0</v>
      </c>
      <c r="O242" s="4" t="str">
        <f ca="1">_xlfn.IFNA(VLOOKUP(INDIRECT("G"&amp;ROW()),minfo!$A:$M,COLUMN()-8,0),"")</f>
        <v>http://i0.hdslb.com/bfs/station_src/music_metadata/0827363f1b1b8f54bad2bfe6114098fe.jpg</v>
      </c>
      <c r="P242" s="4">
        <f ca="1">_xlfn.IFNA(VLOOKUP(INDIRECT("G"&amp;ROW()),minfo!$A:$M,COLUMN()-8,0),"")</f>
        <v>0</v>
      </c>
      <c r="Q242" s="4">
        <f ca="1">_xlfn.IFNA(VLOOKUP(INDIRECT("G"&amp;ROW()),minfo!$A:$M,COLUMN()-8,0),"")</f>
        <v>1552</v>
      </c>
      <c r="R242" s="4">
        <f ca="1">_xlfn.IFNA(VLOOKUP(INDIRECT("G"&amp;ROW()),minfo!$A:$M,COLUMN()-8,0),"")</f>
        <v>0</v>
      </c>
      <c r="S242" s="4" t="str">
        <f ca="1">_xlfn.IFNA(VLOOKUP(INDIRECT("G"&amp;ROW()),minfo!$A:$M,COLUMN()-8,0),"")</f>
        <v>小城谣</v>
      </c>
      <c r="T242" s="4">
        <f ca="1">_xlfn.IFNA(VLOOKUP(INDIRECT("G"&amp;ROW()),minfo!$A:$M,COLUMN()-8,0),"")</f>
        <v>219738813</v>
      </c>
      <c r="U242" s="4">
        <f ca="1">_xlfn.IFNA(VLOOKUP(INDIRECT("G"&amp;ROW()),minfo!$A:$M,COLUMN()-8,0),"")</f>
        <v>0</v>
      </c>
    </row>
    <row r="243" spans="1:21" ht="15.75" customHeight="1">
      <c r="A243" s="15">
        <v>242</v>
      </c>
      <c r="B243" s="4" t="s">
        <v>3800</v>
      </c>
      <c r="C243" s="4">
        <v>243</v>
      </c>
      <c r="D243" s="4">
        <v>45</v>
      </c>
      <c r="E243" s="4" t="s">
        <v>918</v>
      </c>
      <c r="F243" s="16">
        <v>45035</v>
      </c>
      <c r="G243" s="5" t="s">
        <v>917</v>
      </c>
      <c r="H243" s="5" t="s">
        <v>3754</v>
      </c>
      <c r="I243" s="24" t="str">
        <f>HYPERLINK("https://www.bilibili.com/video/BV1cs4y1w7Lv?p=45", "BV1cs4y1w7Lv?p=45")</f>
        <v>BV1cs4y1w7Lv?p=45</v>
      </c>
      <c r="J243" s="4" t="str">
        <f ca="1">_xlfn.IFNA(VLOOKUP(INDIRECT("G"&amp;ROW()),minfo!$A:$M,COLUMN()-8,0),"")</f>
        <v>暗号</v>
      </c>
      <c r="K243" s="4" t="str">
        <f ca="1">_xlfn.IFNA(VLOOKUP(INDIRECT("G"&amp;ROW()),minfo!$A:$M,COLUMN()-8,0),"")</f>
        <v>周杰伦</v>
      </c>
      <c r="L243" s="4">
        <f ca="1">_xlfn.IFNA(VLOOKUP(INDIRECT("G"&amp;ROW()),minfo!$A:$M,COLUMN()-8,0),"")</f>
        <v>0</v>
      </c>
      <c r="M243" s="4">
        <f ca="1">_xlfn.IFNA(VLOOKUP(INDIRECT("G"&amp;ROW()),minfo!$A:$M,COLUMN()-8,0),"")</f>
        <v>0</v>
      </c>
      <c r="N243" s="4">
        <f ca="1">_xlfn.IFNA(VLOOKUP(INDIRECT("G"&amp;ROW()),minfo!$A:$M,COLUMN()-8,0),"")</f>
        <v>0</v>
      </c>
      <c r="O243" s="4" t="str">
        <f ca="1">_xlfn.IFNA(VLOOKUP(INDIRECT("G"&amp;ROW()),minfo!$A:$M,COLUMN()-8,0),"")</f>
        <v>https://i0.hdslb.com/bfs/station_src/music_metadata/836d7078552d6143b4a27f54a2a62598.jpg</v>
      </c>
      <c r="P243" s="4">
        <f ca="1">_xlfn.IFNA(VLOOKUP(INDIRECT("G"&amp;ROW()),minfo!$A:$M,COLUMN()-8,0),"")</f>
        <v>0</v>
      </c>
      <c r="Q243" s="4">
        <f ca="1">_xlfn.IFNA(VLOOKUP(INDIRECT("G"&amp;ROW()),minfo!$A:$M,COLUMN()-8,0),"")</f>
        <v>8346</v>
      </c>
      <c r="R243" s="4">
        <f ca="1">_xlfn.IFNA(VLOOKUP(INDIRECT("G"&amp;ROW()),minfo!$A:$M,COLUMN()-8,0),"")</f>
        <v>0</v>
      </c>
      <c r="S243" s="4" t="str">
        <f ca="1">_xlfn.IFNA(VLOOKUP(INDIRECT("G"&amp;ROW()),minfo!$A:$M,COLUMN()-8,0),"")</f>
        <v>八度空间</v>
      </c>
      <c r="T243" s="4">
        <f ca="1">_xlfn.IFNA(VLOOKUP(INDIRECT("G"&amp;ROW()),minfo!$A:$M,COLUMN()-8,0),"")</f>
        <v>445692889</v>
      </c>
      <c r="U243" s="4">
        <f ca="1">_xlfn.IFNA(VLOOKUP(INDIRECT("G"&amp;ROW()),minfo!$A:$M,COLUMN()-8,0),"")</f>
        <v>0</v>
      </c>
    </row>
    <row r="244" spans="1:21" ht="15.75" customHeight="1">
      <c r="A244" s="15">
        <v>243</v>
      </c>
      <c r="B244" s="4" t="s">
        <v>3801</v>
      </c>
      <c r="C244" s="4">
        <v>244</v>
      </c>
      <c r="D244" s="4">
        <v>46</v>
      </c>
      <c r="E244" s="4" t="s">
        <v>786</v>
      </c>
      <c r="F244" s="16">
        <v>45035</v>
      </c>
      <c r="G244" s="5" t="s">
        <v>785</v>
      </c>
      <c r="H244" s="5" t="s">
        <v>3754</v>
      </c>
      <c r="I244" s="24" t="str">
        <f>HYPERLINK("https://www.bilibili.com/video/BV1cs4y1w7Lv?p=46", "BV1cs4y1w7Lv?p=46")</f>
        <v>BV1cs4y1w7Lv?p=46</v>
      </c>
      <c r="J244" s="4" t="str">
        <f ca="1">_xlfn.IFNA(VLOOKUP(INDIRECT("G"&amp;ROW()),minfo!$A:$M,COLUMN()-8,0),"")</f>
        <v>浪漫血液</v>
      </c>
      <c r="K244" s="4" t="str">
        <f ca="1">_xlfn.IFNA(VLOOKUP(INDIRECT("G"&amp;ROW()),minfo!$A:$M,COLUMN()-8,0),"")</f>
        <v>林俊杰</v>
      </c>
      <c r="L244" s="4">
        <f ca="1">_xlfn.IFNA(VLOOKUP(INDIRECT("G"&amp;ROW()),minfo!$A:$M,COLUMN()-8,0),"")</f>
        <v>0</v>
      </c>
      <c r="M244" s="4">
        <f ca="1">_xlfn.IFNA(VLOOKUP(INDIRECT("G"&amp;ROW()),minfo!$A:$M,COLUMN()-8,0),"")</f>
        <v>0</v>
      </c>
      <c r="N244" s="4">
        <f ca="1">_xlfn.IFNA(VLOOKUP(INDIRECT("G"&amp;ROW()),minfo!$A:$M,COLUMN()-8,0),"")</f>
        <v>0</v>
      </c>
      <c r="O244" s="4" t="str">
        <f ca="1">_xlfn.IFNA(VLOOKUP(INDIRECT("G"&amp;ROW()),minfo!$A:$M,COLUMN()-8,0),"")</f>
        <v>https://i0.hdslb.com/bfs/station_src/music_metadata/df4cb70c4afd251b03add35ca9a9908e.jpg</v>
      </c>
      <c r="P244" s="4" t="str">
        <f ca="1">_xlfn.IFNA(VLOOKUP(INDIRECT("G"&amp;ROW()),minfo!$A:$M,COLUMN()-8,0),"")</f>
        <v>http://i0.hdslb.com/bfs/station_src/music_metadata/1681acdfafc8cdc08a44ca96f53471a4</v>
      </c>
      <c r="Q244" s="4">
        <f ca="1">_xlfn.IFNA(VLOOKUP(INDIRECT("G"&amp;ROW()),minfo!$A:$M,COLUMN()-8,0),"")</f>
        <v>1583</v>
      </c>
      <c r="R244" s="4">
        <f ca="1">_xlfn.IFNA(VLOOKUP(INDIRECT("G"&amp;ROW()),minfo!$A:$M,COLUMN()-8,0),"")</f>
        <v>0</v>
      </c>
      <c r="S244" s="4" t="str">
        <f ca="1">_xlfn.IFNA(VLOOKUP(INDIRECT("G"&amp;ROW()),minfo!$A:$M,COLUMN()-8,0),"")</f>
        <v>新地球</v>
      </c>
      <c r="T244" s="4">
        <f ca="1">_xlfn.IFNA(VLOOKUP(INDIRECT("G"&amp;ROW()),minfo!$A:$M,COLUMN()-8,0),"")</f>
        <v>140930479</v>
      </c>
      <c r="U244" s="4">
        <f ca="1">_xlfn.IFNA(VLOOKUP(INDIRECT("G"&amp;ROW()),minfo!$A:$M,COLUMN()-8,0),"")</f>
        <v>0</v>
      </c>
    </row>
    <row r="245" spans="1:21" ht="15.75" customHeight="1">
      <c r="A245" s="15">
        <v>244</v>
      </c>
      <c r="B245" s="4" t="s">
        <v>3802</v>
      </c>
      <c r="C245" s="4">
        <v>245</v>
      </c>
      <c r="D245" s="4">
        <v>47</v>
      </c>
      <c r="E245" s="4" t="s">
        <v>922</v>
      </c>
      <c r="F245" s="16">
        <v>45035</v>
      </c>
      <c r="G245" s="5" t="s">
        <v>921</v>
      </c>
      <c r="H245" s="5" t="s">
        <v>3754</v>
      </c>
      <c r="I245" s="24" t="str">
        <f>HYPERLINK("https://www.bilibili.com/video/BV1cs4y1w7Lv?p=47", "BV1cs4y1w7Lv?p=47")</f>
        <v>BV1cs4y1w7Lv?p=47</v>
      </c>
      <c r="J245" s="4" t="str">
        <f ca="1">_xlfn.IFNA(VLOOKUP(INDIRECT("G"&amp;ROW()),minfo!$A:$M,COLUMN()-8,0),"")</f>
        <v>月亮代表我的心</v>
      </c>
      <c r="K245" s="4" t="str">
        <f ca="1">_xlfn.IFNA(VLOOKUP(INDIRECT("G"&amp;ROW()),minfo!$A:$M,COLUMN()-8,0),"")</f>
        <v>邓丽君</v>
      </c>
      <c r="L245" s="4">
        <f ca="1">_xlfn.IFNA(VLOOKUP(INDIRECT("G"&amp;ROW()),minfo!$A:$M,COLUMN()-8,0),"")</f>
        <v>0</v>
      </c>
      <c r="M245" s="4">
        <f ca="1">_xlfn.IFNA(VLOOKUP(INDIRECT("G"&amp;ROW()),minfo!$A:$M,COLUMN()-8,0),"")</f>
        <v>0</v>
      </c>
      <c r="N245" s="4">
        <f ca="1">_xlfn.IFNA(VLOOKUP(INDIRECT("G"&amp;ROW()),minfo!$A:$M,COLUMN()-8,0),"")</f>
        <v>0</v>
      </c>
      <c r="O245" s="4" t="str">
        <f ca="1">_xlfn.IFNA(VLOOKUP(INDIRECT("G"&amp;ROW()),minfo!$A:$M,COLUMN()-8,0),"")</f>
        <v>http://i0.hdslb.com/bfs/station_src/music_metadata/bd74866c15196fe2e0221c852cd1f687.jpg</v>
      </c>
      <c r="P245" s="4" t="str">
        <f ca="1">_xlfn.IFNA(VLOOKUP(INDIRECT("G"&amp;ROW()),minfo!$A:$M,COLUMN()-8,0),"")</f>
        <v>http://i0.hdslb.com/bfs/station_src/music_metadata/47c5859ed38ee442afeffa8c3c2a6afb</v>
      </c>
      <c r="Q245" s="4">
        <f ca="1">_xlfn.IFNA(VLOOKUP(INDIRECT("G"&amp;ROW()),minfo!$A:$M,COLUMN()-8,0),"")</f>
        <v>233</v>
      </c>
      <c r="R245" s="4">
        <f ca="1">_xlfn.IFNA(VLOOKUP(INDIRECT("G"&amp;ROW()),minfo!$A:$M,COLUMN()-8,0),"")</f>
        <v>0</v>
      </c>
      <c r="S245" s="4">
        <f ca="1">_xlfn.IFNA(VLOOKUP(INDIRECT("G"&amp;ROW()),minfo!$A:$M,COLUMN()-8,0),"")</f>
        <v>0</v>
      </c>
      <c r="T245" s="4">
        <f ca="1">_xlfn.IFNA(VLOOKUP(INDIRECT("G"&amp;ROW()),minfo!$A:$M,COLUMN()-8,0),"")</f>
        <v>131757764</v>
      </c>
      <c r="U245" s="4">
        <f ca="1">_xlfn.IFNA(VLOOKUP(INDIRECT("G"&amp;ROW()),minfo!$A:$M,COLUMN()-8,0),"")</f>
        <v>0</v>
      </c>
    </row>
    <row r="246" spans="1:21" ht="15.75" customHeight="1">
      <c r="A246" s="15">
        <v>245</v>
      </c>
      <c r="B246" s="4" t="s">
        <v>3803</v>
      </c>
      <c r="C246" s="4">
        <v>246</v>
      </c>
      <c r="D246" s="4">
        <v>48</v>
      </c>
      <c r="E246" s="4" t="s">
        <v>232</v>
      </c>
      <c r="F246" s="16">
        <v>45035</v>
      </c>
      <c r="G246" s="5" t="s">
        <v>231</v>
      </c>
      <c r="H246" s="5" t="s">
        <v>3754</v>
      </c>
      <c r="I246" s="24" t="str">
        <f>HYPERLINK("https://www.bilibili.com/video/BV1cs4y1w7Lv?p=48", "BV1cs4y1w7Lv?p=48")</f>
        <v>BV1cs4y1w7Lv?p=48</v>
      </c>
      <c r="J246" s="4" t="str">
        <f ca="1">_xlfn.IFNA(VLOOKUP(INDIRECT("G"&amp;ROW()),minfo!$A:$M,COLUMN()-8,0),"")</f>
        <v>若把你</v>
      </c>
      <c r="K246" s="4" t="str">
        <f ca="1">_xlfn.IFNA(VLOOKUP(INDIRECT("G"&amp;ROW()),minfo!$A:$M,COLUMN()-8,0),"")</f>
        <v>Kirsty刘瑾睿</v>
      </c>
      <c r="L246" s="4">
        <f ca="1">_xlfn.IFNA(VLOOKUP(INDIRECT("G"&amp;ROW()),minfo!$A:$M,COLUMN()-8,0),"")</f>
        <v>0</v>
      </c>
      <c r="M246" s="4">
        <f ca="1">_xlfn.IFNA(VLOOKUP(INDIRECT("G"&amp;ROW()),minfo!$A:$M,COLUMN()-8,0),"")</f>
        <v>43546</v>
      </c>
      <c r="N246" s="4">
        <f ca="1">_xlfn.IFNA(VLOOKUP(INDIRECT("G"&amp;ROW()),minfo!$A:$M,COLUMN()-8,0),"")</f>
        <v>6440</v>
      </c>
      <c r="O246" s="4" t="str">
        <f ca="1">_xlfn.IFNA(VLOOKUP(INDIRECT("G"&amp;ROW()),minfo!$A:$M,COLUMN()-8,0),"")</f>
        <v>http://i0.hdslb.com/bfs/station_src/music_metadata/e535448192dd1b72f950d8bf47d14597.jpg</v>
      </c>
      <c r="P246" s="4">
        <f ca="1">_xlfn.IFNA(VLOOKUP(INDIRECT("G"&amp;ROW()),minfo!$A:$M,COLUMN()-8,0),"")</f>
        <v>0</v>
      </c>
      <c r="Q246" s="4">
        <f ca="1">_xlfn.IFNA(VLOOKUP(INDIRECT("G"&amp;ROW()),minfo!$A:$M,COLUMN()-8,0),"")</f>
        <v>2370</v>
      </c>
      <c r="R246" s="4">
        <f ca="1">_xlfn.IFNA(VLOOKUP(INDIRECT("G"&amp;ROW()),minfo!$A:$M,COLUMN()-8,0),"")</f>
        <v>0</v>
      </c>
      <c r="S246" s="4" t="str">
        <f ca="1">_xlfn.IFNA(VLOOKUP(INDIRECT("G"&amp;ROW()),minfo!$A:$M,COLUMN()-8,0),"")</f>
        <v>若把你</v>
      </c>
      <c r="T246" s="4">
        <f ca="1">_xlfn.IFNA(VLOOKUP(INDIRECT("G"&amp;ROW()),minfo!$A:$M,COLUMN()-8,0),"")</f>
        <v>316650487</v>
      </c>
      <c r="U246" s="4" t="str">
        <f ca="1">_xlfn.IFNA(VLOOKUP(INDIRECT("G"&amp;ROW()),minfo!$A:$M,COLUMN()-8,0),"")</f>
        <v>音乐榜最高NO.7</v>
      </c>
    </row>
    <row r="247" spans="1:21" ht="15.75" customHeight="1">
      <c r="A247" s="15">
        <v>246</v>
      </c>
      <c r="B247" s="4" t="s">
        <v>3804</v>
      </c>
      <c r="C247" s="4">
        <v>247</v>
      </c>
      <c r="D247" s="4">
        <v>49</v>
      </c>
      <c r="E247" s="4" t="s">
        <v>115</v>
      </c>
      <c r="F247" s="16">
        <v>45037</v>
      </c>
      <c r="G247" s="5" t="s">
        <v>115</v>
      </c>
      <c r="H247" s="5" t="s">
        <v>3754</v>
      </c>
      <c r="I247" s="24" t="str">
        <f>HYPERLINK("https://www.bilibili.com/video/BV1cs4y1w7Lv?p=49", "BV1cs4y1w7Lv?p=49")</f>
        <v>BV1cs4y1w7Lv?p=49</v>
      </c>
      <c r="J247" s="4" t="str">
        <f ca="1">_xlfn.IFNA(VLOOKUP(INDIRECT("G"&amp;ROW()),minfo!$A:$M,COLUMN()-8,0),"")</f>
        <v>带你离开</v>
      </c>
      <c r="K247" s="4" t="str">
        <f ca="1">_xlfn.IFNA(VLOOKUP(INDIRECT("G"&amp;ROW()),minfo!$A:$M,COLUMN()-8,0),"")</f>
        <v>言和</v>
      </c>
      <c r="L247" s="4" t="str">
        <f ca="1">_xlfn.IFNA(VLOOKUP(INDIRECT("G"&amp;ROW()),minfo!$A:$M,COLUMN()-8,0),"")</f>
        <v>BV17x411T7TB</v>
      </c>
      <c r="M247" s="4">
        <f ca="1">_xlfn.IFNA(VLOOKUP(INDIRECT("G"&amp;ROW()),minfo!$A:$M,COLUMN()-8,0),"")</f>
        <v>0</v>
      </c>
      <c r="N247" s="4">
        <f ca="1">_xlfn.IFNA(VLOOKUP(INDIRECT("G"&amp;ROW()),minfo!$A:$M,COLUMN()-8,0),"")</f>
        <v>0</v>
      </c>
      <c r="O247" s="4">
        <f ca="1">_xlfn.IFNA(VLOOKUP(INDIRECT("G"&amp;ROW()),minfo!$A:$M,COLUMN()-8,0),"")</f>
        <v>0</v>
      </c>
      <c r="P247" s="4">
        <f ca="1">_xlfn.IFNA(VLOOKUP(INDIRECT("G"&amp;ROW()),minfo!$A:$M,COLUMN()-8,0),"")</f>
        <v>0</v>
      </c>
      <c r="Q247" s="4">
        <f ca="1">_xlfn.IFNA(VLOOKUP(INDIRECT("G"&amp;ROW()),minfo!$A:$M,COLUMN()-8,0),"")</f>
        <v>0</v>
      </c>
      <c r="R247" s="4">
        <f ca="1">_xlfn.IFNA(VLOOKUP(INDIRECT("G"&amp;ROW()),minfo!$A:$M,COLUMN()-8,0),"")</f>
        <v>0</v>
      </c>
      <c r="S247" s="4">
        <f ca="1">_xlfn.IFNA(VLOOKUP(INDIRECT("G"&amp;ROW()),minfo!$A:$M,COLUMN()-8,0),"")</f>
        <v>0</v>
      </c>
      <c r="T247" s="4">
        <f ca="1">_xlfn.IFNA(VLOOKUP(INDIRECT("G"&amp;ROW()),minfo!$A:$M,COLUMN()-8,0),"")</f>
        <v>0</v>
      </c>
      <c r="U247" s="4">
        <f ca="1">_xlfn.IFNA(VLOOKUP(INDIRECT("G"&amp;ROW()),minfo!$A:$M,COLUMN()-8,0),"")</f>
        <v>0</v>
      </c>
    </row>
    <row r="248" spans="1:21" ht="15.75" customHeight="1">
      <c r="A248" s="15">
        <v>247</v>
      </c>
      <c r="B248" s="4" t="s">
        <v>3805</v>
      </c>
      <c r="C248" s="4">
        <v>248</v>
      </c>
      <c r="D248" s="4">
        <v>50</v>
      </c>
      <c r="E248" s="4" t="s">
        <v>118</v>
      </c>
      <c r="F248" s="16">
        <v>45037</v>
      </c>
      <c r="G248" s="5" t="s">
        <v>925</v>
      </c>
      <c r="H248" s="5" t="s">
        <v>3754</v>
      </c>
      <c r="I248" s="24" t="str">
        <f>HYPERLINK("https://www.bilibili.com/video/BV1cs4y1w7Lv?p=50", "BV1cs4y1w7Lv?p=50")</f>
        <v>BV1cs4y1w7Lv?p=50</v>
      </c>
      <c r="J248" s="4" t="str">
        <f ca="1">_xlfn.IFNA(VLOOKUP(INDIRECT("G"&amp;ROW()),minfo!$A:$M,COLUMN()-8,0),"")</f>
        <v>神女劈观</v>
      </c>
      <c r="K248" s="4" t="str">
        <f ca="1">_xlfn.IFNA(VLOOKUP(INDIRECT("G"&amp;ROW()),minfo!$A:$M,COLUMN()-8,0),"")</f>
        <v>HOYO-MiX</v>
      </c>
      <c r="L248" s="4">
        <f ca="1">_xlfn.IFNA(VLOOKUP(INDIRECT("G"&amp;ROW()),minfo!$A:$M,COLUMN()-8,0),"")</f>
        <v>0</v>
      </c>
      <c r="M248" s="4">
        <f ca="1">_xlfn.IFNA(VLOOKUP(INDIRECT("G"&amp;ROW()),minfo!$A:$M,COLUMN()-8,0),"")</f>
        <v>2103209</v>
      </c>
      <c r="N248" s="4">
        <f ca="1">_xlfn.IFNA(VLOOKUP(INDIRECT("G"&amp;ROW()),minfo!$A:$M,COLUMN()-8,0),"")</f>
        <v>767801</v>
      </c>
      <c r="O248" s="4" t="str">
        <f ca="1">_xlfn.IFNA(VLOOKUP(INDIRECT("G"&amp;ROW()),minfo!$A:$M,COLUMN()-8,0),"")</f>
        <v>http://i0.hdslb.com/bfs/station_src/music_metadata/bc1d86b5ee7157af18f4695ed5ae5ebd.jpg</v>
      </c>
      <c r="P248" s="4" t="str">
        <f ca="1">_xlfn.IFNA(VLOOKUP(INDIRECT("G"&amp;ROW()),minfo!$A:$M,COLUMN()-8,0),"")</f>
        <v>http://i0.hdslb.com/bfs/station_src/music_metadata/88b56d438a01f679754b40f053092495</v>
      </c>
      <c r="Q248" s="4">
        <f ca="1">_xlfn.IFNA(VLOOKUP(INDIRECT("G"&amp;ROW()),minfo!$A:$M,COLUMN()-8,0),"")</f>
        <v>11361</v>
      </c>
      <c r="R248" s="4">
        <f ca="1">_xlfn.IFNA(VLOOKUP(INDIRECT("G"&amp;ROW()),minfo!$A:$M,COLUMN()-8,0),"")</f>
        <v>0</v>
      </c>
      <c r="S248" s="4" t="str">
        <f ca="1">_xlfn.IFNA(VLOOKUP(INDIRECT("G"&amp;ROW()),minfo!$A:$M,COLUMN()-8,0),"")</f>
        <v>「飞彩镌流年」游戏原声EP专辑</v>
      </c>
      <c r="T248" s="4">
        <f ca="1">_xlfn.IFNA(VLOOKUP(INDIRECT("G"&amp;ROW()),minfo!$A:$M,COLUMN()-8,0),"")</f>
        <v>345148142</v>
      </c>
      <c r="U248" s="4">
        <f ca="1">_xlfn.IFNA(VLOOKUP(INDIRECT("G"&amp;ROW()),minfo!$A:$M,COLUMN()-8,0),"")</f>
        <v>0</v>
      </c>
    </row>
    <row r="249" spans="1:21" ht="15.75" customHeight="1">
      <c r="A249" s="15">
        <v>248</v>
      </c>
      <c r="B249" s="4" t="s">
        <v>3806</v>
      </c>
      <c r="C249" s="4">
        <v>249</v>
      </c>
      <c r="D249" s="4">
        <v>51</v>
      </c>
      <c r="E249" s="4" t="s">
        <v>930</v>
      </c>
      <c r="F249" s="16">
        <v>45037</v>
      </c>
      <c r="G249" s="5" t="s">
        <v>929</v>
      </c>
      <c r="H249" s="5" t="s">
        <v>3754</v>
      </c>
      <c r="I249" s="24" t="str">
        <f>HYPERLINK("https://www.bilibili.com/video/BV1cs4y1w7Lv?p=51", "BV1cs4y1w7Lv?p=51")</f>
        <v>BV1cs4y1w7Lv?p=51</v>
      </c>
      <c r="J249" s="4" t="str">
        <f ca="1">_xlfn.IFNA(VLOOKUP(INDIRECT("G"&amp;ROW()),minfo!$A:$M,COLUMN()-8,0),"")</f>
        <v>蝶恋花</v>
      </c>
      <c r="K249" s="4" t="str">
        <f ca="1">_xlfn.IFNA(VLOOKUP(INDIRECT("G"&amp;ROW()),minfo!$A:$M,COLUMN()-8,0),"")</f>
        <v>说说Crystal</v>
      </c>
      <c r="L249" s="4">
        <f ca="1">_xlfn.IFNA(VLOOKUP(INDIRECT("G"&amp;ROW()),minfo!$A:$M,COLUMN()-8,0),"")</f>
        <v>0</v>
      </c>
      <c r="M249" s="4">
        <f ca="1">_xlfn.IFNA(VLOOKUP(INDIRECT("G"&amp;ROW()),minfo!$A:$M,COLUMN()-8,0),"")</f>
        <v>0</v>
      </c>
      <c r="N249" s="4">
        <f ca="1">_xlfn.IFNA(VLOOKUP(INDIRECT("G"&amp;ROW()),minfo!$A:$M,COLUMN()-8,0),"")</f>
        <v>0</v>
      </c>
      <c r="O249" s="4" t="str">
        <f ca="1">_xlfn.IFNA(VLOOKUP(INDIRECT("G"&amp;ROW()),minfo!$A:$M,COLUMN()-8,0),"")</f>
        <v>https://i0.hdslb.com/bfs/station_src/music_metadata/1f79684c02756b9086386bb0054e5df4.jpg</v>
      </c>
      <c r="P249" s="4" t="str">
        <f ca="1">_xlfn.IFNA(VLOOKUP(INDIRECT("G"&amp;ROW()),minfo!$A:$M,COLUMN()-8,0),"")</f>
        <v>https://i0.hdslb.com/bfs/station_src/music_metadata/4f297640d47e7f96e96f64cfd258bb5f.txt</v>
      </c>
      <c r="Q249" s="4">
        <f ca="1">_xlfn.IFNA(VLOOKUP(INDIRECT("G"&amp;ROW()),minfo!$A:$M,COLUMN()-8,0),"")</f>
        <v>1</v>
      </c>
      <c r="R249" s="4">
        <f ca="1">_xlfn.IFNA(VLOOKUP(INDIRECT("G"&amp;ROW()),minfo!$A:$M,COLUMN()-8,0),"")</f>
        <v>0</v>
      </c>
      <c r="S249" s="4" t="str">
        <f ca="1">_xlfn.IFNA(VLOOKUP(INDIRECT("G"&amp;ROW()),minfo!$A:$M,COLUMN()-8,0),"")</f>
        <v>蝶恋花</v>
      </c>
      <c r="T249" s="4">
        <f ca="1">_xlfn.IFNA(VLOOKUP(INDIRECT("G"&amp;ROW()),minfo!$A:$M,COLUMN()-8,0),"")</f>
        <v>514547</v>
      </c>
      <c r="U249" s="4">
        <f ca="1">_xlfn.IFNA(VLOOKUP(INDIRECT("G"&amp;ROW()),minfo!$A:$M,COLUMN()-8,0),"")</f>
        <v>0</v>
      </c>
    </row>
    <row r="250" spans="1:21" ht="15.75" customHeight="1">
      <c r="A250" s="15">
        <v>249</v>
      </c>
      <c r="B250" s="4" t="s">
        <v>3807</v>
      </c>
      <c r="C250" s="4">
        <v>250</v>
      </c>
      <c r="D250" s="4">
        <v>52</v>
      </c>
      <c r="E250" s="4" t="s">
        <v>3808</v>
      </c>
      <c r="F250" s="16">
        <v>45037</v>
      </c>
      <c r="G250" s="5" t="s">
        <v>933</v>
      </c>
      <c r="H250" s="5" t="s">
        <v>3754</v>
      </c>
      <c r="I250" s="24" t="str">
        <f>HYPERLINK("https://www.bilibili.com/video/BV1cs4y1w7Lv?p=52", "BV1cs4y1w7Lv?p=52")</f>
        <v>BV1cs4y1w7Lv?p=52</v>
      </c>
      <c r="J250" s="4" t="str">
        <f ca="1">_xlfn.IFNA(VLOOKUP(INDIRECT("G"&amp;ROW()),minfo!$A:$M,COLUMN()-8,0),"")</f>
        <v>敕勒歌</v>
      </c>
      <c r="K250" s="4" t="str">
        <f ca="1">_xlfn.IFNA(VLOOKUP(INDIRECT("G"&amp;ROW()),minfo!$A:$M,COLUMN()-8,0),"")</f>
        <v>谭维维</v>
      </c>
      <c r="L250" s="4">
        <f ca="1">_xlfn.IFNA(VLOOKUP(INDIRECT("G"&amp;ROW()),minfo!$A:$M,COLUMN()-8,0),"")</f>
        <v>0</v>
      </c>
      <c r="M250" s="4">
        <f ca="1">_xlfn.IFNA(VLOOKUP(INDIRECT("G"&amp;ROW()),minfo!$A:$M,COLUMN()-8,0),"")</f>
        <v>0</v>
      </c>
      <c r="N250" s="4">
        <f ca="1">_xlfn.IFNA(VLOOKUP(INDIRECT("G"&amp;ROW()),minfo!$A:$M,COLUMN()-8,0),"")</f>
        <v>0</v>
      </c>
      <c r="O250" s="4" t="str">
        <f ca="1">_xlfn.IFNA(VLOOKUP(INDIRECT("G"&amp;ROW()),minfo!$A:$M,COLUMN()-8,0),"")</f>
        <v>https://i0.hdslb.com/bfs/station_src/music_metadata/4633e67685206de0672cc528709e3e2f.jpg</v>
      </c>
      <c r="P250" s="4" t="str">
        <f ca="1">_xlfn.IFNA(VLOOKUP(INDIRECT("G"&amp;ROW()),minfo!$A:$M,COLUMN()-8,0),"")</f>
        <v>https://i0.hdslb.com/bfs/station_src/music_metadata/dff7d3073b6cc36766c38942f1f4cf16.txt</v>
      </c>
      <c r="Q250" s="4">
        <f ca="1">_xlfn.IFNA(VLOOKUP(INDIRECT("G"&amp;ROW()),minfo!$A:$M,COLUMN()-8,0),"")</f>
        <v>382</v>
      </c>
      <c r="R250" s="4">
        <f ca="1">_xlfn.IFNA(VLOOKUP(INDIRECT("G"&amp;ROW()),minfo!$A:$M,COLUMN()-8,0),"")</f>
        <v>0</v>
      </c>
      <c r="S250" s="4" t="str">
        <f ca="1">_xlfn.IFNA(VLOOKUP(INDIRECT("G"&amp;ROW()),minfo!$A:$M,COLUMN()-8,0),"")</f>
        <v>经典咏流传第二季 第六期</v>
      </c>
      <c r="T250" s="4">
        <f ca="1">_xlfn.IFNA(VLOOKUP(INDIRECT("G"&amp;ROW()),minfo!$A:$M,COLUMN()-8,0),"")</f>
        <v>19549830</v>
      </c>
      <c r="U250" s="4">
        <f ca="1">_xlfn.IFNA(VLOOKUP(INDIRECT("G"&amp;ROW()),minfo!$A:$M,COLUMN()-8,0),"")</f>
        <v>0</v>
      </c>
    </row>
    <row r="251" spans="1:21" ht="15.75" customHeight="1">
      <c r="A251" s="15">
        <v>250</v>
      </c>
      <c r="B251" s="4" t="s">
        <v>3809</v>
      </c>
      <c r="C251" s="4">
        <v>251</v>
      </c>
      <c r="D251" s="4">
        <v>53</v>
      </c>
      <c r="E251" s="4" t="s">
        <v>3810</v>
      </c>
      <c r="F251" s="16">
        <v>45037</v>
      </c>
      <c r="G251" s="5" t="s">
        <v>939</v>
      </c>
      <c r="H251" s="5" t="s">
        <v>3754</v>
      </c>
      <c r="I251" s="24" t="str">
        <f>HYPERLINK("https://www.bilibili.com/video/BV1cs4y1w7Lv?p=53", "BV1cs4y1w7Lv?p=53")</f>
        <v>BV1cs4y1w7Lv?p=53</v>
      </c>
      <c r="J251" s="4" t="str">
        <f ca="1">_xlfn.IFNA(VLOOKUP(INDIRECT("G"&amp;ROW()),minfo!$A:$M,COLUMN()-8,0),"")</f>
        <v>思念</v>
      </c>
      <c r="K251" s="4" t="str">
        <f ca="1">_xlfn.IFNA(VLOOKUP(INDIRECT("G"&amp;ROW()),minfo!$A:$M,COLUMN()-8,0),"")</f>
        <v>吴碧霞</v>
      </c>
      <c r="L251" s="4">
        <f ca="1">_xlfn.IFNA(VLOOKUP(INDIRECT("G"&amp;ROW()),minfo!$A:$M,COLUMN()-8,0),"")</f>
        <v>0</v>
      </c>
      <c r="M251" s="4">
        <f ca="1">_xlfn.IFNA(VLOOKUP(INDIRECT("G"&amp;ROW()),minfo!$A:$M,COLUMN()-8,0),"")</f>
        <v>0</v>
      </c>
      <c r="N251" s="4">
        <f ca="1">_xlfn.IFNA(VLOOKUP(INDIRECT("G"&amp;ROW()),minfo!$A:$M,COLUMN()-8,0),"")</f>
        <v>0</v>
      </c>
      <c r="O251" s="4" t="str">
        <f ca="1">_xlfn.IFNA(VLOOKUP(INDIRECT("G"&amp;ROW()),minfo!$A:$M,COLUMN()-8,0),"")</f>
        <v>https://i0.hdslb.com/bfs/station_src/music_metadata/627cc7a29f5c50e0659be873604b57f2.jpg</v>
      </c>
      <c r="P251" s="4" t="str">
        <f ca="1">_xlfn.IFNA(VLOOKUP(INDIRECT("G"&amp;ROW()),minfo!$A:$M,COLUMN()-8,0),"")</f>
        <v>https://i0.hdslb.com/bfs/station_src/music_metadata/f5fbf0c9be680b365439ed692aae93dc.txt</v>
      </c>
      <c r="Q251" s="4">
        <f ca="1">_xlfn.IFNA(VLOOKUP(INDIRECT("G"&amp;ROW()),minfo!$A:$M,COLUMN()-8,0),"")</f>
        <v>0</v>
      </c>
      <c r="R251" s="4">
        <f ca="1">_xlfn.IFNA(VLOOKUP(INDIRECT("G"&amp;ROW()),minfo!$A:$M,COLUMN()-8,0),"")</f>
        <v>0</v>
      </c>
      <c r="S251" s="4" t="str">
        <f ca="1">_xlfn.IFNA(VLOOKUP(INDIRECT("G"&amp;ROW()),minfo!$A:$M,COLUMN()-8,0),"")</f>
        <v>亚洲巡演北京独唱音乐会中国作品专场</v>
      </c>
      <c r="T251" s="4">
        <f ca="1">_xlfn.IFNA(VLOOKUP(INDIRECT("G"&amp;ROW()),minfo!$A:$M,COLUMN()-8,0),"")</f>
        <v>83682</v>
      </c>
      <c r="U251" s="4">
        <f ca="1">_xlfn.IFNA(VLOOKUP(INDIRECT("G"&amp;ROW()),minfo!$A:$M,COLUMN()-8,0),"")</f>
        <v>0</v>
      </c>
    </row>
    <row r="252" spans="1:21" ht="15.75" customHeight="1">
      <c r="A252" s="15">
        <v>251</v>
      </c>
      <c r="B252" s="4" t="s">
        <v>3811</v>
      </c>
      <c r="C252" s="4">
        <v>252</v>
      </c>
      <c r="D252" s="4">
        <v>54</v>
      </c>
      <c r="E252" s="4" t="s">
        <v>579</v>
      </c>
      <c r="F252" s="16">
        <v>45037</v>
      </c>
      <c r="G252" s="5" t="s">
        <v>578</v>
      </c>
      <c r="H252" s="5" t="s">
        <v>3754</v>
      </c>
      <c r="I252" s="24" t="str">
        <f>HYPERLINK("https://www.bilibili.com/video/BV1cs4y1w7Lv?p=54", "BV1cs4y1w7Lv?p=54")</f>
        <v>BV1cs4y1w7Lv?p=54</v>
      </c>
      <c r="J252" s="4" t="str">
        <f ca="1">_xlfn.IFNA(VLOOKUP(INDIRECT("G"&amp;ROW()),minfo!$A:$M,COLUMN()-8,0),"")</f>
        <v>月光</v>
      </c>
      <c r="K252" s="4" t="str">
        <f ca="1">_xlfn.IFNA(VLOOKUP(INDIRECT("G"&amp;ROW()),minfo!$A:$M,COLUMN()-8,0),"")</f>
        <v>胡彦斌</v>
      </c>
      <c r="L252" s="4">
        <f ca="1">_xlfn.IFNA(VLOOKUP(INDIRECT("G"&amp;ROW()),minfo!$A:$M,COLUMN()-8,0),"")</f>
        <v>0</v>
      </c>
      <c r="M252" s="4">
        <f ca="1">_xlfn.IFNA(VLOOKUP(INDIRECT("G"&amp;ROW()),minfo!$A:$M,COLUMN()-8,0),"")</f>
        <v>0</v>
      </c>
      <c r="N252" s="4">
        <f ca="1">_xlfn.IFNA(VLOOKUP(INDIRECT("G"&amp;ROW()),minfo!$A:$M,COLUMN()-8,0),"")</f>
        <v>0</v>
      </c>
      <c r="O252" s="4" t="str">
        <f ca="1">_xlfn.IFNA(VLOOKUP(INDIRECT("G"&amp;ROW()),minfo!$A:$M,COLUMN()-8,0),"")</f>
        <v>https://i0.hdslb.com/bfs/station_src/music_metadata/7cc411366d037e788cb0589e4b72b353.jpg</v>
      </c>
      <c r="P252" s="4" t="str">
        <f ca="1">_xlfn.IFNA(VLOOKUP(INDIRECT("G"&amp;ROW()),minfo!$A:$M,COLUMN()-8,0),"")</f>
        <v>https://i0.hdslb.com/bfs/station_src/music_metadata/24b147c13fc9ffd4dfb30a3a88355255.txt</v>
      </c>
      <c r="Q252" s="4">
        <f ca="1">_xlfn.IFNA(VLOOKUP(INDIRECT("G"&amp;ROW()),minfo!$A:$M,COLUMN()-8,0),"")</f>
        <v>3207</v>
      </c>
      <c r="R252" s="4" t="str">
        <f ca="1">_xlfn.IFNA(VLOOKUP(INDIRECT("G"&amp;ROW()),minfo!$A:$M,COLUMN()-8,0),"")</f>
        <v>《秦时明月》动画主题曲|《秦时明月之君临天下》动画片头曲</v>
      </c>
      <c r="S252" s="4" t="str">
        <f ca="1">_xlfn.IFNA(VLOOKUP(INDIRECT("G"&amp;ROW()),minfo!$A:$M,COLUMN()-8,0),"")</f>
        <v>男人歌 (全胜铂金版)</v>
      </c>
      <c r="T252" s="4">
        <f ca="1">_xlfn.IFNA(VLOOKUP(INDIRECT("G"&amp;ROW()),minfo!$A:$M,COLUMN()-8,0),"")</f>
        <v>276993628</v>
      </c>
      <c r="U252" s="4">
        <f ca="1">_xlfn.IFNA(VLOOKUP(INDIRECT("G"&amp;ROW()),minfo!$A:$M,COLUMN()-8,0),"")</f>
        <v>0</v>
      </c>
    </row>
    <row r="253" spans="1:21" ht="15.75" customHeight="1">
      <c r="A253" s="15">
        <v>252</v>
      </c>
      <c r="B253" s="4" t="s">
        <v>3812</v>
      </c>
      <c r="C253" s="4">
        <v>253</v>
      </c>
      <c r="D253" s="4">
        <v>55</v>
      </c>
      <c r="E253" s="4" t="s">
        <v>192</v>
      </c>
      <c r="F253" s="16">
        <v>45037</v>
      </c>
      <c r="G253" s="5" t="s">
        <v>191</v>
      </c>
      <c r="H253" s="5" t="s">
        <v>3754</v>
      </c>
      <c r="I253" s="24" t="str">
        <f>HYPERLINK("https://www.bilibili.com/video/BV1cs4y1w7Lv?p=55", "BV1cs4y1w7Lv?p=55")</f>
        <v>BV1cs4y1w7Lv?p=55</v>
      </c>
      <c r="J253" s="4" t="str">
        <f ca="1">_xlfn.IFNA(VLOOKUP(INDIRECT("G"&amp;ROW()),minfo!$A:$M,COLUMN()-8,0),"")</f>
        <v>流年如歌</v>
      </c>
      <c r="K253" s="4" t="str">
        <f ca="1">_xlfn.IFNA(VLOOKUP(INDIRECT("G"&amp;ROW()),minfo!$A:$M,COLUMN()-8,0),"")</f>
        <v>苍穹</v>
      </c>
      <c r="L253" s="4">
        <f ca="1">_xlfn.IFNA(VLOOKUP(INDIRECT("G"&amp;ROW()),minfo!$A:$M,COLUMN()-8,0),"")</f>
        <v>0</v>
      </c>
      <c r="M253" s="4">
        <f ca="1">_xlfn.IFNA(VLOOKUP(INDIRECT("G"&amp;ROW()),minfo!$A:$M,COLUMN()-8,0),"")</f>
        <v>0</v>
      </c>
      <c r="N253" s="4">
        <f ca="1">_xlfn.IFNA(VLOOKUP(INDIRECT("G"&amp;ROW()),minfo!$A:$M,COLUMN()-8,0),"")</f>
        <v>0</v>
      </c>
      <c r="O253" s="4" t="str">
        <f ca="1">_xlfn.IFNA(VLOOKUP(INDIRECT("G"&amp;ROW()),minfo!$A:$M,COLUMN()-8,0),"")</f>
        <v>https://i0.hdslb.com/bfs/station_src/music_metadata/7d8de08a2fa9fed3e913a7cbedbd7359.jpg</v>
      </c>
      <c r="P253" s="4" t="str">
        <f ca="1">_xlfn.IFNA(VLOOKUP(INDIRECT("G"&amp;ROW()),minfo!$A:$M,COLUMN()-8,0),"")</f>
        <v>https://i0.hdslb.com/bfs/station_src/music_metadata/39fd2191a90a6dfc42574ff5b43baadb.txt</v>
      </c>
      <c r="Q253" s="4">
        <f ca="1">_xlfn.IFNA(VLOOKUP(INDIRECT("G"&amp;ROW()),minfo!$A:$M,COLUMN()-8,0),"")</f>
        <v>68</v>
      </c>
      <c r="R253" s="4">
        <f ca="1">_xlfn.IFNA(VLOOKUP(INDIRECT("G"&amp;ROW()),minfo!$A:$M,COLUMN()-8,0),"")</f>
        <v>0</v>
      </c>
      <c r="S253" s="4" t="str">
        <f ca="1">_xlfn.IFNA(VLOOKUP(INDIRECT("G"&amp;ROW()),minfo!$A:$M,COLUMN()-8,0),"")</f>
        <v>哔哩哔哩拜年纪金曲回顾</v>
      </c>
      <c r="T253" s="4">
        <f ca="1">_xlfn.IFNA(VLOOKUP(INDIRECT("G"&amp;ROW()),minfo!$A:$M,COLUMN()-8,0),"")</f>
        <v>14971574</v>
      </c>
      <c r="U253" s="4">
        <f ca="1">_xlfn.IFNA(VLOOKUP(INDIRECT("G"&amp;ROW()),minfo!$A:$M,COLUMN()-8,0),"")</f>
        <v>0</v>
      </c>
    </row>
    <row r="254" spans="1:21" ht="15.75" customHeight="1">
      <c r="A254" s="15">
        <v>253</v>
      </c>
      <c r="B254" s="4" t="s">
        <v>3813</v>
      </c>
      <c r="C254" s="4">
        <v>254</v>
      </c>
      <c r="D254" s="4">
        <v>56</v>
      </c>
      <c r="E254" s="4" t="s">
        <v>95</v>
      </c>
      <c r="F254" s="16">
        <v>45037</v>
      </c>
      <c r="G254" s="5" t="s">
        <v>203</v>
      </c>
      <c r="H254" s="5" t="s">
        <v>3754</v>
      </c>
      <c r="I254" s="24" t="str">
        <f>HYPERLINK("https://www.bilibili.com/video/BV1cs4y1w7Lv?p=56", "BV1cs4y1w7Lv?p=56")</f>
        <v>BV1cs4y1w7Lv?p=56</v>
      </c>
      <c r="J254" s="4" t="str">
        <f ca="1">_xlfn.IFNA(VLOOKUP(INDIRECT("G"&amp;ROW()),minfo!$A:$M,COLUMN()-8,0),"")</f>
        <v>不问天</v>
      </c>
      <c r="K254" s="4" t="str">
        <f ca="1">_xlfn.IFNA(VLOOKUP(INDIRECT("G"&amp;ROW()),minfo!$A:$M,COLUMN()-8,0),"")</f>
        <v>说说Crystal</v>
      </c>
      <c r="L254" s="4">
        <f ca="1">_xlfn.IFNA(VLOOKUP(INDIRECT("G"&amp;ROW()),minfo!$A:$M,COLUMN()-8,0),"")</f>
        <v>0</v>
      </c>
      <c r="M254" s="4">
        <f ca="1">_xlfn.IFNA(VLOOKUP(INDIRECT("G"&amp;ROW()),minfo!$A:$M,COLUMN()-8,0),"")</f>
        <v>0</v>
      </c>
      <c r="N254" s="4">
        <f ca="1">_xlfn.IFNA(VLOOKUP(INDIRECT("G"&amp;ROW()),minfo!$A:$M,COLUMN()-8,0),"")</f>
        <v>0</v>
      </c>
      <c r="O254" s="4" t="str">
        <f ca="1">_xlfn.IFNA(VLOOKUP(INDIRECT("G"&amp;ROW()),minfo!$A:$M,COLUMN()-8,0),"")</f>
        <v>https://i0.hdslb.com/bfs/station_src/music_metadata/ce3a0da2a7e64a49fa42a6e3db521f57.jpg</v>
      </c>
      <c r="P254" s="4" t="str">
        <f ca="1">_xlfn.IFNA(VLOOKUP(INDIRECT("G"&amp;ROW()),minfo!$A:$M,COLUMN()-8,0),"")</f>
        <v>https://i0.hdslb.com/bfs/station_src/music_metadata/02cd9198a33924449443fc704a92a25a.txt</v>
      </c>
      <c r="Q254" s="4">
        <f ca="1">_xlfn.IFNA(VLOOKUP(INDIRECT("G"&amp;ROW()),minfo!$A:$M,COLUMN()-8,0),"")</f>
        <v>149</v>
      </c>
      <c r="R254" s="4">
        <f ca="1">_xlfn.IFNA(VLOOKUP(INDIRECT("G"&amp;ROW()),minfo!$A:$M,COLUMN()-8,0),"")</f>
        <v>0</v>
      </c>
      <c r="S254" s="4" t="str">
        <f ca="1">_xlfn.IFNA(VLOOKUP(INDIRECT("G"&amp;ROW()),minfo!$A:$M,COLUMN()-8,0),"")</f>
        <v>2021哔哩哔哩拜年纪</v>
      </c>
      <c r="T254" s="4">
        <f ca="1">_xlfn.IFNA(VLOOKUP(INDIRECT("G"&amp;ROW()),minfo!$A:$M,COLUMN()-8,0),"")</f>
        <v>33137051</v>
      </c>
      <c r="U254" s="4">
        <f ca="1">_xlfn.IFNA(VLOOKUP(INDIRECT("G"&amp;ROW()),minfo!$A:$M,COLUMN()-8,0),"")</f>
        <v>0</v>
      </c>
    </row>
    <row r="255" spans="1:21" ht="15.75" customHeight="1">
      <c r="A255" s="15">
        <v>254</v>
      </c>
      <c r="B255" s="4" t="s">
        <v>3814</v>
      </c>
      <c r="C255" s="4">
        <v>255</v>
      </c>
      <c r="D255" s="4">
        <v>57</v>
      </c>
      <c r="E255" s="4" t="s">
        <v>720</v>
      </c>
      <c r="F255" s="16">
        <v>45037</v>
      </c>
      <c r="G255" s="5" t="s">
        <v>719</v>
      </c>
      <c r="H255" s="5" t="s">
        <v>3754</v>
      </c>
      <c r="I255" s="24" t="str">
        <f>HYPERLINK("https://www.bilibili.com/video/BV1cs4y1w7Lv?p=57", "BV1cs4y1w7Lv?p=57")</f>
        <v>BV1cs4y1w7Lv?p=57</v>
      </c>
      <c r="J255" s="4" t="str">
        <f ca="1">_xlfn.IFNA(VLOOKUP(INDIRECT("G"&amp;ROW()),minfo!$A:$M,COLUMN()-8,0),"")</f>
        <v>落叶归根</v>
      </c>
      <c r="K255" s="4" t="str">
        <f ca="1">_xlfn.IFNA(VLOOKUP(INDIRECT("G"&amp;ROW()),minfo!$A:$M,COLUMN()-8,0),"")</f>
        <v>王力宏</v>
      </c>
      <c r="L255" s="4">
        <f ca="1">_xlfn.IFNA(VLOOKUP(INDIRECT("G"&amp;ROW()),minfo!$A:$M,COLUMN()-8,0),"")</f>
        <v>0</v>
      </c>
      <c r="M255" s="4">
        <f ca="1">_xlfn.IFNA(VLOOKUP(INDIRECT("G"&amp;ROW()),minfo!$A:$M,COLUMN()-8,0),"")</f>
        <v>3387</v>
      </c>
      <c r="N255" s="4">
        <f ca="1">_xlfn.IFNA(VLOOKUP(INDIRECT("G"&amp;ROW()),minfo!$A:$M,COLUMN()-8,0),"")</f>
        <v>845</v>
      </c>
      <c r="O255" s="4" t="str">
        <f ca="1">_xlfn.IFNA(VLOOKUP(INDIRECT("G"&amp;ROW()),minfo!$A:$M,COLUMN()-8,0),"")</f>
        <v>https://i0.hdslb.com/bfs/station_src/music_metadata/a8ffd1d411d13153eb4745f7b32606c9.jpg</v>
      </c>
      <c r="P255" s="4" t="str">
        <f ca="1">_xlfn.IFNA(VLOOKUP(INDIRECT("G"&amp;ROW()),minfo!$A:$M,COLUMN()-8,0),"")</f>
        <v>https://i0.hdslb.com/bfs/station_src/music_metadata/bcd960f324898e0e42f392683fa178ba.txt</v>
      </c>
      <c r="Q255" s="4">
        <f ca="1">_xlfn.IFNA(VLOOKUP(INDIRECT("G"&amp;ROW()),minfo!$A:$M,COLUMN()-8,0),"")</f>
        <v>60</v>
      </c>
      <c r="R255" s="4">
        <f ca="1">_xlfn.IFNA(VLOOKUP(INDIRECT("G"&amp;ROW()),minfo!$A:$M,COLUMN()-8,0),"")</f>
        <v>0</v>
      </c>
      <c r="S255" s="4" t="str">
        <f ca="1">_xlfn.IFNA(VLOOKUP(INDIRECT("G"&amp;ROW()),minfo!$A:$M,COLUMN()-8,0),"")</f>
        <v>改变自己</v>
      </c>
      <c r="T255" s="4">
        <f ca="1">_xlfn.IFNA(VLOOKUP(INDIRECT("G"&amp;ROW()),minfo!$A:$M,COLUMN()-8,0),"")</f>
        <v>41008288</v>
      </c>
      <c r="U255" s="4">
        <f ca="1">_xlfn.IFNA(VLOOKUP(INDIRECT("G"&amp;ROW()),minfo!$A:$M,COLUMN()-8,0),"")</f>
        <v>0</v>
      </c>
    </row>
    <row r="256" spans="1:21" ht="15.75" customHeight="1">
      <c r="A256" s="15">
        <v>255</v>
      </c>
      <c r="B256" s="4" t="s">
        <v>3815</v>
      </c>
      <c r="C256" s="4">
        <v>256</v>
      </c>
      <c r="D256" s="4">
        <v>58</v>
      </c>
      <c r="E256" s="4" t="s">
        <v>946</v>
      </c>
      <c r="F256" s="16">
        <v>45038</v>
      </c>
      <c r="G256" s="5" t="s">
        <v>945</v>
      </c>
      <c r="H256" s="5" t="s">
        <v>3754</v>
      </c>
      <c r="I256" s="24" t="str">
        <f>HYPERLINK("https://www.bilibili.com/video/BV1cs4y1w7Lv?p=58", "BV1cs4y1w7Lv?p=58")</f>
        <v>BV1cs4y1w7Lv?p=58</v>
      </c>
      <c r="J256" s="4" t="str">
        <f ca="1">_xlfn.IFNA(VLOOKUP(INDIRECT("G"&amp;ROW()),minfo!$A:$M,COLUMN()-8,0),"")</f>
        <v>半岛铁盒</v>
      </c>
      <c r="K256" s="4" t="str">
        <f ca="1">_xlfn.IFNA(VLOOKUP(INDIRECT("G"&amp;ROW()),minfo!$A:$M,COLUMN()-8,0),"")</f>
        <v>周杰伦</v>
      </c>
      <c r="L256" s="4">
        <f ca="1">_xlfn.IFNA(VLOOKUP(INDIRECT("G"&amp;ROW()),minfo!$A:$M,COLUMN()-8,0),"")</f>
        <v>0</v>
      </c>
      <c r="M256" s="4">
        <f ca="1">_xlfn.IFNA(VLOOKUP(INDIRECT("G"&amp;ROW()),minfo!$A:$M,COLUMN()-8,0),"")</f>
        <v>0</v>
      </c>
      <c r="N256" s="4">
        <f ca="1">_xlfn.IFNA(VLOOKUP(INDIRECT("G"&amp;ROW()),minfo!$A:$M,COLUMN()-8,0),"")</f>
        <v>0</v>
      </c>
      <c r="O256" s="4" t="str">
        <f ca="1">_xlfn.IFNA(VLOOKUP(INDIRECT("G"&amp;ROW()),minfo!$A:$M,COLUMN()-8,0),"")</f>
        <v>https://i0.hdslb.com/bfs/station_src/music_metadata/969db89b7df27aa5580e7e0a53957368.jpg</v>
      </c>
      <c r="P256" s="4">
        <f ca="1">_xlfn.IFNA(VLOOKUP(INDIRECT("G"&amp;ROW()),minfo!$A:$M,COLUMN()-8,0),"")</f>
        <v>0</v>
      </c>
      <c r="Q256" s="4">
        <f ca="1">_xlfn.IFNA(VLOOKUP(INDIRECT("G"&amp;ROW()),minfo!$A:$M,COLUMN()-8,0),"")</f>
        <v>6537</v>
      </c>
      <c r="R256" s="4">
        <f ca="1">_xlfn.IFNA(VLOOKUP(INDIRECT("G"&amp;ROW()),minfo!$A:$M,COLUMN()-8,0),"")</f>
        <v>0</v>
      </c>
      <c r="S256" s="4" t="str">
        <f ca="1">_xlfn.IFNA(VLOOKUP(INDIRECT("G"&amp;ROW()),minfo!$A:$M,COLUMN()-8,0),"")</f>
        <v>八度空间</v>
      </c>
      <c r="T256" s="4">
        <f ca="1">_xlfn.IFNA(VLOOKUP(INDIRECT("G"&amp;ROW()),minfo!$A:$M,COLUMN()-8,0),"")</f>
        <v>569248560</v>
      </c>
      <c r="U256" s="4">
        <f ca="1">_xlfn.IFNA(VLOOKUP(INDIRECT("G"&amp;ROW()),minfo!$A:$M,COLUMN()-8,0),"")</f>
        <v>0</v>
      </c>
    </row>
    <row r="257" spans="1:21" ht="15.75" customHeight="1">
      <c r="A257" s="15">
        <v>256</v>
      </c>
      <c r="B257" s="4" t="s">
        <v>3816</v>
      </c>
      <c r="C257" s="4">
        <v>257</v>
      </c>
      <c r="D257" s="4">
        <v>59</v>
      </c>
      <c r="E257" s="4" t="s">
        <v>949</v>
      </c>
      <c r="F257" s="16">
        <v>45038</v>
      </c>
      <c r="G257" s="5" t="s">
        <v>948</v>
      </c>
      <c r="H257" s="5" t="s">
        <v>3754</v>
      </c>
      <c r="I257" s="24" t="str">
        <f>HYPERLINK("https://www.bilibili.com/video/BV1cs4y1w7Lv?p=59", "BV1cs4y1w7Lv?p=59")</f>
        <v>BV1cs4y1w7Lv?p=59</v>
      </c>
      <c r="J257" s="4" t="str">
        <f ca="1">_xlfn.IFNA(VLOOKUP(INDIRECT("G"&amp;ROW()),minfo!$A:$M,COLUMN()-8,0),"")</f>
        <v>在树上唱歌</v>
      </c>
      <c r="K257" s="4" t="str">
        <f ca="1">_xlfn.IFNA(VLOOKUP(INDIRECT("G"&amp;ROW()),minfo!$A:$M,COLUMN()-8,0),"")</f>
        <v>郭静</v>
      </c>
      <c r="L257" s="4">
        <f ca="1">_xlfn.IFNA(VLOOKUP(INDIRECT("G"&amp;ROW()),minfo!$A:$M,COLUMN()-8,0),"")</f>
        <v>0</v>
      </c>
      <c r="M257" s="4">
        <f ca="1">_xlfn.IFNA(VLOOKUP(INDIRECT("G"&amp;ROW()),minfo!$A:$M,COLUMN()-8,0),"")</f>
        <v>0</v>
      </c>
      <c r="N257" s="4">
        <f ca="1">_xlfn.IFNA(VLOOKUP(INDIRECT("G"&amp;ROW()),minfo!$A:$M,COLUMN()-8,0),"")</f>
        <v>0</v>
      </c>
      <c r="O257" s="4" t="str">
        <f ca="1">_xlfn.IFNA(VLOOKUP(INDIRECT("G"&amp;ROW()),minfo!$A:$M,COLUMN()-8,0),"")</f>
        <v>https://i0.hdslb.com/bfs/station_src/music_metadata/8a0a276d96ce39afb010437bbeb8613c.jpg</v>
      </c>
      <c r="P257" s="4" t="str">
        <f ca="1">_xlfn.IFNA(VLOOKUP(INDIRECT("G"&amp;ROW()),minfo!$A:$M,COLUMN()-8,0),"")</f>
        <v>http://i0.hdslb.com/bfs/station_src/music_metadata/24a1cdae4802b62c3ae1b38b0958ab51</v>
      </c>
      <c r="Q257" s="4">
        <f ca="1">_xlfn.IFNA(VLOOKUP(INDIRECT("G"&amp;ROW()),minfo!$A:$M,COLUMN()-8,0),"")</f>
        <v>363</v>
      </c>
      <c r="R257" s="4">
        <f ca="1">_xlfn.IFNA(VLOOKUP(INDIRECT("G"&amp;ROW()),minfo!$A:$M,COLUMN()-8,0),"")</f>
        <v>0</v>
      </c>
      <c r="S257" s="4" t="str">
        <f ca="1">_xlfn.IFNA(VLOOKUP(INDIRECT("G"&amp;ROW()),minfo!$A:$M,COLUMN()-8,0),"")</f>
        <v>在树上唱歌</v>
      </c>
      <c r="T257" s="4">
        <f ca="1">_xlfn.IFNA(VLOOKUP(INDIRECT("G"&amp;ROW()),minfo!$A:$M,COLUMN()-8,0),"")</f>
        <v>68722656</v>
      </c>
      <c r="U257" s="4">
        <f ca="1">_xlfn.IFNA(VLOOKUP(INDIRECT("G"&amp;ROW()),minfo!$A:$M,COLUMN()-8,0),"")</f>
        <v>0</v>
      </c>
    </row>
    <row r="258" spans="1:21" ht="15.75" customHeight="1">
      <c r="A258" s="15">
        <v>257</v>
      </c>
      <c r="B258" s="4" t="s">
        <v>3817</v>
      </c>
      <c r="C258" s="4">
        <v>258</v>
      </c>
      <c r="D258" s="4">
        <v>60</v>
      </c>
      <c r="E258" s="4" t="s">
        <v>20</v>
      </c>
      <c r="F258" s="16">
        <v>45038</v>
      </c>
      <c r="G258" s="5" t="s">
        <v>19</v>
      </c>
      <c r="H258" s="5" t="s">
        <v>3754</v>
      </c>
      <c r="I258" s="24" t="str">
        <f>HYPERLINK("https://www.bilibili.com/video/BV1cs4y1w7Lv?p=60", "BV1cs4y1w7Lv?p=60")</f>
        <v>BV1cs4y1w7Lv?p=60</v>
      </c>
      <c r="J258" s="4" t="str">
        <f ca="1">_xlfn.IFNA(VLOOKUP(INDIRECT("G"&amp;ROW()),minfo!$A:$M,COLUMN()-8,0),"")</f>
        <v>人啊</v>
      </c>
      <c r="K258" s="4" t="str">
        <f ca="1">_xlfn.IFNA(VLOOKUP(INDIRECT("G"&amp;ROW()),minfo!$A:$M,COLUMN()-8,0),"")</f>
        <v>单依纯</v>
      </c>
      <c r="L258" s="4">
        <f ca="1">_xlfn.IFNA(VLOOKUP(INDIRECT("G"&amp;ROW()),minfo!$A:$M,COLUMN()-8,0),"")</f>
        <v>0</v>
      </c>
      <c r="M258" s="4">
        <f ca="1">_xlfn.IFNA(VLOOKUP(INDIRECT("G"&amp;ROW()),minfo!$A:$M,COLUMN()-8,0),"")</f>
        <v>0</v>
      </c>
      <c r="N258" s="4">
        <f ca="1">_xlfn.IFNA(VLOOKUP(INDIRECT("G"&amp;ROW()),minfo!$A:$M,COLUMN()-8,0),"")</f>
        <v>0</v>
      </c>
      <c r="O258" s="4" t="str">
        <f ca="1">_xlfn.IFNA(VLOOKUP(INDIRECT("G"&amp;ROW()),minfo!$A:$M,COLUMN()-8,0),"")</f>
        <v>https://i0.hdslb.com/bfs/station_src/music_metadata/a697c5525f54e3a22b0caceb846d074a.jpg</v>
      </c>
      <c r="P258" s="4" t="str">
        <f ca="1">_xlfn.IFNA(VLOOKUP(INDIRECT("G"&amp;ROW()),minfo!$A:$M,COLUMN()-8,0),"")</f>
        <v>https://i0.hdslb.com/bfs/station_src/music_metadata/f9eba08a567e4e3bb5bf438dae27b6f2.txt</v>
      </c>
      <c r="Q258" s="4">
        <f ca="1">_xlfn.IFNA(VLOOKUP(INDIRECT("G"&amp;ROW()),minfo!$A:$M,COLUMN()-8,0),"")</f>
        <v>16</v>
      </c>
      <c r="R258" s="4">
        <f ca="1">_xlfn.IFNA(VLOOKUP(INDIRECT("G"&amp;ROW()),minfo!$A:$M,COLUMN()-8,0),"")</f>
        <v>0</v>
      </c>
      <c r="S258" s="4" t="str">
        <f ca="1">_xlfn.IFNA(VLOOKUP(INDIRECT("G"&amp;ROW()),minfo!$A:$M,COLUMN()-8,0),"")</f>
        <v>2020中国好声音 第11期</v>
      </c>
      <c r="T258" s="4">
        <f ca="1">_xlfn.IFNA(VLOOKUP(INDIRECT("G"&amp;ROW()),minfo!$A:$M,COLUMN()-8,0),"")</f>
        <v>3227968</v>
      </c>
      <c r="U258" s="4">
        <f ca="1">_xlfn.IFNA(VLOOKUP(INDIRECT("G"&amp;ROW()),minfo!$A:$M,COLUMN()-8,0),"")</f>
        <v>0</v>
      </c>
    </row>
    <row r="259" spans="1:21" ht="15.75" customHeight="1">
      <c r="A259" s="15">
        <v>258</v>
      </c>
      <c r="B259" s="4" t="s">
        <v>3818</v>
      </c>
      <c r="C259" s="4">
        <v>259</v>
      </c>
      <c r="D259" s="4">
        <v>61</v>
      </c>
      <c r="E259" s="4" t="s">
        <v>462</v>
      </c>
      <c r="F259" s="16">
        <v>45038</v>
      </c>
      <c r="G259" s="5" t="s">
        <v>461</v>
      </c>
      <c r="H259" s="5" t="s">
        <v>3754</v>
      </c>
      <c r="I259" s="24" t="str">
        <f>HYPERLINK("https://www.bilibili.com/video/BV1cs4y1w7Lv?p=61", "BV1cs4y1w7Lv?p=61")</f>
        <v>BV1cs4y1w7Lv?p=61</v>
      </c>
      <c r="J259" s="4" t="str">
        <f ca="1">_xlfn.IFNA(VLOOKUP(INDIRECT("G"&amp;ROW()),minfo!$A:$M,COLUMN()-8,0),"")</f>
        <v>人是_</v>
      </c>
      <c r="K259" s="4" t="str">
        <f ca="1">_xlfn.IFNA(VLOOKUP(INDIRECT("G"&amp;ROW()),minfo!$A:$M,COLUMN()-8,0),"")</f>
        <v>周深</v>
      </c>
      <c r="L259" s="4">
        <f ca="1">_xlfn.IFNA(VLOOKUP(INDIRECT("G"&amp;ROW()),minfo!$A:$M,COLUMN()-8,0),"")</f>
        <v>0</v>
      </c>
      <c r="M259" s="4">
        <f ca="1">_xlfn.IFNA(VLOOKUP(INDIRECT("G"&amp;ROW()),minfo!$A:$M,COLUMN()-8,0),"")</f>
        <v>315938</v>
      </c>
      <c r="N259" s="4">
        <f ca="1">_xlfn.IFNA(VLOOKUP(INDIRECT("G"&amp;ROW()),minfo!$A:$M,COLUMN()-8,0),"")</f>
        <v>67117</v>
      </c>
      <c r="O259" s="4" t="str">
        <f ca="1">_xlfn.IFNA(VLOOKUP(INDIRECT("G"&amp;ROW()),minfo!$A:$M,COLUMN()-8,0),"")</f>
        <v>https://i0.hdslb.com/bfs/station_src/music_metadata/cbc6b9595b8d8ddf3be5a4600fe4ee1f.jpg</v>
      </c>
      <c r="P259" s="4">
        <f ca="1">_xlfn.IFNA(VLOOKUP(INDIRECT("G"&amp;ROW()),minfo!$A:$M,COLUMN()-8,0),"")</f>
        <v>0</v>
      </c>
      <c r="Q259" s="4">
        <f ca="1">_xlfn.IFNA(VLOOKUP(INDIRECT("G"&amp;ROW()),minfo!$A:$M,COLUMN()-8,0),"")</f>
        <v>831</v>
      </c>
      <c r="R259" s="4">
        <f ca="1">_xlfn.IFNA(VLOOKUP(INDIRECT("G"&amp;ROW()),minfo!$A:$M,COLUMN()-8,0),"")</f>
        <v>0</v>
      </c>
      <c r="S259" s="4" t="str">
        <f ca="1">_xlfn.IFNA(VLOOKUP(INDIRECT("G"&amp;ROW()),minfo!$A:$M,COLUMN()-8,0),"")</f>
        <v>人是_</v>
      </c>
      <c r="T259" s="4">
        <f ca="1">_xlfn.IFNA(VLOOKUP(INDIRECT("G"&amp;ROW()),minfo!$A:$M,COLUMN()-8,0),"")</f>
        <v>80359568</v>
      </c>
      <c r="U259" s="4" t="str">
        <f ca="1">_xlfn.IFNA(VLOOKUP(INDIRECT("G"&amp;ROW()),minfo!$A:$M,COLUMN()-8,0),"")</f>
        <v>音乐榜最高NO.8</v>
      </c>
    </row>
    <row r="260" spans="1:21" ht="15.75" customHeight="1">
      <c r="A260" s="15">
        <v>259</v>
      </c>
      <c r="B260" s="4" t="s">
        <v>3819</v>
      </c>
      <c r="C260" s="4">
        <v>260</v>
      </c>
      <c r="D260" s="4">
        <v>62</v>
      </c>
      <c r="E260" s="4" t="s">
        <v>954</v>
      </c>
      <c r="F260" s="16">
        <v>45038</v>
      </c>
      <c r="G260" s="5" t="s">
        <v>953</v>
      </c>
      <c r="H260" s="5" t="s">
        <v>3754</v>
      </c>
      <c r="I260" s="24" t="str">
        <f>HYPERLINK("https://www.bilibili.com/video/BV1cs4y1w7Lv?p=62", "BV1cs4y1w7Lv?p=62")</f>
        <v>BV1cs4y1w7Lv?p=62</v>
      </c>
      <c r="J260" s="4" t="str">
        <f ca="1">_xlfn.IFNA(VLOOKUP(INDIRECT("G"&amp;ROW()),minfo!$A:$M,COLUMN()-8,0),"")</f>
        <v>烟火</v>
      </c>
      <c r="K260" s="4" t="str">
        <f ca="1">_xlfn.IFNA(VLOOKUP(INDIRECT("G"&amp;ROW()),minfo!$A:$M,COLUMN()-8,0),"")</f>
        <v>吴奇隆</v>
      </c>
      <c r="L260" s="4">
        <f ca="1">_xlfn.IFNA(VLOOKUP(INDIRECT("G"&amp;ROW()),minfo!$A:$M,COLUMN()-8,0),"")</f>
        <v>0</v>
      </c>
      <c r="M260" s="4">
        <f ca="1">_xlfn.IFNA(VLOOKUP(INDIRECT("G"&amp;ROW()),minfo!$A:$M,COLUMN()-8,0),"")</f>
        <v>0</v>
      </c>
      <c r="N260" s="4">
        <f ca="1">_xlfn.IFNA(VLOOKUP(INDIRECT("G"&amp;ROW()),minfo!$A:$M,COLUMN()-8,0),"")</f>
        <v>0</v>
      </c>
      <c r="O260" s="4" t="str">
        <f ca="1">_xlfn.IFNA(VLOOKUP(INDIRECT("G"&amp;ROW()),minfo!$A:$M,COLUMN()-8,0),"")</f>
        <v>https://i0.hdslb.com/bfs/station_src/music_metadata/95c35061d785d539a7bbbca16d88238c.jpg</v>
      </c>
      <c r="P260" s="4" t="str">
        <f ca="1">_xlfn.IFNA(VLOOKUP(INDIRECT("G"&amp;ROW()),minfo!$A:$M,COLUMN()-8,0),"")</f>
        <v>http://i0.hdslb.com/bfs/station_src/music_metadata/7ad4bd4d867e08361276977fec9ca4b6</v>
      </c>
      <c r="Q260" s="4">
        <f ca="1">_xlfn.IFNA(VLOOKUP(INDIRECT("G"&amp;ROW()),minfo!$A:$M,COLUMN()-8,0),"")</f>
        <v>41</v>
      </c>
      <c r="R260" s="4">
        <f ca="1">_xlfn.IFNA(VLOOKUP(INDIRECT("G"&amp;ROW()),minfo!$A:$M,COLUMN()-8,0),"")</f>
        <v>0</v>
      </c>
      <c r="S260" s="4" t="str">
        <f ca="1">_xlfn.IFNA(VLOOKUP(INDIRECT("G"&amp;ROW()),minfo!$A:$M,COLUMN()-8,0),"")</f>
        <v>追梦</v>
      </c>
      <c r="T260" s="4">
        <f ca="1">_xlfn.IFNA(VLOOKUP(INDIRECT("G"&amp;ROW()),minfo!$A:$M,COLUMN()-8,0),"")</f>
        <v>24033103</v>
      </c>
      <c r="U260" s="4">
        <f ca="1">_xlfn.IFNA(VLOOKUP(INDIRECT("G"&amp;ROW()),minfo!$A:$M,COLUMN()-8,0),"")</f>
        <v>0</v>
      </c>
    </row>
    <row r="261" spans="1:21" ht="15.75" customHeight="1">
      <c r="A261" s="15">
        <v>260</v>
      </c>
      <c r="B261" s="4" t="s">
        <v>3820</v>
      </c>
      <c r="C261" s="4">
        <v>261</v>
      </c>
      <c r="D261" s="4">
        <v>63</v>
      </c>
      <c r="E261" s="4" t="s">
        <v>960</v>
      </c>
      <c r="F261" s="16">
        <v>45038</v>
      </c>
      <c r="G261" s="5" t="s">
        <v>959</v>
      </c>
      <c r="H261" s="5" t="s">
        <v>3754</v>
      </c>
      <c r="I261" s="24" t="str">
        <f>HYPERLINK("https://www.bilibili.com/video/BV1cs4y1w7Lv?p=63", "BV1cs4y1w7Lv?p=63")</f>
        <v>BV1cs4y1w7Lv?p=63</v>
      </c>
      <c r="J261" s="4" t="str">
        <f ca="1">_xlfn.IFNA(VLOOKUP(INDIRECT("G"&amp;ROW()),minfo!$A:$M,COLUMN()-8,0),"")</f>
        <v>带我走</v>
      </c>
      <c r="K261" s="4" t="str">
        <f ca="1">_xlfn.IFNA(VLOOKUP(INDIRECT("G"&amp;ROW()),minfo!$A:$M,COLUMN()-8,0),"")</f>
        <v>杨丞琳,吴青峰</v>
      </c>
      <c r="L261" s="4">
        <f ca="1">_xlfn.IFNA(VLOOKUP(INDIRECT("G"&amp;ROW()),minfo!$A:$M,COLUMN()-8,0),"")</f>
        <v>0</v>
      </c>
      <c r="M261" s="4">
        <f ca="1">_xlfn.IFNA(VLOOKUP(INDIRECT("G"&amp;ROW()),minfo!$A:$M,COLUMN()-8,0),"")</f>
        <v>518</v>
      </c>
      <c r="N261" s="4">
        <f ca="1">_xlfn.IFNA(VLOOKUP(INDIRECT("G"&amp;ROW()),minfo!$A:$M,COLUMN()-8,0),"")</f>
        <v>145</v>
      </c>
      <c r="O261" s="4" t="str">
        <f ca="1">_xlfn.IFNA(VLOOKUP(INDIRECT("G"&amp;ROW()),minfo!$A:$M,COLUMN()-8,0),"")</f>
        <v>http://i0.hdslb.com/bfs/station_src/music_metadata/2e11b5422ed3f3a27ffc1f5e38246a69.jpg</v>
      </c>
      <c r="P261" s="4" t="str">
        <f ca="1">_xlfn.IFNA(VLOOKUP(INDIRECT("G"&amp;ROW()),minfo!$A:$M,COLUMN()-8,0),"")</f>
        <v>https://i0.hdslb.com/bfs/station_src/music_metadata/b65990afa3b9671cd36f6915d8146ed7.txt</v>
      </c>
      <c r="Q261" s="4">
        <f ca="1">_xlfn.IFNA(VLOOKUP(INDIRECT("G"&amp;ROW()),minfo!$A:$M,COLUMN()-8,0),"")</f>
        <v>473</v>
      </c>
      <c r="R261" s="4">
        <f ca="1">_xlfn.IFNA(VLOOKUP(INDIRECT("G"&amp;ROW()),minfo!$A:$M,COLUMN()-8,0),"")</f>
        <v>0</v>
      </c>
      <c r="S261" s="4" t="str">
        <f ca="1">_xlfn.IFNA(VLOOKUP(INDIRECT("G"&amp;ROW()),minfo!$A:$M,COLUMN()-8,0),"")</f>
        <v>半熟宣言</v>
      </c>
      <c r="T261" s="4">
        <f ca="1">_xlfn.IFNA(VLOOKUP(INDIRECT("G"&amp;ROW()),minfo!$A:$M,COLUMN()-8,0),"")</f>
        <v>115959006</v>
      </c>
      <c r="U261" s="4">
        <f ca="1">_xlfn.IFNA(VLOOKUP(INDIRECT("G"&amp;ROW()),minfo!$A:$M,COLUMN()-8,0),"")</f>
        <v>0</v>
      </c>
    </row>
    <row r="262" spans="1:21" ht="15.75" customHeight="1">
      <c r="A262" s="15">
        <v>261</v>
      </c>
      <c r="B262" s="4" t="s">
        <v>3821</v>
      </c>
      <c r="C262" s="4">
        <v>262</v>
      </c>
      <c r="D262" s="4">
        <v>64</v>
      </c>
      <c r="E262" s="4" t="s">
        <v>319</v>
      </c>
      <c r="F262" s="16">
        <v>45038</v>
      </c>
      <c r="G262" s="5" t="s">
        <v>318</v>
      </c>
      <c r="H262" s="5" t="s">
        <v>3754</v>
      </c>
      <c r="I262" s="24" t="str">
        <f>HYPERLINK("https://www.bilibili.com/video/BV1cs4y1w7Lv?p=64", "BV1cs4y1w7Lv?p=64")</f>
        <v>BV1cs4y1w7Lv?p=64</v>
      </c>
      <c r="J262" s="4" t="str">
        <f ca="1">_xlfn.IFNA(VLOOKUP(INDIRECT("G"&amp;ROW()),minfo!$A:$M,COLUMN()-8,0),"")</f>
        <v>晴天</v>
      </c>
      <c r="K262" s="4" t="str">
        <f ca="1">_xlfn.IFNA(VLOOKUP(INDIRECT("G"&amp;ROW()),minfo!$A:$M,COLUMN()-8,0),"")</f>
        <v>周杰伦</v>
      </c>
      <c r="L262" s="4">
        <f ca="1">_xlfn.IFNA(VLOOKUP(INDIRECT("G"&amp;ROW()),minfo!$A:$M,COLUMN()-8,0),"")</f>
        <v>0</v>
      </c>
      <c r="M262" s="4">
        <f ca="1">_xlfn.IFNA(VLOOKUP(INDIRECT("G"&amp;ROW()),minfo!$A:$M,COLUMN()-8,0),"")</f>
        <v>5048</v>
      </c>
      <c r="N262" s="4">
        <f ca="1">_xlfn.IFNA(VLOOKUP(INDIRECT("G"&amp;ROW()),minfo!$A:$M,COLUMN()-8,0),"")</f>
        <v>135</v>
      </c>
      <c r="O262" s="4" t="str">
        <f ca="1">_xlfn.IFNA(VLOOKUP(INDIRECT("G"&amp;ROW()),minfo!$A:$M,COLUMN()-8,0),"")</f>
        <v>https://i0.hdslb.com/bfs/station_src/music_metadata/2efa8f0df2aff949dee33b3f46a56312.jpg</v>
      </c>
      <c r="P262" s="4">
        <f ca="1">_xlfn.IFNA(VLOOKUP(INDIRECT("G"&amp;ROW()),minfo!$A:$M,COLUMN()-8,0),"")</f>
        <v>0</v>
      </c>
      <c r="Q262" s="4">
        <f ca="1">_xlfn.IFNA(VLOOKUP(INDIRECT("G"&amp;ROW()),minfo!$A:$M,COLUMN()-8,0),"")</f>
        <v>15983</v>
      </c>
      <c r="R262" s="4">
        <f ca="1">_xlfn.IFNA(VLOOKUP(INDIRECT("G"&amp;ROW()),minfo!$A:$M,COLUMN()-8,0),"")</f>
        <v>0</v>
      </c>
      <c r="S262" s="4" t="str">
        <f ca="1">_xlfn.IFNA(VLOOKUP(INDIRECT("G"&amp;ROW()),minfo!$A:$M,COLUMN()-8,0),"")</f>
        <v>叶惠美</v>
      </c>
      <c r="T262" s="4">
        <f ca="1">_xlfn.IFNA(VLOOKUP(INDIRECT("G"&amp;ROW()),minfo!$A:$M,COLUMN()-8,0),"")</f>
        <v>1497162616</v>
      </c>
      <c r="U262" s="4" t="str">
        <f ca="1">_xlfn.IFNA(VLOOKUP(INDIRECT("G"&amp;ROW()),minfo!$A:$M,COLUMN()-8,0),"")</f>
        <v>音乐榜最高NO.8</v>
      </c>
    </row>
    <row r="263" spans="1:21" ht="15.75" customHeight="1">
      <c r="A263" s="15">
        <v>262</v>
      </c>
      <c r="B263" s="4" t="s">
        <v>3822</v>
      </c>
      <c r="C263" s="4">
        <v>263</v>
      </c>
      <c r="D263" s="4">
        <v>65</v>
      </c>
      <c r="E263" s="4" t="s">
        <v>3823</v>
      </c>
      <c r="F263" s="16">
        <v>45044</v>
      </c>
      <c r="G263" s="5" t="s">
        <v>965</v>
      </c>
      <c r="H263" s="5" t="s">
        <v>3754</v>
      </c>
      <c r="I263" s="24" t="str">
        <f>HYPERLINK("https://www.bilibili.com/video/BV1cs4y1w7Lv?p=65", "BV1cs4y1w7Lv?p=65")</f>
        <v>BV1cs4y1w7Lv?p=65</v>
      </c>
      <c r="J263" s="4" t="str">
        <f ca="1">_xlfn.IFNA(VLOOKUP(INDIRECT("G"&amp;ROW()),minfo!$A:$M,COLUMN()-8,0),"")</f>
        <v>房间</v>
      </c>
      <c r="K263" s="4" t="str">
        <f ca="1">_xlfn.IFNA(VLOOKUP(INDIRECT("G"&amp;ROW()),minfo!$A:$M,COLUMN()-8,0),"")</f>
        <v>刘瑞琦</v>
      </c>
      <c r="L263" s="4">
        <f ca="1">_xlfn.IFNA(VLOOKUP(INDIRECT("G"&amp;ROW()),minfo!$A:$M,COLUMN()-8,0),"")</f>
        <v>0</v>
      </c>
      <c r="M263" s="4">
        <f ca="1">_xlfn.IFNA(VLOOKUP(INDIRECT("G"&amp;ROW()),minfo!$A:$M,COLUMN()-8,0),"")</f>
        <v>0</v>
      </c>
      <c r="N263" s="4">
        <f ca="1">_xlfn.IFNA(VLOOKUP(INDIRECT("G"&amp;ROW()),minfo!$A:$M,COLUMN()-8,0),"")</f>
        <v>0</v>
      </c>
      <c r="O263" s="4">
        <f ca="1">_xlfn.IFNA(VLOOKUP(INDIRECT("G"&amp;ROW()),minfo!$A:$M,COLUMN()-8,0),"")</f>
        <v>0</v>
      </c>
      <c r="P263" s="4">
        <f ca="1">_xlfn.IFNA(VLOOKUP(INDIRECT("G"&amp;ROW()),minfo!$A:$M,COLUMN()-8,0),"")</f>
        <v>0</v>
      </c>
      <c r="Q263" s="4">
        <f ca="1">_xlfn.IFNA(VLOOKUP(INDIRECT("G"&amp;ROW()),minfo!$A:$M,COLUMN()-8,0),"")</f>
        <v>0</v>
      </c>
      <c r="R263" s="4">
        <f ca="1">_xlfn.IFNA(VLOOKUP(INDIRECT("G"&amp;ROW()),minfo!$A:$M,COLUMN()-8,0),"")</f>
        <v>0</v>
      </c>
      <c r="S263" s="4">
        <f ca="1">_xlfn.IFNA(VLOOKUP(INDIRECT("G"&amp;ROW()),minfo!$A:$M,COLUMN()-8,0),"")</f>
        <v>0</v>
      </c>
      <c r="T263" s="4">
        <f ca="1">_xlfn.IFNA(VLOOKUP(INDIRECT("G"&amp;ROW()),minfo!$A:$M,COLUMN()-8,0),"")</f>
        <v>0</v>
      </c>
      <c r="U263" s="4">
        <f ca="1">_xlfn.IFNA(VLOOKUP(INDIRECT("G"&amp;ROW()),minfo!$A:$M,COLUMN()-8,0),"")</f>
        <v>0</v>
      </c>
    </row>
    <row r="264" spans="1:21" ht="15.75" customHeight="1">
      <c r="A264" s="15">
        <v>263</v>
      </c>
      <c r="B264" s="4" t="s">
        <v>3824</v>
      </c>
      <c r="C264" s="4">
        <v>264</v>
      </c>
      <c r="D264" s="4">
        <v>66</v>
      </c>
      <c r="E264" s="4" t="s">
        <v>568</v>
      </c>
      <c r="F264" s="16">
        <v>45044</v>
      </c>
      <c r="G264" s="5" t="s">
        <v>864</v>
      </c>
      <c r="H264" s="5" t="s">
        <v>3754</v>
      </c>
      <c r="I264" s="24" t="str">
        <f>HYPERLINK("https://www.bilibili.com/video/BV1cs4y1w7Lv?p=66", "BV1cs4y1w7Lv?p=66")</f>
        <v>BV1cs4y1w7Lv?p=66</v>
      </c>
      <c r="J264" s="4" t="str">
        <f ca="1">_xlfn.IFNA(VLOOKUP(INDIRECT("G"&amp;ROW()),minfo!$A:$M,COLUMN()-8,0),"")</f>
        <v>乌梅子酱</v>
      </c>
      <c r="K264" s="4" t="str">
        <f ca="1">_xlfn.IFNA(VLOOKUP(INDIRECT("G"&amp;ROW()),minfo!$A:$M,COLUMN()-8,0),"")</f>
        <v>李荣浩</v>
      </c>
      <c r="L264" s="4">
        <f ca="1">_xlfn.IFNA(VLOOKUP(INDIRECT("G"&amp;ROW()),minfo!$A:$M,COLUMN()-8,0),"")</f>
        <v>0</v>
      </c>
      <c r="M264" s="4">
        <f ca="1">_xlfn.IFNA(VLOOKUP(INDIRECT("G"&amp;ROW()),minfo!$A:$M,COLUMN()-8,0),"")</f>
        <v>0</v>
      </c>
      <c r="N264" s="4">
        <f ca="1">_xlfn.IFNA(VLOOKUP(INDIRECT("G"&amp;ROW()),minfo!$A:$M,COLUMN()-8,0),"")</f>
        <v>0</v>
      </c>
      <c r="O264" s="4" t="str">
        <f ca="1">_xlfn.IFNA(VLOOKUP(INDIRECT("G"&amp;ROW()),minfo!$A:$M,COLUMN()-8,0),"")</f>
        <v>https://i0.hdslb.com/bfs/station_src/music_metadata/9ca5c7e277da8afb806c6e32ced62a88.jpg</v>
      </c>
      <c r="P264" s="4" t="str">
        <f ca="1">_xlfn.IFNA(VLOOKUP(INDIRECT("G"&amp;ROW()),minfo!$A:$M,COLUMN()-8,0),"")</f>
        <v>copyright-crawler/music/lyric/86e5dbf825b8cc46f04240eae52987ff/86e5dbf825b8cc46f04240eae52987ff.txt</v>
      </c>
      <c r="Q264" s="4">
        <f ca="1">_xlfn.IFNA(VLOOKUP(INDIRECT("G"&amp;ROW()),minfo!$A:$M,COLUMN()-8,0),"")</f>
        <v>6745</v>
      </c>
      <c r="R264" s="4">
        <f ca="1">_xlfn.IFNA(VLOOKUP(INDIRECT("G"&amp;ROW()),minfo!$A:$M,COLUMN()-8,0),"")</f>
        <v>0</v>
      </c>
      <c r="S264" s="4" t="str">
        <f ca="1">_xlfn.IFNA(VLOOKUP(INDIRECT("G"&amp;ROW()),minfo!$A:$M,COLUMN()-8,0),"")</f>
        <v>乌梅子酱</v>
      </c>
      <c r="T264" s="4">
        <f ca="1">_xlfn.IFNA(VLOOKUP(INDIRECT("G"&amp;ROW()),minfo!$A:$M,COLUMN()-8,0),"")</f>
        <v>215251902</v>
      </c>
      <c r="U264" s="4" t="str">
        <f ca="1">_xlfn.IFNA(VLOOKUP(INDIRECT("G"&amp;ROW()),minfo!$A:$M,COLUMN()-8,0),"")</f>
        <v>音乐榜最高NO.1</v>
      </c>
    </row>
    <row r="265" spans="1:21" ht="15.75" customHeight="1">
      <c r="A265" s="15">
        <v>264</v>
      </c>
      <c r="B265" s="4" t="s">
        <v>3825</v>
      </c>
      <c r="C265" s="4">
        <v>265</v>
      </c>
      <c r="D265" s="4">
        <v>67</v>
      </c>
      <c r="E265" s="4" t="s">
        <v>967</v>
      </c>
      <c r="F265" s="16">
        <v>45044</v>
      </c>
      <c r="G265" s="5" t="s">
        <v>966</v>
      </c>
      <c r="H265" s="5" t="s">
        <v>3754</v>
      </c>
      <c r="I265" s="24" t="str">
        <f>HYPERLINK("https://www.bilibili.com/video/BV1cs4y1w7Lv?p=67", "BV1cs4y1w7Lv?p=67")</f>
        <v>BV1cs4y1w7Lv?p=67</v>
      </c>
      <c r="J265" s="4" t="str">
        <f ca="1">_xlfn.IFNA(VLOOKUP(INDIRECT("G"&amp;ROW()),minfo!$A:$M,COLUMN()-8,0),"")</f>
        <v>小雨</v>
      </c>
      <c r="K265" s="4" t="str">
        <f ca="1">_xlfn.IFNA(VLOOKUP(INDIRECT("G"&amp;ROW()),minfo!$A:$M,COLUMN()-8,0),"")</f>
        <v>黄龄</v>
      </c>
      <c r="L265" s="4">
        <f ca="1">_xlfn.IFNA(VLOOKUP(INDIRECT("G"&amp;ROW()),minfo!$A:$M,COLUMN()-8,0),"")</f>
        <v>0</v>
      </c>
      <c r="M265" s="4">
        <f ca="1">_xlfn.IFNA(VLOOKUP(INDIRECT("G"&amp;ROW()),minfo!$A:$M,COLUMN()-8,0),"")</f>
        <v>0</v>
      </c>
      <c r="N265" s="4">
        <f ca="1">_xlfn.IFNA(VLOOKUP(INDIRECT("G"&amp;ROW()),minfo!$A:$M,COLUMN()-8,0),"")</f>
        <v>0</v>
      </c>
      <c r="O265" s="4" t="str">
        <f ca="1">_xlfn.IFNA(VLOOKUP(INDIRECT("G"&amp;ROW()),minfo!$A:$M,COLUMN()-8,0),"")</f>
        <v>https://i0.hdslb.com/bfs/station_src/music_metadata/607346922702f1ba7302d87db0ecdbf1.jpg</v>
      </c>
      <c r="P265" s="4" t="str">
        <f ca="1">_xlfn.IFNA(VLOOKUP(INDIRECT("G"&amp;ROW()),minfo!$A:$M,COLUMN()-8,0),"")</f>
        <v>https://i0.hdslb.com/bfs/station_src/music_metadata/245fdd0b68a8f71caa554e8f05ea1b6c.txt</v>
      </c>
      <c r="Q265" s="4">
        <f ca="1">_xlfn.IFNA(VLOOKUP(INDIRECT("G"&amp;ROW()),minfo!$A:$M,COLUMN()-8,0),"")</f>
        <v>2250</v>
      </c>
      <c r="R265" s="4">
        <f ca="1">_xlfn.IFNA(VLOOKUP(INDIRECT("G"&amp;ROW()),minfo!$A:$M,COLUMN()-8,0),"")</f>
        <v>0</v>
      </c>
      <c r="S265" s="4" t="str">
        <f ca="1">_xlfn.IFNA(VLOOKUP(INDIRECT("G"&amp;ROW()),minfo!$A:$M,COLUMN()-8,0),"")</f>
        <v>小雨</v>
      </c>
      <c r="T265" s="4">
        <f ca="1">_xlfn.IFNA(VLOOKUP(INDIRECT("G"&amp;ROW()),minfo!$A:$M,COLUMN()-8,0),"")</f>
        <v>63947645</v>
      </c>
      <c r="U265" s="4">
        <f ca="1">_xlfn.IFNA(VLOOKUP(INDIRECT("G"&amp;ROW()),minfo!$A:$M,COLUMN()-8,0),"")</f>
        <v>0</v>
      </c>
    </row>
    <row r="266" spans="1:21" ht="15.75" customHeight="1">
      <c r="A266" s="15">
        <v>265</v>
      </c>
      <c r="B266" s="4" t="s">
        <v>3826</v>
      </c>
      <c r="C266" s="4">
        <v>266</v>
      </c>
      <c r="D266" s="4">
        <v>68</v>
      </c>
      <c r="E266" s="4" t="s">
        <v>971</v>
      </c>
      <c r="F266" s="16">
        <v>45044</v>
      </c>
      <c r="G266" s="5" t="s">
        <v>970</v>
      </c>
      <c r="H266" s="5" t="s">
        <v>3754</v>
      </c>
      <c r="I266" s="24" t="str">
        <f>HYPERLINK("https://www.bilibili.com/video/BV1cs4y1w7Lv?p=68", "BV1cs4y1w7Lv?p=68")</f>
        <v>BV1cs4y1w7Lv?p=68</v>
      </c>
      <c r="J266" s="4" t="str">
        <f ca="1">_xlfn.IFNA(VLOOKUP(INDIRECT("G"&amp;ROW()),minfo!$A:$M,COLUMN()-8,0),"")</f>
        <v>心墙</v>
      </c>
      <c r="K266" s="4" t="str">
        <f ca="1">_xlfn.IFNA(VLOOKUP(INDIRECT("G"&amp;ROW()),minfo!$A:$M,COLUMN()-8,0),"")</f>
        <v>郭静</v>
      </c>
      <c r="L266" s="4">
        <f ca="1">_xlfn.IFNA(VLOOKUP(INDIRECT("G"&amp;ROW()),minfo!$A:$M,COLUMN()-8,0),"")</f>
        <v>0</v>
      </c>
      <c r="M266" s="4">
        <f ca="1">_xlfn.IFNA(VLOOKUP(INDIRECT("G"&amp;ROW()),minfo!$A:$M,COLUMN()-8,0),"")</f>
        <v>0</v>
      </c>
      <c r="N266" s="4">
        <f ca="1">_xlfn.IFNA(VLOOKUP(INDIRECT("G"&amp;ROW()),minfo!$A:$M,COLUMN()-8,0),"")</f>
        <v>0</v>
      </c>
      <c r="O266" s="4" t="str">
        <f ca="1">_xlfn.IFNA(VLOOKUP(INDIRECT("G"&amp;ROW()),minfo!$A:$M,COLUMN()-8,0),"")</f>
        <v>http://i0.hdslb.com/bfs/station_src/music_metadata/ae2d1d9e9624bd7a94d939adb321569b.jpg</v>
      </c>
      <c r="P266" s="4" t="str">
        <f ca="1">_xlfn.IFNA(VLOOKUP(INDIRECT("G"&amp;ROW()),minfo!$A:$M,COLUMN()-8,0),"")</f>
        <v>http://i0.hdslb.com/bfs/station_src/music_metadata/18702e32c3eb4e9c934de4b281e9f9cd</v>
      </c>
      <c r="Q266" s="4">
        <f ca="1">_xlfn.IFNA(VLOOKUP(INDIRECT("G"&amp;ROW()),minfo!$A:$M,COLUMN()-8,0),"")</f>
        <v>4204</v>
      </c>
      <c r="R266" s="4">
        <f ca="1">_xlfn.IFNA(VLOOKUP(INDIRECT("G"&amp;ROW()),minfo!$A:$M,COLUMN()-8,0),"")</f>
        <v>0</v>
      </c>
      <c r="S266" s="4" t="str">
        <f ca="1">_xlfn.IFNA(VLOOKUP(INDIRECT("G"&amp;ROW()),minfo!$A:$M,COLUMN()-8,0),"")</f>
        <v>在树上唱歌</v>
      </c>
      <c r="T266" s="4">
        <f ca="1">_xlfn.IFNA(VLOOKUP(INDIRECT("G"&amp;ROW()),minfo!$A:$M,COLUMN()-8,0),"")</f>
        <v>446507354</v>
      </c>
      <c r="U266" s="4">
        <f ca="1">_xlfn.IFNA(VLOOKUP(INDIRECT("G"&amp;ROW()),minfo!$A:$M,COLUMN()-8,0),"")</f>
        <v>0</v>
      </c>
    </row>
    <row r="267" spans="1:21" ht="15.75" customHeight="1">
      <c r="A267" s="15">
        <v>266</v>
      </c>
      <c r="B267" s="4" t="s">
        <v>3827</v>
      </c>
      <c r="C267" s="4">
        <v>267</v>
      </c>
      <c r="D267" s="4">
        <v>69</v>
      </c>
      <c r="E267" s="4" t="s">
        <v>370</v>
      </c>
      <c r="F267" s="16">
        <v>45044</v>
      </c>
      <c r="G267" s="5" t="s">
        <v>369</v>
      </c>
      <c r="H267" s="5" t="s">
        <v>3754</v>
      </c>
      <c r="I267" s="24" t="str">
        <f>HYPERLINK("https://www.bilibili.com/video/BV1cs4y1w7Lv?p=69", "BV1cs4y1w7Lv?p=69")</f>
        <v>BV1cs4y1w7Lv?p=69</v>
      </c>
      <c r="J267" s="4" t="str">
        <f ca="1">_xlfn.IFNA(VLOOKUP(INDIRECT("G"&amp;ROW()),minfo!$A:$M,COLUMN()-8,0),"")</f>
        <v>星晴</v>
      </c>
      <c r="K267" s="4" t="str">
        <f ca="1">_xlfn.IFNA(VLOOKUP(INDIRECT("G"&amp;ROW()),minfo!$A:$M,COLUMN()-8,0),"")</f>
        <v>周杰伦</v>
      </c>
      <c r="L267" s="4">
        <f ca="1">_xlfn.IFNA(VLOOKUP(INDIRECT("G"&amp;ROW()),minfo!$A:$M,COLUMN()-8,0),"")</f>
        <v>0</v>
      </c>
      <c r="M267" s="4">
        <f ca="1">_xlfn.IFNA(VLOOKUP(INDIRECT("G"&amp;ROW()),minfo!$A:$M,COLUMN()-8,0),"")</f>
        <v>0</v>
      </c>
      <c r="N267" s="4">
        <f ca="1">_xlfn.IFNA(VLOOKUP(INDIRECT("G"&amp;ROW()),minfo!$A:$M,COLUMN()-8,0),"")</f>
        <v>0</v>
      </c>
      <c r="O267" s="4" t="str">
        <f ca="1">_xlfn.IFNA(VLOOKUP(INDIRECT("G"&amp;ROW()),minfo!$A:$M,COLUMN()-8,0),"")</f>
        <v>http://i0.hdslb.com/bfs/station_src/music_metadata/6c5a2e49b22b5017b16436b34ffa8ff4.jpg</v>
      </c>
      <c r="P267" s="4" t="str">
        <f ca="1">_xlfn.IFNA(VLOOKUP(INDIRECT("G"&amp;ROW()),minfo!$A:$M,COLUMN()-8,0),"")</f>
        <v>http://i0.hdslb.com/bfs/station_src/music_metadata/51698719dd553d61e269f2d4bcc88e0c</v>
      </c>
      <c r="Q267" s="4">
        <f ca="1">_xlfn.IFNA(VLOOKUP(INDIRECT("G"&amp;ROW()),minfo!$A:$M,COLUMN()-8,0),"")</f>
        <v>1203</v>
      </c>
      <c r="R267" s="4">
        <f ca="1">_xlfn.IFNA(VLOOKUP(INDIRECT("G"&amp;ROW()),minfo!$A:$M,COLUMN()-8,0),"")</f>
        <v>0</v>
      </c>
      <c r="S267" s="4" t="str">
        <f ca="1">_xlfn.IFNA(VLOOKUP(INDIRECT("G"&amp;ROW()),minfo!$A:$M,COLUMN()-8,0),"")</f>
        <v>Jay</v>
      </c>
      <c r="T267" s="4">
        <f ca="1">_xlfn.IFNA(VLOOKUP(INDIRECT("G"&amp;ROW()),minfo!$A:$M,COLUMN()-8,0),"")</f>
        <v>318249236</v>
      </c>
      <c r="U267" s="4">
        <f ca="1">_xlfn.IFNA(VLOOKUP(INDIRECT("G"&amp;ROW()),minfo!$A:$M,COLUMN()-8,0),"")</f>
        <v>0</v>
      </c>
    </row>
    <row r="268" spans="1:21" ht="15.75" customHeight="1">
      <c r="A268" s="15">
        <v>267</v>
      </c>
      <c r="B268" s="4" t="s">
        <v>3828</v>
      </c>
      <c r="C268" s="4">
        <v>268</v>
      </c>
      <c r="D268" s="4">
        <v>70</v>
      </c>
      <c r="E268" s="4" t="s">
        <v>909</v>
      </c>
      <c r="F268" s="16">
        <v>45044</v>
      </c>
      <c r="G268" s="5" t="s">
        <v>908</v>
      </c>
      <c r="H268" s="5" t="s">
        <v>3754</v>
      </c>
      <c r="I268" s="24" t="str">
        <f>HYPERLINK("https://www.bilibili.com/video/BV1cs4y1w7Lv?p=70", "BV1cs4y1w7Lv?p=70")</f>
        <v>BV1cs4y1w7Lv?p=70</v>
      </c>
      <c r="J268" s="4" t="str">
        <f ca="1">_xlfn.IFNA(VLOOKUP(INDIRECT("G"&amp;ROW()),minfo!$A:$M,COLUMN()-8,0),"")</f>
        <v>再见深海</v>
      </c>
      <c r="K268" s="4" t="str">
        <f ca="1">_xlfn.IFNA(VLOOKUP(INDIRECT("G"&amp;ROW()),minfo!$A:$M,COLUMN()-8,0),"")</f>
        <v>唐汉霄</v>
      </c>
      <c r="L268" s="4">
        <f ca="1">_xlfn.IFNA(VLOOKUP(INDIRECT("G"&amp;ROW()),minfo!$A:$M,COLUMN()-8,0),"")</f>
        <v>0</v>
      </c>
      <c r="M268" s="4">
        <f ca="1">_xlfn.IFNA(VLOOKUP(INDIRECT("G"&amp;ROW()),minfo!$A:$M,COLUMN()-8,0),"")</f>
        <v>36024</v>
      </c>
      <c r="N268" s="4">
        <f ca="1">_xlfn.IFNA(VLOOKUP(INDIRECT("G"&amp;ROW()),minfo!$A:$M,COLUMN()-8,0),"")</f>
        <v>5360</v>
      </c>
      <c r="O268" s="4" t="str">
        <f ca="1">_xlfn.IFNA(VLOOKUP(INDIRECT("G"&amp;ROW()),minfo!$A:$M,COLUMN()-8,0),"")</f>
        <v>http://i0.hdslb.com/bfs/station_src/music_metadata/125614d52d7873a21f10529ee87cc3dd.jpg</v>
      </c>
      <c r="P268" s="4">
        <f ca="1">_xlfn.IFNA(VLOOKUP(INDIRECT("G"&amp;ROW()),minfo!$A:$M,COLUMN()-8,0),"")</f>
        <v>0</v>
      </c>
      <c r="Q268" s="4">
        <f ca="1">_xlfn.IFNA(VLOOKUP(INDIRECT("G"&amp;ROW()),minfo!$A:$M,COLUMN()-8,0),"")</f>
        <v>1337</v>
      </c>
      <c r="R268" s="4">
        <f ca="1">_xlfn.IFNA(VLOOKUP(INDIRECT("G"&amp;ROW()),minfo!$A:$M,COLUMN()-8,0),"")</f>
        <v>0</v>
      </c>
      <c r="S268" s="4" t="str">
        <f ca="1">_xlfn.IFNA(VLOOKUP(INDIRECT("G"&amp;ROW()),minfo!$A:$M,COLUMN()-8,0),"")</f>
        <v>再见深海(微亮的瞬间)</v>
      </c>
      <c r="T268" s="4">
        <f ca="1">_xlfn.IFNA(VLOOKUP(INDIRECT("G"&amp;ROW()),minfo!$A:$M,COLUMN()-8,0),"")</f>
        <v>106771637</v>
      </c>
      <c r="U268" s="4" t="str">
        <f ca="1">_xlfn.IFNA(VLOOKUP(INDIRECT("G"&amp;ROW()),minfo!$A:$M,COLUMN()-8,0),"")</f>
        <v>音乐榜最高NO.18</v>
      </c>
    </row>
    <row r="269" spans="1:21" ht="15.75" customHeight="1">
      <c r="A269" s="15">
        <v>268</v>
      </c>
      <c r="B269" s="4" t="s">
        <v>3829</v>
      </c>
      <c r="C269" s="4">
        <v>269</v>
      </c>
      <c r="D269" s="4">
        <v>71</v>
      </c>
      <c r="E269" s="4" t="s">
        <v>380</v>
      </c>
      <c r="F269" s="16">
        <v>45045</v>
      </c>
      <c r="G269" s="5" t="s">
        <v>379</v>
      </c>
      <c r="H269" s="5" t="s">
        <v>3754</v>
      </c>
      <c r="I269" s="24" t="str">
        <f>HYPERLINK("https://www.bilibili.com/video/BV1cs4y1w7Lv?p=71", "BV1cs4y1w7Lv?p=71")</f>
        <v>BV1cs4y1w7Lv?p=71</v>
      </c>
      <c r="J269" s="4" t="str">
        <f ca="1">_xlfn.IFNA(VLOOKUP(INDIRECT("G"&amp;ROW()),minfo!$A:$M,COLUMN()-8,0),"")</f>
        <v>等你下课</v>
      </c>
      <c r="K269" s="4" t="str">
        <f ca="1">_xlfn.IFNA(VLOOKUP(INDIRECT("G"&amp;ROW()),minfo!$A:$M,COLUMN()-8,0),"")</f>
        <v>周杰伦</v>
      </c>
      <c r="L269" s="4">
        <f ca="1">_xlfn.IFNA(VLOOKUP(INDIRECT("G"&amp;ROW()),minfo!$A:$M,COLUMN()-8,0),"")</f>
        <v>0</v>
      </c>
      <c r="M269" s="4">
        <f ca="1">_xlfn.IFNA(VLOOKUP(INDIRECT("G"&amp;ROW()),minfo!$A:$M,COLUMN()-8,0),"")</f>
        <v>80914</v>
      </c>
      <c r="N269" s="4">
        <f ca="1">_xlfn.IFNA(VLOOKUP(INDIRECT("G"&amp;ROW()),minfo!$A:$M,COLUMN()-8,0),"")</f>
        <v>13096</v>
      </c>
      <c r="O269" s="4" t="str">
        <f ca="1">_xlfn.IFNA(VLOOKUP(INDIRECT("G"&amp;ROW()),minfo!$A:$M,COLUMN()-8,0),"")</f>
        <v>https://i0.hdslb.com/bfs/station_src/music_metadata/daceac43659e7f7f6326c1570b657381.jpg</v>
      </c>
      <c r="P269" s="4" t="str">
        <f ca="1">_xlfn.IFNA(VLOOKUP(INDIRECT("G"&amp;ROW()),minfo!$A:$M,COLUMN()-8,0),"")</f>
        <v>http://i0.hdslb.com/bfs/station_src/music_metadata/1b827e689cae1db38482c44b47c8737a</v>
      </c>
      <c r="Q269" s="4">
        <f ca="1">_xlfn.IFNA(VLOOKUP(INDIRECT("G"&amp;ROW()),minfo!$A:$M,COLUMN()-8,0),"")</f>
        <v>2038</v>
      </c>
      <c r="R269" s="4">
        <f ca="1">_xlfn.IFNA(VLOOKUP(INDIRECT("G"&amp;ROW()),minfo!$A:$M,COLUMN()-8,0),"")</f>
        <v>0</v>
      </c>
      <c r="S269" s="4" t="str">
        <f ca="1">_xlfn.IFNA(VLOOKUP(INDIRECT("G"&amp;ROW()),minfo!$A:$M,COLUMN()-8,0),"")</f>
        <v>等你下课</v>
      </c>
      <c r="T269" s="4">
        <f ca="1">_xlfn.IFNA(VLOOKUP(INDIRECT("G"&amp;ROW()),minfo!$A:$M,COLUMN()-8,0),"")</f>
        <v>419569575</v>
      </c>
      <c r="U269" s="4">
        <f ca="1">_xlfn.IFNA(VLOOKUP(INDIRECT("G"&amp;ROW()),minfo!$A:$M,COLUMN()-8,0),"")</f>
        <v>0</v>
      </c>
    </row>
    <row r="270" spans="1:21" ht="15.75" customHeight="1">
      <c r="A270" s="15">
        <v>269</v>
      </c>
      <c r="B270" s="4" t="s">
        <v>3830</v>
      </c>
      <c r="C270" s="4">
        <v>270</v>
      </c>
      <c r="D270" s="4">
        <v>72</v>
      </c>
      <c r="E270" s="4" t="s">
        <v>975</v>
      </c>
      <c r="F270" s="16">
        <v>45045</v>
      </c>
      <c r="G270" s="5" t="s">
        <v>974</v>
      </c>
      <c r="H270" s="5" t="s">
        <v>3754</v>
      </c>
      <c r="I270" s="24" t="str">
        <f>HYPERLINK("https://www.bilibili.com/video/BV1cs4y1w7Lv?p=72", "BV1cs4y1w7Lv?p=72")</f>
        <v>BV1cs4y1w7Lv?p=72</v>
      </c>
      <c r="J270" s="4" t="str">
        <f ca="1">_xlfn.IFNA(VLOOKUP(INDIRECT("G"&amp;ROW()),minfo!$A:$M,COLUMN()-8,0),"")</f>
        <v>如果云知道</v>
      </c>
      <c r="K270" s="4" t="str">
        <f ca="1">_xlfn.IFNA(VLOOKUP(INDIRECT("G"&amp;ROW()),minfo!$A:$M,COLUMN()-8,0),"")</f>
        <v>许茹芸</v>
      </c>
      <c r="L270" s="4">
        <f ca="1">_xlfn.IFNA(VLOOKUP(INDIRECT("G"&amp;ROW()),minfo!$A:$M,COLUMN()-8,0),"")</f>
        <v>0</v>
      </c>
      <c r="M270" s="4">
        <f ca="1">_xlfn.IFNA(VLOOKUP(INDIRECT("G"&amp;ROW()),minfo!$A:$M,COLUMN()-8,0),"")</f>
        <v>0</v>
      </c>
      <c r="N270" s="4">
        <f ca="1">_xlfn.IFNA(VLOOKUP(INDIRECT("G"&amp;ROW()),minfo!$A:$M,COLUMN()-8,0),"")</f>
        <v>0</v>
      </c>
      <c r="O270" s="4" t="str">
        <f ca="1">_xlfn.IFNA(VLOOKUP(INDIRECT("G"&amp;ROW()),minfo!$A:$M,COLUMN()-8,0),"")</f>
        <v>http://i0.hdslb.com/bfs/station_src/music_metadata/9da38631e2dd6f94986ba234facf8fe4.jpg</v>
      </c>
      <c r="P270" s="4" t="str">
        <f ca="1">_xlfn.IFNA(VLOOKUP(INDIRECT("G"&amp;ROW()),minfo!$A:$M,COLUMN()-8,0),"")</f>
        <v>http://i0.hdslb.com/bfs/station_src/music_metadata/e8ddd3d5fe50c8872f21315e1a0b2309</v>
      </c>
      <c r="Q270" s="4">
        <f ca="1">_xlfn.IFNA(VLOOKUP(INDIRECT("G"&amp;ROW()),minfo!$A:$M,COLUMN()-8,0),"")</f>
        <v>35</v>
      </c>
      <c r="R270" s="4">
        <f ca="1">_xlfn.IFNA(VLOOKUP(INDIRECT("G"&amp;ROW()),minfo!$A:$M,COLUMN()-8,0),"")</f>
        <v>0</v>
      </c>
      <c r="S270" s="4" t="str">
        <f ca="1">_xlfn.IFNA(VLOOKUP(INDIRECT("G"&amp;ROW()),minfo!$A:$M,COLUMN()-8,0),"")</f>
        <v>如果云知道</v>
      </c>
      <c r="T270" s="4">
        <f ca="1">_xlfn.IFNA(VLOOKUP(INDIRECT("G"&amp;ROW()),minfo!$A:$M,COLUMN()-8,0),"")</f>
        <v>16660903</v>
      </c>
      <c r="U270" s="4">
        <f ca="1">_xlfn.IFNA(VLOOKUP(INDIRECT("G"&amp;ROW()),minfo!$A:$M,COLUMN()-8,0),"")</f>
        <v>0</v>
      </c>
    </row>
    <row r="271" spans="1:21" ht="15.75" customHeight="1">
      <c r="A271" s="15">
        <v>270</v>
      </c>
      <c r="B271" s="4" t="s">
        <v>3831</v>
      </c>
      <c r="C271" s="4">
        <v>271</v>
      </c>
      <c r="D271" s="4">
        <v>73</v>
      </c>
      <c r="E271" s="4" t="s">
        <v>980</v>
      </c>
      <c r="F271" s="16">
        <v>45045</v>
      </c>
      <c r="G271" s="5" t="s">
        <v>979</v>
      </c>
      <c r="H271" s="5" t="s">
        <v>3754</v>
      </c>
      <c r="I271" s="24" t="str">
        <f>HYPERLINK("https://www.bilibili.com/video/BV1cs4y1w7Lv?p=73", "BV1cs4y1w7Lv?p=73")</f>
        <v>BV1cs4y1w7Lv?p=73</v>
      </c>
      <c r="J271" s="4" t="str">
        <f ca="1">_xlfn.IFNA(VLOOKUP(INDIRECT("G"&amp;ROW()),minfo!$A:$M,COLUMN()-8,0),"")</f>
        <v>寻一个天荒地老的地方</v>
      </c>
      <c r="K271" s="4" t="str">
        <f ca="1">_xlfn.IFNA(VLOOKUP(INDIRECT("G"&amp;ROW()),minfo!$A:$M,COLUMN()-8,0),"")</f>
        <v>单依纯</v>
      </c>
      <c r="L271" s="4">
        <f ca="1">_xlfn.IFNA(VLOOKUP(INDIRECT("G"&amp;ROW()),minfo!$A:$M,COLUMN()-8,0),"")</f>
        <v>0</v>
      </c>
      <c r="M271" s="4">
        <f ca="1">_xlfn.IFNA(VLOOKUP(INDIRECT("G"&amp;ROW()),minfo!$A:$M,COLUMN()-8,0),"")</f>
        <v>0</v>
      </c>
      <c r="N271" s="4">
        <f ca="1">_xlfn.IFNA(VLOOKUP(INDIRECT("G"&amp;ROW()),minfo!$A:$M,COLUMN()-8,0),"")</f>
        <v>0</v>
      </c>
      <c r="O271" s="4" t="str">
        <f ca="1">_xlfn.IFNA(VLOOKUP(INDIRECT("G"&amp;ROW()),minfo!$A:$M,COLUMN()-8,0),"")</f>
        <v>https://i0.hdslb.com/bfs/station_src/music_metadata/1baf91b2d2f204c468162a37d5dc6011.jpg</v>
      </c>
      <c r="P271" s="4" t="str">
        <f ca="1">_xlfn.IFNA(VLOOKUP(INDIRECT("G"&amp;ROW()),minfo!$A:$M,COLUMN()-8,0),"")</f>
        <v>https://i0.hdslb.com/bfs/station_src/music_metadata/e080f50db39ef189fa94151d5b77dc5d.txt</v>
      </c>
      <c r="Q271" s="4">
        <f ca="1">_xlfn.IFNA(VLOOKUP(INDIRECT("G"&amp;ROW()),minfo!$A:$M,COLUMN()-8,0),"")</f>
        <v>3</v>
      </c>
      <c r="R271" s="4">
        <f ca="1">_xlfn.IFNA(VLOOKUP(INDIRECT("G"&amp;ROW()),minfo!$A:$M,COLUMN()-8,0),"")</f>
        <v>0</v>
      </c>
      <c r="S271" s="4" t="str">
        <f ca="1">_xlfn.IFNA(VLOOKUP(INDIRECT("G"&amp;ROW()),minfo!$A:$M,COLUMN()-8,0),"")</f>
        <v>2020中国好声音 第8期</v>
      </c>
      <c r="T271" s="4">
        <f ca="1">_xlfn.IFNA(VLOOKUP(INDIRECT("G"&amp;ROW()),minfo!$A:$M,COLUMN()-8,0),"")</f>
        <v>1875423</v>
      </c>
      <c r="U271" s="4">
        <f ca="1">_xlfn.IFNA(VLOOKUP(INDIRECT("G"&amp;ROW()),minfo!$A:$M,COLUMN()-8,0),"")</f>
        <v>0</v>
      </c>
    </row>
    <row r="272" spans="1:21" ht="15.75" customHeight="1">
      <c r="A272" s="15">
        <v>271</v>
      </c>
      <c r="B272" s="4" t="s">
        <v>3832</v>
      </c>
      <c r="C272" s="4">
        <v>272</v>
      </c>
      <c r="D272" s="4">
        <v>74</v>
      </c>
      <c r="E272" s="4" t="s">
        <v>384</v>
      </c>
      <c r="F272" s="16">
        <v>45047</v>
      </c>
      <c r="G272" s="5" t="s">
        <v>383</v>
      </c>
      <c r="H272" s="5" t="s">
        <v>3754</v>
      </c>
      <c r="I272" s="24" t="str">
        <f>HYPERLINK("https://www.bilibili.com/video/BV1cs4y1w7Lv?p=74", "BV1cs4y1w7Lv?p=74")</f>
        <v>BV1cs4y1w7Lv?p=74</v>
      </c>
      <c r="J272" s="4" t="str">
        <f ca="1">_xlfn.IFNA(VLOOKUP(INDIRECT("G"&amp;ROW()),minfo!$A:$M,COLUMN()-8,0),"")</f>
        <v>恰好</v>
      </c>
      <c r="K272" s="4" t="str">
        <f ca="1">_xlfn.IFNA(VLOOKUP(INDIRECT("G"&amp;ROW()),minfo!$A:$M,COLUMN()-8,0),"")</f>
        <v>黄龄,李鑫一</v>
      </c>
      <c r="L272" s="4">
        <f ca="1">_xlfn.IFNA(VLOOKUP(INDIRECT("G"&amp;ROW()),minfo!$A:$M,COLUMN()-8,0),"")</f>
        <v>0</v>
      </c>
      <c r="M272" s="4">
        <f ca="1">_xlfn.IFNA(VLOOKUP(INDIRECT("G"&amp;ROW()),minfo!$A:$M,COLUMN()-8,0),"")</f>
        <v>0</v>
      </c>
      <c r="N272" s="4">
        <f ca="1">_xlfn.IFNA(VLOOKUP(INDIRECT("G"&amp;ROW()),minfo!$A:$M,COLUMN()-8,0),"")</f>
        <v>0</v>
      </c>
      <c r="O272" s="4" t="str">
        <f ca="1">_xlfn.IFNA(VLOOKUP(INDIRECT("G"&amp;ROW()),minfo!$A:$M,COLUMN()-8,0),"")</f>
        <v>https://i0.hdslb.com/bfs/station_src/music_metadata/4114b5dce4dc2e8fa6d696106a6624eb.jpg</v>
      </c>
      <c r="P272" s="4" t="str">
        <f ca="1">_xlfn.IFNA(VLOOKUP(INDIRECT("G"&amp;ROW()),minfo!$A:$M,COLUMN()-8,0),"")</f>
        <v>https://i0.hdslb.com/bfs/station_src/music_metadata/7105373054bbacbd0af01ee959bcd5e2.txt</v>
      </c>
      <c r="Q272" s="4">
        <f ca="1">_xlfn.IFNA(VLOOKUP(INDIRECT("G"&amp;ROW()),minfo!$A:$M,COLUMN()-8,0),"")</f>
        <v>0</v>
      </c>
      <c r="R272" s="4">
        <f ca="1">_xlfn.IFNA(VLOOKUP(INDIRECT("G"&amp;ROW()),minfo!$A:$M,COLUMN()-8,0),"")</f>
        <v>0</v>
      </c>
      <c r="S272" s="4" t="str">
        <f ca="1">_xlfn.IFNA(VLOOKUP(INDIRECT("G"&amp;ROW()),minfo!$A:$M,COLUMN()-8,0),"")</f>
        <v>天赐的声音第二季 第9期</v>
      </c>
      <c r="T272" s="4">
        <f ca="1">_xlfn.IFNA(VLOOKUP(INDIRECT("G"&amp;ROW()),minfo!$A:$M,COLUMN()-8,0),"")</f>
        <v>436159</v>
      </c>
      <c r="U272" s="4">
        <f ca="1">_xlfn.IFNA(VLOOKUP(INDIRECT("G"&amp;ROW()),minfo!$A:$M,COLUMN()-8,0),"")</f>
        <v>0</v>
      </c>
    </row>
    <row r="273" spans="1:21" ht="15.75" customHeight="1">
      <c r="A273" s="15">
        <v>272</v>
      </c>
      <c r="B273" s="4" t="s">
        <v>3833</v>
      </c>
      <c r="C273" s="4">
        <v>273</v>
      </c>
      <c r="D273" s="4">
        <v>75</v>
      </c>
      <c r="E273" s="4" t="s">
        <v>894</v>
      </c>
      <c r="F273" s="16">
        <v>45047</v>
      </c>
      <c r="G273" s="5" t="s">
        <v>893</v>
      </c>
      <c r="H273" s="5" t="s">
        <v>3754</v>
      </c>
      <c r="I273" s="24" t="str">
        <f>HYPERLINK("https://www.bilibili.com/video/BV1cs4y1w7Lv?p=75", "BV1cs4y1w7Lv?p=75")</f>
        <v>BV1cs4y1w7Lv?p=75</v>
      </c>
      <c r="J273" s="4" t="str">
        <f ca="1">_xlfn.IFNA(VLOOKUP(INDIRECT("G"&amp;ROW()),minfo!$A:$M,COLUMN()-8,0),"")</f>
        <v>星河叹</v>
      </c>
      <c r="K273" s="4" t="str">
        <f ca="1">_xlfn.IFNA(VLOOKUP(INDIRECT("G"&amp;ROW()),minfo!$A:$M,COLUMN()-8,0),"")</f>
        <v>黄龄</v>
      </c>
      <c r="L273" s="4">
        <f ca="1">_xlfn.IFNA(VLOOKUP(INDIRECT("G"&amp;ROW()),minfo!$A:$M,COLUMN()-8,0),"")</f>
        <v>0</v>
      </c>
      <c r="M273" s="4">
        <f ca="1">_xlfn.IFNA(VLOOKUP(INDIRECT("G"&amp;ROW()),minfo!$A:$M,COLUMN()-8,0),"")</f>
        <v>0</v>
      </c>
      <c r="N273" s="4">
        <f ca="1">_xlfn.IFNA(VLOOKUP(INDIRECT("G"&amp;ROW()),minfo!$A:$M,COLUMN()-8,0),"")</f>
        <v>0</v>
      </c>
      <c r="O273" s="4" t="str">
        <f ca="1">_xlfn.IFNA(VLOOKUP(INDIRECT("G"&amp;ROW()),minfo!$A:$M,COLUMN()-8,0),"")</f>
        <v>https://i0.hdslb.com/bfs/station_src/music_metadata/f3e960ffbb9dd3ffa3c10d67471b7cde.jpg</v>
      </c>
      <c r="P273" s="4" t="str">
        <f ca="1">_xlfn.IFNA(VLOOKUP(INDIRECT("G"&amp;ROW()),minfo!$A:$M,COLUMN()-8,0),"")</f>
        <v>http://i0.hdslb.com/bfs/station_src/music_metadata/6360e90a7e0e9e0a5a8afded3b15d213</v>
      </c>
      <c r="Q273" s="4">
        <f ca="1">_xlfn.IFNA(VLOOKUP(INDIRECT("G"&amp;ROW()),minfo!$A:$M,COLUMN()-8,0),"")</f>
        <v>3174</v>
      </c>
      <c r="R273" s="4" t="str">
        <f ca="1">_xlfn.IFNA(VLOOKUP(INDIRECT("G"&amp;ROW()),minfo!$A:$M,COLUMN()-8,0),"")</f>
        <v>《星汉灿烂》电视剧女主人物曲</v>
      </c>
      <c r="S273" s="4" t="str">
        <f ca="1">_xlfn.IFNA(VLOOKUP(INDIRECT("G"&amp;ROW()),minfo!$A:$M,COLUMN()-8,0),"")</f>
        <v>星河叹</v>
      </c>
      <c r="T273" s="4">
        <f ca="1">_xlfn.IFNA(VLOOKUP(INDIRECT("G"&amp;ROW()),minfo!$A:$M,COLUMN()-8,0),"")</f>
        <v>152096732</v>
      </c>
      <c r="U273" s="4">
        <f ca="1">_xlfn.IFNA(VLOOKUP(INDIRECT("G"&amp;ROW()),minfo!$A:$M,COLUMN()-8,0),"")</f>
        <v>0</v>
      </c>
    </row>
    <row r="274" spans="1:21" ht="15.75" customHeight="1">
      <c r="A274" s="15">
        <v>273</v>
      </c>
      <c r="B274" s="4" t="s">
        <v>3834</v>
      </c>
      <c r="C274" s="4">
        <v>274</v>
      </c>
      <c r="D274" s="4">
        <v>76</v>
      </c>
      <c r="E274" s="4" t="s">
        <v>934</v>
      </c>
      <c r="F274" s="16">
        <v>45047</v>
      </c>
      <c r="G274" s="5" t="s">
        <v>933</v>
      </c>
      <c r="H274" s="5" t="s">
        <v>3754</v>
      </c>
      <c r="I274" s="24" t="str">
        <f>HYPERLINK("https://www.bilibili.com/video/BV1cs4y1w7Lv?p=76", "BV1cs4y1w7Lv?p=76")</f>
        <v>BV1cs4y1w7Lv?p=76</v>
      </c>
      <c r="J274" s="4" t="str">
        <f ca="1">_xlfn.IFNA(VLOOKUP(INDIRECT("G"&amp;ROW()),minfo!$A:$M,COLUMN()-8,0),"")</f>
        <v>敕勒歌</v>
      </c>
      <c r="K274" s="4" t="str">
        <f ca="1">_xlfn.IFNA(VLOOKUP(INDIRECT("G"&amp;ROW()),minfo!$A:$M,COLUMN()-8,0),"")</f>
        <v>谭维维</v>
      </c>
      <c r="L274" s="4">
        <f ca="1">_xlfn.IFNA(VLOOKUP(INDIRECT("G"&amp;ROW()),minfo!$A:$M,COLUMN()-8,0),"")</f>
        <v>0</v>
      </c>
      <c r="M274" s="4">
        <f ca="1">_xlfn.IFNA(VLOOKUP(INDIRECT("G"&amp;ROW()),minfo!$A:$M,COLUMN()-8,0),"")</f>
        <v>0</v>
      </c>
      <c r="N274" s="4">
        <f ca="1">_xlfn.IFNA(VLOOKUP(INDIRECT("G"&amp;ROW()),minfo!$A:$M,COLUMN()-8,0),"")</f>
        <v>0</v>
      </c>
      <c r="O274" s="4" t="str">
        <f ca="1">_xlfn.IFNA(VLOOKUP(INDIRECT("G"&amp;ROW()),minfo!$A:$M,COLUMN()-8,0),"")</f>
        <v>https://i0.hdslb.com/bfs/station_src/music_metadata/4633e67685206de0672cc528709e3e2f.jpg</v>
      </c>
      <c r="P274" s="4" t="str">
        <f ca="1">_xlfn.IFNA(VLOOKUP(INDIRECT("G"&amp;ROW()),minfo!$A:$M,COLUMN()-8,0),"")</f>
        <v>https://i0.hdslb.com/bfs/station_src/music_metadata/dff7d3073b6cc36766c38942f1f4cf16.txt</v>
      </c>
      <c r="Q274" s="4">
        <f ca="1">_xlfn.IFNA(VLOOKUP(INDIRECT("G"&amp;ROW()),minfo!$A:$M,COLUMN()-8,0),"")</f>
        <v>382</v>
      </c>
      <c r="R274" s="4">
        <f ca="1">_xlfn.IFNA(VLOOKUP(INDIRECT("G"&amp;ROW()),minfo!$A:$M,COLUMN()-8,0),"")</f>
        <v>0</v>
      </c>
      <c r="S274" s="4" t="str">
        <f ca="1">_xlfn.IFNA(VLOOKUP(INDIRECT("G"&amp;ROW()),minfo!$A:$M,COLUMN()-8,0),"")</f>
        <v>经典咏流传第二季 第六期</v>
      </c>
      <c r="T274" s="4">
        <f ca="1">_xlfn.IFNA(VLOOKUP(INDIRECT("G"&amp;ROW()),minfo!$A:$M,COLUMN()-8,0),"")</f>
        <v>19549830</v>
      </c>
      <c r="U274" s="4">
        <f ca="1">_xlfn.IFNA(VLOOKUP(INDIRECT("G"&amp;ROW()),minfo!$A:$M,COLUMN()-8,0),"")</f>
        <v>0</v>
      </c>
    </row>
    <row r="275" spans="1:21" ht="15.75" customHeight="1">
      <c r="A275" s="15">
        <v>274</v>
      </c>
      <c r="B275" s="4" t="s">
        <v>3835</v>
      </c>
      <c r="C275" s="4">
        <v>275</v>
      </c>
      <c r="D275" s="4">
        <v>77</v>
      </c>
      <c r="E275" s="4" t="s">
        <v>985</v>
      </c>
      <c r="F275" s="16">
        <v>45047</v>
      </c>
      <c r="G275" s="5" t="s">
        <v>984</v>
      </c>
      <c r="H275" s="5" t="s">
        <v>3754</v>
      </c>
      <c r="I275" s="24" t="str">
        <f>HYPERLINK("https://www.bilibili.com/video/BV1cs4y1w7Lv?p=77", "BV1cs4y1w7Lv?p=77")</f>
        <v>BV1cs4y1w7Lv?p=77</v>
      </c>
      <c r="J275" s="4" t="str">
        <f ca="1">_xlfn.IFNA(VLOOKUP(INDIRECT("G"&amp;ROW()),minfo!$A:$M,COLUMN()-8,0),"")</f>
        <v>黑色幽默</v>
      </c>
      <c r="K275" s="4" t="str">
        <f ca="1">_xlfn.IFNA(VLOOKUP(INDIRECT("G"&amp;ROW()),minfo!$A:$M,COLUMN()-8,0),"")</f>
        <v>周杰伦</v>
      </c>
      <c r="L275" s="4">
        <f ca="1">_xlfn.IFNA(VLOOKUP(INDIRECT("G"&amp;ROW()),minfo!$A:$M,COLUMN()-8,0),"")</f>
        <v>0</v>
      </c>
      <c r="M275" s="4">
        <f ca="1">_xlfn.IFNA(VLOOKUP(INDIRECT("G"&amp;ROW()),minfo!$A:$M,COLUMN()-8,0),"")</f>
        <v>0</v>
      </c>
      <c r="N275" s="4">
        <f ca="1">_xlfn.IFNA(VLOOKUP(INDIRECT("G"&amp;ROW()),minfo!$A:$M,COLUMN()-8,0),"")</f>
        <v>0</v>
      </c>
      <c r="O275" s="4" t="str">
        <f ca="1">_xlfn.IFNA(VLOOKUP(INDIRECT("G"&amp;ROW()),minfo!$A:$M,COLUMN()-8,0),"")</f>
        <v>http://i0.hdslb.com/bfs/station_src/music_metadata/8b249713403b3d00ccd102426b9ebda9.jpg</v>
      </c>
      <c r="P275" s="4" t="str">
        <f ca="1">_xlfn.IFNA(VLOOKUP(INDIRECT("G"&amp;ROW()),minfo!$A:$M,COLUMN()-8,0),"")</f>
        <v>http://i0.hdslb.com/bfs/station_src/music_metadata/f8d85e0e293c6e2811bc4a179f6f1d41</v>
      </c>
      <c r="Q275" s="4">
        <f ca="1">_xlfn.IFNA(VLOOKUP(INDIRECT("G"&amp;ROW()),minfo!$A:$M,COLUMN()-8,0),"")</f>
        <v>1040</v>
      </c>
      <c r="R275" s="4">
        <f ca="1">_xlfn.IFNA(VLOOKUP(INDIRECT("G"&amp;ROW()),minfo!$A:$M,COLUMN()-8,0),"")</f>
        <v>0</v>
      </c>
      <c r="S275" s="4" t="str">
        <f ca="1">_xlfn.IFNA(VLOOKUP(INDIRECT("G"&amp;ROW()),minfo!$A:$M,COLUMN()-8,0),"")</f>
        <v>Jay</v>
      </c>
      <c r="T275" s="4">
        <f ca="1">_xlfn.IFNA(VLOOKUP(INDIRECT("G"&amp;ROW()),minfo!$A:$M,COLUMN()-8,0),"")</f>
        <v>294619498</v>
      </c>
      <c r="U275" s="4">
        <f ca="1">_xlfn.IFNA(VLOOKUP(INDIRECT("G"&amp;ROW()),minfo!$A:$M,COLUMN()-8,0),"")</f>
        <v>0</v>
      </c>
    </row>
    <row r="276" spans="1:21" ht="15.75" customHeight="1">
      <c r="A276" s="15">
        <v>275</v>
      </c>
      <c r="B276" s="4" t="s">
        <v>3836</v>
      </c>
      <c r="C276" s="4">
        <v>276</v>
      </c>
      <c r="D276" s="4">
        <v>78</v>
      </c>
      <c r="E276" s="4" t="s">
        <v>989</v>
      </c>
      <c r="F276" s="16">
        <v>45047</v>
      </c>
      <c r="G276" s="5" t="s">
        <v>988</v>
      </c>
      <c r="H276" s="5" t="s">
        <v>3754</v>
      </c>
      <c r="I276" s="24" t="str">
        <f>HYPERLINK("https://www.bilibili.com/video/BV1cs4y1w7Lv?p=78", "BV1cs4y1w7Lv?p=78")</f>
        <v>BV1cs4y1w7Lv?p=78</v>
      </c>
      <c r="J276" s="4" t="str">
        <f ca="1">_xlfn.IFNA(VLOOKUP(INDIRECT("G"&amp;ROW()),minfo!$A:$M,COLUMN()-8,0),"")</f>
        <v>我落泪情绪零碎</v>
      </c>
      <c r="K276" s="4" t="str">
        <f ca="1">_xlfn.IFNA(VLOOKUP(INDIRECT("G"&amp;ROW()),minfo!$A:$M,COLUMN()-8,0),"")</f>
        <v>周杰伦</v>
      </c>
      <c r="L276" s="4">
        <f ca="1">_xlfn.IFNA(VLOOKUP(INDIRECT("G"&amp;ROW()),minfo!$A:$M,COLUMN()-8,0),"")</f>
        <v>0</v>
      </c>
      <c r="M276" s="4">
        <f ca="1">_xlfn.IFNA(VLOOKUP(INDIRECT("G"&amp;ROW()),minfo!$A:$M,COLUMN()-8,0),"")</f>
        <v>0</v>
      </c>
      <c r="N276" s="4">
        <f ca="1">_xlfn.IFNA(VLOOKUP(INDIRECT("G"&amp;ROW()),minfo!$A:$M,COLUMN()-8,0),"")</f>
        <v>0</v>
      </c>
      <c r="O276" s="4" t="str">
        <f ca="1">_xlfn.IFNA(VLOOKUP(INDIRECT("G"&amp;ROW()),minfo!$A:$M,COLUMN()-8,0),"")</f>
        <v>https://i0.hdslb.com/bfs/station_src/music_metadata/c090e975b37d51a19f23549ae9b7344d.jpg</v>
      </c>
      <c r="P276" s="4" t="str">
        <f ca="1">_xlfn.IFNA(VLOOKUP(INDIRECT("G"&amp;ROW()),minfo!$A:$M,COLUMN()-8,0),"")</f>
        <v>http://i0.hdslb.com/bfs/station_src/music_metadata/84edd7241faa035334b93a365b512d07</v>
      </c>
      <c r="Q276" s="4">
        <f ca="1">_xlfn.IFNA(VLOOKUP(INDIRECT("G"&amp;ROW()),minfo!$A:$M,COLUMN()-8,0),"")</f>
        <v>6076</v>
      </c>
      <c r="R276" s="4">
        <f ca="1">_xlfn.IFNA(VLOOKUP(INDIRECT("G"&amp;ROW()),minfo!$A:$M,COLUMN()-8,0),"")</f>
        <v>0</v>
      </c>
      <c r="S276" s="4" t="str">
        <f ca="1">_xlfn.IFNA(VLOOKUP(INDIRECT("G"&amp;ROW()),minfo!$A:$M,COLUMN()-8,0),"")</f>
        <v>跨时代</v>
      </c>
      <c r="T276" s="4">
        <f ca="1">_xlfn.IFNA(VLOOKUP(INDIRECT("G"&amp;ROW()),minfo!$A:$M,COLUMN()-8,0),"")</f>
        <v>448639596</v>
      </c>
      <c r="U276" s="4">
        <f ca="1">_xlfn.IFNA(VLOOKUP(INDIRECT("G"&amp;ROW()),minfo!$A:$M,COLUMN()-8,0),"")</f>
        <v>0</v>
      </c>
    </row>
    <row r="277" spans="1:21" ht="15.75" customHeight="1">
      <c r="A277" s="15">
        <v>276</v>
      </c>
      <c r="B277" s="4" t="s">
        <v>3837</v>
      </c>
      <c r="C277" s="4">
        <v>277</v>
      </c>
      <c r="D277" s="4">
        <v>79</v>
      </c>
      <c r="E277" s="4" t="s">
        <v>918</v>
      </c>
      <c r="F277" s="16">
        <v>45048</v>
      </c>
      <c r="G277" s="5" t="s">
        <v>917</v>
      </c>
      <c r="H277" s="5" t="s">
        <v>3754</v>
      </c>
      <c r="I277" s="24" t="str">
        <f>HYPERLINK("https://www.bilibili.com/video/BV1cs4y1w7Lv?p=79", "BV1cs4y1w7Lv?p=79")</f>
        <v>BV1cs4y1w7Lv?p=79</v>
      </c>
      <c r="J277" s="4" t="str">
        <f ca="1">_xlfn.IFNA(VLOOKUP(INDIRECT("G"&amp;ROW()),minfo!$A:$M,COLUMN()-8,0),"")</f>
        <v>暗号</v>
      </c>
      <c r="K277" s="4" t="str">
        <f ca="1">_xlfn.IFNA(VLOOKUP(INDIRECT("G"&amp;ROW()),minfo!$A:$M,COLUMN()-8,0),"")</f>
        <v>周杰伦</v>
      </c>
      <c r="L277" s="4">
        <f ca="1">_xlfn.IFNA(VLOOKUP(INDIRECT("G"&amp;ROW()),minfo!$A:$M,COLUMN()-8,0),"")</f>
        <v>0</v>
      </c>
      <c r="M277" s="4">
        <f ca="1">_xlfn.IFNA(VLOOKUP(INDIRECT("G"&amp;ROW()),minfo!$A:$M,COLUMN()-8,0),"")</f>
        <v>0</v>
      </c>
      <c r="N277" s="4">
        <f ca="1">_xlfn.IFNA(VLOOKUP(INDIRECT("G"&amp;ROW()),minfo!$A:$M,COLUMN()-8,0),"")</f>
        <v>0</v>
      </c>
      <c r="O277" s="4" t="str">
        <f ca="1">_xlfn.IFNA(VLOOKUP(INDIRECT("G"&amp;ROW()),minfo!$A:$M,COLUMN()-8,0),"")</f>
        <v>https://i0.hdslb.com/bfs/station_src/music_metadata/836d7078552d6143b4a27f54a2a62598.jpg</v>
      </c>
      <c r="P277" s="4">
        <f ca="1">_xlfn.IFNA(VLOOKUP(INDIRECT("G"&amp;ROW()),minfo!$A:$M,COLUMN()-8,0),"")</f>
        <v>0</v>
      </c>
      <c r="Q277" s="4">
        <f ca="1">_xlfn.IFNA(VLOOKUP(INDIRECT("G"&amp;ROW()),minfo!$A:$M,COLUMN()-8,0),"")</f>
        <v>8346</v>
      </c>
      <c r="R277" s="4">
        <f ca="1">_xlfn.IFNA(VLOOKUP(INDIRECT("G"&amp;ROW()),minfo!$A:$M,COLUMN()-8,0),"")</f>
        <v>0</v>
      </c>
      <c r="S277" s="4" t="str">
        <f ca="1">_xlfn.IFNA(VLOOKUP(INDIRECT("G"&amp;ROW()),minfo!$A:$M,COLUMN()-8,0),"")</f>
        <v>八度空间</v>
      </c>
      <c r="T277" s="4">
        <f ca="1">_xlfn.IFNA(VLOOKUP(INDIRECT("G"&amp;ROW()),minfo!$A:$M,COLUMN()-8,0),"")</f>
        <v>445692889</v>
      </c>
      <c r="U277" s="4">
        <f ca="1">_xlfn.IFNA(VLOOKUP(INDIRECT("G"&amp;ROW()),minfo!$A:$M,COLUMN()-8,0),"")</f>
        <v>0</v>
      </c>
    </row>
    <row r="278" spans="1:21" ht="15.75" customHeight="1">
      <c r="A278" s="15">
        <v>277</v>
      </c>
      <c r="B278" s="4" t="s">
        <v>3838</v>
      </c>
      <c r="C278" s="4">
        <v>278</v>
      </c>
      <c r="D278" s="4">
        <v>80</v>
      </c>
      <c r="E278" s="4" t="s">
        <v>879</v>
      </c>
      <c r="F278" s="16">
        <v>45048</v>
      </c>
      <c r="G278" s="5" t="s">
        <v>878</v>
      </c>
      <c r="H278" s="5" t="s">
        <v>3754</v>
      </c>
      <c r="I278" s="24" t="str">
        <f>HYPERLINK("https://www.bilibili.com/video/BV1cs4y1w7Lv?p=80", "BV1cs4y1w7Lv?p=80")</f>
        <v>BV1cs4y1w7Lv?p=80</v>
      </c>
      <c r="J278" s="4" t="str">
        <f ca="1">_xlfn.IFNA(VLOOKUP(INDIRECT("G"&amp;ROW()),minfo!$A:$M,COLUMN()-8,0),"")</f>
        <v>发如雪</v>
      </c>
      <c r="K278" s="4" t="str">
        <f ca="1">_xlfn.IFNA(VLOOKUP(INDIRECT("G"&amp;ROW()),minfo!$A:$M,COLUMN()-8,0),"")</f>
        <v>周杰伦</v>
      </c>
      <c r="L278" s="4">
        <f ca="1">_xlfn.IFNA(VLOOKUP(INDIRECT("G"&amp;ROW()),minfo!$A:$M,COLUMN()-8,0),"")</f>
        <v>0</v>
      </c>
      <c r="M278" s="4">
        <f ca="1">_xlfn.IFNA(VLOOKUP(INDIRECT("G"&amp;ROW()),minfo!$A:$M,COLUMN()-8,0),"")</f>
        <v>0</v>
      </c>
      <c r="N278" s="4">
        <f ca="1">_xlfn.IFNA(VLOOKUP(INDIRECT("G"&amp;ROW()),minfo!$A:$M,COLUMN()-8,0),"")</f>
        <v>0</v>
      </c>
      <c r="O278" s="4" t="str">
        <f ca="1">_xlfn.IFNA(VLOOKUP(INDIRECT("G"&amp;ROW()),minfo!$A:$M,COLUMN()-8,0),"")</f>
        <v>https://i0.hdslb.com/bfs/station_src/music_metadata/4f19787695e451c7ec6f082affe19c57.jpg</v>
      </c>
      <c r="P278" s="4" t="str">
        <f ca="1">_xlfn.IFNA(VLOOKUP(INDIRECT("G"&amp;ROW()),minfo!$A:$M,COLUMN()-8,0),"")</f>
        <v>http://i0.hdslb.com/bfs/station_src/music_metadata/e48762ee9e6f3b4048f790c705f187cd</v>
      </c>
      <c r="Q278" s="4">
        <f ca="1">_xlfn.IFNA(VLOOKUP(INDIRECT("G"&amp;ROW()),minfo!$A:$M,COLUMN()-8,0),"")</f>
        <v>5236</v>
      </c>
      <c r="R278" s="4">
        <f ca="1">_xlfn.IFNA(VLOOKUP(INDIRECT("G"&amp;ROW()),minfo!$A:$M,COLUMN()-8,0),"")</f>
        <v>0</v>
      </c>
      <c r="S278" s="4" t="str">
        <f ca="1">_xlfn.IFNA(VLOOKUP(INDIRECT("G"&amp;ROW()),minfo!$A:$M,COLUMN()-8,0),"")</f>
        <v>十一月的萧邦</v>
      </c>
      <c r="T278" s="4">
        <f ca="1">_xlfn.IFNA(VLOOKUP(INDIRECT("G"&amp;ROW()),minfo!$A:$M,COLUMN()-8,0),"")</f>
        <v>561545897</v>
      </c>
      <c r="U278" s="4">
        <f ca="1">_xlfn.IFNA(VLOOKUP(INDIRECT("G"&amp;ROW()),minfo!$A:$M,COLUMN()-8,0),"")</f>
        <v>0</v>
      </c>
    </row>
    <row r="279" spans="1:21" ht="15.75" customHeight="1">
      <c r="A279" s="15">
        <v>278</v>
      </c>
      <c r="B279" s="4" t="s">
        <v>3839</v>
      </c>
      <c r="C279" s="4">
        <v>279</v>
      </c>
      <c r="D279" s="4">
        <v>81</v>
      </c>
      <c r="E279" s="4" t="s">
        <v>640</v>
      </c>
      <c r="F279" s="16">
        <v>45048</v>
      </c>
      <c r="G279" s="5" t="s">
        <v>838</v>
      </c>
      <c r="H279" s="5" t="s">
        <v>3754</v>
      </c>
      <c r="I279" s="24" t="str">
        <f>HYPERLINK("https://www.bilibili.com/video/BV1cs4y1w7Lv?p=81", "BV1cs4y1w7Lv?p=81")</f>
        <v>BV1cs4y1w7Lv?p=81</v>
      </c>
      <c r="J279" s="4" t="str">
        <f ca="1">_xlfn.IFNA(VLOOKUP(INDIRECT("G"&amp;ROW()),minfo!$A:$M,COLUMN()-8,0),"")</f>
        <v>七里香</v>
      </c>
      <c r="K279" s="4" t="str">
        <f ca="1">_xlfn.IFNA(VLOOKUP(INDIRECT("G"&amp;ROW()),minfo!$A:$M,COLUMN()-8,0),"")</f>
        <v>周杰伦</v>
      </c>
      <c r="L279" s="4">
        <f ca="1">_xlfn.IFNA(VLOOKUP(INDIRECT("G"&amp;ROW()),minfo!$A:$M,COLUMN()-8,0),"")</f>
        <v>0</v>
      </c>
      <c r="M279" s="4">
        <f ca="1">_xlfn.IFNA(VLOOKUP(INDIRECT("G"&amp;ROW()),minfo!$A:$M,COLUMN()-8,0),"")</f>
        <v>6714</v>
      </c>
      <c r="N279" s="4">
        <f ca="1">_xlfn.IFNA(VLOOKUP(INDIRECT("G"&amp;ROW()),minfo!$A:$M,COLUMN()-8,0),"")</f>
        <v>200</v>
      </c>
      <c r="O279" s="4" t="str">
        <f ca="1">_xlfn.IFNA(VLOOKUP(INDIRECT("G"&amp;ROW()),minfo!$A:$M,COLUMN()-8,0),"")</f>
        <v>https://i0.hdslb.com/bfs/station_src/music_metadata/cc542b9d467cfc48aecb420fa38f29a5.jpg</v>
      </c>
      <c r="P279" s="4">
        <f ca="1">_xlfn.IFNA(VLOOKUP(INDIRECT("G"&amp;ROW()),minfo!$A:$M,COLUMN()-8,0),"")</f>
        <v>0</v>
      </c>
      <c r="Q279" s="4">
        <f ca="1">_xlfn.IFNA(VLOOKUP(INDIRECT("G"&amp;ROW()),minfo!$A:$M,COLUMN()-8,0),"")</f>
        <v>13878</v>
      </c>
      <c r="R279" s="4">
        <f ca="1">_xlfn.IFNA(VLOOKUP(INDIRECT("G"&amp;ROW()),minfo!$A:$M,COLUMN()-8,0),"")</f>
        <v>0</v>
      </c>
      <c r="S279" s="4" t="str">
        <f ca="1">_xlfn.IFNA(VLOOKUP(INDIRECT("G"&amp;ROW()),minfo!$A:$M,COLUMN()-8,0),"")</f>
        <v>七里香</v>
      </c>
      <c r="T279" s="4">
        <f ca="1">_xlfn.IFNA(VLOOKUP(INDIRECT("G"&amp;ROW()),minfo!$A:$M,COLUMN()-8,0),"")</f>
        <v>1124988076</v>
      </c>
      <c r="U279" s="4" t="str">
        <f ca="1">_xlfn.IFNA(VLOOKUP(INDIRECT("G"&amp;ROW()),minfo!$A:$M,COLUMN()-8,0),"")</f>
        <v>音乐榜最高NO.17</v>
      </c>
    </row>
    <row r="280" spans="1:21" ht="15.75" customHeight="1">
      <c r="A280" s="15">
        <v>279</v>
      </c>
      <c r="B280" s="4" t="s">
        <v>3840</v>
      </c>
      <c r="C280" s="4">
        <v>280</v>
      </c>
      <c r="D280" s="4">
        <v>82</v>
      </c>
      <c r="E280" s="4" t="s">
        <v>994</v>
      </c>
      <c r="F280" s="16">
        <v>45048</v>
      </c>
      <c r="G280" s="5" t="s">
        <v>993</v>
      </c>
      <c r="H280" s="5" t="s">
        <v>3754</v>
      </c>
      <c r="I280" s="24" t="str">
        <f>HYPERLINK("https://www.bilibili.com/video/BV1cs4y1w7Lv?p=82", "BV1cs4y1w7Lv?p=82")</f>
        <v>BV1cs4y1w7Lv?p=82</v>
      </c>
      <c r="J280" s="4" t="str">
        <f ca="1">_xlfn.IFNA(VLOOKUP(INDIRECT("G"&amp;ROW()),minfo!$A:$M,COLUMN()-8,0),"")</f>
        <v>千里之外</v>
      </c>
      <c r="K280" s="4" t="str">
        <f ca="1">_xlfn.IFNA(VLOOKUP(INDIRECT("G"&amp;ROW()),minfo!$A:$M,COLUMN()-8,0),"")</f>
        <v>周杰伦,费玉清</v>
      </c>
      <c r="L280" s="4">
        <f ca="1">_xlfn.IFNA(VLOOKUP(INDIRECT("G"&amp;ROW()),minfo!$A:$M,COLUMN()-8,0),"")</f>
        <v>0</v>
      </c>
      <c r="M280" s="4">
        <f ca="1">_xlfn.IFNA(VLOOKUP(INDIRECT("G"&amp;ROW()),minfo!$A:$M,COLUMN()-8,0),"")</f>
        <v>0</v>
      </c>
      <c r="N280" s="4">
        <f ca="1">_xlfn.IFNA(VLOOKUP(INDIRECT("G"&amp;ROW()),minfo!$A:$M,COLUMN()-8,0),"")</f>
        <v>0</v>
      </c>
      <c r="O280" s="4" t="str">
        <f ca="1">_xlfn.IFNA(VLOOKUP(INDIRECT("G"&amp;ROW()),minfo!$A:$M,COLUMN()-8,0),"")</f>
        <v>https://i0.hdslb.com/bfs/station_src/music_metadata/93cc2943c40bbf6990bd9e0adeabafe2.jpg</v>
      </c>
      <c r="P280" s="4" t="str">
        <f ca="1">_xlfn.IFNA(VLOOKUP(INDIRECT("G"&amp;ROW()),minfo!$A:$M,COLUMN()-8,0),"")</f>
        <v>http://i0.hdslb.com/bfs/station_src/music_metadata/e8ad99f703c7b523f52b890a4f1946c1</v>
      </c>
      <c r="Q280" s="4">
        <f ca="1">_xlfn.IFNA(VLOOKUP(INDIRECT("G"&amp;ROW()),minfo!$A:$M,COLUMN()-8,0),"")</f>
        <v>1217</v>
      </c>
      <c r="R280" s="4">
        <f ca="1">_xlfn.IFNA(VLOOKUP(INDIRECT("G"&amp;ROW()),minfo!$A:$M,COLUMN()-8,0),"")</f>
        <v>0</v>
      </c>
      <c r="S280" s="4" t="str">
        <f ca="1">_xlfn.IFNA(VLOOKUP(INDIRECT("G"&amp;ROW()),minfo!$A:$M,COLUMN()-8,0),"")</f>
        <v>依然范特西</v>
      </c>
      <c r="T280" s="4">
        <f ca="1">_xlfn.IFNA(VLOOKUP(INDIRECT("G"&amp;ROW()),minfo!$A:$M,COLUMN()-8,0),"")</f>
        <v>391200362</v>
      </c>
      <c r="U280" s="4">
        <f ca="1">_xlfn.IFNA(VLOOKUP(INDIRECT("G"&amp;ROW()),minfo!$A:$M,COLUMN()-8,0),"")</f>
        <v>0</v>
      </c>
    </row>
    <row r="281" spans="1:21" ht="15.75" customHeight="1">
      <c r="A281" s="15">
        <v>280</v>
      </c>
      <c r="B281" s="4" t="s">
        <v>3841</v>
      </c>
      <c r="C281" s="4">
        <v>281</v>
      </c>
      <c r="D281" s="4">
        <v>83</v>
      </c>
      <c r="E281" s="4" t="s">
        <v>994</v>
      </c>
      <c r="F281" s="16">
        <v>45048</v>
      </c>
      <c r="G281" s="5" t="s">
        <v>993</v>
      </c>
      <c r="H281" s="5" t="s">
        <v>3754</v>
      </c>
      <c r="I281" s="24" t="str">
        <f>HYPERLINK("https://www.bilibili.com/video/BV1cs4y1w7Lv?p=83", "BV1cs4y1w7Lv?p=83")</f>
        <v>BV1cs4y1w7Lv?p=83</v>
      </c>
      <c r="J281" s="4" t="str">
        <f ca="1">_xlfn.IFNA(VLOOKUP(INDIRECT("G"&amp;ROW()),minfo!$A:$M,COLUMN()-8,0),"")</f>
        <v>千里之外</v>
      </c>
      <c r="K281" s="4" t="str">
        <f ca="1">_xlfn.IFNA(VLOOKUP(INDIRECT("G"&amp;ROW()),minfo!$A:$M,COLUMN()-8,0),"")</f>
        <v>周杰伦,费玉清</v>
      </c>
      <c r="L281" s="4">
        <f ca="1">_xlfn.IFNA(VLOOKUP(INDIRECT("G"&amp;ROW()),minfo!$A:$M,COLUMN()-8,0),"")</f>
        <v>0</v>
      </c>
      <c r="M281" s="4">
        <f ca="1">_xlfn.IFNA(VLOOKUP(INDIRECT("G"&amp;ROW()),minfo!$A:$M,COLUMN()-8,0),"")</f>
        <v>0</v>
      </c>
      <c r="N281" s="4">
        <f ca="1">_xlfn.IFNA(VLOOKUP(INDIRECT("G"&amp;ROW()),minfo!$A:$M,COLUMN()-8,0),"")</f>
        <v>0</v>
      </c>
      <c r="O281" s="4" t="str">
        <f ca="1">_xlfn.IFNA(VLOOKUP(INDIRECT("G"&amp;ROW()),minfo!$A:$M,COLUMN()-8,0),"")</f>
        <v>https://i0.hdslb.com/bfs/station_src/music_metadata/93cc2943c40bbf6990bd9e0adeabafe2.jpg</v>
      </c>
      <c r="P281" s="4" t="str">
        <f ca="1">_xlfn.IFNA(VLOOKUP(INDIRECT("G"&amp;ROW()),minfo!$A:$M,COLUMN()-8,0),"")</f>
        <v>http://i0.hdslb.com/bfs/station_src/music_metadata/e8ad99f703c7b523f52b890a4f1946c1</v>
      </c>
      <c r="Q281" s="4">
        <f ca="1">_xlfn.IFNA(VLOOKUP(INDIRECT("G"&amp;ROW()),minfo!$A:$M,COLUMN()-8,0),"")</f>
        <v>1217</v>
      </c>
      <c r="R281" s="4">
        <f ca="1">_xlfn.IFNA(VLOOKUP(INDIRECT("G"&amp;ROW()),minfo!$A:$M,COLUMN()-8,0),"")</f>
        <v>0</v>
      </c>
      <c r="S281" s="4" t="str">
        <f ca="1">_xlfn.IFNA(VLOOKUP(INDIRECT("G"&amp;ROW()),minfo!$A:$M,COLUMN()-8,0),"")</f>
        <v>依然范特西</v>
      </c>
      <c r="T281" s="4">
        <f ca="1">_xlfn.IFNA(VLOOKUP(INDIRECT("G"&amp;ROW()),minfo!$A:$M,COLUMN()-8,0),"")</f>
        <v>391200362</v>
      </c>
      <c r="U281" s="4">
        <f ca="1">_xlfn.IFNA(VLOOKUP(INDIRECT("G"&amp;ROW()),minfo!$A:$M,COLUMN()-8,0),"")</f>
        <v>0</v>
      </c>
    </row>
    <row r="282" spans="1:21" ht="15.75" customHeight="1">
      <c r="A282" s="15">
        <v>281</v>
      </c>
      <c r="B282" s="4" t="s">
        <v>3842</v>
      </c>
      <c r="C282" s="4">
        <v>282</v>
      </c>
      <c r="D282" s="4">
        <v>84</v>
      </c>
      <c r="E282" s="4" t="s">
        <v>999</v>
      </c>
      <c r="F282" s="16">
        <v>45051</v>
      </c>
      <c r="G282" s="5" t="s">
        <v>998</v>
      </c>
      <c r="H282" s="5" t="s">
        <v>3754</v>
      </c>
      <c r="I282" s="24" t="str">
        <f>HYPERLINK("https://www.bilibili.com/video/BV1cs4y1w7Lv?p=84", "BV1cs4y1w7Lv?p=84")</f>
        <v>BV1cs4y1w7Lv?p=84</v>
      </c>
      <c r="J282" s="4" t="str">
        <f ca="1">_xlfn.IFNA(VLOOKUP(INDIRECT("G"&amp;ROW()),minfo!$A:$M,COLUMN()-8,0),"")</f>
        <v>被雨伤透</v>
      </c>
      <c r="K282" s="4" t="str">
        <f ca="1">_xlfn.IFNA(VLOOKUP(INDIRECT("G"&amp;ROW()),minfo!$A:$M,COLUMN()-8,0),"")</f>
        <v>吴青峰,魏如萱</v>
      </c>
      <c r="L282" s="4">
        <f ca="1">_xlfn.IFNA(VLOOKUP(INDIRECT("G"&amp;ROW()),minfo!$A:$M,COLUMN()-8,0),"")</f>
        <v>0</v>
      </c>
      <c r="M282" s="4">
        <f ca="1">_xlfn.IFNA(VLOOKUP(INDIRECT("G"&amp;ROW()),minfo!$A:$M,COLUMN()-8,0),"")</f>
        <v>0</v>
      </c>
      <c r="N282" s="4">
        <f ca="1">_xlfn.IFNA(VLOOKUP(INDIRECT("G"&amp;ROW()),minfo!$A:$M,COLUMN()-8,0),"")</f>
        <v>0</v>
      </c>
      <c r="O282" s="4" t="str">
        <f ca="1">_xlfn.IFNA(VLOOKUP(INDIRECT("G"&amp;ROW()),minfo!$A:$M,COLUMN()-8,0),"")</f>
        <v>https://i0.hdslb.com/bfs/station_src/music_metadata/d22f3e3598e98857066bc1a174a2315a.jpg</v>
      </c>
      <c r="P282" s="4" t="str">
        <f ca="1">_xlfn.IFNA(VLOOKUP(INDIRECT("G"&amp;ROW()),minfo!$A:$M,COLUMN()-8,0),"")</f>
        <v>https://i0.hdslb.com/bfs/station_src/music_metadata/d836815445f434a39f9a908e968c9410.txt</v>
      </c>
      <c r="Q282" s="4">
        <f ca="1">_xlfn.IFNA(VLOOKUP(INDIRECT("G"&amp;ROW()),minfo!$A:$M,COLUMN()-8,0),"")</f>
        <v>1</v>
      </c>
      <c r="R282" s="4">
        <f ca="1">_xlfn.IFNA(VLOOKUP(INDIRECT("G"&amp;ROW()),minfo!$A:$M,COLUMN()-8,0),"")</f>
        <v>0</v>
      </c>
      <c r="S282" s="4" t="str">
        <f ca="1">_xlfn.IFNA(VLOOKUP(INDIRECT("G"&amp;ROW()),minfo!$A:$M,COLUMN()-8,0),"")</f>
        <v>几米向左走.向右走 音乐剧配乐原声带</v>
      </c>
      <c r="T282" s="4">
        <f ca="1">_xlfn.IFNA(VLOOKUP(INDIRECT("G"&amp;ROW()),minfo!$A:$M,COLUMN()-8,0),"")</f>
        <v>230857</v>
      </c>
      <c r="U282" s="4">
        <f ca="1">_xlfn.IFNA(VLOOKUP(INDIRECT("G"&amp;ROW()),minfo!$A:$M,COLUMN()-8,0),"")</f>
        <v>0</v>
      </c>
    </row>
    <row r="283" spans="1:21" ht="15.75" customHeight="1">
      <c r="A283" s="15">
        <v>282</v>
      </c>
      <c r="B283" s="4" t="s">
        <v>3843</v>
      </c>
      <c r="C283" s="4">
        <v>283</v>
      </c>
      <c r="D283" s="4">
        <v>85</v>
      </c>
      <c r="E283" s="4" t="s">
        <v>465</v>
      </c>
      <c r="F283" s="16">
        <v>45051</v>
      </c>
      <c r="G283" s="5" t="s">
        <v>464</v>
      </c>
      <c r="H283" s="5" t="s">
        <v>3754</v>
      </c>
      <c r="I283" s="24" t="str">
        <f>HYPERLINK("https://www.bilibili.com/video/BV1cs4y1w7Lv?p=85", "BV1cs4y1w7Lv?p=85")</f>
        <v>BV1cs4y1w7Lv?p=85</v>
      </c>
      <c r="J283" s="4" t="str">
        <f ca="1">_xlfn.IFNA(VLOOKUP(INDIRECT("G"&amp;ROW()),minfo!$A:$M,COLUMN()-8,0),"")</f>
        <v>去有风的地方</v>
      </c>
      <c r="K283" s="4" t="str">
        <f ca="1">_xlfn.IFNA(VLOOKUP(INDIRECT("G"&amp;ROW()),minfo!$A:$M,COLUMN()-8,0),"")</f>
        <v>郁可唯</v>
      </c>
      <c r="L283" s="4">
        <f ca="1">_xlfn.IFNA(VLOOKUP(INDIRECT("G"&amp;ROW()),minfo!$A:$M,COLUMN()-8,0),"")</f>
        <v>0</v>
      </c>
      <c r="M283" s="4">
        <f ca="1">_xlfn.IFNA(VLOOKUP(INDIRECT("G"&amp;ROW()),minfo!$A:$M,COLUMN()-8,0),"")</f>
        <v>0</v>
      </c>
      <c r="N283" s="4">
        <f ca="1">_xlfn.IFNA(VLOOKUP(INDIRECT("G"&amp;ROW()),minfo!$A:$M,COLUMN()-8,0),"")</f>
        <v>0</v>
      </c>
      <c r="O283" s="4" t="str">
        <f ca="1">_xlfn.IFNA(VLOOKUP(INDIRECT("G"&amp;ROW()),minfo!$A:$M,COLUMN()-8,0),"")</f>
        <v>http://i0.hdslb.com/bfs/station_src/music_metadata/b093843de254f8f99076be76300b8733.jpg</v>
      </c>
      <c r="P283" s="4">
        <f ca="1">_xlfn.IFNA(VLOOKUP(INDIRECT("G"&amp;ROW()),minfo!$A:$M,COLUMN()-8,0),"")</f>
        <v>0</v>
      </c>
      <c r="Q283" s="4">
        <f ca="1">_xlfn.IFNA(VLOOKUP(INDIRECT("G"&amp;ROW()),minfo!$A:$M,COLUMN()-8,0),"")</f>
        <v>1229</v>
      </c>
      <c r="R283" s="4">
        <f ca="1">_xlfn.IFNA(VLOOKUP(INDIRECT("G"&amp;ROW()),minfo!$A:$M,COLUMN()-8,0),"")</f>
        <v>0</v>
      </c>
      <c r="S283" s="4" t="str">
        <f ca="1">_xlfn.IFNA(VLOOKUP(INDIRECT("G"&amp;ROW()),minfo!$A:$M,COLUMN()-8,0),"")</f>
        <v>去有风的地方</v>
      </c>
      <c r="T283" s="4">
        <f ca="1">_xlfn.IFNA(VLOOKUP(INDIRECT("G"&amp;ROW()),minfo!$A:$M,COLUMN()-8,0),"")</f>
        <v>77607898</v>
      </c>
      <c r="U283" s="4" t="str">
        <f ca="1">_xlfn.IFNA(VLOOKUP(INDIRECT("G"&amp;ROW()),minfo!$A:$M,COLUMN()-8,0),"")</f>
        <v>音乐榜最高NO.19</v>
      </c>
    </row>
    <row r="284" spans="1:21" ht="15.75" customHeight="1">
      <c r="A284" s="15">
        <v>283</v>
      </c>
      <c r="B284" s="4" t="s">
        <v>3844</v>
      </c>
      <c r="C284" s="4">
        <v>284</v>
      </c>
      <c r="D284" s="4">
        <v>86</v>
      </c>
      <c r="E284" s="4" t="s">
        <v>954</v>
      </c>
      <c r="F284" s="16">
        <v>45051</v>
      </c>
      <c r="G284" s="5" t="s">
        <v>953</v>
      </c>
      <c r="H284" s="5" t="s">
        <v>3754</v>
      </c>
      <c r="I284" s="24" t="str">
        <f>HYPERLINK("https://www.bilibili.com/video/BV1cs4y1w7Lv?p=86", "BV1cs4y1w7Lv?p=86")</f>
        <v>BV1cs4y1w7Lv?p=86</v>
      </c>
      <c r="J284" s="4" t="str">
        <f ca="1">_xlfn.IFNA(VLOOKUP(INDIRECT("G"&amp;ROW()),minfo!$A:$M,COLUMN()-8,0),"")</f>
        <v>烟火</v>
      </c>
      <c r="K284" s="4" t="str">
        <f ca="1">_xlfn.IFNA(VLOOKUP(INDIRECT("G"&amp;ROW()),minfo!$A:$M,COLUMN()-8,0),"")</f>
        <v>吴奇隆</v>
      </c>
      <c r="L284" s="4">
        <f ca="1">_xlfn.IFNA(VLOOKUP(INDIRECT("G"&amp;ROW()),minfo!$A:$M,COLUMN()-8,0),"")</f>
        <v>0</v>
      </c>
      <c r="M284" s="4">
        <f ca="1">_xlfn.IFNA(VLOOKUP(INDIRECT("G"&amp;ROW()),minfo!$A:$M,COLUMN()-8,0),"")</f>
        <v>0</v>
      </c>
      <c r="N284" s="4">
        <f ca="1">_xlfn.IFNA(VLOOKUP(INDIRECT("G"&amp;ROW()),minfo!$A:$M,COLUMN()-8,0),"")</f>
        <v>0</v>
      </c>
      <c r="O284" s="4" t="str">
        <f ca="1">_xlfn.IFNA(VLOOKUP(INDIRECT("G"&amp;ROW()),minfo!$A:$M,COLUMN()-8,0),"")</f>
        <v>https://i0.hdslb.com/bfs/station_src/music_metadata/95c35061d785d539a7bbbca16d88238c.jpg</v>
      </c>
      <c r="P284" s="4" t="str">
        <f ca="1">_xlfn.IFNA(VLOOKUP(INDIRECT("G"&amp;ROW()),minfo!$A:$M,COLUMN()-8,0),"")</f>
        <v>http://i0.hdslb.com/bfs/station_src/music_metadata/7ad4bd4d867e08361276977fec9ca4b6</v>
      </c>
      <c r="Q284" s="4">
        <f ca="1">_xlfn.IFNA(VLOOKUP(INDIRECT("G"&amp;ROW()),minfo!$A:$M,COLUMN()-8,0),"")</f>
        <v>41</v>
      </c>
      <c r="R284" s="4">
        <f ca="1">_xlfn.IFNA(VLOOKUP(INDIRECT("G"&amp;ROW()),minfo!$A:$M,COLUMN()-8,0),"")</f>
        <v>0</v>
      </c>
      <c r="S284" s="4" t="str">
        <f ca="1">_xlfn.IFNA(VLOOKUP(INDIRECT("G"&amp;ROW()),minfo!$A:$M,COLUMN()-8,0),"")</f>
        <v>追梦</v>
      </c>
      <c r="T284" s="4">
        <f ca="1">_xlfn.IFNA(VLOOKUP(INDIRECT("G"&amp;ROW()),minfo!$A:$M,COLUMN()-8,0),"")</f>
        <v>24033103</v>
      </c>
      <c r="U284" s="4">
        <f ca="1">_xlfn.IFNA(VLOOKUP(INDIRECT("G"&amp;ROW()),minfo!$A:$M,COLUMN()-8,0),"")</f>
        <v>0</v>
      </c>
    </row>
    <row r="285" spans="1:21" ht="15.75" customHeight="1">
      <c r="A285" s="15">
        <v>284</v>
      </c>
      <c r="B285" s="4" t="s">
        <v>3845</v>
      </c>
      <c r="C285" s="4">
        <v>285</v>
      </c>
      <c r="D285" s="4">
        <v>87</v>
      </c>
      <c r="E285" s="4" t="s">
        <v>1005</v>
      </c>
      <c r="F285" s="16">
        <v>45051</v>
      </c>
      <c r="G285" s="5" t="s">
        <v>1004</v>
      </c>
      <c r="H285" s="5" t="s">
        <v>3754</v>
      </c>
      <c r="I285" s="24" t="str">
        <f>HYPERLINK("https://www.bilibili.com/video/BV1cs4y1w7Lv?p=87", "BV1cs4y1w7Lv?p=87")</f>
        <v>BV1cs4y1w7Lv?p=87</v>
      </c>
      <c r="J285" s="4" t="str">
        <f ca="1">_xlfn.IFNA(VLOOKUP(INDIRECT("G"&amp;ROW()),minfo!$A:$M,COLUMN()-8,0),"")</f>
        <v>如果有来生</v>
      </c>
      <c r="K285" s="4" t="str">
        <f ca="1">_xlfn.IFNA(VLOOKUP(INDIRECT("G"&amp;ROW()),minfo!$A:$M,COLUMN()-8,0),"")</f>
        <v>谭维维</v>
      </c>
      <c r="L285" s="4">
        <f ca="1">_xlfn.IFNA(VLOOKUP(INDIRECT("G"&amp;ROW()),minfo!$A:$M,COLUMN()-8,0),"")</f>
        <v>0</v>
      </c>
      <c r="M285" s="4">
        <f ca="1">_xlfn.IFNA(VLOOKUP(INDIRECT("G"&amp;ROW()),minfo!$A:$M,COLUMN()-8,0),"")</f>
        <v>0</v>
      </c>
      <c r="N285" s="4">
        <f ca="1">_xlfn.IFNA(VLOOKUP(INDIRECT("G"&amp;ROW()),minfo!$A:$M,COLUMN()-8,0),"")</f>
        <v>0</v>
      </c>
      <c r="O285" s="4" t="str">
        <f ca="1">_xlfn.IFNA(VLOOKUP(INDIRECT("G"&amp;ROW()),minfo!$A:$M,COLUMN()-8,0),"")</f>
        <v>https://i0.hdslb.com/bfs/station_src/music_metadata/e2cfe88bc057d9c01d2360f94c6d6006.jpg</v>
      </c>
      <c r="P285" s="4" t="str">
        <f ca="1">_xlfn.IFNA(VLOOKUP(INDIRECT("G"&amp;ROW()),minfo!$A:$M,COLUMN()-8,0),"")</f>
        <v>https://i0.hdslb.com/bfs/station_src/music_metadata/accd124b120d284323dbfb2e1955f047.txt</v>
      </c>
      <c r="Q285" s="4">
        <f ca="1">_xlfn.IFNA(VLOOKUP(INDIRECT("G"&amp;ROW()),minfo!$A:$M,COLUMN()-8,0),"")</f>
        <v>251</v>
      </c>
      <c r="R285" s="4">
        <f ca="1">_xlfn.IFNA(VLOOKUP(INDIRECT("G"&amp;ROW()),minfo!$A:$M,COLUMN()-8,0),"")</f>
        <v>0</v>
      </c>
      <c r="S285" s="4" t="str">
        <f ca="1">_xlfn.IFNA(VLOOKUP(INDIRECT("G"&amp;ROW()),minfo!$A:$M,COLUMN()-8,0),"")</f>
        <v>谭某某</v>
      </c>
      <c r="T285" s="4">
        <f ca="1">_xlfn.IFNA(VLOOKUP(INDIRECT("G"&amp;ROW()),minfo!$A:$M,COLUMN()-8,0),"")</f>
        <v>55662569</v>
      </c>
      <c r="U285" s="4">
        <f ca="1">_xlfn.IFNA(VLOOKUP(INDIRECT("G"&amp;ROW()),minfo!$A:$M,COLUMN()-8,0),"")</f>
        <v>0</v>
      </c>
    </row>
    <row r="286" spans="1:21" ht="15.75" customHeight="1">
      <c r="A286" s="15">
        <v>285</v>
      </c>
      <c r="B286" s="4" t="s">
        <v>3846</v>
      </c>
      <c r="C286" s="4">
        <v>286</v>
      </c>
      <c r="D286" s="4">
        <v>88</v>
      </c>
      <c r="E286" s="4" t="s">
        <v>1010</v>
      </c>
      <c r="F286" s="16">
        <v>45051</v>
      </c>
      <c r="G286" s="5" t="s">
        <v>1009</v>
      </c>
      <c r="H286" s="5" t="s">
        <v>3754</v>
      </c>
      <c r="I286" s="24" t="str">
        <f>HYPERLINK("https://www.bilibili.com/video/BV1cs4y1w7Lv?p=88", "BV1cs4y1w7Lv?p=88")</f>
        <v>BV1cs4y1w7Lv?p=88</v>
      </c>
      <c r="J286" s="4" t="str">
        <f ca="1">_xlfn.IFNA(VLOOKUP(INDIRECT("G"&amp;ROW()),minfo!$A:$M,COLUMN()-8,0),"")</f>
        <v>黑色毛衣</v>
      </c>
      <c r="K286" s="4" t="str">
        <f ca="1">_xlfn.IFNA(VLOOKUP(INDIRECT("G"&amp;ROW()),minfo!$A:$M,COLUMN()-8,0),"")</f>
        <v>周杰伦</v>
      </c>
      <c r="L286" s="4">
        <f ca="1">_xlfn.IFNA(VLOOKUP(INDIRECT("G"&amp;ROW()),minfo!$A:$M,COLUMN()-8,0),"")</f>
        <v>0</v>
      </c>
      <c r="M286" s="4">
        <f ca="1">_xlfn.IFNA(VLOOKUP(INDIRECT("G"&amp;ROW()),minfo!$A:$M,COLUMN()-8,0),"")</f>
        <v>0</v>
      </c>
      <c r="N286" s="4">
        <f ca="1">_xlfn.IFNA(VLOOKUP(INDIRECT("G"&amp;ROW()),minfo!$A:$M,COLUMN()-8,0),"")</f>
        <v>0</v>
      </c>
      <c r="O286" s="4" t="str">
        <f ca="1">_xlfn.IFNA(VLOOKUP(INDIRECT("G"&amp;ROW()),minfo!$A:$M,COLUMN()-8,0),"")</f>
        <v>https://i0.hdslb.com/bfs/station_src/music_metadata/d177abbc80cfe554a91bcd9e69d8da51.jpg</v>
      </c>
      <c r="P286" s="4" t="str">
        <f ca="1">_xlfn.IFNA(VLOOKUP(INDIRECT("G"&amp;ROW()),minfo!$A:$M,COLUMN()-8,0),"")</f>
        <v>http://i0.hdslb.com/bfs/station_src/music_metadata/87ffce3db53d0d821f19079333c6109c</v>
      </c>
      <c r="Q286" s="4">
        <f ca="1">_xlfn.IFNA(VLOOKUP(INDIRECT("G"&amp;ROW()),minfo!$A:$M,COLUMN()-8,0),"")</f>
        <v>900</v>
      </c>
      <c r="R286" s="4">
        <f ca="1">_xlfn.IFNA(VLOOKUP(INDIRECT("G"&amp;ROW()),minfo!$A:$M,COLUMN()-8,0),"")</f>
        <v>0</v>
      </c>
      <c r="S286" s="4" t="str">
        <f ca="1">_xlfn.IFNA(VLOOKUP(INDIRECT("G"&amp;ROW()),minfo!$A:$M,COLUMN()-8,0),"")</f>
        <v>十一月的萧邦</v>
      </c>
      <c r="T286" s="4">
        <f ca="1">_xlfn.IFNA(VLOOKUP(INDIRECT("G"&amp;ROW()),minfo!$A:$M,COLUMN()-8,0),"")</f>
        <v>294942325</v>
      </c>
      <c r="U286" s="4">
        <f ca="1">_xlfn.IFNA(VLOOKUP(INDIRECT("G"&amp;ROW()),minfo!$A:$M,COLUMN()-8,0),"")</f>
        <v>0</v>
      </c>
    </row>
    <row r="287" spans="1:21" ht="15.75" customHeight="1">
      <c r="A287" s="15">
        <v>286</v>
      </c>
      <c r="B287" s="4" t="s">
        <v>3847</v>
      </c>
      <c r="C287" s="4">
        <v>287</v>
      </c>
      <c r="D287" s="4">
        <v>89</v>
      </c>
      <c r="E287" s="4" t="s">
        <v>693</v>
      </c>
      <c r="F287" s="16">
        <v>45051</v>
      </c>
      <c r="G287" s="5" t="s">
        <v>692</v>
      </c>
      <c r="H287" s="5" t="s">
        <v>3754</v>
      </c>
      <c r="I287" s="24" t="str">
        <f>HYPERLINK("https://www.bilibili.com/video/BV1cs4y1w7Lv?p=89", "BV1cs4y1w7Lv?p=89")</f>
        <v>BV1cs4y1w7Lv?p=89</v>
      </c>
      <c r="J287" s="4" t="str">
        <f ca="1">_xlfn.IFNA(VLOOKUP(INDIRECT("G"&amp;ROW()),minfo!$A:$M,COLUMN()-8,0),"")</f>
        <v>爱情悬崖</v>
      </c>
      <c r="K287" s="4" t="str">
        <f ca="1">_xlfn.IFNA(VLOOKUP(INDIRECT("G"&amp;ROW()),minfo!$A:$M,COLUMN()-8,0),"")</f>
        <v>周杰伦</v>
      </c>
      <c r="L287" s="4">
        <f ca="1">_xlfn.IFNA(VLOOKUP(INDIRECT("G"&amp;ROW()),minfo!$A:$M,COLUMN()-8,0),"")</f>
        <v>0</v>
      </c>
      <c r="M287" s="4">
        <f ca="1">_xlfn.IFNA(VLOOKUP(INDIRECT("G"&amp;ROW()),minfo!$A:$M,COLUMN()-8,0),"")</f>
        <v>0</v>
      </c>
      <c r="N287" s="4">
        <f ca="1">_xlfn.IFNA(VLOOKUP(INDIRECT("G"&amp;ROW()),minfo!$A:$M,COLUMN()-8,0),"")</f>
        <v>0</v>
      </c>
      <c r="O287" s="4" t="str">
        <f ca="1">_xlfn.IFNA(VLOOKUP(INDIRECT("G"&amp;ROW()),minfo!$A:$M,COLUMN()-8,0),"")</f>
        <v>https://i0.hdslb.com/bfs/station_src/music_metadata/09deb9d4f4775eb43172424de93829e1.jpg</v>
      </c>
      <c r="P287" s="4">
        <f ca="1">_xlfn.IFNA(VLOOKUP(INDIRECT("G"&amp;ROW()),minfo!$A:$M,COLUMN()-8,0),"")</f>
        <v>0</v>
      </c>
      <c r="Q287" s="4">
        <f ca="1">_xlfn.IFNA(VLOOKUP(INDIRECT("G"&amp;ROW()),minfo!$A:$M,COLUMN()-8,0),"")</f>
        <v>265</v>
      </c>
      <c r="R287" s="4">
        <f ca="1">_xlfn.IFNA(VLOOKUP(INDIRECT("G"&amp;ROW()),minfo!$A:$M,COLUMN()-8,0),"")</f>
        <v>0</v>
      </c>
      <c r="S287" s="4" t="str">
        <f ca="1">_xlfn.IFNA(VLOOKUP(INDIRECT("G"&amp;ROW()),minfo!$A:$M,COLUMN()-8,0),"")</f>
        <v>叶惠美</v>
      </c>
      <c r="T287" s="4">
        <f ca="1">_xlfn.IFNA(VLOOKUP(INDIRECT("G"&amp;ROW()),minfo!$A:$M,COLUMN()-8,0),"")</f>
        <v>186750231</v>
      </c>
      <c r="U287" s="4">
        <f ca="1">_xlfn.IFNA(VLOOKUP(INDIRECT("G"&amp;ROW()),minfo!$A:$M,COLUMN()-8,0),"")</f>
        <v>0</v>
      </c>
    </row>
    <row r="288" spans="1:21" ht="15.75" customHeight="1">
      <c r="A288" s="15">
        <v>287</v>
      </c>
      <c r="B288" s="4" t="s">
        <v>3848</v>
      </c>
      <c r="C288" s="4">
        <v>288</v>
      </c>
      <c r="D288" s="4">
        <v>90</v>
      </c>
      <c r="E288" s="4" t="s">
        <v>3610</v>
      </c>
      <c r="F288" s="16">
        <v>45051</v>
      </c>
      <c r="G288" s="5" t="s">
        <v>398</v>
      </c>
      <c r="H288" s="5" t="s">
        <v>3754</v>
      </c>
      <c r="I288" s="24" t="str">
        <f>HYPERLINK("https://www.bilibili.com/video/BV1cs4y1w7Lv?p=90", "BV1cs4y1w7Lv?p=90")</f>
        <v>BV1cs4y1w7Lv?p=90</v>
      </c>
      <c r="J288" s="4" t="str">
        <f ca="1">_xlfn.IFNA(VLOOKUP(INDIRECT("G"&amp;ROW()),minfo!$A:$M,COLUMN()-8,0),"")</f>
        <v>Paper Hearts</v>
      </c>
      <c r="K288" s="4" t="str">
        <f ca="1">_xlfn.IFNA(VLOOKUP(INDIRECT("G"&amp;ROW()),minfo!$A:$M,COLUMN()-8,0),"")</f>
        <v>Tori Kelly</v>
      </c>
      <c r="L288" s="4">
        <f ca="1">_xlfn.IFNA(VLOOKUP(INDIRECT("G"&amp;ROW()),minfo!$A:$M,COLUMN()-8,0),"")</f>
        <v>0</v>
      </c>
      <c r="M288" s="4">
        <f ca="1">_xlfn.IFNA(VLOOKUP(INDIRECT("G"&amp;ROW()),minfo!$A:$M,COLUMN()-8,0),"")</f>
        <v>0</v>
      </c>
      <c r="N288" s="4">
        <f ca="1">_xlfn.IFNA(VLOOKUP(INDIRECT("G"&amp;ROW()),minfo!$A:$M,COLUMN()-8,0),"")</f>
        <v>0</v>
      </c>
      <c r="O288" s="4" t="str">
        <f ca="1">_xlfn.IFNA(VLOOKUP(INDIRECT("G"&amp;ROW()),minfo!$A:$M,COLUMN()-8,0),"")</f>
        <v>https://i0.hdslb.com/bfs/station_src/music_metadata/d163890fde7ff71487a0619f16a06100.jpg</v>
      </c>
      <c r="P288" s="4">
        <f ca="1">_xlfn.IFNA(VLOOKUP(INDIRECT("G"&amp;ROW()),minfo!$A:$M,COLUMN()-8,0),"")</f>
        <v>0</v>
      </c>
      <c r="Q288" s="4">
        <f ca="1">_xlfn.IFNA(VLOOKUP(INDIRECT("G"&amp;ROW()),minfo!$A:$M,COLUMN()-8,0),"")</f>
        <v>65</v>
      </c>
      <c r="R288" s="4">
        <f ca="1">_xlfn.IFNA(VLOOKUP(INDIRECT("G"&amp;ROW()),minfo!$A:$M,COLUMN()-8,0),"")</f>
        <v>0</v>
      </c>
      <c r="S288" s="4" t="str">
        <f ca="1">_xlfn.IFNA(VLOOKUP(INDIRECT("G"&amp;ROW()),minfo!$A:$M,COLUMN()-8,0),"")</f>
        <v>Foreword</v>
      </c>
      <c r="T288" s="4">
        <f ca="1">_xlfn.IFNA(VLOOKUP(INDIRECT("G"&amp;ROW()),minfo!$A:$M,COLUMN()-8,0),"")</f>
        <v>14743388</v>
      </c>
      <c r="U288" s="4">
        <f ca="1">_xlfn.IFNA(VLOOKUP(INDIRECT("G"&amp;ROW()),minfo!$A:$M,COLUMN()-8,0),"")</f>
        <v>0</v>
      </c>
    </row>
    <row r="289" spans="1:21" ht="15.75" customHeight="1">
      <c r="A289" s="15">
        <v>288</v>
      </c>
      <c r="B289" s="4" t="s">
        <v>3849</v>
      </c>
      <c r="C289" s="4">
        <v>289</v>
      </c>
      <c r="D289" s="4">
        <v>91</v>
      </c>
      <c r="E289" s="4" t="s">
        <v>1014</v>
      </c>
      <c r="F289" s="16">
        <v>45051</v>
      </c>
      <c r="G289" s="5" t="s">
        <v>1013</v>
      </c>
      <c r="H289" s="5" t="s">
        <v>3754</v>
      </c>
      <c r="I289" s="24" t="str">
        <f>HYPERLINK("https://www.bilibili.com/video/BV1cs4y1w7Lv?p=91", "BV1cs4y1w7Lv?p=91")</f>
        <v>BV1cs4y1w7Lv?p=91</v>
      </c>
      <c r="J289" s="4" t="str">
        <f ca="1">_xlfn.IFNA(VLOOKUP(INDIRECT("G"&amp;ROW()),minfo!$A:$M,COLUMN()-8,0),"")</f>
        <v>退后</v>
      </c>
      <c r="K289" s="4" t="str">
        <f ca="1">_xlfn.IFNA(VLOOKUP(INDIRECT("G"&amp;ROW()),minfo!$A:$M,COLUMN()-8,0),"")</f>
        <v>周杰伦</v>
      </c>
      <c r="L289" s="4">
        <f ca="1">_xlfn.IFNA(VLOOKUP(INDIRECT("G"&amp;ROW()),minfo!$A:$M,COLUMN()-8,0),"")</f>
        <v>0</v>
      </c>
      <c r="M289" s="4">
        <f ca="1">_xlfn.IFNA(VLOOKUP(INDIRECT("G"&amp;ROW()),minfo!$A:$M,COLUMN()-8,0),"")</f>
        <v>0</v>
      </c>
      <c r="N289" s="4">
        <f ca="1">_xlfn.IFNA(VLOOKUP(INDIRECT("G"&amp;ROW()),minfo!$A:$M,COLUMN()-8,0),"")</f>
        <v>0</v>
      </c>
      <c r="O289" s="4" t="str">
        <f ca="1">_xlfn.IFNA(VLOOKUP(INDIRECT("G"&amp;ROW()),minfo!$A:$M,COLUMN()-8,0),"")</f>
        <v>https://i0.hdslb.com/bfs/station_src/music_metadata/f15e73f798d4a0f5f331d77b333ef1a8.jpg</v>
      </c>
      <c r="P289" s="4" t="str">
        <f ca="1">_xlfn.IFNA(VLOOKUP(INDIRECT("G"&amp;ROW()),minfo!$A:$M,COLUMN()-8,0),"")</f>
        <v>copyright-crawler/music/task-lyric/650e62defad724c0d01134a0.txt</v>
      </c>
      <c r="Q289" s="4">
        <f ca="1">_xlfn.IFNA(VLOOKUP(INDIRECT("G"&amp;ROW()),minfo!$A:$M,COLUMN()-8,0),"")</f>
        <v>1135</v>
      </c>
      <c r="R289" s="4" t="str">
        <f ca="1">_xlfn.IFNA(VLOOKUP(INDIRECT("G"&amp;ROW()),minfo!$A:$M,COLUMN()-8,0),"")</f>
        <v>退后</v>
      </c>
      <c r="S289" s="4" t="str">
        <f ca="1">_xlfn.IFNA(VLOOKUP(INDIRECT("G"&amp;ROW()),minfo!$A:$M,COLUMN()-8,0),"")</f>
        <v>依然范特西</v>
      </c>
      <c r="T289" s="4">
        <f ca="1">_xlfn.IFNA(VLOOKUP(INDIRECT("G"&amp;ROW()),minfo!$A:$M,COLUMN()-8,0),"")</f>
        <v>327291034</v>
      </c>
      <c r="U289" s="4" t="str">
        <f ca="1">_xlfn.IFNA(VLOOKUP(INDIRECT("G"&amp;ROW()),minfo!$A:$M,COLUMN()-8,0),"")</f>
        <v>音乐榜最高NO.19</v>
      </c>
    </row>
    <row r="290" spans="1:21" ht="15.75" customHeight="1">
      <c r="A290" s="15">
        <v>289</v>
      </c>
      <c r="B290" s="4" t="s">
        <v>3850</v>
      </c>
      <c r="C290" s="4">
        <v>290</v>
      </c>
      <c r="D290" s="4">
        <v>92</v>
      </c>
      <c r="E290" s="4" t="s">
        <v>2711</v>
      </c>
      <c r="F290" s="16">
        <v>45051</v>
      </c>
      <c r="G290" s="5" t="s">
        <v>1017</v>
      </c>
      <c r="H290" s="5" t="s">
        <v>3754</v>
      </c>
      <c r="I290" s="24" t="str">
        <f>HYPERLINK("https://www.bilibili.com/video/BV1cs4y1w7Lv?p=92", "BV1cs4y1w7Lv?p=92")</f>
        <v>BV1cs4y1w7Lv?p=92</v>
      </c>
      <c r="J290" s="4" t="str">
        <f ca="1">_xlfn.IFNA(VLOOKUP(INDIRECT("G"&amp;ROW()),minfo!$A:$M,COLUMN()-8,0),"")</f>
        <v>月满西楼</v>
      </c>
      <c r="K290" s="4" t="str">
        <f ca="1">_xlfn.IFNA(VLOOKUP(INDIRECT("G"&amp;ROW()),minfo!$A:$M,COLUMN()-8,0),"")</f>
        <v>童丽,王浩</v>
      </c>
      <c r="L290" s="4">
        <f ca="1">_xlfn.IFNA(VLOOKUP(INDIRECT("G"&amp;ROW()),minfo!$A:$M,COLUMN()-8,0),"")</f>
        <v>0</v>
      </c>
      <c r="M290" s="4">
        <f ca="1">_xlfn.IFNA(VLOOKUP(INDIRECT("G"&amp;ROW()),minfo!$A:$M,COLUMN()-8,0),"")</f>
        <v>0</v>
      </c>
      <c r="N290" s="4">
        <f ca="1">_xlfn.IFNA(VLOOKUP(INDIRECT("G"&amp;ROW()),minfo!$A:$M,COLUMN()-8,0),"")</f>
        <v>0</v>
      </c>
      <c r="O290" s="4" t="str">
        <f ca="1">_xlfn.IFNA(VLOOKUP(INDIRECT("G"&amp;ROW()),minfo!$A:$M,COLUMN()-8,0),"")</f>
        <v>https://i0.hdslb.com/bfs/station_src/music_metadata/b3c4ca6aba030b7a627f3f27e37dc765.jpg</v>
      </c>
      <c r="P290" s="4" t="str">
        <f ca="1">_xlfn.IFNA(VLOOKUP(INDIRECT("G"&amp;ROW()),minfo!$A:$M,COLUMN()-8,0),"")</f>
        <v>https://i0.hdslb.com/bfs/station_src/music_metadata/5c1fd8bdc64b18cfc2ffacbb12df1f4a.txt</v>
      </c>
      <c r="Q290" s="4">
        <f ca="1">_xlfn.IFNA(VLOOKUP(INDIRECT("G"&amp;ROW()),minfo!$A:$M,COLUMN()-8,0),"")</f>
        <v>13</v>
      </c>
      <c r="R290" s="4">
        <f ca="1">_xlfn.IFNA(VLOOKUP(INDIRECT("G"&amp;ROW()),minfo!$A:$M,COLUMN()-8,0),"")</f>
        <v>0</v>
      </c>
      <c r="S290" s="4" t="str">
        <f ca="1">_xlfn.IFNA(VLOOKUP(INDIRECT("G"&amp;ROW()),minfo!$A:$M,COLUMN()-8,0),"")</f>
        <v>对着唱6</v>
      </c>
      <c r="T290" s="4">
        <f ca="1">_xlfn.IFNA(VLOOKUP(INDIRECT("G"&amp;ROW()),minfo!$A:$M,COLUMN()-8,0),"")</f>
        <v>4061048</v>
      </c>
      <c r="U290" s="4">
        <f ca="1">_xlfn.IFNA(VLOOKUP(INDIRECT("G"&amp;ROW()),minfo!$A:$M,COLUMN()-8,0),"")</f>
        <v>0</v>
      </c>
    </row>
    <row r="291" spans="1:21" ht="15.75" customHeight="1">
      <c r="A291" s="15">
        <v>290</v>
      </c>
      <c r="B291" s="4" t="s">
        <v>3851</v>
      </c>
      <c r="C291" s="4">
        <v>291</v>
      </c>
      <c r="D291" s="4">
        <v>93</v>
      </c>
      <c r="E291" s="4" t="s">
        <v>1024</v>
      </c>
      <c r="F291" s="16">
        <v>45051</v>
      </c>
      <c r="G291" s="5" t="s">
        <v>1023</v>
      </c>
      <c r="H291" s="5" t="s">
        <v>3754</v>
      </c>
      <c r="I291" s="24" t="str">
        <f>HYPERLINK("https://www.bilibili.com/video/BV1cs4y1w7Lv?p=93", "BV1cs4y1w7Lv?p=93")</f>
        <v>BV1cs4y1w7Lv?p=93</v>
      </c>
      <c r="J291" s="4" t="str">
        <f ca="1">_xlfn.IFNA(VLOOKUP(INDIRECT("G"&amp;ROW()),minfo!$A:$M,COLUMN()-8,0),"")</f>
        <v>兰亭序</v>
      </c>
      <c r="K291" s="4" t="str">
        <f ca="1">_xlfn.IFNA(VLOOKUP(INDIRECT("G"&amp;ROW()),minfo!$A:$M,COLUMN()-8,0),"")</f>
        <v>周杰伦</v>
      </c>
      <c r="L291" s="4">
        <f ca="1">_xlfn.IFNA(VLOOKUP(INDIRECT("G"&amp;ROW()),minfo!$A:$M,COLUMN()-8,0),"")</f>
        <v>0</v>
      </c>
      <c r="M291" s="4">
        <f ca="1">_xlfn.IFNA(VLOOKUP(INDIRECT("G"&amp;ROW()),minfo!$A:$M,COLUMN()-8,0),"")</f>
        <v>0</v>
      </c>
      <c r="N291" s="4">
        <f ca="1">_xlfn.IFNA(VLOOKUP(INDIRECT("G"&amp;ROW()),minfo!$A:$M,COLUMN()-8,0),"")</f>
        <v>0</v>
      </c>
      <c r="O291" s="4" t="str">
        <f ca="1">_xlfn.IFNA(VLOOKUP(INDIRECT("G"&amp;ROW()),minfo!$A:$M,COLUMN()-8,0),"")</f>
        <v>https://i0.hdslb.com/bfs/station_src/music_metadata/a03f7d174c3b01e4c6b3907a115c5434.jpg</v>
      </c>
      <c r="P291" s="4">
        <f ca="1">_xlfn.IFNA(VLOOKUP(INDIRECT("G"&amp;ROW()),minfo!$A:$M,COLUMN()-8,0),"")</f>
        <v>0</v>
      </c>
      <c r="Q291" s="4">
        <f ca="1">_xlfn.IFNA(VLOOKUP(INDIRECT("G"&amp;ROW()),minfo!$A:$M,COLUMN()-8,0),"")</f>
        <v>28515</v>
      </c>
      <c r="R291" s="4">
        <f ca="1">_xlfn.IFNA(VLOOKUP(INDIRECT("G"&amp;ROW()),minfo!$A:$M,COLUMN()-8,0),"")</f>
        <v>0</v>
      </c>
      <c r="S291" s="4" t="str">
        <f ca="1">_xlfn.IFNA(VLOOKUP(INDIRECT("G"&amp;ROW()),minfo!$A:$M,COLUMN()-8,0),"")</f>
        <v>魔杰座</v>
      </c>
      <c r="T291" s="4">
        <f ca="1">_xlfn.IFNA(VLOOKUP(INDIRECT("G"&amp;ROW()),minfo!$A:$M,COLUMN()-8,0),"")</f>
        <v>2546158396</v>
      </c>
      <c r="U291" s="4" t="str">
        <f ca="1">_xlfn.IFNA(VLOOKUP(INDIRECT("G"&amp;ROW()),minfo!$A:$M,COLUMN()-8,0),"")</f>
        <v>音乐榜最高NO.4</v>
      </c>
    </row>
    <row r="292" spans="1:21" ht="15.75" customHeight="1">
      <c r="A292" s="15">
        <v>291</v>
      </c>
      <c r="B292" s="4" t="s">
        <v>3852</v>
      </c>
      <c r="C292" s="4">
        <v>292</v>
      </c>
      <c r="D292" s="4">
        <v>94</v>
      </c>
      <c r="E292" s="4" t="s">
        <v>198</v>
      </c>
      <c r="F292" s="16">
        <v>45057</v>
      </c>
      <c r="G292" s="5" t="s">
        <v>197</v>
      </c>
      <c r="H292" s="5" t="s">
        <v>3754</v>
      </c>
      <c r="I292" s="24" t="str">
        <f>HYPERLINK("https://www.bilibili.com/video/BV1cs4y1w7Lv?p=94", "BV1cs4y1w7Lv?p=94")</f>
        <v>BV1cs4y1w7Lv?p=94</v>
      </c>
      <c r="J292" s="4" t="str">
        <f ca="1">_xlfn.IFNA(VLOOKUP(INDIRECT("G"&amp;ROW()),minfo!$A:$M,COLUMN()-8,0),"")</f>
        <v>好运来</v>
      </c>
      <c r="K292" s="4" t="str">
        <f ca="1">_xlfn.IFNA(VLOOKUP(INDIRECT("G"&amp;ROW()),minfo!$A:$M,COLUMN()-8,0),"")</f>
        <v>祖海</v>
      </c>
      <c r="L292" s="4">
        <f ca="1">_xlfn.IFNA(VLOOKUP(INDIRECT("G"&amp;ROW()),minfo!$A:$M,COLUMN()-8,0),"")</f>
        <v>0</v>
      </c>
      <c r="M292" s="4">
        <f ca="1">_xlfn.IFNA(VLOOKUP(INDIRECT("G"&amp;ROW()),minfo!$A:$M,COLUMN()-8,0),"")</f>
        <v>0</v>
      </c>
      <c r="N292" s="4">
        <f ca="1">_xlfn.IFNA(VLOOKUP(INDIRECT("G"&amp;ROW()),minfo!$A:$M,COLUMN()-8,0),"")</f>
        <v>0</v>
      </c>
      <c r="O292" s="4" t="str">
        <f ca="1">_xlfn.IFNA(VLOOKUP(INDIRECT("G"&amp;ROW()),minfo!$A:$M,COLUMN()-8,0),"")</f>
        <v>https://i0.hdslb.com/bfs/station_src/music_metadata/018488b96bcd553df8979332b0d180c7.jpg</v>
      </c>
      <c r="P292" s="4" t="str">
        <f ca="1">_xlfn.IFNA(VLOOKUP(INDIRECT("G"&amp;ROW()),minfo!$A:$M,COLUMN()-8,0),"")</f>
        <v>http://i0.hdslb.com/bfs/station_src/music_metadata/255887b55931deff5c3b6f86ebdfa127</v>
      </c>
      <c r="Q292" s="4">
        <f ca="1">_xlfn.IFNA(VLOOKUP(INDIRECT("G"&amp;ROW()),minfo!$A:$M,COLUMN()-8,0),"")</f>
        <v>2851</v>
      </c>
      <c r="R292" s="4">
        <f ca="1">_xlfn.IFNA(VLOOKUP(INDIRECT("G"&amp;ROW()),minfo!$A:$M,COLUMN()-8,0),"")</f>
        <v>0</v>
      </c>
      <c r="S292" s="4" t="str">
        <f ca="1">_xlfn.IFNA(VLOOKUP(INDIRECT("G"&amp;ROW()),minfo!$A:$M,COLUMN()-8,0),"")</f>
        <v>好运来</v>
      </c>
      <c r="T292" s="4">
        <f ca="1">_xlfn.IFNA(VLOOKUP(INDIRECT("G"&amp;ROW()),minfo!$A:$M,COLUMN()-8,0),"")</f>
        <v>1563883536</v>
      </c>
      <c r="U292" s="4" t="str">
        <f ca="1">_xlfn.IFNA(VLOOKUP(INDIRECT("G"&amp;ROW()),minfo!$A:$M,COLUMN()-8,0),"")</f>
        <v>音乐榜最高NO.2</v>
      </c>
    </row>
    <row r="293" spans="1:21" ht="15.75" customHeight="1">
      <c r="A293" s="15">
        <v>292</v>
      </c>
      <c r="B293" s="4" t="s">
        <v>3853</v>
      </c>
      <c r="C293" s="4">
        <v>293</v>
      </c>
      <c r="D293" s="4">
        <v>95</v>
      </c>
      <c r="E293" s="4" t="s">
        <v>909</v>
      </c>
      <c r="F293" s="16">
        <v>45057</v>
      </c>
      <c r="G293" s="5" t="s">
        <v>908</v>
      </c>
      <c r="H293" s="5" t="s">
        <v>3754</v>
      </c>
      <c r="I293" s="24" t="str">
        <f>HYPERLINK("https://www.bilibili.com/video/BV1cs4y1w7Lv?p=95", "BV1cs4y1w7Lv?p=95")</f>
        <v>BV1cs4y1w7Lv?p=95</v>
      </c>
      <c r="J293" s="4" t="str">
        <f ca="1">_xlfn.IFNA(VLOOKUP(INDIRECT("G"&amp;ROW()),minfo!$A:$M,COLUMN()-8,0),"")</f>
        <v>再见深海</v>
      </c>
      <c r="K293" s="4" t="str">
        <f ca="1">_xlfn.IFNA(VLOOKUP(INDIRECT("G"&amp;ROW()),minfo!$A:$M,COLUMN()-8,0),"")</f>
        <v>唐汉霄</v>
      </c>
      <c r="L293" s="4">
        <f ca="1">_xlfn.IFNA(VLOOKUP(INDIRECT("G"&amp;ROW()),minfo!$A:$M,COLUMN()-8,0),"")</f>
        <v>0</v>
      </c>
      <c r="M293" s="4">
        <f ca="1">_xlfn.IFNA(VLOOKUP(INDIRECT("G"&amp;ROW()),minfo!$A:$M,COLUMN()-8,0),"")</f>
        <v>36024</v>
      </c>
      <c r="N293" s="4">
        <f ca="1">_xlfn.IFNA(VLOOKUP(INDIRECT("G"&amp;ROW()),minfo!$A:$M,COLUMN()-8,0),"")</f>
        <v>5360</v>
      </c>
      <c r="O293" s="4" t="str">
        <f ca="1">_xlfn.IFNA(VLOOKUP(INDIRECT("G"&amp;ROW()),minfo!$A:$M,COLUMN()-8,0),"")</f>
        <v>http://i0.hdslb.com/bfs/station_src/music_metadata/125614d52d7873a21f10529ee87cc3dd.jpg</v>
      </c>
      <c r="P293" s="4">
        <f ca="1">_xlfn.IFNA(VLOOKUP(INDIRECT("G"&amp;ROW()),minfo!$A:$M,COLUMN()-8,0),"")</f>
        <v>0</v>
      </c>
      <c r="Q293" s="4">
        <f ca="1">_xlfn.IFNA(VLOOKUP(INDIRECT("G"&amp;ROW()),minfo!$A:$M,COLUMN()-8,0),"")</f>
        <v>1337</v>
      </c>
      <c r="R293" s="4">
        <f ca="1">_xlfn.IFNA(VLOOKUP(INDIRECT("G"&amp;ROW()),minfo!$A:$M,COLUMN()-8,0),"")</f>
        <v>0</v>
      </c>
      <c r="S293" s="4" t="str">
        <f ca="1">_xlfn.IFNA(VLOOKUP(INDIRECT("G"&amp;ROW()),minfo!$A:$M,COLUMN()-8,0),"")</f>
        <v>再见深海(微亮的瞬间)</v>
      </c>
      <c r="T293" s="4">
        <f ca="1">_xlfn.IFNA(VLOOKUP(INDIRECT("G"&amp;ROW()),minfo!$A:$M,COLUMN()-8,0),"")</f>
        <v>106771637</v>
      </c>
      <c r="U293" s="4" t="str">
        <f ca="1">_xlfn.IFNA(VLOOKUP(INDIRECT("G"&amp;ROW()),minfo!$A:$M,COLUMN()-8,0),"")</f>
        <v>音乐榜最高NO.18</v>
      </c>
    </row>
    <row r="294" spans="1:21" ht="15.75" customHeight="1">
      <c r="A294" s="15">
        <v>293</v>
      </c>
      <c r="B294" s="4" t="s">
        <v>3854</v>
      </c>
      <c r="C294" s="4">
        <v>294</v>
      </c>
      <c r="D294" s="4">
        <v>96</v>
      </c>
      <c r="E294" s="4" t="s">
        <v>1061</v>
      </c>
      <c r="F294" s="16">
        <v>45057</v>
      </c>
      <c r="G294" s="5" t="s">
        <v>1060</v>
      </c>
      <c r="H294" s="5" t="s">
        <v>3754</v>
      </c>
      <c r="I294" s="24" t="str">
        <f>HYPERLINK("https://www.bilibili.com/video/BV1cs4y1w7Lv?p=96", "BV1cs4y1w7Lv?p=96")</f>
        <v>BV1cs4y1w7Lv?p=96</v>
      </c>
      <c r="J294" s="4" t="str">
        <f ca="1">_xlfn.IFNA(VLOOKUP(INDIRECT("G"&amp;ROW()),minfo!$A:$M,COLUMN()-8,0),"")</f>
        <v>少年不凡</v>
      </c>
      <c r="K294" s="4" t="str">
        <f ca="1">_xlfn.IFNA(VLOOKUP(INDIRECT("G"&amp;ROW()),minfo!$A:$M,COLUMN()-8,0),"")</f>
        <v>刘美麟</v>
      </c>
      <c r="L294" s="4">
        <f ca="1">_xlfn.IFNA(VLOOKUP(INDIRECT("G"&amp;ROW()),minfo!$A:$M,COLUMN()-8,0),"")</f>
        <v>0</v>
      </c>
      <c r="M294" s="4">
        <f ca="1">_xlfn.IFNA(VLOOKUP(INDIRECT("G"&amp;ROW()),minfo!$A:$M,COLUMN()-8,0),"")</f>
        <v>0</v>
      </c>
      <c r="N294" s="4">
        <f ca="1">_xlfn.IFNA(VLOOKUP(INDIRECT("G"&amp;ROW()),minfo!$A:$M,COLUMN()-8,0),"")</f>
        <v>0</v>
      </c>
      <c r="O294" s="4" t="str">
        <f ca="1">_xlfn.IFNA(VLOOKUP(INDIRECT("G"&amp;ROW()),minfo!$A:$M,COLUMN()-8,0),"")</f>
        <v>https://i0.hdslb.com/bfs/station_src/music_metadata/4f95d266f510854cbf419ca1f4e99a33.jpg</v>
      </c>
      <c r="P294" s="4" t="str">
        <f ca="1">_xlfn.IFNA(VLOOKUP(INDIRECT("G"&amp;ROW()),minfo!$A:$M,COLUMN()-8,0),"")</f>
        <v>https://i0.hdslb.com/bfs/station_src/music_metadata/510fa3ca64bddc52f89c218209dc89b5.txt</v>
      </c>
      <c r="Q294" s="4">
        <f ca="1">_xlfn.IFNA(VLOOKUP(INDIRECT("G"&amp;ROW()),minfo!$A:$M,COLUMN()-8,0),"")</f>
        <v>200</v>
      </c>
      <c r="R294" s="4">
        <f ca="1">_xlfn.IFNA(VLOOKUP(INDIRECT("G"&amp;ROW()),minfo!$A:$M,COLUMN()-8,0),"")</f>
        <v>0</v>
      </c>
      <c r="S294" s="4" t="str">
        <f ca="1">_xlfn.IFNA(VLOOKUP(INDIRECT("G"&amp;ROW()),minfo!$A:$M,COLUMN()-8,0),"")</f>
        <v>凡人修仙传 第一季  动画剧原声带</v>
      </c>
      <c r="T294" s="4">
        <f ca="1">_xlfn.IFNA(VLOOKUP(INDIRECT("G"&amp;ROW()),minfo!$A:$M,COLUMN()-8,0),"")</f>
        <v>12824406</v>
      </c>
      <c r="U294" s="4">
        <f ca="1">_xlfn.IFNA(VLOOKUP(INDIRECT("G"&amp;ROW()),minfo!$A:$M,COLUMN()-8,0),"")</f>
        <v>0</v>
      </c>
    </row>
    <row r="295" spans="1:21" ht="15.75" customHeight="1">
      <c r="A295" s="15">
        <v>294</v>
      </c>
      <c r="B295" s="4" t="s">
        <v>3855</v>
      </c>
      <c r="C295" s="4">
        <v>295</v>
      </c>
      <c r="D295" s="4">
        <v>97</v>
      </c>
      <c r="E295" s="4" t="s">
        <v>134</v>
      </c>
      <c r="F295" s="16">
        <v>45057</v>
      </c>
      <c r="G295" s="10" t="s">
        <v>3428</v>
      </c>
      <c r="H295" s="5" t="s">
        <v>3754</v>
      </c>
      <c r="I295" s="24" t="str">
        <f>HYPERLINK("https://www.bilibili.com/video/BV1cs4y1w7Lv?p=97", "BV1cs4y1w7Lv?p=97")</f>
        <v>BV1cs4y1w7Lv?p=97</v>
      </c>
      <c r="J295" s="4" t="str">
        <f ca="1">_xlfn.IFNA(VLOOKUP(INDIRECT("G"&amp;ROW()),minfo!$A:$M,COLUMN()-8,0),"")</f>
        <v>雨蝶</v>
      </c>
      <c r="K295" s="4" t="str">
        <f ca="1">_xlfn.IFNA(VLOOKUP(INDIRECT("G"&amp;ROW()),minfo!$A:$M,COLUMN()-8,0),"")</f>
        <v>李翊君</v>
      </c>
      <c r="L295" s="4">
        <f ca="1">_xlfn.IFNA(VLOOKUP(INDIRECT("G"&amp;ROW()),minfo!$A:$M,COLUMN()-8,0),"")</f>
        <v>0</v>
      </c>
      <c r="M295" s="4">
        <f ca="1">_xlfn.IFNA(VLOOKUP(INDIRECT("G"&amp;ROW()),minfo!$A:$M,COLUMN()-8,0),"")</f>
        <v>0</v>
      </c>
      <c r="N295" s="4">
        <f ca="1">_xlfn.IFNA(VLOOKUP(INDIRECT("G"&amp;ROW()),minfo!$A:$M,COLUMN()-8,0),"")</f>
        <v>0</v>
      </c>
      <c r="O295" s="4" t="str">
        <f ca="1">_xlfn.IFNA(VLOOKUP(INDIRECT("G"&amp;ROW()),minfo!$A:$M,COLUMN()-8,0),"")</f>
        <v>http://i0.hdslb.com/bfs/station_src/music_metadata/0d6e4aa1fb3a0c539b8e4054b4b04365.jpg</v>
      </c>
      <c r="P295" s="4" t="str">
        <f ca="1">_xlfn.IFNA(VLOOKUP(INDIRECT("G"&amp;ROW()),minfo!$A:$M,COLUMN()-8,0),"")</f>
        <v>http://i0.hdslb.com/bfs/station_src/music_metadata/d57fb59ff8f2087eda54ce94407e2698</v>
      </c>
      <c r="Q295" s="4">
        <f ca="1">_xlfn.IFNA(VLOOKUP(INDIRECT("G"&amp;ROW()),minfo!$A:$M,COLUMN()-8,0),"")</f>
        <v>369</v>
      </c>
      <c r="R295" s="4">
        <f ca="1">_xlfn.IFNA(VLOOKUP(INDIRECT("G"&amp;ROW()),minfo!$A:$M,COLUMN()-8,0),"")</f>
        <v>0</v>
      </c>
      <c r="S295" s="4" t="str">
        <f ca="1">_xlfn.IFNA(VLOOKUP(INDIRECT("G"&amp;ROW()),minfo!$A:$M,COLUMN()-8,0),"")</f>
        <v>誓言谎言</v>
      </c>
      <c r="T295" s="4">
        <f ca="1">_xlfn.IFNA(VLOOKUP(INDIRECT("G"&amp;ROW()),minfo!$A:$M,COLUMN()-8,0),"")</f>
        <v>29391170</v>
      </c>
      <c r="U295" s="4">
        <f ca="1">_xlfn.IFNA(VLOOKUP(INDIRECT("G"&amp;ROW()),minfo!$A:$M,COLUMN()-8,0),"")</f>
        <v>0</v>
      </c>
    </row>
    <row r="296" spans="1:21" ht="15.75" customHeight="1">
      <c r="A296" s="15">
        <v>295</v>
      </c>
      <c r="B296" s="4" t="s">
        <v>3856</v>
      </c>
      <c r="C296" s="4">
        <v>296</v>
      </c>
      <c r="D296" s="4">
        <v>98</v>
      </c>
      <c r="E296" s="4" t="s">
        <v>150</v>
      </c>
      <c r="F296" s="16">
        <v>45057</v>
      </c>
      <c r="G296" s="5" t="s">
        <v>149</v>
      </c>
      <c r="H296" s="5" t="s">
        <v>3754</v>
      </c>
      <c r="I296" s="24" t="str">
        <f>HYPERLINK("https://www.bilibili.com/video/BV1cs4y1w7Lv?p=98", "BV1cs4y1w7Lv?p=98")</f>
        <v>BV1cs4y1w7Lv?p=98</v>
      </c>
      <c r="J296" s="4" t="str">
        <f ca="1">_xlfn.IFNA(VLOOKUP(INDIRECT("G"&amp;ROW()),minfo!$A:$M,COLUMN()-8,0),"")</f>
        <v>繁华唱遍</v>
      </c>
      <c r="K296" s="4" t="str">
        <f ca="1">_xlfn.IFNA(VLOOKUP(INDIRECT("G"&amp;ROW()),minfo!$A:$M,COLUMN()-8,0),"")</f>
        <v>乐正绫</v>
      </c>
      <c r="L296" s="4">
        <f ca="1">_xlfn.IFNA(VLOOKUP(INDIRECT("G"&amp;ROW()),minfo!$A:$M,COLUMN()-8,0),"")</f>
        <v>0</v>
      </c>
      <c r="M296" s="4">
        <f ca="1">_xlfn.IFNA(VLOOKUP(INDIRECT("G"&amp;ROW()),minfo!$A:$M,COLUMN()-8,0),"")</f>
        <v>277</v>
      </c>
      <c r="N296" s="4">
        <f ca="1">_xlfn.IFNA(VLOOKUP(INDIRECT("G"&amp;ROW()),minfo!$A:$M,COLUMN()-8,0),"")</f>
        <v>2</v>
      </c>
      <c r="O296" s="4">
        <f ca="1">_xlfn.IFNA(VLOOKUP(INDIRECT("G"&amp;ROW()),minfo!$A:$M,COLUMN()-8,0),"")</f>
        <v>0</v>
      </c>
      <c r="P296" s="4">
        <f ca="1">_xlfn.IFNA(VLOOKUP(INDIRECT("G"&amp;ROW()),minfo!$A:$M,COLUMN()-8,0),"")</f>
        <v>0</v>
      </c>
      <c r="Q296" s="4">
        <f ca="1">_xlfn.IFNA(VLOOKUP(INDIRECT("G"&amp;ROW()),minfo!$A:$M,COLUMN()-8,0),"")</f>
        <v>156</v>
      </c>
      <c r="R296" s="4">
        <f ca="1">_xlfn.IFNA(VLOOKUP(INDIRECT("G"&amp;ROW()),minfo!$A:$M,COLUMN()-8,0),"")</f>
        <v>0</v>
      </c>
      <c r="S296" s="4">
        <f ca="1">_xlfn.IFNA(VLOOKUP(INDIRECT("G"&amp;ROW()),minfo!$A:$M,COLUMN()-8,0),"")</f>
        <v>0</v>
      </c>
      <c r="T296" s="4">
        <f ca="1">_xlfn.IFNA(VLOOKUP(INDIRECT("G"&amp;ROW()),minfo!$A:$M,COLUMN()-8,0),"")</f>
        <v>71832236</v>
      </c>
      <c r="U296" s="4">
        <f ca="1">_xlfn.IFNA(VLOOKUP(INDIRECT("G"&amp;ROW()),minfo!$A:$M,COLUMN()-8,0),"")</f>
        <v>0</v>
      </c>
    </row>
    <row r="297" spans="1:21" ht="15.75" customHeight="1">
      <c r="A297" s="15">
        <v>296</v>
      </c>
      <c r="B297" s="4" t="s">
        <v>3857</v>
      </c>
      <c r="C297" s="4">
        <v>297</v>
      </c>
      <c r="D297" s="4">
        <v>99</v>
      </c>
      <c r="E297" s="4" t="s">
        <v>1029</v>
      </c>
      <c r="F297" s="16">
        <v>45057</v>
      </c>
      <c r="G297" s="5" t="s">
        <v>1028</v>
      </c>
      <c r="H297" s="5" t="s">
        <v>3754</v>
      </c>
      <c r="I297" s="24" t="str">
        <f>HYPERLINK("https://www.bilibili.com/video/BV1cs4y1w7Lv?p=99", "BV1cs4y1w7Lv?p=99")</f>
        <v>BV1cs4y1w7Lv?p=99</v>
      </c>
      <c r="J297" s="4" t="str">
        <f ca="1">_xlfn.IFNA(VLOOKUP(INDIRECT("G"&amp;ROW()),minfo!$A:$M,COLUMN()-8,0),"")</f>
        <v>梦一场</v>
      </c>
      <c r="K297" s="4" t="str">
        <f ca="1">_xlfn.IFNA(VLOOKUP(INDIRECT("G"&amp;ROW()),minfo!$A:$M,COLUMN()-8,0),"")</f>
        <v>那英</v>
      </c>
      <c r="L297" s="4">
        <f ca="1">_xlfn.IFNA(VLOOKUP(INDIRECT("G"&amp;ROW()),minfo!$A:$M,COLUMN()-8,0),"")</f>
        <v>0</v>
      </c>
      <c r="M297" s="4">
        <f ca="1">_xlfn.IFNA(VLOOKUP(INDIRECT("G"&amp;ROW()),minfo!$A:$M,COLUMN()-8,0),"")</f>
        <v>0</v>
      </c>
      <c r="N297" s="4">
        <f ca="1">_xlfn.IFNA(VLOOKUP(INDIRECT("G"&amp;ROW()),minfo!$A:$M,COLUMN()-8,0),"")</f>
        <v>0</v>
      </c>
      <c r="O297" s="4" t="str">
        <f ca="1">_xlfn.IFNA(VLOOKUP(INDIRECT("G"&amp;ROW()),minfo!$A:$M,COLUMN()-8,0),"")</f>
        <v>http://i0.hdslb.com/bfs/station_src/music_metadata/773e1f17befd2548f3caea5b4a15cca5.jpg</v>
      </c>
      <c r="P297" s="4" t="str">
        <f ca="1">_xlfn.IFNA(VLOOKUP(INDIRECT("G"&amp;ROW()),minfo!$A:$M,COLUMN()-8,0),"")</f>
        <v>http://i0.hdslb.com/bfs/station_src/music_metadata/9d34117655bd2156a1e59015320fba7b</v>
      </c>
      <c r="Q297" s="4">
        <f ca="1">_xlfn.IFNA(VLOOKUP(INDIRECT("G"&amp;ROW()),minfo!$A:$M,COLUMN()-8,0),"")</f>
        <v>67</v>
      </c>
      <c r="R297" s="4" t="str">
        <f ca="1">_xlfn.IFNA(VLOOKUP(INDIRECT("G"&amp;ROW()),minfo!$A:$M,COLUMN()-8,0),"")</f>
        <v>《新闻小姐》电视剧插曲|《春娇救志明》电影插曲</v>
      </c>
      <c r="S297" s="4" t="str">
        <f ca="1">_xlfn.IFNA(VLOOKUP(INDIRECT("G"&amp;ROW()),minfo!$A:$M,COLUMN()-8,0),"")</f>
        <v>干脆</v>
      </c>
      <c r="T297" s="4">
        <f ca="1">_xlfn.IFNA(VLOOKUP(INDIRECT("G"&amp;ROW()),minfo!$A:$M,COLUMN()-8,0),"")</f>
        <v>40740970</v>
      </c>
      <c r="U297" s="4">
        <f ca="1">_xlfn.IFNA(VLOOKUP(INDIRECT("G"&amp;ROW()),minfo!$A:$M,COLUMN()-8,0),"")</f>
        <v>0</v>
      </c>
    </row>
    <row r="298" spans="1:21" ht="15.75" customHeight="1">
      <c r="A298" s="15">
        <v>297</v>
      </c>
      <c r="B298" s="4" t="s">
        <v>3858</v>
      </c>
      <c r="C298" s="4">
        <v>298</v>
      </c>
      <c r="D298" s="4">
        <v>100</v>
      </c>
      <c r="E298" s="4" t="s">
        <v>1036</v>
      </c>
      <c r="F298" s="16">
        <v>45059</v>
      </c>
      <c r="G298" s="5" t="s">
        <v>1035</v>
      </c>
      <c r="H298" s="5" t="s">
        <v>3754</v>
      </c>
      <c r="I298" s="24" t="str">
        <f>HYPERLINK("https://www.bilibili.com/video/BV1cs4y1w7Lv?p=100", "BV1cs4y1w7Lv?p=100")</f>
        <v>BV1cs4y1w7Lv?p=100</v>
      </c>
      <c r="J298" s="4" t="str">
        <f ca="1">_xlfn.IFNA(VLOOKUP(INDIRECT("G"&amp;ROW()),minfo!$A:$M,COLUMN()-8,0),"")</f>
        <v>分裂</v>
      </c>
      <c r="K298" s="4" t="str">
        <f ca="1">_xlfn.IFNA(VLOOKUP(INDIRECT("G"&amp;ROW()),minfo!$A:$M,COLUMN()-8,0),"")</f>
        <v>周杰伦</v>
      </c>
      <c r="L298" s="4">
        <f ca="1">_xlfn.IFNA(VLOOKUP(INDIRECT("G"&amp;ROW()),minfo!$A:$M,COLUMN()-8,0),"")</f>
        <v>0</v>
      </c>
      <c r="M298" s="4">
        <f ca="1">_xlfn.IFNA(VLOOKUP(INDIRECT("G"&amp;ROW()),minfo!$A:$M,COLUMN()-8,0),"")</f>
        <v>0</v>
      </c>
      <c r="N298" s="4">
        <f ca="1">_xlfn.IFNA(VLOOKUP(INDIRECT("G"&amp;ROW()),minfo!$A:$M,COLUMN()-8,0),"")</f>
        <v>0</v>
      </c>
      <c r="O298" s="4" t="str">
        <f ca="1">_xlfn.IFNA(VLOOKUP(INDIRECT("G"&amp;ROW()),minfo!$A:$M,COLUMN()-8,0),"")</f>
        <v>https://i0.hdslb.com/bfs/station_src/music_metadata/e0c93dd692e11b8a05a773b5a91db658.jpg</v>
      </c>
      <c r="P298" s="4" t="str">
        <f ca="1">_xlfn.IFNA(VLOOKUP(INDIRECT("G"&amp;ROW()),minfo!$A:$M,COLUMN()-8,0),"")</f>
        <v>copyright-crawler/music/task-lyric/62344913670859274c1e4f20.txt</v>
      </c>
      <c r="Q298" s="4">
        <f ca="1">_xlfn.IFNA(VLOOKUP(INDIRECT("G"&amp;ROW()),minfo!$A:$M,COLUMN()-8,0),"")</f>
        <v>599</v>
      </c>
      <c r="R298" s="4" t="str">
        <f ca="1">_xlfn.IFNA(VLOOKUP(INDIRECT("G"&amp;ROW()),minfo!$A:$M,COLUMN()-8,0),"")</f>
        <v>分裂</v>
      </c>
      <c r="S298" s="4" t="str">
        <f ca="1">_xlfn.IFNA(VLOOKUP(INDIRECT("G"&amp;ROW()),minfo!$A:$M,COLUMN()-8,0),"")</f>
        <v>八度空间</v>
      </c>
      <c r="T298" s="4">
        <f ca="1">_xlfn.IFNA(VLOOKUP(INDIRECT("G"&amp;ROW()),minfo!$A:$M,COLUMN()-8,0),"")</f>
        <v>198909539</v>
      </c>
      <c r="U298" s="4">
        <f ca="1">_xlfn.IFNA(VLOOKUP(INDIRECT("G"&amp;ROW()),minfo!$A:$M,COLUMN()-8,0),"")</f>
        <v>0</v>
      </c>
    </row>
    <row r="299" spans="1:21" ht="15.75" customHeight="1">
      <c r="A299" s="15">
        <v>298</v>
      </c>
      <c r="B299" s="4" t="s">
        <v>3859</v>
      </c>
      <c r="C299" s="4">
        <v>299</v>
      </c>
      <c r="D299" s="4">
        <v>101</v>
      </c>
      <c r="E299" s="4" t="s">
        <v>1036</v>
      </c>
      <c r="F299" s="16">
        <v>45059</v>
      </c>
      <c r="G299" s="5" t="s">
        <v>1035</v>
      </c>
      <c r="H299" s="5" t="s">
        <v>3754</v>
      </c>
      <c r="I299" s="24" t="str">
        <f>HYPERLINK("https://www.bilibili.com/video/BV1cs4y1w7Lv?p=101", "BV1cs4y1w7Lv?p=101")</f>
        <v>BV1cs4y1w7Lv?p=101</v>
      </c>
      <c r="J299" s="4" t="str">
        <f ca="1">_xlfn.IFNA(VLOOKUP(INDIRECT("G"&amp;ROW()),minfo!$A:$M,COLUMN()-8,0),"")</f>
        <v>分裂</v>
      </c>
      <c r="K299" s="4" t="str">
        <f ca="1">_xlfn.IFNA(VLOOKUP(INDIRECT("G"&amp;ROW()),minfo!$A:$M,COLUMN()-8,0),"")</f>
        <v>周杰伦</v>
      </c>
      <c r="L299" s="4">
        <f ca="1">_xlfn.IFNA(VLOOKUP(INDIRECT("G"&amp;ROW()),minfo!$A:$M,COLUMN()-8,0),"")</f>
        <v>0</v>
      </c>
      <c r="M299" s="4">
        <f ca="1">_xlfn.IFNA(VLOOKUP(INDIRECT("G"&amp;ROW()),minfo!$A:$M,COLUMN()-8,0),"")</f>
        <v>0</v>
      </c>
      <c r="N299" s="4">
        <f ca="1">_xlfn.IFNA(VLOOKUP(INDIRECT("G"&amp;ROW()),minfo!$A:$M,COLUMN()-8,0),"")</f>
        <v>0</v>
      </c>
      <c r="O299" s="4" t="str">
        <f ca="1">_xlfn.IFNA(VLOOKUP(INDIRECT("G"&amp;ROW()),minfo!$A:$M,COLUMN()-8,0),"")</f>
        <v>https://i0.hdslb.com/bfs/station_src/music_metadata/e0c93dd692e11b8a05a773b5a91db658.jpg</v>
      </c>
      <c r="P299" s="4" t="str">
        <f ca="1">_xlfn.IFNA(VLOOKUP(INDIRECT("G"&amp;ROW()),minfo!$A:$M,COLUMN()-8,0),"")</f>
        <v>copyright-crawler/music/task-lyric/62344913670859274c1e4f20.txt</v>
      </c>
      <c r="Q299" s="4">
        <f ca="1">_xlfn.IFNA(VLOOKUP(INDIRECT("G"&amp;ROW()),minfo!$A:$M,COLUMN()-8,0),"")</f>
        <v>599</v>
      </c>
      <c r="R299" s="4" t="str">
        <f ca="1">_xlfn.IFNA(VLOOKUP(INDIRECT("G"&amp;ROW()),minfo!$A:$M,COLUMN()-8,0),"")</f>
        <v>分裂</v>
      </c>
      <c r="S299" s="4" t="str">
        <f ca="1">_xlfn.IFNA(VLOOKUP(INDIRECT("G"&amp;ROW()),minfo!$A:$M,COLUMN()-8,0),"")</f>
        <v>八度空间</v>
      </c>
      <c r="T299" s="4">
        <f ca="1">_xlfn.IFNA(VLOOKUP(INDIRECT("G"&amp;ROW()),minfo!$A:$M,COLUMN()-8,0),"")</f>
        <v>198909539</v>
      </c>
      <c r="U299" s="4">
        <f ca="1">_xlfn.IFNA(VLOOKUP(INDIRECT("G"&amp;ROW()),minfo!$A:$M,COLUMN()-8,0),"")</f>
        <v>0</v>
      </c>
    </row>
    <row r="300" spans="1:21" ht="15.75" customHeight="1">
      <c r="A300" s="15">
        <v>299</v>
      </c>
      <c r="B300" s="4" t="s">
        <v>3860</v>
      </c>
      <c r="C300" s="4">
        <v>300</v>
      </c>
      <c r="D300" s="4">
        <v>102</v>
      </c>
      <c r="E300" s="4" t="s">
        <v>1040</v>
      </c>
      <c r="F300" s="16">
        <v>45059</v>
      </c>
      <c r="G300" s="5" t="s">
        <v>1039</v>
      </c>
      <c r="H300" s="5" t="s">
        <v>3754</v>
      </c>
      <c r="I300" s="24" t="str">
        <f>HYPERLINK("https://www.bilibili.com/video/BV1cs4y1w7Lv?p=102", "BV1cs4y1w7Lv?p=102")</f>
        <v>BV1cs4y1w7Lv?p=102</v>
      </c>
      <c r="J300" s="4" t="str">
        <f ca="1">_xlfn.IFNA(VLOOKUP(INDIRECT("G"&amp;ROW()),minfo!$A:$M,COLUMN()-8,0),"")</f>
        <v>断了的弦</v>
      </c>
      <c r="K300" s="4" t="str">
        <f ca="1">_xlfn.IFNA(VLOOKUP(INDIRECT("G"&amp;ROW()),minfo!$A:$M,COLUMN()-8,0),"")</f>
        <v>周杰伦</v>
      </c>
      <c r="L300" s="4">
        <f ca="1">_xlfn.IFNA(VLOOKUP(INDIRECT("G"&amp;ROW()),minfo!$A:$M,COLUMN()-8,0),"")</f>
        <v>0</v>
      </c>
      <c r="M300" s="4">
        <f ca="1">_xlfn.IFNA(VLOOKUP(INDIRECT("G"&amp;ROW()),minfo!$A:$M,COLUMN()-8,0),"")</f>
        <v>0</v>
      </c>
      <c r="N300" s="4">
        <f ca="1">_xlfn.IFNA(VLOOKUP(INDIRECT("G"&amp;ROW()),minfo!$A:$M,COLUMN()-8,0),"")</f>
        <v>0</v>
      </c>
      <c r="O300" s="4" t="str">
        <f ca="1">_xlfn.IFNA(VLOOKUP(INDIRECT("G"&amp;ROW()),minfo!$A:$M,COLUMN()-8,0),"")</f>
        <v>https://i0.hdslb.com/bfs/station_src/music_metadata/ebc5b74fc87de3b14aae385fe242095a.jpg</v>
      </c>
      <c r="P300" s="4">
        <f ca="1">_xlfn.IFNA(VLOOKUP(INDIRECT("G"&amp;ROW()),minfo!$A:$M,COLUMN()-8,0),"")</f>
        <v>0</v>
      </c>
      <c r="Q300" s="4">
        <f ca="1">_xlfn.IFNA(VLOOKUP(INDIRECT("G"&amp;ROW()),minfo!$A:$M,COLUMN()-8,0),"")</f>
        <v>1532</v>
      </c>
      <c r="R300" s="4" t="str">
        <f ca="1">_xlfn.IFNA(VLOOKUP(INDIRECT("G"&amp;ROW()),minfo!$A:$M,COLUMN()-8,0),"")</f>
        <v>《寻找周杰伦》电影插曲</v>
      </c>
      <c r="S300" s="4" t="str">
        <f ca="1">_xlfn.IFNA(VLOOKUP(INDIRECT("G"&amp;ROW()),minfo!$A:$M,COLUMN()-8,0),"")</f>
        <v>寻找周杰伦</v>
      </c>
      <c r="T300" s="4">
        <f ca="1">_xlfn.IFNA(VLOOKUP(INDIRECT("G"&amp;ROW()),minfo!$A:$M,COLUMN()-8,0),"")</f>
        <v>336737849</v>
      </c>
      <c r="U300" s="4">
        <f ca="1">_xlfn.IFNA(VLOOKUP(INDIRECT("G"&amp;ROW()),minfo!$A:$M,COLUMN()-8,0),"")</f>
        <v>0</v>
      </c>
    </row>
    <row r="301" spans="1:21" ht="15.75" customHeight="1">
      <c r="A301" s="15">
        <v>300</v>
      </c>
      <c r="B301" s="4" t="s">
        <v>3861</v>
      </c>
      <c r="C301" s="4">
        <v>301</v>
      </c>
      <c r="D301" s="4">
        <v>103</v>
      </c>
      <c r="E301" s="4" t="s">
        <v>550</v>
      </c>
      <c r="F301" s="16">
        <v>45059</v>
      </c>
      <c r="G301" s="5" t="s">
        <v>549</v>
      </c>
      <c r="H301" s="5" t="s">
        <v>3754</v>
      </c>
      <c r="I301" s="24" t="str">
        <f>HYPERLINK("https://www.bilibili.com/video/BV1cs4y1w7Lv?p=103", "BV1cs4y1w7Lv?p=103")</f>
        <v>BV1cs4y1w7Lv?p=103</v>
      </c>
      <c r="J301" s="4" t="str">
        <f ca="1">_xlfn.IFNA(VLOOKUP(INDIRECT("G"&amp;ROW()),minfo!$A:$M,COLUMN()-8,0),"")</f>
        <v>靠近</v>
      </c>
      <c r="K301" s="4" t="str">
        <f ca="1">_xlfn.IFNA(VLOOKUP(INDIRECT("G"&amp;ROW()),minfo!$A:$M,COLUMN()-8,0),"")</f>
        <v>罗震环</v>
      </c>
      <c r="L301" s="4">
        <f ca="1">_xlfn.IFNA(VLOOKUP(INDIRECT("G"&amp;ROW()),minfo!$A:$M,COLUMN()-8,0),"")</f>
        <v>0</v>
      </c>
      <c r="M301" s="4">
        <f ca="1">_xlfn.IFNA(VLOOKUP(INDIRECT("G"&amp;ROW()),minfo!$A:$M,COLUMN()-8,0),"")</f>
        <v>0</v>
      </c>
      <c r="N301" s="4">
        <f ca="1">_xlfn.IFNA(VLOOKUP(INDIRECT("G"&amp;ROW()),minfo!$A:$M,COLUMN()-8,0),"")</f>
        <v>0</v>
      </c>
      <c r="O301" s="4" t="str">
        <f ca="1">_xlfn.IFNA(VLOOKUP(INDIRECT("G"&amp;ROW()),minfo!$A:$M,COLUMN()-8,0),"")</f>
        <v>https://i0.hdslb.com/bfs/station_src/music_metadata/38ab4a46f651a446f01ba757be262549.jpg</v>
      </c>
      <c r="P301" s="4" t="str">
        <f ca="1">_xlfn.IFNA(VLOOKUP(INDIRECT("G"&amp;ROW()),minfo!$A:$M,COLUMN()-8,0),"")</f>
        <v>https://i0.hdslb.com/bfs/station_src/music_metadata/1aa4ee4fef9645e7092232f4801fb704.txt</v>
      </c>
      <c r="Q301" s="4">
        <f ca="1">_xlfn.IFNA(VLOOKUP(INDIRECT("G"&amp;ROW()),minfo!$A:$M,COLUMN()-8,0),"")</f>
        <v>1651</v>
      </c>
      <c r="R301" s="4" t="str">
        <f ca="1">_xlfn.IFNA(VLOOKUP(INDIRECT("G"&amp;ROW()),minfo!$A:$M,COLUMN()-8,0),"")</f>
        <v>《爱情公寓3》电视剧片尾曲</v>
      </c>
      <c r="S301" s="4" t="str">
        <f ca="1">_xlfn.IFNA(VLOOKUP(INDIRECT("G"&amp;ROW()),minfo!$A:$M,COLUMN()-8,0),"")</f>
        <v>爱情公寓3 电视剧原声带</v>
      </c>
      <c r="T301" s="4">
        <f ca="1">_xlfn.IFNA(VLOOKUP(INDIRECT("G"&amp;ROW()),minfo!$A:$M,COLUMN()-8,0),"")</f>
        <v>197851447</v>
      </c>
      <c r="U301" s="4">
        <f ca="1">_xlfn.IFNA(VLOOKUP(INDIRECT("G"&amp;ROW()),minfo!$A:$M,COLUMN()-8,0),"")</f>
        <v>0</v>
      </c>
    </row>
    <row r="302" spans="1:21" ht="15.75" customHeight="1">
      <c r="A302" s="15">
        <v>301</v>
      </c>
      <c r="B302" s="4" t="s">
        <v>3862</v>
      </c>
      <c r="C302" s="4">
        <v>302</v>
      </c>
      <c r="D302" s="4">
        <v>104</v>
      </c>
      <c r="E302" s="4" t="s">
        <v>232</v>
      </c>
      <c r="F302" s="16">
        <v>45059</v>
      </c>
      <c r="G302" s="5" t="s">
        <v>231</v>
      </c>
      <c r="H302" s="5" t="s">
        <v>3754</v>
      </c>
      <c r="I302" s="24" t="str">
        <f>HYPERLINK("https://www.bilibili.com/video/BV1cs4y1w7Lv?p=104", "BV1cs4y1w7Lv?p=104")</f>
        <v>BV1cs4y1w7Lv?p=104</v>
      </c>
      <c r="J302" s="4" t="str">
        <f ca="1">_xlfn.IFNA(VLOOKUP(INDIRECT("G"&amp;ROW()),minfo!$A:$M,COLUMN()-8,0),"")</f>
        <v>若把你</v>
      </c>
      <c r="K302" s="4" t="str">
        <f ca="1">_xlfn.IFNA(VLOOKUP(INDIRECT("G"&amp;ROW()),minfo!$A:$M,COLUMN()-8,0),"")</f>
        <v>Kirsty刘瑾睿</v>
      </c>
      <c r="L302" s="4">
        <f ca="1">_xlfn.IFNA(VLOOKUP(INDIRECT("G"&amp;ROW()),minfo!$A:$M,COLUMN()-8,0),"")</f>
        <v>0</v>
      </c>
      <c r="M302" s="4">
        <f ca="1">_xlfn.IFNA(VLOOKUP(INDIRECT("G"&amp;ROW()),minfo!$A:$M,COLUMN()-8,0),"")</f>
        <v>43546</v>
      </c>
      <c r="N302" s="4">
        <f ca="1">_xlfn.IFNA(VLOOKUP(INDIRECT("G"&amp;ROW()),minfo!$A:$M,COLUMN()-8,0),"")</f>
        <v>6440</v>
      </c>
      <c r="O302" s="4" t="str">
        <f ca="1">_xlfn.IFNA(VLOOKUP(INDIRECT("G"&amp;ROW()),minfo!$A:$M,COLUMN()-8,0),"")</f>
        <v>http://i0.hdslb.com/bfs/station_src/music_metadata/e535448192dd1b72f950d8bf47d14597.jpg</v>
      </c>
      <c r="P302" s="4">
        <f ca="1">_xlfn.IFNA(VLOOKUP(INDIRECT("G"&amp;ROW()),minfo!$A:$M,COLUMN()-8,0),"")</f>
        <v>0</v>
      </c>
      <c r="Q302" s="4">
        <f ca="1">_xlfn.IFNA(VLOOKUP(INDIRECT("G"&amp;ROW()),minfo!$A:$M,COLUMN()-8,0),"")</f>
        <v>2370</v>
      </c>
      <c r="R302" s="4">
        <f ca="1">_xlfn.IFNA(VLOOKUP(INDIRECT("G"&amp;ROW()),minfo!$A:$M,COLUMN()-8,0),"")</f>
        <v>0</v>
      </c>
      <c r="S302" s="4" t="str">
        <f ca="1">_xlfn.IFNA(VLOOKUP(INDIRECT("G"&amp;ROW()),minfo!$A:$M,COLUMN()-8,0),"")</f>
        <v>若把你</v>
      </c>
      <c r="T302" s="4">
        <f ca="1">_xlfn.IFNA(VLOOKUP(INDIRECT("G"&amp;ROW()),minfo!$A:$M,COLUMN()-8,0),"")</f>
        <v>316650487</v>
      </c>
      <c r="U302" s="4" t="str">
        <f ca="1">_xlfn.IFNA(VLOOKUP(INDIRECT("G"&amp;ROW()),minfo!$A:$M,COLUMN()-8,0),"")</f>
        <v>音乐榜最高NO.7</v>
      </c>
    </row>
    <row r="303" spans="1:21" ht="15.75" customHeight="1">
      <c r="A303" s="15">
        <v>302</v>
      </c>
      <c r="B303" s="4" t="s">
        <v>3863</v>
      </c>
      <c r="C303" s="4">
        <v>303</v>
      </c>
      <c r="D303" s="4">
        <v>105</v>
      </c>
      <c r="E303" s="4" t="s">
        <v>1044</v>
      </c>
      <c r="F303" s="16">
        <v>45060</v>
      </c>
      <c r="G303" s="5" t="s">
        <v>1043</v>
      </c>
      <c r="H303" s="5" t="s">
        <v>3754</v>
      </c>
      <c r="I303" s="24" t="str">
        <f>HYPERLINK("https://www.bilibili.com/video/BV1cs4y1w7Lv?p=105", "BV1cs4y1w7Lv?p=105")</f>
        <v>BV1cs4y1w7Lv?p=105</v>
      </c>
      <c r="J303" s="4" t="str">
        <f ca="1">_xlfn.IFNA(VLOOKUP(INDIRECT("G"&amp;ROW()),minfo!$A:$M,COLUMN()-8,0),"")</f>
        <v>花海</v>
      </c>
      <c r="K303" s="4" t="str">
        <f ca="1">_xlfn.IFNA(VLOOKUP(INDIRECT("G"&amp;ROW()),minfo!$A:$M,COLUMN()-8,0),"")</f>
        <v>周杰伦</v>
      </c>
      <c r="L303" s="4">
        <f ca="1">_xlfn.IFNA(VLOOKUP(INDIRECT("G"&amp;ROW()),minfo!$A:$M,COLUMN()-8,0),"")</f>
        <v>0</v>
      </c>
      <c r="M303" s="4">
        <f ca="1">_xlfn.IFNA(VLOOKUP(INDIRECT("G"&amp;ROW()),minfo!$A:$M,COLUMN()-8,0),"")</f>
        <v>0</v>
      </c>
      <c r="N303" s="4">
        <f ca="1">_xlfn.IFNA(VLOOKUP(INDIRECT("G"&amp;ROW()),minfo!$A:$M,COLUMN()-8,0),"")</f>
        <v>0</v>
      </c>
      <c r="O303" s="4" t="str">
        <f ca="1">_xlfn.IFNA(VLOOKUP(INDIRECT("G"&amp;ROW()),minfo!$A:$M,COLUMN()-8,0),"")</f>
        <v>http://i0.hdslb.com/bfs/station_src/music_metadata/d1259ab52f391cf8b4eff157118ac592.jpg</v>
      </c>
      <c r="P303" s="4" t="str">
        <f ca="1">_xlfn.IFNA(VLOOKUP(INDIRECT("G"&amp;ROW()),minfo!$A:$M,COLUMN()-8,0),"")</f>
        <v>http://i0.hdslb.com/bfs/station_src/music_metadata/9d91aaabc90b6aafb617648a5dce5812</v>
      </c>
      <c r="Q303" s="4">
        <f ca="1">_xlfn.IFNA(VLOOKUP(INDIRECT("G"&amp;ROW()),minfo!$A:$M,COLUMN()-8,0),"")</f>
        <v>9979</v>
      </c>
      <c r="R303" s="4">
        <f ca="1">_xlfn.IFNA(VLOOKUP(INDIRECT("G"&amp;ROW()),minfo!$A:$M,COLUMN()-8,0),"")</f>
        <v>0</v>
      </c>
      <c r="S303" s="4" t="str">
        <f ca="1">_xlfn.IFNA(VLOOKUP(INDIRECT("G"&amp;ROW()),minfo!$A:$M,COLUMN()-8,0),"")</f>
        <v>魔杰座</v>
      </c>
      <c r="T303" s="4">
        <f ca="1">_xlfn.IFNA(VLOOKUP(INDIRECT("G"&amp;ROW()),minfo!$A:$M,COLUMN()-8,0),"")</f>
        <v>933132694</v>
      </c>
      <c r="U303" s="4" t="str">
        <f ca="1">_xlfn.IFNA(VLOOKUP(INDIRECT("G"&amp;ROW()),minfo!$A:$M,COLUMN()-8,0),"")</f>
        <v>音乐榜最高NO.6</v>
      </c>
    </row>
    <row r="304" spans="1:21" ht="15.75" customHeight="1">
      <c r="A304" s="15">
        <v>303</v>
      </c>
      <c r="B304" s="4" t="s">
        <v>3864</v>
      </c>
      <c r="C304" s="4">
        <v>304</v>
      </c>
      <c r="D304" s="4">
        <v>106</v>
      </c>
      <c r="E304" s="4" t="s">
        <v>989</v>
      </c>
      <c r="F304" s="16">
        <v>45060</v>
      </c>
      <c r="G304" s="5" t="s">
        <v>988</v>
      </c>
      <c r="H304" s="5" t="s">
        <v>3754</v>
      </c>
      <c r="I304" s="24" t="str">
        <f>HYPERLINK("https://www.bilibili.com/video/BV1cs4y1w7Lv?p=106", "BV1cs4y1w7Lv?p=106")</f>
        <v>BV1cs4y1w7Lv?p=106</v>
      </c>
      <c r="J304" s="4" t="str">
        <f ca="1">_xlfn.IFNA(VLOOKUP(INDIRECT("G"&amp;ROW()),minfo!$A:$M,COLUMN()-8,0),"")</f>
        <v>我落泪情绪零碎</v>
      </c>
      <c r="K304" s="4" t="str">
        <f ca="1">_xlfn.IFNA(VLOOKUP(INDIRECT("G"&amp;ROW()),minfo!$A:$M,COLUMN()-8,0),"")</f>
        <v>周杰伦</v>
      </c>
      <c r="L304" s="4">
        <f ca="1">_xlfn.IFNA(VLOOKUP(INDIRECT("G"&amp;ROW()),minfo!$A:$M,COLUMN()-8,0),"")</f>
        <v>0</v>
      </c>
      <c r="M304" s="4">
        <f ca="1">_xlfn.IFNA(VLOOKUP(INDIRECT("G"&amp;ROW()),minfo!$A:$M,COLUMN()-8,0),"")</f>
        <v>0</v>
      </c>
      <c r="N304" s="4">
        <f ca="1">_xlfn.IFNA(VLOOKUP(INDIRECT("G"&amp;ROW()),minfo!$A:$M,COLUMN()-8,0),"")</f>
        <v>0</v>
      </c>
      <c r="O304" s="4" t="str">
        <f ca="1">_xlfn.IFNA(VLOOKUP(INDIRECT("G"&amp;ROW()),minfo!$A:$M,COLUMN()-8,0),"")</f>
        <v>https://i0.hdslb.com/bfs/station_src/music_metadata/c090e975b37d51a19f23549ae9b7344d.jpg</v>
      </c>
      <c r="P304" s="4" t="str">
        <f ca="1">_xlfn.IFNA(VLOOKUP(INDIRECT("G"&amp;ROW()),minfo!$A:$M,COLUMN()-8,0),"")</f>
        <v>http://i0.hdslb.com/bfs/station_src/music_metadata/84edd7241faa035334b93a365b512d07</v>
      </c>
      <c r="Q304" s="4">
        <f ca="1">_xlfn.IFNA(VLOOKUP(INDIRECT("G"&amp;ROW()),minfo!$A:$M,COLUMN()-8,0),"")</f>
        <v>6076</v>
      </c>
      <c r="R304" s="4">
        <f ca="1">_xlfn.IFNA(VLOOKUP(INDIRECT("G"&amp;ROW()),minfo!$A:$M,COLUMN()-8,0),"")</f>
        <v>0</v>
      </c>
      <c r="S304" s="4" t="str">
        <f ca="1">_xlfn.IFNA(VLOOKUP(INDIRECT("G"&amp;ROW()),minfo!$A:$M,COLUMN()-8,0),"")</f>
        <v>跨时代</v>
      </c>
      <c r="T304" s="4">
        <f ca="1">_xlfn.IFNA(VLOOKUP(INDIRECT("G"&amp;ROW()),minfo!$A:$M,COLUMN()-8,0),"")</f>
        <v>448639596</v>
      </c>
      <c r="U304" s="4">
        <f ca="1">_xlfn.IFNA(VLOOKUP(INDIRECT("G"&amp;ROW()),minfo!$A:$M,COLUMN()-8,0),"")</f>
        <v>0</v>
      </c>
    </row>
    <row r="305" spans="1:21" ht="15.75" customHeight="1">
      <c r="A305" s="15">
        <v>304</v>
      </c>
      <c r="B305" s="4" t="s">
        <v>3865</v>
      </c>
      <c r="C305" s="4">
        <v>305</v>
      </c>
      <c r="D305" s="4">
        <v>107</v>
      </c>
      <c r="E305" s="4" t="s">
        <v>1048</v>
      </c>
      <c r="F305" s="16">
        <v>45063</v>
      </c>
      <c r="G305" s="5" t="s">
        <v>1047</v>
      </c>
      <c r="H305" s="5" t="s">
        <v>3754</v>
      </c>
      <c r="I305" s="24" t="str">
        <f>HYPERLINK("https://www.bilibili.com/video/BV1cs4y1w7Lv?p=107", "BV1cs4y1w7Lv?p=107")</f>
        <v>BV1cs4y1w7Lv?p=107</v>
      </c>
      <c r="J305" s="4" t="str">
        <f ca="1">_xlfn.IFNA(VLOOKUP(INDIRECT("G"&amp;ROW()),minfo!$A:$M,COLUMN()-8,0),"")</f>
        <v>雨下一整晚</v>
      </c>
      <c r="K305" s="4" t="str">
        <f ca="1">_xlfn.IFNA(VLOOKUP(INDIRECT("G"&amp;ROW()),minfo!$A:$M,COLUMN()-8,0),"")</f>
        <v>周杰伦</v>
      </c>
      <c r="L305" s="4">
        <f ca="1">_xlfn.IFNA(VLOOKUP(INDIRECT("G"&amp;ROW()),minfo!$A:$M,COLUMN()-8,0),"")</f>
        <v>0</v>
      </c>
      <c r="M305" s="4">
        <f ca="1">_xlfn.IFNA(VLOOKUP(INDIRECT("G"&amp;ROW()),minfo!$A:$M,COLUMN()-8,0),"")</f>
        <v>0</v>
      </c>
      <c r="N305" s="4">
        <f ca="1">_xlfn.IFNA(VLOOKUP(INDIRECT("G"&amp;ROW()),minfo!$A:$M,COLUMN()-8,0),"")</f>
        <v>0</v>
      </c>
      <c r="O305" s="4" t="str">
        <f ca="1">_xlfn.IFNA(VLOOKUP(INDIRECT("G"&amp;ROW()),minfo!$A:$M,COLUMN()-8,0),"")</f>
        <v>https://i0.hdslb.com/bfs/station_src/music_metadata/740bcd3058e7aa98df27f1f0a32b0f4b.jpg</v>
      </c>
      <c r="P305" s="4" t="str">
        <f ca="1">_xlfn.IFNA(VLOOKUP(INDIRECT("G"&amp;ROW()),minfo!$A:$M,COLUMN()-8,0),"")</f>
        <v>copyright-crawler/music/task-lyric/654daafbfad724c0d03b496f.txt</v>
      </c>
      <c r="Q305" s="4">
        <f ca="1">_xlfn.IFNA(VLOOKUP(INDIRECT("G"&amp;ROW()),minfo!$A:$M,COLUMN()-8,0),"")</f>
        <v>2220</v>
      </c>
      <c r="R305" s="4" t="str">
        <f ca="1">_xlfn.IFNA(VLOOKUP(INDIRECT("G"&amp;ROW()),minfo!$A:$M,COLUMN()-8,0),"")</f>
        <v>雨下一整晚</v>
      </c>
      <c r="S305" s="4" t="str">
        <f ca="1">_xlfn.IFNA(VLOOKUP(INDIRECT("G"&amp;ROW()),minfo!$A:$M,COLUMN()-8,0),"")</f>
        <v>跨时代</v>
      </c>
      <c r="T305" s="4">
        <f ca="1">_xlfn.IFNA(VLOOKUP(INDIRECT("G"&amp;ROW()),minfo!$A:$M,COLUMN()-8,0),"")</f>
        <v>288931916</v>
      </c>
      <c r="U305" s="4">
        <f ca="1">_xlfn.IFNA(VLOOKUP(INDIRECT("G"&amp;ROW()),minfo!$A:$M,COLUMN()-8,0),"")</f>
        <v>0</v>
      </c>
    </row>
    <row r="306" spans="1:21" ht="15.75" customHeight="1">
      <c r="A306" s="15">
        <v>305</v>
      </c>
      <c r="B306" s="4" t="s">
        <v>3866</v>
      </c>
      <c r="C306" s="4">
        <v>306</v>
      </c>
      <c r="D306" s="4">
        <v>108</v>
      </c>
      <c r="E306" s="4" t="s">
        <v>1044</v>
      </c>
      <c r="F306" s="16">
        <v>45063</v>
      </c>
      <c r="G306" s="5" t="s">
        <v>1043</v>
      </c>
      <c r="H306" s="5" t="s">
        <v>3754</v>
      </c>
      <c r="I306" s="24" t="str">
        <f>HYPERLINK("https://www.bilibili.com/video/BV1cs4y1w7Lv?p=108", "BV1cs4y1w7Lv?p=108")</f>
        <v>BV1cs4y1w7Lv?p=108</v>
      </c>
      <c r="J306" s="4" t="str">
        <f ca="1">_xlfn.IFNA(VLOOKUP(INDIRECT("G"&amp;ROW()),minfo!$A:$M,COLUMN()-8,0),"")</f>
        <v>花海</v>
      </c>
      <c r="K306" s="4" t="str">
        <f ca="1">_xlfn.IFNA(VLOOKUP(INDIRECT("G"&amp;ROW()),minfo!$A:$M,COLUMN()-8,0),"")</f>
        <v>周杰伦</v>
      </c>
      <c r="L306" s="4">
        <f ca="1">_xlfn.IFNA(VLOOKUP(INDIRECT("G"&amp;ROW()),minfo!$A:$M,COLUMN()-8,0),"")</f>
        <v>0</v>
      </c>
      <c r="M306" s="4">
        <f ca="1">_xlfn.IFNA(VLOOKUP(INDIRECT("G"&amp;ROW()),minfo!$A:$M,COLUMN()-8,0),"")</f>
        <v>0</v>
      </c>
      <c r="N306" s="4">
        <f ca="1">_xlfn.IFNA(VLOOKUP(INDIRECT("G"&amp;ROW()),minfo!$A:$M,COLUMN()-8,0),"")</f>
        <v>0</v>
      </c>
      <c r="O306" s="4" t="str">
        <f ca="1">_xlfn.IFNA(VLOOKUP(INDIRECT("G"&amp;ROW()),minfo!$A:$M,COLUMN()-8,0),"")</f>
        <v>http://i0.hdslb.com/bfs/station_src/music_metadata/d1259ab52f391cf8b4eff157118ac592.jpg</v>
      </c>
      <c r="P306" s="4" t="str">
        <f ca="1">_xlfn.IFNA(VLOOKUP(INDIRECT("G"&amp;ROW()),minfo!$A:$M,COLUMN()-8,0),"")</f>
        <v>http://i0.hdslb.com/bfs/station_src/music_metadata/9d91aaabc90b6aafb617648a5dce5812</v>
      </c>
      <c r="Q306" s="4">
        <f ca="1">_xlfn.IFNA(VLOOKUP(INDIRECT("G"&amp;ROW()),minfo!$A:$M,COLUMN()-8,0),"")</f>
        <v>9979</v>
      </c>
      <c r="R306" s="4">
        <f ca="1">_xlfn.IFNA(VLOOKUP(INDIRECT("G"&amp;ROW()),minfo!$A:$M,COLUMN()-8,0),"")</f>
        <v>0</v>
      </c>
      <c r="S306" s="4" t="str">
        <f ca="1">_xlfn.IFNA(VLOOKUP(INDIRECT("G"&amp;ROW()),minfo!$A:$M,COLUMN()-8,0),"")</f>
        <v>魔杰座</v>
      </c>
      <c r="T306" s="4">
        <f ca="1">_xlfn.IFNA(VLOOKUP(INDIRECT("G"&amp;ROW()),minfo!$A:$M,COLUMN()-8,0),"")</f>
        <v>933132694</v>
      </c>
      <c r="U306" s="4" t="str">
        <f ca="1">_xlfn.IFNA(VLOOKUP(INDIRECT("G"&amp;ROW()),minfo!$A:$M,COLUMN()-8,0),"")</f>
        <v>音乐榜最高NO.6</v>
      </c>
    </row>
    <row r="307" spans="1:21" ht="15.75" customHeight="1">
      <c r="A307" s="15">
        <v>306</v>
      </c>
      <c r="B307" s="4" t="s">
        <v>3867</v>
      </c>
      <c r="C307" s="4">
        <v>307</v>
      </c>
      <c r="D307" s="4">
        <v>109</v>
      </c>
      <c r="E307" s="4" t="s">
        <v>967</v>
      </c>
      <c r="F307" s="16">
        <v>45063</v>
      </c>
      <c r="G307" s="5" t="s">
        <v>966</v>
      </c>
      <c r="H307" s="5" t="s">
        <v>3754</v>
      </c>
      <c r="I307" s="24" t="str">
        <f>HYPERLINK("https://www.bilibili.com/video/BV1cs4y1w7Lv?p=109", "BV1cs4y1w7Lv?p=109")</f>
        <v>BV1cs4y1w7Lv?p=109</v>
      </c>
      <c r="J307" s="4" t="str">
        <f ca="1">_xlfn.IFNA(VLOOKUP(INDIRECT("G"&amp;ROW()),minfo!$A:$M,COLUMN()-8,0),"")</f>
        <v>小雨</v>
      </c>
      <c r="K307" s="4" t="str">
        <f ca="1">_xlfn.IFNA(VLOOKUP(INDIRECT("G"&amp;ROW()),minfo!$A:$M,COLUMN()-8,0),"")</f>
        <v>黄龄</v>
      </c>
      <c r="L307" s="4">
        <f ca="1">_xlfn.IFNA(VLOOKUP(INDIRECT("G"&amp;ROW()),minfo!$A:$M,COLUMN()-8,0),"")</f>
        <v>0</v>
      </c>
      <c r="M307" s="4">
        <f ca="1">_xlfn.IFNA(VLOOKUP(INDIRECT("G"&amp;ROW()),minfo!$A:$M,COLUMN()-8,0),"")</f>
        <v>0</v>
      </c>
      <c r="N307" s="4">
        <f ca="1">_xlfn.IFNA(VLOOKUP(INDIRECT("G"&amp;ROW()),minfo!$A:$M,COLUMN()-8,0),"")</f>
        <v>0</v>
      </c>
      <c r="O307" s="4" t="str">
        <f ca="1">_xlfn.IFNA(VLOOKUP(INDIRECT("G"&amp;ROW()),minfo!$A:$M,COLUMN()-8,0),"")</f>
        <v>https://i0.hdslb.com/bfs/station_src/music_metadata/607346922702f1ba7302d87db0ecdbf1.jpg</v>
      </c>
      <c r="P307" s="4" t="str">
        <f ca="1">_xlfn.IFNA(VLOOKUP(INDIRECT("G"&amp;ROW()),minfo!$A:$M,COLUMN()-8,0),"")</f>
        <v>https://i0.hdslb.com/bfs/station_src/music_metadata/245fdd0b68a8f71caa554e8f05ea1b6c.txt</v>
      </c>
      <c r="Q307" s="4">
        <f ca="1">_xlfn.IFNA(VLOOKUP(INDIRECT("G"&amp;ROW()),minfo!$A:$M,COLUMN()-8,0),"")</f>
        <v>2250</v>
      </c>
      <c r="R307" s="4">
        <f ca="1">_xlfn.IFNA(VLOOKUP(INDIRECT("G"&amp;ROW()),minfo!$A:$M,COLUMN()-8,0),"")</f>
        <v>0</v>
      </c>
      <c r="S307" s="4" t="str">
        <f ca="1">_xlfn.IFNA(VLOOKUP(INDIRECT("G"&amp;ROW()),minfo!$A:$M,COLUMN()-8,0),"")</f>
        <v>小雨</v>
      </c>
      <c r="T307" s="4">
        <f ca="1">_xlfn.IFNA(VLOOKUP(INDIRECT("G"&amp;ROW()),minfo!$A:$M,COLUMN()-8,0),"")</f>
        <v>63947645</v>
      </c>
      <c r="U307" s="4">
        <f ca="1">_xlfn.IFNA(VLOOKUP(INDIRECT("G"&amp;ROW()),minfo!$A:$M,COLUMN()-8,0),"")</f>
        <v>0</v>
      </c>
    </row>
    <row r="308" spans="1:21" ht="15.75" customHeight="1">
      <c r="A308" s="15">
        <v>307</v>
      </c>
      <c r="B308" s="4" t="s">
        <v>3868</v>
      </c>
      <c r="C308" s="4">
        <v>308</v>
      </c>
      <c r="D308" s="4">
        <v>110</v>
      </c>
      <c r="E308" s="4" t="s">
        <v>1052</v>
      </c>
      <c r="F308" s="16">
        <v>45063</v>
      </c>
      <c r="G308" s="5" t="s">
        <v>1051</v>
      </c>
      <c r="H308" s="5" t="s">
        <v>3754</v>
      </c>
      <c r="I308" s="24" t="str">
        <f>HYPERLINK("https://www.bilibili.com/video/BV1cs4y1w7Lv?p=110", "BV1cs4y1w7Lv?p=110")</f>
        <v>BV1cs4y1w7Lv?p=110</v>
      </c>
      <c r="J308" s="4" t="str">
        <f ca="1">_xlfn.IFNA(VLOOKUP(INDIRECT("G"&amp;ROW()),minfo!$A:$M,COLUMN()-8,0),"")</f>
        <v>溺水金鱼</v>
      </c>
      <c r="K308" s="4" t="str">
        <f ca="1">_xlfn.IFNA(VLOOKUP(INDIRECT("G"&amp;ROW()),minfo!$A:$M,COLUMN()-8,0),"")</f>
        <v>说说Crystal</v>
      </c>
      <c r="L308" s="4">
        <f ca="1">_xlfn.IFNA(VLOOKUP(INDIRECT("G"&amp;ROW()),minfo!$A:$M,COLUMN()-8,0),"")</f>
        <v>0</v>
      </c>
      <c r="M308" s="4">
        <f ca="1">_xlfn.IFNA(VLOOKUP(INDIRECT("G"&amp;ROW()),minfo!$A:$M,COLUMN()-8,0),"")</f>
        <v>0</v>
      </c>
      <c r="N308" s="4">
        <f ca="1">_xlfn.IFNA(VLOOKUP(INDIRECT("G"&amp;ROW()),minfo!$A:$M,COLUMN()-8,0),"")</f>
        <v>0</v>
      </c>
      <c r="O308" s="4" t="str">
        <f ca="1">_xlfn.IFNA(VLOOKUP(INDIRECT("G"&amp;ROW()),minfo!$A:$M,COLUMN()-8,0),"")</f>
        <v>https://i0.hdslb.com/bfs/station_src/music_metadata/3a12093727e659474758b68e5652f564.jpg</v>
      </c>
      <c r="P308" s="4" t="str">
        <f ca="1">_xlfn.IFNA(VLOOKUP(INDIRECT("G"&amp;ROW()),minfo!$A:$M,COLUMN()-8,0),"")</f>
        <v>https://i0.hdslb.com/bfs/station_src/music_metadata/ac90a688d8fe008664a9c256ce5f21b2.txt</v>
      </c>
      <c r="Q308" s="4">
        <f ca="1">_xlfn.IFNA(VLOOKUP(INDIRECT("G"&amp;ROW()),minfo!$A:$M,COLUMN()-8,0),"")</f>
        <v>0</v>
      </c>
      <c r="R308" s="4">
        <f ca="1">_xlfn.IFNA(VLOOKUP(INDIRECT("G"&amp;ROW()),minfo!$A:$M,COLUMN()-8,0),"")</f>
        <v>0</v>
      </c>
      <c r="S308" s="4" t="str">
        <f ca="1">_xlfn.IFNA(VLOOKUP(INDIRECT("G"&amp;ROW()),minfo!$A:$M,COLUMN()-8,0),"")</f>
        <v>溺水金鱼（Cover：漆柚）</v>
      </c>
      <c r="T308" s="4">
        <f ca="1">_xlfn.IFNA(VLOOKUP(INDIRECT("G"&amp;ROW()),minfo!$A:$M,COLUMN()-8,0),"")</f>
        <v>264744</v>
      </c>
      <c r="U308" s="4">
        <f ca="1">_xlfn.IFNA(VLOOKUP(INDIRECT("G"&amp;ROW()),minfo!$A:$M,COLUMN()-8,0),"")</f>
        <v>0</v>
      </c>
    </row>
    <row r="309" spans="1:21" ht="15.75" customHeight="1">
      <c r="A309" s="15">
        <v>308</v>
      </c>
      <c r="B309" s="4" t="s">
        <v>3869</v>
      </c>
      <c r="C309" s="4">
        <v>309</v>
      </c>
      <c r="D309" s="4">
        <v>111</v>
      </c>
      <c r="E309" s="4" t="s">
        <v>328</v>
      </c>
      <c r="F309" s="16">
        <v>45066</v>
      </c>
      <c r="G309" s="5" t="s">
        <v>327</v>
      </c>
      <c r="H309" s="5" t="s">
        <v>3754</v>
      </c>
      <c r="I309" s="24" t="str">
        <f>HYPERLINK("https://www.bilibili.com/video/BV1cs4y1w7Lv?p=111", "BV1cs4y1w7Lv?p=111")</f>
        <v>BV1cs4y1w7Lv?p=111</v>
      </c>
      <c r="J309" s="4" t="str">
        <f ca="1">_xlfn.IFNA(VLOOKUP(INDIRECT("G"&amp;ROW()),minfo!$A:$M,COLUMN()-8,0),"")</f>
        <v>浪漫手机</v>
      </c>
      <c r="K309" s="4" t="str">
        <f ca="1">_xlfn.IFNA(VLOOKUP(INDIRECT("G"&amp;ROW()),minfo!$A:$M,COLUMN()-8,0),"")</f>
        <v>周杰伦</v>
      </c>
      <c r="L309" s="4">
        <f ca="1">_xlfn.IFNA(VLOOKUP(INDIRECT("G"&amp;ROW()),minfo!$A:$M,COLUMN()-8,0),"")</f>
        <v>0</v>
      </c>
      <c r="M309" s="4">
        <f ca="1">_xlfn.IFNA(VLOOKUP(INDIRECT("G"&amp;ROW()),minfo!$A:$M,COLUMN()-8,0),"")</f>
        <v>0</v>
      </c>
      <c r="N309" s="4">
        <f ca="1">_xlfn.IFNA(VLOOKUP(INDIRECT("G"&amp;ROW()),minfo!$A:$M,COLUMN()-8,0),"")</f>
        <v>0</v>
      </c>
      <c r="O309" s="4" t="str">
        <f ca="1">_xlfn.IFNA(VLOOKUP(INDIRECT("G"&amp;ROW()),minfo!$A:$M,COLUMN()-8,0),"")</f>
        <v>https://i0.hdslb.com/bfs/station_src/music_metadata/8eedd1a09269c8d74ed387337e626b75.jpg</v>
      </c>
      <c r="P309" s="4" t="str">
        <f ca="1">_xlfn.IFNA(VLOOKUP(INDIRECT("G"&amp;ROW()),minfo!$A:$M,COLUMN()-8,0),"")</f>
        <v>https://i0.hdslb.com/bfs/station_src/music_metadata/ae5c6e95bbcbbf46dea75520d23f2e3e.txt</v>
      </c>
      <c r="Q309" s="4">
        <f ca="1">_xlfn.IFNA(VLOOKUP(INDIRECT("G"&amp;ROW()),minfo!$A:$M,COLUMN()-8,0),"")</f>
        <v>757</v>
      </c>
      <c r="R309" s="4">
        <f ca="1">_xlfn.IFNA(VLOOKUP(INDIRECT("G"&amp;ROW()),minfo!$A:$M,COLUMN()-8,0),"")</f>
        <v>0</v>
      </c>
      <c r="S309" s="4" t="str">
        <f ca="1">_xlfn.IFNA(VLOOKUP(INDIRECT("G"&amp;ROW()),minfo!$A:$M,COLUMN()-8,0),"")</f>
        <v>十一月的萧邦</v>
      </c>
      <c r="T309" s="4">
        <f ca="1">_xlfn.IFNA(VLOOKUP(INDIRECT("G"&amp;ROW()),minfo!$A:$M,COLUMN()-8,0),"")</f>
        <v>267490941</v>
      </c>
      <c r="U309" s="4">
        <f ca="1">_xlfn.IFNA(VLOOKUP(INDIRECT("G"&amp;ROW()),minfo!$A:$M,COLUMN()-8,0),"")</f>
        <v>0</v>
      </c>
    </row>
    <row r="310" spans="1:21" ht="15.75" customHeight="1">
      <c r="A310" s="15">
        <v>309</v>
      </c>
      <c r="B310" s="4" t="s">
        <v>3870</v>
      </c>
      <c r="C310" s="4">
        <v>310</v>
      </c>
      <c r="D310" s="4">
        <v>112</v>
      </c>
      <c r="E310" s="4" t="s">
        <v>75</v>
      </c>
      <c r="F310" s="16">
        <v>45066</v>
      </c>
      <c r="G310" s="5" t="s">
        <v>1056</v>
      </c>
      <c r="H310" s="5" t="s">
        <v>3754</v>
      </c>
      <c r="I310" s="24" t="str">
        <f>HYPERLINK("https://www.bilibili.com/video/BV1cs4y1w7Lv?p=112", "BV1cs4y1w7Lv?p=112")</f>
        <v>BV1cs4y1w7Lv?p=112</v>
      </c>
      <c r="J310" s="4" t="str">
        <f ca="1">_xlfn.IFNA(VLOOKUP(INDIRECT("G"&amp;ROW()),minfo!$A:$M,COLUMN()-8,0),"")</f>
        <v>布虎记</v>
      </c>
      <c r="K310" s="4" t="str">
        <f ca="1">_xlfn.IFNA(VLOOKUP(INDIRECT("G"&amp;ROW()),minfo!$A:$M,COLUMN()-8,0),"")</f>
        <v>洛天依,西门振</v>
      </c>
      <c r="L310" s="4">
        <f ca="1">_xlfn.IFNA(VLOOKUP(INDIRECT("G"&amp;ROW()),minfo!$A:$M,COLUMN()-8,0),"")</f>
        <v>0</v>
      </c>
      <c r="M310" s="4">
        <f ca="1">_xlfn.IFNA(VLOOKUP(INDIRECT("G"&amp;ROW()),minfo!$A:$M,COLUMN()-8,0),"")</f>
        <v>0</v>
      </c>
      <c r="N310" s="4">
        <f ca="1">_xlfn.IFNA(VLOOKUP(INDIRECT("G"&amp;ROW()),minfo!$A:$M,COLUMN()-8,0),"")</f>
        <v>0</v>
      </c>
      <c r="O310" s="4" t="str">
        <f ca="1">_xlfn.IFNA(VLOOKUP(INDIRECT("G"&amp;ROW()),minfo!$A:$M,COLUMN()-8,0),"")</f>
        <v>https://i0.hdslb.com/bfs/station_src/music_metadata/346f3d0245c598c7be9afcb1e6a727b4.jpg</v>
      </c>
      <c r="P310" s="4">
        <f ca="1">_xlfn.IFNA(VLOOKUP(INDIRECT("G"&amp;ROW()),minfo!$A:$M,COLUMN()-8,0),"")</f>
        <v>0</v>
      </c>
      <c r="Q310" s="4">
        <f ca="1">_xlfn.IFNA(VLOOKUP(INDIRECT("G"&amp;ROW()),minfo!$A:$M,COLUMN()-8,0),"")</f>
        <v>0</v>
      </c>
      <c r="R310" s="4">
        <f ca="1">_xlfn.IFNA(VLOOKUP(INDIRECT("G"&amp;ROW()),minfo!$A:$M,COLUMN()-8,0),"")</f>
        <v>0</v>
      </c>
      <c r="S310" s="4" t="str">
        <f ca="1">_xlfn.IFNA(VLOOKUP(INDIRECT("G"&amp;ROW()),minfo!$A:$M,COLUMN()-8,0),"")</f>
        <v>【2022虚拟歌手贺岁纪】布虎记</v>
      </c>
      <c r="T310" s="4">
        <f ca="1">_xlfn.IFNA(VLOOKUP(INDIRECT("G"&amp;ROW()),minfo!$A:$M,COLUMN()-8,0),"")</f>
        <v>1512793</v>
      </c>
      <c r="U310" s="4">
        <f ca="1">_xlfn.IFNA(VLOOKUP(INDIRECT("G"&amp;ROW()),minfo!$A:$M,COLUMN()-8,0),"")</f>
        <v>0</v>
      </c>
    </row>
    <row r="311" spans="1:21" ht="15.75" customHeight="1">
      <c r="A311" s="15">
        <v>310</v>
      </c>
      <c r="B311" s="4" t="s">
        <v>3871</v>
      </c>
      <c r="C311" s="4">
        <v>311</v>
      </c>
      <c r="D311" s="4">
        <v>113</v>
      </c>
      <c r="E311" s="4" t="s">
        <v>409</v>
      </c>
      <c r="F311" s="16">
        <v>45066</v>
      </c>
      <c r="G311" s="5" t="s">
        <v>408</v>
      </c>
      <c r="H311" s="5" t="s">
        <v>3754</v>
      </c>
      <c r="I311" s="24" t="str">
        <f>HYPERLINK("https://www.bilibili.com/video/BV1cs4y1w7Lv?p=113", "BV1cs4y1w7Lv?p=113")</f>
        <v>BV1cs4y1w7Lv?p=113</v>
      </c>
      <c r="J311" s="4" t="str">
        <f ca="1">_xlfn.IFNA(VLOOKUP(INDIRECT("G"&amp;ROW()),minfo!$A:$M,COLUMN()-8,0),"")</f>
        <v>呼吸决定</v>
      </c>
      <c r="K311" s="4" t="str">
        <f ca="1">_xlfn.IFNA(VLOOKUP(INDIRECT("G"&amp;ROW()),minfo!$A:$M,COLUMN()-8,0),"")</f>
        <v>Fine乐团</v>
      </c>
      <c r="L311" s="4">
        <f ca="1">_xlfn.IFNA(VLOOKUP(INDIRECT("G"&amp;ROW()),minfo!$A:$M,COLUMN()-8,0),"")</f>
        <v>0</v>
      </c>
      <c r="M311" s="4">
        <f ca="1">_xlfn.IFNA(VLOOKUP(INDIRECT("G"&amp;ROW()),minfo!$A:$M,COLUMN()-8,0),"")</f>
        <v>0</v>
      </c>
      <c r="N311" s="4">
        <f ca="1">_xlfn.IFNA(VLOOKUP(INDIRECT("G"&amp;ROW()),minfo!$A:$M,COLUMN()-8,0),"")</f>
        <v>0</v>
      </c>
      <c r="O311" s="4" t="str">
        <f ca="1">_xlfn.IFNA(VLOOKUP(INDIRECT("G"&amp;ROW()),minfo!$A:$M,COLUMN()-8,0),"")</f>
        <v>http://i0.hdslb.com/bfs/station_src/music_metadata/de6c3020bce1962dc02b42568606781f.jpg</v>
      </c>
      <c r="P311" s="4" t="str">
        <f ca="1">_xlfn.IFNA(VLOOKUP(INDIRECT("G"&amp;ROW()),minfo!$A:$M,COLUMN()-8,0),"")</f>
        <v>http://i0.hdslb.com/bfs/station_src/music_metadata/9dfd516512eb23be6e624848db3bed57</v>
      </c>
      <c r="Q311" s="4">
        <f ca="1">_xlfn.IFNA(VLOOKUP(INDIRECT("G"&amp;ROW()),minfo!$A:$M,COLUMN()-8,0),"")</f>
        <v>838</v>
      </c>
      <c r="R311" s="4">
        <f ca="1">_xlfn.IFNA(VLOOKUP(INDIRECT("G"&amp;ROW()),minfo!$A:$M,COLUMN()-8,0),"")</f>
        <v>0</v>
      </c>
      <c r="S311" s="4">
        <f ca="1">_xlfn.IFNA(VLOOKUP(INDIRECT("G"&amp;ROW()),minfo!$A:$M,COLUMN()-8,0),"")</f>
        <v>0</v>
      </c>
      <c r="T311" s="4">
        <f ca="1">_xlfn.IFNA(VLOOKUP(INDIRECT("G"&amp;ROW()),minfo!$A:$M,COLUMN()-8,0),"")</f>
        <v>100019249</v>
      </c>
      <c r="U311" s="4">
        <f ca="1">_xlfn.IFNA(VLOOKUP(INDIRECT("G"&amp;ROW()),minfo!$A:$M,COLUMN()-8,0),"")</f>
        <v>0</v>
      </c>
    </row>
    <row r="312" spans="1:21" ht="15.75" customHeight="1">
      <c r="A312" s="15">
        <v>311</v>
      </c>
      <c r="B312" s="4" t="s">
        <v>3872</v>
      </c>
      <c r="C312" s="4">
        <v>312</v>
      </c>
      <c r="D312" s="4">
        <v>114</v>
      </c>
      <c r="E312" s="4" t="s">
        <v>95</v>
      </c>
      <c r="F312" s="16">
        <v>45066</v>
      </c>
      <c r="G312" s="5" t="s">
        <v>203</v>
      </c>
      <c r="H312" s="5" t="s">
        <v>3754</v>
      </c>
      <c r="I312" s="24" t="str">
        <f>HYPERLINK("https://www.bilibili.com/video/BV1cs4y1w7Lv?p=114", "BV1cs4y1w7Lv?p=114")</f>
        <v>BV1cs4y1w7Lv?p=114</v>
      </c>
      <c r="J312" s="4" t="str">
        <f ca="1">_xlfn.IFNA(VLOOKUP(INDIRECT("G"&amp;ROW()),minfo!$A:$M,COLUMN()-8,0),"")</f>
        <v>不问天</v>
      </c>
      <c r="K312" s="4" t="str">
        <f ca="1">_xlfn.IFNA(VLOOKUP(INDIRECT("G"&amp;ROW()),minfo!$A:$M,COLUMN()-8,0),"")</f>
        <v>说说Crystal</v>
      </c>
      <c r="L312" s="4">
        <f ca="1">_xlfn.IFNA(VLOOKUP(INDIRECT("G"&amp;ROW()),minfo!$A:$M,COLUMN()-8,0),"")</f>
        <v>0</v>
      </c>
      <c r="M312" s="4">
        <f ca="1">_xlfn.IFNA(VLOOKUP(INDIRECT("G"&amp;ROW()),minfo!$A:$M,COLUMN()-8,0),"")</f>
        <v>0</v>
      </c>
      <c r="N312" s="4">
        <f ca="1">_xlfn.IFNA(VLOOKUP(INDIRECT("G"&amp;ROW()),minfo!$A:$M,COLUMN()-8,0),"")</f>
        <v>0</v>
      </c>
      <c r="O312" s="4" t="str">
        <f ca="1">_xlfn.IFNA(VLOOKUP(INDIRECT("G"&amp;ROW()),minfo!$A:$M,COLUMN()-8,0),"")</f>
        <v>https://i0.hdslb.com/bfs/station_src/music_metadata/ce3a0da2a7e64a49fa42a6e3db521f57.jpg</v>
      </c>
      <c r="P312" s="4" t="str">
        <f ca="1">_xlfn.IFNA(VLOOKUP(INDIRECT("G"&amp;ROW()),minfo!$A:$M,COLUMN()-8,0),"")</f>
        <v>https://i0.hdslb.com/bfs/station_src/music_metadata/02cd9198a33924449443fc704a92a25a.txt</v>
      </c>
      <c r="Q312" s="4">
        <f ca="1">_xlfn.IFNA(VLOOKUP(INDIRECT("G"&amp;ROW()),minfo!$A:$M,COLUMN()-8,0),"")</f>
        <v>149</v>
      </c>
      <c r="R312" s="4">
        <f ca="1">_xlfn.IFNA(VLOOKUP(INDIRECT("G"&amp;ROW()),minfo!$A:$M,COLUMN()-8,0),"")</f>
        <v>0</v>
      </c>
      <c r="S312" s="4" t="str">
        <f ca="1">_xlfn.IFNA(VLOOKUP(INDIRECT("G"&amp;ROW()),minfo!$A:$M,COLUMN()-8,0),"")</f>
        <v>2021哔哩哔哩拜年纪</v>
      </c>
      <c r="T312" s="4">
        <f ca="1">_xlfn.IFNA(VLOOKUP(INDIRECT("G"&amp;ROW()),minfo!$A:$M,COLUMN()-8,0),"")</f>
        <v>33137051</v>
      </c>
      <c r="U312" s="4">
        <f ca="1">_xlfn.IFNA(VLOOKUP(INDIRECT("G"&amp;ROW()),minfo!$A:$M,COLUMN()-8,0),"")</f>
        <v>0</v>
      </c>
    </row>
    <row r="313" spans="1:21" ht="15.75" customHeight="1">
      <c r="A313" s="15">
        <v>312</v>
      </c>
      <c r="B313" s="4" t="s">
        <v>3873</v>
      </c>
      <c r="C313" s="4">
        <v>313</v>
      </c>
      <c r="D313" s="4">
        <v>115</v>
      </c>
      <c r="E313" s="4" t="s">
        <v>337</v>
      </c>
      <c r="F313" s="16">
        <v>45066</v>
      </c>
      <c r="G313" s="5" t="s">
        <v>336</v>
      </c>
      <c r="H313" s="5" t="s">
        <v>3754</v>
      </c>
      <c r="I313" s="24" t="str">
        <f>HYPERLINK("https://www.bilibili.com/video/BV1cs4y1w7Lv?p=115", "BV1cs4y1w7Lv?p=115")</f>
        <v>BV1cs4y1w7Lv?p=115</v>
      </c>
      <c r="J313" s="4" t="str">
        <f ca="1">_xlfn.IFNA(VLOOKUP(INDIRECT("G"&amp;ROW()),minfo!$A:$M,COLUMN()-8,0),"")</f>
        <v>玛依拉变奏曲</v>
      </c>
      <c r="K313" s="4" t="str">
        <f ca="1">_xlfn.IFNA(VLOOKUP(INDIRECT("G"&amp;ROW()),minfo!$A:$M,COLUMN()-8,0),"")</f>
        <v>常思思</v>
      </c>
      <c r="L313" s="4">
        <f ca="1">_xlfn.IFNA(VLOOKUP(INDIRECT("G"&amp;ROW()),minfo!$A:$M,COLUMN()-8,0),"")</f>
        <v>0</v>
      </c>
      <c r="M313" s="4">
        <f ca="1">_xlfn.IFNA(VLOOKUP(INDIRECT("G"&amp;ROW()),minfo!$A:$M,COLUMN()-8,0),"")</f>
        <v>0</v>
      </c>
      <c r="N313" s="4">
        <f ca="1">_xlfn.IFNA(VLOOKUP(INDIRECT("G"&amp;ROW()),minfo!$A:$M,COLUMN()-8,0),"")</f>
        <v>0</v>
      </c>
      <c r="O313" s="4" t="str">
        <f ca="1">_xlfn.IFNA(VLOOKUP(INDIRECT("G"&amp;ROW()),minfo!$A:$M,COLUMN()-8,0),"")</f>
        <v>https://i0.hdslb.com/bfs/station_src/music_metadata/44ef3b674b440061a8551258b673f958.jpg</v>
      </c>
      <c r="P313" s="4" t="str">
        <f ca="1">_xlfn.IFNA(VLOOKUP(INDIRECT("G"&amp;ROW()),minfo!$A:$M,COLUMN()-8,0),"")</f>
        <v>https://i0.hdslb.com/bfs/station_src/music_metadata/0d31f0b335305bb6b2fae9ab4daacc38.txt</v>
      </c>
      <c r="Q313" s="4">
        <f ca="1">_xlfn.IFNA(VLOOKUP(INDIRECT("G"&amp;ROW()),minfo!$A:$M,COLUMN()-8,0),"")</f>
        <v>6</v>
      </c>
      <c r="R313" s="4">
        <f ca="1">_xlfn.IFNA(VLOOKUP(INDIRECT("G"&amp;ROW()),minfo!$A:$M,COLUMN()-8,0),"")</f>
        <v>0</v>
      </c>
      <c r="S313" s="4" t="str">
        <f ca="1">_xlfn.IFNA(VLOOKUP(INDIRECT("G"&amp;ROW()),minfo!$A:$M,COLUMN()-8,0),"")</f>
        <v>龙乐合集 27</v>
      </c>
      <c r="T313" s="4">
        <f ca="1">_xlfn.IFNA(VLOOKUP(INDIRECT("G"&amp;ROW()),minfo!$A:$M,COLUMN()-8,0),"")</f>
        <v>3469898</v>
      </c>
      <c r="U313" s="4">
        <f ca="1">_xlfn.IFNA(VLOOKUP(INDIRECT("G"&amp;ROW()),minfo!$A:$M,COLUMN()-8,0),"")</f>
        <v>0</v>
      </c>
    </row>
    <row r="314" spans="1:21" ht="15.75" customHeight="1">
      <c r="A314" s="15">
        <v>313</v>
      </c>
      <c r="B314" s="4" t="s">
        <v>3874</v>
      </c>
      <c r="C314" s="4">
        <v>314</v>
      </c>
      <c r="D314" s="4">
        <v>116</v>
      </c>
      <c r="E314" s="4" t="s">
        <v>370</v>
      </c>
      <c r="F314" s="16">
        <v>45066</v>
      </c>
      <c r="G314" s="5" t="s">
        <v>369</v>
      </c>
      <c r="H314" s="5" t="s">
        <v>3754</v>
      </c>
      <c r="I314" s="24" t="str">
        <f>HYPERLINK("https://www.bilibili.com/video/BV1cs4y1w7Lv?p=116", "BV1cs4y1w7Lv?p=116")</f>
        <v>BV1cs4y1w7Lv?p=116</v>
      </c>
      <c r="J314" s="4" t="str">
        <f ca="1">_xlfn.IFNA(VLOOKUP(INDIRECT("G"&amp;ROW()),minfo!$A:$M,COLUMN()-8,0),"")</f>
        <v>星晴</v>
      </c>
      <c r="K314" s="4" t="str">
        <f ca="1">_xlfn.IFNA(VLOOKUP(INDIRECT("G"&amp;ROW()),minfo!$A:$M,COLUMN()-8,0),"")</f>
        <v>周杰伦</v>
      </c>
      <c r="L314" s="4">
        <f ca="1">_xlfn.IFNA(VLOOKUP(INDIRECT("G"&amp;ROW()),minfo!$A:$M,COLUMN()-8,0),"")</f>
        <v>0</v>
      </c>
      <c r="M314" s="4">
        <f ca="1">_xlfn.IFNA(VLOOKUP(INDIRECT("G"&amp;ROW()),minfo!$A:$M,COLUMN()-8,0),"")</f>
        <v>0</v>
      </c>
      <c r="N314" s="4">
        <f ca="1">_xlfn.IFNA(VLOOKUP(INDIRECT("G"&amp;ROW()),minfo!$A:$M,COLUMN()-8,0),"")</f>
        <v>0</v>
      </c>
      <c r="O314" s="4" t="str">
        <f ca="1">_xlfn.IFNA(VLOOKUP(INDIRECT("G"&amp;ROW()),minfo!$A:$M,COLUMN()-8,0),"")</f>
        <v>http://i0.hdslb.com/bfs/station_src/music_metadata/6c5a2e49b22b5017b16436b34ffa8ff4.jpg</v>
      </c>
      <c r="P314" s="4" t="str">
        <f ca="1">_xlfn.IFNA(VLOOKUP(INDIRECT("G"&amp;ROW()),minfo!$A:$M,COLUMN()-8,0),"")</f>
        <v>http://i0.hdslb.com/bfs/station_src/music_metadata/51698719dd553d61e269f2d4bcc88e0c</v>
      </c>
      <c r="Q314" s="4">
        <f ca="1">_xlfn.IFNA(VLOOKUP(INDIRECT("G"&amp;ROW()),minfo!$A:$M,COLUMN()-8,0),"")</f>
        <v>1203</v>
      </c>
      <c r="R314" s="4">
        <f ca="1">_xlfn.IFNA(VLOOKUP(INDIRECT("G"&amp;ROW()),minfo!$A:$M,COLUMN()-8,0),"")</f>
        <v>0</v>
      </c>
      <c r="S314" s="4" t="str">
        <f ca="1">_xlfn.IFNA(VLOOKUP(INDIRECT("G"&amp;ROW()),minfo!$A:$M,COLUMN()-8,0),"")</f>
        <v>Jay</v>
      </c>
      <c r="T314" s="4">
        <f ca="1">_xlfn.IFNA(VLOOKUP(INDIRECT("G"&amp;ROW()),minfo!$A:$M,COLUMN()-8,0),"")</f>
        <v>318249236</v>
      </c>
      <c r="U314" s="4">
        <f ca="1">_xlfn.IFNA(VLOOKUP(INDIRECT("G"&amp;ROW()),minfo!$A:$M,COLUMN()-8,0),"")</f>
        <v>0</v>
      </c>
    </row>
    <row r="315" spans="1:21" ht="15.75" customHeight="1">
      <c r="A315" s="15">
        <v>314</v>
      </c>
      <c r="B315" s="4" t="s">
        <v>3875</v>
      </c>
      <c r="C315" s="4">
        <v>315</v>
      </c>
      <c r="D315" s="4">
        <v>117</v>
      </c>
      <c r="E315" s="4" t="s">
        <v>3644</v>
      </c>
      <c r="F315" s="16">
        <v>45066</v>
      </c>
      <c r="G315" s="5" t="s">
        <v>513</v>
      </c>
      <c r="H315" s="5" t="s">
        <v>3754</v>
      </c>
      <c r="I315" s="24" t="str">
        <f>HYPERLINK("https://www.bilibili.com/video/BV1cs4y1w7Lv?p=117", "BV1cs4y1w7Lv?p=117")</f>
        <v>BV1cs4y1w7Lv?p=117</v>
      </c>
      <c r="J315" s="4" t="str">
        <f ca="1">_xlfn.IFNA(VLOOKUP(INDIRECT("G"&amp;ROW()),minfo!$A:$M,COLUMN()-8,0),"")</f>
        <v>天知河</v>
      </c>
      <c r="K315" s="4" t="str">
        <f ca="1">_xlfn.IFNA(VLOOKUP(INDIRECT("G"&amp;ROW()),minfo!$A:$M,COLUMN()-8,0),"")</f>
        <v>说说Crystal</v>
      </c>
      <c r="L315" s="4">
        <f ca="1">_xlfn.IFNA(VLOOKUP(INDIRECT("G"&amp;ROW()),minfo!$A:$M,COLUMN()-8,0),"")</f>
        <v>0</v>
      </c>
      <c r="M315" s="4">
        <f ca="1">_xlfn.IFNA(VLOOKUP(INDIRECT("G"&amp;ROW()),minfo!$A:$M,COLUMN()-8,0),"")</f>
        <v>63471</v>
      </c>
      <c r="N315" s="4">
        <f ca="1">_xlfn.IFNA(VLOOKUP(INDIRECT("G"&amp;ROW()),minfo!$A:$M,COLUMN()-8,0),"")</f>
        <v>19895</v>
      </c>
      <c r="O315" s="4" t="str">
        <f ca="1">_xlfn.IFNA(VLOOKUP(INDIRECT("G"&amp;ROW()),minfo!$A:$M,COLUMN()-8,0),"")</f>
        <v>http://i0.hdslb.com/bfs/station_src/music_metadata/4ad5958a6b4bee52560f0cf175374bf7.jpg</v>
      </c>
      <c r="P315" s="4">
        <f ca="1">_xlfn.IFNA(VLOOKUP(INDIRECT("G"&amp;ROW()),minfo!$A:$M,COLUMN()-8,0),"")</f>
        <v>0</v>
      </c>
      <c r="Q315" s="4">
        <f ca="1">_xlfn.IFNA(VLOOKUP(INDIRECT("G"&amp;ROW()),minfo!$A:$M,COLUMN()-8,0),"")</f>
        <v>106</v>
      </c>
      <c r="R315" s="4">
        <f ca="1">_xlfn.IFNA(VLOOKUP(INDIRECT("G"&amp;ROW()),minfo!$A:$M,COLUMN()-8,0),"")</f>
        <v>0</v>
      </c>
      <c r="S315" s="4" t="str">
        <f ca="1">_xlfn.IFNA(VLOOKUP(INDIRECT("G"&amp;ROW()),minfo!$A:$M,COLUMN()-8,0),"")</f>
        <v>天知河</v>
      </c>
      <c r="T315" s="4">
        <f ca="1">_xlfn.IFNA(VLOOKUP(INDIRECT("G"&amp;ROW()),minfo!$A:$M,COLUMN()-8,0),"")</f>
        <v>3294592</v>
      </c>
      <c r="U315" s="4">
        <f ca="1">_xlfn.IFNA(VLOOKUP(INDIRECT("G"&amp;ROW()),minfo!$A:$M,COLUMN()-8,0),"")</f>
        <v>0</v>
      </c>
    </row>
    <row r="316" spans="1:21" ht="15.75" customHeight="1">
      <c r="A316" s="15">
        <v>315</v>
      </c>
      <c r="B316" s="4" t="s">
        <v>3876</v>
      </c>
      <c r="C316" s="4">
        <v>316</v>
      </c>
      <c r="D316" s="4">
        <v>118</v>
      </c>
      <c r="E316" s="4" t="s">
        <v>967</v>
      </c>
      <c r="F316" s="16">
        <v>45067</v>
      </c>
      <c r="G316" s="5" t="s">
        <v>966</v>
      </c>
      <c r="H316" s="5" t="s">
        <v>3754</v>
      </c>
      <c r="I316" s="24" t="str">
        <f>HYPERLINK("https://www.bilibili.com/video/BV1cs4y1w7Lv?p=118", "BV1cs4y1w7Lv?p=118")</f>
        <v>BV1cs4y1w7Lv?p=118</v>
      </c>
      <c r="J316" s="4" t="str">
        <f ca="1">_xlfn.IFNA(VLOOKUP(INDIRECT("G"&amp;ROW()),minfo!$A:$M,COLUMN()-8,0),"")</f>
        <v>小雨</v>
      </c>
      <c r="K316" s="4" t="str">
        <f ca="1">_xlfn.IFNA(VLOOKUP(INDIRECT("G"&amp;ROW()),minfo!$A:$M,COLUMN()-8,0),"")</f>
        <v>黄龄</v>
      </c>
      <c r="L316" s="4">
        <f ca="1">_xlfn.IFNA(VLOOKUP(INDIRECT("G"&amp;ROW()),minfo!$A:$M,COLUMN()-8,0),"")</f>
        <v>0</v>
      </c>
      <c r="M316" s="4">
        <f ca="1">_xlfn.IFNA(VLOOKUP(INDIRECT("G"&amp;ROW()),minfo!$A:$M,COLUMN()-8,0),"")</f>
        <v>0</v>
      </c>
      <c r="N316" s="4">
        <f ca="1">_xlfn.IFNA(VLOOKUP(INDIRECT("G"&amp;ROW()),minfo!$A:$M,COLUMN()-8,0),"")</f>
        <v>0</v>
      </c>
      <c r="O316" s="4" t="str">
        <f ca="1">_xlfn.IFNA(VLOOKUP(INDIRECT("G"&amp;ROW()),minfo!$A:$M,COLUMN()-8,0),"")</f>
        <v>https://i0.hdslb.com/bfs/station_src/music_metadata/607346922702f1ba7302d87db0ecdbf1.jpg</v>
      </c>
      <c r="P316" s="4" t="str">
        <f ca="1">_xlfn.IFNA(VLOOKUP(INDIRECT("G"&amp;ROW()),minfo!$A:$M,COLUMN()-8,0),"")</f>
        <v>https://i0.hdslb.com/bfs/station_src/music_metadata/245fdd0b68a8f71caa554e8f05ea1b6c.txt</v>
      </c>
      <c r="Q316" s="4">
        <f ca="1">_xlfn.IFNA(VLOOKUP(INDIRECT("G"&amp;ROW()),minfo!$A:$M,COLUMN()-8,0),"")</f>
        <v>2250</v>
      </c>
      <c r="R316" s="4">
        <f ca="1">_xlfn.IFNA(VLOOKUP(INDIRECT("G"&amp;ROW()),minfo!$A:$M,COLUMN()-8,0),"")</f>
        <v>0</v>
      </c>
      <c r="S316" s="4" t="str">
        <f ca="1">_xlfn.IFNA(VLOOKUP(INDIRECT("G"&amp;ROW()),minfo!$A:$M,COLUMN()-8,0),"")</f>
        <v>小雨</v>
      </c>
      <c r="T316" s="4">
        <f ca="1">_xlfn.IFNA(VLOOKUP(INDIRECT("G"&amp;ROW()),minfo!$A:$M,COLUMN()-8,0),"")</f>
        <v>63947645</v>
      </c>
      <c r="U316" s="4">
        <f ca="1">_xlfn.IFNA(VLOOKUP(INDIRECT("G"&amp;ROW()),minfo!$A:$M,COLUMN()-8,0),"")</f>
        <v>0</v>
      </c>
    </row>
    <row r="317" spans="1:21" ht="15.75" customHeight="1">
      <c r="A317" s="15">
        <v>316</v>
      </c>
      <c r="B317" s="4" t="s">
        <v>3877</v>
      </c>
      <c r="C317" s="4">
        <v>317</v>
      </c>
      <c r="D317" s="4">
        <v>119</v>
      </c>
      <c r="E317" s="4" t="s">
        <v>816</v>
      </c>
      <c r="F317" s="16">
        <v>45067</v>
      </c>
      <c r="G317" s="5" t="s">
        <v>815</v>
      </c>
      <c r="H317" s="5" t="s">
        <v>3754</v>
      </c>
      <c r="I317" s="24" t="str">
        <f>HYPERLINK("https://www.bilibili.com/video/BV1cs4y1w7Lv?p=119", "BV1cs4y1w7Lv?p=119")</f>
        <v>BV1cs4y1w7Lv?p=119</v>
      </c>
      <c r="J317" s="4" t="str">
        <f ca="1">_xlfn.IFNA(VLOOKUP(INDIRECT("G"&amp;ROW()),minfo!$A:$M,COLUMN()-8,0),"")</f>
        <v>开不了口</v>
      </c>
      <c r="K317" s="4" t="str">
        <f ca="1">_xlfn.IFNA(VLOOKUP(INDIRECT("G"&amp;ROW()),minfo!$A:$M,COLUMN()-8,0),"")</f>
        <v>周杰伦</v>
      </c>
      <c r="L317" s="4">
        <f ca="1">_xlfn.IFNA(VLOOKUP(INDIRECT("G"&amp;ROW()),minfo!$A:$M,COLUMN()-8,0),"")</f>
        <v>0</v>
      </c>
      <c r="M317" s="4">
        <f ca="1">_xlfn.IFNA(VLOOKUP(INDIRECT("G"&amp;ROW()),minfo!$A:$M,COLUMN()-8,0),"")</f>
        <v>0</v>
      </c>
      <c r="N317" s="4">
        <f ca="1">_xlfn.IFNA(VLOOKUP(INDIRECT("G"&amp;ROW()),minfo!$A:$M,COLUMN()-8,0),"")</f>
        <v>0</v>
      </c>
      <c r="O317" s="4" t="str">
        <f ca="1">_xlfn.IFNA(VLOOKUP(INDIRECT("G"&amp;ROW()),minfo!$A:$M,COLUMN()-8,0),"")</f>
        <v>http://i0.hdslb.com/bfs/station_src/music_metadata/d0f745972711cd41b07e10e96dd6512a.jpg</v>
      </c>
      <c r="P317" s="4" t="str">
        <f ca="1">_xlfn.IFNA(VLOOKUP(INDIRECT("G"&amp;ROW()),minfo!$A:$M,COLUMN()-8,0),"")</f>
        <v>http://i0.hdslb.com/bfs/station_src/music_metadata/9e21bb6bd3e9e6c6a099ea6fe790a7e4</v>
      </c>
      <c r="Q317" s="4">
        <f ca="1">_xlfn.IFNA(VLOOKUP(INDIRECT("G"&amp;ROW()),minfo!$A:$M,COLUMN()-8,0),"")</f>
        <v>1670</v>
      </c>
      <c r="R317" s="4">
        <f ca="1">_xlfn.IFNA(VLOOKUP(INDIRECT("G"&amp;ROW()),minfo!$A:$M,COLUMN()-8,0),"")</f>
        <v>0</v>
      </c>
      <c r="S317" s="4" t="str">
        <f ca="1">_xlfn.IFNA(VLOOKUP(INDIRECT("G"&amp;ROW()),minfo!$A:$M,COLUMN()-8,0),"")</f>
        <v>范特西</v>
      </c>
      <c r="T317" s="4">
        <f ca="1">_xlfn.IFNA(VLOOKUP(INDIRECT("G"&amp;ROW()),minfo!$A:$M,COLUMN()-8,0),"")</f>
        <v>374265212</v>
      </c>
      <c r="U317" s="4">
        <f ca="1">_xlfn.IFNA(VLOOKUP(INDIRECT("G"&amp;ROW()),minfo!$A:$M,COLUMN()-8,0),"")</f>
        <v>0</v>
      </c>
    </row>
    <row r="318" spans="1:21" ht="15.75" customHeight="1">
      <c r="A318" s="15">
        <v>317</v>
      </c>
      <c r="B318" s="4" t="s">
        <v>3878</v>
      </c>
      <c r="C318" s="4">
        <v>318</v>
      </c>
      <c r="D318" s="4">
        <v>120</v>
      </c>
      <c r="E318" s="4" t="s">
        <v>1048</v>
      </c>
      <c r="F318" s="16">
        <v>45067</v>
      </c>
      <c r="G318" s="5" t="s">
        <v>1047</v>
      </c>
      <c r="H318" s="5" t="s">
        <v>3754</v>
      </c>
      <c r="I318" s="24" t="str">
        <f>HYPERLINK("https://www.bilibili.com/video/BV1cs4y1w7Lv?p=120", "BV1cs4y1w7Lv?p=120")</f>
        <v>BV1cs4y1w7Lv?p=120</v>
      </c>
      <c r="J318" s="4" t="str">
        <f ca="1">_xlfn.IFNA(VLOOKUP(INDIRECT("G"&amp;ROW()),minfo!$A:$M,COLUMN()-8,0),"")</f>
        <v>雨下一整晚</v>
      </c>
      <c r="K318" s="4" t="str">
        <f ca="1">_xlfn.IFNA(VLOOKUP(INDIRECT("G"&amp;ROW()),minfo!$A:$M,COLUMN()-8,0),"")</f>
        <v>周杰伦</v>
      </c>
      <c r="L318" s="4">
        <f ca="1">_xlfn.IFNA(VLOOKUP(INDIRECT("G"&amp;ROW()),minfo!$A:$M,COLUMN()-8,0),"")</f>
        <v>0</v>
      </c>
      <c r="M318" s="4">
        <f ca="1">_xlfn.IFNA(VLOOKUP(INDIRECT("G"&amp;ROW()),minfo!$A:$M,COLUMN()-8,0),"")</f>
        <v>0</v>
      </c>
      <c r="N318" s="4">
        <f ca="1">_xlfn.IFNA(VLOOKUP(INDIRECT("G"&amp;ROW()),minfo!$A:$M,COLUMN()-8,0),"")</f>
        <v>0</v>
      </c>
      <c r="O318" s="4" t="str">
        <f ca="1">_xlfn.IFNA(VLOOKUP(INDIRECT("G"&amp;ROW()),minfo!$A:$M,COLUMN()-8,0),"")</f>
        <v>https://i0.hdslb.com/bfs/station_src/music_metadata/740bcd3058e7aa98df27f1f0a32b0f4b.jpg</v>
      </c>
      <c r="P318" s="4" t="str">
        <f ca="1">_xlfn.IFNA(VLOOKUP(INDIRECT("G"&amp;ROW()),minfo!$A:$M,COLUMN()-8,0),"")</f>
        <v>copyright-crawler/music/task-lyric/654daafbfad724c0d03b496f.txt</v>
      </c>
      <c r="Q318" s="4">
        <f ca="1">_xlfn.IFNA(VLOOKUP(INDIRECT("G"&amp;ROW()),minfo!$A:$M,COLUMN()-8,0),"")</f>
        <v>2220</v>
      </c>
      <c r="R318" s="4" t="str">
        <f ca="1">_xlfn.IFNA(VLOOKUP(INDIRECT("G"&amp;ROW()),minfo!$A:$M,COLUMN()-8,0),"")</f>
        <v>雨下一整晚</v>
      </c>
      <c r="S318" s="4" t="str">
        <f ca="1">_xlfn.IFNA(VLOOKUP(INDIRECT("G"&amp;ROW()),minfo!$A:$M,COLUMN()-8,0),"")</f>
        <v>跨时代</v>
      </c>
      <c r="T318" s="4">
        <f ca="1">_xlfn.IFNA(VLOOKUP(INDIRECT("G"&amp;ROW()),minfo!$A:$M,COLUMN()-8,0),"")</f>
        <v>288931916</v>
      </c>
      <c r="U318" s="4">
        <f ca="1">_xlfn.IFNA(VLOOKUP(INDIRECT("G"&amp;ROW()),minfo!$A:$M,COLUMN()-8,0),"")</f>
        <v>0</v>
      </c>
    </row>
    <row r="319" spans="1:21" ht="15.75" customHeight="1">
      <c r="A319" s="15">
        <v>318</v>
      </c>
      <c r="B319" s="4" t="s">
        <v>3879</v>
      </c>
      <c r="C319" s="4">
        <v>319</v>
      </c>
      <c r="D319" s="4">
        <v>121</v>
      </c>
      <c r="E319" s="4" t="s">
        <v>232</v>
      </c>
      <c r="F319" s="16">
        <v>45069</v>
      </c>
      <c r="G319" s="5" t="s">
        <v>231</v>
      </c>
      <c r="H319" s="5" t="s">
        <v>3754</v>
      </c>
      <c r="I319" s="24" t="str">
        <f>HYPERLINK("https://www.bilibili.com/video/BV1cs4y1w7Lv?p=121", "BV1cs4y1w7Lv?p=121")</f>
        <v>BV1cs4y1w7Lv?p=121</v>
      </c>
      <c r="J319" s="4" t="str">
        <f ca="1">_xlfn.IFNA(VLOOKUP(INDIRECT("G"&amp;ROW()),minfo!$A:$M,COLUMN()-8,0),"")</f>
        <v>若把你</v>
      </c>
      <c r="K319" s="4" t="str">
        <f ca="1">_xlfn.IFNA(VLOOKUP(INDIRECT("G"&amp;ROW()),minfo!$A:$M,COLUMN()-8,0),"")</f>
        <v>Kirsty刘瑾睿</v>
      </c>
      <c r="L319" s="4">
        <f ca="1">_xlfn.IFNA(VLOOKUP(INDIRECT("G"&amp;ROW()),minfo!$A:$M,COLUMN()-8,0),"")</f>
        <v>0</v>
      </c>
      <c r="M319" s="4">
        <f ca="1">_xlfn.IFNA(VLOOKUP(INDIRECT("G"&amp;ROW()),minfo!$A:$M,COLUMN()-8,0),"")</f>
        <v>43546</v>
      </c>
      <c r="N319" s="4">
        <f ca="1">_xlfn.IFNA(VLOOKUP(INDIRECT("G"&amp;ROW()),minfo!$A:$M,COLUMN()-8,0),"")</f>
        <v>6440</v>
      </c>
      <c r="O319" s="4" t="str">
        <f ca="1">_xlfn.IFNA(VLOOKUP(INDIRECT("G"&amp;ROW()),minfo!$A:$M,COLUMN()-8,0),"")</f>
        <v>http://i0.hdslb.com/bfs/station_src/music_metadata/e535448192dd1b72f950d8bf47d14597.jpg</v>
      </c>
      <c r="P319" s="4">
        <f ca="1">_xlfn.IFNA(VLOOKUP(INDIRECT("G"&amp;ROW()),minfo!$A:$M,COLUMN()-8,0),"")</f>
        <v>0</v>
      </c>
      <c r="Q319" s="4">
        <f ca="1">_xlfn.IFNA(VLOOKUP(INDIRECT("G"&amp;ROW()),minfo!$A:$M,COLUMN()-8,0),"")</f>
        <v>2370</v>
      </c>
      <c r="R319" s="4">
        <f ca="1">_xlfn.IFNA(VLOOKUP(INDIRECT("G"&amp;ROW()),minfo!$A:$M,COLUMN()-8,0),"")</f>
        <v>0</v>
      </c>
      <c r="S319" s="4" t="str">
        <f ca="1">_xlfn.IFNA(VLOOKUP(INDIRECT("G"&amp;ROW()),minfo!$A:$M,COLUMN()-8,0),"")</f>
        <v>若把你</v>
      </c>
      <c r="T319" s="4">
        <f ca="1">_xlfn.IFNA(VLOOKUP(INDIRECT("G"&amp;ROW()),minfo!$A:$M,COLUMN()-8,0),"")</f>
        <v>316650487</v>
      </c>
      <c r="U319" s="4" t="str">
        <f ca="1">_xlfn.IFNA(VLOOKUP(INDIRECT("G"&amp;ROW()),minfo!$A:$M,COLUMN()-8,0),"")</f>
        <v>音乐榜最高NO.7</v>
      </c>
    </row>
    <row r="320" spans="1:21" ht="15.75" customHeight="1">
      <c r="A320" s="15">
        <v>319</v>
      </c>
      <c r="B320" s="4" t="s">
        <v>3880</v>
      </c>
      <c r="C320" s="4">
        <v>320</v>
      </c>
      <c r="D320" s="4">
        <v>122</v>
      </c>
      <c r="E320" s="4" t="s">
        <v>1061</v>
      </c>
      <c r="F320" s="16">
        <v>45069</v>
      </c>
      <c r="G320" s="5" t="s">
        <v>1060</v>
      </c>
      <c r="H320" s="5" t="s">
        <v>3754</v>
      </c>
      <c r="I320" s="24" t="str">
        <f>HYPERLINK("https://www.bilibili.com/video/BV1cs4y1w7Lv?p=122", "BV1cs4y1w7Lv?p=122")</f>
        <v>BV1cs4y1w7Lv?p=122</v>
      </c>
      <c r="J320" s="4" t="str">
        <f ca="1">_xlfn.IFNA(VLOOKUP(INDIRECT("G"&amp;ROW()),minfo!$A:$M,COLUMN()-8,0),"")</f>
        <v>少年不凡</v>
      </c>
      <c r="K320" s="4" t="str">
        <f ca="1">_xlfn.IFNA(VLOOKUP(INDIRECT("G"&amp;ROW()),minfo!$A:$M,COLUMN()-8,0),"")</f>
        <v>刘美麟</v>
      </c>
      <c r="L320" s="4">
        <f ca="1">_xlfn.IFNA(VLOOKUP(INDIRECT("G"&amp;ROW()),minfo!$A:$M,COLUMN()-8,0),"")</f>
        <v>0</v>
      </c>
      <c r="M320" s="4">
        <f ca="1">_xlfn.IFNA(VLOOKUP(INDIRECT("G"&amp;ROW()),minfo!$A:$M,COLUMN()-8,0),"")</f>
        <v>0</v>
      </c>
      <c r="N320" s="4">
        <f ca="1">_xlfn.IFNA(VLOOKUP(INDIRECT("G"&amp;ROW()),minfo!$A:$M,COLUMN()-8,0),"")</f>
        <v>0</v>
      </c>
      <c r="O320" s="4" t="str">
        <f ca="1">_xlfn.IFNA(VLOOKUP(INDIRECT("G"&amp;ROW()),minfo!$A:$M,COLUMN()-8,0),"")</f>
        <v>https://i0.hdslb.com/bfs/station_src/music_metadata/4f95d266f510854cbf419ca1f4e99a33.jpg</v>
      </c>
      <c r="P320" s="4" t="str">
        <f ca="1">_xlfn.IFNA(VLOOKUP(INDIRECT("G"&amp;ROW()),minfo!$A:$M,COLUMN()-8,0),"")</f>
        <v>https://i0.hdslb.com/bfs/station_src/music_metadata/510fa3ca64bddc52f89c218209dc89b5.txt</v>
      </c>
      <c r="Q320" s="4">
        <f ca="1">_xlfn.IFNA(VLOOKUP(INDIRECT("G"&amp;ROW()),minfo!$A:$M,COLUMN()-8,0),"")</f>
        <v>200</v>
      </c>
      <c r="R320" s="4">
        <f ca="1">_xlfn.IFNA(VLOOKUP(INDIRECT("G"&amp;ROW()),minfo!$A:$M,COLUMN()-8,0),"")</f>
        <v>0</v>
      </c>
      <c r="S320" s="4" t="str">
        <f ca="1">_xlfn.IFNA(VLOOKUP(INDIRECT("G"&amp;ROW()),minfo!$A:$M,COLUMN()-8,0),"")</f>
        <v>凡人修仙传 第一季  动画剧原声带</v>
      </c>
      <c r="T320" s="4">
        <f ca="1">_xlfn.IFNA(VLOOKUP(INDIRECT("G"&amp;ROW()),minfo!$A:$M,COLUMN()-8,0),"")</f>
        <v>12824406</v>
      </c>
      <c r="U320" s="4">
        <f ca="1">_xlfn.IFNA(VLOOKUP(INDIRECT("G"&amp;ROW()),minfo!$A:$M,COLUMN()-8,0),"")</f>
        <v>0</v>
      </c>
    </row>
    <row r="321" spans="1:21" ht="15.75" customHeight="1">
      <c r="A321" s="15">
        <v>320</v>
      </c>
      <c r="B321" s="4" t="s">
        <v>3881</v>
      </c>
      <c r="C321" s="4">
        <v>321</v>
      </c>
      <c r="D321" s="4">
        <v>123</v>
      </c>
      <c r="E321" s="4" t="s">
        <v>1067</v>
      </c>
      <c r="F321" s="16">
        <v>45070</v>
      </c>
      <c r="G321" s="5" t="s">
        <v>1066</v>
      </c>
      <c r="H321" s="5" t="s">
        <v>3754</v>
      </c>
      <c r="I321" s="24" t="str">
        <f>HYPERLINK("https://www.bilibili.com/video/BV1cs4y1w7Lv?p=123", "BV1cs4y1w7Lv?p=123")</f>
        <v>BV1cs4y1w7Lv?p=123</v>
      </c>
      <c r="J321" s="4" t="str">
        <f ca="1">_xlfn.IFNA(VLOOKUP(INDIRECT("G"&amp;ROW()),minfo!$A:$M,COLUMN()-8,0),"")</f>
        <v>永不失联的爱</v>
      </c>
      <c r="K321" s="4" t="str">
        <f ca="1">_xlfn.IFNA(VLOOKUP(INDIRECT("G"&amp;ROW()),minfo!$A:$M,COLUMN()-8,0),"")</f>
        <v>Eric周兴哲</v>
      </c>
      <c r="L321" s="4">
        <f ca="1">_xlfn.IFNA(VLOOKUP(INDIRECT("G"&amp;ROW()),minfo!$A:$M,COLUMN()-8,0),"")</f>
        <v>0</v>
      </c>
      <c r="M321" s="4">
        <f ca="1">_xlfn.IFNA(VLOOKUP(INDIRECT("G"&amp;ROW()),minfo!$A:$M,COLUMN()-8,0),"")</f>
        <v>0</v>
      </c>
      <c r="N321" s="4">
        <f ca="1">_xlfn.IFNA(VLOOKUP(INDIRECT("G"&amp;ROW()),minfo!$A:$M,COLUMN()-8,0),"")</f>
        <v>0</v>
      </c>
      <c r="O321" s="4" t="str">
        <f ca="1">_xlfn.IFNA(VLOOKUP(INDIRECT("G"&amp;ROW()),minfo!$A:$M,COLUMN()-8,0),"")</f>
        <v>http://i0.hdslb.com/bfs/station_src/music_metadata/66d68e12c7bf06dfcd345e31ea45ac05.jpg</v>
      </c>
      <c r="P321" s="4" t="str">
        <f ca="1">_xlfn.IFNA(VLOOKUP(INDIRECT("G"&amp;ROW()),minfo!$A:$M,COLUMN()-8,0),"")</f>
        <v>http://i0.hdslb.com/bfs/station_src/music_metadata/4a6a6c9be708e96306f4fbc010bf2a12</v>
      </c>
      <c r="Q321" s="4">
        <f ca="1">_xlfn.IFNA(VLOOKUP(INDIRECT("G"&amp;ROW()),minfo!$A:$M,COLUMN()-8,0),"")</f>
        <v>1013</v>
      </c>
      <c r="R321" s="4">
        <f ca="1">_xlfn.IFNA(VLOOKUP(INDIRECT("G"&amp;ROW()),minfo!$A:$M,COLUMN()-8,0),"")</f>
        <v>0</v>
      </c>
      <c r="S321" s="4" t="str">
        <f ca="1">_xlfn.IFNA(VLOOKUP(INDIRECT("G"&amp;ROW()),minfo!$A:$M,COLUMN()-8,0),"")</f>
        <v>如果雨之后</v>
      </c>
      <c r="T321" s="4">
        <f ca="1">_xlfn.IFNA(VLOOKUP(INDIRECT("G"&amp;ROW()),minfo!$A:$M,COLUMN()-8,0),"")</f>
        <v>291250605</v>
      </c>
      <c r="U321" s="4">
        <f ca="1">_xlfn.IFNA(VLOOKUP(INDIRECT("G"&amp;ROW()),minfo!$A:$M,COLUMN()-8,0),"")</f>
        <v>0</v>
      </c>
    </row>
    <row r="322" spans="1:21" ht="15.75" customHeight="1">
      <c r="A322" s="15">
        <v>321</v>
      </c>
      <c r="B322" s="4" t="s">
        <v>3882</v>
      </c>
      <c r="C322" s="4">
        <v>322</v>
      </c>
      <c r="D322" s="4">
        <v>124</v>
      </c>
      <c r="E322" s="4" t="s">
        <v>289</v>
      </c>
      <c r="F322" s="16">
        <v>45070</v>
      </c>
      <c r="G322" s="5" t="s">
        <v>288</v>
      </c>
      <c r="H322" s="5" t="s">
        <v>3754</v>
      </c>
      <c r="I322" s="24" t="str">
        <f>HYPERLINK("https://www.bilibili.com/video/BV1cs4y1w7Lv?p=124", "BV1cs4y1w7Lv?p=124")</f>
        <v>BV1cs4y1w7Lv?p=124</v>
      </c>
      <c r="J322" s="4" t="str">
        <f ca="1">_xlfn.IFNA(VLOOKUP(INDIRECT("G"&amp;ROW()),minfo!$A:$M,COLUMN()-8,0),"")</f>
        <v>明明就</v>
      </c>
      <c r="K322" s="4" t="str">
        <f ca="1">_xlfn.IFNA(VLOOKUP(INDIRECT("G"&amp;ROW()),minfo!$A:$M,COLUMN()-8,0),"")</f>
        <v>周杰伦</v>
      </c>
      <c r="L322" s="4">
        <f ca="1">_xlfn.IFNA(VLOOKUP(INDIRECT("G"&amp;ROW()),minfo!$A:$M,COLUMN()-8,0),"")</f>
        <v>0</v>
      </c>
      <c r="M322" s="4">
        <f ca="1">_xlfn.IFNA(VLOOKUP(INDIRECT("G"&amp;ROW()),minfo!$A:$M,COLUMN()-8,0),"")</f>
        <v>0</v>
      </c>
      <c r="N322" s="4">
        <f ca="1">_xlfn.IFNA(VLOOKUP(INDIRECT("G"&amp;ROW()),minfo!$A:$M,COLUMN()-8,0),"")</f>
        <v>0</v>
      </c>
      <c r="O322" s="4" t="str">
        <f ca="1">_xlfn.IFNA(VLOOKUP(INDIRECT("G"&amp;ROW()),minfo!$A:$M,COLUMN()-8,0),"")</f>
        <v>https://i0.hdslb.com/bfs/station_src/music_metadata/b98a05427f027651ca3c0c8cbab055fe.jpg</v>
      </c>
      <c r="P322" s="4" t="str">
        <f ca="1">_xlfn.IFNA(VLOOKUP(INDIRECT("G"&amp;ROW()),minfo!$A:$M,COLUMN()-8,0),"")</f>
        <v>copyright-crawler/music/task-lyric/65093974f03c35ab34fd5795.txt</v>
      </c>
      <c r="Q322" s="4">
        <f ca="1">_xlfn.IFNA(VLOOKUP(INDIRECT("G"&amp;ROW()),minfo!$A:$M,COLUMN()-8,0),"")</f>
        <v>3451</v>
      </c>
      <c r="R322" s="4" t="str">
        <f ca="1">_xlfn.IFNA(VLOOKUP(INDIRECT("G"&amp;ROW()),minfo!$A:$M,COLUMN()-8,0),"")</f>
        <v>明明就</v>
      </c>
      <c r="S322" s="4" t="str">
        <f ca="1">_xlfn.IFNA(VLOOKUP(INDIRECT("G"&amp;ROW()),minfo!$A:$M,COLUMN()-8,0),"")</f>
        <v>十二新作</v>
      </c>
      <c r="T322" s="4">
        <f ca="1">_xlfn.IFNA(VLOOKUP(INDIRECT("G"&amp;ROW()),minfo!$A:$M,COLUMN()-8,0),"")</f>
        <v>424774252</v>
      </c>
      <c r="U322" s="4" t="str">
        <f ca="1">_xlfn.IFNA(VLOOKUP(INDIRECT("G"&amp;ROW()),minfo!$A:$M,COLUMN()-8,0),"")</f>
        <v>音乐榜最高NO.18</v>
      </c>
    </row>
    <row r="323" spans="1:21" ht="15.75" customHeight="1">
      <c r="A323" s="15">
        <v>322</v>
      </c>
      <c r="B323" s="4" t="s">
        <v>3883</v>
      </c>
      <c r="C323" s="4">
        <v>323</v>
      </c>
      <c r="D323" s="4">
        <v>125</v>
      </c>
      <c r="E323" s="4" t="s">
        <v>20</v>
      </c>
      <c r="F323" s="16">
        <v>45070</v>
      </c>
      <c r="G323" s="5" t="s">
        <v>19</v>
      </c>
      <c r="H323" s="5" t="s">
        <v>3754</v>
      </c>
      <c r="I323" s="24" t="str">
        <f>HYPERLINK("https://www.bilibili.com/video/BV1cs4y1w7Lv?p=125", "BV1cs4y1w7Lv?p=125")</f>
        <v>BV1cs4y1w7Lv?p=125</v>
      </c>
      <c r="J323" s="4" t="str">
        <f ca="1">_xlfn.IFNA(VLOOKUP(INDIRECT("G"&amp;ROW()),minfo!$A:$M,COLUMN()-8,0),"")</f>
        <v>人啊</v>
      </c>
      <c r="K323" s="4" t="str">
        <f ca="1">_xlfn.IFNA(VLOOKUP(INDIRECT("G"&amp;ROW()),minfo!$A:$M,COLUMN()-8,0),"")</f>
        <v>单依纯</v>
      </c>
      <c r="L323" s="4">
        <f ca="1">_xlfn.IFNA(VLOOKUP(INDIRECT("G"&amp;ROW()),minfo!$A:$M,COLUMN()-8,0),"")</f>
        <v>0</v>
      </c>
      <c r="M323" s="4">
        <f ca="1">_xlfn.IFNA(VLOOKUP(INDIRECT("G"&amp;ROW()),minfo!$A:$M,COLUMN()-8,0),"")</f>
        <v>0</v>
      </c>
      <c r="N323" s="4">
        <f ca="1">_xlfn.IFNA(VLOOKUP(INDIRECT("G"&amp;ROW()),minfo!$A:$M,COLUMN()-8,0),"")</f>
        <v>0</v>
      </c>
      <c r="O323" s="4" t="str">
        <f ca="1">_xlfn.IFNA(VLOOKUP(INDIRECT("G"&amp;ROW()),minfo!$A:$M,COLUMN()-8,0),"")</f>
        <v>https://i0.hdslb.com/bfs/station_src/music_metadata/a697c5525f54e3a22b0caceb846d074a.jpg</v>
      </c>
      <c r="P323" s="4" t="str">
        <f ca="1">_xlfn.IFNA(VLOOKUP(INDIRECT("G"&amp;ROW()),minfo!$A:$M,COLUMN()-8,0),"")</f>
        <v>https://i0.hdslb.com/bfs/station_src/music_metadata/f9eba08a567e4e3bb5bf438dae27b6f2.txt</v>
      </c>
      <c r="Q323" s="4">
        <f ca="1">_xlfn.IFNA(VLOOKUP(INDIRECT("G"&amp;ROW()),minfo!$A:$M,COLUMN()-8,0),"")</f>
        <v>16</v>
      </c>
      <c r="R323" s="4">
        <f ca="1">_xlfn.IFNA(VLOOKUP(INDIRECT("G"&amp;ROW()),minfo!$A:$M,COLUMN()-8,0),"")</f>
        <v>0</v>
      </c>
      <c r="S323" s="4" t="str">
        <f ca="1">_xlfn.IFNA(VLOOKUP(INDIRECT("G"&amp;ROW()),minfo!$A:$M,COLUMN()-8,0),"")</f>
        <v>2020中国好声音 第11期</v>
      </c>
      <c r="T323" s="4">
        <f ca="1">_xlfn.IFNA(VLOOKUP(INDIRECT("G"&amp;ROW()),minfo!$A:$M,COLUMN()-8,0),"")</f>
        <v>3227968</v>
      </c>
      <c r="U323" s="4">
        <f ca="1">_xlfn.IFNA(VLOOKUP(INDIRECT("G"&amp;ROW()),minfo!$A:$M,COLUMN()-8,0),"")</f>
        <v>0</v>
      </c>
    </row>
    <row r="324" spans="1:21" ht="15.75" customHeight="1">
      <c r="A324" s="15">
        <v>323</v>
      </c>
      <c r="B324" s="4" t="s">
        <v>3884</v>
      </c>
      <c r="C324" s="4">
        <v>324</v>
      </c>
      <c r="D324" s="4">
        <v>126</v>
      </c>
      <c r="E324" s="4" t="s">
        <v>47</v>
      </c>
      <c r="F324" s="16">
        <v>45070</v>
      </c>
      <c r="G324" s="5" t="s">
        <v>46</v>
      </c>
      <c r="H324" s="5" t="s">
        <v>3754</v>
      </c>
      <c r="I324" s="24" t="str">
        <f>HYPERLINK("https://www.bilibili.com/video/BV1cs4y1w7Lv?p=126", "BV1cs4y1w7Lv?p=126")</f>
        <v>BV1cs4y1w7Lv?p=126</v>
      </c>
      <c r="J324" s="4" t="str">
        <f ca="1">_xlfn.IFNA(VLOOKUP(INDIRECT("G"&amp;ROW()),minfo!$A:$M,COLUMN()-8,0),"")</f>
        <v>在夜里跳舞</v>
      </c>
      <c r="K324" s="4" t="str">
        <f ca="1">_xlfn.IFNA(VLOOKUP(INDIRECT("G"&amp;ROW()),minfo!$A:$M,COLUMN()-8,0),"")</f>
        <v>单依纯</v>
      </c>
      <c r="L324" s="4">
        <f ca="1">_xlfn.IFNA(VLOOKUP(INDIRECT("G"&amp;ROW()),minfo!$A:$M,COLUMN()-8,0),"")</f>
        <v>0</v>
      </c>
      <c r="M324" s="4">
        <f ca="1">_xlfn.IFNA(VLOOKUP(INDIRECT("G"&amp;ROW()),minfo!$A:$M,COLUMN()-8,0),"")</f>
        <v>0</v>
      </c>
      <c r="N324" s="4">
        <f ca="1">_xlfn.IFNA(VLOOKUP(INDIRECT("G"&amp;ROW()),minfo!$A:$M,COLUMN()-8,0),"")</f>
        <v>0</v>
      </c>
      <c r="O324" s="4" t="str">
        <f ca="1">_xlfn.IFNA(VLOOKUP(INDIRECT("G"&amp;ROW()),minfo!$A:$M,COLUMN()-8,0),"")</f>
        <v>https://i0.hdslb.com/bfs/station_src/music_metadata/8290748e31edb0e5ad1e0965087b2aab.jpg</v>
      </c>
      <c r="P324" s="4" t="str">
        <f ca="1">_xlfn.IFNA(VLOOKUP(INDIRECT("G"&amp;ROW()),minfo!$A:$M,COLUMN()-8,0),"")</f>
        <v>http://i0.hdslb.com/bfs/station_src/music_metadata/29d5595276e7ec7758df19c35809517b</v>
      </c>
      <c r="Q324" s="4">
        <f ca="1">_xlfn.IFNA(VLOOKUP(INDIRECT("G"&amp;ROW()),minfo!$A:$M,COLUMN()-8,0),"")</f>
        <v>298</v>
      </c>
      <c r="R324" s="4">
        <f ca="1">_xlfn.IFNA(VLOOKUP(INDIRECT("G"&amp;ROW()),minfo!$A:$M,COLUMN()-8,0),"")</f>
        <v>0</v>
      </c>
      <c r="S324" s="4" t="str">
        <f ca="1">_xlfn.IFNA(VLOOKUP(INDIRECT("G"&amp;ROW()),minfo!$A:$M,COLUMN()-8,0),"")</f>
        <v>在夜里跳舞</v>
      </c>
      <c r="T324" s="4">
        <f ca="1">_xlfn.IFNA(VLOOKUP(INDIRECT("G"&amp;ROW()),minfo!$A:$M,COLUMN()-8,0),"")</f>
        <v>21106106</v>
      </c>
      <c r="U324" s="4">
        <f ca="1">_xlfn.IFNA(VLOOKUP(INDIRECT("G"&amp;ROW()),minfo!$A:$M,COLUMN()-8,0),"")</f>
        <v>0</v>
      </c>
    </row>
    <row r="325" spans="1:21" ht="15.75" customHeight="1">
      <c r="A325" s="15">
        <v>324</v>
      </c>
      <c r="B325" s="4" t="s">
        <v>3885</v>
      </c>
      <c r="C325" s="4">
        <v>325</v>
      </c>
      <c r="D325" s="4">
        <v>127</v>
      </c>
      <c r="E325" s="4" t="s">
        <v>488</v>
      </c>
      <c r="F325" s="16">
        <v>45070</v>
      </c>
      <c r="G325" s="5" t="s">
        <v>487</v>
      </c>
      <c r="H325" s="5" t="s">
        <v>3754</v>
      </c>
      <c r="I325" s="24" t="str">
        <f>HYPERLINK("https://www.bilibili.com/video/BV1cs4y1w7Lv?p=127", "BV1cs4y1w7Lv?p=127")</f>
        <v>BV1cs4y1w7Lv?p=127</v>
      </c>
      <c r="J325" s="4" t="str">
        <f ca="1">_xlfn.IFNA(VLOOKUP(INDIRECT("G"&amp;ROW()),minfo!$A:$M,COLUMN()-8,0),"")</f>
        <v>如此</v>
      </c>
      <c r="K325" s="4" t="str">
        <f ca="1">_xlfn.IFNA(VLOOKUP(INDIRECT("G"&amp;ROW()),minfo!$A:$M,COLUMN()-8,0),"")</f>
        <v>单依纯</v>
      </c>
      <c r="L325" s="4">
        <f ca="1">_xlfn.IFNA(VLOOKUP(INDIRECT("G"&amp;ROW()),minfo!$A:$M,COLUMN()-8,0),"")</f>
        <v>0</v>
      </c>
      <c r="M325" s="4">
        <f ca="1">_xlfn.IFNA(VLOOKUP(INDIRECT("G"&amp;ROW()),minfo!$A:$M,COLUMN()-8,0),"")</f>
        <v>0</v>
      </c>
      <c r="N325" s="4">
        <f ca="1">_xlfn.IFNA(VLOOKUP(INDIRECT("G"&amp;ROW()),minfo!$A:$M,COLUMN()-8,0),"")</f>
        <v>0</v>
      </c>
      <c r="O325" s="4" t="str">
        <f ca="1">_xlfn.IFNA(VLOOKUP(INDIRECT("G"&amp;ROW()),minfo!$A:$M,COLUMN()-8,0),"")</f>
        <v>https://i0.hdslb.com/bfs/station_src/music_metadata/02e014c37d605c9c48efcef4cb1658b5.jpg</v>
      </c>
      <c r="P325" s="4">
        <f ca="1">_xlfn.IFNA(VLOOKUP(INDIRECT("G"&amp;ROW()),minfo!$A:$M,COLUMN()-8,0),"")</f>
        <v>0</v>
      </c>
      <c r="Q325" s="4">
        <f ca="1">_xlfn.IFNA(VLOOKUP(INDIRECT("G"&amp;ROW()),minfo!$A:$M,COLUMN()-8,0),"")</f>
        <v>32</v>
      </c>
      <c r="R325" s="4">
        <f ca="1">_xlfn.IFNA(VLOOKUP(INDIRECT("G"&amp;ROW()),minfo!$A:$M,COLUMN()-8,0),"")</f>
        <v>0</v>
      </c>
      <c r="S325" s="4" t="str">
        <f ca="1">_xlfn.IFNA(VLOOKUP(INDIRECT("G"&amp;ROW()),minfo!$A:$M,COLUMN()-8,0),"")</f>
        <v>2020中国好声音 第10期</v>
      </c>
      <c r="T325" s="4">
        <f ca="1">_xlfn.IFNA(VLOOKUP(INDIRECT("G"&amp;ROW()),minfo!$A:$M,COLUMN()-8,0),"")</f>
        <v>13362616</v>
      </c>
      <c r="U325" s="4">
        <f ca="1">_xlfn.IFNA(VLOOKUP(INDIRECT("G"&amp;ROW()),minfo!$A:$M,COLUMN()-8,0),"")</f>
        <v>0</v>
      </c>
    </row>
    <row r="326" spans="1:21" ht="15.75" customHeight="1">
      <c r="A326" s="15">
        <v>325</v>
      </c>
      <c r="B326" s="4" t="s">
        <v>3886</v>
      </c>
      <c r="C326" s="4">
        <v>326</v>
      </c>
      <c r="D326" s="4">
        <v>128</v>
      </c>
      <c r="E326" s="4" t="s">
        <v>909</v>
      </c>
      <c r="F326" s="16">
        <v>45070</v>
      </c>
      <c r="G326" s="5" t="s">
        <v>908</v>
      </c>
      <c r="H326" s="5" t="s">
        <v>3754</v>
      </c>
      <c r="I326" s="24" t="str">
        <f>HYPERLINK("https://www.bilibili.com/video/BV1cs4y1w7Lv?p=128", "BV1cs4y1w7Lv?p=128")</f>
        <v>BV1cs4y1w7Lv?p=128</v>
      </c>
      <c r="J326" s="4" t="str">
        <f ca="1">_xlfn.IFNA(VLOOKUP(INDIRECT("G"&amp;ROW()),minfo!$A:$M,COLUMN()-8,0),"")</f>
        <v>再见深海</v>
      </c>
      <c r="K326" s="4" t="str">
        <f ca="1">_xlfn.IFNA(VLOOKUP(INDIRECT("G"&amp;ROW()),minfo!$A:$M,COLUMN()-8,0),"")</f>
        <v>唐汉霄</v>
      </c>
      <c r="L326" s="4">
        <f ca="1">_xlfn.IFNA(VLOOKUP(INDIRECT("G"&amp;ROW()),minfo!$A:$M,COLUMN()-8,0),"")</f>
        <v>0</v>
      </c>
      <c r="M326" s="4">
        <f ca="1">_xlfn.IFNA(VLOOKUP(INDIRECT("G"&amp;ROW()),minfo!$A:$M,COLUMN()-8,0),"")</f>
        <v>36024</v>
      </c>
      <c r="N326" s="4">
        <f ca="1">_xlfn.IFNA(VLOOKUP(INDIRECT("G"&amp;ROW()),minfo!$A:$M,COLUMN()-8,0),"")</f>
        <v>5360</v>
      </c>
      <c r="O326" s="4" t="str">
        <f ca="1">_xlfn.IFNA(VLOOKUP(INDIRECT("G"&amp;ROW()),minfo!$A:$M,COLUMN()-8,0),"")</f>
        <v>http://i0.hdslb.com/bfs/station_src/music_metadata/125614d52d7873a21f10529ee87cc3dd.jpg</v>
      </c>
      <c r="P326" s="4">
        <f ca="1">_xlfn.IFNA(VLOOKUP(INDIRECT("G"&amp;ROW()),minfo!$A:$M,COLUMN()-8,0),"")</f>
        <v>0</v>
      </c>
      <c r="Q326" s="4">
        <f ca="1">_xlfn.IFNA(VLOOKUP(INDIRECT("G"&amp;ROW()),minfo!$A:$M,COLUMN()-8,0),"")</f>
        <v>1337</v>
      </c>
      <c r="R326" s="4">
        <f ca="1">_xlfn.IFNA(VLOOKUP(INDIRECT("G"&amp;ROW()),minfo!$A:$M,COLUMN()-8,0),"")</f>
        <v>0</v>
      </c>
      <c r="S326" s="4" t="str">
        <f ca="1">_xlfn.IFNA(VLOOKUP(INDIRECT("G"&amp;ROW()),minfo!$A:$M,COLUMN()-8,0),"")</f>
        <v>再见深海(微亮的瞬间)</v>
      </c>
      <c r="T326" s="4">
        <f ca="1">_xlfn.IFNA(VLOOKUP(INDIRECT("G"&amp;ROW()),minfo!$A:$M,COLUMN()-8,0),"")</f>
        <v>106771637</v>
      </c>
      <c r="U326" s="4" t="str">
        <f ca="1">_xlfn.IFNA(VLOOKUP(INDIRECT("G"&amp;ROW()),minfo!$A:$M,COLUMN()-8,0),"")</f>
        <v>音乐榜最高NO.18</v>
      </c>
    </row>
    <row r="327" spans="1:21" ht="15.75" customHeight="1">
      <c r="A327" s="15">
        <v>326</v>
      </c>
      <c r="B327" s="4" t="s">
        <v>3887</v>
      </c>
      <c r="C327" s="4">
        <v>327</v>
      </c>
      <c r="D327" s="4">
        <v>129</v>
      </c>
      <c r="E327" s="4" t="s">
        <v>3745</v>
      </c>
      <c r="F327" s="16">
        <v>45070</v>
      </c>
      <c r="G327" s="5" t="s">
        <v>771</v>
      </c>
      <c r="H327" s="5" t="s">
        <v>3754</v>
      </c>
      <c r="I327" s="24" t="str">
        <f>HYPERLINK("https://www.bilibili.com/video/BV1cs4y1w7Lv?p=129", "BV1cs4y1w7Lv?p=129")</f>
        <v>BV1cs4y1w7Lv?p=129</v>
      </c>
      <c r="J327" s="4" t="str">
        <f ca="1">_xlfn.IFNA(VLOOKUP(INDIRECT("G"&amp;ROW()),minfo!$A:$M,COLUMN()-8,0),"")</f>
        <v>Da Capo</v>
      </c>
      <c r="K327" s="4" t="str">
        <f ca="1">_xlfn.IFNA(VLOOKUP(INDIRECT("G"&amp;ROW()),minfo!$A:$M,COLUMN()-8,0),"")</f>
        <v>HOYO-MiX</v>
      </c>
      <c r="L327" s="4">
        <f ca="1">_xlfn.IFNA(VLOOKUP(INDIRECT("G"&amp;ROW()),minfo!$A:$M,COLUMN()-8,0),"")</f>
        <v>0</v>
      </c>
      <c r="M327" s="4">
        <f ca="1">_xlfn.IFNA(VLOOKUP(INDIRECT("G"&amp;ROW()),minfo!$A:$M,COLUMN()-8,0),"")</f>
        <v>371028</v>
      </c>
      <c r="N327" s="4">
        <f ca="1">_xlfn.IFNA(VLOOKUP(INDIRECT("G"&amp;ROW()),minfo!$A:$M,COLUMN()-8,0),"")</f>
        <v>46827</v>
      </c>
      <c r="O327" s="4" t="str">
        <f ca="1">_xlfn.IFNA(VLOOKUP(INDIRECT("G"&amp;ROW()),minfo!$A:$M,COLUMN()-8,0),"")</f>
        <v>https://i0.hdslb.com/bfs/station_src/music_metadata/7a9cf5180d2e8b433b69c7064ff0efe1.jpg</v>
      </c>
      <c r="P327" s="4">
        <f ca="1">_xlfn.IFNA(VLOOKUP(INDIRECT("G"&amp;ROW()),minfo!$A:$M,COLUMN()-8,0),"")</f>
        <v>0</v>
      </c>
      <c r="Q327" s="4">
        <f ca="1">_xlfn.IFNA(VLOOKUP(INDIRECT("G"&amp;ROW()),minfo!$A:$M,COLUMN()-8,0),"")</f>
        <v>6426</v>
      </c>
      <c r="R327" s="4">
        <f ca="1">_xlfn.IFNA(VLOOKUP(INDIRECT("G"&amp;ROW()),minfo!$A:$M,COLUMN()-8,0),"")</f>
        <v>0</v>
      </c>
      <c r="S327" s="4" t="str">
        <f ca="1">_xlfn.IFNA(VLOOKUP(INDIRECT("G"&amp;ROW()),minfo!$A:$M,COLUMN()-8,0),"")</f>
        <v>Da Capo</v>
      </c>
      <c r="T327" s="4">
        <f ca="1">_xlfn.IFNA(VLOOKUP(INDIRECT("G"&amp;ROW()),minfo!$A:$M,COLUMN()-8,0),"")</f>
        <v>127070294</v>
      </c>
      <c r="U327" s="4" t="str">
        <f ca="1">_xlfn.IFNA(VLOOKUP(INDIRECT("G"&amp;ROW()),minfo!$A:$M,COLUMN()-8,0),"")</f>
        <v>音乐榜最高NO.1</v>
      </c>
    </row>
    <row r="328" spans="1:21" ht="15.75" customHeight="1">
      <c r="A328" s="15">
        <v>327</v>
      </c>
      <c r="B328" s="4" t="s">
        <v>3888</v>
      </c>
      <c r="C328" s="4">
        <v>328</v>
      </c>
      <c r="D328" s="4">
        <v>130</v>
      </c>
      <c r="E328" s="4" t="s">
        <v>3551</v>
      </c>
      <c r="F328" s="16">
        <v>45070</v>
      </c>
      <c r="G328" s="5" t="s">
        <v>186</v>
      </c>
      <c r="H328" s="5" t="s">
        <v>3754</v>
      </c>
      <c r="I328" s="24" t="str">
        <f>HYPERLINK("https://www.bilibili.com/video/BV1cs4y1w7Lv?p=130", "BV1cs4y1w7Lv?p=130")</f>
        <v>BV1cs4y1w7Lv?p=130</v>
      </c>
      <c r="J328" s="4" t="str">
        <f ca="1">_xlfn.IFNA(VLOOKUP(INDIRECT("G"&amp;ROW()),minfo!$A:$M,COLUMN()-8,0),"")</f>
        <v>Rubia</v>
      </c>
      <c r="K328" s="4" t="str">
        <f ca="1">_xlfn.IFNA(VLOOKUP(INDIRECT("G"&amp;ROW()),minfo!$A:$M,COLUMN()-8,0),"")</f>
        <v>周深</v>
      </c>
      <c r="L328" s="4">
        <f ca="1">_xlfn.IFNA(VLOOKUP(INDIRECT("G"&amp;ROW()),minfo!$A:$M,COLUMN()-8,0),"")</f>
        <v>0</v>
      </c>
      <c r="M328" s="4">
        <f ca="1">_xlfn.IFNA(VLOOKUP(INDIRECT("G"&amp;ROW()),minfo!$A:$M,COLUMN()-8,0),"")</f>
        <v>516030</v>
      </c>
      <c r="N328" s="4">
        <f ca="1">_xlfn.IFNA(VLOOKUP(INDIRECT("G"&amp;ROW()),minfo!$A:$M,COLUMN()-8,0),"")</f>
        <v>96155</v>
      </c>
      <c r="O328" s="4" t="str">
        <f ca="1">_xlfn.IFNA(VLOOKUP(INDIRECT("G"&amp;ROW()),minfo!$A:$M,COLUMN()-8,0),"")</f>
        <v>https://i0.hdslb.com/bfs/station_src/music_metadata/58bc0047ef309717106ab37f9f0eaaef.jpg</v>
      </c>
      <c r="P328" s="4" t="str">
        <f ca="1">_xlfn.IFNA(VLOOKUP(INDIRECT("G"&amp;ROW()),minfo!$A:$M,COLUMN()-8,0),"")</f>
        <v>http://i0.hdslb.com/bfs/station_src/music_metadata/004573c098a52ded7995aead78b01386</v>
      </c>
      <c r="Q328" s="4">
        <f ca="1">_xlfn.IFNA(VLOOKUP(INDIRECT("G"&amp;ROW()),minfo!$A:$M,COLUMN()-8,0),"")</f>
        <v>4410</v>
      </c>
      <c r="R328" s="4">
        <f ca="1">_xlfn.IFNA(VLOOKUP(INDIRECT("G"&amp;ROW()),minfo!$A:$M,COLUMN()-8,0),"")</f>
        <v>0</v>
      </c>
      <c r="S328" s="4" t="str">
        <f ca="1">_xlfn.IFNA(VLOOKUP(INDIRECT("G"&amp;ROW()),minfo!$A:$M,COLUMN()-8,0),"")</f>
        <v>Rubia</v>
      </c>
      <c r="T328" s="4">
        <f ca="1">_xlfn.IFNA(VLOOKUP(INDIRECT("G"&amp;ROW()),minfo!$A:$M,COLUMN()-8,0),"")</f>
        <v>217211932</v>
      </c>
      <c r="U328" s="4">
        <f ca="1">_xlfn.IFNA(VLOOKUP(INDIRECT("G"&amp;ROW()),minfo!$A:$M,COLUMN()-8,0),"")</f>
        <v>0</v>
      </c>
    </row>
    <row r="329" spans="1:21" ht="15.75" customHeight="1">
      <c r="A329" s="15">
        <v>328</v>
      </c>
      <c r="B329" s="4" t="s">
        <v>3889</v>
      </c>
      <c r="C329" s="4">
        <v>329</v>
      </c>
      <c r="D329" s="4">
        <v>131</v>
      </c>
      <c r="E329" s="4" t="s">
        <v>1073</v>
      </c>
      <c r="F329" s="16">
        <v>45070</v>
      </c>
      <c r="G329" s="5" t="s">
        <v>1072</v>
      </c>
      <c r="H329" s="5" t="s">
        <v>3754</v>
      </c>
      <c r="I329" s="24" t="str">
        <f>HYPERLINK("https://www.bilibili.com/video/BV1cs4y1w7Lv?p=131", "BV1cs4y1w7Lv?p=131")</f>
        <v>BV1cs4y1w7Lv?p=131</v>
      </c>
      <c r="J329" s="4" t="str">
        <f ca="1">_xlfn.IFNA(VLOOKUP(INDIRECT("G"&amp;ROW()),minfo!$A:$M,COLUMN()-8,0),"")</f>
        <v>栅栏间隙偷窥你</v>
      </c>
      <c r="K329" s="4" t="str">
        <f ca="1">_xlfn.IFNA(VLOOKUP(INDIRECT("G"&amp;ROW()),minfo!$A:$M,COLUMN()-8,0),"")</f>
        <v>蔡依林</v>
      </c>
      <c r="L329" s="4">
        <f ca="1">_xlfn.IFNA(VLOOKUP(INDIRECT("G"&amp;ROW()),minfo!$A:$M,COLUMN()-8,0),"")</f>
        <v>0</v>
      </c>
      <c r="M329" s="4">
        <f ca="1">_xlfn.IFNA(VLOOKUP(INDIRECT("G"&amp;ROW()),minfo!$A:$M,COLUMN()-8,0),"")</f>
        <v>0</v>
      </c>
      <c r="N329" s="4">
        <f ca="1">_xlfn.IFNA(VLOOKUP(INDIRECT("G"&amp;ROW()),minfo!$A:$M,COLUMN()-8,0),"")</f>
        <v>0</v>
      </c>
      <c r="O329" s="4" t="str">
        <f ca="1">_xlfn.IFNA(VLOOKUP(INDIRECT("G"&amp;ROW()),minfo!$A:$M,COLUMN()-8,0),"")</f>
        <v>https://i0.hdslb.com/bfs/station_src/music_metadata/02695fbc3e82dda3aca1c35dd64b7823.jpg</v>
      </c>
      <c r="P329" s="4" t="str">
        <f ca="1">_xlfn.IFNA(VLOOKUP(INDIRECT("G"&amp;ROW()),minfo!$A:$M,COLUMN()-8,0),"")</f>
        <v>https://i0.hdslb.com/bfs/station_src/music_metadata/a3bfe1880135f94b8d1004bed38b637f.txt</v>
      </c>
      <c r="Q329" s="4">
        <f ca="1">_xlfn.IFNA(VLOOKUP(INDIRECT("G"&amp;ROW()),minfo!$A:$M,COLUMN()-8,0),"")</f>
        <v>2</v>
      </c>
      <c r="R329" s="4">
        <f ca="1">_xlfn.IFNA(VLOOKUP(INDIRECT("G"&amp;ROW()),minfo!$A:$M,COLUMN()-8,0),"")</f>
        <v>0</v>
      </c>
      <c r="S329" s="4" t="str">
        <f ca="1">_xlfn.IFNA(VLOOKUP(INDIRECT("G"&amp;ROW()),minfo!$A:$M,COLUMN()-8,0),"")</f>
        <v>MUSE</v>
      </c>
      <c r="T329" s="4">
        <f ca="1">_xlfn.IFNA(VLOOKUP(INDIRECT("G"&amp;ROW()),minfo!$A:$M,COLUMN()-8,0),"")</f>
        <v>3494554</v>
      </c>
      <c r="U329" s="4">
        <f ca="1">_xlfn.IFNA(VLOOKUP(INDIRECT("G"&amp;ROW()),minfo!$A:$M,COLUMN()-8,0),"")</f>
        <v>0</v>
      </c>
    </row>
    <row r="330" spans="1:21" ht="15.75" customHeight="1">
      <c r="A330" s="15">
        <v>329</v>
      </c>
      <c r="B330" s="4" t="s">
        <v>3890</v>
      </c>
      <c r="C330" s="4">
        <v>330</v>
      </c>
      <c r="D330" s="4">
        <v>132</v>
      </c>
      <c r="E330" s="4" t="s">
        <v>918</v>
      </c>
      <c r="F330" s="16">
        <v>45070</v>
      </c>
      <c r="G330" s="5" t="s">
        <v>917</v>
      </c>
      <c r="H330" s="5" t="s">
        <v>3754</v>
      </c>
      <c r="I330" s="24" t="str">
        <f>HYPERLINK("https://www.bilibili.com/video/BV1cs4y1w7Lv?p=132", "BV1cs4y1w7Lv?p=132")</f>
        <v>BV1cs4y1w7Lv?p=132</v>
      </c>
      <c r="J330" s="4" t="str">
        <f ca="1">_xlfn.IFNA(VLOOKUP(INDIRECT("G"&amp;ROW()),minfo!$A:$M,COLUMN()-8,0),"")</f>
        <v>暗号</v>
      </c>
      <c r="K330" s="4" t="str">
        <f ca="1">_xlfn.IFNA(VLOOKUP(INDIRECT("G"&amp;ROW()),minfo!$A:$M,COLUMN()-8,0),"")</f>
        <v>周杰伦</v>
      </c>
      <c r="L330" s="4">
        <f ca="1">_xlfn.IFNA(VLOOKUP(INDIRECT("G"&amp;ROW()),minfo!$A:$M,COLUMN()-8,0),"")</f>
        <v>0</v>
      </c>
      <c r="M330" s="4">
        <f ca="1">_xlfn.IFNA(VLOOKUP(INDIRECT("G"&amp;ROW()),minfo!$A:$M,COLUMN()-8,0),"")</f>
        <v>0</v>
      </c>
      <c r="N330" s="4">
        <f ca="1">_xlfn.IFNA(VLOOKUP(INDIRECT("G"&amp;ROW()),minfo!$A:$M,COLUMN()-8,0),"")</f>
        <v>0</v>
      </c>
      <c r="O330" s="4" t="str">
        <f ca="1">_xlfn.IFNA(VLOOKUP(INDIRECT("G"&amp;ROW()),minfo!$A:$M,COLUMN()-8,0),"")</f>
        <v>https://i0.hdslb.com/bfs/station_src/music_metadata/836d7078552d6143b4a27f54a2a62598.jpg</v>
      </c>
      <c r="P330" s="4">
        <f ca="1">_xlfn.IFNA(VLOOKUP(INDIRECT("G"&amp;ROW()),minfo!$A:$M,COLUMN()-8,0),"")</f>
        <v>0</v>
      </c>
      <c r="Q330" s="4">
        <f ca="1">_xlfn.IFNA(VLOOKUP(INDIRECT("G"&amp;ROW()),minfo!$A:$M,COLUMN()-8,0),"")</f>
        <v>8346</v>
      </c>
      <c r="R330" s="4">
        <f ca="1">_xlfn.IFNA(VLOOKUP(INDIRECT("G"&amp;ROW()),minfo!$A:$M,COLUMN()-8,0),"")</f>
        <v>0</v>
      </c>
      <c r="S330" s="4" t="str">
        <f ca="1">_xlfn.IFNA(VLOOKUP(INDIRECT("G"&amp;ROW()),minfo!$A:$M,COLUMN()-8,0),"")</f>
        <v>八度空间</v>
      </c>
      <c r="T330" s="4">
        <f ca="1">_xlfn.IFNA(VLOOKUP(INDIRECT("G"&amp;ROW()),minfo!$A:$M,COLUMN()-8,0),"")</f>
        <v>445692889</v>
      </c>
      <c r="U330" s="4">
        <f ca="1">_xlfn.IFNA(VLOOKUP(INDIRECT("G"&amp;ROW()),minfo!$A:$M,COLUMN()-8,0),"")</f>
        <v>0</v>
      </c>
    </row>
    <row r="331" spans="1:21" ht="15.75" customHeight="1">
      <c r="A331" s="15">
        <v>330</v>
      </c>
      <c r="B331" s="4" t="s">
        <v>3891</v>
      </c>
      <c r="C331" s="4">
        <v>331</v>
      </c>
      <c r="D331" s="4">
        <v>133</v>
      </c>
      <c r="E331" s="4" t="s">
        <v>1010</v>
      </c>
      <c r="F331" s="16">
        <v>45072</v>
      </c>
      <c r="G331" s="5" t="s">
        <v>1009</v>
      </c>
      <c r="H331" s="5" t="s">
        <v>3754</v>
      </c>
      <c r="I331" s="24" t="str">
        <f>HYPERLINK("https://www.bilibili.com/video/BV1cs4y1w7Lv?p=133", "BV1cs4y1w7Lv?p=133")</f>
        <v>BV1cs4y1w7Lv?p=133</v>
      </c>
      <c r="J331" s="4" t="str">
        <f ca="1">_xlfn.IFNA(VLOOKUP(INDIRECT("G"&amp;ROW()),minfo!$A:$M,COLUMN()-8,0),"")</f>
        <v>黑色毛衣</v>
      </c>
      <c r="K331" s="4" t="str">
        <f ca="1">_xlfn.IFNA(VLOOKUP(INDIRECT("G"&amp;ROW()),minfo!$A:$M,COLUMN()-8,0),"")</f>
        <v>周杰伦</v>
      </c>
      <c r="L331" s="4">
        <f ca="1">_xlfn.IFNA(VLOOKUP(INDIRECT("G"&amp;ROW()),minfo!$A:$M,COLUMN()-8,0),"")</f>
        <v>0</v>
      </c>
      <c r="M331" s="4">
        <f ca="1">_xlfn.IFNA(VLOOKUP(INDIRECT("G"&amp;ROW()),minfo!$A:$M,COLUMN()-8,0),"")</f>
        <v>0</v>
      </c>
      <c r="N331" s="4">
        <f ca="1">_xlfn.IFNA(VLOOKUP(INDIRECT("G"&amp;ROW()),minfo!$A:$M,COLUMN()-8,0),"")</f>
        <v>0</v>
      </c>
      <c r="O331" s="4" t="str">
        <f ca="1">_xlfn.IFNA(VLOOKUP(INDIRECT("G"&amp;ROW()),minfo!$A:$M,COLUMN()-8,0),"")</f>
        <v>https://i0.hdslb.com/bfs/station_src/music_metadata/d177abbc80cfe554a91bcd9e69d8da51.jpg</v>
      </c>
      <c r="P331" s="4" t="str">
        <f ca="1">_xlfn.IFNA(VLOOKUP(INDIRECT("G"&amp;ROW()),minfo!$A:$M,COLUMN()-8,0),"")</f>
        <v>http://i0.hdslb.com/bfs/station_src/music_metadata/87ffce3db53d0d821f19079333c6109c</v>
      </c>
      <c r="Q331" s="4">
        <f ca="1">_xlfn.IFNA(VLOOKUP(INDIRECT("G"&amp;ROW()),minfo!$A:$M,COLUMN()-8,0),"")</f>
        <v>900</v>
      </c>
      <c r="R331" s="4">
        <f ca="1">_xlfn.IFNA(VLOOKUP(INDIRECT("G"&amp;ROW()),minfo!$A:$M,COLUMN()-8,0),"")</f>
        <v>0</v>
      </c>
      <c r="S331" s="4" t="str">
        <f ca="1">_xlfn.IFNA(VLOOKUP(INDIRECT("G"&amp;ROW()),minfo!$A:$M,COLUMN()-8,0),"")</f>
        <v>十一月的萧邦</v>
      </c>
      <c r="T331" s="4">
        <f ca="1">_xlfn.IFNA(VLOOKUP(INDIRECT("G"&amp;ROW()),minfo!$A:$M,COLUMN()-8,0),"")</f>
        <v>294942325</v>
      </c>
      <c r="U331" s="4">
        <f ca="1">_xlfn.IFNA(VLOOKUP(INDIRECT("G"&amp;ROW()),minfo!$A:$M,COLUMN()-8,0),"")</f>
        <v>0</v>
      </c>
    </row>
    <row r="332" spans="1:21" ht="15.75" customHeight="1">
      <c r="A332" s="15">
        <v>331</v>
      </c>
      <c r="B332" s="4" t="s">
        <v>3892</v>
      </c>
      <c r="C332" s="4">
        <v>332</v>
      </c>
      <c r="D332" s="4">
        <v>134</v>
      </c>
      <c r="E332" s="4" t="s">
        <v>3893</v>
      </c>
      <c r="F332" s="16">
        <v>45072</v>
      </c>
      <c r="G332" s="5" t="s">
        <v>838</v>
      </c>
      <c r="H332" s="5" t="s">
        <v>3754</v>
      </c>
      <c r="I332" s="24" t="str">
        <f>HYPERLINK("https://www.bilibili.com/video/BV1cs4y1w7Lv?p=134", "BV1cs4y1w7Lv?p=134")</f>
        <v>BV1cs4y1w7Lv?p=134</v>
      </c>
      <c r="J332" s="4" t="str">
        <f ca="1">_xlfn.IFNA(VLOOKUP(INDIRECT("G"&amp;ROW()),minfo!$A:$M,COLUMN()-8,0),"")</f>
        <v>七里香</v>
      </c>
      <c r="K332" s="4" t="str">
        <f ca="1">_xlfn.IFNA(VLOOKUP(INDIRECT("G"&amp;ROW()),minfo!$A:$M,COLUMN()-8,0),"")</f>
        <v>周杰伦</v>
      </c>
      <c r="L332" s="4">
        <f ca="1">_xlfn.IFNA(VLOOKUP(INDIRECT("G"&amp;ROW()),minfo!$A:$M,COLUMN()-8,0),"")</f>
        <v>0</v>
      </c>
      <c r="M332" s="4">
        <f ca="1">_xlfn.IFNA(VLOOKUP(INDIRECT("G"&amp;ROW()),minfo!$A:$M,COLUMN()-8,0),"")</f>
        <v>6714</v>
      </c>
      <c r="N332" s="4">
        <f ca="1">_xlfn.IFNA(VLOOKUP(INDIRECT("G"&amp;ROW()),minfo!$A:$M,COLUMN()-8,0),"")</f>
        <v>200</v>
      </c>
      <c r="O332" s="4" t="str">
        <f ca="1">_xlfn.IFNA(VLOOKUP(INDIRECT("G"&amp;ROW()),minfo!$A:$M,COLUMN()-8,0),"")</f>
        <v>https://i0.hdslb.com/bfs/station_src/music_metadata/cc542b9d467cfc48aecb420fa38f29a5.jpg</v>
      </c>
      <c r="P332" s="4">
        <f ca="1">_xlfn.IFNA(VLOOKUP(INDIRECT("G"&amp;ROW()),minfo!$A:$M,COLUMN()-8,0),"")</f>
        <v>0</v>
      </c>
      <c r="Q332" s="4">
        <f ca="1">_xlfn.IFNA(VLOOKUP(INDIRECT("G"&amp;ROW()),minfo!$A:$M,COLUMN()-8,0),"")</f>
        <v>13878</v>
      </c>
      <c r="R332" s="4">
        <f ca="1">_xlfn.IFNA(VLOOKUP(INDIRECT("G"&amp;ROW()),minfo!$A:$M,COLUMN()-8,0),"")</f>
        <v>0</v>
      </c>
      <c r="S332" s="4" t="str">
        <f ca="1">_xlfn.IFNA(VLOOKUP(INDIRECT("G"&amp;ROW()),minfo!$A:$M,COLUMN()-8,0),"")</f>
        <v>七里香</v>
      </c>
      <c r="T332" s="4">
        <f ca="1">_xlfn.IFNA(VLOOKUP(INDIRECT("G"&amp;ROW()),minfo!$A:$M,COLUMN()-8,0),"")</f>
        <v>1124988076</v>
      </c>
      <c r="U332" s="4" t="str">
        <f ca="1">_xlfn.IFNA(VLOOKUP(INDIRECT("G"&amp;ROW()),minfo!$A:$M,COLUMN()-8,0),"")</f>
        <v>音乐榜最高NO.17</v>
      </c>
    </row>
    <row r="333" spans="1:21" ht="15.75" customHeight="1">
      <c r="A333" s="15">
        <v>332</v>
      </c>
      <c r="B333" s="4" t="s">
        <v>3894</v>
      </c>
      <c r="C333" s="4">
        <v>333</v>
      </c>
      <c r="D333" s="4">
        <v>135</v>
      </c>
      <c r="E333" s="4" t="s">
        <v>113</v>
      </c>
      <c r="F333" s="16">
        <v>45072</v>
      </c>
      <c r="G333" s="5" t="s">
        <v>113</v>
      </c>
      <c r="H333" s="5" t="s">
        <v>3754</v>
      </c>
      <c r="I333" s="24" t="str">
        <f>HYPERLINK("https://www.bilibili.com/video/BV1cs4y1w7Lv?p=135", "BV1cs4y1w7Lv?p=135")</f>
        <v>BV1cs4y1w7Lv?p=135</v>
      </c>
      <c r="J333" s="4" t="str">
        <f ca="1">_xlfn.IFNA(VLOOKUP(INDIRECT("G"&amp;ROW()),minfo!$A:$M,COLUMN()-8,0),"")</f>
        <v>牡丹亭畔</v>
      </c>
      <c r="K333" s="4" t="str">
        <f ca="1">_xlfn.IFNA(VLOOKUP(INDIRECT("G"&amp;ROW()),minfo!$A:$M,COLUMN()-8,0),"")</f>
        <v>说说Crystal</v>
      </c>
      <c r="L333" s="4" t="str">
        <f ca="1">_xlfn.IFNA(VLOOKUP(INDIRECT("G"&amp;ROW()),minfo!$A:$M,COLUMN()-8,0),"")</f>
        <v>BV1CP411M7tc</v>
      </c>
      <c r="M333" s="4">
        <f ca="1">_xlfn.IFNA(VLOOKUP(INDIRECT("G"&amp;ROW()),minfo!$A:$M,COLUMN()-8,0),"")</f>
        <v>0</v>
      </c>
      <c r="N333" s="4">
        <f ca="1">_xlfn.IFNA(VLOOKUP(INDIRECT("G"&amp;ROW()),minfo!$A:$M,COLUMN()-8,0),"")</f>
        <v>0</v>
      </c>
      <c r="O333" s="4">
        <f ca="1">_xlfn.IFNA(VLOOKUP(INDIRECT("G"&amp;ROW()),minfo!$A:$M,COLUMN()-8,0),"")</f>
        <v>0</v>
      </c>
      <c r="P333" s="4">
        <f ca="1">_xlfn.IFNA(VLOOKUP(INDIRECT("G"&amp;ROW()),minfo!$A:$M,COLUMN()-8,0),"")</f>
        <v>0</v>
      </c>
      <c r="Q333" s="4">
        <f ca="1">_xlfn.IFNA(VLOOKUP(INDIRECT("G"&amp;ROW()),minfo!$A:$M,COLUMN()-8,0),"")</f>
        <v>0</v>
      </c>
      <c r="R333" s="4">
        <f ca="1">_xlfn.IFNA(VLOOKUP(INDIRECT("G"&amp;ROW()),minfo!$A:$M,COLUMN()-8,0),"")</f>
        <v>0</v>
      </c>
      <c r="S333" s="4">
        <f ca="1">_xlfn.IFNA(VLOOKUP(INDIRECT("G"&amp;ROW()),minfo!$A:$M,COLUMN()-8,0),"")</f>
        <v>0</v>
      </c>
      <c r="T333" s="4">
        <f ca="1">_xlfn.IFNA(VLOOKUP(INDIRECT("G"&amp;ROW()),minfo!$A:$M,COLUMN()-8,0),"")</f>
        <v>0</v>
      </c>
      <c r="U333" s="4">
        <f ca="1">_xlfn.IFNA(VLOOKUP(INDIRECT("G"&amp;ROW()),minfo!$A:$M,COLUMN()-8,0),"")</f>
        <v>0</v>
      </c>
    </row>
    <row r="334" spans="1:21" ht="15.75" customHeight="1">
      <c r="A334" s="15">
        <v>333</v>
      </c>
      <c r="B334" s="4" t="s">
        <v>3895</v>
      </c>
      <c r="C334" s="4">
        <v>334</v>
      </c>
      <c r="D334" s="4">
        <v>136</v>
      </c>
      <c r="E334" s="4" t="s">
        <v>1078</v>
      </c>
      <c r="F334" s="16">
        <v>45072</v>
      </c>
      <c r="G334" s="5" t="s">
        <v>1077</v>
      </c>
      <c r="H334" s="5" t="s">
        <v>3754</v>
      </c>
      <c r="I334" s="24" t="str">
        <f>HYPERLINK("https://www.bilibili.com/video/BV1cs4y1w7Lv?p=136", "BV1cs4y1w7Lv?p=136")</f>
        <v>BV1cs4y1w7Lv?p=136</v>
      </c>
      <c r="J334" s="4" t="str">
        <f ca="1">_xlfn.IFNA(VLOOKUP(INDIRECT("G"&amp;ROW()),minfo!$A:$M,COLUMN()-8,0),"")</f>
        <v>最长的电影</v>
      </c>
      <c r="K334" s="4" t="str">
        <f ca="1">_xlfn.IFNA(VLOOKUP(INDIRECT("G"&amp;ROW()),minfo!$A:$M,COLUMN()-8,0),"")</f>
        <v>周杰伦</v>
      </c>
      <c r="L334" s="4">
        <f ca="1">_xlfn.IFNA(VLOOKUP(INDIRECT("G"&amp;ROW()),minfo!$A:$M,COLUMN()-8,0),"")</f>
        <v>0</v>
      </c>
      <c r="M334" s="4">
        <f ca="1">_xlfn.IFNA(VLOOKUP(INDIRECT("G"&amp;ROW()),minfo!$A:$M,COLUMN()-8,0),"")</f>
        <v>0</v>
      </c>
      <c r="N334" s="4">
        <f ca="1">_xlfn.IFNA(VLOOKUP(INDIRECT("G"&amp;ROW()),minfo!$A:$M,COLUMN()-8,0),"")</f>
        <v>0</v>
      </c>
      <c r="O334" s="4" t="str">
        <f ca="1">_xlfn.IFNA(VLOOKUP(INDIRECT("G"&amp;ROW()),minfo!$A:$M,COLUMN()-8,0),"")</f>
        <v>https://i0.hdslb.com/bfs/station_src/music_metadata/7eaa1a96d6dc901ac8d38b532ba49f47.jpg</v>
      </c>
      <c r="P334" s="4" t="str">
        <f ca="1">_xlfn.IFNA(VLOOKUP(INDIRECT("G"&amp;ROW()),minfo!$A:$M,COLUMN()-8,0),"")</f>
        <v>http://i0.hdslb.com/bfs/station_src/music_metadata/62e80a61723a09aff7da0f2c4f4612c9</v>
      </c>
      <c r="Q334" s="4">
        <f ca="1">_xlfn.IFNA(VLOOKUP(INDIRECT("G"&amp;ROW()),minfo!$A:$M,COLUMN()-8,0),"")</f>
        <v>2026</v>
      </c>
      <c r="R334" s="4">
        <f ca="1">_xlfn.IFNA(VLOOKUP(INDIRECT("G"&amp;ROW()),minfo!$A:$M,COLUMN()-8,0),"")</f>
        <v>0</v>
      </c>
      <c r="S334" s="4" t="str">
        <f ca="1">_xlfn.IFNA(VLOOKUP(INDIRECT("G"&amp;ROW()),minfo!$A:$M,COLUMN()-8,0),"")</f>
        <v>我很忙</v>
      </c>
      <c r="T334" s="4">
        <f ca="1">_xlfn.IFNA(VLOOKUP(INDIRECT("G"&amp;ROW()),minfo!$A:$M,COLUMN()-8,0),"")</f>
        <v>437092203</v>
      </c>
      <c r="U334" s="4">
        <f ca="1">_xlfn.IFNA(VLOOKUP(INDIRECT("G"&amp;ROW()),minfo!$A:$M,COLUMN()-8,0),"")</f>
        <v>0</v>
      </c>
    </row>
    <row r="335" spans="1:21" ht="15.75" customHeight="1">
      <c r="A335" s="15">
        <v>334</v>
      </c>
      <c r="B335" s="4" t="s">
        <v>3896</v>
      </c>
      <c r="C335" s="4">
        <v>335</v>
      </c>
      <c r="D335" s="4">
        <v>137</v>
      </c>
      <c r="E335" s="4" t="s">
        <v>1024</v>
      </c>
      <c r="F335" s="16">
        <v>45072</v>
      </c>
      <c r="G335" s="5" t="s">
        <v>1023</v>
      </c>
      <c r="H335" s="5" t="s">
        <v>3754</v>
      </c>
      <c r="I335" s="24" t="str">
        <f>HYPERLINK("https://www.bilibili.com/video/BV1cs4y1w7Lv?p=137", "BV1cs4y1w7Lv?p=137")</f>
        <v>BV1cs4y1w7Lv?p=137</v>
      </c>
      <c r="J335" s="4" t="str">
        <f ca="1">_xlfn.IFNA(VLOOKUP(INDIRECT("G"&amp;ROW()),minfo!$A:$M,COLUMN()-8,0),"")</f>
        <v>兰亭序</v>
      </c>
      <c r="K335" s="4" t="str">
        <f ca="1">_xlfn.IFNA(VLOOKUP(INDIRECT("G"&amp;ROW()),minfo!$A:$M,COLUMN()-8,0),"")</f>
        <v>周杰伦</v>
      </c>
      <c r="L335" s="4">
        <f ca="1">_xlfn.IFNA(VLOOKUP(INDIRECT("G"&amp;ROW()),minfo!$A:$M,COLUMN()-8,0),"")</f>
        <v>0</v>
      </c>
      <c r="M335" s="4">
        <f ca="1">_xlfn.IFNA(VLOOKUP(INDIRECT("G"&amp;ROW()),minfo!$A:$M,COLUMN()-8,0),"")</f>
        <v>0</v>
      </c>
      <c r="N335" s="4">
        <f ca="1">_xlfn.IFNA(VLOOKUP(INDIRECT("G"&amp;ROW()),minfo!$A:$M,COLUMN()-8,0),"")</f>
        <v>0</v>
      </c>
      <c r="O335" s="4" t="str">
        <f ca="1">_xlfn.IFNA(VLOOKUP(INDIRECT("G"&amp;ROW()),minfo!$A:$M,COLUMN()-8,0),"")</f>
        <v>https://i0.hdslb.com/bfs/station_src/music_metadata/a03f7d174c3b01e4c6b3907a115c5434.jpg</v>
      </c>
      <c r="P335" s="4">
        <f ca="1">_xlfn.IFNA(VLOOKUP(INDIRECT("G"&amp;ROW()),minfo!$A:$M,COLUMN()-8,0),"")</f>
        <v>0</v>
      </c>
      <c r="Q335" s="4">
        <f ca="1">_xlfn.IFNA(VLOOKUP(INDIRECT("G"&amp;ROW()),minfo!$A:$M,COLUMN()-8,0),"")</f>
        <v>28515</v>
      </c>
      <c r="R335" s="4">
        <f ca="1">_xlfn.IFNA(VLOOKUP(INDIRECT("G"&amp;ROW()),minfo!$A:$M,COLUMN()-8,0),"")</f>
        <v>0</v>
      </c>
      <c r="S335" s="4" t="str">
        <f ca="1">_xlfn.IFNA(VLOOKUP(INDIRECT("G"&amp;ROW()),minfo!$A:$M,COLUMN()-8,0),"")</f>
        <v>魔杰座</v>
      </c>
      <c r="T335" s="4">
        <f ca="1">_xlfn.IFNA(VLOOKUP(INDIRECT("G"&amp;ROW()),minfo!$A:$M,COLUMN()-8,0),"")</f>
        <v>2546158396</v>
      </c>
      <c r="U335" s="4" t="str">
        <f ca="1">_xlfn.IFNA(VLOOKUP(INDIRECT("G"&amp;ROW()),minfo!$A:$M,COLUMN()-8,0),"")</f>
        <v>音乐榜最高NO.4</v>
      </c>
    </row>
    <row r="336" spans="1:21" ht="15.75" customHeight="1">
      <c r="A336" s="15">
        <v>335</v>
      </c>
      <c r="B336" s="4" t="s">
        <v>3897</v>
      </c>
      <c r="C336" s="4">
        <v>336</v>
      </c>
      <c r="D336" s="4">
        <v>138</v>
      </c>
      <c r="E336" s="4" t="s">
        <v>1036</v>
      </c>
      <c r="F336" s="16">
        <v>45072</v>
      </c>
      <c r="G336" s="5" t="s">
        <v>1035</v>
      </c>
      <c r="H336" s="5" t="s">
        <v>3754</v>
      </c>
      <c r="I336" s="24" t="str">
        <f>HYPERLINK("https://www.bilibili.com/video/BV1cs4y1w7Lv?p=138", "BV1cs4y1w7Lv?p=138")</f>
        <v>BV1cs4y1w7Lv?p=138</v>
      </c>
      <c r="J336" s="4" t="str">
        <f ca="1">_xlfn.IFNA(VLOOKUP(INDIRECT("G"&amp;ROW()),minfo!$A:$M,COLUMN()-8,0),"")</f>
        <v>分裂</v>
      </c>
      <c r="K336" s="4" t="str">
        <f ca="1">_xlfn.IFNA(VLOOKUP(INDIRECT("G"&amp;ROW()),minfo!$A:$M,COLUMN()-8,0),"")</f>
        <v>周杰伦</v>
      </c>
      <c r="L336" s="4">
        <f ca="1">_xlfn.IFNA(VLOOKUP(INDIRECT("G"&amp;ROW()),minfo!$A:$M,COLUMN()-8,0),"")</f>
        <v>0</v>
      </c>
      <c r="M336" s="4">
        <f ca="1">_xlfn.IFNA(VLOOKUP(INDIRECT("G"&amp;ROW()),minfo!$A:$M,COLUMN()-8,0),"")</f>
        <v>0</v>
      </c>
      <c r="N336" s="4">
        <f ca="1">_xlfn.IFNA(VLOOKUP(INDIRECT("G"&amp;ROW()),minfo!$A:$M,COLUMN()-8,0),"")</f>
        <v>0</v>
      </c>
      <c r="O336" s="4" t="str">
        <f ca="1">_xlfn.IFNA(VLOOKUP(INDIRECT("G"&amp;ROW()),minfo!$A:$M,COLUMN()-8,0),"")</f>
        <v>https://i0.hdslb.com/bfs/station_src/music_metadata/e0c93dd692e11b8a05a773b5a91db658.jpg</v>
      </c>
      <c r="P336" s="4" t="str">
        <f ca="1">_xlfn.IFNA(VLOOKUP(INDIRECT("G"&amp;ROW()),minfo!$A:$M,COLUMN()-8,0),"")</f>
        <v>copyright-crawler/music/task-lyric/62344913670859274c1e4f20.txt</v>
      </c>
      <c r="Q336" s="4">
        <f ca="1">_xlfn.IFNA(VLOOKUP(INDIRECT("G"&amp;ROW()),minfo!$A:$M,COLUMN()-8,0),"")</f>
        <v>599</v>
      </c>
      <c r="R336" s="4" t="str">
        <f ca="1">_xlfn.IFNA(VLOOKUP(INDIRECT("G"&amp;ROW()),minfo!$A:$M,COLUMN()-8,0),"")</f>
        <v>分裂</v>
      </c>
      <c r="S336" s="4" t="str">
        <f ca="1">_xlfn.IFNA(VLOOKUP(INDIRECT("G"&amp;ROW()),minfo!$A:$M,COLUMN()-8,0),"")</f>
        <v>八度空间</v>
      </c>
      <c r="T336" s="4">
        <f ca="1">_xlfn.IFNA(VLOOKUP(INDIRECT("G"&amp;ROW()),minfo!$A:$M,COLUMN()-8,0),"")</f>
        <v>198909539</v>
      </c>
      <c r="U336" s="4">
        <f ca="1">_xlfn.IFNA(VLOOKUP(INDIRECT("G"&amp;ROW()),minfo!$A:$M,COLUMN()-8,0),"")</f>
        <v>0</v>
      </c>
    </row>
    <row r="337" spans="1:21" ht="15.75" customHeight="1">
      <c r="A337" s="15">
        <v>336</v>
      </c>
      <c r="B337" s="4" t="s">
        <v>3898</v>
      </c>
      <c r="C337" s="4">
        <v>337</v>
      </c>
      <c r="D337" s="4">
        <v>139</v>
      </c>
      <c r="E337" s="4" t="s">
        <v>1082</v>
      </c>
      <c r="F337" s="16">
        <v>45073</v>
      </c>
      <c r="G337" s="5" t="s">
        <v>1081</v>
      </c>
      <c r="H337" s="5" t="s">
        <v>3754</v>
      </c>
      <c r="I337" s="24" t="str">
        <f>HYPERLINK("https://www.bilibili.com/video/BV1cs4y1w7Lv?p=139", "BV1cs4y1w7Lv?p=139")</f>
        <v>BV1cs4y1w7Lv?p=139</v>
      </c>
      <c r="J337" s="4" t="str">
        <f ca="1">_xlfn.IFNA(VLOOKUP(INDIRECT("G"&amp;ROW()),minfo!$A:$M,COLUMN()-8,0),"")</f>
        <v>原谅</v>
      </c>
      <c r="K337" s="4" t="str">
        <f ca="1">_xlfn.IFNA(VLOOKUP(INDIRECT("G"&amp;ROW()),minfo!$A:$M,COLUMN()-8,0),"")</f>
        <v>张玉华</v>
      </c>
      <c r="L337" s="4">
        <f ca="1">_xlfn.IFNA(VLOOKUP(INDIRECT("G"&amp;ROW()),minfo!$A:$M,COLUMN()-8,0),"")</f>
        <v>0</v>
      </c>
      <c r="M337" s="4">
        <f ca="1">_xlfn.IFNA(VLOOKUP(INDIRECT("G"&amp;ROW()),minfo!$A:$M,COLUMN()-8,0),"")</f>
        <v>0</v>
      </c>
      <c r="N337" s="4">
        <f ca="1">_xlfn.IFNA(VLOOKUP(INDIRECT("G"&amp;ROW()),minfo!$A:$M,COLUMN()-8,0),"")</f>
        <v>0</v>
      </c>
      <c r="O337" s="4" t="str">
        <f ca="1">_xlfn.IFNA(VLOOKUP(INDIRECT("G"&amp;ROW()),minfo!$A:$M,COLUMN()-8,0),"")</f>
        <v>https://i0.hdslb.com/bfs/station_src/music_metadata/0c325dbf0a194d5e4405e319d529c6a7.jpg</v>
      </c>
      <c r="P337" s="4" t="str">
        <f ca="1">_xlfn.IFNA(VLOOKUP(INDIRECT("G"&amp;ROW()),minfo!$A:$M,COLUMN()-8,0),"")</f>
        <v>https://i0.hdslb.com/bfs/station_src/music_metadata/acb7dde5c1a35b828aaa3369b3a690da.txt</v>
      </c>
      <c r="Q337" s="4">
        <f ca="1">_xlfn.IFNA(VLOOKUP(INDIRECT("G"&amp;ROW()),minfo!$A:$M,COLUMN()-8,0),"")</f>
        <v>43</v>
      </c>
      <c r="R337" s="4">
        <f ca="1">_xlfn.IFNA(VLOOKUP(INDIRECT("G"&amp;ROW()),minfo!$A:$M,COLUMN()-8,0),"")</f>
        <v>0</v>
      </c>
      <c r="S337" s="4" t="str">
        <f ca="1">_xlfn.IFNA(VLOOKUP(INDIRECT("G"&amp;ROW()),minfo!$A:$M,COLUMN()-8,0),"")</f>
        <v>张玉华同名专辑</v>
      </c>
      <c r="T337" s="4">
        <f ca="1">_xlfn.IFNA(VLOOKUP(INDIRECT("G"&amp;ROW()),minfo!$A:$M,COLUMN()-8,0),"")</f>
        <v>20951606</v>
      </c>
      <c r="U337" s="4">
        <f ca="1">_xlfn.IFNA(VLOOKUP(INDIRECT("G"&amp;ROW()),minfo!$A:$M,COLUMN()-8,0),"")</f>
        <v>0</v>
      </c>
    </row>
    <row r="338" spans="1:21" ht="15.75" customHeight="1">
      <c r="A338" s="15">
        <v>337</v>
      </c>
      <c r="B338" s="4" t="s">
        <v>3899</v>
      </c>
      <c r="C338" s="4">
        <v>338</v>
      </c>
      <c r="D338" s="4">
        <v>140</v>
      </c>
      <c r="E338" s="4" t="s">
        <v>1088</v>
      </c>
      <c r="F338" s="16">
        <v>45073</v>
      </c>
      <c r="G338" s="5" t="s">
        <v>1087</v>
      </c>
      <c r="H338" s="5" t="s">
        <v>3754</v>
      </c>
      <c r="I338" s="24" t="str">
        <f>HYPERLINK("https://www.bilibili.com/video/BV1cs4y1w7Lv?p=140", "BV1cs4y1w7Lv?p=140")</f>
        <v>BV1cs4y1w7Lv?p=140</v>
      </c>
      <c r="J338" s="4" t="str">
        <f ca="1">_xlfn.IFNA(VLOOKUP(INDIRECT("G"&amp;ROW()),minfo!$A:$M,COLUMN()-8,0),"")</f>
        <v>落在胸口的星星</v>
      </c>
      <c r="K338" s="4" t="str">
        <f ca="1">_xlfn.IFNA(VLOOKUP(INDIRECT("G"&amp;ROW()),minfo!$A:$M,COLUMN()-8,0),"")</f>
        <v>郁可唯</v>
      </c>
      <c r="L338" s="4">
        <f ca="1">_xlfn.IFNA(VLOOKUP(INDIRECT("G"&amp;ROW()),minfo!$A:$M,COLUMN()-8,0),"")</f>
        <v>0</v>
      </c>
      <c r="M338" s="4">
        <f ca="1">_xlfn.IFNA(VLOOKUP(INDIRECT("G"&amp;ROW()),minfo!$A:$M,COLUMN()-8,0),"")</f>
        <v>0</v>
      </c>
      <c r="N338" s="4">
        <f ca="1">_xlfn.IFNA(VLOOKUP(INDIRECT("G"&amp;ROW()),minfo!$A:$M,COLUMN()-8,0),"")</f>
        <v>0</v>
      </c>
      <c r="O338" s="4" t="str">
        <f ca="1">_xlfn.IFNA(VLOOKUP(INDIRECT("G"&amp;ROW()),minfo!$A:$M,COLUMN()-8,0),"")</f>
        <v>https://i0.hdslb.com/bfs/station_src/music_metadata/50c77e28db4c8227c00d9a071a65db1e.jpg</v>
      </c>
      <c r="P338" s="4" t="str">
        <f ca="1">_xlfn.IFNA(VLOOKUP(INDIRECT("G"&amp;ROW()),minfo!$A:$M,COLUMN()-8,0),"")</f>
        <v>https://i0.hdslb.com/bfs/station_src/music_metadata/709099508f630786ca5d062cce060acd.txt</v>
      </c>
      <c r="Q338" s="4">
        <f ca="1">_xlfn.IFNA(VLOOKUP(INDIRECT("G"&amp;ROW()),minfo!$A:$M,COLUMN()-8,0),"")</f>
        <v>0</v>
      </c>
      <c r="R338" s="4" t="str">
        <f ca="1">_xlfn.IFNA(VLOOKUP(INDIRECT("G"&amp;ROW()),minfo!$A:$M,COLUMN()-8,0),"")</f>
        <v>《美容针》电影主题曲</v>
      </c>
      <c r="S338" s="4" t="str">
        <f ca="1">_xlfn.IFNA(VLOOKUP(INDIRECT("G"&amp;ROW()),minfo!$A:$M,COLUMN()-8,0),"")</f>
        <v>落在胸口的星星</v>
      </c>
      <c r="T338" s="4">
        <f ca="1">_xlfn.IFNA(VLOOKUP(INDIRECT("G"&amp;ROW()),minfo!$A:$M,COLUMN()-8,0),"")</f>
        <v>2086840</v>
      </c>
      <c r="U338" s="4">
        <f ca="1">_xlfn.IFNA(VLOOKUP(INDIRECT("G"&amp;ROW()),minfo!$A:$M,COLUMN()-8,0),"")</f>
        <v>0</v>
      </c>
    </row>
    <row r="339" spans="1:21" ht="15.75" customHeight="1">
      <c r="A339" s="15">
        <v>338</v>
      </c>
      <c r="B339" s="4" t="s">
        <v>3900</v>
      </c>
      <c r="C339" s="4">
        <v>339</v>
      </c>
      <c r="D339" s="4">
        <v>141</v>
      </c>
      <c r="E339" s="4" t="s">
        <v>975</v>
      </c>
      <c r="F339" s="16">
        <v>45073</v>
      </c>
      <c r="G339" s="5" t="s">
        <v>974</v>
      </c>
      <c r="H339" s="5" t="s">
        <v>3754</v>
      </c>
      <c r="I339" s="24" t="str">
        <f>HYPERLINK("https://www.bilibili.com/video/BV1cs4y1w7Lv?p=141", "BV1cs4y1w7Lv?p=141")</f>
        <v>BV1cs4y1w7Lv?p=141</v>
      </c>
      <c r="J339" s="4" t="str">
        <f ca="1">_xlfn.IFNA(VLOOKUP(INDIRECT("G"&amp;ROW()),minfo!$A:$M,COLUMN()-8,0),"")</f>
        <v>如果云知道</v>
      </c>
      <c r="K339" s="4" t="str">
        <f ca="1">_xlfn.IFNA(VLOOKUP(INDIRECT("G"&amp;ROW()),minfo!$A:$M,COLUMN()-8,0),"")</f>
        <v>许茹芸</v>
      </c>
      <c r="L339" s="4">
        <f ca="1">_xlfn.IFNA(VLOOKUP(INDIRECT("G"&amp;ROW()),minfo!$A:$M,COLUMN()-8,0),"")</f>
        <v>0</v>
      </c>
      <c r="M339" s="4">
        <f ca="1">_xlfn.IFNA(VLOOKUP(INDIRECT("G"&amp;ROW()),minfo!$A:$M,COLUMN()-8,0),"")</f>
        <v>0</v>
      </c>
      <c r="N339" s="4">
        <f ca="1">_xlfn.IFNA(VLOOKUP(INDIRECT("G"&amp;ROW()),minfo!$A:$M,COLUMN()-8,0),"")</f>
        <v>0</v>
      </c>
      <c r="O339" s="4" t="str">
        <f ca="1">_xlfn.IFNA(VLOOKUP(INDIRECT("G"&amp;ROW()),minfo!$A:$M,COLUMN()-8,0),"")</f>
        <v>http://i0.hdslb.com/bfs/station_src/music_metadata/9da38631e2dd6f94986ba234facf8fe4.jpg</v>
      </c>
      <c r="P339" s="4" t="str">
        <f ca="1">_xlfn.IFNA(VLOOKUP(INDIRECT("G"&amp;ROW()),minfo!$A:$M,COLUMN()-8,0),"")</f>
        <v>http://i0.hdslb.com/bfs/station_src/music_metadata/e8ddd3d5fe50c8872f21315e1a0b2309</v>
      </c>
      <c r="Q339" s="4">
        <f ca="1">_xlfn.IFNA(VLOOKUP(INDIRECT("G"&amp;ROW()),minfo!$A:$M,COLUMN()-8,0),"")</f>
        <v>35</v>
      </c>
      <c r="R339" s="4">
        <f ca="1">_xlfn.IFNA(VLOOKUP(INDIRECT("G"&amp;ROW()),minfo!$A:$M,COLUMN()-8,0),"")</f>
        <v>0</v>
      </c>
      <c r="S339" s="4" t="str">
        <f ca="1">_xlfn.IFNA(VLOOKUP(INDIRECT("G"&amp;ROW()),minfo!$A:$M,COLUMN()-8,0),"")</f>
        <v>如果云知道</v>
      </c>
      <c r="T339" s="4">
        <f ca="1">_xlfn.IFNA(VLOOKUP(INDIRECT("G"&amp;ROW()),minfo!$A:$M,COLUMN()-8,0),"")</f>
        <v>16660903</v>
      </c>
      <c r="U339" s="4">
        <f ca="1">_xlfn.IFNA(VLOOKUP(INDIRECT("G"&amp;ROW()),minfo!$A:$M,COLUMN()-8,0),"")</f>
        <v>0</v>
      </c>
    </row>
    <row r="340" spans="1:21" ht="15.75" customHeight="1">
      <c r="A340" s="15">
        <v>339</v>
      </c>
      <c r="B340" s="4" t="s">
        <v>3901</v>
      </c>
      <c r="C340" s="4">
        <v>340</v>
      </c>
      <c r="D340" s="4">
        <v>142</v>
      </c>
      <c r="E340" s="4" t="s">
        <v>1093</v>
      </c>
      <c r="F340" s="16">
        <v>45073</v>
      </c>
      <c r="G340" s="5" t="s">
        <v>1092</v>
      </c>
      <c r="H340" s="5" t="s">
        <v>3754</v>
      </c>
      <c r="I340" s="24" t="str">
        <f>HYPERLINK("https://www.bilibili.com/video/BV1cs4y1w7Lv?p=142", "BV1cs4y1w7Lv?p=142")</f>
        <v>BV1cs4y1w7Lv?p=142</v>
      </c>
      <c r="J340" s="4" t="str">
        <f ca="1">_xlfn.IFNA(VLOOKUP(INDIRECT("G"&amp;ROW()),minfo!$A:$M,COLUMN()-8,0),"")</f>
        <v>彩云之南</v>
      </c>
      <c r="K340" s="4" t="str">
        <f ca="1">_xlfn.IFNA(VLOOKUP(INDIRECT("G"&amp;ROW()),minfo!$A:$M,COLUMN()-8,0),"")</f>
        <v>徐千雅</v>
      </c>
      <c r="L340" s="4">
        <f ca="1">_xlfn.IFNA(VLOOKUP(INDIRECT("G"&amp;ROW()),minfo!$A:$M,COLUMN()-8,0),"")</f>
        <v>0</v>
      </c>
      <c r="M340" s="4">
        <f ca="1">_xlfn.IFNA(VLOOKUP(INDIRECT("G"&amp;ROW()),minfo!$A:$M,COLUMN()-8,0),"")</f>
        <v>0</v>
      </c>
      <c r="N340" s="4">
        <f ca="1">_xlfn.IFNA(VLOOKUP(INDIRECT("G"&amp;ROW()),minfo!$A:$M,COLUMN()-8,0),"")</f>
        <v>0</v>
      </c>
      <c r="O340" s="4" t="str">
        <f ca="1">_xlfn.IFNA(VLOOKUP(INDIRECT("G"&amp;ROW()),minfo!$A:$M,COLUMN()-8,0),"")</f>
        <v>https://i0.hdslb.com/bfs/station_src/music_metadata/ec25a3c6f461a6f39992766a69b70f38.jpg</v>
      </c>
      <c r="P340" s="4" t="str">
        <f ca="1">_xlfn.IFNA(VLOOKUP(INDIRECT("G"&amp;ROW()),minfo!$A:$M,COLUMN()-8,0),"")</f>
        <v>https://i0.hdslb.com/bfs/station_src/music_metadata/dd25918a2979b4b5717af8832b7f9199.txt</v>
      </c>
      <c r="Q340" s="4">
        <f ca="1">_xlfn.IFNA(VLOOKUP(INDIRECT("G"&amp;ROW()),minfo!$A:$M,COLUMN()-8,0),"")</f>
        <v>565</v>
      </c>
      <c r="R340" s="4">
        <f ca="1">_xlfn.IFNA(VLOOKUP(INDIRECT("G"&amp;ROW()),minfo!$A:$M,COLUMN()-8,0),"")</f>
        <v>0</v>
      </c>
      <c r="S340" s="4" t="str">
        <f ca="1">_xlfn.IFNA(VLOOKUP(INDIRECT("G"&amp;ROW()),minfo!$A:$M,COLUMN()-8,0),"")</f>
        <v>彩云之南</v>
      </c>
      <c r="T340" s="4">
        <f ca="1">_xlfn.IFNA(VLOOKUP(INDIRECT("G"&amp;ROW()),minfo!$A:$M,COLUMN()-8,0),"")</f>
        <v>52168799</v>
      </c>
      <c r="U340" s="4">
        <f ca="1">_xlfn.IFNA(VLOOKUP(INDIRECT("G"&amp;ROW()),minfo!$A:$M,COLUMN()-8,0),"")</f>
        <v>0</v>
      </c>
    </row>
    <row r="341" spans="1:21" ht="15.75" customHeight="1">
      <c r="A341" s="15">
        <v>340</v>
      </c>
      <c r="B341" s="4" t="s">
        <v>3902</v>
      </c>
      <c r="C341" s="4">
        <v>341</v>
      </c>
      <c r="D341" s="4">
        <v>143</v>
      </c>
      <c r="E341" s="4" t="s">
        <v>1098</v>
      </c>
      <c r="F341" s="16">
        <v>45073</v>
      </c>
      <c r="G341" s="5" t="s">
        <v>1097</v>
      </c>
      <c r="H341" s="5" t="s">
        <v>3754</v>
      </c>
      <c r="I341" s="24" t="str">
        <f>HYPERLINK("https://www.bilibili.com/video/BV1cs4y1w7Lv?p=143", "BV1cs4y1w7Lv?p=143")</f>
        <v>BV1cs4y1w7Lv?p=143</v>
      </c>
      <c r="J341" s="4" t="str">
        <f ca="1">_xlfn.IFNA(VLOOKUP(INDIRECT("G"&amp;ROW()),minfo!$A:$M,COLUMN()-8,0),"")</f>
        <v>你听得到</v>
      </c>
      <c r="K341" s="4" t="str">
        <f ca="1">_xlfn.IFNA(VLOOKUP(INDIRECT("G"&amp;ROW()),minfo!$A:$M,COLUMN()-8,0),"")</f>
        <v>周杰伦</v>
      </c>
      <c r="L341" s="4">
        <f ca="1">_xlfn.IFNA(VLOOKUP(INDIRECT("G"&amp;ROW()),minfo!$A:$M,COLUMN()-8,0),"")</f>
        <v>0</v>
      </c>
      <c r="M341" s="4">
        <f ca="1">_xlfn.IFNA(VLOOKUP(INDIRECT("G"&amp;ROW()),minfo!$A:$M,COLUMN()-8,0),"")</f>
        <v>0</v>
      </c>
      <c r="N341" s="4">
        <f ca="1">_xlfn.IFNA(VLOOKUP(INDIRECT("G"&amp;ROW()),minfo!$A:$M,COLUMN()-8,0),"")</f>
        <v>0</v>
      </c>
      <c r="O341" s="4" t="str">
        <f ca="1">_xlfn.IFNA(VLOOKUP(INDIRECT("G"&amp;ROW()),minfo!$A:$M,COLUMN()-8,0),"")</f>
        <v>https://i0.hdslb.com/bfs/station_src/music_metadata/29e28424e7d2a4c37f7b84cd0b8b18ba.jpg</v>
      </c>
      <c r="P341" s="4" t="str">
        <f ca="1">_xlfn.IFNA(VLOOKUP(INDIRECT("G"&amp;ROW()),minfo!$A:$M,COLUMN()-8,0),"")</f>
        <v>copyright-crawler/music/task-lyric/62682789504b4c0665226751.txt</v>
      </c>
      <c r="Q341" s="4">
        <f ca="1">_xlfn.IFNA(VLOOKUP(INDIRECT("G"&amp;ROW()),minfo!$A:$M,COLUMN()-8,0),"")</f>
        <v>2198</v>
      </c>
      <c r="R341" s="4" t="str">
        <f ca="1">_xlfn.IFNA(VLOOKUP(INDIRECT("G"&amp;ROW()),minfo!$A:$M,COLUMN()-8,0),"")</f>
        <v>你听得到</v>
      </c>
      <c r="S341" s="4" t="str">
        <f ca="1">_xlfn.IFNA(VLOOKUP(INDIRECT("G"&amp;ROW()),minfo!$A:$M,COLUMN()-8,0),"")</f>
        <v>叶惠美</v>
      </c>
      <c r="T341" s="4">
        <f ca="1">_xlfn.IFNA(VLOOKUP(INDIRECT("G"&amp;ROW()),minfo!$A:$M,COLUMN()-8,0),"")</f>
        <v>280199234</v>
      </c>
      <c r="U341" s="4">
        <f ca="1">_xlfn.IFNA(VLOOKUP(INDIRECT("G"&amp;ROW()),minfo!$A:$M,COLUMN()-8,0),"")</f>
        <v>0</v>
      </c>
    </row>
    <row r="342" spans="1:21" ht="15.75" customHeight="1">
      <c r="A342" s="15">
        <v>341</v>
      </c>
      <c r="B342" s="4" t="s">
        <v>3903</v>
      </c>
      <c r="C342" s="4">
        <v>342</v>
      </c>
      <c r="D342" s="4">
        <v>144</v>
      </c>
      <c r="E342" s="4" t="s">
        <v>678</v>
      </c>
      <c r="F342" s="16">
        <v>45076</v>
      </c>
      <c r="G342" s="5" t="s">
        <v>677</v>
      </c>
      <c r="H342" s="5" t="s">
        <v>3754</v>
      </c>
      <c r="I342" s="24" t="str">
        <f>HYPERLINK("https://www.bilibili.com/video/BV1cs4y1w7Lv?p=144", "BV1cs4y1w7Lv?p=144")</f>
        <v>BV1cs4y1w7Lv?p=144</v>
      </c>
      <c r="J342" s="4" t="str">
        <f ca="1">_xlfn.IFNA(VLOOKUP(INDIRECT("G"&amp;ROW()),minfo!$A:$M,COLUMN()-8,0),"")</f>
        <v>将故事写成我们</v>
      </c>
      <c r="K342" s="4" t="str">
        <f ca="1">_xlfn.IFNA(VLOOKUP(INDIRECT("G"&amp;ROW()),minfo!$A:$M,COLUMN()-8,0),"")</f>
        <v>林俊杰</v>
      </c>
      <c r="L342" s="4">
        <f ca="1">_xlfn.IFNA(VLOOKUP(INDIRECT("G"&amp;ROW()),minfo!$A:$M,COLUMN()-8,0),"")</f>
        <v>0</v>
      </c>
      <c r="M342" s="4">
        <f ca="1">_xlfn.IFNA(VLOOKUP(INDIRECT("G"&amp;ROW()),minfo!$A:$M,COLUMN()-8,0),"")</f>
        <v>1032</v>
      </c>
      <c r="N342" s="4">
        <f ca="1">_xlfn.IFNA(VLOOKUP(INDIRECT("G"&amp;ROW()),minfo!$A:$M,COLUMN()-8,0),"")</f>
        <v>165</v>
      </c>
      <c r="O342" s="4" t="str">
        <f ca="1">_xlfn.IFNA(VLOOKUP(INDIRECT("G"&amp;ROW()),minfo!$A:$M,COLUMN()-8,0),"")</f>
        <v>http://i0.hdslb.com/bfs/station_src/music_metadata/63fe00af138c363552e6aff10baba93e.jpg</v>
      </c>
      <c r="P342" s="4" t="str">
        <f ca="1">_xlfn.IFNA(VLOOKUP(INDIRECT("G"&amp;ROW()),minfo!$A:$M,COLUMN()-8,0),"")</f>
        <v>http://i0.hdslb.com/bfs/station_src/music_metadata/2c6ada3c80c79f0dd8b56da48df1f4ad</v>
      </c>
      <c r="Q342" s="4">
        <f ca="1">_xlfn.IFNA(VLOOKUP(INDIRECT("G"&amp;ROW()),minfo!$A:$M,COLUMN()-8,0),"")</f>
        <v>138</v>
      </c>
      <c r="R342" s="4">
        <f ca="1">_xlfn.IFNA(VLOOKUP(INDIRECT("G"&amp;ROW()),minfo!$A:$M,COLUMN()-8,0),"")</f>
        <v>0</v>
      </c>
      <c r="S342" s="4" t="str">
        <f ca="1">_xlfn.IFNA(VLOOKUP(INDIRECT("G"&amp;ROW()),minfo!$A:$M,COLUMN()-8,0),"")</f>
        <v>将故事写成我们</v>
      </c>
      <c r="T342" s="4">
        <f ca="1">_xlfn.IFNA(VLOOKUP(INDIRECT("G"&amp;ROW()),minfo!$A:$M,COLUMN()-8,0),"")</f>
        <v>64920351</v>
      </c>
      <c r="U342" s="4">
        <f ca="1">_xlfn.IFNA(VLOOKUP(INDIRECT("G"&amp;ROW()),minfo!$A:$M,COLUMN()-8,0),"")</f>
        <v>0</v>
      </c>
    </row>
    <row r="343" spans="1:21" ht="15.75" customHeight="1">
      <c r="A343" s="15">
        <v>342</v>
      </c>
      <c r="B343" s="4" t="s">
        <v>3904</v>
      </c>
      <c r="C343" s="4">
        <v>343</v>
      </c>
      <c r="D343" s="4">
        <v>145</v>
      </c>
      <c r="E343" s="4" t="s">
        <v>1102</v>
      </c>
      <c r="F343" s="16">
        <v>45076</v>
      </c>
      <c r="G343" s="5" t="s">
        <v>1101</v>
      </c>
      <c r="H343" s="5" t="s">
        <v>3754</v>
      </c>
      <c r="I343" s="24" t="str">
        <f>HYPERLINK("https://www.bilibili.com/video/BV1cs4y1w7Lv?p=145", "BV1cs4y1w7Lv?p=145")</f>
        <v>BV1cs4y1w7Lv?p=145</v>
      </c>
      <c r="J343" s="4" t="str">
        <f ca="1">_xlfn.IFNA(VLOOKUP(INDIRECT("G"&amp;ROW()),minfo!$A:$M,COLUMN()-8,0),"")</f>
        <v>一生等你</v>
      </c>
      <c r="K343" s="4" t="str">
        <f ca="1">_xlfn.IFNA(VLOOKUP(INDIRECT("G"&amp;ROW()),minfo!$A:$M,COLUMN()-8,0),"")</f>
        <v>袁娅维TIA RAY</v>
      </c>
      <c r="L343" s="4">
        <f ca="1">_xlfn.IFNA(VLOOKUP(INDIRECT("G"&amp;ROW()),minfo!$A:$M,COLUMN()-8,0),"")</f>
        <v>0</v>
      </c>
      <c r="M343" s="4">
        <f ca="1">_xlfn.IFNA(VLOOKUP(INDIRECT("G"&amp;ROW()),minfo!$A:$M,COLUMN()-8,0),"")</f>
        <v>0</v>
      </c>
      <c r="N343" s="4">
        <f ca="1">_xlfn.IFNA(VLOOKUP(INDIRECT("G"&amp;ROW()),minfo!$A:$M,COLUMN()-8,0),"")</f>
        <v>0</v>
      </c>
      <c r="O343" s="4" t="str">
        <f ca="1">_xlfn.IFNA(VLOOKUP(INDIRECT("G"&amp;ROW()),minfo!$A:$M,COLUMN()-8,0),"")</f>
        <v>http://i0.hdslb.com/bfs/station_src/music_metadata/6b290dc35e11386d12c150c4f46c485e.jpg</v>
      </c>
      <c r="P343" s="4">
        <f ca="1">_xlfn.IFNA(VLOOKUP(INDIRECT("G"&amp;ROW()),minfo!$A:$M,COLUMN()-8,0),"")</f>
        <v>0</v>
      </c>
      <c r="Q343" s="4">
        <f ca="1">_xlfn.IFNA(VLOOKUP(INDIRECT("G"&amp;ROW()),minfo!$A:$M,COLUMN()-8,0),"")</f>
        <v>541</v>
      </c>
      <c r="R343" s="4" t="str">
        <f ca="1">_xlfn.IFNA(VLOOKUP(INDIRECT("G"&amp;ROW()),minfo!$A:$M,COLUMN()-8,0),"")</f>
        <v>《媚者无疆》电视剧主题曲</v>
      </c>
      <c r="S343" s="4" t="str">
        <f ca="1">_xlfn.IFNA(VLOOKUP(INDIRECT("G"&amp;ROW()),minfo!$A:$M,COLUMN()-8,0),"")</f>
        <v>媚者无疆 电视剧原声带</v>
      </c>
      <c r="T343" s="4">
        <f ca="1">_xlfn.IFNA(VLOOKUP(INDIRECT("G"&amp;ROW()),minfo!$A:$M,COLUMN()-8,0),"")</f>
        <v>100001088</v>
      </c>
      <c r="U343" s="4">
        <f ca="1">_xlfn.IFNA(VLOOKUP(INDIRECT("G"&amp;ROW()),minfo!$A:$M,COLUMN()-8,0),"")</f>
        <v>0</v>
      </c>
    </row>
    <row r="344" spans="1:21" ht="15.75" customHeight="1">
      <c r="A344" s="15">
        <v>343</v>
      </c>
      <c r="B344" s="4" t="s">
        <v>3905</v>
      </c>
      <c r="C344" s="4">
        <v>344</v>
      </c>
      <c r="D344" s="4">
        <v>146</v>
      </c>
      <c r="E344" s="4" t="s">
        <v>1107</v>
      </c>
      <c r="F344" s="16">
        <v>45076</v>
      </c>
      <c r="G344" s="5" t="s">
        <v>1106</v>
      </c>
      <c r="H344" s="5" t="s">
        <v>3754</v>
      </c>
      <c r="I344" s="24" t="str">
        <f>HYPERLINK("https://www.bilibili.com/video/BV1cs4y1w7Lv?p=146", "BV1cs4y1w7Lv?p=146")</f>
        <v>BV1cs4y1w7Lv?p=146</v>
      </c>
      <c r="J344" s="4" t="str">
        <f ca="1">_xlfn.IFNA(VLOOKUP(INDIRECT("G"&amp;ROW()),minfo!$A:$M,COLUMN()-8,0),"")</f>
        <v>那些你很冒险的梦</v>
      </c>
      <c r="K344" s="4" t="str">
        <f ca="1">_xlfn.IFNA(VLOOKUP(INDIRECT("G"&amp;ROW()),minfo!$A:$M,COLUMN()-8,0),"")</f>
        <v>林俊杰</v>
      </c>
      <c r="L344" s="4">
        <f ca="1">_xlfn.IFNA(VLOOKUP(INDIRECT("G"&amp;ROW()),minfo!$A:$M,COLUMN()-8,0),"")</f>
        <v>0</v>
      </c>
      <c r="M344" s="4">
        <f ca="1">_xlfn.IFNA(VLOOKUP(INDIRECT("G"&amp;ROW()),minfo!$A:$M,COLUMN()-8,0),"")</f>
        <v>0</v>
      </c>
      <c r="N344" s="4">
        <f ca="1">_xlfn.IFNA(VLOOKUP(INDIRECT("G"&amp;ROW()),minfo!$A:$M,COLUMN()-8,0),"")</f>
        <v>0</v>
      </c>
      <c r="O344" s="4" t="str">
        <f ca="1">_xlfn.IFNA(VLOOKUP(INDIRECT("G"&amp;ROW()),minfo!$A:$M,COLUMN()-8,0),"")</f>
        <v>https://i0.hdslb.com/bfs/station_src/music_metadata/06f970ae00e00f724e3ce8b49b192dcc.jpg</v>
      </c>
      <c r="P344" s="4" t="str">
        <f ca="1">_xlfn.IFNA(VLOOKUP(INDIRECT("G"&amp;ROW()),minfo!$A:$M,COLUMN()-8,0),"")</f>
        <v>http://i0.hdslb.com/bfs/station_src/music_metadata/7d9fd351995e1af5aa9ec35eed740caa</v>
      </c>
      <c r="Q344" s="4">
        <f ca="1">_xlfn.IFNA(VLOOKUP(INDIRECT("G"&amp;ROW()),minfo!$A:$M,COLUMN()-8,0),"")</f>
        <v>412</v>
      </c>
      <c r="R344" s="4">
        <f ca="1">_xlfn.IFNA(VLOOKUP(INDIRECT("G"&amp;ROW()),minfo!$A:$M,COLUMN()-8,0),"")</f>
        <v>0</v>
      </c>
      <c r="S344" s="4" t="str">
        <f ca="1">_xlfn.IFNA(VLOOKUP(INDIRECT("G"&amp;ROW()),minfo!$A:$M,COLUMN()-8,0),"")</f>
        <v>学不会</v>
      </c>
      <c r="T344" s="4">
        <f ca="1">_xlfn.IFNA(VLOOKUP(INDIRECT("G"&amp;ROW()),minfo!$A:$M,COLUMN()-8,0),"")</f>
        <v>192890831</v>
      </c>
      <c r="U344" s="4">
        <f ca="1">_xlfn.IFNA(VLOOKUP(INDIRECT("G"&amp;ROW()),minfo!$A:$M,COLUMN()-8,0),"")</f>
        <v>0</v>
      </c>
    </row>
    <row r="345" spans="1:21" ht="15.75" customHeight="1">
      <c r="A345" s="15">
        <v>344</v>
      </c>
      <c r="B345" s="4" t="s">
        <v>3906</v>
      </c>
      <c r="C345" s="4">
        <v>345</v>
      </c>
      <c r="D345" s="4">
        <v>147</v>
      </c>
      <c r="E345" s="4" t="s">
        <v>3907</v>
      </c>
      <c r="F345" s="16">
        <v>45076</v>
      </c>
      <c r="G345" s="5" t="s">
        <v>1111</v>
      </c>
      <c r="H345" s="5" t="s">
        <v>3754</v>
      </c>
      <c r="I345" s="24" t="str">
        <f>HYPERLINK("https://www.bilibili.com/video/BV1cs4y1w7Lv?p=147", "BV1cs4y1w7Lv?p=147")</f>
        <v>BV1cs4y1w7Lv?p=147</v>
      </c>
      <c r="J345" s="4" t="str">
        <f ca="1">_xlfn.IFNA(VLOOKUP(INDIRECT("G"&amp;ROW()),minfo!$A:$M,COLUMN()-8,0),"")</f>
        <v>Sebben crudele mi fai languir</v>
      </c>
      <c r="K345" s="4" t="str">
        <f ca="1">_xlfn.IFNA(VLOOKUP(INDIRECT("G"&amp;ROW()),minfo!$A:$M,COLUMN()-8,0),"")</f>
        <v>Cecilia Bartoli,György Fischer</v>
      </c>
      <c r="L345" s="4">
        <f ca="1">_xlfn.IFNA(VLOOKUP(INDIRECT("G"&amp;ROW()),minfo!$A:$M,COLUMN()-8,0),"")</f>
        <v>0</v>
      </c>
      <c r="M345" s="4">
        <f ca="1">_xlfn.IFNA(VLOOKUP(INDIRECT("G"&amp;ROW()),minfo!$A:$M,COLUMN()-8,0),"")</f>
        <v>0</v>
      </c>
      <c r="N345" s="4">
        <f ca="1">_xlfn.IFNA(VLOOKUP(INDIRECT("G"&amp;ROW()),minfo!$A:$M,COLUMN()-8,0),"")</f>
        <v>0</v>
      </c>
      <c r="O345" s="4" t="str">
        <f ca="1">_xlfn.IFNA(VLOOKUP(INDIRECT("G"&amp;ROW()),minfo!$A:$M,COLUMN()-8,0),"")</f>
        <v>https://i0.hdslb.com/bfs/station_src/music_metadata/3d14115a623e152ac235df9385975cf6.jpg</v>
      </c>
      <c r="P345" s="4" t="str">
        <f ca="1">_xlfn.IFNA(VLOOKUP(INDIRECT("G"&amp;ROW()),minfo!$A:$M,COLUMN()-8,0),"")</f>
        <v>https://i0.hdslb.com/bfs/station_src/music_metadata/dcaa6f531c9b536f0e9e4b8e3a508a35.txt</v>
      </c>
      <c r="Q345" s="4">
        <f ca="1">_xlfn.IFNA(VLOOKUP(INDIRECT("G"&amp;ROW()),minfo!$A:$M,COLUMN()-8,0),"")</f>
        <v>0</v>
      </c>
      <c r="R345" s="4">
        <f ca="1">_xlfn.IFNA(VLOOKUP(INDIRECT("G"&amp;ROW()),minfo!$A:$M,COLUMN()-8,0),"")</f>
        <v>0</v>
      </c>
      <c r="S345" s="4" t="str">
        <f ca="1">_xlfn.IFNA(VLOOKUP(INDIRECT("G"&amp;ROW()),minfo!$A:$M,COLUMN()-8,0),"")</f>
        <v>Cecilia Bartoli - Arie Antiche: Se tu m'ami</v>
      </c>
      <c r="T345" s="4">
        <f ca="1">_xlfn.IFNA(VLOOKUP(INDIRECT("G"&amp;ROW()),minfo!$A:$M,COLUMN()-8,0),"")</f>
        <v>206797</v>
      </c>
      <c r="U345" s="4">
        <f ca="1">_xlfn.IFNA(VLOOKUP(INDIRECT("G"&amp;ROW()),minfo!$A:$M,COLUMN()-8,0),"")</f>
        <v>0</v>
      </c>
    </row>
    <row r="346" spans="1:21" ht="15.75" customHeight="1">
      <c r="A346" s="15">
        <v>345</v>
      </c>
      <c r="B346" s="4" t="s">
        <v>3908</v>
      </c>
      <c r="C346" s="4">
        <v>346</v>
      </c>
      <c r="D346" s="4">
        <v>148</v>
      </c>
      <c r="E346" s="4" t="s">
        <v>3909</v>
      </c>
      <c r="F346" s="16">
        <v>45076</v>
      </c>
      <c r="G346" s="5" t="s">
        <v>1115</v>
      </c>
      <c r="H346" s="5" t="s">
        <v>3754</v>
      </c>
      <c r="I346" s="24" t="str">
        <f>HYPERLINK("https://www.bilibili.com/video/BV1cs4y1w7Lv?p=148", "BV1cs4y1w7Lv?p=148")</f>
        <v>BV1cs4y1w7Lv?p=148</v>
      </c>
      <c r="J346" s="4" t="str">
        <f ca="1">_xlfn.IFNA(VLOOKUP(INDIRECT("G"&amp;ROW()),minfo!$A:$M,COLUMN()-8,0),"")</f>
        <v>私を泣かせて下さい</v>
      </c>
      <c r="K346" s="4" t="str">
        <f ca="1">_xlfn.IFNA(VLOOKUP(INDIRECT("G"&amp;ROW()),minfo!$A:$M,COLUMN()-8,0),"")</f>
        <v>Sarah Brightman</v>
      </c>
      <c r="L346" s="4">
        <f ca="1">_xlfn.IFNA(VLOOKUP(INDIRECT("G"&amp;ROW()),minfo!$A:$M,COLUMN()-8,0),"")</f>
        <v>0</v>
      </c>
      <c r="M346" s="4">
        <f ca="1">_xlfn.IFNA(VLOOKUP(INDIRECT("G"&amp;ROW()),minfo!$A:$M,COLUMN()-8,0),"")</f>
        <v>0</v>
      </c>
      <c r="N346" s="4">
        <f ca="1">_xlfn.IFNA(VLOOKUP(INDIRECT("G"&amp;ROW()),minfo!$A:$M,COLUMN()-8,0),"")</f>
        <v>0</v>
      </c>
      <c r="O346" s="4" t="str">
        <f ca="1">_xlfn.IFNA(VLOOKUP(INDIRECT("G"&amp;ROW()),minfo!$A:$M,COLUMN()-8,0),"")</f>
        <v>https://i0.hdslb.com/bfs/station_src/music_metadata/ccbb3991f525f2ad4a3c655fd573023a.jpg</v>
      </c>
      <c r="P346" s="4" t="str">
        <f ca="1">_xlfn.IFNA(VLOOKUP(INDIRECT("G"&amp;ROW()),minfo!$A:$M,COLUMN()-8,0),"")</f>
        <v>https://i0.hdslb.com/bfs/station_src/music_metadata/160eedabe69037f7e7f9360e0959914d.txt</v>
      </c>
      <c r="Q346" s="4">
        <f ca="1">_xlfn.IFNA(VLOOKUP(INDIRECT("G"&amp;ROW()),minfo!$A:$M,COLUMN()-8,0),"")</f>
        <v>0</v>
      </c>
      <c r="R346" s="4">
        <f ca="1">_xlfn.IFNA(VLOOKUP(INDIRECT("G"&amp;ROW()),minfo!$A:$M,COLUMN()-8,0),"")</f>
        <v>0</v>
      </c>
      <c r="S346" s="4" t="str">
        <f ca="1">_xlfn.IFNA(VLOOKUP(INDIRECT("G"&amp;ROW()),minfo!$A:$M,COLUMN()-8,0),"")</f>
        <v>The Most Relaxing Feel vol.3</v>
      </c>
      <c r="T346" s="4">
        <f ca="1">_xlfn.IFNA(VLOOKUP(INDIRECT("G"&amp;ROW()),minfo!$A:$M,COLUMN()-8,0),"")</f>
        <v>574539</v>
      </c>
      <c r="U346" s="4">
        <f ca="1">_xlfn.IFNA(VLOOKUP(INDIRECT("G"&amp;ROW()),minfo!$A:$M,COLUMN()-8,0),"")</f>
        <v>0</v>
      </c>
    </row>
    <row r="347" spans="1:21" ht="15.75" customHeight="1">
      <c r="A347" s="15">
        <v>346</v>
      </c>
      <c r="B347" s="4" t="s">
        <v>3910</v>
      </c>
      <c r="C347" s="4">
        <v>347</v>
      </c>
      <c r="D347" s="4">
        <v>149</v>
      </c>
      <c r="E347" s="4" t="s">
        <v>3911</v>
      </c>
      <c r="F347" s="16">
        <v>45076</v>
      </c>
      <c r="G347" s="5" t="s">
        <v>1121</v>
      </c>
      <c r="H347" s="5" t="s">
        <v>3754</v>
      </c>
      <c r="I347" s="24" t="str">
        <f>HYPERLINK("https://www.bilibili.com/video/BV1cs4y1w7Lv?p=149", "BV1cs4y1w7Lv?p=149")</f>
        <v>BV1cs4y1w7Lv?p=149</v>
      </c>
      <c r="J347" s="4" t="str">
        <f ca="1">_xlfn.IFNA(VLOOKUP(INDIRECT("G"&amp;ROW()),minfo!$A:$M,COLUMN()-8,0),"")</f>
        <v>Laschia ch'io pianga</v>
      </c>
      <c r="K347" s="4" t="str">
        <f ca="1">_xlfn.IFNA(VLOOKUP(INDIRECT("G"&amp;ROW()),minfo!$A:$M,COLUMN()-8,0),"")</f>
        <v>Veronica Antonelli</v>
      </c>
      <c r="L347" s="4">
        <f ca="1">_xlfn.IFNA(VLOOKUP(INDIRECT("G"&amp;ROW()),minfo!$A:$M,COLUMN()-8,0),"")</f>
        <v>0</v>
      </c>
      <c r="M347" s="4">
        <f ca="1">_xlfn.IFNA(VLOOKUP(INDIRECT("G"&amp;ROW()),minfo!$A:$M,COLUMN()-8,0),"")</f>
        <v>0</v>
      </c>
      <c r="N347" s="4">
        <f ca="1">_xlfn.IFNA(VLOOKUP(INDIRECT("G"&amp;ROW()),minfo!$A:$M,COLUMN()-8,0),"")</f>
        <v>0</v>
      </c>
      <c r="O347" s="4" t="str">
        <f ca="1">_xlfn.IFNA(VLOOKUP(INDIRECT("G"&amp;ROW()),minfo!$A:$M,COLUMN()-8,0),"")</f>
        <v>https://i0.hdslb.com/bfs/station_src/music_metadata/754a4d72e7ac59aa183c7eeb7b01a4dc.jpg</v>
      </c>
      <c r="P347" s="4">
        <f ca="1">_xlfn.IFNA(VLOOKUP(INDIRECT("G"&amp;ROW()),minfo!$A:$M,COLUMN()-8,0),"")</f>
        <v>0</v>
      </c>
      <c r="Q347" s="4">
        <f ca="1">_xlfn.IFNA(VLOOKUP(INDIRECT("G"&amp;ROW()),minfo!$A:$M,COLUMN()-8,0),"")</f>
        <v>0</v>
      </c>
      <c r="R347" s="4" t="str">
        <f ca="1">_xlfn.IFNA(VLOOKUP(INDIRECT("G"&amp;ROW()),minfo!$A:$M,COLUMN()-8,0),"")</f>
        <v>Laschia ch'io pianga HAENDEL</v>
      </c>
      <c r="S347" s="4" t="str">
        <f ca="1">_xlfn.IFNA(VLOOKUP(INDIRECT("G"&amp;ROW()),minfo!$A:$M,COLUMN()-8,0),"")</f>
        <v>The Goddess Touch</v>
      </c>
      <c r="T347" s="4">
        <f ca="1">_xlfn.IFNA(VLOOKUP(INDIRECT("G"&amp;ROW()),minfo!$A:$M,COLUMN()-8,0),"")</f>
        <v>214685</v>
      </c>
      <c r="U347" s="4">
        <f ca="1">_xlfn.IFNA(VLOOKUP(INDIRECT("G"&amp;ROW()),minfo!$A:$M,COLUMN()-8,0),"")</f>
        <v>0</v>
      </c>
    </row>
    <row r="348" spans="1:21" ht="15.75" customHeight="1">
      <c r="A348" s="15">
        <v>347</v>
      </c>
      <c r="B348" s="4" t="s">
        <v>3912</v>
      </c>
      <c r="C348" s="4">
        <v>348</v>
      </c>
      <c r="D348" s="4">
        <v>150</v>
      </c>
      <c r="E348" s="4" t="s">
        <v>3688</v>
      </c>
      <c r="F348" s="16">
        <v>45076</v>
      </c>
      <c r="G348" s="5" t="s">
        <v>668</v>
      </c>
      <c r="H348" s="5" t="s">
        <v>3754</v>
      </c>
      <c r="I348" s="24" t="str">
        <f>HYPERLINK("https://www.bilibili.com/video/BV1cs4y1w7Lv?p=150", "BV1cs4y1w7Lv?p=150")</f>
        <v>BV1cs4y1w7Lv?p=150</v>
      </c>
      <c r="J348" s="4" t="str">
        <f ca="1">_xlfn.IFNA(VLOOKUP(INDIRECT("G"&amp;ROW()),minfo!$A:$M,COLUMN()-8,0),"")</f>
        <v>Caro mio ben</v>
      </c>
      <c r="K348" s="4" t="str">
        <f ca="1">_xlfn.IFNA(VLOOKUP(INDIRECT("G"&amp;ROW()),minfo!$A:$M,COLUMN()-8,0),"")</f>
        <v>Cecilia Bartoli,György Fischer</v>
      </c>
      <c r="L348" s="4">
        <f ca="1">_xlfn.IFNA(VLOOKUP(INDIRECT("G"&amp;ROW()),minfo!$A:$M,COLUMN()-8,0),"")</f>
        <v>0</v>
      </c>
      <c r="M348" s="4">
        <f ca="1">_xlfn.IFNA(VLOOKUP(INDIRECT("G"&amp;ROW()),minfo!$A:$M,COLUMN()-8,0),"")</f>
        <v>0</v>
      </c>
      <c r="N348" s="4">
        <f ca="1">_xlfn.IFNA(VLOOKUP(INDIRECT("G"&amp;ROW()),minfo!$A:$M,COLUMN()-8,0),"")</f>
        <v>0</v>
      </c>
      <c r="O348" s="4" t="str">
        <f ca="1">_xlfn.IFNA(VLOOKUP(INDIRECT("G"&amp;ROW()),minfo!$A:$M,COLUMN()-8,0),"")</f>
        <v>https://i0.hdslb.com/bfs/station_src/music_metadata/0981282252a965b7fe42604b66b68284.jpg</v>
      </c>
      <c r="P348" s="4">
        <f ca="1">_xlfn.IFNA(VLOOKUP(INDIRECT("G"&amp;ROW()),minfo!$A:$M,COLUMN()-8,0),"")</f>
        <v>0</v>
      </c>
      <c r="Q348" s="4">
        <f ca="1">_xlfn.IFNA(VLOOKUP(INDIRECT("G"&amp;ROW()),minfo!$A:$M,COLUMN()-8,0),"")</f>
        <v>4</v>
      </c>
      <c r="R348" s="4">
        <f ca="1">_xlfn.IFNA(VLOOKUP(INDIRECT("G"&amp;ROW()),minfo!$A:$M,COLUMN()-8,0),"")</f>
        <v>0</v>
      </c>
      <c r="S348" s="4" t="str">
        <f ca="1">_xlfn.IFNA(VLOOKUP(INDIRECT("G"&amp;ROW()),minfo!$A:$M,COLUMN()-8,0),"")</f>
        <v>Cecilia Bartoli - Arie Antiche: Se tu m'ami</v>
      </c>
      <c r="T348" s="4">
        <f ca="1">_xlfn.IFNA(VLOOKUP(INDIRECT("G"&amp;ROW()),minfo!$A:$M,COLUMN()-8,0),"")</f>
        <v>789902</v>
      </c>
      <c r="U348" s="4">
        <f ca="1">_xlfn.IFNA(VLOOKUP(INDIRECT("G"&amp;ROW()),minfo!$A:$M,COLUMN()-8,0),"")</f>
        <v>0</v>
      </c>
    </row>
    <row r="349" spans="1:21" ht="15.75" customHeight="1">
      <c r="A349" s="15">
        <v>348</v>
      </c>
      <c r="B349" s="4" t="s">
        <v>3913</v>
      </c>
      <c r="C349" s="4">
        <v>349</v>
      </c>
      <c r="D349" s="4">
        <v>151</v>
      </c>
      <c r="E349" s="4" t="s">
        <v>3914</v>
      </c>
      <c r="F349" s="16">
        <v>45076</v>
      </c>
      <c r="G349" s="5" t="s">
        <v>1127</v>
      </c>
      <c r="H349" s="5" t="s">
        <v>3754</v>
      </c>
      <c r="I349" s="24" t="str">
        <f>HYPERLINK("https://www.bilibili.com/video/BV1cs4y1w7Lv?p=151", "BV1cs4y1w7Lv?p=151")</f>
        <v>BV1cs4y1w7Lv?p=151</v>
      </c>
      <c r="J349" s="4" t="str">
        <f ca="1">_xlfn.IFNA(VLOOKUP(INDIRECT("G"&amp;ROW()),minfo!$A:$M,COLUMN()-8,0),"")</f>
        <v>Disc 1 - Nina (Voice)</v>
      </c>
      <c r="K349" s="4" t="str">
        <f ca="1">_xlfn.IFNA(VLOOKUP(INDIRECT("G"&amp;ROW()),minfo!$A:$M,COLUMN()-8,0),"")</f>
        <v>Richard Tucker,The Columbia Chamber Ensemble,John Wustman,Giovanni Battista Pergolesi</v>
      </c>
      <c r="L349" s="4">
        <f ca="1">_xlfn.IFNA(VLOOKUP(INDIRECT("G"&amp;ROW()),minfo!$A:$M,COLUMN()-8,0),"")</f>
        <v>0</v>
      </c>
      <c r="M349" s="4">
        <f ca="1">_xlfn.IFNA(VLOOKUP(INDIRECT("G"&amp;ROW()),minfo!$A:$M,COLUMN()-8,0),"")</f>
        <v>0</v>
      </c>
      <c r="N349" s="4">
        <f ca="1">_xlfn.IFNA(VLOOKUP(INDIRECT("G"&amp;ROW()),minfo!$A:$M,COLUMN()-8,0),"")</f>
        <v>0</v>
      </c>
      <c r="O349" s="4" t="str">
        <f ca="1">_xlfn.IFNA(VLOOKUP(INDIRECT("G"&amp;ROW()),minfo!$A:$M,COLUMN()-8,0),"")</f>
        <v>https://i0.hdslb.com/bfs/station_src/music_metadata/5825157776a6c8ca6744347e5ab1ac13.jpg</v>
      </c>
      <c r="P349" s="4">
        <f ca="1">_xlfn.IFNA(VLOOKUP(INDIRECT("G"&amp;ROW()),minfo!$A:$M,COLUMN()-8,0),"")</f>
        <v>0</v>
      </c>
      <c r="Q349" s="4">
        <f ca="1">_xlfn.IFNA(VLOOKUP(INDIRECT("G"&amp;ROW()),minfo!$A:$M,COLUMN()-8,0),"")</f>
        <v>1</v>
      </c>
      <c r="R349" s="4">
        <f ca="1">_xlfn.IFNA(VLOOKUP(INDIRECT("G"&amp;ROW()),minfo!$A:$M,COLUMN()-8,0),"")</f>
        <v>0</v>
      </c>
      <c r="S349" s="4" t="str">
        <f ca="1">_xlfn.IFNA(VLOOKUP(INDIRECT("G"&amp;ROW()),minfo!$A:$M,COLUMN()-8,0),"")</f>
        <v>The Soul of Italy</v>
      </c>
      <c r="T349" s="4">
        <f ca="1">_xlfn.IFNA(VLOOKUP(INDIRECT("G"&amp;ROW()),minfo!$A:$M,COLUMN()-8,0),"")</f>
        <v>185415</v>
      </c>
      <c r="U349" s="4">
        <f ca="1">_xlfn.IFNA(VLOOKUP(INDIRECT("G"&amp;ROW()),minfo!$A:$M,COLUMN()-8,0),"")</f>
        <v>0</v>
      </c>
    </row>
    <row r="350" spans="1:21" ht="15.75" customHeight="1">
      <c r="A350" s="15">
        <v>349</v>
      </c>
      <c r="B350" s="4" t="s">
        <v>3915</v>
      </c>
      <c r="C350" s="4">
        <v>350</v>
      </c>
      <c r="D350" s="4">
        <v>152</v>
      </c>
      <c r="E350" s="4" t="s">
        <v>375</v>
      </c>
      <c r="F350" s="16">
        <v>45077</v>
      </c>
      <c r="G350" s="5" t="s">
        <v>374</v>
      </c>
      <c r="H350" s="5" t="s">
        <v>3754</v>
      </c>
      <c r="I350" s="24" t="str">
        <f>HYPERLINK("https://www.bilibili.com/video/BV1cs4y1w7Lv?p=152", "BV1cs4y1w7Lv?p=152")</f>
        <v>BV1cs4y1w7Lv?p=152</v>
      </c>
      <c r="J350" s="4" t="str">
        <f ca="1">_xlfn.IFNA(VLOOKUP(INDIRECT("G"&amp;ROW()),minfo!$A:$M,COLUMN()-8,0),"")</f>
        <v>彩虹</v>
      </c>
      <c r="K350" s="4" t="str">
        <f ca="1">_xlfn.IFNA(VLOOKUP(INDIRECT("G"&amp;ROW()),minfo!$A:$M,COLUMN()-8,0),"")</f>
        <v>周杰伦</v>
      </c>
      <c r="L350" s="4">
        <f ca="1">_xlfn.IFNA(VLOOKUP(INDIRECT("G"&amp;ROW()),minfo!$A:$M,COLUMN()-8,0),"")</f>
        <v>0</v>
      </c>
      <c r="M350" s="4">
        <f ca="1">_xlfn.IFNA(VLOOKUP(INDIRECT("G"&amp;ROW()),minfo!$A:$M,COLUMN()-8,0),"")</f>
        <v>0</v>
      </c>
      <c r="N350" s="4">
        <f ca="1">_xlfn.IFNA(VLOOKUP(INDIRECT("G"&amp;ROW()),minfo!$A:$M,COLUMN()-8,0),"")</f>
        <v>0</v>
      </c>
      <c r="O350" s="4" t="str">
        <f ca="1">_xlfn.IFNA(VLOOKUP(INDIRECT("G"&amp;ROW()),minfo!$A:$M,COLUMN()-8,0),"")</f>
        <v>https://i0.hdslb.com/bfs/station_src/music_metadata/2b7d7250423bd10995c607eb49b4e004.jpg</v>
      </c>
      <c r="P350" s="4">
        <f ca="1">_xlfn.IFNA(VLOOKUP(INDIRECT("G"&amp;ROW()),minfo!$A:$M,COLUMN()-8,0),"")</f>
        <v>0</v>
      </c>
      <c r="Q350" s="4">
        <f ca="1">_xlfn.IFNA(VLOOKUP(INDIRECT("G"&amp;ROW()),minfo!$A:$M,COLUMN()-8,0),"")</f>
        <v>1340</v>
      </c>
      <c r="R350" s="4" t="str">
        <f ca="1">_xlfn.IFNA(VLOOKUP(INDIRECT("G"&amp;ROW()),minfo!$A:$M,COLUMN()-8,0),"")</f>
        <v>《命运呼叫转移》电影主题曲</v>
      </c>
      <c r="S350" s="4" t="str">
        <f ca="1">_xlfn.IFNA(VLOOKUP(INDIRECT("G"&amp;ROW()),minfo!$A:$M,COLUMN()-8,0),"")</f>
        <v>我很忙</v>
      </c>
      <c r="T350" s="4">
        <f ca="1">_xlfn.IFNA(VLOOKUP(INDIRECT("G"&amp;ROW()),minfo!$A:$M,COLUMN()-8,0),"")</f>
        <v>394249952</v>
      </c>
      <c r="U350" s="4">
        <f ca="1">_xlfn.IFNA(VLOOKUP(INDIRECT("G"&amp;ROW()),minfo!$A:$M,COLUMN()-8,0),"")</f>
        <v>0</v>
      </c>
    </row>
    <row r="351" spans="1:21" ht="15.75" customHeight="1">
      <c r="A351" s="15">
        <v>350</v>
      </c>
      <c r="B351" s="4" t="s">
        <v>3916</v>
      </c>
      <c r="C351" s="4">
        <v>351</v>
      </c>
      <c r="D351" s="4">
        <v>153</v>
      </c>
      <c r="E351" s="4" t="s">
        <v>1133</v>
      </c>
      <c r="F351" s="16">
        <v>45077</v>
      </c>
      <c r="G351" s="5" t="s">
        <v>1132</v>
      </c>
      <c r="H351" s="5" t="s">
        <v>3754</v>
      </c>
      <c r="I351" s="24" t="str">
        <f>HYPERLINK("https://www.bilibili.com/video/BV1cs4y1w7Lv?p=153", "BV1cs4y1w7Lv?p=153")</f>
        <v>BV1cs4y1w7Lv?p=153</v>
      </c>
      <c r="J351" s="4" t="str">
        <f ca="1">_xlfn.IFNA(VLOOKUP(INDIRECT("G"&amp;ROW()),minfo!$A:$M,COLUMN()-8,0),"")</f>
        <v>掉了</v>
      </c>
      <c r="K351" s="4" t="str">
        <f ca="1">_xlfn.IFNA(VLOOKUP(INDIRECT("G"&amp;ROW()),minfo!$A:$M,COLUMN()-8,0),"")</f>
        <v>张惠妹</v>
      </c>
      <c r="L351" s="4">
        <f ca="1">_xlfn.IFNA(VLOOKUP(INDIRECT("G"&amp;ROW()),minfo!$A:$M,COLUMN()-8,0),"")</f>
        <v>0</v>
      </c>
      <c r="M351" s="4">
        <f ca="1">_xlfn.IFNA(VLOOKUP(INDIRECT("G"&amp;ROW()),minfo!$A:$M,COLUMN()-8,0),"")</f>
        <v>0</v>
      </c>
      <c r="N351" s="4">
        <f ca="1">_xlfn.IFNA(VLOOKUP(INDIRECT("G"&amp;ROW()),minfo!$A:$M,COLUMN()-8,0),"")</f>
        <v>0</v>
      </c>
      <c r="O351" s="4" t="str">
        <f ca="1">_xlfn.IFNA(VLOOKUP(INDIRECT("G"&amp;ROW()),minfo!$A:$M,COLUMN()-8,0),"")</f>
        <v>http://i0.hdslb.com/bfs/station_src/music_metadata/3544c1f8bb970ffeab4712860380ac4d.jpg</v>
      </c>
      <c r="P351" s="4" t="str">
        <f ca="1">_xlfn.IFNA(VLOOKUP(INDIRECT("G"&amp;ROW()),minfo!$A:$M,COLUMN()-8,0),"")</f>
        <v>http://i0.hdslb.com/bfs/station_src/music_metadata/bf1138545e7607df7c3d903d052bfd73</v>
      </c>
      <c r="Q351" s="4">
        <f ca="1">_xlfn.IFNA(VLOOKUP(INDIRECT("G"&amp;ROW()),minfo!$A:$M,COLUMN()-8,0),"")</f>
        <v>50</v>
      </c>
      <c r="R351" s="4">
        <f ca="1">_xlfn.IFNA(VLOOKUP(INDIRECT("G"&amp;ROW()),minfo!$A:$M,COLUMN()-8,0),"")</f>
        <v>0</v>
      </c>
      <c r="S351" s="4" t="str">
        <f ca="1">_xlfn.IFNA(VLOOKUP(INDIRECT("G"&amp;ROW()),minfo!$A:$M,COLUMN()-8,0),"")</f>
        <v>阿密特意识专辑</v>
      </c>
      <c r="T351" s="4">
        <f ca="1">_xlfn.IFNA(VLOOKUP(INDIRECT("G"&amp;ROW()),minfo!$A:$M,COLUMN()-8,0),"")</f>
        <v>32238564</v>
      </c>
      <c r="U351" s="4" t="str">
        <f ca="1">_xlfn.IFNA(VLOOKUP(INDIRECT("G"&amp;ROW()),minfo!$A:$M,COLUMN()-8,0),"")</f>
        <v>音乐榜最高NO.15</v>
      </c>
    </row>
    <row r="352" spans="1:21" ht="15.75" customHeight="1">
      <c r="A352" s="15">
        <v>351</v>
      </c>
      <c r="B352" s="4" t="s">
        <v>3917</v>
      </c>
      <c r="C352" s="4">
        <v>352</v>
      </c>
      <c r="D352" s="4">
        <v>154</v>
      </c>
      <c r="E352" s="4" t="s">
        <v>328</v>
      </c>
      <c r="F352" s="16">
        <v>45077</v>
      </c>
      <c r="G352" s="5" t="s">
        <v>327</v>
      </c>
      <c r="H352" s="5" t="s">
        <v>3754</v>
      </c>
      <c r="I352" s="24" t="str">
        <f>HYPERLINK("https://www.bilibili.com/video/BV1cs4y1w7Lv?p=154", "BV1cs4y1w7Lv?p=154")</f>
        <v>BV1cs4y1w7Lv?p=154</v>
      </c>
      <c r="J352" s="4" t="str">
        <f ca="1">_xlfn.IFNA(VLOOKUP(INDIRECT("G"&amp;ROW()),minfo!$A:$M,COLUMN()-8,0),"")</f>
        <v>浪漫手机</v>
      </c>
      <c r="K352" s="4" t="str">
        <f ca="1">_xlfn.IFNA(VLOOKUP(INDIRECT("G"&amp;ROW()),minfo!$A:$M,COLUMN()-8,0),"")</f>
        <v>周杰伦</v>
      </c>
      <c r="L352" s="4">
        <f ca="1">_xlfn.IFNA(VLOOKUP(INDIRECT("G"&amp;ROW()),minfo!$A:$M,COLUMN()-8,0),"")</f>
        <v>0</v>
      </c>
      <c r="M352" s="4">
        <f ca="1">_xlfn.IFNA(VLOOKUP(INDIRECT("G"&amp;ROW()),minfo!$A:$M,COLUMN()-8,0),"")</f>
        <v>0</v>
      </c>
      <c r="N352" s="4">
        <f ca="1">_xlfn.IFNA(VLOOKUP(INDIRECT("G"&amp;ROW()),minfo!$A:$M,COLUMN()-8,0),"")</f>
        <v>0</v>
      </c>
      <c r="O352" s="4" t="str">
        <f ca="1">_xlfn.IFNA(VLOOKUP(INDIRECT("G"&amp;ROW()),minfo!$A:$M,COLUMN()-8,0),"")</f>
        <v>https://i0.hdslb.com/bfs/station_src/music_metadata/8eedd1a09269c8d74ed387337e626b75.jpg</v>
      </c>
      <c r="P352" s="4" t="str">
        <f ca="1">_xlfn.IFNA(VLOOKUP(INDIRECT("G"&amp;ROW()),minfo!$A:$M,COLUMN()-8,0),"")</f>
        <v>https://i0.hdslb.com/bfs/station_src/music_metadata/ae5c6e95bbcbbf46dea75520d23f2e3e.txt</v>
      </c>
      <c r="Q352" s="4">
        <f ca="1">_xlfn.IFNA(VLOOKUP(INDIRECT("G"&amp;ROW()),minfo!$A:$M,COLUMN()-8,0),"")</f>
        <v>757</v>
      </c>
      <c r="R352" s="4">
        <f ca="1">_xlfn.IFNA(VLOOKUP(INDIRECT("G"&amp;ROW()),minfo!$A:$M,COLUMN()-8,0),"")</f>
        <v>0</v>
      </c>
      <c r="S352" s="4" t="str">
        <f ca="1">_xlfn.IFNA(VLOOKUP(INDIRECT("G"&amp;ROW()),minfo!$A:$M,COLUMN()-8,0),"")</f>
        <v>十一月的萧邦</v>
      </c>
      <c r="T352" s="4">
        <f ca="1">_xlfn.IFNA(VLOOKUP(INDIRECT("G"&amp;ROW()),minfo!$A:$M,COLUMN()-8,0),"")</f>
        <v>267490941</v>
      </c>
      <c r="U352" s="4">
        <f ca="1">_xlfn.IFNA(VLOOKUP(INDIRECT("G"&amp;ROW()),minfo!$A:$M,COLUMN()-8,0),"")</f>
        <v>0</v>
      </c>
    </row>
    <row r="353" spans="1:21" ht="15.75" customHeight="1">
      <c r="A353" s="15">
        <v>352</v>
      </c>
      <c r="B353" s="4" t="s">
        <v>3918</v>
      </c>
      <c r="C353" s="4">
        <v>353</v>
      </c>
      <c r="D353" s="4">
        <v>155</v>
      </c>
      <c r="E353" s="4" t="s">
        <v>763</v>
      </c>
      <c r="F353" s="16">
        <v>45077</v>
      </c>
      <c r="G353" s="5" t="s">
        <v>762</v>
      </c>
      <c r="H353" s="5" t="s">
        <v>3754</v>
      </c>
      <c r="I353" s="24" t="str">
        <f>HYPERLINK("https://www.bilibili.com/video/BV1cs4y1w7Lv?p=155", "BV1cs4y1w7Lv?p=155")</f>
        <v>BV1cs4y1w7Lv?p=155</v>
      </c>
      <c r="J353" s="4" t="str">
        <f ca="1">_xlfn.IFNA(VLOOKUP(INDIRECT("G"&amp;ROW()),minfo!$A:$M,COLUMN()-8,0),"")</f>
        <v>喂</v>
      </c>
      <c r="K353" s="4" t="str">
        <f ca="1">_xlfn.IFNA(VLOOKUP(INDIRECT("G"&amp;ROW()),minfo!$A:$M,COLUMN()-8,0),"")</f>
        <v>单依纯</v>
      </c>
      <c r="L353" s="4">
        <f ca="1">_xlfn.IFNA(VLOOKUP(INDIRECT("G"&amp;ROW()),minfo!$A:$M,COLUMN()-8,0),"")</f>
        <v>0</v>
      </c>
      <c r="M353" s="4">
        <f ca="1">_xlfn.IFNA(VLOOKUP(INDIRECT("G"&amp;ROW()),minfo!$A:$M,COLUMN()-8,0),"")</f>
        <v>0</v>
      </c>
      <c r="N353" s="4">
        <f ca="1">_xlfn.IFNA(VLOOKUP(INDIRECT("G"&amp;ROW()),minfo!$A:$M,COLUMN()-8,0),"")</f>
        <v>0</v>
      </c>
      <c r="O353" s="4" t="str">
        <f ca="1">_xlfn.IFNA(VLOOKUP(INDIRECT("G"&amp;ROW()),minfo!$A:$M,COLUMN()-8,0),"")</f>
        <v>http://i0.hdslb.com/bfs/station_src/music_metadata/3e25166ec82d69eca35a1a16729579ed.jpg</v>
      </c>
      <c r="P353" s="4" t="str">
        <f ca="1">_xlfn.IFNA(VLOOKUP(INDIRECT("G"&amp;ROW()),minfo!$A:$M,COLUMN()-8,0),"")</f>
        <v>http://i0.hdslb.com/bfs/station_src/music_metadata/2751e8840adbe50ca18c15e272712e78</v>
      </c>
      <c r="Q353" s="4">
        <f ca="1">_xlfn.IFNA(VLOOKUP(INDIRECT("G"&amp;ROW()),minfo!$A:$M,COLUMN()-8,0),"")</f>
        <v>90</v>
      </c>
      <c r="R353" s="4">
        <f ca="1">_xlfn.IFNA(VLOOKUP(INDIRECT("G"&amp;ROW()),minfo!$A:$M,COLUMN()-8,0),"")</f>
        <v>0</v>
      </c>
      <c r="S353" s="4" t="str">
        <f ca="1">_xlfn.IFNA(VLOOKUP(INDIRECT("G"&amp;ROW()),minfo!$A:$M,COLUMN()-8,0),"")</f>
        <v>喂</v>
      </c>
      <c r="T353" s="4">
        <f ca="1">_xlfn.IFNA(VLOOKUP(INDIRECT("G"&amp;ROW()),minfo!$A:$M,COLUMN()-8,0),"")</f>
        <v>9314230</v>
      </c>
      <c r="U353" s="4">
        <f ca="1">_xlfn.IFNA(VLOOKUP(INDIRECT("G"&amp;ROW()),minfo!$A:$M,COLUMN()-8,0),"")</f>
        <v>0</v>
      </c>
    </row>
    <row r="354" spans="1:21" ht="15.75" customHeight="1">
      <c r="A354" s="15">
        <v>353</v>
      </c>
      <c r="B354" s="4" t="s">
        <v>3919</v>
      </c>
      <c r="C354" s="4">
        <v>354</v>
      </c>
      <c r="D354" s="4">
        <v>156</v>
      </c>
      <c r="E354" s="4" t="s">
        <v>1138</v>
      </c>
      <c r="F354" s="16">
        <v>45077</v>
      </c>
      <c r="G354" s="5" t="s">
        <v>1137</v>
      </c>
      <c r="H354" s="5" t="s">
        <v>3754</v>
      </c>
      <c r="I354" s="24" t="str">
        <f>HYPERLINK("https://www.bilibili.com/video/BV1cs4y1w7Lv?p=156", "BV1cs4y1w7Lv?p=156")</f>
        <v>BV1cs4y1w7Lv?p=156</v>
      </c>
      <c r="J354" s="4" t="str">
        <f ca="1">_xlfn.IFNA(VLOOKUP(INDIRECT("G"&amp;ROW()),minfo!$A:$M,COLUMN()-8,0),"")</f>
        <v>我最亲爱的</v>
      </c>
      <c r="K354" s="4" t="str">
        <f ca="1">_xlfn.IFNA(VLOOKUP(INDIRECT("G"&amp;ROW()),minfo!$A:$M,COLUMN()-8,0),"")</f>
        <v>张惠妹</v>
      </c>
      <c r="L354" s="4">
        <f ca="1">_xlfn.IFNA(VLOOKUP(INDIRECT("G"&amp;ROW()),minfo!$A:$M,COLUMN()-8,0),"")</f>
        <v>0</v>
      </c>
      <c r="M354" s="4">
        <f ca="1">_xlfn.IFNA(VLOOKUP(INDIRECT("G"&amp;ROW()),minfo!$A:$M,COLUMN()-8,0),"")</f>
        <v>0</v>
      </c>
      <c r="N354" s="4">
        <f ca="1">_xlfn.IFNA(VLOOKUP(INDIRECT("G"&amp;ROW()),minfo!$A:$M,COLUMN()-8,0),"")</f>
        <v>0</v>
      </c>
      <c r="O354" s="4" t="str">
        <f ca="1">_xlfn.IFNA(VLOOKUP(INDIRECT("G"&amp;ROW()),minfo!$A:$M,COLUMN()-8,0),"")</f>
        <v>http://i0.hdslb.com/bfs/station_src/music_metadata/2e2cf0bad9154180e351c2ff64dba3b0.jpg</v>
      </c>
      <c r="P354" s="4" t="str">
        <f ca="1">_xlfn.IFNA(VLOOKUP(INDIRECT("G"&amp;ROW()),minfo!$A:$M,COLUMN()-8,0),"")</f>
        <v>http://i0.hdslb.com/bfs/station_src/music_metadata/0b46183111fae02b7f7533f3a00ae16b</v>
      </c>
      <c r="Q354" s="4">
        <f ca="1">_xlfn.IFNA(VLOOKUP(INDIRECT("G"&amp;ROW()),minfo!$A:$M,COLUMN()-8,0),"")</f>
        <v>39</v>
      </c>
      <c r="R354" s="4">
        <f ca="1">_xlfn.IFNA(VLOOKUP(INDIRECT("G"&amp;ROW()),minfo!$A:$M,COLUMN()-8,0),"")</f>
        <v>0</v>
      </c>
      <c r="S354" s="4" t="str">
        <f ca="1">_xlfn.IFNA(VLOOKUP(INDIRECT("G"&amp;ROW()),minfo!$A:$M,COLUMN()-8,0),"")</f>
        <v>你在看我吗</v>
      </c>
      <c r="T354" s="4">
        <f ca="1">_xlfn.IFNA(VLOOKUP(INDIRECT("G"&amp;ROW()),minfo!$A:$M,COLUMN()-8,0),"")</f>
        <v>25180382</v>
      </c>
      <c r="U354" s="4">
        <f ca="1">_xlfn.IFNA(VLOOKUP(INDIRECT("G"&amp;ROW()),minfo!$A:$M,COLUMN()-8,0),"")</f>
        <v>0</v>
      </c>
    </row>
    <row r="355" spans="1:21" ht="15.75" customHeight="1">
      <c r="A355" s="15">
        <v>354</v>
      </c>
      <c r="B355" s="4" t="s">
        <v>3920</v>
      </c>
      <c r="C355" s="4">
        <v>355</v>
      </c>
      <c r="D355" s="4">
        <v>157</v>
      </c>
      <c r="E355" s="4" t="s">
        <v>1143</v>
      </c>
      <c r="F355" s="16">
        <v>45078</v>
      </c>
      <c r="G355" s="5" t="s">
        <v>1142</v>
      </c>
      <c r="H355" s="5" t="s">
        <v>3754</v>
      </c>
      <c r="I355" s="24" t="str">
        <f>HYPERLINK("https://www.bilibili.com/video/BV1cs4y1w7Lv?p=157", "BV1cs4y1w7Lv?p=157")</f>
        <v>BV1cs4y1w7Lv?p=157</v>
      </c>
      <c r="J355" s="4" t="str">
        <f ca="1">_xlfn.IFNA(VLOOKUP(INDIRECT("G"&amp;ROW()),minfo!$A:$M,COLUMN()-8,0),"")</f>
        <v>稻香</v>
      </c>
      <c r="K355" s="4" t="str">
        <f ca="1">_xlfn.IFNA(VLOOKUP(INDIRECT("G"&amp;ROW()),minfo!$A:$M,COLUMN()-8,0),"")</f>
        <v>周杰伦</v>
      </c>
      <c r="L355" s="4">
        <f ca="1">_xlfn.IFNA(VLOOKUP(INDIRECT("G"&amp;ROW()),minfo!$A:$M,COLUMN()-8,0),"")</f>
        <v>0</v>
      </c>
      <c r="M355" s="4">
        <f ca="1">_xlfn.IFNA(VLOOKUP(INDIRECT("G"&amp;ROW()),minfo!$A:$M,COLUMN()-8,0),"")</f>
        <v>82980</v>
      </c>
      <c r="N355" s="4">
        <f ca="1">_xlfn.IFNA(VLOOKUP(INDIRECT("G"&amp;ROW()),minfo!$A:$M,COLUMN()-8,0),"")</f>
        <v>5843</v>
      </c>
      <c r="O355" s="4" t="str">
        <f ca="1">_xlfn.IFNA(VLOOKUP(INDIRECT("G"&amp;ROW()),minfo!$A:$M,COLUMN()-8,0),"")</f>
        <v>https://i0.hdslb.com/bfs/station_src/music_metadata/957f8ba4e202e519f64cdd61268ee24d.jpg</v>
      </c>
      <c r="P355" s="4">
        <f ca="1">_xlfn.IFNA(VLOOKUP(INDIRECT("G"&amp;ROW()),minfo!$A:$M,COLUMN()-8,0),"")</f>
        <v>0</v>
      </c>
      <c r="Q355" s="4">
        <f ca="1">_xlfn.IFNA(VLOOKUP(INDIRECT("G"&amp;ROW()),minfo!$A:$M,COLUMN()-8,0),"")</f>
        <v>7881</v>
      </c>
      <c r="R355" s="4">
        <f ca="1">_xlfn.IFNA(VLOOKUP(INDIRECT("G"&amp;ROW()),minfo!$A:$M,COLUMN()-8,0),"")</f>
        <v>0</v>
      </c>
      <c r="S355" s="4" t="str">
        <f ca="1">_xlfn.IFNA(VLOOKUP(INDIRECT("G"&amp;ROW()),minfo!$A:$M,COLUMN()-8,0),"")</f>
        <v>魔杰座</v>
      </c>
      <c r="T355" s="4">
        <f ca="1">_xlfn.IFNA(VLOOKUP(INDIRECT("G"&amp;ROW()),minfo!$A:$M,COLUMN()-8,0),"")</f>
        <v>2525440964</v>
      </c>
      <c r="U355" s="4" t="str">
        <f ca="1">_xlfn.IFNA(VLOOKUP(INDIRECT("G"&amp;ROW()),minfo!$A:$M,COLUMN()-8,0),"")</f>
        <v>音乐榜最高NO.6</v>
      </c>
    </row>
    <row r="356" spans="1:21" ht="15.75" customHeight="1">
      <c r="A356" s="15">
        <v>355</v>
      </c>
      <c r="B356" s="4" t="s">
        <v>3921</v>
      </c>
      <c r="C356" s="4">
        <v>356</v>
      </c>
      <c r="D356" s="4">
        <v>158</v>
      </c>
      <c r="E356" s="4" t="s">
        <v>3922</v>
      </c>
      <c r="F356" s="16">
        <v>45078</v>
      </c>
      <c r="G356" s="5" t="s">
        <v>1145</v>
      </c>
      <c r="H356" s="5" t="s">
        <v>3754</v>
      </c>
      <c r="I356" s="24" t="str">
        <f>HYPERLINK("https://www.bilibili.com/video/BV1cs4y1w7Lv?p=158", "BV1cs4y1w7Lv?p=158")</f>
        <v>BV1cs4y1w7Lv?p=158</v>
      </c>
      <c r="J356" s="4" t="str">
        <f ca="1">_xlfn.IFNA(VLOOKUP(INDIRECT("G"&amp;ROW()),minfo!$A:$M,COLUMN()-8,0),"")</f>
        <v>Baby</v>
      </c>
      <c r="K356" s="4" t="str">
        <f ca="1">_xlfn.IFNA(VLOOKUP(INDIRECT("G"&amp;ROW()),minfo!$A:$M,COLUMN()-8,0),"")</f>
        <v>Justin Bieber,Ludacris</v>
      </c>
      <c r="L356" s="4">
        <f ca="1">_xlfn.IFNA(VLOOKUP(INDIRECT("G"&amp;ROW()),minfo!$A:$M,COLUMN()-8,0),"")</f>
        <v>0</v>
      </c>
      <c r="M356" s="4">
        <f ca="1">_xlfn.IFNA(VLOOKUP(INDIRECT("G"&amp;ROW()),minfo!$A:$M,COLUMN()-8,0),"")</f>
        <v>0</v>
      </c>
      <c r="N356" s="4">
        <f ca="1">_xlfn.IFNA(VLOOKUP(INDIRECT("G"&amp;ROW()),minfo!$A:$M,COLUMN()-8,0),"")</f>
        <v>0</v>
      </c>
      <c r="O356" s="4" t="str">
        <f ca="1">_xlfn.IFNA(VLOOKUP(INDIRECT("G"&amp;ROW()),minfo!$A:$M,COLUMN()-8,0),"")</f>
        <v>https://i0.hdslb.com/bfs/station_src/music_metadata/1d8aa79b464086c2dc4d58a13f5f3686.jpg</v>
      </c>
      <c r="P356" s="4" t="str">
        <f ca="1">_xlfn.IFNA(VLOOKUP(INDIRECT("G"&amp;ROW()),minfo!$A:$M,COLUMN()-8,0),"")</f>
        <v>http://i0.hdslb.com/bfs/station_src/music_metadata/b646989ee9e81eabb36866dd8cefa769</v>
      </c>
      <c r="Q356" s="4">
        <f ca="1">_xlfn.IFNA(VLOOKUP(INDIRECT("G"&amp;ROW()),minfo!$A:$M,COLUMN()-8,0),"")</f>
        <v>2359</v>
      </c>
      <c r="R356" s="4" t="str">
        <f ca="1">_xlfn.IFNA(VLOOKUP(INDIRECT("G"&amp;ROW()),minfo!$A:$M,COLUMN()-8,0),"")</f>
        <v>《QQ飞车手游》游戏背景歌曲</v>
      </c>
      <c r="S356" s="4" t="str">
        <f ca="1">_xlfn.IFNA(VLOOKUP(INDIRECT("G"&amp;ROW()),minfo!$A:$M,COLUMN()-8,0),"")</f>
        <v>My World 2.0</v>
      </c>
      <c r="T356" s="4">
        <f ca="1">_xlfn.IFNA(VLOOKUP(INDIRECT("G"&amp;ROW()),minfo!$A:$M,COLUMN()-8,0),"")</f>
        <v>377806178</v>
      </c>
      <c r="U356" s="4">
        <f ca="1">_xlfn.IFNA(VLOOKUP(INDIRECT("G"&amp;ROW()),minfo!$A:$M,COLUMN()-8,0),"")</f>
        <v>0</v>
      </c>
    </row>
    <row r="357" spans="1:21" ht="15.75" customHeight="1">
      <c r="A357" s="15">
        <v>356</v>
      </c>
      <c r="B357" s="4" t="s">
        <v>3923</v>
      </c>
      <c r="C357" s="4">
        <v>357</v>
      </c>
      <c r="D357" s="4">
        <v>159</v>
      </c>
      <c r="E357" s="4" t="s">
        <v>1153</v>
      </c>
      <c r="F357" s="16">
        <v>45078</v>
      </c>
      <c r="G357" s="5" t="s">
        <v>1152</v>
      </c>
      <c r="H357" s="5" t="s">
        <v>3754</v>
      </c>
      <c r="I357" s="24" t="str">
        <f>HYPERLINK("https://www.bilibili.com/video/BV1cs4y1w7Lv?p=159", "BV1cs4y1w7Lv?p=159")</f>
        <v>BV1cs4y1w7Lv?p=159</v>
      </c>
      <c r="J357" s="4" t="str">
        <f ca="1">_xlfn.IFNA(VLOOKUP(INDIRECT("G"&amp;ROW()),minfo!$A:$M,COLUMN()-8,0),"")</f>
        <v>让我们荡起双桨</v>
      </c>
      <c r="K357" s="4" t="str">
        <f ca="1">_xlfn.IFNA(VLOOKUP(INDIRECT("G"&amp;ROW()),minfo!$A:$M,COLUMN()-8,0),"")</f>
        <v>董文华</v>
      </c>
      <c r="L357" s="4">
        <f ca="1">_xlfn.IFNA(VLOOKUP(INDIRECT("G"&amp;ROW()),minfo!$A:$M,COLUMN()-8,0),"")</f>
        <v>0</v>
      </c>
      <c r="M357" s="4">
        <f ca="1">_xlfn.IFNA(VLOOKUP(INDIRECT("G"&amp;ROW()),minfo!$A:$M,COLUMN()-8,0),"")</f>
        <v>0</v>
      </c>
      <c r="N357" s="4">
        <f ca="1">_xlfn.IFNA(VLOOKUP(INDIRECT("G"&amp;ROW()),minfo!$A:$M,COLUMN()-8,0),"")</f>
        <v>0</v>
      </c>
      <c r="O357" s="4" t="str">
        <f ca="1">_xlfn.IFNA(VLOOKUP(INDIRECT("G"&amp;ROW()),minfo!$A:$M,COLUMN()-8,0),"")</f>
        <v>https://i0.hdslb.com/bfs/station_src/music_metadata/9a1ec279408d56617f21043f749a60a5.jpg</v>
      </c>
      <c r="P357" s="4" t="str">
        <f ca="1">_xlfn.IFNA(VLOOKUP(INDIRECT("G"&amp;ROW()),minfo!$A:$M,COLUMN()-8,0),"")</f>
        <v>https://i0.hdslb.com/bfs/station_src/music_metadata/34156fbcd7e4895d59ad7092d1223840.txt</v>
      </c>
      <c r="Q357" s="4">
        <f ca="1">_xlfn.IFNA(VLOOKUP(INDIRECT("G"&amp;ROW()),minfo!$A:$M,COLUMN()-8,0),"")</f>
        <v>0</v>
      </c>
      <c r="R357" s="4">
        <f ca="1">_xlfn.IFNA(VLOOKUP(INDIRECT("G"&amp;ROW()),minfo!$A:$M,COLUMN()-8,0),"")</f>
        <v>0</v>
      </c>
      <c r="S357" s="4" t="str">
        <f ca="1">_xlfn.IFNA(VLOOKUP(INDIRECT("G"&amp;ROW()),minfo!$A:$M,COLUMN()-8,0),"")</f>
        <v>演唱歌曲精选200首</v>
      </c>
      <c r="T357" s="4">
        <f ca="1">_xlfn.IFNA(VLOOKUP(INDIRECT("G"&amp;ROW()),minfo!$A:$M,COLUMN()-8,0),"")</f>
        <v>88189</v>
      </c>
      <c r="U357" s="4">
        <f ca="1">_xlfn.IFNA(VLOOKUP(INDIRECT("G"&amp;ROW()),minfo!$A:$M,COLUMN()-8,0),"")</f>
        <v>0</v>
      </c>
    </row>
    <row r="358" spans="1:21" ht="15.75" customHeight="1">
      <c r="A358" s="15">
        <v>357</v>
      </c>
      <c r="B358" s="4" t="s">
        <v>3924</v>
      </c>
      <c r="C358" s="4">
        <v>358</v>
      </c>
      <c r="D358" s="4">
        <v>160</v>
      </c>
      <c r="E358" s="4" t="s">
        <v>1159</v>
      </c>
      <c r="F358" s="16">
        <v>45078</v>
      </c>
      <c r="G358" s="5" t="s">
        <v>1158</v>
      </c>
      <c r="H358" s="5" t="s">
        <v>3754</v>
      </c>
      <c r="I358" s="24" t="str">
        <f>HYPERLINK("https://www.bilibili.com/video/BV1cs4y1w7Lv?p=160", "BV1cs4y1w7Lv?p=160")</f>
        <v>BV1cs4y1w7Lv?p=160</v>
      </c>
      <c r="J358" s="4" t="str">
        <f ca="1">_xlfn.IFNA(VLOOKUP(INDIRECT("G"&amp;ROW()),minfo!$A:$M,COLUMN()-8,0),"")</f>
        <v>霞光</v>
      </c>
      <c r="K358" s="4" t="str">
        <f ca="1">_xlfn.IFNA(VLOOKUP(INDIRECT("G"&amp;ROW()),minfo!$A:$M,COLUMN()-8,0),"")</f>
        <v>曲锦楠</v>
      </c>
      <c r="L358" s="4">
        <f ca="1">_xlfn.IFNA(VLOOKUP(INDIRECT("G"&amp;ROW()),minfo!$A:$M,COLUMN()-8,0),"")</f>
        <v>0</v>
      </c>
      <c r="M358" s="4">
        <f ca="1">_xlfn.IFNA(VLOOKUP(INDIRECT("G"&amp;ROW()),minfo!$A:$M,COLUMN()-8,0),"")</f>
        <v>0</v>
      </c>
      <c r="N358" s="4">
        <f ca="1">_xlfn.IFNA(VLOOKUP(INDIRECT("G"&amp;ROW()),minfo!$A:$M,COLUMN()-8,0),"")</f>
        <v>0</v>
      </c>
      <c r="O358" s="4" t="str">
        <f ca="1">_xlfn.IFNA(VLOOKUP(INDIRECT("G"&amp;ROW()),minfo!$A:$M,COLUMN()-8,0),"")</f>
        <v>https://i0.hdslb.com/bfs/station_src/music_metadata/a077572f8ee7b3c83f38ffcf4a94acb4.jpg</v>
      </c>
      <c r="P358" s="4" t="str">
        <f ca="1">_xlfn.IFNA(VLOOKUP(INDIRECT("G"&amp;ROW()),minfo!$A:$M,COLUMN()-8,0),"")</f>
        <v>http://i0.hdslb.com/bfs/station_src/music_metadata/6b6d83bcd7a80305c8bae4ed3500a2af</v>
      </c>
      <c r="Q358" s="4">
        <f ca="1">_xlfn.IFNA(VLOOKUP(INDIRECT("G"&amp;ROW()),minfo!$A:$M,COLUMN()-8,0),"")</f>
        <v>642</v>
      </c>
      <c r="R358" s="4" t="str">
        <f ca="1">_xlfn.IFNA(VLOOKUP(INDIRECT("G"&amp;ROW()),minfo!$A:$M,COLUMN()-8,0),"")</f>
        <v>动画片《精灵世纪》片尾曲</v>
      </c>
      <c r="S358" s="4" t="str">
        <f ca="1">_xlfn.IFNA(VLOOKUP(INDIRECT("G"&amp;ROW()),minfo!$A:$M,COLUMN()-8,0),"")</f>
        <v>霞光</v>
      </c>
      <c r="T358" s="4">
        <f ca="1">_xlfn.IFNA(VLOOKUP(INDIRECT("G"&amp;ROW()),minfo!$A:$M,COLUMN()-8,0),"")</f>
        <v>87672374</v>
      </c>
      <c r="U358" s="4">
        <f ca="1">_xlfn.IFNA(VLOOKUP(INDIRECT("G"&amp;ROW()),minfo!$A:$M,COLUMN()-8,0),"")</f>
        <v>0</v>
      </c>
    </row>
    <row r="359" spans="1:21" ht="15.75" customHeight="1">
      <c r="A359" s="15">
        <v>358</v>
      </c>
      <c r="B359" s="4" t="s">
        <v>3925</v>
      </c>
      <c r="C359" s="4">
        <v>359</v>
      </c>
      <c r="D359" s="4">
        <v>161</v>
      </c>
      <c r="E359" s="4" t="s">
        <v>1165</v>
      </c>
      <c r="F359" s="16">
        <v>45082</v>
      </c>
      <c r="G359" s="5" t="s">
        <v>1164</v>
      </c>
      <c r="H359" s="5" t="s">
        <v>3754</v>
      </c>
      <c r="I359" s="24" t="str">
        <f>HYPERLINK("https://www.bilibili.com/video/BV1cs4y1w7Lv?p=161", "BV1cs4y1w7Lv?p=161")</f>
        <v>BV1cs4y1w7Lv?p=161</v>
      </c>
      <c r="J359" s="4" t="str">
        <f ca="1">_xlfn.IFNA(VLOOKUP(INDIRECT("G"&amp;ROW()),minfo!$A:$M,COLUMN()-8,0),"")</f>
        <v>百年孤寂</v>
      </c>
      <c r="K359" s="4" t="str">
        <f ca="1">_xlfn.IFNA(VLOOKUP(INDIRECT("G"&amp;ROW()),minfo!$A:$M,COLUMN()-8,0),"")</f>
        <v>王菲</v>
      </c>
      <c r="L359" s="4">
        <f ca="1">_xlfn.IFNA(VLOOKUP(INDIRECT("G"&amp;ROW()),minfo!$A:$M,COLUMN()-8,0),"")</f>
        <v>0</v>
      </c>
      <c r="M359" s="4">
        <f ca="1">_xlfn.IFNA(VLOOKUP(INDIRECT("G"&amp;ROW()),minfo!$A:$M,COLUMN()-8,0),"")</f>
        <v>0</v>
      </c>
      <c r="N359" s="4">
        <f ca="1">_xlfn.IFNA(VLOOKUP(INDIRECT("G"&amp;ROW()),minfo!$A:$M,COLUMN()-8,0),"")</f>
        <v>0</v>
      </c>
      <c r="O359" s="4" t="str">
        <f ca="1">_xlfn.IFNA(VLOOKUP(INDIRECT("G"&amp;ROW()),minfo!$A:$M,COLUMN()-8,0),"")</f>
        <v>https://i0.hdslb.com/bfs/station_src/music_metadata/20338edb52746e20533f9bd430ce08dd.jpg</v>
      </c>
      <c r="P359" s="4" t="str">
        <f ca="1">_xlfn.IFNA(VLOOKUP(INDIRECT("G"&amp;ROW()),minfo!$A:$M,COLUMN()-8,0),"")</f>
        <v>http://i0.hdslb.com/bfs/station_src/music_metadata/6bcf1ebce64f503bdbd10e260085f9c8</v>
      </c>
      <c r="Q359" s="4">
        <f ca="1">_xlfn.IFNA(VLOOKUP(INDIRECT("G"&amp;ROW()),minfo!$A:$M,COLUMN()-8,0),"")</f>
        <v>1418</v>
      </c>
      <c r="R359" s="4">
        <f ca="1">_xlfn.IFNA(VLOOKUP(INDIRECT("G"&amp;ROW()),minfo!$A:$M,COLUMN()-8,0),"")</f>
        <v>0</v>
      </c>
      <c r="S359" s="4" t="str">
        <f ca="1">_xlfn.IFNA(VLOOKUP(INDIRECT("G"&amp;ROW()),minfo!$A:$M,COLUMN()-8,0),"")</f>
        <v>只爱陌生人</v>
      </c>
      <c r="T359" s="4">
        <f ca="1">_xlfn.IFNA(VLOOKUP(INDIRECT("G"&amp;ROW()),minfo!$A:$M,COLUMN()-8,0),"")</f>
        <v>155681177</v>
      </c>
      <c r="U359" s="4" t="str">
        <f ca="1">_xlfn.IFNA(VLOOKUP(INDIRECT("G"&amp;ROW()),minfo!$A:$M,COLUMN()-8,0),"")</f>
        <v>音乐榜最高NO.16</v>
      </c>
    </row>
    <row r="360" spans="1:21" ht="15.75" customHeight="1">
      <c r="A360" s="15">
        <v>359</v>
      </c>
      <c r="B360" s="4" t="s">
        <v>3926</v>
      </c>
      <c r="C360" s="4">
        <v>360</v>
      </c>
      <c r="D360" s="4">
        <v>162</v>
      </c>
      <c r="E360" s="4" t="s">
        <v>1170</v>
      </c>
      <c r="F360" s="16">
        <v>45082</v>
      </c>
      <c r="G360" s="5" t="s">
        <v>1169</v>
      </c>
      <c r="H360" s="5" t="s">
        <v>3754</v>
      </c>
      <c r="I360" s="24" t="str">
        <f>HYPERLINK("https://www.bilibili.com/video/BV1cs4y1w7Lv?p=162", "BV1cs4y1w7Lv?p=162")</f>
        <v>BV1cs4y1w7Lv?p=162</v>
      </c>
      <c r="J360" s="4" t="str">
        <f ca="1">_xlfn.IFNA(VLOOKUP(INDIRECT("G"&amp;ROW()),minfo!$A:$M,COLUMN()-8,0),"")</f>
        <v>矜持</v>
      </c>
      <c r="K360" s="4" t="str">
        <f ca="1">_xlfn.IFNA(VLOOKUP(INDIRECT("G"&amp;ROW()),minfo!$A:$M,COLUMN()-8,0),"")</f>
        <v>王菲</v>
      </c>
      <c r="L360" s="4">
        <f ca="1">_xlfn.IFNA(VLOOKUP(INDIRECT("G"&amp;ROW()),minfo!$A:$M,COLUMN()-8,0),"")</f>
        <v>0</v>
      </c>
      <c r="M360" s="4">
        <f ca="1">_xlfn.IFNA(VLOOKUP(INDIRECT("G"&amp;ROW()),minfo!$A:$M,COLUMN()-8,0),"")</f>
        <v>0</v>
      </c>
      <c r="N360" s="4">
        <f ca="1">_xlfn.IFNA(VLOOKUP(INDIRECT("G"&amp;ROW()),minfo!$A:$M,COLUMN()-8,0),"")</f>
        <v>0</v>
      </c>
      <c r="O360" s="4" t="str">
        <f ca="1">_xlfn.IFNA(VLOOKUP(INDIRECT("G"&amp;ROW()),minfo!$A:$M,COLUMN()-8,0),"")</f>
        <v>http://i0.hdslb.com/bfs/station_src/music_metadata/c70e03f17efac597c1989535f2f3f06f.jpg</v>
      </c>
      <c r="P360" s="4" t="str">
        <f ca="1">_xlfn.IFNA(VLOOKUP(INDIRECT("G"&amp;ROW()),minfo!$A:$M,COLUMN()-8,0),"")</f>
        <v>http://i0.hdslb.com/bfs/station_src/music_metadata/c6243f336e8318eeb79a624c587d829c</v>
      </c>
      <c r="Q360" s="4">
        <f ca="1">_xlfn.IFNA(VLOOKUP(INDIRECT("G"&amp;ROW()),minfo!$A:$M,COLUMN()-8,0),"")</f>
        <v>33</v>
      </c>
      <c r="R360" s="4">
        <f ca="1">_xlfn.IFNA(VLOOKUP(INDIRECT("G"&amp;ROW()),minfo!$A:$M,COLUMN()-8,0),"")</f>
        <v>0</v>
      </c>
      <c r="S360" s="4">
        <f ca="1">_xlfn.IFNA(VLOOKUP(INDIRECT("G"&amp;ROW()),minfo!$A:$M,COLUMN()-8,0),"")</f>
        <v>0</v>
      </c>
      <c r="T360" s="4">
        <f ca="1">_xlfn.IFNA(VLOOKUP(INDIRECT("G"&amp;ROW()),minfo!$A:$M,COLUMN()-8,0),"")</f>
        <v>17175894</v>
      </c>
      <c r="U360" s="4">
        <f ca="1">_xlfn.IFNA(VLOOKUP(INDIRECT("G"&amp;ROW()),minfo!$A:$M,COLUMN()-8,0),"")</f>
        <v>0</v>
      </c>
    </row>
    <row r="361" spans="1:21" ht="15.75" customHeight="1">
      <c r="A361" s="15">
        <v>360</v>
      </c>
      <c r="B361" s="4" t="s">
        <v>3927</v>
      </c>
      <c r="C361" s="4">
        <v>361</v>
      </c>
      <c r="D361" s="4">
        <v>163</v>
      </c>
      <c r="E361" s="4" t="s">
        <v>3928</v>
      </c>
      <c r="F361" s="16">
        <v>45082</v>
      </c>
      <c r="G361" s="5" t="s">
        <v>1173</v>
      </c>
      <c r="H361" s="5" t="s">
        <v>3754</v>
      </c>
      <c r="I361" s="24" t="str">
        <f>HYPERLINK("https://www.bilibili.com/video/BV1cs4y1w7Lv?p=163", "BV1cs4y1w7Lv?p=163")</f>
        <v>BV1cs4y1w7Lv?p=163</v>
      </c>
      <c r="J361" s="4" t="str">
        <f ca="1">_xlfn.IFNA(VLOOKUP(INDIRECT("G"&amp;ROW()),minfo!$A:$M,COLUMN()-8,0),"")</f>
        <v>好一朵美丽的茉莉花</v>
      </c>
      <c r="K361" s="4" t="str">
        <f ca="1">_xlfn.IFNA(VLOOKUP(INDIRECT("G"&amp;ROW()),minfo!$A:$M,COLUMN()-8,0),"")</f>
        <v>姚璎格</v>
      </c>
      <c r="L361" s="4">
        <f ca="1">_xlfn.IFNA(VLOOKUP(INDIRECT("G"&amp;ROW()),minfo!$A:$M,COLUMN()-8,0),"")</f>
        <v>0</v>
      </c>
      <c r="M361" s="4">
        <f ca="1">_xlfn.IFNA(VLOOKUP(INDIRECT("G"&amp;ROW()),minfo!$A:$M,COLUMN()-8,0),"")</f>
        <v>0</v>
      </c>
      <c r="N361" s="4">
        <f ca="1">_xlfn.IFNA(VLOOKUP(INDIRECT("G"&amp;ROW()),minfo!$A:$M,COLUMN()-8,0),"")</f>
        <v>0</v>
      </c>
      <c r="O361" s="4" t="str">
        <f ca="1">_xlfn.IFNA(VLOOKUP(INDIRECT("G"&amp;ROW()),minfo!$A:$M,COLUMN()-8,0),"")</f>
        <v>https://i0.hdslb.com/bfs/station_src/music_metadata/2424ae1b72eccbd82f4a33aee799e016.jpg</v>
      </c>
      <c r="P361" s="4" t="str">
        <f ca="1">_xlfn.IFNA(VLOOKUP(INDIRECT("G"&amp;ROW()),minfo!$A:$M,COLUMN()-8,0),"")</f>
        <v>https://i0.hdslb.com/bfs/station_src/music_metadata/345c48736e6a6066bd6da17f3dae6532.txt</v>
      </c>
      <c r="Q361" s="4">
        <f ca="1">_xlfn.IFNA(VLOOKUP(INDIRECT("G"&amp;ROW()),minfo!$A:$M,COLUMN()-8,0),"")</f>
        <v>2</v>
      </c>
      <c r="R361" s="4">
        <f ca="1">_xlfn.IFNA(VLOOKUP(INDIRECT("G"&amp;ROW()),minfo!$A:$M,COLUMN()-8,0),"")</f>
        <v>0</v>
      </c>
      <c r="S361" s="4" t="str">
        <f ca="1">_xlfn.IFNA(VLOOKUP(INDIRECT("G"&amp;ROW()),minfo!$A:$M,COLUMN()-8,0),"")</f>
        <v>花好月圆</v>
      </c>
      <c r="T361" s="4">
        <f ca="1">_xlfn.IFNA(VLOOKUP(INDIRECT("G"&amp;ROW()),minfo!$A:$M,COLUMN()-8,0),"")</f>
        <v>1631890</v>
      </c>
      <c r="U361" s="4">
        <f ca="1">_xlfn.IFNA(VLOOKUP(INDIRECT("G"&amp;ROW()),minfo!$A:$M,COLUMN()-8,0),"")</f>
        <v>0</v>
      </c>
    </row>
    <row r="362" spans="1:21" ht="15.75" customHeight="1">
      <c r="A362" s="15">
        <v>361</v>
      </c>
      <c r="B362" s="4" t="s">
        <v>3929</v>
      </c>
      <c r="C362" s="4">
        <v>362</v>
      </c>
      <c r="D362" s="4">
        <v>164</v>
      </c>
      <c r="E362" s="4" t="s">
        <v>244</v>
      </c>
      <c r="F362" s="16">
        <v>45084</v>
      </c>
      <c r="G362" s="5" t="s">
        <v>243</v>
      </c>
      <c r="H362" s="5" t="s">
        <v>3754</v>
      </c>
      <c r="I362" s="24" t="str">
        <f>HYPERLINK("https://www.bilibili.com/video/BV1cs4y1w7Lv?p=164", "BV1cs4y1w7Lv?p=164")</f>
        <v>BV1cs4y1w7Lv?p=164</v>
      </c>
      <c r="J362" s="4" t="str">
        <f ca="1">_xlfn.IFNA(VLOOKUP(INDIRECT("G"&amp;ROW()),minfo!$A:$M,COLUMN()-8,0),"")</f>
        <v>天若有情</v>
      </c>
      <c r="K362" s="4" t="str">
        <f ca="1">_xlfn.IFNA(VLOOKUP(INDIRECT("G"&amp;ROW()),minfo!$A:$M,COLUMN()-8,0),"")</f>
        <v>A-Lin</v>
      </c>
      <c r="L362" s="4">
        <f ca="1">_xlfn.IFNA(VLOOKUP(INDIRECT("G"&amp;ROW()),minfo!$A:$M,COLUMN()-8,0),"")</f>
        <v>0</v>
      </c>
      <c r="M362" s="4">
        <f ca="1">_xlfn.IFNA(VLOOKUP(INDIRECT("G"&amp;ROW()),minfo!$A:$M,COLUMN()-8,0),"")</f>
        <v>0</v>
      </c>
      <c r="N362" s="4">
        <f ca="1">_xlfn.IFNA(VLOOKUP(INDIRECT("G"&amp;ROW()),minfo!$A:$M,COLUMN()-8,0),"")</f>
        <v>0</v>
      </c>
      <c r="O362" s="4" t="str">
        <f ca="1">_xlfn.IFNA(VLOOKUP(INDIRECT("G"&amp;ROW()),minfo!$A:$M,COLUMN()-8,0),"")</f>
        <v>https://i0.hdslb.com/bfs/station_src/music_metadata/d7077aac44142c14752bf54adb6735dd.jpg</v>
      </c>
      <c r="P362" s="4" t="str">
        <f ca="1">_xlfn.IFNA(VLOOKUP(INDIRECT("G"&amp;ROW()),minfo!$A:$M,COLUMN()-8,0),"")</f>
        <v>http://i0.hdslb.com/bfs/station_src/music_metadata/d430629d07fd668a47cf98e2c77345f8</v>
      </c>
      <c r="Q362" s="4">
        <f ca="1">_xlfn.IFNA(VLOOKUP(INDIRECT("G"&amp;ROW()),minfo!$A:$M,COLUMN()-8,0),"")</f>
        <v>4856</v>
      </c>
      <c r="R362" s="4" t="str">
        <f ca="1">_xlfn.IFNA(VLOOKUP(INDIRECT("G"&amp;ROW()),minfo!$A:$M,COLUMN()-8,0),"")</f>
        <v>《锦绣未央》电视剧主题曲</v>
      </c>
      <c r="S362" s="4" t="str">
        <f ca="1">_xlfn.IFNA(VLOOKUP(INDIRECT("G"&amp;ROW()),minfo!$A:$M,COLUMN()-8,0),"")</f>
        <v>天若有情</v>
      </c>
      <c r="T362" s="4">
        <f ca="1">_xlfn.IFNA(VLOOKUP(INDIRECT("G"&amp;ROW()),minfo!$A:$M,COLUMN()-8,0),"")</f>
        <v>508621070</v>
      </c>
      <c r="U362" s="4">
        <f ca="1">_xlfn.IFNA(VLOOKUP(INDIRECT("G"&amp;ROW()),minfo!$A:$M,COLUMN()-8,0),"")</f>
        <v>0</v>
      </c>
    </row>
    <row r="363" spans="1:21" ht="15.75" customHeight="1">
      <c r="A363" s="15">
        <v>362</v>
      </c>
      <c r="B363" s="4" t="s">
        <v>3930</v>
      </c>
      <c r="C363" s="4">
        <v>363</v>
      </c>
      <c r="D363" s="4">
        <v>165</v>
      </c>
      <c r="E363" s="4" t="s">
        <v>1133</v>
      </c>
      <c r="F363" s="16">
        <v>45084</v>
      </c>
      <c r="G363" s="5" t="s">
        <v>1132</v>
      </c>
      <c r="H363" s="5" t="s">
        <v>3754</v>
      </c>
      <c r="I363" s="24" t="str">
        <f>HYPERLINK("https://www.bilibili.com/video/BV1cs4y1w7Lv?p=165", "BV1cs4y1w7Lv?p=165")</f>
        <v>BV1cs4y1w7Lv?p=165</v>
      </c>
      <c r="J363" s="4" t="str">
        <f ca="1">_xlfn.IFNA(VLOOKUP(INDIRECT("G"&amp;ROW()),minfo!$A:$M,COLUMN()-8,0),"")</f>
        <v>掉了</v>
      </c>
      <c r="K363" s="4" t="str">
        <f ca="1">_xlfn.IFNA(VLOOKUP(INDIRECT("G"&amp;ROW()),minfo!$A:$M,COLUMN()-8,0),"")</f>
        <v>张惠妹</v>
      </c>
      <c r="L363" s="4">
        <f ca="1">_xlfn.IFNA(VLOOKUP(INDIRECT("G"&amp;ROW()),minfo!$A:$M,COLUMN()-8,0),"")</f>
        <v>0</v>
      </c>
      <c r="M363" s="4">
        <f ca="1">_xlfn.IFNA(VLOOKUP(INDIRECT("G"&amp;ROW()),minfo!$A:$M,COLUMN()-8,0),"")</f>
        <v>0</v>
      </c>
      <c r="N363" s="4">
        <f ca="1">_xlfn.IFNA(VLOOKUP(INDIRECT("G"&amp;ROW()),minfo!$A:$M,COLUMN()-8,0),"")</f>
        <v>0</v>
      </c>
      <c r="O363" s="4" t="str">
        <f ca="1">_xlfn.IFNA(VLOOKUP(INDIRECT("G"&amp;ROW()),minfo!$A:$M,COLUMN()-8,0),"")</f>
        <v>http://i0.hdslb.com/bfs/station_src/music_metadata/3544c1f8bb970ffeab4712860380ac4d.jpg</v>
      </c>
      <c r="P363" s="4" t="str">
        <f ca="1">_xlfn.IFNA(VLOOKUP(INDIRECT("G"&amp;ROW()),minfo!$A:$M,COLUMN()-8,0),"")</f>
        <v>http://i0.hdslb.com/bfs/station_src/music_metadata/bf1138545e7607df7c3d903d052bfd73</v>
      </c>
      <c r="Q363" s="4">
        <f ca="1">_xlfn.IFNA(VLOOKUP(INDIRECT("G"&amp;ROW()),minfo!$A:$M,COLUMN()-8,0),"")</f>
        <v>50</v>
      </c>
      <c r="R363" s="4">
        <f ca="1">_xlfn.IFNA(VLOOKUP(INDIRECT("G"&amp;ROW()),minfo!$A:$M,COLUMN()-8,0),"")</f>
        <v>0</v>
      </c>
      <c r="S363" s="4" t="str">
        <f ca="1">_xlfn.IFNA(VLOOKUP(INDIRECT("G"&amp;ROW()),minfo!$A:$M,COLUMN()-8,0),"")</f>
        <v>阿密特意识专辑</v>
      </c>
      <c r="T363" s="4">
        <f ca="1">_xlfn.IFNA(VLOOKUP(INDIRECT("G"&amp;ROW()),minfo!$A:$M,COLUMN()-8,0),"")</f>
        <v>32238564</v>
      </c>
      <c r="U363" s="4" t="str">
        <f ca="1">_xlfn.IFNA(VLOOKUP(INDIRECT("G"&amp;ROW()),minfo!$A:$M,COLUMN()-8,0),"")</f>
        <v>音乐榜最高NO.15</v>
      </c>
    </row>
    <row r="364" spans="1:21" ht="15.75" customHeight="1">
      <c r="A364" s="15">
        <v>363</v>
      </c>
      <c r="B364" s="4" t="s">
        <v>3931</v>
      </c>
      <c r="C364" s="4">
        <v>364</v>
      </c>
      <c r="D364" s="4">
        <v>166</v>
      </c>
      <c r="E364" s="4" t="s">
        <v>1180</v>
      </c>
      <c r="F364" s="16">
        <v>45084</v>
      </c>
      <c r="G364" s="5" t="s">
        <v>1179</v>
      </c>
      <c r="H364" s="5" t="s">
        <v>3754</v>
      </c>
      <c r="I364" s="24" t="str">
        <f>HYPERLINK("https://www.bilibili.com/video/BV1cs4y1w7Lv?p=166", "BV1cs4y1w7Lv?p=166")</f>
        <v>BV1cs4y1w7Lv?p=166</v>
      </c>
      <c r="J364" s="4" t="str">
        <f ca="1">_xlfn.IFNA(VLOOKUP(INDIRECT("G"&amp;ROW()),minfo!$A:$M,COLUMN()-8,0),"")</f>
        <v>真实</v>
      </c>
      <c r="K364" s="4" t="str">
        <f ca="1">_xlfn.IFNA(VLOOKUP(INDIRECT("G"&amp;ROW()),minfo!$A:$M,COLUMN()-8,0),"")</f>
        <v>张惠妹</v>
      </c>
      <c r="L364" s="4">
        <f ca="1">_xlfn.IFNA(VLOOKUP(INDIRECT("G"&amp;ROW()),minfo!$A:$M,COLUMN()-8,0),"")</f>
        <v>0</v>
      </c>
      <c r="M364" s="4">
        <f ca="1">_xlfn.IFNA(VLOOKUP(INDIRECT("G"&amp;ROW()),minfo!$A:$M,COLUMN()-8,0),"")</f>
        <v>0</v>
      </c>
      <c r="N364" s="4">
        <f ca="1">_xlfn.IFNA(VLOOKUP(INDIRECT("G"&amp;ROW()),minfo!$A:$M,COLUMN()-8,0),"")</f>
        <v>0</v>
      </c>
      <c r="O364" s="4" t="str">
        <f ca="1">_xlfn.IFNA(VLOOKUP(INDIRECT("G"&amp;ROW()),minfo!$A:$M,COLUMN()-8,0),"")</f>
        <v>https://i0.hdslb.com/bfs/station_src/music_metadata/9f4eabc9a46c0571d7f7f67bb2ebab60.jpg</v>
      </c>
      <c r="P364" s="4" t="str">
        <f ca="1">_xlfn.IFNA(VLOOKUP(INDIRECT("G"&amp;ROW()),minfo!$A:$M,COLUMN()-8,0),"")</f>
        <v>https://i0.hdslb.com/bfs/station_src/music_metadata/bfc8e2894c10a612c011fcc912b0f45d.txt</v>
      </c>
      <c r="Q364" s="4">
        <f ca="1">_xlfn.IFNA(VLOOKUP(INDIRECT("G"&amp;ROW()),minfo!$A:$M,COLUMN()-8,0),"")</f>
        <v>17</v>
      </c>
      <c r="R364" s="4">
        <f ca="1">_xlfn.IFNA(VLOOKUP(INDIRECT("G"&amp;ROW()),minfo!$A:$M,COLUMN()-8,0),"")</f>
        <v>0</v>
      </c>
      <c r="S364" s="4" t="str">
        <f ca="1">_xlfn.IFNA(VLOOKUP(INDIRECT("G"&amp;ROW()),minfo!$A:$M,COLUMN()-8,0),"")</f>
        <v>真实</v>
      </c>
      <c r="T364" s="4">
        <f ca="1">_xlfn.IFNA(VLOOKUP(INDIRECT("G"&amp;ROW()),minfo!$A:$M,COLUMN()-8,0),"")</f>
        <v>6260891</v>
      </c>
      <c r="U364" s="4">
        <f ca="1">_xlfn.IFNA(VLOOKUP(INDIRECT("G"&amp;ROW()),minfo!$A:$M,COLUMN()-8,0),"")</f>
        <v>0</v>
      </c>
    </row>
    <row r="365" spans="1:21" ht="15.75" customHeight="1">
      <c r="A365" s="15">
        <v>364</v>
      </c>
      <c r="B365" s="4" t="s">
        <v>3932</v>
      </c>
      <c r="C365" s="4">
        <v>365</v>
      </c>
      <c r="D365" s="4">
        <v>167</v>
      </c>
      <c r="E365" s="4" t="s">
        <v>1184</v>
      </c>
      <c r="F365" s="16">
        <v>45084</v>
      </c>
      <c r="G365" s="5" t="s">
        <v>1183</v>
      </c>
      <c r="H365" s="5" t="s">
        <v>3754</v>
      </c>
      <c r="I365" s="24" t="str">
        <f>HYPERLINK("https://www.bilibili.com/video/BV1cs4y1w7Lv?p=167", "BV1cs4y1w7Lv?p=167")</f>
        <v>BV1cs4y1w7Lv?p=167</v>
      </c>
      <c r="J365" s="4" t="str">
        <f ca="1">_xlfn.IFNA(VLOOKUP(INDIRECT("G"&amp;ROW()),minfo!$A:$M,COLUMN()-8,0),"")</f>
        <v>喜欢寂寞</v>
      </c>
      <c r="K365" s="4" t="str">
        <f ca="1">_xlfn.IFNA(VLOOKUP(INDIRECT("G"&amp;ROW()),minfo!$A:$M,COLUMN()-8,0),"")</f>
        <v>苏打绿</v>
      </c>
      <c r="L365" s="4">
        <f ca="1">_xlfn.IFNA(VLOOKUP(INDIRECT("G"&amp;ROW()),minfo!$A:$M,COLUMN()-8,0),"")</f>
        <v>0</v>
      </c>
      <c r="M365" s="4">
        <f ca="1">_xlfn.IFNA(VLOOKUP(INDIRECT("G"&amp;ROW()),minfo!$A:$M,COLUMN()-8,0),"")</f>
        <v>0</v>
      </c>
      <c r="N365" s="4">
        <f ca="1">_xlfn.IFNA(VLOOKUP(INDIRECT("G"&amp;ROW()),minfo!$A:$M,COLUMN()-8,0),"")</f>
        <v>0</v>
      </c>
      <c r="O365" s="4" t="str">
        <f ca="1">_xlfn.IFNA(VLOOKUP(INDIRECT("G"&amp;ROW()),minfo!$A:$M,COLUMN()-8,0),"")</f>
        <v>https://i0.hdslb.com/bfs/station_src/music_metadata/d121c3715408b7ed00de8d570a7c5b94.jpg</v>
      </c>
      <c r="P365" s="4" t="str">
        <f ca="1">_xlfn.IFNA(VLOOKUP(INDIRECT("G"&amp;ROW()),minfo!$A:$M,COLUMN()-8,0),"")</f>
        <v>https://i0.hdslb.com/bfs/station_src/music_metadata/7751ffa790ea57dc1e90f19496ce8669.txt</v>
      </c>
      <c r="Q365" s="4">
        <f ca="1">_xlfn.IFNA(VLOOKUP(INDIRECT("G"&amp;ROW()),minfo!$A:$M,COLUMN()-8,0),"")</f>
        <v>13</v>
      </c>
      <c r="R365" s="4">
        <f ca="1">_xlfn.IFNA(VLOOKUP(INDIRECT("G"&amp;ROW()),minfo!$A:$M,COLUMN()-8,0),"")</f>
        <v>0</v>
      </c>
      <c r="S365" s="4" t="str">
        <f ca="1">_xlfn.IFNA(VLOOKUP(INDIRECT("G"&amp;ROW()),minfo!$A:$M,COLUMN()-8,0),"")</f>
        <v>2011 Hit Fm 年度百首单曲</v>
      </c>
      <c r="T365" s="4">
        <f ca="1">_xlfn.IFNA(VLOOKUP(INDIRECT("G"&amp;ROW()),minfo!$A:$M,COLUMN()-8,0),"")</f>
        <v>6139411</v>
      </c>
      <c r="U365" s="4">
        <f ca="1">_xlfn.IFNA(VLOOKUP(INDIRECT("G"&amp;ROW()),minfo!$A:$M,COLUMN()-8,0),"")</f>
        <v>0</v>
      </c>
    </row>
    <row r="366" spans="1:21" ht="15.75" customHeight="1">
      <c r="A366" s="15">
        <v>365</v>
      </c>
      <c r="B366" s="4" t="s">
        <v>3933</v>
      </c>
      <c r="C366" s="4">
        <v>366</v>
      </c>
      <c r="D366" s="4">
        <v>168</v>
      </c>
      <c r="E366" s="4" t="s">
        <v>1189</v>
      </c>
      <c r="F366" s="16">
        <v>45084</v>
      </c>
      <c r="G366" s="5" t="s">
        <v>1188</v>
      </c>
      <c r="H366" s="5" t="s">
        <v>3754</v>
      </c>
      <c r="I366" s="24" t="str">
        <f>HYPERLINK("https://www.bilibili.com/video/BV1cs4y1w7Lv?p=168", "BV1cs4y1w7Lv?p=168")</f>
        <v>BV1cs4y1w7Lv?p=168</v>
      </c>
      <c r="J366" s="4" t="str">
        <f ca="1">_xlfn.IFNA(VLOOKUP(INDIRECT("G"&amp;ROW()),minfo!$A:$M,COLUMN()-8,0),"")</f>
        <v>说爱你</v>
      </c>
      <c r="K366" s="4" t="str">
        <f ca="1">_xlfn.IFNA(VLOOKUP(INDIRECT("G"&amp;ROW()),minfo!$A:$M,COLUMN()-8,0),"")</f>
        <v>蔡依林</v>
      </c>
      <c r="L366" s="4">
        <f ca="1">_xlfn.IFNA(VLOOKUP(INDIRECT("G"&amp;ROW()),minfo!$A:$M,COLUMN()-8,0),"")</f>
        <v>0</v>
      </c>
      <c r="M366" s="4">
        <f ca="1">_xlfn.IFNA(VLOOKUP(INDIRECT("G"&amp;ROW()),minfo!$A:$M,COLUMN()-8,0),"")</f>
        <v>0</v>
      </c>
      <c r="N366" s="4">
        <f ca="1">_xlfn.IFNA(VLOOKUP(INDIRECT("G"&amp;ROW()),minfo!$A:$M,COLUMN()-8,0),"")</f>
        <v>0</v>
      </c>
      <c r="O366" s="4" t="str">
        <f ca="1">_xlfn.IFNA(VLOOKUP(INDIRECT("G"&amp;ROW()),minfo!$A:$M,COLUMN()-8,0),"")</f>
        <v>https://i0.hdslb.com/bfs/station_src/music_metadata/3621fc3954403bb184efcfbafd21b502.jpg</v>
      </c>
      <c r="P366" s="4" t="str">
        <f ca="1">_xlfn.IFNA(VLOOKUP(INDIRECT("G"&amp;ROW()),minfo!$A:$M,COLUMN()-8,0),"")</f>
        <v>http://i0.hdslb.com/bfs/station_src/music_metadata/bb178c4b292c14c83d2bc0c1bd004596</v>
      </c>
      <c r="Q366" s="4">
        <f ca="1">_xlfn.IFNA(VLOOKUP(INDIRECT("G"&amp;ROW()),minfo!$A:$M,COLUMN()-8,0),"")</f>
        <v>1269</v>
      </c>
      <c r="R366" s="4" t="str">
        <f ca="1">_xlfn.IFNA(VLOOKUP(INDIRECT("G"&amp;ROW()),minfo!$A:$M,COLUMN()-8,0),"")</f>
        <v>《空中拜金女》电影主题曲</v>
      </c>
      <c r="S366" s="4" t="str">
        <f ca="1">_xlfn.IFNA(VLOOKUP(INDIRECT("G"&amp;ROW()),minfo!$A:$M,COLUMN()-8,0),"")</f>
        <v>绝版公主蔡依林 Jolin梦绮地精选</v>
      </c>
      <c r="T366" s="4">
        <f ca="1">_xlfn.IFNA(VLOOKUP(INDIRECT("G"&amp;ROW()),minfo!$A:$M,COLUMN()-8,0),"")</f>
        <v>347528057</v>
      </c>
      <c r="U366" s="4">
        <f ca="1">_xlfn.IFNA(VLOOKUP(INDIRECT("G"&amp;ROW()),minfo!$A:$M,COLUMN()-8,0),"")</f>
        <v>0</v>
      </c>
    </row>
    <row r="367" spans="1:21" ht="15.75" customHeight="1">
      <c r="A367" s="15">
        <v>366</v>
      </c>
      <c r="B367" s="4" t="s">
        <v>3934</v>
      </c>
      <c r="C367" s="4">
        <v>367</v>
      </c>
      <c r="D367" s="4">
        <v>169</v>
      </c>
      <c r="E367" s="4" t="s">
        <v>1195</v>
      </c>
      <c r="F367" s="16">
        <v>45084</v>
      </c>
      <c r="G367" s="5" t="s">
        <v>1194</v>
      </c>
      <c r="H367" s="5" t="s">
        <v>3754</v>
      </c>
      <c r="I367" s="24" t="str">
        <f>HYPERLINK("https://www.bilibili.com/video/BV1cs4y1w7Lv?p=169", "BV1cs4y1w7Lv?p=169")</f>
        <v>BV1cs4y1w7Lv?p=169</v>
      </c>
      <c r="J367" s="4" t="str">
        <f ca="1">_xlfn.IFNA(VLOOKUP(INDIRECT("G"&amp;ROW()),minfo!$A:$M,COLUMN()-8,0),"")</f>
        <v>玫瑰少年</v>
      </c>
      <c r="K367" s="4" t="str">
        <f ca="1">_xlfn.IFNA(VLOOKUP(INDIRECT("G"&amp;ROW()),minfo!$A:$M,COLUMN()-8,0),"")</f>
        <v>蔡依林</v>
      </c>
      <c r="L367" s="4">
        <f ca="1">_xlfn.IFNA(VLOOKUP(INDIRECT("G"&amp;ROW()),minfo!$A:$M,COLUMN()-8,0),"")</f>
        <v>0</v>
      </c>
      <c r="M367" s="4">
        <f ca="1">_xlfn.IFNA(VLOOKUP(INDIRECT("G"&amp;ROW()),minfo!$A:$M,COLUMN()-8,0),"")</f>
        <v>0</v>
      </c>
      <c r="N367" s="4">
        <f ca="1">_xlfn.IFNA(VLOOKUP(INDIRECT("G"&amp;ROW()),minfo!$A:$M,COLUMN()-8,0),"")</f>
        <v>0</v>
      </c>
      <c r="O367" s="4" t="str">
        <f ca="1">_xlfn.IFNA(VLOOKUP(INDIRECT("G"&amp;ROW()),minfo!$A:$M,COLUMN()-8,0),"")</f>
        <v>https://i0.hdslb.com/bfs/station_src/music_metadata/e26fb9f9e30abbb3708ac3bc172da011.jpg</v>
      </c>
      <c r="P367" s="4" t="str">
        <f ca="1">_xlfn.IFNA(VLOOKUP(INDIRECT("G"&amp;ROW()),minfo!$A:$M,COLUMN()-8,0),"")</f>
        <v>http://i0.hdslb.com/bfs/station_src/music_metadata/2c4a40c50a0c450e80f1fa513e54a7f2</v>
      </c>
      <c r="Q367" s="4">
        <f ca="1">_xlfn.IFNA(VLOOKUP(INDIRECT("G"&amp;ROW()),minfo!$A:$M,COLUMN()-8,0),"")</f>
        <v>23031</v>
      </c>
      <c r="R367" s="4">
        <f ca="1">_xlfn.IFNA(VLOOKUP(INDIRECT("G"&amp;ROW()),minfo!$A:$M,COLUMN()-8,0),"")</f>
        <v>0</v>
      </c>
      <c r="S367" s="4" t="str">
        <f ca="1">_xlfn.IFNA(VLOOKUP(INDIRECT("G"&amp;ROW()),minfo!$A:$M,COLUMN()-8,0),"")</f>
        <v>UGLY BEAUTY</v>
      </c>
      <c r="T367" s="4">
        <f ca="1">_xlfn.IFNA(VLOOKUP(INDIRECT("G"&amp;ROW()),minfo!$A:$M,COLUMN()-8,0),"")</f>
        <v>1372935531</v>
      </c>
      <c r="U367" s="4" t="str">
        <f ca="1">_xlfn.IFNA(VLOOKUP(INDIRECT("G"&amp;ROW()),minfo!$A:$M,COLUMN()-8,0),"")</f>
        <v>音乐榜最高NO.6</v>
      </c>
    </row>
    <row r="368" spans="1:21" ht="15.75" customHeight="1">
      <c r="A368" s="15">
        <v>367</v>
      </c>
      <c r="B368" s="4" t="s">
        <v>3935</v>
      </c>
      <c r="C368" s="4">
        <v>368</v>
      </c>
      <c r="D368" s="4">
        <v>170</v>
      </c>
      <c r="E368" s="4" t="s">
        <v>1200</v>
      </c>
      <c r="F368" s="16">
        <v>45084</v>
      </c>
      <c r="G368" s="5" t="s">
        <v>1199</v>
      </c>
      <c r="H368" s="5" t="s">
        <v>3754</v>
      </c>
      <c r="I368" s="24" t="str">
        <f>HYPERLINK("https://www.bilibili.com/video/BV1cs4y1w7Lv?p=170", "BV1cs4y1w7Lv?p=170")</f>
        <v>BV1cs4y1w7Lv?p=170</v>
      </c>
      <c r="J368" s="4" t="str">
        <f ca="1">_xlfn.IFNA(VLOOKUP(INDIRECT("G"&amp;ROW()),minfo!$A:$M,COLUMN()-8,0),"")</f>
        <v>倒带</v>
      </c>
      <c r="K368" s="4" t="str">
        <f ca="1">_xlfn.IFNA(VLOOKUP(INDIRECT("G"&amp;ROW()),minfo!$A:$M,COLUMN()-8,0),"")</f>
        <v>蔡依林</v>
      </c>
      <c r="L368" s="4">
        <f ca="1">_xlfn.IFNA(VLOOKUP(INDIRECT("G"&amp;ROW()),minfo!$A:$M,COLUMN()-8,0),"")</f>
        <v>0</v>
      </c>
      <c r="M368" s="4">
        <f ca="1">_xlfn.IFNA(VLOOKUP(INDIRECT("G"&amp;ROW()),minfo!$A:$M,COLUMN()-8,0),"")</f>
        <v>0</v>
      </c>
      <c r="N368" s="4">
        <f ca="1">_xlfn.IFNA(VLOOKUP(INDIRECT("G"&amp;ROW()),minfo!$A:$M,COLUMN()-8,0),"")</f>
        <v>0</v>
      </c>
      <c r="O368" s="4" t="str">
        <f ca="1">_xlfn.IFNA(VLOOKUP(INDIRECT("G"&amp;ROW()),minfo!$A:$M,COLUMN()-8,0),"")</f>
        <v>https://i0.hdslb.com/bfs/station_src/music_metadata/b0737430027f7577d06aded5efccb00c.jpg</v>
      </c>
      <c r="P368" s="4" t="str">
        <f ca="1">_xlfn.IFNA(VLOOKUP(INDIRECT("G"&amp;ROW()),minfo!$A:$M,COLUMN()-8,0),"")</f>
        <v>https://i0.hdslb.com/bfs/station_src/music_metadata/b1d98419a305a33dbbce33238967f935.txt</v>
      </c>
      <c r="Q368" s="4">
        <f ca="1">_xlfn.IFNA(VLOOKUP(INDIRECT("G"&amp;ROW()),minfo!$A:$M,COLUMN()-8,0),"")</f>
        <v>320</v>
      </c>
      <c r="R368" s="4" t="str">
        <f ca="1">_xlfn.IFNA(VLOOKUP(INDIRECT("G"&amp;ROW()),minfo!$A:$M,COLUMN()-8,0),"")</f>
        <v>《求婚事务所》电视剧插曲</v>
      </c>
      <c r="S368" s="4" t="str">
        <f ca="1">_xlfn.IFNA(VLOOKUP(INDIRECT("G"&amp;ROW()),minfo!$A:$M,COLUMN()-8,0),"")</f>
        <v>城堡</v>
      </c>
      <c r="T368" s="4">
        <f ca="1">_xlfn.IFNA(VLOOKUP(INDIRECT("G"&amp;ROW()),minfo!$A:$M,COLUMN()-8,0),"")</f>
        <v>180093278</v>
      </c>
      <c r="U368" s="4">
        <f ca="1">_xlfn.IFNA(VLOOKUP(INDIRECT("G"&amp;ROW()),minfo!$A:$M,COLUMN()-8,0),"")</f>
        <v>0</v>
      </c>
    </row>
    <row r="369" spans="1:21" ht="15.75" customHeight="1">
      <c r="A369" s="15">
        <v>368</v>
      </c>
      <c r="B369" s="4" t="s">
        <v>3936</v>
      </c>
      <c r="C369" s="4">
        <v>369</v>
      </c>
      <c r="D369" s="4">
        <v>171</v>
      </c>
      <c r="E369" s="4" t="s">
        <v>1206</v>
      </c>
      <c r="F369" s="16">
        <v>45086</v>
      </c>
      <c r="G369" s="5" t="s">
        <v>1205</v>
      </c>
      <c r="H369" s="5" t="s">
        <v>3754</v>
      </c>
      <c r="I369" s="24" t="str">
        <f>HYPERLINK("https://www.bilibili.com/video/BV1cs4y1w7Lv?p=171", "BV1cs4y1w7Lv?p=171")</f>
        <v>BV1cs4y1w7Lv?p=171</v>
      </c>
      <c r="J369" s="4" t="str">
        <f ca="1">_xlfn.IFNA(VLOOKUP(INDIRECT("G"&amp;ROW()),minfo!$A:$M,COLUMN()-8,0),"")</f>
        <v>给我一个理由忘记</v>
      </c>
      <c r="K369" s="4" t="str">
        <f ca="1">_xlfn.IFNA(VLOOKUP(INDIRECT("G"&amp;ROW()),minfo!$A:$M,COLUMN()-8,0),"")</f>
        <v>A-Lin</v>
      </c>
      <c r="L369" s="4">
        <f ca="1">_xlfn.IFNA(VLOOKUP(INDIRECT("G"&amp;ROW()),minfo!$A:$M,COLUMN()-8,0),"")</f>
        <v>0</v>
      </c>
      <c r="M369" s="4">
        <f ca="1">_xlfn.IFNA(VLOOKUP(INDIRECT("G"&amp;ROW()),minfo!$A:$M,COLUMN()-8,0),"")</f>
        <v>0</v>
      </c>
      <c r="N369" s="4">
        <f ca="1">_xlfn.IFNA(VLOOKUP(INDIRECT("G"&amp;ROW()),minfo!$A:$M,COLUMN()-8,0),"")</f>
        <v>0</v>
      </c>
      <c r="O369" s="4" t="str">
        <f ca="1">_xlfn.IFNA(VLOOKUP(INDIRECT("G"&amp;ROW()),minfo!$A:$M,COLUMN()-8,0),"")</f>
        <v>http://i0.hdslb.com/bfs/station_src/music_metadata/bd76bf11fc6f5c6df48b11ced3d8af44.jpg</v>
      </c>
      <c r="P369" s="4" t="str">
        <f ca="1">_xlfn.IFNA(VLOOKUP(INDIRECT("G"&amp;ROW()),minfo!$A:$M,COLUMN()-8,0),"")</f>
        <v>http://i0.hdslb.com/bfs/station_src/music_metadata/36b0dd2ce9b34c735a4eceb168e31c57</v>
      </c>
      <c r="Q369" s="4">
        <f ca="1">_xlfn.IFNA(VLOOKUP(INDIRECT("G"&amp;ROW()),minfo!$A:$M,COLUMN()-8,0),"")</f>
        <v>388</v>
      </c>
      <c r="R369" s="4">
        <f ca="1">_xlfn.IFNA(VLOOKUP(INDIRECT("G"&amp;ROW()),minfo!$A:$M,COLUMN()-8,0),"")</f>
        <v>0</v>
      </c>
      <c r="S369" s="4" t="str">
        <f ca="1">_xlfn.IFNA(VLOOKUP(INDIRECT("G"&amp;ROW()),minfo!$A:$M,COLUMN()-8,0),"")</f>
        <v>寂寞不痛</v>
      </c>
      <c r="T369" s="4">
        <f ca="1">_xlfn.IFNA(VLOOKUP(INDIRECT("G"&amp;ROW()),minfo!$A:$M,COLUMN()-8,0),"")</f>
        <v>75022447</v>
      </c>
      <c r="U369" s="4">
        <f ca="1">_xlfn.IFNA(VLOOKUP(INDIRECT("G"&amp;ROW()),minfo!$A:$M,COLUMN()-8,0),"")</f>
        <v>0</v>
      </c>
    </row>
    <row r="370" spans="1:21" ht="15.75" customHeight="1">
      <c r="A370" s="15">
        <v>369</v>
      </c>
      <c r="B370" s="4" t="s">
        <v>3937</v>
      </c>
      <c r="C370" s="4">
        <v>370</v>
      </c>
      <c r="D370" s="4">
        <v>172</v>
      </c>
      <c r="E370" s="4" t="s">
        <v>786</v>
      </c>
      <c r="F370" s="16">
        <v>45086</v>
      </c>
      <c r="G370" s="5" t="s">
        <v>785</v>
      </c>
      <c r="H370" s="5" t="s">
        <v>3754</v>
      </c>
      <c r="I370" s="24" t="str">
        <f>HYPERLINK("https://www.bilibili.com/video/BV1cs4y1w7Lv?p=172", "BV1cs4y1w7Lv?p=172")</f>
        <v>BV1cs4y1w7Lv?p=172</v>
      </c>
      <c r="J370" s="4" t="str">
        <f ca="1">_xlfn.IFNA(VLOOKUP(INDIRECT("G"&amp;ROW()),minfo!$A:$M,COLUMN()-8,0),"")</f>
        <v>浪漫血液</v>
      </c>
      <c r="K370" s="4" t="str">
        <f ca="1">_xlfn.IFNA(VLOOKUP(INDIRECT("G"&amp;ROW()),minfo!$A:$M,COLUMN()-8,0),"")</f>
        <v>林俊杰</v>
      </c>
      <c r="L370" s="4">
        <f ca="1">_xlfn.IFNA(VLOOKUP(INDIRECT("G"&amp;ROW()),minfo!$A:$M,COLUMN()-8,0),"")</f>
        <v>0</v>
      </c>
      <c r="M370" s="4">
        <f ca="1">_xlfn.IFNA(VLOOKUP(INDIRECT("G"&amp;ROW()),minfo!$A:$M,COLUMN()-8,0),"")</f>
        <v>0</v>
      </c>
      <c r="N370" s="4">
        <f ca="1">_xlfn.IFNA(VLOOKUP(INDIRECT("G"&amp;ROW()),minfo!$A:$M,COLUMN()-8,0),"")</f>
        <v>0</v>
      </c>
      <c r="O370" s="4" t="str">
        <f ca="1">_xlfn.IFNA(VLOOKUP(INDIRECT("G"&amp;ROW()),minfo!$A:$M,COLUMN()-8,0),"")</f>
        <v>https://i0.hdslb.com/bfs/station_src/music_metadata/df4cb70c4afd251b03add35ca9a9908e.jpg</v>
      </c>
      <c r="P370" s="4" t="str">
        <f ca="1">_xlfn.IFNA(VLOOKUP(INDIRECT("G"&amp;ROW()),minfo!$A:$M,COLUMN()-8,0),"")</f>
        <v>http://i0.hdslb.com/bfs/station_src/music_metadata/1681acdfafc8cdc08a44ca96f53471a4</v>
      </c>
      <c r="Q370" s="4">
        <f ca="1">_xlfn.IFNA(VLOOKUP(INDIRECT("G"&amp;ROW()),minfo!$A:$M,COLUMN()-8,0),"")</f>
        <v>1583</v>
      </c>
      <c r="R370" s="4">
        <f ca="1">_xlfn.IFNA(VLOOKUP(INDIRECT("G"&amp;ROW()),minfo!$A:$M,COLUMN()-8,0),"")</f>
        <v>0</v>
      </c>
      <c r="S370" s="4" t="str">
        <f ca="1">_xlfn.IFNA(VLOOKUP(INDIRECT("G"&amp;ROW()),minfo!$A:$M,COLUMN()-8,0),"")</f>
        <v>新地球</v>
      </c>
      <c r="T370" s="4">
        <f ca="1">_xlfn.IFNA(VLOOKUP(INDIRECT("G"&amp;ROW()),minfo!$A:$M,COLUMN()-8,0),"")</f>
        <v>140930479</v>
      </c>
      <c r="U370" s="4">
        <f ca="1">_xlfn.IFNA(VLOOKUP(INDIRECT("G"&amp;ROW()),minfo!$A:$M,COLUMN()-8,0),"")</f>
        <v>0</v>
      </c>
    </row>
    <row r="371" spans="1:21" ht="15.75" customHeight="1">
      <c r="A371" s="15">
        <v>370</v>
      </c>
      <c r="B371" s="4" t="s">
        <v>3938</v>
      </c>
      <c r="C371" s="4">
        <v>371</v>
      </c>
      <c r="D371" s="4">
        <v>173</v>
      </c>
      <c r="E371" s="4" t="s">
        <v>516</v>
      </c>
      <c r="F371" s="16">
        <v>45086</v>
      </c>
      <c r="G371" s="5" t="s">
        <v>515</v>
      </c>
      <c r="H371" s="5" t="s">
        <v>3754</v>
      </c>
      <c r="I371" s="24" t="str">
        <f>HYPERLINK("https://www.bilibili.com/video/BV1cs4y1w7Lv?p=173", "BV1cs4y1w7Lv?p=173")</f>
        <v>BV1cs4y1w7Lv?p=173</v>
      </c>
      <c r="J371" s="4" t="str">
        <f ca="1">_xlfn.IFNA(VLOOKUP(INDIRECT("G"&amp;ROW()),minfo!$A:$M,COLUMN()-8,0),"")</f>
        <v>三人游</v>
      </c>
      <c r="K371" s="4" t="str">
        <f ca="1">_xlfn.IFNA(VLOOKUP(INDIRECT("G"&amp;ROW()),minfo!$A:$M,COLUMN()-8,0),"")</f>
        <v>方大同</v>
      </c>
      <c r="L371" s="4">
        <f ca="1">_xlfn.IFNA(VLOOKUP(INDIRECT("G"&amp;ROW()),minfo!$A:$M,COLUMN()-8,0),"")</f>
        <v>0</v>
      </c>
      <c r="M371" s="4">
        <f ca="1">_xlfn.IFNA(VLOOKUP(INDIRECT("G"&amp;ROW()),minfo!$A:$M,COLUMN()-8,0),"")</f>
        <v>0</v>
      </c>
      <c r="N371" s="4">
        <f ca="1">_xlfn.IFNA(VLOOKUP(INDIRECT("G"&amp;ROW()),minfo!$A:$M,COLUMN()-8,0),"")</f>
        <v>0</v>
      </c>
      <c r="O371" s="4" t="str">
        <f ca="1">_xlfn.IFNA(VLOOKUP(INDIRECT("G"&amp;ROW()),minfo!$A:$M,COLUMN()-8,0),"")</f>
        <v>http://i0.hdslb.com/bfs/station_src/music_metadata/b7f19bb4d6950ea8c340e7a28a34d747.jpg</v>
      </c>
      <c r="P371" s="4" t="str">
        <f ca="1">_xlfn.IFNA(VLOOKUP(INDIRECT("G"&amp;ROW()),minfo!$A:$M,COLUMN()-8,0),"")</f>
        <v>http://i0.hdslb.com/bfs/station_src/music_metadata/c983d086e43b8e108518877649db4439</v>
      </c>
      <c r="Q371" s="4">
        <f ca="1">_xlfn.IFNA(VLOOKUP(INDIRECT("G"&amp;ROW()),minfo!$A:$M,COLUMN()-8,0),"")</f>
        <v>210</v>
      </c>
      <c r="R371" s="4" t="str">
        <f ca="1">_xlfn.IFNA(VLOOKUP(INDIRECT("G"&amp;ROW()),minfo!$A:$M,COLUMN()-8,0),"")</f>
        <v>《冬季恋歌》韩剧中文版主题曲</v>
      </c>
      <c r="S371" s="4" t="str">
        <f ca="1">_xlfn.IFNA(VLOOKUP(INDIRECT("G"&amp;ROW()),minfo!$A:$M,COLUMN()-8,0),"")</f>
        <v>橙月</v>
      </c>
      <c r="T371" s="4">
        <f ca="1">_xlfn.IFNA(VLOOKUP(INDIRECT("G"&amp;ROW()),minfo!$A:$M,COLUMN()-8,0),"")</f>
        <v>33115292</v>
      </c>
      <c r="U371" s="4">
        <f ca="1">_xlfn.IFNA(VLOOKUP(INDIRECT("G"&amp;ROW()),minfo!$A:$M,COLUMN()-8,0),"")</f>
        <v>0</v>
      </c>
    </row>
    <row r="372" spans="1:21" ht="15.75" customHeight="1">
      <c r="A372" s="15">
        <v>371</v>
      </c>
      <c r="B372" s="4" t="s">
        <v>3939</v>
      </c>
      <c r="C372" s="4">
        <v>372</v>
      </c>
      <c r="D372" s="4">
        <v>174</v>
      </c>
      <c r="E372" s="4" t="s">
        <v>378</v>
      </c>
      <c r="F372" s="16">
        <v>45086</v>
      </c>
      <c r="G372" s="5" t="s">
        <v>1210</v>
      </c>
      <c r="H372" s="5" t="s">
        <v>3754</v>
      </c>
      <c r="I372" s="24" t="str">
        <f>HYPERLINK("https://www.bilibili.com/video/BV1cs4y1w7Lv?p=174", "BV1cs4y1w7Lv?p=174")</f>
        <v>BV1cs4y1w7Lv?p=174</v>
      </c>
      <c r="J372" s="4" t="str">
        <f ca="1">_xlfn.IFNA(VLOOKUP(INDIRECT("G"&amp;ROW()),minfo!$A:$M,COLUMN()-8,0),"")</f>
        <v>我很忙</v>
      </c>
      <c r="K372" s="4" t="str">
        <f ca="1">_xlfn.IFNA(VLOOKUP(INDIRECT("G"&amp;ROW()),minfo!$A:$M,COLUMN()-8,0),"")</f>
        <v>黄丽玲</v>
      </c>
      <c r="L372" s="4">
        <f ca="1">_xlfn.IFNA(VLOOKUP(INDIRECT("G"&amp;ROW()),minfo!$A:$M,COLUMN()-8,0),"")</f>
        <v>0</v>
      </c>
      <c r="M372" s="4">
        <f ca="1">_xlfn.IFNA(VLOOKUP(INDIRECT("G"&amp;ROW()),minfo!$A:$M,COLUMN()-8,0),"")</f>
        <v>0</v>
      </c>
      <c r="N372" s="4">
        <f ca="1">_xlfn.IFNA(VLOOKUP(INDIRECT("G"&amp;ROW()),minfo!$A:$M,COLUMN()-8,0),"")</f>
        <v>0</v>
      </c>
      <c r="O372" s="4" t="str">
        <f ca="1">_xlfn.IFNA(VLOOKUP(INDIRECT("G"&amp;ROW()),minfo!$A:$M,COLUMN()-8,0),"")</f>
        <v>https://i0.hdslb.com/bfs/station_src/music_metadata/48397dbb63cd5969dc63b01aa1d0d8a5.jpg</v>
      </c>
      <c r="P372" s="4" t="str">
        <f ca="1">_xlfn.IFNA(VLOOKUP(INDIRECT("G"&amp;ROW()),minfo!$A:$M,COLUMN()-8,0),"")</f>
        <v>https://i0.hdslb.com/bfs/station_src/music_metadata/bd60b926118ad39fd6e624910ce0f5b5.txt</v>
      </c>
      <c r="Q372" s="4">
        <f ca="1">_xlfn.IFNA(VLOOKUP(INDIRECT("G"&amp;ROW()),minfo!$A:$M,COLUMN()-8,0),"")</f>
        <v>2</v>
      </c>
      <c r="R372" s="4">
        <f ca="1">_xlfn.IFNA(VLOOKUP(INDIRECT("G"&amp;ROW()),minfo!$A:$M,COLUMN()-8,0),"")</f>
        <v>0</v>
      </c>
      <c r="S372" s="4" t="str">
        <f ca="1">_xlfn.IFNA(VLOOKUP(INDIRECT("G"&amp;ROW()),minfo!$A:$M,COLUMN()-8,0),"")</f>
        <v>我们会更好的</v>
      </c>
      <c r="T372" s="4">
        <f ca="1">_xlfn.IFNA(VLOOKUP(INDIRECT("G"&amp;ROW()),minfo!$A:$M,COLUMN()-8,0),"")</f>
        <v>2445092</v>
      </c>
      <c r="U372" s="4">
        <f ca="1">_xlfn.IFNA(VLOOKUP(INDIRECT("G"&amp;ROW()),minfo!$A:$M,COLUMN()-8,0),"")</f>
        <v>0</v>
      </c>
    </row>
    <row r="373" spans="1:21" ht="15.75" customHeight="1">
      <c r="A373" s="15">
        <v>372</v>
      </c>
      <c r="B373" s="4" t="s">
        <v>3940</v>
      </c>
      <c r="C373" s="4">
        <v>373</v>
      </c>
      <c r="D373" s="4">
        <v>175</v>
      </c>
      <c r="E373" s="4" t="s">
        <v>696</v>
      </c>
      <c r="F373" s="16">
        <v>45088</v>
      </c>
      <c r="G373" s="5" t="s">
        <v>695</v>
      </c>
      <c r="H373" s="5" t="s">
        <v>3754</v>
      </c>
      <c r="I373" s="24" t="str">
        <f>HYPERLINK("https://www.bilibili.com/video/BV1cs4y1w7Lv?p=175", "BV1cs4y1w7Lv?p=175")</f>
        <v>BV1cs4y1w7Lv?p=175</v>
      </c>
      <c r="J373" s="4" t="str">
        <f ca="1">_xlfn.IFNA(VLOOKUP(INDIRECT("G"&amp;ROW()),minfo!$A:$M,COLUMN()-8,0),"")</f>
        <v>分身</v>
      </c>
      <c r="K373" s="4" t="str">
        <f ca="1">_xlfn.IFNA(VLOOKUP(INDIRECT("G"&amp;ROW()),minfo!$A:$M,COLUMN()-8,0),"")</f>
        <v>单依纯</v>
      </c>
      <c r="L373" s="4">
        <f ca="1">_xlfn.IFNA(VLOOKUP(INDIRECT("G"&amp;ROW()),minfo!$A:$M,COLUMN()-8,0),"")</f>
        <v>0</v>
      </c>
      <c r="M373" s="4">
        <f ca="1">_xlfn.IFNA(VLOOKUP(INDIRECT("G"&amp;ROW()),minfo!$A:$M,COLUMN()-8,0),"")</f>
        <v>0</v>
      </c>
      <c r="N373" s="4">
        <f ca="1">_xlfn.IFNA(VLOOKUP(INDIRECT("G"&amp;ROW()),minfo!$A:$M,COLUMN()-8,0),"")</f>
        <v>0</v>
      </c>
      <c r="O373" s="4" t="str">
        <f ca="1">_xlfn.IFNA(VLOOKUP(INDIRECT("G"&amp;ROW()),minfo!$A:$M,COLUMN()-8,0),"")</f>
        <v>http://i0.hdslb.com/bfs/station_src/music_metadata/0fd80cf4360670d154b7c8c64ae7abde.jpg</v>
      </c>
      <c r="P373" s="4">
        <f ca="1">_xlfn.IFNA(VLOOKUP(INDIRECT("G"&amp;ROW()),minfo!$A:$M,COLUMN()-8,0),"")</f>
        <v>0</v>
      </c>
      <c r="Q373" s="4">
        <f ca="1">_xlfn.IFNA(VLOOKUP(INDIRECT("G"&amp;ROW()),minfo!$A:$M,COLUMN()-8,0),"")</f>
        <v>13</v>
      </c>
      <c r="R373" s="4">
        <f ca="1">_xlfn.IFNA(VLOOKUP(INDIRECT("G"&amp;ROW()),minfo!$A:$M,COLUMN()-8,0),"")</f>
        <v>0</v>
      </c>
      <c r="S373" s="4" t="str">
        <f ca="1">_xlfn.IFNA(VLOOKUP(INDIRECT("G"&amp;ROW()),minfo!$A:$M,COLUMN()-8,0),"")</f>
        <v>分身</v>
      </c>
      <c r="T373" s="4">
        <f ca="1">_xlfn.IFNA(VLOOKUP(INDIRECT("G"&amp;ROW()),minfo!$A:$M,COLUMN()-8,0),"")</f>
        <v>3245965</v>
      </c>
      <c r="U373" s="4">
        <f ca="1">_xlfn.IFNA(VLOOKUP(INDIRECT("G"&amp;ROW()),minfo!$A:$M,COLUMN()-8,0),"")</f>
        <v>0</v>
      </c>
    </row>
    <row r="374" spans="1:21" ht="15.75" customHeight="1">
      <c r="A374" s="15">
        <v>373</v>
      </c>
      <c r="B374" s="4" t="s">
        <v>3941</v>
      </c>
      <c r="C374" s="4">
        <v>374</v>
      </c>
      <c r="D374" s="4">
        <v>176</v>
      </c>
      <c r="E374" s="4" t="s">
        <v>14</v>
      </c>
      <c r="F374" s="16">
        <v>45088</v>
      </c>
      <c r="G374" s="5" t="s">
        <v>13</v>
      </c>
      <c r="H374" s="5" t="s">
        <v>3754</v>
      </c>
      <c r="I374" s="24" t="str">
        <f>HYPERLINK("https://www.bilibili.com/video/BV1cs4y1w7Lv?p=176", "BV1cs4y1w7Lv?p=176")</f>
        <v>BV1cs4y1w7Lv?p=176</v>
      </c>
      <c r="J374" s="4" t="str">
        <f ca="1">_xlfn.IFNA(VLOOKUP(INDIRECT("G"&amp;ROW()),minfo!$A:$M,COLUMN()-8,0),"")</f>
        <v>瓦解</v>
      </c>
      <c r="K374" s="4" t="str">
        <f ca="1">_xlfn.IFNA(VLOOKUP(INDIRECT("G"&amp;ROW()),minfo!$A:$M,COLUMN()-8,0),"")</f>
        <v>南拳妈妈</v>
      </c>
      <c r="L374" s="4">
        <f ca="1">_xlfn.IFNA(VLOOKUP(INDIRECT("G"&amp;ROW()),minfo!$A:$M,COLUMN()-8,0),"")</f>
        <v>0</v>
      </c>
      <c r="M374" s="4">
        <f ca="1">_xlfn.IFNA(VLOOKUP(INDIRECT("G"&amp;ROW()),minfo!$A:$M,COLUMN()-8,0),"")</f>
        <v>0</v>
      </c>
      <c r="N374" s="4">
        <f ca="1">_xlfn.IFNA(VLOOKUP(INDIRECT("G"&amp;ROW()),minfo!$A:$M,COLUMN()-8,0),"")</f>
        <v>0</v>
      </c>
      <c r="O374" s="4" t="str">
        <f ca="1">_xlfn.IFNA(VLOOKUP(INDIRECT("G"&amp;ROW()),minfo!$A:$M,COLUMN()-8,0),"")</f>
        <v>https://i0.hdslb.com/bfs/station_src/music_metadata/284aedba73bbb46dd43548a108598c32.jpg</v>
      </c>
      <c r="P374" s="4" t="str">
        <f ca="1">_xlfn.IFNA(VLOOKUP(INDIRECT("G"&amp;ROW()),minfo!$A:$M,COLUMN()-8,0),"")</f>
        <v>http://i0.hdslb.com/bfs/station_src/music_metadata/4d7bef88af4faa856325802b023ef85e</v>
      </c>
      <c r="Q374" s="4">
        <f ca="1">_xlfn.IFNA(VLOOKUP(INDIRECT("G"&amp;ROW()),minfo!$A:$M,COLUMN()-8,0),"")</f>
        <v>129</v>
      </c>
      <c r="R374" s="4">
        <f ca="1">_xlfn.IFNA(VLOOKUP(INDIRECT("G"&amp;ROW()),minfo!$A:$M,COLUMN()-8,0),"")</f>
        <v>0</v>
      </c>
      <c r="S374" s="4" t="str">
        <f ca="1">_xlfn.IFNA(VLOOKUP(INDIRECT("G"&amp;ROW()),minfo!$A:$M,COLUMN()-8,0),"")</f>
        <v>南拳妈妈的夏天</v>
      </c>
      <c r="T374" s="4">
        <f ca="1">_xlfn.IFNA(VLOOKUP(INDIRECT("G"&amp;ROW()),minfo!$A:$M,COLUMN()-8,0),"")</f>
        <v>122109069</v>
      </c>
      <c r="U374" s="4">
        <f ca="1">_xlfn.IFNA(VLOOKUP(INDIRECT("G"&amp;ROW()),minfo!$A:$M,COLUMN()-8,0),"")</f>
        <v>0</v>
      </c>
    </row>
    <row r="375" spans="1:21" ht="15.75" customHeight="1">
      <c r="A375" s="15">
        <v>374</v>
      </c>
      <c r="B375" s="4" t="s">
        <v>3942</v>
      </c>
      <c r="C375" s="4">
        <v>375</v>
      </c>
      <c r="D375" s="4">
        <v>177</v>
      </c>
      <c r="E375" s="4" t="s">
        <v>136</v>
      </c>
      <c r="F375" s="16">
        <v>45088</v>
      </c>
      <c r="G375" s="5" t="s">
        <v>136</v>
      </c>
      <c r="H375" s="5" t="s">
        <v>3754</v>
      </c>
      <c r="I375" s="24" t="str">
        <f>HYPERLINK("https://www.bilibili.com/video/BV1cs4y1w7Lv?p=177", "BV1cs4y1w7Lv?p=177")</f>
        <v>BV1cs4y1w7Lv?p=177</v>
      </c>
      <c r="J375" s="4" t="str">
        <f ca="1">_xlfn.IFNA(VLOOKUP(INDIRECT("G"&amp;ROW()),minfo!$A:$M,COLUMN()-8,0),"")</f>
        <v>续写</v>
      </c>
      <c r="K375" s="4" t="str">
        <f ca="1">_xlfn.IFNA(VLOOKUP(INDIRECT("G"&amp;ROW()),minfo!$A:$M,COLUMN()-8,0),"")</f>
        <v>单依纯</v>
      </c>
      <c r="L375" s="4">
        <f ca="1">_xlfn.IFNA(VLOOKUP(INDIRECT("G"&amp;ROW()),minfo!$A:$M,COLUMN()-8,0),"")</f>
        <v>0</v>
      </c>
      <c r="M375" s="4">
        <f ca="1">_xlfn.IFNA(VLOOKUP(INDIRECT("G"&amp;ROW()),minfo!$A:$M,COLUMN()-8,0),"")</f>
        <v>0</v>
      </c>
      <c r="N375" s="4">
        <f ca="1">_xlfn.IFNA(VLOOKUP(INDIRECT("G"&amp;ROW()),minfo!$A:$M,COLUMN()-8,0),"")</f>
        <v>0</v>
      </c>
      <c r="O375" s="4">
        <f ca="1">_xlfn.IFNA(VLOOKUP(INDIRECT("G"&amp;ROW()),minfo!$A:$M,COLUMN()-8,0),"")</f>
        <v>0</v>
      </c>
      <c r="P375" s="4">
        <f ca="1">_xlfn.IFNA(VLOOKUP(INDIRECT("G"&amp;ROW()),minfo!$A:$M,COLUMN()-8,0),"")</f>
        <v>0</v>
      </c>
      <c r="Q375" s="4">
        <f ca="1">_xlfn.IFNA(VLOOKUP(INDIRECT("G"&amp;ROW()),minfo!$A:$M,COLUMN()-8,0),"")</f>
        <v>0</v>
      </c>
      <c r="R375" s="4">
        <f ca="1">_xlfn.IFNA(VLOOKUP(INDIRECT("G"&amp;ROW()),minfo!$A:$M,COLUMN()-8,0),"")</f>
        <v>0</v>
      </c>
      <c r="S375" s="4">
        <f ca="1">_xlfn.IFNA(VLOOKUP(INDIRECT("G"&amp;ROW()),minfo!$A:$M,COLUMN()-8,0),"")</f>
        <v>0</v>
      </c>
      <c r="T375" s="4">
        <f ca="1">_xlfn.IFNA(VLOOKUP(INDIRECT("G"&amp;ROW()),minfo!$A:$M,COLUMN()-8,0),"")</f>
        <v>0</v>
      </c>
      <c r="U375" s="4">
        <f ca="1">_xlfn.IFNA(VLOOKUP(INDIRECT("G"&amp;ROW()),minfo!$A:$M,COLUMN()-8,0),"")</f>
        <v>0</v>
      </c>
    </row>
    <row r="376" spans="1:21" ht="15.75" customHeight="1">
      <c r="A376" s="15">
        <v>375</v>
      </c>
      <c r="B376" s="4" t="s">
        <v>3943</v>
      </c>
      <c r="C376" s="4">
        <v>376</v>
      </c>
      <c r="D376" s="4">
        <v>178</v>
      </c>
      <c r="E376" s="4" t="s">
        <v>640</v>
      </c>
      <c r="F376" s="16">
        <v>45091</v>
      </c>
      <c r="G376" s="5" t="s">
        <v>838</v>
      </c>
      <c r="H376" s="5" t="s">
        <v>3754</v>
      </c>
      <c r="I376" s="24" t="str">
        <f>HYPERLINK("https://www.bilibili.com/video/BV1cs4y1w7Lv?p=178", "BV1cs4y1w7Lv?p=178")</f>
        <v>BV1cs4y1w7Lv?p=178</v>
      </c>
      <c r="J376" s="4" t="str">
        <f ca="1">_xlfn.IFNA(VLOOKUP(INDIRECT("G"&amp;ROW()),minfo!$A:$M,COLUMN()-8,0),"")</f>
        <v>七里香</v>
      </c>
      <c r="K376" s="4" t="str">
        <f ca="1">_xlfn.IFNA(VLOOKUP(INDIRECT("G"&amp;ROW()),minfo!$A:$M,COLUMN()-8,0),"")</f>
        <v>周杰伦</v>
      </c>
      <c r="L376" s="4">
        <f ca="1">_xlfn.IFNA(VLOOKUP(INDIRECT("G"&amp;ROW()),minfo!$A:$M,COLUMN()-8,0),"")</f>
        <v>0</v>
      </c>
      <c r="M376" s="4">
        <f ca="1">_xlfn.IFNA(VLOOKUP(INDIRECT("G"&amp;ROW()),minfo!$A:$M,COLUMN()-8,0),"")</f>
        <v>6714</v>
      </c>
      <c r="N376" s="4">
        <f ca="1">_xlfn.IFNA(VLOOKUP(INDIRECT("G"&amp;ROW()),minfo!$A:$M,COLUMN()-8,0),"")</f>
        <v>200</v>
      </c>
      <c r="O376" s="4" t="str">
        <f ca="1">_xlfn.IFNA(VLOOKUP(INDIRECT("G"&amp;ROW()),minfo!$A:$M,COLUMN()-8,0),"")</f>
        <v>https://i0.hdslb.com/bfs/station_src/music_metadata/cc542b9d467cfc48aecb420fa38f29a5.jpg</v>
      </c>
      <c r="P376" s="4">
        <f ca="1">_xlfn.IFNA(VLOOKUP(INDIRECT("G"&amp;ROW()),minfo!$A:$M,COLUMN()-8,0),"")</f>
        <v>0</v>
      </c>
      <c r="Q376" s="4">
        <f ca="1">_xlfn.IFNA(VLOOKUP(INDIRECT("G"&amp;ROW()),minfo!$A:$M,COLUMN()-8,0),"")</f>
        <v>13878</v>
      </c>
      <c r="R376" s="4">
        <f ca="1">_xlfn.IFNA(VLOOKUP(INDIRECT("G"&amp;ROW()),minfo!$A:$M,COLUMN()-8,0),"")</f>
        <v>0</v>
      </c>
      <c r="S376" s="4" t="str">
        <f ca="1">_xlfn.IFNA(VLOOKUP(INDIRECT("G"&amp;ROW()),minfo!$A:$M,COLUMN()-8,0),"")</f>
        <v>七里香</v>
      </c>
      <c r="T376" s="4">
        <f ca="1">_xlfn.IFNA(VLOOKUP(INDIRECT("G"&amp;ROW()),minfo!$A:$M,COLUMN()-8,0),"")</f>
        <v>1124988076</v>
      </c>
      <c r="U376" s="4" t="str">
        <f ca="1">_xlfn.IFNA(VLOOKUP(INDIRECT("G"&amp;ROW()),minfo!$A:$M,COLUMN()-8,0),"")</f>
        <v>音乐榜最高NO.17</v>
      </c>
    </row>
    <row r="377" spans="1:21" ht="15.75" customHeight="1">
      <c r="A377" s="15">
        <v>376</v>
      </c>
      <c r="B377" s="4" t="s">
        <v>3944</v>
      </c>
      <c r="C377" s="4">
        <v>377</v>
      </c>
      <c r="D377" s="4">
        <v>179</v>
      </c>
      <c r="E377" s="4" t="s">
        <v>989</v>
      </c>
      <c r="F377" s="16">
        <v>45092</v>
      </c>
      <c r="G377" s="5" t="s">
        <v>988</v>
      </c>
      <c r="H377" s="5" t="s">
        <v>3754</v>
      </c>
      <c r="I377" s="24" t="str">
        <f>HYPERLINK("https://www.bilibili.com/video/BV1cs4y1w7Lv?p=179", "BV1cs4y1w7Lv?p=179")</f>
        <v>BV1cs4y1w7Lv?p=179</v>
      </c>
      <c r="J377" s="4" t="str">
        <f ca="1">_xlfn.IFNA(VLOOKUP(INDIRECT("G"&amp;ROW()),minfo!$A:$M,COLUMN()-8,0),"")</f>
        <v>我落泪情绪零碎</v>
      </c>
      <c r="K377" s="4" t="str">
        <f ca="1">_xlfn.IFNA(VLOOKUP(INDIRECT("G"&amp;ROW()),minfo!$A:$M,COLUMN()-8,0),"")</f>
        <v>周杰伦</v>
      </c>
      <c r="L377" s="4">
        <f ca="1">_xlfn.IFNA(VLOOKUP(INDIRECT("G"&amp;ROW()),minfo!$A:$M,COLUMN()-8,0),"")</f>
        <v>0</v>
      </c>
      <c r="M377" s="4">
        <f ca="1">_xlfn.IFNA(VLOOKUP(INDIRECT("G"&amp;ROW()),minfo!$A:$M,COLUMN()-8,0),"")</f>
        <v>0</v>
      </c>
      <c r="N377" s="4">
        <f ca="1">_xlfn.IFNA(VLOOKUP(INDIRECT("G"&amp;ROW()),minfo!$A:$M,COLUMN()-8,0),"")</f>
        <v>0</v>
      </c>
      <c r="O377" s="4" t="str">
        <f ca="1">_xlfn.IFNA(VLOOKUP(INDIRECT("G"&amp;ROW()),minfo!$A:$M,COLUMN()-8,0),"")</f>
        <v>https://i0.hdslb.com/bfs/station_src/music_metadata/c090e975b37d51a19f23549ae9b7344d.jpg</v>
      </c>
      <c r="P377" s="4" t="str">
        <f ca="1">_xlfn.IFNA(VLOOKUP(INDIRECT("G"&amp;ROW()),minfo!$A:$M,COLUMN()-8,0),"")</f>
        <v>http://i0.hdslb.com/bfs/station_src/music_metadata/84edd7241faa035334b93a365b512d07</v>
      </c>
      <c r="Q377" s="4">
        <f ca="1">_xlfn.IFNA(VLOOKUP(INDIRECT("G"&amp;ROW()),minfo!$A:$M,COLUMN()-8,0),"")</f>
        <v>6076</v>
      </c>
      <c r="R377" s="4">
        <f ca="1">_xlfn.IFNA(VLOOKUP(INDIRECT("G"&amp;ROW()),minfo!$A:$M,COLUMN()-8,0),"")</f>
        <v>0</v>
      </c>
      <c r="S377" s="4" t="str">
        <f ca="1">_xlfn.IFNA(VLOOKUP(INDIRECT("G"&amp;ROW()),minfo!$A:$M,COLUMN()-8,0),"")</f>
        <v>跨时代</v>
      </c>
      <c r="T377" s="4">
        <f ca="1">_xlfn.IFNA(VLOOKUP(INDIRECT("G"&amp;ROW()),minfo!$A:$M,COLUMN()-8,0),"")</f>
        <v>448639596</v>
      </c>
      <c r="U377" s="4">
        <f ca="1">_xlfn.IFNA(VLOOKUP(INDIRECT("G"&amp;ROW()),minfo!$A:$M,COLUMN()-8,0),"")</f>
        <v>0</v>
      </c>
    </row>
    <row r="378" spans="1:21" ht="15.75" customHeight="1">
      <c r="A378" s="15">
        <v>377</v>
      </c>
      <c r="B378" s="4" t="s">
        <v>3945</v>
      </c>
      <c r="C378" s="4">
        <v>378</v>
      </c>
      <c r="D378" s="4">
        <v>180</v>
      </c>
      <c r="E378" s="4" t="s">
        <v>136</v>
      </c>
      <c r="F378" s="16">
        <v>45094</v>
      </c>
      <c r="G378" s="5" t="s">
        <v>136</v>
      </c>
      <c r="H378" s="5" t="s">
        <v>3754</v>
      </c>
      <c r="I378" s="24" t="str">
        <f>HYPERLINK("https://www.bilibili.com/video/BV1cs4y1w7Lv?p=180", "BV1cs4y1w7Lv?p=180")</f>
        <v>BV1cs4y1w7Lv?p=180</v>
      </c>
      <c r="J378" s="4" t="str">
        <f ca="1">_xlfn.IFNA(VLOOKUP(INDIRECT("G"&amp;ROW()),minfo!$A:$M,COLUMN()-8,0),"")</f>
        <v>续写</v>
      </c>
      <c r="K378" s="4" t="str">
        <f ca="1">_xlfn.IFNA(VLOOKUP(INDIRECT("G"&amp;ROW()),minfo!$A:$M,COLUMN()-8,0),"")</f>
        <v>单依纯</v>
      </c>
      <c r="L378" s="4">
        <f ca="1">_xlfn.IFNA(VLOOKUP(INDIRECT("G"&amp;ROW()),minfo!$A:$M,COLUMN()-8,0),"")</f>
        <v>0</v>
      </c>
      <c r="M378" s="4">
        <f ca="1">_xlfn.IFNA(VLOOKUP(INDIRECT("G"&amp;ROW()),minfo!$A:$M,COLUMN()-8,0),"")</f>
        <v>0</v>
      </c>
      <c r="N378" s="4">
        <f ca="1">_xlfn.IFNA(VLOOKUP(INDIRECT("G"&amp;ROW()),minfo!$A:$M,COLUMN()-8,0),"")</f>
        <v>0</v>
      </c>
      <c r="O378" s="4">
        <f ca="1">_xlfn.IFNA(VLOOKUP(INDIRECT("G"&amp;ROW()),minfo!$A:$M,COLUMN()-8,0),"")</f>
        <v>0</v>
      </c>
      <c r="P378" s="4">
        <f ca="1">_xlfn.IFNA(VLOOKUP(INDIRECT("G"&amp;ROW()),minfo!$A:$M,COLUMN()-8,0),"")</f>
        <v>0</v>
      </c>
      <c r="Q378" s="4">
        <f ca="1">_xlfn.IFNA(VLOOKUP(INDIRECT("G"&amp;ROW()),minfo!$A:$M,COLUMN()-8,0),"")</f>
        <v>0</v>
      </c>
      <c r="R378" s="4">
        <f ca="1">_xlfn.IFNA(VLOOKUP(INDIRECT("G"&amp;ROW()),minfo!$A:$M,COLUMN()-8,0),"")</f>
        <v>0</v>
      </c>
      <c r="S378" s="4">
        <f ca="1">_xlfn.IFNA(VLOOKUP(INDIRECT("G"&amp;ROW()),minfo!$A:$M,COLUMN()-8,0),"")</f>
        <v>0</v>
      </c>
      <c r="T378" s="4">
        <f ca="1">_xlfn.IFNA(VLOOKUP(INDIRECT("G"&amp;ROW()),minfo!$A:$M,COLUMN()-8,0),"")</f>
        <v>0</v>
      </c>
      <c r="U378" s="4">
        <f ca="1">_xlfn.IFNA(VLOOKUP(INDIRECT("G"&amp;ROW()),minfo!$A:$M,COLUMN()-8,0),"")</f>
        <v>0</v>
      </c>
    </row>
    <row r="379" spans="1:21" ht="15.75" customHeight="1">
      <c r="A379" s="15">
        <v>378</v>
      </c>
      <c r="B379" s="4" t="s">
        <v>3946</v>
      </c>
      <c r="C379" s="4">
        <v>379</v>
      </c>
      <c r="D379" s="4">
        <v>181</v>
      </c>
      <c r="E379" s="4" t="s">
        <v>3947</v>
      </c>
      <c r="F379" s="16">
        <v>45096</v>
      </c>
      <c r="G379" s="5" t="s">
        <v>1215</v>
      </c>
      <c r="H379" s="5" t="s">
        <v>3754</v>
      </c>
      <c r="I379" s="24" t="str">
        <f>HYPERLINK("https://www.bilibili.com/video/BV1cs4y1w7Lv?p=181", "BV1cs4y1w7Lv?p=181")</f>
        <v>BV1cs4y1w7Lv?p=181</v>
      </c>
      <c r="J379" s="4" t="str">
        <f ca="1">_xlfn.IFNA(VLOOKUP(INDIRECT("G"&amp;ROW()),minfo!$A:$M,COLUMN()-8,0),"")</f>
        <v>记念</v>
      </c>
      <c r="K379" s="4" t="str">
        <f ca="1">_xlfn.IFNA(VLOOKUP(INDIRECT("G"&amp;ROW()),minfo!$A:$M,COLUMN()-8,0),"")</f>
        <v>雷雨心</v>
      </c>
      <c r="L379" s="4">
        <f ca="1">_xlfn.IFNA(VLOOKUP(INDIRECT("G"&amp;ROW()),minfo!$A:$M,COLUMN()-8,0),"")</f>
        <v>0</v>
      </c>
      <c r="M379" s="4">
        <f ca="1">_xlfn.IFNA(VLOOKUP(INDIRECT("G"&amp;ROW()),minfo!$A:$M,COLUMN()-8,0),"")</f>
        <v>0</v>
      </c>
      <c r="N379" s="4">
        <f ca="1">_xlfn.IFNA(VLOOKUP(INDIRECT("G"&amp;ROW()),minfo!$A:$M,COLUMN()-8,0),"")</f>
        <v>0</v>
      </c>
      <c r="O379" s="4" t="str">
        <f ca="1">_xlfn.IFNA(VLOOKUP(INDIRECT("G"&amp;ROW()),minfo!$A:$M,COLUMN()-8,0),"")</f>
        <v>https://i0.hdslb.com/bfs/station_src/music_metadata/c08c2683a436e2bfa6a0d5ee7d5c2d0f.jpg</v>
      </c>
      <c r="P379" s="4" t="str">
        <f ca="1">_xlfn.IFNA(VLOOKUP(INDIRECT("G"&amp;ROW()),minfo!$A:$M,COLUMN()-8,0),"")</f>
        <v>https://i0.hdslb.com/bfs/station_src/music_metadata/d2d618c34e10f2e1fef9760cbfebb47c.txt</v>
      </c>
      <c r="Q379" s="4">
        <f ca="1">_xlfn.IFNA(VLOOKUP(INDIRECT("G"&amp;ROW()),minfo!$A:$M,COLUMN()-8,0),"")</f>
        <v>4</v>
      </c>
      <c r="R379" s="4" t="str">
        <f ca="1">_xlfn.IFNA(VLOOKUP(INDIRECT("G"&amp;ROW()),minfo!$A:$M,COLUMN()-8,0),"")</f>
        <v>《玻璃之脑》电影中文版主题曲</v>
      </c>
      <c r="S379" s="4" t="str">
        <f ca="1">_xlfn.IFNA(VLOOKUP(INDIRECT("G"&amp;ROW()),minfo!$A:$M,COLUMN()-8,0),"")</f>
        <v>记念</v>
      </c>
      <c r="T379" s="4">
        <f ca="1">_xlfn.IFNA(VLOOKUP(INDIRECT("G"&amp;ROW()),minfo!$A:$M,COLUMN()-8,0),"")</f>
        <v>5997802</v>
      </c>
      <c r="U379" s="4">
        <f ca="1">_xlfn.IFNA(VLOOKUP(INDIRECT("G"&amp;ROW()),minfo!$A:$M,COLUMN()-8,0),"")</f>
        <v>0</v>
      </c>
    </row>
    <row r="380" spans="1:21" ht="15.75" customHeight="1">
      <c r="A380" s="15">
        <v>379</v>
      </c>
      <c r="B380" s="4" t="s">
        <v>3948</v>
      </c>
      <c r="C380" s="4">
        <v>380</v>
      </c>
      <c r="D380" s="4">
        <v>182</v>
      </c>
      <c r="E380" s="4" t="s">
        <v>786</v>
      </c>
      <c r="F380" s="16">
        <v>45097</v>
      </c>
      <c r="G380" s="5" t="s">
        <v>785</v>
      </c>
      <c r="H380" s="5" t="s">
        <v>3754</v>
      </c>
      <c r="I380" s="24" t="str">
        <f>HYPERLINK("https://www.bilibili.com/video/BV1cs4y1w7Lv?p=182", "BV1cs4y1w7Lv?p=182")</f>
        <v>BV1cs4y1w7Lv?p=182</v>
      </c>
      <c r="J380" s="4" t="str">
        <f ca="1">_xlfn.IFNA(VLOOKUP(INDIRECT("G"&amp;ROW()),minfo!$A:$M,COLUMN()-8,0),"")</f>
        <v>浪漫血液</v>
      </c>
      <c r="K380" s="4" t="str">
        <f ca="1">_xlfn.IFNA(VLOOKUP(INDIRECT("G"&amp;ROW()),minfo!$A:$M,COLUMN()-8,0),"")</f>
        <v>林俊杰</v>
      </c>
      <c r="L380" s="4">
        <f ca="1">_xlfn.IFNA(VLOOKUP(INDIRECT("G"&amp;ROW()),minfo!$A:$M,COLUMN()-8,0),"")</f>
        <v>0</v>
      </c>
      <c r="M380" s="4">
        <f ca="1">_xlfn.IFNA(VLOOKUP(INDIRECT("G"&amp;ROW()),minfo!$A:$M,COLUMN()-8,0),"")</f>
        <v>0</v>
      </c>
      <c r="N380" s="4">
        <f ca="1">_xlfn.IFNA(VLOOKUP(INDIRECT("G"&amp;ROW()),minfo!$A:$M,COLUMN()-8,0),"")</f>
        <v>0</v>
      </c>
      <c r="O380" s="4" t="str">
        <f ca="1">_xlfn.IFNA(VLOOKUP(INDIRECT("G"&amp;ROW()),minfo!$A:$M,COLUMN()-8,0),"")</f>
        <v>https://i0.hdslb.com/bfs/station_src/music_metadata/df4cb70c4afd251b03add35ca9a9908e.jpg</v>
      </c>
      <c r="P380" s="4" t="str">
        <f ca="1">_xlfn.IFNA(VLOOKUP(INDIRECT("G"&amp;ROW()),minfo!$A:$M,COLUMN()-8,0),"")</f>
        <v>http://i0.hdslb.com/bfs/station_src/music_metadata/1681acdfafc8cdc08a44ca96f53471a4</v>
      </c>
      <c r="Q380" s="4">
        <f ca="1">_xlfn.IFNA(VLOOKUP(INDIRECT("G"&amp;ROW()),minfo!$A:$M,COLUMN()-8,0),"")</f>
        <v>1583</v>
      </c>
      <c r="R380" s="4">
        <f ca="1">_xlfn.IFNA(VLOOKUP(INDIRECT("G"&amp;ROW()),minfo!$A:$M,COLUMN()-8,0),"")</f>
        <v>0</v>
      </c>
      <c r="S380" s="4" t="str">
        <f ca="1">_xlfn.IFNA(VLOOKUP(INDIRECT("G"&amp;ROW()),minfo!$A:$M,COLUMN()-8,0),"")</f>
        <v>新地球</v>
      </c>
      <c r="T380" s="4">
        <f ca="1">_xlfn.IFNA(VLOOKUP(INDIRECT("G"&amp;ROW()),minfo!$A:$M,COLUMN()-8,0),"")</f>
        <v>140930479</v>
      </c>
      <c r="U380" s="4">
        <f ca="1">_xlfn.IFNA(VLOOKUP(INDIRECT("G"&amp;ROW()),minfo!$A:$M,COLUMN()-8,0),"")</f>
        <v>0</v>
      </c>
    </row>
    <row r="381" spans="1:21" ht="15.75" customHeight="1">
      <c r="A381" s="15">
        <v>380</v>
      </c>
      <c r="B381" s="4" t="s">
        <v>3949</v>
      </c>
      <c r="C381" s="4">
        <v>381</v>
      </c>
      <c r="D381" s="4">
        <v>183</v>
      </c>
      <c r="E381" s="4" t="s">
        <v>61</v>
      </c>
      <c r="F381" s="16">
        <v>45103</v>
      </c>
      <c r="G381" s="5" t="s">
        <v>61</v>
      </c>
      <c r="H381" s="5" t="s">
        <v>3754</v>
      </c>
      <c r="I381" s="24" t="str">
        <f>HYPERLINK("https://www.bilibili.com/video/BV1cs4y1w7Lv?p=183", "BV1cs4y1w7Lv?p=183")</f>
        <v>BV1cs4y1w7Lv?p=183</v>
      </c>
      <c r="J381" s="4" t="str">
        <f ca="1">_xlfn.IFNA(VLOOKUP(INDIRECT("G"&amp;ROW()),minfo!$A:$M,COLUMN()-8,0),"")</f>
        <v>桃華</v>
      </c>
      <c r="K381" s="4" t="str">
        <f ca="1">_xlfn.IFNA(VLOOKUP(INDIRECT("G"&amp;ROW()),minfo!$A:$M,COLUMN()-8,0),"")</f>
        <v>说说Crystal</v>
      </c>
      <c r="L381" s="4" t="str">
        <f ca="1">_xlfn.IFNA(VLOOKUP(INDIRECT("G"&amp;ROW()),minfo!$A:$M,COLUMN()-8,0),"")</f>
        <v>BV14z4y1H7Jn</v>
      </c>
      <c r="M381" s="4">
        <f ca="1">_xlfn.IFNA(VLOOKUP(INDIRECT("G"&amp;ROW()),minfo!$A:$M,COLUMN()-8,0),"")</f>
        <v>0</v>
      </c>
      <c r="N381" s="4">
        <f ca="1">_xlfn.IFNA(VLOOKUP(INDIRECT("G"&amp;ROW()),minfo!$A:$M,COLUMN()-8,0),"")</f>
        <v>0</v>
      </c>
      <c r="O381" s="4">
        <f ca="1">_xlfn.IFNA(VLOOKUP(INDIRECT("G"&amp;ROW()),minfo!$A:$M,COLUMN()-8,0),"")</f>
        <v>0</v>
      </c>
      <c r="P381" s="4">
        <f ca="1">_xlfn.IFNA(VLOOKUP(INDIRECT("G"&amp;ROW()),minfo!$A:$M,COLUMN()-8,0),"")</f>
        <v>0</v>
      </c>
      <c r="Q381" s="4">
        <f ca="1">_xlfn.IFNA(VLOOKUP(INDIRECT("G"&amp;ROW()),minfo!$A:$M,COLUMN()-8,0),"")</f>
        <v>0</v>
      </c>
      <c r="R381" s="4">
        <f ca="1">_xlfn.IFNA(VLOOKUP(INDIRECT("G"&amp;ROW()),minfo!$A:$M,COLUMN()-8,0),"")</f>
        <v>0</v>
      </c>
      <c r="S381" s="4">
        <f ca="1">_xlfn.IFNA(VLOOKUP(INDIRECT("G"&amp;ROW()),minfo!$A:$M,COLUMN()-8,0),"")</f>
        <v>0</v>
      </c>
      <c r="T381" s="4">
        <f ca="1">_xlfn.IFNA(VLOOKUP(INDIRECT("G"&amp;ROW()),minfo!$A:$M,COLUMN()-8,0),"")</f>
        <v>0</v>
      </c>
      <c r="U381" s="4">
        <f ca="1">_xlfn.IFNA(VLOOKUP(INDIRECT("G"&amp;ROW()),minfo!$A:$M,COLUMN()-8,0),"")</f>
        <v>0</v>
      </c>
    </row>
    <row r="382" spans="1:21" ht="15.75" customHeight="1">
      <c r="A382" s="15">
        <v>381</v>
      </c>
      <c r="B382" s="4" t="s">
        <v>3950</v>
      </c>
      <c r="C382" s="4">
        <v>382</v>
      </c>
      <c r="D382" s="4">
        <v>184</v>
      </c>
      <c r="E382" s="4" t="s">
        <v>1222</v>
      </c>
      <c r="F382" s="16">
        <v>45105</v>
      </c>
      <c r="G382" s="5" t="s">
        <v>1221</v>
      </c>
      <c r="H382" s="5" t="s">
        <v>3754</v>
      </c>
      <c r="I382" s="24" t="str">
        <f>HYPERLINK("https://www.bilibili.com/video/BV1cs4y1w7Lv?p=184", "BV1cs4y1w7Lv?p=184")</f>
        <v>BV1cs4y1w7Lv?p=184</v>
      </c>
      <c r="J382" s="4" t="str">
        <f ca="1">_xlfn.IFNA(VLOOKUP(INDIRECT("G"&amp;ROW()),minfo!$A:$M,COLUMN()-8,0),"")</f>
        <v>我们的歌</v>
      </c>
      <c r="K382" s="4" t="str">
        <f ca="1">_xlfn.IFNA(VLOOKUP(INDIRECT("G"&amp;ROW()),minfo!$A:$M,COLUMN()-8,0),"")</f>
        <v>王力宏</v>
      </c>
      <c r="L382" s="4">
        <f ca="1">_xlfn.IFNA(VLOOKUP(INDIRECT("G"&amp;ROW()),minfo!$A:$M,COLUMN()-8,0),"")</f>
        <v>0</v>
      </c>
      <c r="M382" s="4">
        <f ca="1">_xlfn.IFNA(VLOOKUP(INDIRECT("G"&amp;ROW()),minfo!$A:$M,COLUMN()-8,0),"")</f>
        <v>29709</v>
      </c>
      <c r="N382" s="4">
        <f ca="1">_xlfn.IFNA(VLOOKUP(INDIRECT("G"&amp;ROW()),minfo!$A:$M,COLUMN()-8,0),"")</f>
        <v>4401</v>
      </c>
      <c r="O382" s="4" t="str">
        <f ca="1">_xlfn.IFNA(VLOOKUP(INDIRECT("G"&amp;ROW()),minfo!$A:$M,COLUMN()-8,0),"")</f>
        <v>https://i0.hdslb.com/bfs/station_src/music_metadata/b2f17a47f4397b15cfdd64c4260f8c97.jpg</v>
      </c>
      <c r="P382" s="4">
        <f ca="1">_xlfn.IFNA(VLOOKUP(INDIRECT("G"&amp;ROW()),minfo!$A:$M,COLUMN()-8,0),"")</f>
        <v>0</v>
      </c>
      <c r="Q382" s="4">
        <f ca="1">_xlfn.IFNA(VLOOKUP(INDIRECT("G"&amp;ROW()),minfo!$A:$M,COLUMN()-8,0),"")</f>
        <v>1235</v>
      </c>
      <c r="R382" s="4">
        <f ca="1">_xlfn.IFNA(VLOOKUP(INDIRECT("G"&amp;ROW()),minfo!$A:$M,COLUMN()-8,0),"")</f>
        <v>0</v>
      </c>
      <c r="S382" s="4" t="str">
        <f ca="1">_xlfn.IFNA(VLOOKUP(INDIRECT("G"&amp;ROW()),minfo!$A:$M,COLUMN()-8,0),"")</f>
        <v>改变自己</v>
      </c>
      <c r="T382" s="4">
        <f ca="1">_xlfn.IFNA(VLOOKUP(INDIRECT("G"&amp;ROW()),minfo!$A:$M,COLUMN()-8,0),"")</f>
        <v>249141822</v>
      </c>
      <c r="U382" s="4" t="str">
        <f ca="1">_xlfn.IFNA(VLOOKUP(INDIRECT("G"&amp;ROW()),minfo!$A:$M,COLUMN()-8,0),"")</f>
        <v>音乐榜最高NO.20</v>
      </c>
    </row>
    <row r="383" spans="1:21" ht="15.75" customHeight="1">
      <c r="A383" s="15">
        <v>382</v>
      </c>
      <c r="B383" s="4" t="s">
        <v>3951</v>
      </c>
      <c r="C383" s="4">
        <v>383</v>
      </c>
      <c r="D383" s="4">
        <v>185</v>
      </c>
      <c r="E383" s="4" t="s">
        <v>1226</v>
      </c>
      <c r="F383" s="16">
        <v>45105</v>
      </c>
      <c r="G383" s="5" t="s">
        <v>1225</v>
      </c>
      <c r="H383" s="5" t="s">
        <v>3754</v>
      </c>
      <c r="I383" s="24" t="str">
        <f>HYPERLINK("https://www.bilibili.com/video/BV1cs4y1w7Lv?p=185", "BV1cs4y1w7Lv?p=185")</f>
        <v>BV1cs4y1w7Lv?p=185</v>
      </c>
      <c r="J383" s="4" t="str">
        <f ca="1">_xlfn.IFNA(VLOOKUP(INDIRECT("G"&amp;ROW()),minfo!$A:$M,COLUMN()-8,0),"")</f>
        <v>你不知道的事</v>
      </c>
      <c r="K383" s="4" t="str">
        <f ca="1">_xlfn.IFNA(VLOOKUP(INDIRECT("G"&amp;ROW()),minfo!$A:$M,COLUMN()-8,0),"")</f>
        <v>王力宏</v>
      </c>
      <c r="L383" s="4">
        <f ca="1">_xlfn.IFNA(VLOOKUP(INDIRECT("G"&amp;ROW()),minfo!$A:$M,COLUMN()-8,0),"")</f>
        <v>0</v>
      </c>
      <c r="M383" s="4">
        <f ca="1">_xlfn.IFNA(VLOOKUP(INDIRECT("G"&amp;ROW()),minfo!$A:$M,COLUMN()-8,0),"")</f>
        <v>547</v>
      </c>
      <c r="N383" s="4">
        <f ca="1">_xlfn.IFNA(VLOOKUP(INDIRECT("G"&amp;ROW()),minfo!$A:$M,COLUMN()-8,0),"")</f>
        <v>47</v>
      </c>
      <c r="O383" s="4" t="str">
        <f ca="1">_xlfn.IFNA(VLOOKUP(INDIRECT("G"&amp;ROW()),minfo!$A:$M,COLUMN()-8,0),"")</f>
        <v>http://i1.hdslb.com/bfs/archive/d601f75e582fef1ea0319e5334def584fa16659b.jpg</v>
      </c>
      <c r="P383" s="4">
        <f ca="1">_xlfn.IFNA(VLOOKUP(INDIRECT("G"&amp;ROW()),minfo!$A:$M,COLUMN()-8,0),"")</f>
        <v>0</v>
      </c>
      <c r="Q383" s="4">
        <f ca="1">_xlfn.IFNA(VLOOKUP(INDIRECT("G"&amp;ROW()),minfo!$A:$M,COLUMN()-8,0),"")</f>
        <v>157</v>
      </c>
      <c r="R383" s="4" t="str">
        <f ca="1">_xlfn.IFNA(VLOOKUP(INDIRECT("G"&amp;ROW()),minfo!$A:$M,COLUMN()-8,0),"")</f>
        <v>你不知道的事</v>
      </c>
      <c r="S383" s="4">
        <f ca="1">_xlfn.IFNA(VLOOKUP(INDIRECT("G"&amp;ROW()),minfo!$A:$M,COLUMN()-8,0),"")</f>
        <v>0</v>
      </c>
      <c r="T383" s="4">
        <f ca="1">_xlfn.IFNA(VLOOKUP(INDIRECT("G"&amp;ROW()),minfo!$A:$M,COLUMN()-8,0),"")</f>
        <v>96065912</v>
      </c>
      <c r="U383" s="4">
        <f ca="1">_xlfn.IFNA(VLOOKUP(INDIRECT("G"&amp;ROW()),minfo!$A:$M,COLUMN()-8,0),"")</f>
        <v>0</v>
      </c>
    </row>
    <row r="384" spans="1:21" ht="15.75" customHeight="1">
      <c r="A384" s="15">
        <v>383</v>
      </c>
      <c r="B384" s="4" t="s">
        <v>3952</v>
      </c>
      <c r="C384" s="4">
        <v>384</v>
      </c>
      <c r="D384" s="4">
        <v>186</v>
      </c>
      <c r="E384" s="4" t="s">
        <v>1229</v>
      </c>
      <c r="F384" s="16">
        <v>45105</v>
      </c>
      <c r="G384" s="5" t="s">
        <v>1228</v>
      </c>
      <c r="H384" s="5" t="s">
        <v>3754</v>
      </c>
      <c r="I384" s="24" t="str">
        <f>HYPERLINK("https://www.bilibili.com/video/BV1cs4y1w7Lv?p=186", "BV1cs4y1w7Lv?p=186")</f>
        <v>BV1cs4y1w7Lv?p=186</v>
      </c>
      <c r="J384" s="4" t="str">
        <f ca="1">_xlfn.IFNA(VLOOKUP(INDIRECT("G"&amp;ROW()),minfo!$A:$M,COLUMN()-8,0),"")</f>
        <v>昨日青空</v>
      </c>
      <c r="K384" s="4" t="str">
        <f ca="1">_xlfn.IFNA(VLOOKUP(INDIRECT("G"&amp;ROW()),minfo!$A:$M,COLUMN()-8,0),"")</f>
        <v>尤长靖</v>
      </c>
      <c r="L384" s="4">
        <f ca="1">_xlfn.IFNA(VLOOKUP(INDIRECT("G"&amp;ROW()),minfo!$A:$M,COLUMN()-8,0),"")</f>
        <v>0</v>
      </c>
      <c r="M384" s="4">
        <f ca="1">_xlfn.IFNA(VLOOKUP(INDIRECT("G"&amp;ROW()),minfo!$A:$M,COLUMN()-8,0),"")</f>
        <v>0</v>
      </c>
      <c r="N384" s="4">
        <f ca="1">_xlfn.IFNA(VLOOKUP(INDIRECT("G"&amp;ROW()),minfo!$A:$M,COLUMN()-8,0),"")</f>
        <v>0</v>
      </c>
      <c r="O384" s="4" t="str">
        <f ca="1">_xlfn.IFNA(VLOOKUP(INDIRECT("G"&amp;ROW()),minfo!$A:$M,COLUMN()-8,0),"")</f>
        <v>https://i0.hdslb.com/bfs/station_src/music_metadata/abc73110210c595e7074ddc5a01dd754.jpg</v>
      </c>
      <c r="P384" s="4" t="str">
        <f ca="1">_xlfn.IFNA(VLOOKUP(INDIRECT("G"&amp;ROW()),minfo!$A:$M,COLUMN()-8,0),"")</f>
        <v>http://i0.hdslb.com/bfs/station_src/music_metadata/042fb26c880b233a48dc106af6e82bca</v>
      </c>
      <c r="Q384" s="4">
        <f ca="1">_xlfn.IFNA(VLOOKUP(INDIRECT("G"&amp;ROW()),minfo!$A:$M,COLUMN()-8,0),"")</f>
        <v>558</v>
      </c>
      <c r="R384" s="4" t="str">
        <f ca="1">_xlfn.IFNA(VLOOKUP(INDIRECT("G"&amp;ROW()),minfo!$A:$M,COLUMN()-8,0),"")</f>
        <v>《昨日青空》电影同名青春主题曲</v>
      </c>
      <c r="S384" s="4" t="str">
        <f ca="1">_xlfn.IFNA(VLOOKUP(INDIRECT("G"&amp;ROW()),minfo!$A:$M,COLUMN()-8,0),"")</f>
        <v>昨日青空</v>
      </c>
      <c r="T384" s="4">
        <f ca="1">_xlfn.IFNA(VLOOKUP(INDIRECT("G"&amp;ROW()),minfo!$A:$M,COLUMN()-8,0),"")</f>
        <v>70470580</v>
      </c>
      <c r="U384" s="4">
        <f ca="1">_xlfn.IFNA(VLOOKUP(INDIRECT("G"&amp;ROW()),minfo!$A:$M,COLUMN()-8,0),"")</f>
        <v>0</v>
      </c>
    </row>
    <row r="385" spans="1:21" ht="15.75" customHeight="1">
      <c r="A385" s="15">
        <v>384</v>
      </c>
      <c r="B385" s="4" t="s">
        <v>3953</v>
      </c>
      <c r="C385" s="4">
        <v>385</v>
      </c>
      <c r="D385" s="4">
        <v>187</v>
      </c>
      <c r="E385" s="4" t="s">
        <v>1235</v>
      </c>
      <c r="F385" s="16">
        <v>45105</v>
      </c>
      <c r="G385" s="5" t="s">
        <v>1234</v>
      </c>
      <c r="H385" s="5" t="s">
        <v>3754</v>
      </c>
      <c r="I385" s="24" t="str">
        <f>HYPERLINK("https://www.bilibili.com/video/BV1cs4y1w7Lv?p=187", "BV1cs4y1w7Lv?p=187")</f>
        <v>BV1cs4y1w7Lv?p=187</v>
      </c>
      <c r="J385" s="4" t="str">
        <f ca="1">_xlfn.IFNA(VLOOKUP(INDIRECT("G"&amp;ROW()),minfo!$A:$M,COLUMN()-8,0),"")</f>
        <v>哪里都是你</v>
      </c>
      <c r="K385" s="4" t="str">
        <f ca="1">_xlfn.IFNA(VLOOKUP(INDIRECT("G"&amp;ROW()),minfo!$A:$M,COLUMN()-8,0),"")</f>
        <v>周杰伦</v>
      </c>
      <c r="L385" s="4">
        <f ca="1">_xlfn.IFNA(VLOOKUP(INDIRECT("G"&amp;ROW()),minfo!$A:$M,COLUMN()-8,0),"")</f>
        <v>0</v>
      </c>
      <c r="M385" s="4">
        <f ca="1">_xlfn.IFNA(VLOOKUP(INDIRECT("G"&amp;ROW()),minfo!$A:$M,COLUMN()-8,0),"")</f>
        <v>6709</v>
      </c>
      <c r="N385" s="4">
        <f ca="1">_xlfn.IFNA(VLOOKUP(INDIRECT("G"&amp;ROW()),minfo!$A:$M,COLUMN()-8,0),"")</f>
        <v>265</v>
      </c>
      <c r="O385" s="4" t="str">
        <f ca="1">_xlfn.IFNA(VLOOKUP(INDIRECT("G"&amp;ROW()),minfo!$A:$M,COLUMN()-8,0),"")</f>
        <v>https://i0.hdslb.com/bfs/station_src/music_metadata/400688c94ad1fe3e8d7d8ef98919cb52.jpg</v>
      </c>
      <c r="P385" s="4">
        <f ca="1">_xlfn.IFNA(VLOOKUP(INDIRECT("G"&amp;ROW()),minfo!$A:$M,COLUMN()-8,0),"")</f>
        <v>0</v>
      </c>
      <c r="Q385" s="4">
        <f ca="1">_xlfn.IFNA(VLOOKUP(INDIRECT("G"&amp;ROW()),minfo!$A:$M,COLUMN()-8,0),"")</f>
        <v>349</v>
      </c>
      <c r="R385" s="4" t="str">
        <f ca="1">_xlfn.IFNA(VLOOKUP(INDIRECT("G"&amp;ROW()),minfo!$A:$M,COLUMN()-8,0),"")</f>
        <v>《天台》电影主题曲</v>
      </c>
      <c r="S385" s="4" t="str">
        <f ca="1">_xlfn.IFNA(VLOOKUP(INDIRECT("G"&amp;ROW()),minfo!$A:$M,COLUMN()-8,0),"")</f>
        <v>十二新作</v>
      </c>
      <c r="T385" s="4">
        <f ca="1">_xlfn.IFNA(VLOOKUP(INDIRECT("G"&amp;ROW()),minfo!$A:$M,COLUMN()-8,0),"")</f>
        <v>182820128</v>
      </c>
      <c r="U385" s="4">
        <f ca="1">_xlfn.IFNA(VLOOKUP(INDIRECT("G"&amp;ROW()),minfo!$A:$M,COLUMN()-8,0),"")</f>
        <v>0</v>
      </c>
    </row>
    <row r="386" spans="1:21" ht="15.75" customHeight="1">
      <c r="A386" s="15">
        <v>385</v>
      </c>
      <c r="B386" s="4" t="s">
        <v>3954</v>
      </c>
      <c r="C386" s="4">
        <v>386</v>
      </c>
      <c r="D386" s="4">
        <v>188</v>
      </c>
      <c r="E386" s="4" t="s">
        <v>1239</v>
      </c>
      <c r="F386" s="16">
        <v>45105</v>
      </c>
      <c r="G386" s="5" t="s">
        <v>1238</v>
      </c>
      <c r="H386" s="5" t="s">
        <v>3754</v>
      </c>
      <c r="I386" s="24" t="str">
        <f>HYPERLINK("https://www.bilibili.com/video/BV1cs4y1w7Lv?p=188", "BV1cs4y1w7Lv?p=188")</f>
        <v>BV1cs4y1w7Lv?p=188</v>
      </c>
      <c r="J386" s="4" t="str">
        <f ca="1">_xlfn.IFNA(VLOOKUP(INDIRECT("G"&amp;ROW()),minfo!$A:$M,COLUMN()-8,0),"")</f>
        <v>送别</v>
      </c>
      <c r="K386" s="4" t="str">
        <f ca="1">_xlfn.IFNA(VLOOKUP(INDIRECT("G"&amp;ROW()),minfo!$A:$M,COLUMN()-8,0),"")</f>
        <v>朴树</v>
      </c>
      <c r="L386" s="4">
        <f ca="1">_xlfn.IFNA(VLOOKUP(INDIRECT("G"&amp;ROW()),minfo!$A:$M,COLUMN()-8,0),"")</f>
        <v>0</v>
      </c>
      <c r="M386" s="4">
        <f ca="1">_xlfn.IFNA(VLOOKUP(INDIRECT("G"&amp;ROW()),minfo!$A:$M,COLUMN()-8,0),"")</f>
        <v>0</v>
      </c>
      <c r="N386" s="4">
        <f ca="1">_xlfn.IFNA(VLOOKUP(INDIRECT("G"&amp;ROW()),minfo!$A:$M,COLUMN()-8,0),"")</f>
        <v>0</v>
      </c>
      <c r="O386" s="4" t="str">
        <f ca="1">_xlfn.IFNA(VLOOKUP(INDIRECT("G"&amp;ROW()),minfo!$A:$M,COLUMN()-8,0),"")</f>
        <v>http://i0.hdslb.com/bfs/station_src/music_metadata/c59827a603bb0fb5d6d4fed3e2015a67.jpg</v>
      </c>
      <c r="P386" s="4" t="str">
        <f ca="1">_xlfn.IFNA(VLOOKUP(INDIRECT("G"&amp;ROW()),minfo!$A:$M,COLUMN()-8,0),"")</f>
        <v>http://i0.hdslb.com/bfs/station_src/music_metadata/b6ba15c1261164c0727a4cb1519182ad</v>
      </c>
      <c r="Q386" s="4">
        <f ca="1">_xlfn.IFNA(VLOOKUP(INDIRECT("G"&amp;ROW()),minfo!$A:$M,COLUMN()-8,0),"")</f>
        <v>1014</v>
      </c>
      <c r="R386" s="4" t="str">
        <f ca="1">_xlfn.IFNA(VLOOKUP(INDIRECT("G"&amp;ROW()),minfo!$A:$M,COLUMN()-8,0),"")</f>
        <v>《厨子戏子痞子》电影片尾曲</v>
      </c>
      <c r="S386" s="4" t="str">
        <f ca="1">_xlfn.IFNA(VLOOKUP(INDIRECT("G"&amp;ROW()),minfo!$A:$M,COLUMN()-8,0),"")</f>
        <v>送别</v>
      </c>
      <c r="T386" s="4">
        <f ca="1">_xlfn.IFNA(VLOOKUP(INDIRECT("G"&amp;ROW()),minfo!$A:$M,COLUMN()-8,0),"")</f>
        <v>263295360</v>
      </c>
      <c r="U386" s="4">
        <f ca="1">_xlfn.IFNA(VLOOKUP(INDIRECT("G"&amp;ROW()),minfo!$A:$M,COLUMN()-8,0),"")</f>
        <v>0</v>
      </c>
    </row>
    <row r="387" spans="1:21" ht="15.75" customHeight="1">
      <c r="A387" s="15">
        <v>386</v>
      </c>
      <c r="B387" s="4" t="s">
        <v>3955</v>
      </c>
      <c r="C387" s="4">
        <v>387</v>
      </c>
      <c r="D387" s="4">
        <v>189</v>
      </c>
      <c r="E387" s="4" t="s">
        <v>1195</v>
      </c>
      <c r="F387" s="16">
        <v>45105</v>
      </c>
      <c r="G387" s="5" t="s">
        <v>1194</v>
      </c>
      <c r="H387" s="5" t="s">
        <v>3754</v>
      </c>
      <c r="I387" s="24" t="str">
        <f>HYPERLINK("https://www.bilibili.com/video/BV1cs4y1w7Lv?p=189", "BV1cs4y1w7Lv?p=189")</f>
        <v>BV1cs4y1w7Lv?p=189</v>
      </c>
      <c r="J387" s="4" t="str">
        <f ca="1">_xlfn.IFNA(VLOOKUP(INDIRECT("G"&amp;ROW()),minfo!$A:$M,COLUMN()-8,0),"")</f>
        <v>玫瑰少年</v>
      </c>
      <c r="K387" s="4" t="str">
        <f ca="1">_xlfn.IFNA(VLOOKUP(INDIRECT("G"&amp;ROW()),minfo!$A:$M,COLUMN()-8,0),"")</f>
        <v>蔡依林</v>
      </c>
      <c r="L387" s="4">
        <f ca="1">_xlfn.IFNA(VLOOKUP(INDIRECT("G"&amp;ROW()),minfo!$A:$M,COLUMN()-8,0),"")</f>
        <v>0</v>
      </c>
      <c r="M387" s="4">
        <f ca="1">_xlfn.IFNA(VLOOKUP(INDIRECT("G"&amp;ROW()),minfo!$A:$M,COLUMN()-8,0),"")</f>
        <v>0</v>
      </c>
      <c r="N387" s="4">
        <f ca="1">_xlfn.IFNA(VLOOKUP(INDIRECT("G"&amp;ROW()),minfo!$A:$M,COLUMN()-8,0),"")</f>
        <v>0</v>
      </c>
      <c r="O387" s="4" t="str">
        <f ca="1">_xlfn.IFNA(VLOOKUP(INDIRECT("G"&amp;ROW()),minfo!$A:$M,COLUMN()-8,0),"")</f>
        <v>https://i0.hdslb.com/bfs/station_src/music_metadata/e26fb9f9e30abbb3708ac3bc172da011.jpg</v>
      </c>
      <c r="P387" s="4" t="str">
        <f ca="1">_xlfn.IFNA(VLOOKUP(INDIRECT("G"&amp;ROW()),minfo!$A:$M,COLUMN()-8,0),"")</f>
        <v>http://i0.hdslb.com/bfs/station_src/music_metadata/2c4a40c50a0c450e80f1fa513e54a7f2</v>
      </c>
      <c r="Q387" s="4">
        <f ca="1">_xlfn.IFNA(VLOOKUP(INDIRECT("G"&amp;ROW()),minfo!$A:$M,COLUMN()-8,0),"")</f>
        <v>23031</v>
      </c>
      <c r="R387" s="4">
        <f ca="1">_xlfn.IFNA(VLOOKUP(INDIRECT("G"&amp;ROW()),minfo!$A:$M,COLUMN()-8,0),"")</f>
        <v>0</v>
      </c>
      <c r="S387" s="4" t="str">
        <f ca="1">_xlfn.IFNA(VLOOKUP(INDIRECT("G"&amp;ROW()),minfo!$A:$M,COLUMN()-8,0),"")</f>
        <v>UGLY BEAUTY</v>
      </c>
      <c r="T387" s="4">
        <f ca="1">_xlfn.IFNA(VLOOKUP(INDIRECT("G"&amp;ROW()),minfo!$A:$M,COLUMN()-8,0),"")</f>
        <v>1372935531</v>
      </c>
      <c r="U387" s="4" t="str">
        <f ca="1">_xlfn.IFNA(VLOOKUP(INDIRECT("G"&amp;ROW()),minfo!$A:$M,COLUMN()-8,0),"")</f>
        <v>音乐榜最高NO.6</v>
      </c>
    </row>
    <row r="388" spans="1:21" ht="15.75" customHeight="1">
      <c r="A388" s="15">
        <v>387</v>
      </c>
      <c r="B388" s="4" t="s">
        <v>3956</v>
      </c>
      <c r="C388" s="4">
        <v>388</v>
      </c>
      <c r="D388" s="4">
        <v>190</v>
      </c>
      <c r="E388" s="4" t="s">
        <v>1014</v>
      </c>
      <c r="F388" s="16">
        <v>45105</v>
      </c>
      <c r="G388" s="5" t="s">
        <v>1013</v>
      </c>
      <c r="H388" s="5" t="s">
        <v>3754</v>
      </c>
      <c r="I388" s="24" t="str">
        <f>HYPERLINK("https://www.bilibili.com/video/BV1cs4y1w7Lv?p=190", "BV1cs4y1w7Lv?p=190")</f>
        <v>BV1cs4y1w7Lv?p=190</v>
      </c>
      <c r="J388" s="4" t="str">
        <f ca="1">_xlfn.IFNA(VLOOKUP(INDIRECT("G"&amp;ROW()),minfo!$A:$M,COLUMN()-8,0),"")</f>
        <v>退后</v>
      </c>
      <c r="K388" s="4" t="str">
        <f ca="1">_xlfn.IFNA(VLOOKUP(INDIRECT("G"&amp;ROW()),minfo!$A:$M,COLUMN()-8,0),"")</f>
        <v>周杰伦</v>
      </c>
      <c r="L388" s="4">
        <f ca="1">_xlfn.IFNA(VLOOKUP(INDIRECT("G"&amp;ROW()),minfo!$A:$M,COLUMN()-8,0),"")</f>
        <v>0</v>
      </c>
      <c r="M388" s="4">
        <f ca="1">_xlfn.IFNA(VLOOKUP(INDIRECT("G"&amp;ROW()),minfo!$A:$M,COLUMN()-8,0),"")</f>
        <v>0</v>
      </c>
      <c r="N388" s="4">
        <f ca="1">_xlfn.IFNA(VLOOKUP(INDIRECT("G"&amp;ROW()),minfo!$A:$M,COLUMN()-8,0),"")</f>
        <v>0</v>
      </c>
      <c r="O388" s="4" t="str">
        <f ca="1">_xlfn.IFNA(VLOOKUP(INDIRECT("G"&amp;ROW()),minfo!$A:$M,COLUMN()-8,0),"")</f>
        <v>https://i0.hdslb.com/bfs/station_src/music_metadata/f15e73f798d4a0f5f331d77b333ef1a8.jpg</v>
      </c>
      <c r="P388" s="4" t="str">
        <f ca="1">_xlfn.IFNA(VLOOKUP(INDIRECT("G"&amp;ROW()),minfo!$A:$M,COLUMN()-8,0),"")</f>
        <v>copyright-crawler/music/task-lyric/650e62defad724c0d01134a0.txt</v>
      </c>
      <c r="Q388" s="4">
        <f ca="1">_xlfn.IFNA(VLOOKUP(INDIRECT("G"&amp;ROW()),minfo!$A:$M,COLUMN()-8,0),"")</f>
        <v>1135</v>
      </c>
      <c r="R388" s="4" t="str">
        <f ca="1">_xlfn.IFNA(VLOOKUP(INDIRECT("G"&amp;ROW()),minfo!$A:$M,COLUMN()-8,0),"")</f>
        <v>退后</v>
      </c>
      <c r="S388" s="4" t="str">
        <f ca="1">_xlfn.IFNA(VLOOKUP(INDIRECT("G"&amp;ROW()),minfo!$A:$M,COLUMN()-8,0),"")</f>
        <v>依然范特西</v>
      </c>
      <c r="T388" s="4">
        <f ca="1">_xlfn.IFNA(VLOOKUP(INDIRECT("G"&amp;ROW()),minfo!$A:$M,COLUMN()-8,0),"")</f>
        <v>327291034</v>
      </c>
      <c r="U388" s="4" t="str">
        <f ca="1">_xlfn.IFNA(VLOOKUP(INDIRECT("G"&amp;ROW()),minfo!$A:$M,COLUMN()-8,0),"")</f>
        <v>音乐榜最高NO.19</v>
      </c>
    </row>
    <row r="389" spans="1:21" ht="15.75" customHeight="1">
      <c r="A389" s="15">
        <v>388</v>
      </c>
      <c r="B389" s="4" t="s">
        <v>3957</v>
      </c>
      <c r="C389" s="4">
        <v>389</v>
      </c>
      <c r="D389" s="4">
        <v>191</v>
      </c>
      <c r="E389" s="4" t="s">
        <v>1245</v>
      </c>
      <c r="F389" s="16">
        <v>45107</v>
      </c>
      <c r="G389" s="5" t="s">
        <v>1244</v>
      </c>
      <c r="H389" s="5" t="s">
        <v>3754</v>
      </c>
      <c r="I389" s="24" t="str">
        <f>HYPERLINK("https://www.bilibili.com/video/BV1cs4y1w7Lv?p=191", "BV1cs4y1w7Lv?p=191")</f>
        <v>BV1cs4y1w7Lv?p=191</v>
      </c>
      <c r="J389" s="4" t="str">
        <f ca="1">_xlfn.IFNA(VLOOKUP(INDIRECT("G"&amp;ROW()),minfo!$A:$M,COLUMN()-8,0),"")</f>
        <v>迷迭香</v>
      </c>
      <c r="K389" s="4" t="str">
        <f ca="1">_xlfn.IFNA(VLOOKUP(INDIRECT("G"&amp;ROW()),minfo!$A:$M,COLUMN()-8,0),"")</f>
        <v>周杰伦</v>
      </c>
      <c r="L389" s="4">
        <f ca="1">_xlfn.IFNA(VLOOKUP(INDIRECT("G"&amp;ROW()),minfo!$A:$M,COLUMN()-8,0),"")</f>
        <v>0</v>
      </c>
      <c r="M389" s="4">
        <f ca="1">_xlfn.IFNA(VLOOKUP(INDIRECT("G"&amp;ROW()),minfo!$A:$M,COLUMN()-8,0),"")</f>
        <v>0</v>
      </c>
      <c r="N389" s="4">
        <f ca="1">_xlfn.IFNA(VLOOKUP(INDIRECT("G"&amp;ROW()),minfo!$A:$M,COLUMN()-8,0),"")</f>
        <v>0</v>
      </c>
      <c r="O389" s="4" t="str">
        <f ca="1">_xlfn.IFNA(VLOOKUP(INDIRECT("G"&amp;ROW()),minfo!$A:$M,COLUMN()-8,0),"")</f>
        <v>http://i0.hdslb.com/bfs/station_src/music_metadata/0926861efce67153beddcc1bf5676937.jpg</v>
      </c>
      <c r="P389" s="4" t="str">
        <f ca="1">_xlfn.IFNA(VLOOKUP(INDIRECT("G"&amp;ROW()),minfo!$A:$M,COLUMN()-8,0),"")</f>
        <v>http://i0.hdslb.com/bfs/station_src/music_metadata/fd3c3fade748fdd9e948719c9ad02b33</v>
      </c>
      <c r="Q389" s="4">
        <f ca="1">_xlfn.IFNA(VLOOKUP(INDIRECT("G"&amp;ROW()),minfo!$A:$M,COLUMN()-8,0),"")</f>
        <v>566</v>
      </c>
      <c r="R389" s="4">
        <f ca="1">_xlfn.IFNA(VLOOKUP(INDIRECT("G"&amp;ROW()),minfo!$A:$M,COLUMN()-8,0),"")</f>
        <v>0</v>
      </c>
      <c r="S389" s="4" t="str">
        <f ca="1">_xlfn.IFNA(VLOOKUP(INDIRECT("G"&amp;ROW()),minfo!$A:$M,COLUMN()-8,0),"")</f>
        <v>依然范特西</v>
      </c>
      <c r="T389" s="4">
        <f ca="1">_xlfn.IFNA(VLOOKUP(INDIRECT("G"&amp;ROW()),minfo!$A:$M,COLUMN()-8,0),"")</f>
        <v>295581552</v>
      </c>
      <c r="U389" s="4">
        <f ca="1">_xlfn.IFNA(VLOOKUP(INDIRECT("G"&amp;ROW()),minfo!$A:$M,COLUMN()-8,0),"")</f>
        <v>0</v>
      </c>
    </row>
    <row r="390" spans="1:21" ht="15.75" customHeight="1">
      <c r="A390" s="15">
        <v>389</v>
      </c>
      <c r="B390" s="4" t="s">
        <v>3958</v>
      </c>
      <c r="C390" s="4">
        <v>390</v>
      </c>
      <c r="D390" s="4">
        <v>192</v>
      </c>
      <c r="E390" s="4" t="s">
        <v>638</v>
      </c>
      <c r="F390" s="16">
        <v>45107</v>
      </c>
      <c r="G390" s="5" t="s">
        <v>637</v>
      </c>
      <c r="H390" s="5" t="s">
        <v>3754</v>
      </c>
      <c r="I390" s="24" t="str">
        <f>HYPERLINK("https://www.bilibili.com/video/BV1cs4y1w7Lv?p=192", "BV1cs4y1w7Lv?p=192")</f>
        <v>BV1cs4y1w7Lv?p=192</v>
      </c>
      <c r="J390" s="4" t="str">
        <f ca="1">_xlfn.IFNA(VLOOKUP(INDIRECT("G"&amp;ROW()),minfo!$A:$M,COLUMN()-8,0),"")</f>
        <v>搁浅</v>
      </c>
      <c r="K390" s="4" t="str">
        <f ca="1">_xlfn.IFNA(VLOOKUP(INDIRECT("G"&amp;ROW()),minfo!$A:$M,COLUMN()-8,0),"")</f>
        <v>周杰伦</v>
      </c>
      <c r="L390" s="4">
        <f ca="1">_xlfn.IFNA(VLOOKUP(INDIRECT("G"&amp;ROW()),minfo!$A:$M,COLUMN()-8,0),"")</f>
        <v>0</v>
      </c>
      <c r="M390" s="4">
        <f ca="1">_xlfn.IFNA(VLOOKUP(INDIRECT("G"&amp;ROW()),minfo!$A:$M,COLUMN()-8,0),"")</f>
        <v>0</v>
      </c>
      <c r="N390" s="4">
        <f ca="1">_xlfn.IFNA(VLOOKUP(INDIRECT("G"&amp;ROW()),minfo!$A:$M,COLUMN()-8,0),"")</f>
        <v>0</v>
      </c>
      <c r="O390" s="4" t="str">
        <f ca="1">_xlfn.IFNA(VLOOKUP(INDIRECT("G"&amp;ROW()),minfo!$A:$M,COLUMN()-8,0),"")</f>
        <v>https://i0.hdslb.com/bfs/station_src/music_metadata/5ea93d49aa366e4340787bbc3d63de25.jpg</v>
      </c>
      <c r="P390" s="4">
        <f ca="1">_xlfn.IFNA(VLOOKUP(INDIRECT("G"&amp;ROW()),minfo!$A:$M,COLUMN()-8,0),"")</f>
        <v>0</v>
      </c>
      <c r="Q390" s="4">
        <f ca="1">_xlfn.IFNA(VLOOKUP(INDIRECT("G"&amp;ROW()),minfo!$A:$M,COLUMN()-8,0),"")</f>
        <v>4120</v>
      </c>
      <c r="R390" s="4">
        <f ca="1">_xlfn.IFNA(VLOOKUP(INDIRECT("G"&amp;ROW()),minfo!$A:$M,COLUMN()-8,0),"")</f>
        <v>0</v>
      </c>
      <c r="S390" s="4" t="str">
        <f ca="1">_xlfn.IFNA(VLOOKUP(INDIRECT("G"&amp;ROW()),minfo!$A:$M,COLUMN()-8,0),"")</f>
        <v>七里香</v>
      </c>
      <c r="T390" s="4">
        <f ca="1">_xlfn.IFNA(VLOOKUP(INDIRECT("G"&amp;ROW()),minfo!$A:$M,COLUMN()-8,0),"")</f>
        <v>593603418</v>
      </c>
      <c r="U390" s="4">
        <f ca="1">_xlfn.IFNA(VLOOKUP(INDIRECT("G"&amp;ROW()),minfo!$A:$M,COLUMN()-8,0),"")</f>
        <v>0</v>
      </c>
    </row>
    <row r="391" spans="1:21" ht="15.75" customHeight="1">
      <c r="A391" s="15">
        <v>390</v>
      </c>
      <c r="B391" s="4" t="s">
        <v>3959</v>
      </c>
      <c r="C391" s="4">
        <v>391</v>
      </c>
      <c r="D391" s="4">
        <v>193</v>
      </c>
      <c r="E391" s="4" t="s">
        <v>289</v>
      </c>
      <c r="F391" s="16">
        <v>45107</v>
      </c>
      <c r="G391" s="5" t="s">
        <v>288</v>
      </c>
      <c r="H391" s="5" t="s">
        <v>3754</v>
      </c>
      <c r="I391" s="24" t="str">
        <f>HYPERLINK("https://www.bilibili.com/video/BV1cs4y1w7Lv?p=193", "BV1cs4y1w7Lv?p=193")</f>
        <v>BV1cs4y1w7Lv?p=193</v>
      </c>
      <c r="J391" s="4" t="str">
        <f ca="1">_xlfn.IFNA(VLOOKUP(INDIRECT("G"&amp;ROW()),minfo!$A:$M,COLUMN()-8,0),"")</f>
        <v>明明就</v>
      </c>
      <c r="K391" s="4" t="str">
        <f ca="1">_xlfn.IFNA(VLOOKUP(INDIRECT("G"&amp;ROW()),minfo!$A:$M,COLUMN()-8,0),"")</f>
        <v>周杰伦</v>
      </c>
      <c r="L391" s="4">
        <f ca="1">_xlfn.IFNA(VLOOKUP(INDIRECT("G"&amp;ROW()),minfo!$A:$M,COLUMN()-8,0),"")</f>
        <v>0</v>
      </c>
      <c r="M391" s="4">
        <f ca="1">_xlfn.IFNA(VLOOKUP(INDIRECT("G"&amp;ROW()),minfo!$A:$M,COLUMN()-8,0),"")</f>
        <v>0</v>
      </c>
      <c r="N391" s="4">
        <f ca="1">_xlfn.IFNA(VLOOKUP(INDIRECT("G"&amp;ROW()),minfo!$A:$M,COLUMN()-8,0),"")</f>
        <v>0</v>
      </c>
      <c r="O391" s="4" t="str">
        <f ca="1">_xlfn.IFNA(VLOOKUP(INDIRECT("G"&amp;ROW()),minfo!$A:$M,COLUMN()-8,0),"")</f>
        <v>https://i0.hdslb.com/bfs/station_src/music_metadata/b98a05427f027651ca3c0c8cbab055fe.jpg</v>
      </c>
      <c r="P391" s="4" t="str">
        <f ca="1">_xlfn.IFNA(VLOOKUP(INDIRECT("G"&amp;ROW()),minfo!$A:$M,COLUMN()-8,0),"")</f>
        <v>copyright-crawler/music/task-lyric/65093974f03c35ab34fd5795.txt</v>
      </c>
      <c r="Q391" s="4">
        <f ca="1">_xlfn.IFNA(VLOOKUP(INDIRECT("G"&amp;ROW()),minfo!$A:$M,COLUMN()-8,0),"")</f>
        <v>3451</v>
      </c>
      <c r="R391" s="4" t="str">
        <f ca="1">_xlfn.IFNA(VLOOKUP(INDIRECT("G"&amp;ROW()),minfo!$A:$M,COLUMN()-8,0),"")</f>
        <v>明明就</v>
      </c>
      <c r="S391" s="4" t="str">
        <f ca="1">_xlfn.IFNA(VLOOKUP(INDIRECT("G"&amp;ROW()),minfo!$A:$M,COLUMN()-8,0),"")</f>
        <v>十二新作</v>
      </c>
      <c r="T391" s="4">
        <f ca="1">_xlfn.IFNA(VLOOKUP(INDIRECT("G"&amp;ROW()),minfo!$A:$M,COLUMN()-8,0),"")</f>
        <v>424774252</v>
      </c>
      <c r="U391" s="4" t="str">
        <f ca="1">_xlfn.IFNA(VLOOKUP(INDIRECT("G"&amp;ROW()),minfo!$A:$M,COLUMN()-8,0),"")</f>
        <v>音乐榜最高NO.18</v>
      </c>
    </row>
    <row r="392" spans="1:21" ht="15.75" customHeight="1">
      <c r="A392" s="15">
        <v>391</v>
      </c>
      <c r="B392" s="4" t="s">
        <v>3960</v>
      </c>
      <c r="C392" s="4">
        <v>392</v>
      </c>
      <c r="D392" s="4">
        <v>1</v>
      </c>
      <c r="E392" s="4" t="s">
        <v>328</v>
      </c>
      <c r="F392" s="16">
        <v>45109</v>
      </c>
      <c r="G392" s="5" t="s">
        <v>327</v>
      </c>
      <c r="H392" s="5" t="s">
        <v>3961</v>
      </c>
      <c r="I392" s="24" t="str">
        <f>HYPERLINK("https://www.bilibili.com/video/BV1gz4y147yu?p=1", "BV1gz4y147yu?p=1")</f>
        <v>BV1gz4y147yu?p=1</v>
      </c>
      <c r="J392" s="4" t="str">
        <f ca="1">_xlfn.IFNA(VLOOKUP(INDIRECT("G"&amp;ROW()),minfo!$A:$M,COLUMN()-8,0),"")</f>
        <v>浪漫手机</v>
      </c>
      <c r="K392" s="4" t="str">
        <f ca="1">_xlfn.IFNA(VLOOKUP(INDIRECT("G"&amp;ROW()),minfo!$A:$M,COLUMN()-8,0),"")</f>
        <v>周杰伦</v>
      </c>
      <c r="L392" s="4">
        <f ca="1">_xlfn.IFNA(VLOOKUP(INDIRECT("G"&amp;ROW()),minfo!$A:$M,COLUMN()-8,0),"")</f>
        <v>0</v>
      </c>
      <c r="M392" s="4">
        <f ca="1">_xlfn.IFNA(VLOOKUP(INDIRECT("G"&amp;ROW()),minfo!$A:$M,COLUMN()-8,0),"")</f>
        <v>0</v>
      </c>
      <c r="N392" s="4">
        <f ca="1">_xlfn.IFNA(VLOOKUP(INDIRECT("G"&amp;ROW()),minfo!$A:$M,COLUMN()-8,0),"")</f>
        <v>0</v>
      </c>
      <c r="O392" s="4" t="str">
        <f ca="1">_xlfn.IFNA(VLOOKUP(INDIRECT("G"&amp;ROW()),minfo!$A:$M,COLUMN()-8,0),"")</f>
        <v>https://i0.hdslb.com/bfs/station_src/music_metadata/8eedd1a09269c8d74ed387337e626b75.jpg</v>
      </c>
      <c r="P392" s="4" t="str">
        <f ca="1">_xlfn.IFNA(VLOOKUP(INDIRECT("G"&amp;ROW()),minfo!$A:$M,COLUMN()-8,0),"")</f>
        <v>https://i0.hdslb.com/bfs/station_src/music_metadata/ae5c6e95bbcbbf46dea75520d23f2e3e.txt</v>
      </c>
      <c r="Q392" s="4">
        <f ca="1">_xlfn.IFNA(VLOOKUP(INDIRECT("G"&amp;ROW()),minfo!$A:$M,COLUMN()-8,0),"")</f>
        <v>757</v>
      </c>
      <c r="R392" s="4">
        <f ca="1">_xlfn.IFNA(VLOOKUP(INDIRECT("G"&amp;ROW()),minfo!$A:$M,COLUMN()-8,0),"")</f>
        <v>0</v>
      </c>
      <c r="S392" s="4" t="str">
        <f ca="1">_xlfn.IFNA(VLOOKUP(INDIRECT("G"&amp;ROW()),minfo!$A:$M,COLUMN()-8,0),"")</f>
        <v>十一月的萧邦</v>
      </c>
      <c r="T392" s="4">
        <f ca="1">_xlfn.IFNA(VLOOKUP(INDIRECT("G"&amp;ROW()),minfo!$A:$M,COLUMN()-8,0),"")</f>
        <v>267490941</v>
      </c>
      <c r="U392" s="4">
        <f ca="1">_xlfn.IFNA(VLOOKUP(INDIRECT("G"&amp;ROW()),minfo!$A:$M,COLUMN()-8,0),"")</f>
        <v>0</v>
      </c>
    </row>
    <row r="393" spans="1:21" ht="15.75" customHeight="1">
      <c r="A393" s="15">
        <v>392</v>
      </c>
      <c r="B393" s="4" t="s">
        <v>3962</v>
      </c>
      <c r="C393" s="4">
        <v>393</v>
      </c>
      <c r="D393" s="4">
        <v>2</v>
      </c>
      <c r="E393" s="4" t="s">
        <v>47</v>
      </c>
      <c r="F393" s="16">
        <v>45109</v>
      </c>
      <c r="G393" s="5" t="s">
        <v>46</v>
      </c>
      <c r="H393" s="5" t="s">
        <v>3961</v>
      </c>
      <c r="I393" s="24" t="str">
        <f>HYPERLINK("https://www.bilibili.com/video/BV1gz4y147yu?p=2", "BV1gz4y147yu?p=2")</f>
        <v>BV1gz4y147yu?p=2</v>
      </c>
      <c r="J393" s="4" t="str">
        <f ca="1">_xlfn.IFNA(VLOOKUP(INDIRECT("G"&amp;ROW()),minfo!$A:$M,COLUMN()-8,0),"")</f>
        <v>在夜里跳舞</v>
      </c>
      <c r="K393" s="4" t="str">
        <f ca="1">_xlfn.IFNA(VLOOKUP(INDIRECT("G"&amp;ROW()),minfo!$A:$M,COLUMN()-8,0),"")</f>
        <v>单依纯</v>
      </c>
      <c r="L393" s="4">
        <f ca="1">_xlfn.IFNA(VLOOKUP(INDIRECT("G"&amp;ROW()),minfo!$A:$M,COLUMN()-8,0),"")</f>
        <v>0</v>
      </c>
      <c r="M393" s="4">
        <f ca="1">_xlfn.IFNA(VLOOKUP(INDIRECT("G"&amp;ROW()),minfo!$A:$M,COLUMN()-8,0),"")</f>
        <v>0</v>
      </c>
      <c r="N393" s="4">
        <f ca="1">_xlfn.IFNA(VLOOKUP(INDIRECT("G"&amp;ROW()),minfo!$A:$M,COLUMN()-8,0),"")</f>
        <v>0</v>
      </c>
      <c r="O393" s="4" t="str">
        <f ca="1">_xlfn.IFNA(VLOOKUP(INDIRECT("G"&amp;ROW()),minfo!$A:$M,COLUMN()-8,0),"")</f>
        <v>https://i0.hdslb.com/bfs/station_src/music_metadata/8290748e31edb0e5ad1e0965087b2aab.jpg</v>
      </c>
      <c r="P393" s="4" t="str">
        <f ca="1">_xlfn.IFNA(VLOOKUP(INDIRECT("G"&amp;ROW()),minfo!$A:$M,COLUMN()-8,0),"")</f>
        <v>http://i0.hdslb.com/bfs/station_src/music_metadata/29d5595276e7ec7758df19c35809517b</v>
      </c>
      <c r="Q393" s="4">
        <f ca="1">_xlfn.IFNA(VLOOKUP(INDIRECT("G"&amp;ROW()),minfo!$A:$M,COLUMN()-8,0),"")</f>
        <v>298</v>
      </c>
      <c r="R393" s="4">
        <f ca="1">_xlfn.IFNA(VLOOKUP(INDIRECT("G"&amp;ROW()),minfo!$A:$M,COLUMN()-8,0),"")</f>
        <v>0</v>
      </c>
      <c r="S393" s="4" t="str">
        <f ca="1">_xlfn.IFNA(VLOOKUP(INDIRECT("G"&amp;ROW()),minfo!$A:$M,COLUMN()-8,0),"")</f>
        <v>在夜里跳舞</v>
      </c>
      <c r="T393" s="4">
        <f ca="1">_xlfn.IFNA(VLOOKUP(INDIRECT("G"&amp;ROW()),minfo!$A:$M,COLUMN()-8,0),"")</f>
        <v>21106106</v>
      </c>
      <c r="U393" s="4">
        <f ca="1">_xlfn.IFNA(VLOOKUP(INDIRECT("G"&amp;ROW()),minfo!$A:$M,COLUMN()-8,0),"")</f>
        <v>0</v>
      </c>
    </row>
    <row r="394" spans="1:21" ht="15.75" customHeight="1">
      <c r="A394" s="15">
        <v>393</v>
      </c>
      <c r="B394" s="4" t="s">
        <v>3963</v>
      </c>
      <c r="C394" s="4">
        <v>394</v>
      </c>
      <c r="D394" s="4">
        <v>3</v>
      </c>
      <c r="E394" s="4" t="s">
        <v>3964</v>
      </c>
      <c r="F394" s="16">
        <v>45109</v>
      </c>
      <c r="G394" s="5" t="s">
        <v>1248</v>
      </c>
      <c r="H394" s="5" t="s">
        <v>3961</v>
      </c>
      <c r="I394" s="24" t="str">
        <f>HYPERLINK("https://www.bilibili.com/video/BV1gz4y147yu?p=3", "BV1gz4y147yu?p=3")</f>
        <v>BV1gz4y147yu?p=3</v>
      </c>
      <c r="J394" s="4" t="str">
        <f ca="1">_xlfn.IFNA(VLOOKUP(INDIRECT("G"&amp;ROW()),minfo!$A:$M,COLUMN()-8,0),"")</f>
        <v>叶子</v>
      </c>
      <c r="K394" s="4" t="str">
        <f ca="1">_xlfn.IFNA(VLOOKUP(INDIRECT("G"&amp;ROW()),minfo!$A:$M,COLUMN()-8,0),"")</f>
        <v>阿桑</v>
      </c>
      <c r="L394" s="4">
        <f ca="1">_xlfn.IFNA(VLOOKUP(INDIRECT("G"&amp;ROW()),minfo!$A:$M,COLUMN()-8,0),"")</f>
        <v>0</v>
      </c>
      <c r="M394" s="4">
        <f ca="1">_xlfn.IFNA(VLOOKUP(INDIRECT("G"&amp;ROW()),minfo!$A:$M,COLUMN()-8,0),"")</f>
        <v>0</v>
      </c>
      <c r="N394" s="4">
        <f ca="1">_xlfn.IFNA(VLOOKUP(INDIRECT("G"&amp;ROW()),minfo!$A:$M,COLUMN()-8,0),"")</f>
        <v>0</v>
      </c>
      <c r="O394" s="4" t="str">
        <f ca="1">_xlfn.IFNA(VLOOKUP(INDIRECT("G"&amp;ROW()),minfo!$A:$M,COLUMN()-8,0),"")</f>
        <v>http://i0.hdslb.com/bfs/station_src/music_metadata/f93e6e3df7529ecb21c31f7c2b8db022.jpg</v>
      </c>
      <c r="P394" s="4" t="str">
        <f ca="1">_xlfn.IFNA(VLOOKUP(INDIRECT("G"&amp;ROW()),minfo!$A:$M,COLUMN()-8,0),"")</f>
        <v>http://i0.hdslb.com/bfs/station_src/music_metadata/bcd63a979aa4ce19d1de2afe94a8782e</v>
      </c>
      <c r="Q394" s="4">
        <f ca="1">_xlfn.IFNA(VLOOKUP(INDIRECT("G"&amp;ROW()),minfo!$A:$M,COLUMN()-8,0),"")</f>
        <v>68</v>
      </c>
      <c r="R394" s="4">
        <f ca="1">_xlfn.IFNA(VLOOKUP(INDIRECT("G"&amp;ROW()),minfo!$A:$M,COLUMN()-8,0),"")</f>
        <v>0</v>
      </c>
      <c r="S394" s="4" t="str">
        <f ca="1">_xlfn.IFNA(VLOOKUP(INDIRECT("G"&amp;ROW()),minfo!$A:$M,COLUMN()-8,0),"")</f>
        <v>受了点伤</v>
      </c>
      <c r="T394" s="4">
        <f ca="1">_xlfn.IFNA(VLOOKUP(INDIRECT("G"&amp;ROW()),minfo!$A:$M,COLUMN()-8,0),"")</f>
        <v>21952216</v>
      </c>
      <c r="U394" s="4">
        <f ca="1">_xlfn.IFNA(VLOOKUP(INDIRECT("G"&amp;ROW()),minfo!$A:$M,COLUMN()-8,0),"")</f>
        <v>0</v>
      </c>
    </row>
    <row r="395" spans="1:21" ht="15.75" customHeight="1">
      <c r="A395" s="15">
        <v>394</v>
      </c>
      <c r="B395" s="4" t="s">
        <v>3965</v>
      </c>
      <c r="C395" s="4">
        <v>395</v>
      </c>
      <c r="D395" s="4">
        <v>4</v>
      </c>
      <c r="E395" s="4" t="s">
        <v>3050</v>
      </c>
      <c r="F395" s="16">
        <v>45112</v>
      </c>
      <c r="G395" s="5" t="s">
        <v>3049</v>
      </c>
      <c r="H395" s="5" t="s">
        <v>3961</v>
      </c>
      <c r="I395" s="24" t="str">
        <f>HYPERLINK("https://www.bilibili.com/video/BV1gz4y147yu?p=4", "BV1gz4y147yu?p=4")</f>
        <v>BV1gz4y147yu?p=4</v>
      </c>
      <c r="J395" s="4" t="str">
        <f ca="1">_xlfn.IFNA(VLOOKUP(INDIRECT("G"&amp;ROW()),minfo!$A:$M,COLUMN()-8,0),"")</f>
        <v>突然好想你</v>
      </c>
      <c r="K395" s="4" t="str">
        <f ca="1">_xlfn.IFNA(VLOOKUP(INDIRECT("G"&amp;ROW()),minfo!$A:$M,COLUMN()-8,0),"")</f>
        <v>五月天</v>
      </c>
      <c r="L395" s="4">
        <f ca="1">_xlfn.IFNA(VLOOKUP(INDIRECT("G"&amp;ROW()),minfo!$A:$M,COLUMN()-8,0),"")</f>
        <v>0</v>
      </c>
      <c r="M395" s="4">
        <f ca="1">_xlfn.IFNA(VLOOKUP(INDIRECT("G"&amp;ROW()),minfo!$A:$M,COLUMN()-8,0),"")</f>
        <v>0</v>
      </c>
      <c r="N395" s="4">
        <f ca="1">_xlfn.IFNA(VLOOKUP(INDIRECT("G"&amp;ROW()),minfo!$A:$M,COLUMN()-8,0),"")</f>
        <v>0</v>
      </c>
      <c r="O395" s="4" t="str">
        <f ca="1">_xlfn.IFNA(VLOOKUP(INDIRECT("G"&amp;ROW()),minfo!$A:$M,COLUMN()-8,0),"")</f>
        <v>https://i0.hdslb.com/bfs/station_src/music_metadata/d60c4925252d6a5682a363f795104076.jpg</v>
      </c>
      <c r="P395" s="4" t="str">
        <f ca="1">_xlfn.IFNA(VLOOKUP(INDIRECT("G"&amp;ROW()),minfo!$A:$M,COLUMN()-8,0),"")</f>
        <v>http://i0.hdslb.com/bfs/station_src/music_metadata/2d0e00c3f5385fac1c7e7fa7ec715213</v>
      </c>
      <c r="Q395" s="4">
        <f ca="1">_xlfn.IFNA(VLOOKUP(INDIRECT("G"&amp;ROW()),minfo!$A:$M,COLUMN()-8,0),"")</f>
        <v>669</v>
      </c>
      <c r="R395" s="4">
        <f ca="1">_xlfn.IFNA(VLOOKUP(INDIRECT("G"&amp;ROW()),minfo!$A:$M,COLUMN()-8,0),"")</f>
        <v>0</v>
      </c>
      <c r="S395" s="4" t="str">
        <f ca="1">_xlfn.IFNA(VLOOKUP(INDIRECT("G"&amp;ROW()),minfo!$A:$M,COLUMN()-8,0),"")</f>
        <v>女人帮·妞儿 电视剧原声带</v>
      </c>
      <c r="T395" s="4">
        <f ca="1">_xlfn.IFNA(VLOOKUP(INDIRECT("G"&amp;ROW()),minfo!$A:$M,COLUMN()-8,0),"")</f>
        <v>188212415</v>
      </c>
      <c r="U395" s="4">
        <f ca="1">_xlfn.IFNA(VLOOKUP(INDIRECT("G"&amp;ROW()),minfo!$A:$M,COLUMN()-8,0),"")</f>
        <v>0</v>
      </c>
    </row>
    <row r="396" spans="1:21" ht="15.75" customHeight="1">
      <c r="A396" s="15">
        <v>395</v>
      </c>
      <c r="B396" s="4" t="s">
        <v>3966</v>
      </c>
      <c r="C396" s="4">
        <v>396</v>
      </c>
      <c r="D396" s="4">
        <v>5</v>
      </c>
      <c r="E396" s="4" t="s">
        <v>136</v>
      </c>
      <c r="F396" s="16">
        <v>45112</v>
      </c>
      <c r="G396" s="5" t="s">
        <v>136</v>
      </c>
      <c r="H396" s="5" t="s">
        <v>3961</v>
      </c>
      <c r="I396" s="24" t="str">
        <f>HYPERLINK("https://www.bilibili.com/video/BV1gz4y147yu?p=5", "BV1gz4y147yu?p=5")</f>
        <v>BV1gz4y147yu?p=5</v>
      </c>
      <c r="J396" s="4" t="str">
        <f ca="1">_xlfn.IFNA(VLOOKUP(INDIRECT("G"&amp;ROW()),minfo!$A:$M,COLUMN()-8,0),"")</f>
        <v>续写</v>
      </c>
      <c r="K396" s="4" t="str">
        <f ca="1">_xlfn.IFNA(VLOOKUP(INDIRECT("G"&amp;ROW()),minfo!$A:$M,COLUMN()-8,0),"")</f>
        <v>单依纯</v>
      </c>
      <c r="L396" s="4">
        <f ca="1">_xlfn.IFNA(VLOOKUP(INDIRECT("G"&amp;ROW()),minfo!$A:$M,COLUMN()-8,0),"")</f>
        <v>0</v>
      </c>
      <c r="M396" s="4">
        <f ca="1">_xlfn.IFNA(VLOOKUP(INDIRECT("G"&amp;ROW()),minfo!$A:$M,COLUMN()-8,0),"")</f>
        <v>0</v>
      </c>
      <c r="N396" s="4">
        <f ca="1">_xlfn.IFNA(VLOOKUP(INDIRECT("G"&amp;ROW()),minfo!$A:$M,COLUMN()-8,0),"")</f>
        <v>0</v>
      </c>
      <c r="O396" s="4">
        <f ca="1">_xlfn.IFNA(VLOOKUP(INDIRECT("G"&amp;ROW()),minfo!$A:$M,COLUMN()-8,0),"")</f>
        <v>0</v>
      </c>
      <c r="P396" s="4">
        <f ca="1">_xlfn.IFNA(VLOOKUP(INDIRECT("G"&amp;ROW()),minfo!$A:$M,COLUMN()-8,0),"")</f>
        <v>0</v>
      </c>
      <c r="Q396" s="4">
        <f ca="1">_xlfn.IFNA(VLOOKUP(INDIRECT("G"&amp;ROW()),minfo!$A:$M,COLUMN()-8,0),"")</f>
        <v>0</v>
      </c>
      <c r="R396" s="4">
        <f ca="1">_xlfn.IFNA(VLOOKUP(INDIRECT("G"&amp;ROW()),minfo!$A:$M,COLUMN()-8,0),"")</f>
        <v>0</v>
      </c>
      <c r="S396" s="4">
        <f ca="1">_xlfn.IFNA(VLOOKUP(INDIRECT("G"&amp;ROW()),minfo!$A:$M,COLUMN()-8,0),"")</f>
        <v>0</v>
      </c>
      <c r="T396" s="4">
        <f ca="1">_xlfn.IFNA(VLOOKUP(INDIRECT("G"&amp;ROW()),minfo!$A:$M,COLUMN()-8,0),"")</f>
        <v>0</v>
      </c>
      <c r="U396" s="4">
        <f ca="1">_xlfn.IFNA(VLOOKUP(INDIRECT("G"&amp;ROW()),minfo!$A:$M,COLUMN()-8,0),"")</f>
        <v>0</v>
      </c>
    </row>
    <row r="397" spans="1:21" ht="15.75" customHeight="1">
      <c r="A397" s="15">
        <v>396</v>
      </c>
      <c r="B397" s="4" t="s">
        <v>3967</v>
      </c>
      <c r="C397" s="4">
        <v>397</v>
      </c>
      <c r="D397" s="4">
        <v>6</v>
      </c>
      <c r="E397" s="4" t="s">
        <v>1048</v>
      </c>
      <c r="F397" s="16">
        <v>45112</v>
      </c>
      <c r="G397" s="5" t="s">
        <v>1047</v>
      </c>
      <c r="H397" s="5" t="s">
        <v>3961</v>
      </c>
      <c r="I397" s="24" t="str">
        <f>HYPERLINK("https://www.bilibili.com/video/BV1gz4y147yu?p=6", "BV1gz4y147yu?p=6")</f>
        <v>BV1gz4y147yu?p=6</v>
      </c>
      <c r="J397" s="4" t="str">
        <f ca="1">_xlfn.IFNA(VLOOKUP(INDIRECT("G"&amp;ROW()),minfo!$A:$M,COLUMN()-8,0),"")</f>
        <v>雨下一整晚</v>
      </c>
      <c r="K397" s="4" t="str">
        <f ca="1">_xlfn.IFNA(VLOOKUP(INDIRECT("G"&amp;ROW()),minfo!$A:$M,COLUMN()-8,0),"")</f>
        <v>周杰伦</v>
      </c>
      <c r="L397" s="4">
        <f ca="1">_xlfn.IFNA(VLOOKUP(INDIRECT("G"&amp;ROW()),minfo!$A:$M,COLUMN()-8,0),"")</f>
        <v>0</v>
      </c>
      <c r="M397" s="4">
        <f ca="1">_xlfn.IFNA(VLOOKUP(INDIRECT("G"&amp;ROW()),minfo!$A:$M,COLUMN()-8,0),"")</f>
        <v>0</v>
      </c>
      <c r="N397" s="4">
        <f ca="1">_xlfn.IFNA(VLOOKUP(INDIRECT("G"&amp;ROW()),minfo!$A:$M,COLUMN()-8,0),"")</f>
        <v>0</v>
      </c>
      <c r="O397" s="4" t="str">
        <f ca="1">_xlfn.IFNA(VLOOKUP(INDIRECT("G"&amp;ROW()),minfo!$A:$M,COLUMN()-8,0),"")</f>
        <v>https://i0.hdslb.com/bfs/station_src/music_metadata/740bcd3058e7aa98df27f1f0a32b0f4b.jpg</v>
      </c>
      <c r="P397" s="4" t="str">
        <f ca="1">_xlfn.IFNA(VLOOKUP(INDIRECT("G"&amp;ROW()),minfo!$A:$M,COLUMN()-8,0),"")</f>
        <v>copyright-crawler/music/task-lyric/654daafbfad724c0d03b496f.txt</v>
      </c>
      <c r="Q397" s="4">
        <f ca="1">_xlfn.IFNA(VLOOKUP(INDIRECT("G"&amp;ROW()),minfo!$A:$M,COLUMN()-8,0),"")</f>
        <v>2220</v>
      </c>
      <c r="R397" s="4" t="str">
        <f ca="1">_xlfn.IFNA(VLOOKUP(INDIRECT("G"&amp;ROW()),minfo!$A:$M,COLUMN()-8,0),"")</f>
        <v>雨下一整晚</v>
      </c>
      <c r="S397" s="4" t="str">
        <f ca="1">_xlfn.IFNA(VLOOKUP(INDIRECT("G"&amp;ROW()),minfo!$A:$M,COLUMN()-8,0),"")</f>
        <v>跨时代</v>
      </c>
      <c r="T397" s="4">
        <f ca="1">_xlfn.IFNA(VLOOKUP(INDIRECT("G"&amp;ROW()),minfo!$A:$M,COLUMN()-8,0),"")</f>
        <v>288931916</v>
      </c>
      <c r="U397" s="4">
        <f ca="1">_xlfn.IFNA(VLOOKUP(INDIRECT("G"&amp;ROW()),minfo!$A:$M,COLUMN()-8,0),"")</f>
        <v>0</v>
      </c>
    </row>
    <row r="398" spans="1:21" ht="15.75" customHeight="1">
      <c r="A398" s="15">
        <v>397</v>
      </c>
      <c r="B398" s="4" t="s">
        <v>3968</v>
      </c>
      <c r="C398" s="4">
        <v>398</v>
      </c>
      <c r="D398" s="4">
        <v>7</v>
      </c>
      <c r="E398" s="4" t="s">
        <v>1255</v>
      </c>
      <c r="F398" s="16">
        <v>45116</v>
      </c>
      <c r="G398" s="5" t="s">
        <v>1254</v>
      </c>
      <c r="H398" s="5" t="s">
        <v>3961</v>
      </c>
      <c r="I398" s="24" t="str">
        <f>HYPERLINK("https://www.bilibili.com/video/BV1gz4y147yu?p=7", "BV1gz4y147yu?p=7")</f>
        <v>BV1gz4y147yu?p=7</v>
      </c>
      <c r="J398" s="4" t="str">
        <f ca="1">_xlfn.IFNA(VLOOKUP(INDIRECT("G"&amp;ROW()),minfo!$A:$M,COLUMN()-8,0),"")</f>
        <v>频率</v>
      </c>
      <c r="K398" s="4" t="str">
        <f ca="1">_xlfn.IFNA(VLOOKUP(INDIRECT("G"&amp;ROW()),minfo!$A:$M,COLUMN()-8,0),"")</f>
        <v>苏打绿</v>
      </c>
      <c r="L398" s="4">
        <f ca="1">_xlfn.IFNA(VLOOKUP(INDIRECT("G"&amp;ROW()),minfo!$A:$M,COLUMN()-8,0),"")</f>
        <v>0</v>
      </c>
      <c r="M398" s="4">
        <f ca="1">_xlfn.IFNA(VLOOKUP(INDIRECT("G"&amp;ROW()),minfo!$A:$M,COLUMN()-8,0),"")</f>
        <v>0</v>
      </c>
      <c r="N398" s="4">
        <f ca="1">_xlfn.IFNA(VLOOKUP(INDIRECT("G"&amp;ROW()),minfo!$A:$M,COLUMN()-8,0),"")</f>
        <v>0</v>
      </c>
      <c r="O398" s="4" t="str">
        <f ca="1">_xlfn.IFNA(VLOOKUP(INDIRECT("G"&amp;ROW()),minfo!$A:$M,COLUMN()-8,0),"")</f>
        <v>http://i0.hdslb.com/bfs/station_src/music_metadata/d355dd715b57d78b55b55bafc618fa13.jpg</v>
      </c>
      <c r="P398" s="4" t="str">
        <f ca="1">_xlfn.IFNA(VLOOKUP(INDIRECT("G"&amp;ROW()),minfo!$A:$M,COLUMN()-8,0),"")</f>
        <v>https://i0.hdslb.com/bfs/station_src/music_metadata/f0e4923aa68dd06d7470f9e57ad496f2.txt</v>
      </c>
      <c r="Q398" s="4">
        <f ca="1">_xlfn.IFNA(VLOOKUP(INDIRECT("G"&amp;ROW()),minfo!$A:$M,COLUMN()-8,0),"")</f>
        <v>11</v>
      </c>
      <c r="R398" s="4">
        <f ca="1">_xlfn.IFNA(VLOOKUP(INDIRECT("G"&amp;ROW()),minfo!$A:$M,COLUMN()-8,0),"")</f>
        <v>0</v>
      </c>
      <c r="S398" s="4">
        <f ca="1">_xlfn.IFNA(VLOOKUP(INDIRECT("G"&amp;ROW()),minfo!$A:$M,COLUMN()-8,0),"")</f>
        <v>0</v>
      </c>
      <c r="T398" s="4">
        <f ca="1">_xlfn.IFNA(VLOOKUP(INDIRECT("G"&amp;ROW()),minfo!$A:$M,COLUMN()-8,0),"")</f>
        <v>4994709</v>
      </c>
      <c r="U398" s="4">
        <f ca="1">_xlfn.IFNA(VLOOKUP(INDIRECT("G"&amp;ROW()),minfo!$A:$M,COLUMN()-8,0),"")</f>
        <v>0</v>
      </c>
    </row>
    <row r="399" spans="1:21" ht="15.75" customHeight="1">
      <c r="A399" s="15">
        <v>398</v>
      </c>
      <c r="B399" s="4" t="s">
        <v>3969</v>
      </c>
      <c r="C399" s="4">
        <v>399</v>
      </c>
      <c r="D399" s="4">
        <v>8</v>
      </c>
      <c r="E399" s="4" t="s">
        <v>812</v>
      </c>
      <c r="F399" s="16">
        <v>45116</v>
      </c>
      <c r="G399" s="5" t="s">
        <v>811</v>
      </c>
      <c r="H399" s="5" t="s">
        <v>3961</v>
      </c>
      <c r="I399" s="24" t="str">
        <f>HYPERLINK("https://www.bilibili.com/video/BV1gz4y147yu?p=8", "BV1gz4y147yu?p=8")</f>
        <v>BV1gz4y147yu?p=8</v>
      </c>
      <c r="J399" s="4" t="str">
        <f ca="1">_xlfn.IFNA(VLOOKUP(INDIRECT("G"&amp;ROW()),minfo!$A:$M,COLUMN()-8,0),"")</f>
        <v>下雨的夜晚</v>
      </c>
      <c r="K399" s="4" t="str">
        <f ca="1">_xlfn.IFNA(VLOOKUP(INDIRECT("G"&amp;ROW()),minfo!$A:$M,COLUMN()-8,0),"")</f>
        <v>苏打绿</v>
      </c>
      <c r="L399" s="4">
        <f ca="1">_xlfn.IFNA(VLOOKUP(INDIRECT("G"&amp;ROW()),minfo!$A:$M,COLUMN()-8,0),"")</f>
        <v>0</v>
      </c>
      <c r="M399" s="4">
        <f ca="1">_xlfn.IFNA(VLOOKUP(INDIRECT("G"&amp;ROW()),minfo!$A:$M,COLUMN()-8,0),"")</f>
        <v>0</v>
      </c>
      <c r="N399" s="4">
        <f ca="1">_xlfn.IFNA(VLOOKUP(INDIRECT("G"&amp;ROW()),minfo!$A:$M,COLUMN()-8,0),"")</f>
        <v>0</v>
      </c>
      <c r="O399" s="4" t="str">
        <f ca="1">_xlfn.IFNA(VLOOKUP(INDIRECT("G"&amp;ROW()),minfo!$A:$M,COLUMN()-8,0),"")</f>
        <v>https://i0.hdslb.com/bfs/station_src/music_metadata/515892bd2a4d344caf93fec714c813be.jpg</v>
      </c>
      <c r="P399" s="4">
        <f ca="1">_xlfn.IFNA(VLOOKUP(INDIRECT("G"&amp;ROW()),minfo!$A:$M,COLUMN()-8,0),"")</f>
        <v>0</v>
      </c>
      <c r="Q399" s="4">
        <f ca="1">_xlfn.IFNA(VLOOKUP(INDIRECT("G"&amp;ROW()),minfo!$A:$M,COLUMN()-8,0),"")</f>
        <v>14</v>
      </c>
      <c r="R399" s="4">
        <f ca="1">_xlfn.IFNA(VLOOKUP(INDIRECT("G"&amp;ROW()),minfo!$A:$M,COLUMN()-8,0),"")</f>
        <v>0</v>
      </c>
      <c r="S399" s="4" t="str">
        <f ca="1">_xlfn.IFNA(VLOOKUP(INDIRECT("G"&amp;ROW()),minfo!$A:$M,COLUMN()-8,0),"")</f>
        <v>冬 未了</v>
      </c>
      <c r="T399" s="4">
        <f ca="1">_xlfn.IFNA(VLOOKUP(INDIRECT("G"&amp;ROW()),minfo!$A:$M,COLUMN()-8,0),"")</f>
        <v>3649724</v>
      </c>
      <c r="U399" s="4">
        <f ca="1">_xlfn.IFNA(VLOOKUP(INDIRECT("G"&amp;ROW()),minfo!$A:$M,COLUMN()-8,0),"")</f>
        <v>0</v>
      </c>
    </row>
    <row r="400" spans="1:21" ht="15.75" customHeight="1">
      <c r="A400" s="15">
        <v>399</v>
      </c>
      <c r="B400" s="4" t="s">
        <v>3970</v>
      </c>
      <c r="C400" s="4">
        <v>400</v>
      </c>
      <c r="D400" s="4">
        <v>9</v>
      </c>
      <c r="E400" s="4" t="s">
        <v>1259</v>
      </c>
      <c r="F400" s="16">
        <v>45116</v>
      </c>
      <c r="G400" s="5" t="s">
        <v>1258</v>
      </c>
      <c r="H400" s="5" t="s">
        <v>3961</v>
      </c>
      <c r="I400" s="24" t="str">
        <f>HYPERLINK("https://www.bilibili.com/video/BV1gz4y147yu?p=9", "BV1gz4y147yu?p=9")</f>
        <v>BV1gz4y147yu?p=9</v>
      </c>
      <c r="J400" s="4" t="str">
        <f ca="1">_xlfn.IFNA(VLOOKUP(INDIRECT("G"&amp;ROW()),minfo!$A:$M,COLUMN()-8,0),"")</f>
        <v>想你的365天</v>
      </c>
      <c r="K400" s="4" t="str">
        <f ca="1">_xlfn.IFNA(VLOOKUP(INDIRECT("G"&amp;ROW()),minfo!$A:$M,COLUMN()-8,0),"")</f>
        <v>CoCo李玟</v>
      </c>
      <c r="L400" s="4">
        <f ca="1">_xlfn.IFNA(VLOOKUP(INDIRECT("G"&amp;ROW()),minfo!$A:$M,COLUMN()-8,0),"")</f>
        <v>0</v>
      </c>
      <c r="M400" s="4">
        <f ca="1">_xlfn.IFNA(VLOOKUP(INDIRECT("G"&amp;ROW()),minfo!$A:$M,COLUMN()-8,0),"")</f>
        <v>0</v>
      </c>
      <c r="N400" s="4">
        <f ca="1">_xlfn.IFNA(VLOOKUP(INDIRECT("G"&amp;ROW()),minfo!$A:$M,COLUMN()-8,0),"")</f>
        <v>0</v>
      </c>
      <c r="O400" s="4" t="str">
        <f ca="1">_xlfn.IFNA(VLOOKUP(INDIRECT("G"&amp;ROW()),minfo!$A:$M,COLUMN()-8,0),"")</f>
        <v>http://i0.hdslb.com/bfs/station_src/music_metadata/7e0fc3a65347dff7ca5325dcea0c423c.jpg</v>
      </c>
      <c r="P400" s="4" t="str">
        <f ca="1">_xlfn.IFNA(VLOOKUP(INDIRECT("G"&amp;ROW()),minfo!$A:$M,COLUMN()-8,0),"")</f>
        <v>http://i0.hdslb.com/bfs/station_src/music_metadata/df04ab256bcc74775cd5bcfba9597cb4</v>
      </c>
      <c r="Q400" s="4">
        <f ca="1">_xlfn.IFNA(VLOOKUP(INDIRECT("G"&amp;ROW()),minfo!$A:$M,COLUMN()-8,0),"")</f>
        <v>408</v>
      </c>
      <c r="R400" s="4">
        <f ca="1">_xlfn.IFNA(VLOOKUP(INDIRECT("G"&amp;ROW()),minfo!$A:$M,COLUMN()-8,0),"")</f>
        <v>0</v>
      </c>
      <c r="S400" s="4" t="str">
        <f ca="1">_xlfn.IFNA(VLOOKUP(INDIRECT("G"&amp;ROW()),minfo!$A:$M,COLUMN()-8,0),"")</f>
        <v>碰碰看爱情</v>
      </c>
      <c r="T400" s="4">
        <f ca="1">_xlfn.IFNA(VLOOKUP(INDIRECT("G"&amp;ROW()),minfo!$A:$M,COLUMN()-8,0),"")</f>
        <v>82776763</v>
      </c>
      <c r="U400" s="4" t="str">
        <f ca="1">_xlfn.IFNA(VLOOKUP(INDIRECT("G"&amp;ROW()),minfo!$A:$M,COLUMN()-8,0),"")</f>
        <v>音乐榜最高NO.9</v>
      </c>
    </row>
    <row r="401" spans="1:21" ht="15.75" customHeight="1">
      <c r="A401" s="15">
        <v>400</v>
      </c>
      <c r="B401" s="4" t="s">
        <v>3971</v>
      </c>
      <c r="C401" s="4">
        <v>401</v>
      </c>
      <c r="D401" s="4">
        <v>10</v>
      </c>
      <c r="E401" s="4" t="s">
        <v>384</v>
      </c>
      <c r="F401" s="16">
        <v>45119</v>
      </c>
      <c r="G401" s="5" t="s">
        <v>383</v>
      </c>
      <c r="H401" s="5" t="s">
        <v>3961</v>
      </c>
      <c r="I401" s="24" t="str">
        <f>HYPERLINK("https://www.bilibili.com/video/BV1gz4y147yu?p=10", "BV1gz4y147yu?p=10")</f>
        <v>BV1gz4y147yu?p=10</v>
      </c>
      <c r="J401" s="4" t="str">
        <f ca="1">_xlfn.IFNA(VLOOKUP(INDIRECT("G"&amp;ROW()),minfo!$A:$M,COLUMN()-8,0),"")</f>
        <v>恰好</v>
      </c>
      <c r="K401" s="4" t="str">
        <f ca="1">_xlfn.IFNA(VLOOKUP(INDIRECT("G"&amp;ROW()),minfo!$A:$M,COLUMN()-8,0),"")</f>
        <v>黄龄,李鑫一</v>
      </c>
      <c r="L401" s="4">
        <f ca="1">_xlfn.IFNA(VLOOKUP(INDIRECT("G"&amp;ROW()),minfo!$A:$M,COLUMN()-8,0),"")</f>
        <v>0</v>
      </c>
      <c r="M401" s="4">
        <f ca="1">_xlfn.IFNA(VLOOKUP(INDIRECT("G"&amp;ROW()),minfo!$A:$M,COLUMN()-8,0),"")</f>
        <v>0</v>
      </c>
      <c r="N401" s="4">
        <f ca="1">_xlfn.IFNA(VLOOKUP(INDIRECT("G"&amp;ROW()),minfo!$A:$M,COLUMN()-8,0),"")</f>
        <v>0</v>
      </c>
      <c r="O401" s="4" t="str">
        <f ca="1">_xlfn.IFNA(VLOOKUP(INDIRECT("G"&amp;ROW()),minfo!$A:$M,COLUMN()-8,0),"")</f>
        <v>https://i0.hdslb.com/bfs/station_src/music_metadata/4114b5dce4dc2e8fa6d696106a6624eb.jpg</v>
      </c>
      <c r="P401" s="4" t="str">
        <f ca="1">_xlfn.IFNA(VLOOKUP(INDIRECT("G"&amp;ROW()),minfo!$A:$M,COLUMN()-8,0),"")</f>
        <v>https://i0.hdslb.com/bfs/station_src/music_metadata/7105373054bbacbd0af01ee959bcd5e2.txt</v>
      </c>
      <c r="Q401" s="4">
        <f ca="1">_xlfn.IFNA(VLOOKUP(INDIRECT("G"&amp;ROW()),minfo!$A:$M,COLUMN()-8,0),"")</f>
        <v>0</v>
      </c>
      <c r="R401" s="4">
        <f ca="1">_xlfn.IFNA(VLOOKUP(INDIRECT("G"&amp;ROW()),minfo!$A:$M,COLUMN()-8,0),"")</f>
        <v>0</v>
      </c>
      <c r="S401" s="4" t="str">
        <f ca="1">_xlfn.IFNA(VLOOKUP(INDIRECT("G"&amp;ROW()),minfo!$A:$M,COLUMN()-8,0),"")</f>
        <v>天赐的声音第二季 第9期</v>
      </c>
      <c r="T401" s="4">
        <f ca="1">_xlfn.IFNA(VLOOKUP(INDIRECT("G"&amp;ROW()),minfo!$A:$M,COLUMN()-8,0),"")</f>
        <v>436159</v>
      </c>
      <c r="U401" s="4">
        <f ca="1">_xlfn.IFNA(VLOOKUP(INDIRECT("G"&amp;ROW()),minfo!$A:$M,COLUMN()-8,0),"")</f>
        <v>0</v>
      </c>
    </row>
    <row r="402" spans="1:21" ht="15.75" customHeight="1">
      <c r="A402" s="15">
        <v>401</v>
      </c>
      <c r="B402" s="4" t="s">
        <v>3972</v>
      </c>
      <c r="C402" s="4">
        <v>402</v>
      </c>
      <c r="D402" s="4">
        <v>11</v>
      </c>
      <c r="E402" s="4" t="s">
        <v>3973</v>
      </c>
      <c r="F402" s="16">
        <v>45119</v>
      </c>
      <c r="G402" s="5" t="s">
        <v>1265</v>
      </c>
      <c r="H402" s="5" t="s">
        <v>3961</v>
      </c>
      <c r="I402" s="24" t="str">
        <f>HYPERLINK("https://www.bilibili.com/video/BV1gz4y147yu?p=11", "BV1gz4y147yu?p=11")</f>
        <v>BV1gz4y147yu?p=11</v>
      </c>
      <c r="J402" s="4" t="str">
        <f ca="1">_xlfn.IFNA(VLOOKUP(INDIRECT("G"&amp;ROW()),minfo!$A:$M,COLUMN()-8,0),"")</f>
        <v>Reflection</v>
      </c>
      <c r="K402" s="4" t="str">
        <f ca="1">_xlfn.IFNA(VLOOKUP(INDIRECT("G"&amp;ROW()),minfo!$A:$M,COLUMN()-8,0),"")</f>
        <v>Christina Aguilera</v>
      </c>
      <c r="L402" s="4">
        <f ca="1">_xlfn.IFNA(VLOOKUP(INDIRECT("G"&amp;ROW()),minfo!$A:$M,COLUMN()-8,0),"")</f>
        <v>0</v>
      </c>
      <c r="M402" s="4">
        <f ca="1">_xlfn.IFNA(VLOOKUP(INDIRECT("G"&amp;ROW()),minfo!$A:$M,COLUMN()-8,0),"")</f>
        <v>0</v>
      </c>
      <c r="N402" s="4">
        <f ca="1">_xlfn.IFNA(VLOOKUP(INDIRECT("G"&amp;ROW()),minfo!$A:$M,COLUMN()-8,0),"")</f>
        <v>0</v>
      </c>
      <c r="O402" s="4" t="str">
        <f ca="1">_xlfn.IFNA(VLOOKUP(INDIRECT("G"&amp;ROW()),minfo!$A:$M,COLUMN()-8,0),"")</f>
        <v>https://i0.hdslb.com/bfs/station_src/music_metadata/0d7f271e6f2c08fc7ca8314568eac002.jpg</v>
      </c>
      <c r="P402" s="4" t="str">
        <f ca="1">_xlfn.IFNA(VLOOKUP(INDIRECT("G"&amp;ROW()),minfo!$A:$M,COLUMN()-8,0),"")</f>
        <v>https://i0.hdslb.com/bfs/station_src/music_metadata/bd734f3bc162e7d8c76d4cf3e4b594c3.txt</v>
      </c>
      <c r="Q402" s="4">
        <f ca="1">_xlfn.IFNA(VLOOKUP(INDIRECT("G"&amp;ROW()),minfo!$A:$M,COLUMN()-8,0),"")</f>
        <v>64</v>
      </c>
      <c r="R402" s="4" t="str">
        <f ca="1">_xlfn.IFNA(VLOOKUP(INDIRECT("G"&amp;ROW()),minfo!$A:$M,COLUMN()-8,0),"")</f>
        <v>动画电影《花木兰》主题曲</v>
      </c>
      <c r="S402" s="4" t="str">
        <f ca="1">_xlfn.IFNA(VLOOKUP(INDIRECT("G"&amp;ROW()),minfo!$A:$M,COLUMN()-8,0),"")</f>
        <v>Princess Disneymania</v>
      </c>
      <c r="T402" s="4">
        <f ca="1">_xlfn.IFNA(VLOOKUP(INDIRECT("G"&amp;ROW()),minfo!$A:$M,COLUMN()-8,0),"")</f>
        <v>15785405</v>
      </c>
      <c r="U402" s="4">
        <f ca="1">_xlfn.IFNA(VLOOKUP(INDIRECT("G"&amp;ROW()),minfo!$A:$M,COLUMN()-8,0),"")</f>
        <v>0</v>
      </c>
    </row>
    <row r="403" spans="1:21" ht="15.75" customHeight="1">
      <c r="A403" s="15">
        <v>402</v>
      </c>
      <c r="B403" s="4" t="s">
        <v>3974</v>
      </c>
      <c r="C403" s="4">
        <v>403</v>
      </c>
      <c r="D403" s="4">
        <v>12</v>
      </c>
      <c r="E403" s="4" t="s">
        <v>1273</v>
      </c>
      <c r="F403" s="16">
        <v>45119</v>
      </c>
      <c r="G403" s="5" t="s">
        <v>1272</v>
      </c>
      <c r="H403" s="5" t="s">
        <v>3961</v>
      </c>
      <c r="I403" s="24" t="str">
        <f>HYPERLINK("https://www.bilibili.com/video/BV1gz4y147yu?p=12", "BV1gz4y147yu?p=12")</f>
        <v>BV1gz4y147yu?p=12</v>
      </c>
      <c r="J403" s="4" t="str">
        <f ca="1">_xlfn.IFNA(VLOOKUP(INDIRECT("G"&amp;ROW()),minfo!$A:$M,COLUMN()-8,0),"")</f>
        <v>这世界那么多人</v>
      </c>
      <c r="K403" s="4" t="str">
        <f ca="1">_xlfn.IFNA(VLOOKUP(INDIRECT("G"&amp;ROW()),minfo!$A:$M,COLUMN()-8,0),"")</f>
        <v>莫文蔚</v>
      </c>
      <c r="L403" s="4">
        <f ca="1">_xlfn.IFNA(VLOOKUP(INDIRECT("G"&amp;ROW()),minfo!$A:$M,COLUMN()-8,0),"")</f>
        <v>0</v>
      </c>
      <c r="M403" s="4">
        <f ca="1">_xlfn.IFNA(VLOOKUP(INDIRECT("G"&amp;ROW()),minfo!$A:$M,COLUMN()-8,0),"")</f>
        <v>0</v>
      </c>
      <c r="N403" s="4">
        <f ca="1">_xlfn.IFNA(VLOOKUP(INDIRECT("G"&amp;ROW()),minfo!$A:$M,COLUMN()-8,0),"")</f>
        <v>0</v>
      </c>
      <c r="O403" s="4" t="str">
        <f ca="1">_xlfn.IFNA(VLOOKUP(INDIRECT("G"&amp;ROW()),minfo!$A:$M,COLUMN()-8,0),"")</f>
        <v>http://i0.hdslb.com/bfs/station_src/music_metadata/e7c4033963414035f8529bd990a0ea86.jpg</v>
      </c>
      <c r="P403" s="4" t="str">
        <f ca="1">_xlfn.IFNA(VLOOKUP(INDIRECT("G"&amp;ROW()),minfo!$A:$M,COLUMN()-8,0),"")</f>
        <v>http://i0.hdslb.com/bfs/station_src/music_metadata/e8998a2ba4644d4ab56c9b83478820bf</v>
      </c>
      <c r="Q403" s="4">
        <f ca="1">_xlfn.IFNA(VLOOKUP(INDIRECT("G"&amp;ROW()),minfo!$A:$M,COLUMN()-8,0),"")</f>
        <v>2369</v>
      </c>
      <c r="R403" s="4" t="str">
        <f ca="1">_xlfn.IFNA(VLOOKUP(INDIRECT("G"&amp;ROW()),minfo!$A:$M,COLUMN()-8,0),"")</f>
        <v>《我们要在一起》电影主题曲</v>
      </c>
      <c r="S403" s="4" t="str">
        <f ca="1">_xlfn.IFNA(VLOOKUP(INDIRECT("G"&amp;ROW()),minfo!$A:$M,COLUMN()-8,0),"")</f>
        <v>这世界那么多人</v>
      </c>
      <c r="T403" s="4">
        <f ca="1">_xlfn.IFNA(VLOOKUP(INDIRECT("G"&amp;ROW()),minfo!$A:$M,COLUMN()-8,0),"")</f>
        <v>672798547</v>
      </c>
      <c r="U403" s="4">
        <f ca="1">_xlfn.IFNA(VLOOKUP(INDIRECT("G"&amp;ROW()),minfo!$A:$M,COLUMN()-8,0),"")</f>
        <v>0</v>
      </c>
    </row>
    <row r="404" spans="1:21" ht="15.75" customHeight="1">
      <c r="A404" s="15">
        <v>403</v>
      </c>
      <c r="B404" s="4" t="s">
        <v>3975</v>
      </c>
      <c r="C404" s="4">
        <v>404</v>
      </c>
      <c r="D404" s="4">
        <v>13</v>
      </c>
      <c r="E404" s="4" t="s">
        <v>781</v>
      </c>
      <c r="F404" s="16">
        <v>45119</v>
      </c>
      <c r="G404" s="5" t="s">
        <v>780</v>
      </c>
      <c r="H404" s="5" t="s">
        <v>3961</v>
      </c>
      <c r="I404" s="24" t="str">
        <f>HYPERLINK("https://www.bilibili.com/video/BV1gz4y147yu?p=13", "BV1gz4y147yu?p=13")</f>
        <v>BV1gz4y147yu?p=13</v>
      </c>
      <c r="J404" s="4" t="str">
        <f ca="1">_xlfn.IFNA(VLOOKUP(INDIRECT("G"&amp;ROW()),minfo!$A:$M,COLUMN()-8,0),"")</f>
        <v>小小</v>
      </c>
      <c r="K404" s="4" t="str">
        <f ca="1">_xlfn.IFNA(VLOOKUP(INDIRECT("G"&amp;ROW()),minfo!$A:$M,COLUMN()-8,0),"")</f>
        <v>容祖儿</v>
      </c>
      <c r="L404" s="4">
        <f ca="1">_xlfn.IFNA(VLOOKUP(INDIRECT("G"&amp;ROW()),minfo!$A:$M,COLUMN()-8,0),"")</f>
        <v>0</v>
      </c>
      <c r="M404" s="4">
        <f ca="1">_xlfn.IFNA(VLOOKUP(INDIRECT("G"&amp;ROW()),minfo!$A:$M,COLUMN()-8,0),"")</f>
        <v>0</v>
      </c>
      <c r="N404" s="4">
        <f ca="1">_xlfn.IFNA(VLOOKUP(INDIRECT("G"&amp;ROW()),minfo!$A:$M,COLUMN()-8,0),"")</f>
        <v>0</v>
      </c>
      <c r="O404" s="4" t="str">
        <f ca="1">_xlfn.IFNA(VLOOKUP(INDIRECT("G"&amp;ROW()),minfo!$A:$M,COLUMN()-8,0),"")</f>
        <v>https://i0.hdslb.com/bfs/station_src/music_metadata/b9d714ef715f7687d8bb23e6a2aba371.jpg</v>
      </c>
      <c r="P404" s="4" t="str">
        <f ca="1">_xlfn.IFNA(VLOOKUP(INDIRECT("G"&amp;ROW()),minfo!$A:$M,COLUMN()-8,0),"")</f>
        <v>http://i0.hdslb.com/bfs/station_src/music_metadata/bb836ee3f63bcd025917ff09534c243d</v>
      </c>
      <c r="Q404" s="4">
        <f ca="1">_xlfn.IFNA(VLOOKUP(INDIRECT("G"&amp;ROW()),minfo!$A:$M,COLUMN()-8,0),"")</f>
        <v>668</v>
      </c>
      <c r="R404" s="4">
        <f ca="1">_xlfn.IFNA(VLOOKUP(INDIRECT("G"&amp;ROW()),minfo!$A:$M,COLUMN()-8,0),"")</f>
        <v>0</v>
      </c>
      <c r="S404" s="4" t="str">
        <f ca="1">_xlfn.IFNA(VLOOKUP(INDIRECT("G"&amp;ROW()),minfo!$A:$M,COLUMN()-8,0),"")</f>
        <v>小小</v>
      </c>
      <c r="T404" s="4">
        <f ca="1">_xlfn.IFNA(VLOOKUP(INDIRECT("G"&amp;ROW()),minfo!$A:$M,COLUMN()-8,0),"")</f>
        <v>101119426</v>
      </c>
      <c r="U404" s="4">
        <f ca="1">_xlfn.IFNA(VLOOKUP(INDIRECT("G"&amp;ROW()),minfo!$A:$M,COLUMN()-8,0),"")</f>
        <v>0</v>
      </c>
    </row>
    <row r="405" spans="1:21" ht="15.75" customHeight="1">
      <c r="A405" s="15">
        <v>404</v>
      </c>
      <c r="B405" s="4" t="s">
        <v>3976</v>
      </c>
      <c r="C405" s="4">
        <v>405</v>
      </c>
      <c r="D405" s="4">
        <v>14</v>
      </c>
      <c r="E405" s="4" t="s">
        <v>3745</v>
      </c>
      <c r="F405" s="16">
        <v>45121</v>
      </c>
      <c r="G405" s="5" t="s">
        <v>771</v>
      </c>
      <c r="H405" s="5" t="s">
        <v>3961</v>
      </c>
      <c r="I405" s="24" t="str">
        <f>HYPERLINK("https://www.bilibili.com/video/BV1gz4y147yu?p=14", "BV1gz4y147yu?p=14")</f>
        <v>BV1gz4y147yu?p=14</v>
      </c>
      <c r="J405" s="4" t="str">
        <f ca="1">_xlfn.IFNA(VLOOKUP(INDIRECT("G"&amp;ROW()),minfo!$A:$M,COLUMN()-8,0),"")</f>
        <v>Da Capo</v>
      </c>
      <c r="K405" s="4" t="str">
        <f ca="1">_xlfn.IFNA(VLOOKUP(INDIRECT("G"&amp;ROW()),minfo!$A:$M,COLUMN()-8,0),"")</f>
        <v>HOYO-MiX</v>
      </c>
      <c r="L405" s="4">
        <f ca="1">_xlfn.IFNA(VLOOKUP(INDIRECT("G"&amp;ROW()),minfo!$A:$M,COLUMN()-8,0),"")</f>
        <v>0</v>
      </c>
      <c r="M405" s="4">
        <f ca="1">_xlfn.IFNA(VLOOKUP(INDIRECT("G"&amp;ROW()),minfo!$A:$M,COLUMN()-8,0),"")</f>
        <v>371028</v>
      </c>
      <c r="N405" s="4">
        <f ca="1">_xlfn.IFNA(VLOOKUP(INDIRECT("G"&amp;ROW()),minfo!$A:$M,COLUMN()-8,0),"")</f>
        <v>46827</v>
      </c>
      <c r="O405" s="4" t="str">
        <f ca="1">_xlfn.IFNA(VLOOKUP(INDIRECT("G"&amp;ROW()),minfo!$A:$M,COLUMN()-8,0),"")</f>
        <v>https://i0.hdslb.com/bfs/station_src/music_metadata/7a9cf5180d2e8b433b69c7064ff0efe1.jpg</v>
      </c>
      <c r="P405" s="4">
        <f ca="1">_xlfn.IFNA(VLOOKUP(INDIRECT("G"&amp;ROW()),minfo!$A:$M,COLUMN()-8,0),"")</f>
        <v>0</v>
      </c>
      <c r="Q405" s="4">
        <f ca="1">_xlfn.IFNA(VLOOKUP(INDIRECT("G"&amp;ROW()),minfo!$A:$M,COLUMN()-8,0),"")</f>
        <v>6426</v>
      </c>
      <c r="R405" s="4">
        <f ca="1">_xlfn.IFNA(VLOOKUP(INDIRECT("G"&amp;ROW()),minfo!$A:$M,COLUMN()-8,0),"")</f>
        <v>0</v>
      </c>
      <c r="S405" s="4" t="str">
        <f ca="1">_xlfn.IFNA(VLOOKUP(INDIRECT("G"&amp;ROW()),minfo!$A:$M,COLUMN()-8,0),"")</f>
        <v>Da Capo</v>
      </c>
      <c r="T405" s="4">
        <f ca="1">_xlfn.IFNA(VLOOKUP(INDIRECT("G"&amp;ROW()),minfo!$A:$M,COLUMN()-8,0),"")</f>
        <v>127070294</v>
      </c>
      <c r="U405" s="4" t="str">
        <f ca="1">_xlfn.IFNA(VLOOKUP(INDIRECT("G"&amp;ROW()),minfo!$A:$M,COLUMN()-8,0),"")</f>
        <v>音乐榜最高NO.1</v>
      </c>
    </row>
    <row r="406" spans="1:21" ht="15.75" customHeight="1">
      <c r="A406" s="15">
        <v>405</v>
      </c>
      <c r="B406" s="4" t="s">
        <v>3977</v>
      </c>
      <c r="C406" s="4">
        <v>406</v>
      </c>
      <c r="D406" s="4">
        <v>15</v>
      </c>
      <c r="E406" s="4" t="s">
        <v>1279</v>
      </c>
      <c r="F406" s="16">
        <v>45121</v>
      </c>
      <c r="G406" s="5" t="s">
        <v>1278</v>
      </c>
      <c r="H406" s="5" t="s">
        <v>3961</v>
      </c>
      <c r="I406" s="24" t="str">
        <f>HYPERLINK("https://www.bilibili.com/video/BV1gz4y147yu?p=15", "BV1gz4y147yu?p=15")</f>
        <v>BV1gz4y147yu?p=15</v>
      </c>
      <c r="J406" s="4" t="str">
        <f ca="1">_xlfn.IFNA(VLOOKUP(INDIRECT("G"&amp;ROW()),minfo!$A:$M,COLUMN()-8,0),"")</f>
        <v>敢</v>
      </c>
      <c r="K406" s="4" t="str">
        <f ca="1">_xlfn.IFNA(VLOOKUP(INDIRECT("G"&amp;ROW()),minfo!$A:$M,COLUMN()-8,0),"")</f>
        <v>黄龄</v>
      </c>
      <c r="L406" s="4">
        <f ca="1">_xlfn.IFNA(VLOOKUP(INDIRECT("G"&amp;ROW()),minfo!$A:$M,COLUMN()-8,0),"")</f>
        <v>0</v>
      </c>
      <c r="M406" s="4">
        <f ca="1">_xlfn.IFNA(VLOOKUP(INDIRECT("G"&amp;ROW()),minfo!$A:$M,COLUMN()-8,0),"")</f>
        <v>0</v>
      </c>
      <c r="N406" s="4">
        <f ca="1">_xlfn.IFNA(VLOOKUP(INDIRECT("G"&amp;ROW()),minfo!$A:$M,COLUMN()-8,0),"")</f>
        <v>0</v>
      </c>
      <c r="O406" s="4" t="str">
        <f ca="1">_xlfn.IFNA(VLOOKUP(INDIRECT("G"&amp;ROW()),minfo!$A:$M,COLUMN()-8,0),"")</f>
        <v>https://i0.hdslb.com/bfs/station_src/music_metadata/3be9d43d15661acaaf62abaf2eb6f23c.jpg</v>
      </c>
      <c r="P406" s="4" t="str">
        <f ca="1">_xlfn.IFNA(VLOOKUP(INDIRECT("G"&amp;ROW()),minfo!$A:$M,COLUMN()-8,0),"")</f>
        <v>https://i0.hdslb.com/bfs/station_src/music_metadata/fc8ac7f65dd494154a668870380550e2.txt</v>
      </c>
      <c r="Q406" s="4">
        <f ca="1">_xlfn.IFNA(VLOOKUP(INDIRECT("G"&amp;ROW()),minfo!$A:$M,COLUMN()-8,0),"")</f>
        <v>3</v>
      </c>
      <c r="R406" s="4" t="str">
        <f ca="1">_xlfn.IFNA(VLOOKUP(INDIRECT("G"&amp;ROW()),minfo!$A:$M,COLUMN()-8,0),"")</f>
        <v>《紫禁城》大型纪录片主题歌</v>
      </c>
      <c r="S406" s="4" t="str">
        <f ca="1">_xlfn.IFNA(VLOOKUP(INDIRECT("G"&amp;ROW()),minfo!$A:$M,COLUMN()-8,0),"")</f>
        <v>敢</v>
      </c>
      <c r="T406" s="4">
        <f ca="1">_xlfn.IFNA(VLOOKUP(INDIRECT("G"&amp;ROW()),minfo!$A:$M,COLUMN()-8,0),"")</f>
        <v>4976715</v>
      </c>
      <c r="U406" s="4">
        <f ca="1">_xlfn.IFNA(VLOOKUP(INDIRECT("G"&amp;ROW()),minfo!$A:$M,COLUMN()-8,0),"")</f>
        <v>0</v>
      </c>
    </row>
    <row r="407" spans="1:21" ht="15.75" customHeight="1">
      <c r="A407" s="15">
        <v>406</v>
      </c>
      <c r="B407" s="4" t="s">
        <v>3978</v>
      </c>
      <c r="C407" s="4">
        <v>407</v>
      </c>
      <c r="D407" s="4">
        <v>16</v>
      </c>
      <c r="E407" s="4" t="s">
        <v>536</v>
      </c>
      <c r="F407" s="16">
        <v>45121</v>
      </c>
      <c r="G407" s="5" t="s">
        <v>535</v>
      </c>
      <c r="H407" s="5" t="s">
        <v>3961</v>
      </c>
      <c r="I407" s="24" t="str">
        <f>HYPERLINK("https://www.bilibili.com/video/BV1gz4y147yu?p=16", "BV1gz4y147yu?p=16")</f>
        <v>BV1gz4y147yu?p=16</v>
      </c>
      <c r="J407" s="4" t="str">
        <f ca="1">_xlfn.IFNA(VLOOKUP(INDIRECT("G"&amp;ROW()),minfo!$A:$M,COLUMN()-8,0),"")</f>
        <v>红颜如霜</v>
      </c>
      <c r="K407" s="4" t="str">
        <f ca="1">_xlfn.IFNA(VLOOKUP(INDIRECT("G"&amp;ROW()),minfo!$A:$M,COLUMN()-8,0),"")</f>
        <v>周杰伦</v>
      </c>
      <c r="L407" s="4">
        <f ca="1">_xlfn.IFNA(VLOOKUP(INDIRECT("G"&amp;ROW()),minfo!$A:$M,COLUMN()-8,0),"")</f>
        <v>0</v>
      </c>
      <c r="M407" s="4">
        <f ca="1">_xlfn.IFNA(VLOOKUP(INDIRECT("G"&amp;ROW()),minfo!$A:$M,COLUMN()-8,0),"")</f>
        <v>179425</v>
      </c>
      <c r="N407" s="4">
        <f ca="1">_xlfn.IFNA(VLOOKUP(INDIRECT("G"&amp;ROW()),minfo!$A:$M,COLUMN()-8,0),"")</f>
        <v>61254</v>
      </c>
      <c r="O407" s="4" t="str">
        <f ca="1">_xlfn.IFNA(VLOOKUP(INDIRECT("G"&amp;ROW()),minfo!$A:$M,COLUMN()-8,0),"")</f>
        <v>https://i0.hdslb.com/bfs/station_src/music_metadata/b0bbef33041121e4c8107f9d82ff0e60.jpg</v>
      </c>
      <c r="P407" s="4">
        <f ca="1">_xlfn.IFNA(VLOOKUP(INDIRECT("G"&amp;ROW()),minfo!$A:$M,COLUMN()-8,0),"")</f>
        <v>0</v>
      </c>
      <c r="Q407" s="4">
        <f ca="1">_xlfn.IFNA(VLOOKUP(INDIRECT("G"&amp;ROW()),minfo!$A:$M,COLUMN()-8,0),"")</f>
        <v>17510</v>
      </c>
      <c r="R407" s="4">
        <f ca="1">_xlfn.IFNA(VLOOKUP(INDIRECT("G"&amp;ROW()),minfo!$A:$M,COLUMN()-8,0),"")</f>
        <v>0</v>
      </c>
      <c r="S407" s="4" t="str">
        <f ca="1">_xlfn.IFNA(VLOOKUP(INDIRECT("G"&amp;ROW()),minfo!$A:$M,COLUMN()-8,0),"")</f>
        <v>最伟大的作品</v>
      </c>
      <c r="T407" s="4">
        <f ca="1">_xlfn.IFNA(VLOOKUP(INDIRECT("G"&amp;ROW()),minfo!$A:$M,COLUMN()-8,0),"")</f>
        <v>237302125</v>
      </c>
      <c r="U407" s="4" t="str">
        <f ca="1">_xlfn.IFNA(VLOOKUP(INDIRECT("G"&amp;ROW()),minfo!$A:$M,COLUMN()-8,0),"")</f>
        <v>音乐榜最高NO.2</v>
      </c>
    </row>
    <row r="408" spans="1:21" ht="15.75" customHeight="1">
      <c r="A408" s="15">
        <v>407</v>
      </c>
      <c r="B408" s="4" t="s">
        <v>3979</v>
      </c>
      <c r="C408" s="4">
        <v>408</v>
      </c>
      <c r="D408" s="4">
        <v>17</v>
      </c>
      <c r="E408" s="4" t="s">
        <v>967</v>
      </c>
      <c r="F408" s="16">
        <v>45121</v>
      </c>
      <c r="G408" s="5" t="s">
        <v>966</v>
      </c>
      <c r="H408" s="5" t="s">
        <v>3961</v>
      </c>
      <c r="I408" s="24" t="str">
        <f>HYPERLINK("https://www.bilibili.com/video/BV1gz4y147yu?p=17", "BV1gz4y147yu?p=17")</f>
        <v>BV1gz4y147yu?p=17</v>
      </c>
      <c r="J408" s="4" t="str">
        <f ca="1">_xlfn.IFNA(VLOOKUP(INDIRECT("G"&amp;ROW()),minfo!$A:$M,COLUMN()-8,0),"")</f>
        <v>小雨</v>
      </c>
      <c r="K408" s="4" t="str">
        <f ca="1">_xlfn.IFNA(VLOOKUP(INDIRECT("G"&amp;ROW()),minfo!$A:$M,COLUMN()-8,0),"")</f>
        <v>黄龄</v>
      </c>
      <c r="L408" s="4">
        <f ca="1">_xlfn.IFNA(VLOOKUP(INDIRECT("G"&amp;ROW()),minfo!$A:$M,COLUMN()-8,0),"")</f>
        <v>0</v>
      </c>
      <c r="M408" s="4">
        <f ca="1">_xlfn.IFNA(VLOOKUP(INDIRECT("G"&amp;ROW()),minfo!$A:$M,COLUMN()-8,0),"")</f>
        <v>0</v>
      </c>
      <c r="N408" s="4">
        <f ca="1">_xlfn.IFNA(VLOOKUP(INDIRECT("G"&amp;ROW()),minfo!$A:$M,COLUMN()-8,0),"")</f>
        <v>0</v>
      </c>
      <c r="O408" s="4" t="str">
        <f ca="1">_xlfn.IFNA(VLOOKUP(INDIRECT("G"&amp;ROW()),minfo!$A:$M,COLUMN()-8,0),"")</f>
        <v>https://i0.hdslb.com/bfs/station_src/music_metadata/607346922702f1ba7302d87db0ecdbf1.jpg</v>
      </c>
      <c r="P408" s="4" t="str">
        <f ca="1">_xlfn.IFNA(VLOOKUP(INDIRECT("G"&amp;ROW()),minfo!$A:$M,COLUMN()-8,0),"")</f>
        <v>https://i0.hdslb.com/bfs/station_src/music_metadata/245fdd0b68a8f71caa554e8f05ea1b6c.txt</v>
      </c>
      <c r="Q408" s="4">
        <f ca="1">_xlfn.IFNA(VLOOKUP(INDIRECT("G"&amp;ROW()),minfo!$A:$M,COLUMN()-8,0),"")</f>
        <v>2250</v>
      </c>
      <c r="R408" s="4">
        <f ca="1">_xlfn.IFNA(VLOOKUP(INDIRECT("G"&amp;ROW()),minfo!$A:$M,COLUMN()-8,0),"")</f>
        <v>0</v>
      </c>
      <c r="S408" s="4" t="str">
        <f ca="1">_xlfn.IFNA(VLOOKUP(INDIRECT("G"&amp;ROW()),minfo!$A:$M,COLUMN()-8,0),"")</f>
        <v>小雨</v>
      </c>
      <c r="T408" s="4">
        <f ca="1">_xlfn.IFNA(VLOOKUP(INDIRECT("G"&amp;ROW()),minfo!$A:$M,COLUMN()-8,0),"")</f>
        <v>63947645</v>
      </c>
      <c r="U408" s="4">
        <f ca="1">_xlfn.IFNA(VLOOKUP(INDIRECT("G"&amp;ROW()),minfo!$A:$M,COLUMN()-8,0),"")</f>
        <v>0</v>
      </c>
    </row>
    <row r="409" spans="1:21" ht="15.75" customHeight="1">
      <c r="A409" s="15">
        <v>408</v>
      </c>
      <c r="B409" s="4" t="s">
        <v>3980</v>
      </c>
      <c r="C409" s="4">
        <v>409</v>
      </c>
      <c r="D409" s="4">
        <v>18</v>
      </c>
      <c r="E409" s="4" t="s">
        <v>930</v>
      </c>
      <c r="F409" s="16">
        <v>45121</v>
      </c>
      <c r="G409" s="5" t="s">
        <v>929</v>
      </c>
      <c r="H409" s="5" t="s">
        <v>3961</v>
      </c>
      <c r="I409" s="24" t="str">
        <f>HYPERLINK("https://www.bilibili.com/video/BV1gz4y147yu?p=18", "BV1gz4y147yu?p=18")</f>
        <v>BV1gz4y147yu?p=18</v>
      </c>
      <c r="J409" s="4" t="str">
        <f ca="1">_xlfn.IFNA(VLOOKUP(INDIRECT("G"&amp;ROW()),minfo!$A:$M,COLUMN()-8,0),"")</f>
        <v>蝶恋花</v>
      </c>
      <c r="K409" s="4" t="str">
        <f ca="1">_xlfn.IFNA(VLOOKUP(INDIRECT("G"&amp;ROW()),minfo!$A:$M,COLUMN()-8,0),"")</f>
        <v>说说Crystal</v>
      </c>
      <c r="L409" s="4">
        <f ca="1">_xlfn.IFNA(VLOOKUP(INDIRECT("G"&amp;ROW()),minfo!$A:$M,COLUMN()-8,0),"")</f>
        <v>0</v>
      </c>
      <c r="M409" s="4">
        <f ca="1">_xlfn.IFNA(VLOOKUP(INDIRECT("G"&amp;ROW()),minfo!$A:$M,COLUMN()-8,0),"")</f>
        <v>0</v>
      </c>
      <c r="N409" s="4">
        <f ca="1">_xlfn.IFNA(VLOOKUP(INDIRECT("G"&amp;ROW()),minfo!$A:$M,COLUMN()-8,0),"")</f>
        <v>0</v>
      </c>
      <c r="O409" s="4" t="str">
        <f ca="1">_xlfn.IFNA(VLOOKUP(INDIRECT("G"&amp;ROW()),minfo!$A:$M,COLUMN()-8,0),"")</f>
        <v>https://i0.hdslb.com/bfs/station_src/music_metadata/1f79684c02756b9086386bb0054e5df4.jpg</v>
      </c>
      <c r="P409" s="4" t="str">
        <f ca="1">_xlfn.IFNA(VLOOKUP(INDIRECT("G"&amp;ROW()),minfo!$A:$M,COLUMN()-8,0),"")</f>
        <v>https://i0.hdslb.com/bfs/station_src/music_metadata/4f297640d47e7f96e96f64cfd258bb5f.txt</v>
      </c>
      <c r="Q409" s="4">
        <f ca="1">_xlfn.IFNA(VLOOKUP(INDIRECT("G"&amp;ROW()),minfo!$A:$M,COLUMN()-8,0),"")</f>
        <v>1</v>
      </c>
      <c r="R409" s="4">
        <f ca="1">_xlfn.IFNA(VLOOKUP(INDIRECT("G"&amp;ROW()),minfo!$A:$M,COLUMN()-8,0),"")</f>
        <v>0</v>
      </c>
      <c r="S409" s="4" t="str">
        <f ca="1">_xlfn.IFNA(VLOOKUP(INDIRECT("G"&amp;ROW()),minfo!$A:$M,COLUMN()-8,0),"")</f>
        <v>蝶恋花</v>
      </c>
      <c r="T409" s="4">
        <f ca="1">_xlfn.IFNA(VLOOKUP(INDIRECT("G"&amp;ROW()),minfo!$A:$M,COLUMN()-8,0),"")</f>
        <v>514547</v>
      </c>
      <c r="U409" s="4">
        <f ca="1">_xlfn.IFNA(VLOOKUP(INDIRECT("G"&amp;ROW()),minfo!$A:$M,COLUMN()-8,0),"")</f>
        <v>0</v>
      </c>
    </row>
    <row r="410" spans="1:21" ht="15.75" customHeight="1">
      <c r="A410" s="15">
        <v>409</v>
      </c>
      <c r="B410" s="4" t="s">
        <v>3981</v>
      </c>
      <c r="C410" s="4">
        <v>410</v>
      </c>
      <c r="D410" s="4">
        <v>19</v>
      </c>
      <c r="E410" s="4" t="s">
        <v>2093</v>
      </c>
      <c r="F410" s="16">
        <v>45123</v>
      </c>
      <c r="G410" s="5" t="s">
        <v>2092</v>
      </c>
      <c r="H410" s="5" t="s">
        <v>3961</v>
      </c>
      <c r="I410" s="24" t="str">
        <f>HYPERLINK("https://www.bilibili.com/video/BV1gz4y147yu?p=19", "BV1gz4y147yu?p=19")</f>
        <v>BV1gz4y147yu?p=19</v>
      </c>
      <c r="J410" s="4" t="str">
        <f ca="1">_xlfn.IFNA(VLOOKUP(INDIRECT("G"&amp;ROW()),minfo!$A:$M,COLUMN()-8,0),"")</f>
        <v>女儿情</v>
      </c>
      <c r="K410" s="4" t="str">
        <f ca="1">_xlfn.IFNA(VLOOKUP(INDIRECT("G"&amp;ROW()),minfo!$A:$M,COLUMN()-8,0),"")</f>
        <v>吴静</v>
      </c>
      <c r="L410" s="4">
        <f ca="1">_xlfn.IFNA(VLOOKUP(INDIRECT("G"&amp;ROW()),minfo!$A:$M,COLUMN()-8,0),"")</f>
        <v>0</v>
      </c>
      <c r="M410" s="4">
        <f ca="1">_xlfn.IFNA(VLOOKUP(INDIRECT("G"&amp;ROW()),minfo!$A:$M,COLUMN()-8,0),"")</f>
        <v>0</v>
      </c>
      <c r="N410" s="4">
        <f ca="1">_xlfn.IFNA(VLOOKUP(INDIRECT("G"&amp;ROW()),minfo!$A:$M,COLUMN()-8,0),"")</f>
        <v>0</v>
      </c>
      <c r="O410" s="4" t="str">
        <f ca="1">_xlfn.IFNA(VLOOKUP(INDIRECT("G"&amp;ROW()),minfo!$A:$M,COLUMN()-8,0),"")</f>
        <v>http://i0.hdslb.com/bfs/station_src/music_metadata/a2c00fd4066b56fa69f2043135e08f1b.jpg</v>
      </c>
      <c r="P410" s="4" t="str">
        <f ca="1">_xlfn.IFNA(VLOOKUP(INDIRECT("G"&amp;ROW()),minfo!$A:$M,COLUMN()-8,0),"")</f>
        <v>http://i0.hdslb.com/bfs/station_src/music_metadata/35d43660f2b14e012718bd6fdbf5865c</v>
      </c>
      <c r="Q410" s="4">
        <f ca="1">_xlfn.IFNA(VLOOKUP(INDIRECT("G"&amp;ROW()),minfo!$A:$M,COLUMN()-8,0),"")</f>
        <v>853</v>
      </c>
      <c r="R410" s="4" t="str">
        <f ca="1">_xlfn.IFNA(VLOOKUP(INDIRECT("G"&amp;ROW()),minfo!$A:$M,COLUMN()-8,0),"")</f>
        <v>《西游记》电视剧插曲</v>
      </c>
      <c r="S410" s="4" t="str">
        <f ca="1">_xlfn.IFNA(VLOOKUP(INDIRECT("G"&amp;ROW()),minfo!$A:$M,COLUMN()-8,0),"")</f>
        <v>西游记 电视剧原声带</v>
      </c>
      <c r="T410" s="4">
        <f ca="1">_xlfn.IFNA(VLOOKUP(INDIRECT("G"&amp;ROW()),minfo!$A:$M,COLUMN()-8,0),"")</f>
        <v>299210152</v>
      </c>
      <c r="U410" s="4">
        <f ca="1">_xlfn.IFNA(VLOOKUP(INDIRECT("G"&amp;ROW()),minfo!$A:$M,COLUMN()-8,0),"")</f>
        <v>0</v>
      </c>
    </row>
    <row r="411" spans="1:21" ht="15.75" customHeight="1">
      <c r="A411" s="15">
        <v>410</v>
      </c>
      <c r="B411" s="4" t="s">
        <v>3982</v>
      </c>
      <c r="C411" s="4">
        <v>411</v>
      </c>
      <c r="D411" s="4">
        <v>20</v>
      </c>
      <c r="E411" s="4" t="s">
        <v>61</v>
      </c>
      <c r="F411" s="16">
        <v>45123</v>
      </c>
      <c r="G411" s="5" t="s">
        <v>61</v>
      </c>
      <c r="H411" s="5" t="s">
        <v>3961</v>
      </c>
      <c r="I411" s="24" t="str">
        <f>HYPERLINK("https://www.bilibili.com/video/BV1gz4y147yu?p=20", "BV1gz4y147yu?p=20")</f>
        <v>BV1gz4y147yu?p=20</v>
      </c>
      <c r="J411" s="4" t="str">
        <f ca="1">_xlfn.IFNA(VLOOKUP(INDIRECT("G"&amp;ROW()),minfo!$A:$M,COLUMN()-8,0),"")</f>
        <v>桃華</v>
      </c>
      <c r="K411" s="4" t="str">
        <f ca="1">_xlfn.IFNA(VLOOKUP(INDIRECT("G"&amp;ROW()),minfo!$A:$M,COLUMN()-8,0),"")</f>
        <v>说说Crystal</v>
      </c>
      <c r="L411" s="4" t="str">
        <f ca="1">_xlfn.IFNA(VLOOKUP(INDIRECT("G"&amp;ROW()),minfo!$A:$M,COLUMN()-8,0),"")</f>
        <v>BV14z4y1H7Jn</v>
      </c>
      <c r="M411" s="4">
        <f ca="1">_xlfn.IFNA(VLOOKUP(INDIRECT("G"&amp;ROW()),minfo!$A:$M,COLUMN()-8,0),"")</f>
        <v>0</v>
      </c>
      <c r="N411" s="4">
        <f ca="1">_xlfn.IFNA(VLOOKUP(INDIRECT("G"&amp;ROW()),minfo!$A:$M,COLUMN()-8,0),"")</f>
        <v>0</v>
      </c>
      <c r="O411" s="4">
        <f ca="1">_xlfn.IFNA(VLOOKUP(INDIRECT("G"&amp;ROW()),minfo!$A:$M,COLUMN()-8,0),"")</f>
        <v>0</v>
      </c>
      <c r="P411" s="4">
        <f ca="1">_xlfn.IFNA(VLOOKUP(INDIRECT("G"&amp;ROW()),minfo!$A:$M,COLUMN()-8,0),"")</f>
        <v>0</v>
      </c>
      <c r="Q411" s="4">
        <f ca="1">_xlfn.IFNA(VLOOKUP(INDIRECT("G"&amp;ROW()),minfo!$A:$M,COLUMN()-8,0),"")</f>
        <v>0</v>
      </c>
      <c r="R411" s="4">
        <f ca="1">_xlfn.IFNA(VLOOKUP(INDIRECT("G"&amp;ROW()),minfo!$A:$M,COLUMN()-8,0),"")</f>
        <v>0</v>
      </c>
      <c r="S411" s="4">
        <f ca="1">_xlfn.IFNA(VLOOKUP(INDIRECT("G"&amp;ROW()),minfo!$A:$M,COLUMN()-8,0),"")</f>
        <v>0</v>
      </c>
      <c r="T411" s="4">
        <f ca="1">_xlfn.IFNA(VLOOKUP(INDIRECT("G"&amp;ROW()),minfo!$A:$M,COLUMN()-8,0),"")</f>
        <v>0</v>
      </c>
      <c r="U411" s="4">
        <f ca="1">_xlfn.IFNA(VLOOKUP(INDIRECT("G"&amp;ROW()),minfo!$A:$M,COLUMN()-8,0),"")</f>
        <v>0</v>
      </c>
    </row>
    <row r="412" spans="1:21" ht="15.75" customHeight="1">
      <c r="A412" s="15">
        <v>411</v>
      </c>
      <c r="B412" s="4" t="s">
        <v>3983</v>
      </c>
      <c r="C412" s="4">
        <v>412</v>
      </c>
      <c r="D412" s="4">
        <v>21</v>
      </c>
      <c r="E412" s="4" t="s">
        <v>95</v>
      </c>
      <c r="F412" s="16">
        <v>45123</v>
      </c>
      <c r="G412" s="5" t="s">
        <v>203</v>
      </c>
      <c r="H412" s="5" t="s">
        <v>3961</v>
      </c>
      <c r="I412" s="24" t="str">
        <f>HYPERLINK("https://www.bilibili.com/video/BV1gz4y147yu?p=21", "BV1gz4y147yu?p=21")</f>
        <v>BV1gz4y147yu?p=21</v>
      </c>
      <c r="J412" s="4" t="str">
        <f ca="1">_xlfn.IFNA(VLOOKUP(INDIRECT("G"&amp;ROW()),minfo!$A:$M,COLUMN()-8,0),"")</f>
        <v>不问天</v>
      </c>
      <c r="K412" s="4" t="str">
        <f ca="1">_xlfn.IFNA(VLOOKUP(INDIRECT("G"&amp;ROW()),minfo!$A:$M,COLUMN()-8,0),"")</f>
        <v>说说Crystal</v>
      </c>
      <c r="L412" s="4">
        <f ca="1">_xlfn.IFNA(VLOOKUP(INDIRECT("G"&amp;ROW()),minfo!$A:$M,COLUMN()-8,0),"")</f>
        <v>0</v>
      </c>
      <c r="M412" s="4">
        <f ca="1">_xlfn.IFNA(VLOOKUP(INDIRECT("G"&amp;ROW()),minfo!$A:$M,COLUMN()-8,0),"")</f>
        <v>0</v>
      </c>
      <c r="N412" s="4">
        <f ca="1">_xlfn.IFNA(VLOOKUP(INDIRECT("G"&amp;ROW()),minfo!$A:$M,COLUMN()-8,0),"")</f>
        <v>0</v>
      </c>
      <c r="O412" s="4" t="str">
        <f ca="1">_xlfn.IFNA(VLOOKUP(INDIRECT("G"&amp;ROW()),minfo!$A:$M,COLUMN()-8,0),"")</f>
        <v>https://i0.hdslb.com/bfs/station_src/music_metadata/ce3a0da2a7e64a49fa42a6e3db521f57.jpg</v>
      </c>
      <c r="P412" s="4" t="str">
        <f ca="1">_xlfn.IFNA(VLOOKUP(INDIRECT("G"&amp;ROW()),minfo!$A:$M,COLUMN()-8,0),"")</f>
        <v>https://i0.hdslb.com/bfs/station_src/music_metadata/02cd9198a33924449443fc704a92a25a.txt</v>
      </c>
      <c r="Q412" s="4">
        <f ca="1">_xlfn.IFNA(VLOOKUP(INDIRECT("G"&amp;ROW()),minfo!$A:$M,COLUMN()-8,0),"")</f>
        <v>149</v>
      </c>
      <c r="R412" s="4">
        <f ca="1">_xlfn.IFNA(VLOOKUP(INDIRECT("G"&amp;ROW()),minfo!$A:$M,COLUMN()-8,0),"")</f>
        <v>0</v>
      </c>
      <c r="S412" s="4" t="str">
        <f ca="1">_xlfn.IFNA(VLOOKUP(INDIRECT("G"&amp;ROW()),minfo!$A:$M,COLUMN()-8,0),"")</f>
        <v>2021哔哩哔哩拜年纪</v>
      </c>
      <c r="T412" s="4">
        <f ca="1">_xlfn.IFNA(VLOOKUP(INDIRECT("G"&amp;ROW()),minfo!$A:$M,COLUMN()-8,0),"")</f>
        <v>33137051</v>
      </c>
      <c r="U412" s="4">
        <f ca="1">_xlfn.IFNA(VLOOKUP(INDIRECT("G"&amp;ROW()),minfo!$A:$M,COLUMN()-8,0),"")</f>
        <v>0</v>
      </c>
    </row>
    <row r="413" spans="1:21" ht="15.75" customHeight="1">
      <c r="A413" s="15">
        <v>412</v>
      </c>
      <c r="B413" s="4" t="s">
        <v>3984</v>
      </c>
      <c r="C413" s="4">
        <v>413</v>
      </c>
      <c r="D413" s="4">
        <v>22</v>
      </c>
      <c r="E413" s="4" t="s">
        <v>75</v>
      </c>
      <c r="F413" s="16">
        <v>45123</v>
      </c>
      <c r="G413" s="5" t="s">
        <v>1056</v>
      </c>
      <c r="H413" s="5" t="s">
        <v>3961</v>
      </c>
      <c r="I413" s="24" t="str">
        <f>HYPERLINK("https://www.bilibili.com/video/BV1gz4y147yu?p=22", "BV1gz4y147yu?p=22")</f>
        <v>BV1gz4y147yu?p=22</v>
      </c>
      <c r="J413" s="4" t="str">
        <f ca="1">_xlfn.IFNA(VLOOKUP(INDIRECT("G"&amp;ROW()),minfo!$A:$M,COLUMN()-8,0),"")</f>
        <v>布虎记</v>
      </c>
      <c r="K413" s="4" t="str">
        <f ca="1">_xlfn.IFNA(VLOOKUP(INDIRECT("G"&amp;ROW()),minfo!$A:$M,COLUMN()-8,0),"")</f>
        <v>洛天依,西门振</v>
      </c>
      <c r="L413" s="4">
        <f ca="1">_xlfn.IFNA(VLOOKUP(INDIRECT("G"&amp;ROW()),minfo!$A:$M,COLUMN()-8,0),"")</f>
        <v>0</v>
      </c>
      <c r="M413" s="4">
        <f ca="1">_xlfn.IFNA(VLOOKUP(INDIRECT("G"&amp;ROW()),minfo!$A:$M,COLUMN()-8,0),"")</f>
        <v>0</v>
      </c>
      <c r="N413" s="4">
        <f ca="1">_xlfn.IFNA(VLOOKUP(INDIRECT("G"&amp;ROW()),minfo!$A:$M,COLUMN()-8,0),"")</f>
        <v>0</v>
      </c>
      <c r="O413" s="4" t="str">
        <f ca="1">_xlfn.IFNA(VLOOKUP(INDIRECT("G"&amp;ROW()),minfo!$A:$M,COLUMN()-8,0),"")</f>
        <v>https://i0.hdslb.com/bfs/station_src/music_metadata/346f3d0245c598c7be9afcb1e6a727b4.jpg</v>
      </c>
      <c r="P413" s="4">
        <f ca="1">_xlfn.IFNA(VLOOKUP(INDIRECT("G"&amp;ROW()),minfo!$A:$M,COLUMN()-8,0),"")</f>
        <v>0</v>
      </c>
      <c r="Q413" s="4">
        <f ca="1">_xlfn.IFNA(VLOOKUP(INDIRECT("G"&amp;ROW()),minfo!$A:$M,COLUMN()-8,0),"")</f>
        <v>0</v>
      </c>
      <c r="R413" s="4">
        <f ca="1">_xlfn.IFNA(VLOOKUP(INDIRECT("G"&amp;ROW()),minfo!$A:$M,COLUMN()-8,0),"")</f>
        <v>0</v>
      </c>
      <c r="S413" s="4" t="str">
        <f ca="1">_xlfn.IFNA(VLOOKUP(INDIRECT("G"&amp;ROW()),minfo!$A:$M,COLUMN()-8,0),"")</f>
        <v>【2022虚拟歌手贺岁纪】布虎记</v>
      </c>
      <c r="T413" s="4">
        <f ca="1">_xlfn.IFNA(VLOOKUP(INDIRECT("G"&amp;ROW()),minfo!$A:$M,COLUMN()-8,0),"")</f>
        <v>1512793</v>
      </c>
      <c r="U413" s="4">
        <f ca="1">_xlfn.IFNA(VLOOKUP(INDIRECT("G"&amp;ROW()),minfo!$A:$M,COLUMN()-8,0),"")</f>
        <v>0</v>
      </c>
    </row>
    <row r="414" spans="1:21" ht="15.75" customHeight="1">
      <c r="A414" s="15">
        <v>413</v>
      </c>
      <c r="B414" s="4" t="s">
        <v>3985</v>
      </c>
      <c r="C414" s="4">
        <v>414</v>
      </c>
      <c r="D414" s="4">
        <v>23</v>
      </c>
      <c r="E414" s="4" t="s">
        <v>816</v>
      </c>
      <c r="F414" s="16">
        <v>45123</v>
      </c>
      <c r="G414" s="5" t="s">
        <v>815</v>
      </c>
      <c r="H414" s="5" t="s">
        <v>3961</v>
      </c>
      <c r="I414" s="24" t="str">
        <f>HYPERLINK("https://www.bilibili.com/video/BV1gz4y147yu?p=23", "BV1gz4y147yu?p=23")</f>
        <v>BV1gz4y147yu?p=23</v>
      </c>
      <c r="J414" s="4" t="str">
        <f ca="1">_xlfn.IFNA(VLOOKUP(INDIRECT("G"&amp;ROW()),minfo!$A:$M,COLUMN()-8,0),"")</f>
        <v>开不了口</v>
      </c>
      <c r="K414" s="4" t="str">
        <f ca="1">_xlfn.IFNA(VLOOKUP(INDIRECT("G"&amp;ROW()),minfo!$A:$M,COLUMN()-8,0),"")</f>
        <v>周杰伦</v>
      </c>
      <c r="L414" s="4">
        <f ca="1">_xlfn.IFNA(VLOOKUP(INDIRECT("G"&amp;ROW()),minfo!$A:$M,COLUMN()-8,0),"")</f>
        <v>0</v>
      </c>
      <c r="M414" s="4">
        <f ca="1">_xlfn.IFNA(VLOOKUP(INDIRECT("G"&amp;ROW()),minfo!$A:$M,COLUMN()-8,0),"")</f>
        <v>0</v>
      </c>
      <c r="N414" s="4">
        <f ca="1">_xlfn.IFNA(VLOOKUP(INDIRECT("G"&amp;ROW()),minfo!$A:$M,COLUMN()-8,0),"")</f>
        <v>0</v>
      </c>
      <c r="O414" s="4" t="str">
        <f ca="1">_xlfn.IFNA(VLOOKUP(INDIRECT("G"&amp;ROW()),minfo!$A:$M,COLUMN()-8,0),"")</f>
        <v>http://i0.hdslb.com/bfs/station_src/music_metadata/d0f745972711cd41b07e10e96dd6512a.jpg</v>
      </c>
      <c r="P414" s="4" t="str">
        <f ca="1">_xlfn.IFNA(VLOOKUP(INDIRECT("G"&amp;ROW()),minfo!$A:$M,COLUMN()-8,0),"")</f>
        <v>http://i0.hdslb.com/bfs/station_src/music_metadata/9e21bb6bd3e9e6c6a099ea6fe790a7e4</v>
      </c>
      <c r="Q414" s="4">
        <f ca="1">_xlfn.IFNA(VLOOKUP(INDIRECT("G"&amp;ROW()),minfo!$A:$M,COLUMN()-8,0),"")</f>
        <v>1670</v>
      </c>
      <c r="R414" s="4">
        <f ca="1">_xlfn.IFNA(VLOOKUP(INDIRECT("G"&amp;ROW()),minfo!$A:$M,COLUMN()-8,0),"")</f>
        <v>0</v>
      </c>
      <c r="S414" s="4" t="str">
        <f ca="1">_xlfn.IFNA(VLOOKUP(INDIRECT("G"&amp;ROW()),minfo!$A:$M,COLUMN()-8,0),"")</f>
        <v>范特西</v>
      </c>
      <c r="T414" s="4">
        <f ca="1">_xlfn.IFNA(VLOOKUP(INDIRECT("G"&amp;ROW()),minfo!$A:$M,COLUMN()-8,0),"")</f>
        <v>374265212</v>
      </c>
      <c r="U414" s="4">
        <f ca="1">_xlfn.IFNA(VLOOKUP(INDIRECT("G"&amp;ROW()),minfo!$A:$M,COLUMN()-8,0),"")</f>
        <v>0</v>
      </c>
    </row>
    <row r="415" spans="1:21" ht="15.75" customHeight="1">
      <c r="A415" s="15">
        <v>414</v>
      </c>
      <c r="B415" s="4" t="s">
        <v>3986</v>
      </c>
      <c r="C415" s="4">
        <v>415</v>
      </c>
      <c r="D415" s="4">
        <v>24</v>
      </c>
      <c r="E415" s="4" t="s">
        <v>918</v>
      </c>
      <c r="F415" s="16">
        <v>45123</v>
      </c>
      <c r="G415" s="5" t="s">
        <v>917</v>
      </c>
      <c r="H415" s="5" t="s">
        <v>3961</v>
      </c>
      <c r="I415" s="24" t="str">
        <f>HYPERLINK("https://www.bilibili.com/video/BV1gz4y147yu?p=24", "BV1gz4y147yu?p=24")</f>
        <v>BV1gz4y147yu?p=24</v>
      </c>
      <c r="J415" s="4" t="str">
        <f ca="1">_xlfn.IFNA(VLOOKUP(INDIRECT("G"&amp;ROW()),minfo!$A:$M,COLUMN()-8,0),"")</f>
        <v>暗号</v>
      </c>
      <c r="K415" s="4" t="str">
        <f ca="1">_xlfn.IFNA(VLOOKUP(INDIRECT("G"&amp;ROW()),minfo!$A:$M,COLUMN()-8,0),"")</f>
        <v>周杰伦</v>
      </c>
      <c r="L415" s="4">
        <f ca="1">_xlfn.IFNA(VLOOKUP(INDIRECT("G"&amp;ROW()),minfo!$A:$M,COLUMN()-8,0),"")</f>
        <v>0</v>
      </c>
      <c r="M415" s="4">
        <f ca="1">_xlfn.IFNA(VLOOKUP(INDIRECT("G"&amp;ROW()),minfo!$A:$M,COLUMN()-8,0),"")</f>
        <v>0</v>
      </c>
      <c r="N415" s="4">
        <f ca="1">_xlfn.IFNA(VLOOKUP(INDIRECT("G"&amp;ROW()),minfo!$A:$M,COLUMN()-8,0),"")</f>
        <v>0</v>
      </c>
      <c r="O415" s="4" t="str">
        <f ca="1">_xlfn.IFNA(VLOOKUP(INDIRECT("G"&amp;ROW()),minfo!$A:$M,COLUMN()-8,0),"")</f>
        <v>https://i0.hdslb.com/bfs/station_src/music_metadata/836d7078552d6143b4a27f54a2a62598.jpg</v>
      </c>
      <c r="P415" s="4">
        <f ca="1">_xlfn.IFNA(VLOOKUP(INDIRECT("G"&amp;ROW()),minfo!$A:$M,COLUMN()-8,0),"")</f>
        <v>0</v>
      </c>
      <c r="Q415" s="4">
        <f ca="1">_xlfn.IFNA(VLOOKUP(INDIRECT("G"&amp;ROW()),minfo!$A:$M,COLUMN()-8,0),"")</f>
        <v>8346</v>
      </c>
      <c r="R415" s="4">
        <f ca="1">_xlfn.IFNA(VLOOKUP(INDIRECT("G"&amp;ROW()),minfo!$A:$M,COLUMN()-8,0),"")</f>
        <v>0</v>
      </c>
      <c r="S415" s="4" t="str">
        <f ca="1">_xlfn.IFNA(VLOOKUP(INDIRECT("G"&amp;ROW()),minfo!$A:$M,COLUMN()-8,0),"")</f>
        <v>八度空间</v>
      </c>
      <c r="T415" s="4">
        <f ca="1">_xlfn.IFNA(VLOOKUP(INDIRECT("G"&amp;ROW()),minfo!$A:$M,COLUMN()-8,0),"")</f>
        <v>445692889</v>
      </c>
      <c r="U415" s="4">
        <f ca="1">_xlfn.IFNA(VLOOKUP(INDIRECT("G"&amp;ROW()),minfo!$A:$M,COLUMN()-8,0),"")</f>
        <v>0</v>
      </c>
    </row>
    <row r="416" spans="1:21" ht="15.75" customHeight="1">
      <c r="A416" s="15">
        <v>415</v>
      </c>
      <c r="B416" s="4" t="s">
        <v>3987</v>
      </c>
      <c r="C416" s="4">
        <v>416</v>
      </c>
      <c r="D416" s="4">
        <v>25</v>
      </c>
      <c r="E416" s="4" t="s">
        <v>869</v>
      </c>
      <c r="F416" s="16">
        <v>45126</v>
      </c>
      <c r="G416" s="5" t="s">
        <v>868</v>
      </c>
      <c r="H416" s="5" t="s">
        <v>3961</v>
      </c>
      <c r="I416" s="24" t="str">
        <f>HYPERLINK("https://www.bilibili.com/video/BV1gz4y147yu?p=25", "BV1gz4y147yu?p=25")</f>
        <v>BV1gz4y147yu?p=25</v>
      </c>
      <c r="J416" s="4" t="str">
        <f ca="1">_xlfn.IFNA(VLOOKUP(INDIRECT("G"&amp;ROW()),minfo!$A:$M,COLUMN()-8,0),"")</f>
        <v>青花瓷</v>
      </c>
      <c r="K416" s="4" t="str">
        <f ca="1">_xlfn.IFNA(VLOOKUP(INDIRECT("G"&amp;ROW()),minfo!$A:$M,COLUMN()-8,0),"")</f>
        <v>周杰伦</v>
      </c>
      <c r="L416" s="4">
        <f ca="1">_xlfn.IFNA(VLOOKUP(INDIRECT("G"&amp;ROW()),minfo!$A:$M,COLUMN()-8,0),"")</f>
        <v>0</v>
      </c>
      <c r="M416" s="4">
        <f ca="1">_xlfn.IFNA(VLOOKUP(INDIRECT("G"&amp;ROW()),minfo!$A:$M,COLUMN()-8,0),"")</f>
        <v>0</v>
      </c>
      <c r="N416" s="4">
        <f ca="1">_xlfn.IFNA(VLOOKUP(INDIRECT("G"&amp;ROW()),minfo!$A:$M,COLUMN()-8,0),"")</f>
        <v>0</v>
      </c>
      <c r="O416" s="4" t="str">
        <f ca="1">_xlfn.IFNA(VLOOKUP(INDIRECT("G"&amp;ROW()),minfo!$A:$M,COLUMN()-8,0),"")</f>
        <v>https://i0.hdslb.com/bfs/station_src/music_metadata/41873834221338c2a2ad6bf64a0d923b.jpg</v>
      </c>
      <c r="P416" s="4">
        <f ca="1">_xlfn.IFNA(VLOOKUP(INDIRECT("G"&amp;ROW()),minfo!$A:$M,COLUMN()-8,0),"")</f>
        <v>0</v>
      </c>
      <c r="Q416" s="4">
        <f ca="1">_xlfn.IFNA(VLOOKUP(INDIRECT("G"&amp;ROW()),minfo!$A:$M,COLUMN()-8,0),"")</f>
        <v>9226</v>
      </c>
      <c r="R416" s="4">
        <f ca="1">_xlfn.IFNA(VLOOKUP(INDIRECT("G"&amp;ROW()),minfo!$A:$M,COLUMN()-8,0),"")</f>
        <v>0</v>
      </c>
      <c r="S416" s="4" t="str">
        <f ca="1">_xlfn.IFNA(VLOOKUP(INDIRECT("G"&amp;ROW()),minfo!$A:$M,COLUMN()-8,0),"")</f>
        <v>我很忙</v>
      </c>
      <c r="T416" s="4">
        <f ca="1">_xlfn.IFNA(VLOOKUP(INDIRECT("G"&amp;ROW()),minfo!$A:$M,COLUMN()-8,0),"")</f>
        <v>1341173223</v>
      </c>
      <c r="U416" s="4" t="str">
        <f ca="1">_xlfn.IFNA(VLOOKUP(INDIRECT("G"&amp;ROW()),minfo!$A:$M,COLUMN()-8,0),"")</f>
        <v>音乐榜最高NO.8</v>
      </c>
    </row>
    <row r="417" spans="1:21" ht="15.75" customHeight="1">
      <c r="A417" s="15">
        <v>416</v>
      </c>
      <c r="B417" s="4" t="s">
        <v>3988</v>
      </c>
      <c r="C417" s="4">
        <v>417</v>
      </c>
      <c r="D417" s="4">
        <v>26</v>
      </c>
      <c r="E417" s="4" t="s">
        <v>93</v>
      </c>
      <c r="F417" s="16">
        <v>45126</v>
      </c>
      <c r="G417" s="5" t="s">
        <v>273</v>
      </c>
      <c r="H417" s="5" t="s">
        <v>3961</v>
      </c>
      <c r="I417" s="24" t="str">
        <f>HYPERLINK("https://www.bilibili.com/video/BV1gz4y147yu?p=26", "BV1gz4y147yu?p=26")</f>
        <v>BV1gz4y147yu?p=26</v>
      </c>
      <c r="J417" s="4" t="str">
        <f ca="1">_xlfn.IFNA(VLOOKUP(INDIRECT("G"&amp;ROW()),minfo!$A:$M,COLUMN()-8,0),"")</f>
        <v>罗敷</v>
      </c>
      <c r="K417" s="4" t="str">
        <f ca="1">_xlfn.IFNA(VLOOKUP(INDIRECT("G"&amp;ROW()),minfo!$A:$M,COLUMN()-8,0),"")</f>
        <v>说说Crystal</v>
      </c>
      <c r="L417" s="4">
        <f ca="1">_xlfn.IFNA(VLOOKUP(INDIRECT("G"&amp;ROW()),minfo!$A:$M,COLUMN()-8,0),"")</f>
        <v>0</v>
      </c>
      <c r="M417" s="4">
        <f ca="1">_xlfn.IFNA(VLOOKUP(INDIRECT("G"&amp;ROW()),minfo!$A:$M,COLUMN()-8,0),"")</f>
        <v>0</v>
      </c>
      <c r="N417" s="4">
        <f ca="1">_xlfn.IFNA(VLOOKUP(INDIRECT("G"&amp;ROW()),minfo!$A:$M,COLUMN()-8,0),"")</f>
        <v>0</v>
      </c>
      <c r="O417" s="4" t="str">
        <f ca="1">_xlfn.IFNA(VLOOKUP(INDIRECT("G"&amp;ROW()),minfo!$A:$M,COLUMN()-8,0),"")</f>
        <v>https://i0.hdslb.com/bfs/station_src/music_metadata/1b7b9e3e2c4c793577a84986cdadb2cc.jpg</v>
      </c>
      <c r="P417" s="4">
        <f ca="1">_xlfn.IFNA(VLOOKUP(INDIRECT("G"&amp;ROW()),minfo!$A:$M,COLUMN()-8,0),"")</f>
        <v>0</v>
      </c>
      <c r="Q417" s="4">
        <f ca="1">_xlfn.IFNA(VLOOKUP(INDIRECT("G"&amp;ROW()),minfo!$A:$M,COLUMN()-8,0),"")</f>
        <v>0</v>
      </c>
      <c r="R417" s="4">
        <f ca="1">_xlfn.IFNA(VLOOKUP(INDIRECT("G"&amp;ROW()),minfo!$A:$M,COLUMN()-8,0),"")</f>
        <v>0</v>
      </c>
      <c r="S417" s="4" t="str">
        <f ca="1">_xlfn.IFNA(VLOOKUP(INDIRECT("G"&amp;ROW()),minfo!$A:$M,COLUMN()-8,0),"")</f>
        <v>【说说·原创】这一曲只倾心于你 |《罗敷》</v>
      </c>
      <c r="T417" s="4">
        <f ca="1">_xlfn.IFNA(VLOOKUP(INDIRECT("G"&amp;ROW()),minfo!$A:$M,COLUMN()-8,0),"")</f>
        <v>323164</v>
      </c>
      <c r="U417" s="4">
        <f ca="1">_xlfn.IFNA(VLOOKUP(INDIRECT("G"&amp;ROW()),minfo!$A:$M,COLUMN()-8,0),"")</f>
        <v>0</v>
      </c>
    </row>
    <row r="418" spans="1:21" ht="15.75" customHeight="1">
      <c r="A418" s="15">
        <v>417</v>
      </c>
      <c r="B418" s="4" t="s">
        <v>3989</v>
      </c>
      <c r="C418" s="4">
        <v>418</v>
      </c>
      <c r="D418" s="4">
        <v>27</v>
      </c>
      <c r="E418" s="4" t="s">
        <v>1229</v>
      </c>
      <c r="F418" s="16">
        <v>45126</v>
      </c>
      <c r="G418" s="5" t="s">
        <v>1228</v>
      </c>
      <c r="H418" s="5" t="s">
        <v>3961</v>
      </c>
      <c r="I418" s="24" t="str">
        <f>HYPERLINK("https://www.bilibili.com/video/BV1gz4y147yu?p=27", "BV1gz4y147yu?p=27")</f>
        <v>BV1gz4y147yu?p=27</v>
      </c>
      <c r="J418" s="4" t="str">
        <f ca="1">_xlfn.IFNA(VLOOKUP(INDIRECT("G"&amp;ROW()),minfo!$A:$M,COLUMN()-8,0),"")</f>
        <v>昨日青空</v>
      </c>
      <c r="K418" s="4" t="str">
        <f ca="1">_xlfn.IFNA(VLOOKUP(INDIRECT("G"&amp;ROW()),minfo!$A:$M,COLUMN()-8,0),"")</f>
        <v>尤长靖</v>
      </c>
      <c r="L418" s="4">
        <f ca="1">_xlfn.IFNA(VLOOKUP(INDIRECT("G"&amp;ROW()),minfo!$A:$M,COLUMN()-8,0),"")</f>
        <v>0</v>
      </c>
      <c r="M418" s="4">
        <f ca="1">_xlfn.IFNA(VLOOKUP(INDIRECT("G"&amp;ROW()),minfo!$A:$M,COLUMN()-8,0),"")</f>
        <v>0</v>
      </c>
      <c r="N418" s="4">
        <f ca="1">_xlfn.IFNA(VLOOKUP(INDIRECT("G"&amp;ROW()),minfo!$A:$M,COLUMN()-8,0),"")</f>
        <v>0</v>
      </c>
      <c r="O418" s="4" t="str">
        <f ca="1">_xlfn.IFNA(VLOOKUP(INDIRECT("G"&amp;ROW()),minfo!$A:$M,COLUMN()-8,0),"")</f>
        <v>https://i0.hdslb.com/bfs/station_src/music_metadata/abc73110210c595e7074ddc5a01dd754.jpg</v>
      </c>
      <c r="P418" s="4" t="str">
        <f ca="1">_xlfn.IFNA(VLOOKUP(INDIRECT("G"&amp;ROW()),minfo!$A:$M,COLUMN()-8,0),"")</f>
        <v>http://i0.hdslb.com/bfs/station_src/music_metadata/042fb26c880b233a48dc106af6e82bca</v>
      </c>
      <c r="Q418" s="4">
        <f ca="1">_xlfn.IFNA(VLOOKUP(INDIRECT("G"&amp;ROW()),minfo!$A:$M,COLUMN()-8,0),"")</f>
        <v>558</v>
      </c>
      <c r="R418" s="4" t="str">
        <f ca="1">_xlfn.IFNA(VLOOKUP(INDIRECT("G"&amp;ROW()),minfo!$A:$M,COLUMN()-8,0),"")</f>
        <v>《昨日青空》电影同名青春主题曲</v>
      </c>
      <c r="S418" s="4" t="str">
        <f ca="1">_xlfn.IFNA(VLOOKUP(INDIRECT("G"&amp;ROW()),minfo!$A:$M,COLUMN()-8,0),"")</f>
        <v>昨日青空</v>
      </c>
      <c r="T418" s="4">
        <f ca="1">_xlfn.IFNA(VLOOKUP(INDIRECT("G"&amp;ROW()),minfo!$A:$M,COLUMN()-8,0),"")</f>
        <v>70470580</v>
      </c>
      <c r="U418" s="4">
        <f ca="1">_xlfn.IFNA(VLOOKUP(INDIRECT("G"&amp;ROW()),minfo!$A:$M,COLUMN()-8,0),"")</f>
        <v>0</v>
      </c>
    </row>
    <row r="419" spans="1:21" ht="15.75" customHeight="1">
      <c r="A419" s="15">
        <v>418</v>
      </c>
      <c r="B419" s="4" t="s">
        <v>3990</v>
      </c>
      <c r="C419" s="4">
        <v>419</v>
      </c>
      <c r="D419" s="4">
        <v>28</v>
      </c>
      <c r="E419" s="4" t="s">
        <v>820</v>
      </c>
      <c r="F419" s="16">
        <v>45126</v>
      </c>
      <c r="G419" s="5" t="s">
        <v>819</v>
      </c>
      <c r="H419" s="5" t="s">
        <v>3961</v>
      </c>
      <c r="I419" s="24" t="str">
        <f>HYPERLINK("https://www.bilibili.com/video/BV1gz4y147yu?p=28", "BV1gz4y147yu?p=28")</f>
        <v>BV1gz4y147yu?p=28</v>
      </c>
      <c r="J419" s="4" t="str">
        <f ca="1">_xlfn.IFNA(VLOOKUP(INDIRECT("G"&amp;ROW()),minfo!$A:$M,COLUMN()-8,0),"")</f>
        <v>桃花诺</v>
      </c>
      <c r="K419" s="4" t="str">
        <f ca="1">_xlfn.IFNA(VLOOKUP(INDIRECT("G"&amp;ROW()),minfo!$A:$M,COLUMN()-8,0),"")</f>
        <v>G.E.M.邓紫棋</v>
      </c>
      <c r="L419" s="4">
        <f ca="1">_xlfn.IFNA(VLOOKUP(INDIRECT("G"&amp;ROW()),minfo!$A:$M,COLUMN()-8,0),"")</f>
        <v>0</v>
      </c>
      <c r="M419" s="4">
        <f ca="1">_xlfn.IFNA(VLOOKUP(INDIRECT("G"&amp;ROW()),minfo!$A:$M,COLUMN()-8,0),"")</f>
        <v>0</v>
      </c>
      <c r="N419" s="4">
        <f ca="1">_xlfn.IFNA(VLOOKUP(INDIRECT("G"&amp;ROW()),minfo!$A:$M,COLUMN()-8,0),"")</f>
        <v>0</v>
      </c>
      <c r="O419" s="4" t="str">
        <f ca="1">_xlfn.IFNA(VLOOKUP(INDIRECT("G"&amp;ROW()),minfo!$A:$M,COLUMN()-8,0),"")</f>
        <v>https://i0.hdslb.com/bfs/station_src/music_metadata/6bae981f8da9ae3dbca588bcb85bcd39.jpg</v>
      </c>
      <c r="P419" s="4" t="str">
        <f ca="1">_xlfn.IFNA(VLOOKUP(INDIRECT("G"&amp;ROW()),minfo!$A:$M,COLUMN()-8,0),"")</f>
        <v>http://i0.hdslb.com/bfs/station_src/music_metadata/6b3b9bf58de18a94decf4fedf7355d72</v>
      </c>
      <c r="Q419" s="4">
        <f ca="1">_xlfn.IFNA(VLOOKUP(INDIRECT("G"&amp;ROW()),minfo!$A:$M,COLUMN()-8,0),"")</f>
        <v>3108</v>
      </c>
      <c r="R419" s="4" t="str">
        <f ca="1">_xlfn.IFNA(VLOOKUP(INDIRECT("G"&amp;ROW()),minfo!$A:$M,COLUMN()-8,0),"")</f>
        <v>《上古情歌》电视剧片尾曲</v>
      </c>
      <c r="S419" s="4" t="str">
        <f ca="1">_xlfn.IFNA(VLOOKUP(INDIRECT("G"&amp;ROW()),minfo!$A:$M,COLUMN()-8,0),"")</f>
        <v>上古情歌 电视剧原声带</v>
      </c>
      <c r="T419" s="4">
        <f ca="1">_xlfn.IFNA(VLOOKUP(INDIRECT("G"&amp;ROW()),minfo!$A:$M,COLUMN()-8,0),"")</f>
        <v>860841206</v>
      </c>
      <c r="U419" s="4" t="str">
        <f ca="1">_xlfn.IFNA(VLOOKUP(INDIRECT("G"&amp;ROW()),minfo!$A:$M,COLUMN()-8,0),"")</f>
        <v>音乐榜最高NO.12</v>
      </c>
    </row>
    <row r="420" spans="1:21" ht="15.75" customHeight="1">
      <c r="A420" s="15">
        <v>419</v>
      </c>
      <c r="B420" s="4" t="s">
        <v>3991</v>
      </c>
      <c r="C420" s="4">
        <v>420</v>
      </c>
      <c r="D420" s="4">
        <v>29</v>
      </c>
      <c r="E420" s="4" t="s">
        <v>1284</v>
      </c>
      <c r="F420" s="16">
        <v>45128</v>
      </c>
      <c r="G420" s="5" t="s">
        <v>1283</v>
      </c>
      <c r="H420" s="5" t="s">
        <v>3961</v>
      </c>
      <c r="I420" s="24" t="str">
        <f>HYPERLINK("https://www.bilibili.com/video/BV1gz4y147yu?p=29", "BV1gz4y147yu?p=29")</f>
        <v>BV1gz4y147yu?p=29</v>
      </c>
      <c r="J420" s="4" t="str">
        <f ca="1">_xlfn.IFNA(VLOOKUP(INDIRECT("G"&amp;ROW()),minfo!$A:$M,COLUMN()-8,0),"")</f>
        <v>醉赤壁</v>
      </c>
      <c r="K420" s="4" t="str">
        <f ca="1">_xlfn.IFNA(VLOOKUP(INDIRECT("G"&amp;ROW()),minfo!$A:$M,COLUMN()-8,0),"")</f>
        <v>林俊杰</v>
      </c>
      <c r="L420" s="4">
        <f ca="1">_xlfn.IFNA(VLOOKUP(INDIRECT("G"&amp;ROW()),minfo!$A:$M,COLUMN()-8,0),"")</f>
        <v>0</v>
      </c>
      <c r="M420" s="4">
        <f ca="1">_xlfn.IFNA(VLOOKUP(INDIRECT("G"&amp;ROW()),minfo!$A:$M,COLUMN()-8,0),"")</f>
        <v>0</v>
      </c>
      <c r="N420" s="4">
        <f ca="1">_xlfn.IFNA(VLOOKUP(INDIRECT("G"&amp;ROW()),minfo!$A:$M,COLUMN()-8,0),"")</f>
        <v>0</v>
      </c>
      <c r="O420" s="4" t="str">
        <f ca="1">_xlfn.IFNA(VLOOKUP(INDIRECT("G"&amp;ROW()),minfo!$A:$M,COLUMN()-8,0),"")</f>
        <v>https://i0.hdslb.com/bfs/station_src/music_metadata/7fba77ac6c1e2b9c4ee3c5edfb8fb4fe.jpg</v>
      </c>
      <c r="P420" s="4" t="str">
        <f ca="1">_xlfn.IFNA(VLOOKUP(INDIRECT("G"&amp;ROW()),minfo!$A:$M,COLUMN()-8,0),"")</f>
        <v>https://i0.hdslb.com/bfs/station_src/music_metadata/f6d8d115284de5ecdf96d995274c5783.txt</v>
      </c>
      <c r="Q420" s="4">
        <f ca="1">_xlfn.IFNA(VLOOKUP(INDIRECT("G"&amp;ROW()),minfo!$A:$M,COLUMN()-8,0),"")</f>
        <v>240</v>
      </c>
      <c r="R420" s="4">
        <f ca="1">_xlfn.IFNA(VLOOKUP(INDIRECT("G"&amp;ROW()),minfo!$A:$M,COLUMN()-8,0),"")</f>
        <v>0</v>
      </c>
      <c r="S420" s="4" t="str">
        <f ca="1">_xlfn.IFNA(VLOOKUP(INDIRECT("G"&amp;ROW()),minfo!$A:$M,COLUMN()-8,0),"")</f>
        <v>JJ陆</v>
      </c>
      <c r="T420" s="4">
        <f ca="1">_xlfn.IFNA(VLOOKUP(INDIRECT("G"&amp;ROW()),minfo!$A:$M,COLUMN()-8,0),"")</f>
        <v>177898408</v>
      </c>
      <c r="U420" s="4">
        <f ca="1">_xlfn.IFNA(VLOOKUP(INDIRECT("G"&amp;ROW()),minfo!$A:$M,COLUMN()-8,0),"")</f>
        <v>0</v>
      </c>
    </row>
    <row r="421" spans="1:21" ht="15.75" customHeight="1">
      <c r="A421" s="15">
        <v>420</v>
      </c>
      <c r="B421" s="4" t="s">
        <v>3992</v>
      </c>
      <c r="C421" s="4">
        <v>421</v>
      </c>
      <c r="D421" s="4">
        <v>30</v>
      </c>
      <c r="E421" s="4" t="s">
        <v>678</v>
      </c>
      <c r="F421" s="16">
        <v>45128</v>
      </c>
      <c r="G421" s="5" t="s">
        <v>677</v>
      </c>
      <c r="H421" s="5" t="s">
        <v>3961</v>
      </c>
      <c r="I421" s="24" t="str">
        <f>HYPERLINK("https://www.bilibili.com/video/BV1gz4y147yu?p=30", "BV1gz4y147yu?p=30")</f>
        <v>BV1gz4y147yu?p=30</v>
      </c>
      <c r="J421" s="4" t="str">
        <f ca="1">_xlfn.IFNA(VLOOKUP(INDIRECT("G"&amp;ROW()),minfo!$A:$M,COLUMN()-8,0),"")</f>
        <v>将故事写成我们</v>
      </c>
      <c r="K421" s="4" t="str">
        <f ca="1">_xlfn.IFNA(VLOOKUP(INDIRECT("G"&amp;ROW()),minfo!$A:$M,COLUMN()-8,0),"")</f>
        <v>林俊杰</v>
      </c>
      <c r="L421" s="4">
        <f ca="1">_xlfn.IFNA(VLOOKUP(INDIRECT("G"&amp;ROW()),minfo!$A:$M,COLUMN()-8,0),"")</f>
        <v>0</v>
      </c>
      <c r="M421" s="4">
        <f ca="1">_xlfn.IFNA(VLOOKUP(INDIRECT("G"&amp;ROW()),minfo!$A:$M,COLUMN()-8,0),"")</f>
        <v>1032</v>
      </c>
      <c r="N421" s="4">
        <f ca="1">_xlfn.IFNA(VLOOKUP(INDIRECT("G"&amp;ROW()),minfo!$A:$M,COLUMN()-8,0),"")</f>
        <v>165</v>
      </c>
      <c r="O421" s="4" t="str">
        <f ca="1">_xlfn.IFNA(VLOOKUP(INDIRECT("G"&amp;ROW()),minfo!$A:$M,COLUMN()-8,0),"")</f>
        <v>http://i0.hdslb.com/bfs/station_src/music_metadata/63fe00af138c363552e6aff10baba93e.jpg</v>
      </c>
      <c r="P421" s="4" t="str">
        <f ca="1">_xlfn.IFNA(VLOOKUP(INDIRECT("G"&amp;ROW()),minfo!$A:$M,COLUMN()-8,0),"")</f>
        <v>http://i0.hdslb.com/bfs/station_src/music_metadata/2c6ada3c80c79f0dd8b56da48df1f4ad</v>
      </c>
      <c r="Q421" s="4">
        <f ca="1">_xlfn.IFNA(VLOOKUP(INDIRECT("G"&amp;ROW()),minfo!$A:$M,COLUMN()-8,0),"")</f>
        <v>138</v>
      </c>
      <c r="R421" s="4">
        <f ca="1">_xlfn.IFNA(VLOOKUP(INDIRECT("G"&amp;ROW()),minfo!$A:$M,COLUMN()-8,0),"")</f>
        <v>0</v>
      </c>
      <c r="S421" s="4" t="str">
        <f ca="1">_xlfn.IFNA(VLOOKUP(INDIRECT("G"&amp;ROW()),minfo!$A:$M,COLUMN()-8,0),"")</f>
        <v>将故事写成我们</v>
      </c>
      <c r="T421" s="4">
        <f ca="1">_xlfn.IFNA(VLOOKUP(INDIRECT("G"&amp;ROW()),minfo!$A:$M,COLUMN()-8,0),"")</f>
        <v>64920351</v>
      </c>
      <c r="U421" s="4">
        <f ca="1">_xlfn.IFNA(VLOOKUP(INDIRECT("G"&amp;ROW()),minfo!$A:$M,COLUMN()-8,0),"")</f>
        <v>0</v>
      </c>
    </row>
    <row r="422" spans="1:21" ht="15.75" customHeight="1">
      <c r="A422" s="15">
        <v>421</v>
      </c>
      <c r="B422" s="4" t="s">
        <v>3993</v>
      </c>
      <c r="C422" s="4">
        <v>422</v>
      </c>
      <c r="D422" s="4">
        <v>31</v>
      </c>
      <c r="E422" s="4" t="s">
        <v>1289</v>
      </c>
      <c r="F422" s="16">
        <v>45128</v>
      </c>
      <c r="G422" s="5" t="s">
        <v>1288</v>
      </c>
      <c r="H422" s="5" t="s">
        <v>3961</v>
      </c>
      <c r="I422" s="24" t="str">
        <f>HYPERLINK("https://www.bilibili.com/video/BV1gz4y147yu?p=31", "BV1gz4y147yu?p=31")</f>
        <v>BV1gz4y147yu?p=31</v>
      </c>
      <c r="J422" s="4" t="str">
        <f ca="1">_xlfn.IFNA(VLOOKUP(INDIRECT("G"&amp;ROW()),minfo!$A:$M,COLUMN()-8,0),"")</f>
        <v>孤独娱乐</v>
      </c>
      <c r="K422" s="4" t="str">
        <f ca="1">_xlfn.IFNA(VLOOKUP(INDIRECT("G"&amp;ROW()),minfo!$A:$M,COLUMN()-8,0),"")</f>
        <v>林俊杰</v>
      </c>
      <c r="L422" s="4">
        <f ca="1">_xlfn.IFNA(VLOOKUP(INDIRECT("G"&amp;ROW()),minfo!$A:$M,COLUMN()-8,0),"")</f>
        <v>0</v>
      </c>
      <c r="M422" s="4">
        <f ca="1">_xlfn.IFNA(VLOOKUP(INDIRECT("G"&amp;ROW()),minfo!$A:$M,COLUMN()-8,0),"")</f>
        <v>0</v>
      </c>
      <c r="N422" s="4">
        <f ca="1">_xlfn.IFNA(VLOOKUP(INDIRECT("G"&amp;ROW()),minfo!$A:$M,COLUMN()-8,0),"")</f>
        <v>0</v>
      </c>
      <c r="O422" s="4" t="str">
        <f ca="1">_xlfn.IFNA(VLOOKUP(INDIRECT("G"&amp;ROW()),minfo!$A:$M,COLUMN()-8,0),"")</f>
        <v>http://i0.hdslb.com/bfs/station_src/music_metadata/84561b5e1d6e1dfa852adcf51e34eb8f.jpg</v>
      </c>
      <c r="P422" s="4">
        <f ca="1">_xlfn.IFNA(VLOOKUP(INDIRECT("G"&amp;ROW()),minfo!$A:$M,COLUMN()-8,0),"")</f>
        <v>0</v>
      </c>
      <c r="Q422" s="4">
        <f ca="1">_xlfn.IFNA(VLOOKUP(INDIRECT("G"&amp;ROW()),minfo!$A:$M,COLUMN()-8,0),"")</f>
        <v>79</v>
      </c>
      <c r="R422" s="4">
        <f ca="1">_xlfn.IFNA(VLOOKUP(INDIRECT("G"&amp;ROW()),minfo!$A:$M,COLUMN()-8,0),"")</f>
        <v>0</v>
      </c>
      <c r="S422" s="4" t="str">
        <f ca="1">_xlfn.IFNA(VLOOKUP(INDIRECT("G"&amp;ROW()),minfo!$A:$M,COLUMN()-8,0),"")</f>
        <v>重拾_快乐</v>
      </c>
      <c r="T422" s="4">
        <f ca="1">_xlfn.IFNA(VLOOKUP(INDIRECT("G"&amp;ROW()),minfo!$A:$M,COLUMN()-8,0),"")</f>
        <v>19753956</v>
      </c>
      <c r="U422" s="4">
        <f ca="1">_xlfn.IFNA(VLOOKUP(INDIRECT("G"&amp;ROW()),minfo!$A:$M,COLUMN()-8,0),"")</f>
        <v>0</v>
      </c>
    </row>
    <row r="423" spans="1:21" ht="15.75" customHeight="1">
      <c r="A423" s="15">
        <v>422</v>
      </c>
      <c r="B423" s="4" t="s">
        <v>3994</v>
      </c>
      <c r="C423" s="4">
        <v>423</v>
      </c>
      <c r="D423" s="4">
        <v>32</v>
      </c>
      <c r="E423" s="4" t="s">
        <v>1098</v>
      </c>
      <c r="F423" s="16">
        <v>45128</v>
      </c>
      <c r="G423" s="5" t="s">
        <v>1097</v>
      </c>
      <c r="H423" s="5" t="s">
        <v>3961</v>
      </c>
      <c r="I423" s="24" t="str">
        <f>HYPERLINK("https://www.bilibili.com/video/BV1gz4y147yu?p=32", "BV1gz4y147yu?p=32")</f>
        <v>BV1gz4y147yu?p=32</v>
      </c>
      <c r="J423" s="4" t="str">
        <f ca="1">_xlfn.IFNA(VLOOKUP(INDIRECT("G"&amp;ROW()),minfo!$A:$M,COLUMN()-8,0),"")</f>
        <v>你听得到</v>
      </c>
      <c r="K423" s="4" t="str">
        <f ca="1">_xlfn.IFNA(VLOOKUP(INDIRECT("G"&amp;ROW()),minfo!$A:$M,COLUMN()-8,0),"")</f>
        <v>周杰伦</v>
      </c>
      <c r="L423" s="4">
        <f ca="1">_xlfn.IFNA(VLOOKUP(INDIRECT("G"&amp;ROW()),minfo!$A:$M,COLUMN()-8,0),"")</f>
        <v>0</v>
      </c>
      <c r="M423" s="4">
        <f ca="1">_xlfn.IFNA(VLOOKUP(INDIRECT("G"&amp;ROW()),minfo!$A:$M,COLUMN()-8,0),"")</f>
        <v>0</v>
      </c>
      <c r="N423" s="4">
        <f ca="1">_xlfn.IFNA(VLOOKUP(INDIRECT("G"&amp;ROW()),minfo!$A:$M,COLUMN()-8,0),"")</f>
        <v>0</v>
      </c>
      <c r="O423" s="4" t="str">
        <f ca="1">_xlfn.IFNA(VLOOKUP(INDIRECT("G"&amp;ROW()),minfo!$A:$M,COLUMN()-8,0),"")</f>
        <v>https://i0.hdslb.com/bfs/station_src/music_metadata/29e28424e7d2a4c37f7b84cd0b8b18ba.jpg</v>
      </c>
      <c r="P423" s="4" t="str">
        <f ca="1">_xlfn.IFNA(VLOOKUP(INDIRECT("G"&amp;ROW()),minfo!$A:$M,COLUMN()-8,0),"")</f>
        <v>copyright-crawler/music/task-lyric/62682789504b4c0665226751.txt</v>
      </c>
      <c r="Q423" s="4">
        <f ca="1">_xlfn.IFNA(VLOOKUP(INDIRECT("G"&amp;ROW()),minfo!$A:$M,COLUMN()-8,0),"")</f>
        <v>2198</v>
      </c>
      <c r="R423" s="4" t="str">
        <f ca="1">_xlfn.IFNA(VLOOKUP(INDIRECT("G"&amp;ROW()),minfo!$A:$M,COLUMN()-8,0),"")</f>
        <v>你听得到</v>
      </c>
      <c r="S423" s="4" t="str">
        <f ca="1">_xlfn.IFNA(VLOOKUP(INDIRECT("G"&amp;ROW()),minfo!$A:$M,COLUMN()-8,0),"")</f>
        <v>叶惠美</v>
      </c>
      <c r="T423" s="4">
        <f ca="1">_xlfn.IFNA(VLOOKUP(INDIRECT("G"&amp;ROW()),minfo!$A:$M,COLUMN()-8,0),"")</f>
        <v>280199234</v>
      </c>
      <c r="U423" s="4">
        <f ca="1">_xlfn.IFNA(VLOOKUP(INDIRECT("G"&amp;ROW()),minfo!$A:$M,COLUMN()-8,0),"")</f>
        <v>0</v>
      </c>
    </row>
    <row r="424" spans="1:21" ht="15.75" customHeight="1">
      <c r="A424" s="15">
        <v>423</v>
      </c>
      <c r="B424" s="4" t="s">
        <v>3995</v>
      </c>
      <c r="C424" s="4">
        <v>424</v>
      </c>
      <c r="D424" s="4">
        <v>33</v>
      </c>
      <c r="E424" s="4" t="s">
        <v>1293</v>
      </c>
      <c r="F424" s="16">
        <v>45128</v>
      </c>
      <c r="G424" s="5" t="s">
        <v>1292</v>
      </c>
      <c r="H424" s="5" t="s">
        <v>3961</v>
      </c>
      <c r="I424" s="24" t="str">
        <f>HYPERLINK("https://www.bilibili.com/video/BV1gz4y147yu?p=33", "BV1gz4y147yu?p=33")</f>
        <v>BV1gz4y147yu?p=33</v>
      </c>
      <c r="J424" s="4" t="str">
        <f ca="1">_xlfn.IFNA(VLOOKUP(INDIRECT("G"&amp;ROW()),minfo!$A:$M,COLUMN()-8,0),"")</f>
        <v>笼</v>
      </c>
      <c r="K424" s="4" t="str">
        <f ca="1">_xlfn.IFNA(VLOOKUP(INDIRECT("G"&amp;ROW()),minfo!$A:$M,COLUMN()-8,0),"")</f>
        <v>张碧晨</v>
      </c>
      <c r="L424" s="4">
        <f ca="1">_xlfn.IFNA(VLOOKUP(INDIRECT("G"&amp;ROW()),minfo!$A:$M,COLUMN()-8,0),"")</f>
        <v>0</v>
      </c>
      <c r="M424" s="4">
        <f ca="1">_xlfn.IFNA(VLOOKUP(INDIRECT("G"&amp;ROW()),minfo!$A:$M,COLUMN()-8,0),"")</f>
        <v>73046</v>
      </c>
      <c r="N424" s="4">
        <f ca="1">_xlfn.IFNA(VLOOKUP(INDIRECT("G"&amp;ROW()),minfo!$A:$M,COLUMN()-8,0),"")</f>
        <v>13534</v>
      </c>
      <c r="O424" s="4" t="str">
        <f ca="1">_xlfn.IFNA(VLOOKUP(INDIRECT("G"&amp;ROW()),minfo!$A:$M,COLUMN()-8,0),"")</f>
        <v>http://i0.hdslb.com/bfs/station_src/music_metadata/5ca14c3497ae9f34c4a6cc4df51a84b0.jpg</v>
      </c>
      <c r="P424" s="4">
        <f ca="1">_xlfn.IFNA(VLOOKUP(INDIRECT("G"&amp;ROW()),minfo!$A:$M,COLUMN()-8,0),"")</f>
        <v>0</v>
      </c>
      <c r="Q424" s="4">
        <f ca="1">_xlfn.IFNA(VLOOKUP(INDIRECT("G"&amp;ROW()),minfo!$A:$M,COLUMN()-8,0),"")</f>
        <v>2627</v>
      </c>
      <c r="R424" s="4">
        <f ca="1">_xlfn.IFNA(VLOOKUP(INDIRECT("G"&amp;ROW()),minfo!$A:$M,COLUMN()-8,0),"")</f>
        <v>0</v>
      </c>
      <c r="S424" s="4" t="str">
        <f ca="1">_xlfn.IFNA(VLOOKUP(INDIRECT("G"&amp;ROW()),minfo!$A:$M,COLUMN()-8,0),"")</f>
        <v>笼</v>
      </c>
      <c r="T424" s="4">
        <f ca="1">_xlfn.IFNA(VLOOKUP(INDIRECT("G"&amp;ROW()),minfo!$A:$M,COLUMN()-8,0),"")</f>
        <v>313156503</v>
      </c>
      <c r="U424" s="4" t="str">
        <f ca="1">_xlfn.IFNA(VLOOKUP(INDIRECT("G"&amp;ROW()),minfo!$A:$M,COLUMN()-8,0),"")</f>
        <v>音乐榜最高NO.1</v>
      </c>
    </row>
    <row r="425" spans="1:21" ht="15.75" customHeight="1">
      <c r="A425" s="15">
        <v>424</v>
      </c>
      <c r="B425" s="4" t="s">
        <v>3996</v>
      </c>
      <c r="C425" s="4">
        <v>425</v>
      </c>
      <c r="D425" s="4">
        <v>34</v>
      </c>
      <c r="E425" s="4" t="s">
        <v>1296</v>
      </c>
      <c r="F425" s="16">
        <v>45132</v>
      </c>
      <c r="G425" s="5" t="s">
        <v>1295</v>
      </c>
      <c r="H425" s="5" t="s">
        <v>3961</v>
      </c>
      <c r="I425" s="24" t="str">
        <f>HYPERLINK("https://www.bilibili.com/video/BV1gz4y147yu?p=34", "BV1gz4y147yu?p=34")</f>
        <v>BV1gz4y147yu?p=34</v>
      </c>
      <c r="J425" s="4" t="str">
        <f ca="1">_xlfn.IFNA(VLOOKUP(INDIRECT("G"&amp;ROW()),minfo!$A:$M,COLUMN()-8,0),"")</f>
        <v>卷珠帘</v>
      </c>
      <c r="K425" s="4" t="str">
        <f ca="1">_xlfn.IFNA(VLOOKUP(INDIRECT("G"&amp;ROW()),minfo!$A:$M,COLUMN()-8,0),"")</f>
        <v>周深</v>
      </c>
      <c r="L425" s="4">
        <f ca="1">_xlfn.IFNA(VLOOKUP(INDIRECT("G"&amp;ROW()),minfo!$A:$M,COLUMN()-8,0),"")</f>
        <v>0</v>
      </c>
      <c r="M425" s="4">
        <f ca="1">_xlfn.IFNA(VLOOKUP(INDIRECT("G"&amp;ROW()),minfo!$A:$M,COLUMN()-8,0),"")</f>
        <v>0</v>
      </c>
      <c r="N425" s="4">
        <f ca="1">_xlfn.IFNA(VLOOKUP(INDIRECT("G"&amp;ROW()),minfo!$A:$M,COLUMN()-8,0),"")</f>
        <v>0</v>
      </c>
      <c r="O425" s="4" t="str">
        <f ca="1">_xlfn.IFNA(VLOOKUP(INDIRECT("G"&amp;ROW()),minfo!$A:$M,COLUMN()-8,0),"")</f>
        <v>http://i0.hdslb.com/bfs/station_src/music_metadata/f42e0343b7c418d43f2be69b16badbb5.jpg</v>
      </c>
      <c r="P425" s="4">
        <f ca="1">_xlfn.IFNA(VLOOKUP(INDIRECT("G"&amp;ROW()),minfo!$A:$M,COLUMN()-8,0),"")</f>
        <v>0</v>
      </c>
      <c r="Q425" s="4">
        <f ca="1">_xlfn.IFNA(VLOOKUP(INDIRECT("G"&amp;ROW()),minfo!$A:$M,COLUMN()-8,0),"")</f>
        <v>179</v>
      </c>
      <c r="R425" s="4">
        <f ca="1">_xlfn.IFNA(VLOOKUP(INDIRECT("G"&amp;ROW()),minfo!$A:$M,COLUMN()-8,0),"")</f>
        <v>0</v>
      </c>
      <c r="S425" s="4" t="str">
        <f ca="1">_xlfn.IFNA(VLOOKUP(INDIRECT("G"&amp;ROW()),minfo!$A:$M,COLUMN()-8,0),"")</f>
        <v>化身孤岛的鲸 周深翻唱精选Vol. 1</v>
      </c>
      <c r="T425" s="4">
        <f ca="1">_xlfn.IFNA(VLOOKUP(INDIRECT("G"&amp;ROW()),minfo!$A:$M,COLUMN()-8,0),"")</f>
        <v>61503981</v>
      </c>
      <c r="U425" s="4">
        <f ca="1">_xlfn.IFNA(VLOOKUP(INDIRECT("G"&amp;ROW()),minfo!$A:$M,COLUMN()-8,0),"")</f>
        <v>0</v>
      </c>
    </row>
    <row r="426" spans="1:21" ht="15.75" customHeight="1">
      <c r="A426" s="15">
        <v>425</v>
      </c>
      <c r="B426" s="4" t="s">
        <v>3997</v>
      </c>
      <c r="C426" s="4">
        <v>426</v>
      </c>
      <c r="D426" s="4">
        <v>35</v>
      </c>
      <c r="E426" s="4" t="s">
        <v>967</v>
      </c>
      <c r="F426" s="16">
        <v>45132</v>
      </c>
      <c r="G426" s="5" t="s">
        <v>966</v>
      </c>
      <c r="H426" s="5" t="s">
        <v>3961</v>
      </c>
      <c r="I426" s="24" t="str">
        <f>HYPERLINK("https://www.bilibili.com/video/BV1gz4y147yu?p=35", "BV1gz4y147yu?p=35")</f>
        <v>BV1gz4y147yu?p=35</v>
      </c>
      <c r="J426" s="4" t="str">
        <f ca="1">_xlfn.IFNA(VLOOKUP(INDIRECT("G"&amp;ROW()),minfo!$A:$M,COLUMN()-8,0),"")</f>
        <v>小雨</v>
      </c>
      <c r="K426" s="4" t="str">
        <f ca="1">_xlfn.IFNA(VLOOKUP(INDIRECT("G"&amp;ROW()),minfo!$A:$M,COLUMN()-8,0),"")</f>
        <v>黄龄</v>
      </c>
      <c r="L426" s="4">
        <f ca="1">_xlfn.IFNA(VLOOKUP(INDIRECT("G"&amp;ROW()),minfo!$A:$M,COLUMN()-8,0),"")</f>
        <v>0</v>
      </c>
      <c r="M426" s="4">
        <f ca="1">_xlfn.IFNA(VLOOKUP(INDIRECT("G"&amp;ROW()),minfo!$A:$M,COLUMN()-8,0),"")</f>
        <v>0</v>
      </c>
      <c r="N426" s="4">
        <f ca="1">_xlfn.IFNA(VLOOKUP(INDIRECT("G"&amp;ROW()),minfo!$A:$M,COLUMN()-8,0),"")</f>
        <v>0</v>
      </c>
      <c r="O426" s="4" t="str">
        <f ca="1">_xlfn.IFNA(VLOOKUP(INDIRECT("G"&amp;ROW()),minfo!$A:$M,COLUMN()-8,0),"")</f>
        <v>https://i0.hdslb.com/bfs/station_src/music_metadata/607346922702f1ba7302d87db0ecdbf1.jpg</v>
      </c>
      <c r="P426" s="4" t="str">
        <f ca="1">_xlfn.IFNA(VLOOKUP(INDIRECT("G"&amp;ROW()),minfo!$A:$M,COLUMN()-8,0),"")</f>
        <v>https://i0.hdslb.com/bfs/station_src/music_metadata/245fdd0b68a8f71caa554e8f05ea1b6c.txt</v>
      </c>
      <c r="Q426" s="4">
        <f ca="1">_xlfn.IFNA(VLOOKUP(INDIRECT("G"&amp;ROW()),minfo!$A:$M,COLUMN()-8,0),"")</f>
        <v>2250</v>
      </c>
      <c r="R426" s="4">
        <f ca="1">_xlfn.IFNA(VLOOKUP(INDIRECT("G"&amp;ROW()),minfo!$A:$M,COLUMN()-8,0),"")</f>
        <v>0</v>
      </c>
      <c r="S426" s="4" t="str">
        <f ca="1">_xlfn.IFNA(VLOOKUP(INDIRECT("G"&amp;ROW()),minfo!$A:$M,COLUMN()-8,0),"")</f>
        <v>小雨</v>
      </c>
      <c r="T426" s="4">
        <f ca="1">_xlfn.IFNA(VLOOKUP(INDIRECT("G"&amp;ROW()),minfo!$A:$M,COLUMN()-8,0),"")</f>
        <v>63947645</v>
      </c>
      <c r="U426" s="4">
        <f ca="1">_xlfn.IFNA(VLOOKUP(INDIRECT("G"&amp;ROW()),minfo!$A:$M,COLUMN()-8,0),"")</f>
        <v>0</v>
      </c>
    </row>
    <row r="427" spans="1:21" ht="15.75" customHeight="1">
      <c r="A427" s="15">
        <v>426</v>
      </c>
      <c r="B427" s="4" t="s">
        <v>3998</v>
      </c>
      <c r="C427" s="4">
        <v>427</v>
      </c>
      <c r="D427" s="4">
        <v>36</v>
      </c>
      <c r="E427" s="4" t="s">
        <v>250</v>
      </c>
      <c r="F427" s="16">
        <v>45132</v>
      </c>
      <c r="G427" s="5" t="s">
        <v>249</v>
      </c>
      <c r="H427" s="5" t="s">
        <v>3961</v>
      </c>
      <c r="I427" s="24" t="str">
        <f>HYPERLINK("https://www.bilibili.com/video/BV1gz4y147yu?p=36", "BV1gz4y147yu?p=36")</f>
        <v>BV1gz4y147yu?p=36</v>
      </c>
      <c r="J427" s="4" t="str">
        <f ca="1">_xlfn.IFNA(VLOOKUP(INDIRECT("G"&amp;ROW()),minfo!$A:$M,COLUMN()-8,0),"")</f>
        <v>入画江南</v>
      </c>
      <c r="K427" s="4" t="str">
        <f ca="1">_xlfn.IFNA(VLOOKUP(INDIRECT("G"&amp;ROW()),minfo!$A:$M,COLUMN()-8,0),"")</f>
        <v>黄龄</v>
      </c>
      <c r="L427" s="4">
        <f ca="1">_xlfn.IFNA(VLOOKUP(INDIRECT("G"&amp;ROW()),minfo!$A:$M,COLUMN()-8,0),"")</f>
        <v>0</v>
      </c>
      <c r="M427" s="4">
        <f ca="1">_xlfn.IFNA(VLOOKUP(INDIRECT("G"&amp;ROW()),minfo!$A:$M,COLUMN()-8,0),"")</f>
        <v>0</v>
      </c>
      <c r="N427" s="4">
        <f ca="1">_xlfn.IFNA(VLOOKUP(INDIRECT("G"&amp;ROW()),minfo!$A:$M,COLUMN()-8,0),"")</f>
        <v>0</v>
      </c>
      <c r="O427" s="4" t="str">
        <f ca="1">_xlfn.IFNA(VLOOKUP(INDIRECT("G"&amp;ROW()),minfo!$A:$M,COLUMN()-8,0),"")</f>
        <v>https://i0.hdslb.com/bfs/station_src/music_metadata/9bad5d5de3b3ad30ddb1728f2601e072.jpg</v>
      </c>
      <c r="P427" s="4" t="str">
        <f ca="1">_xlfn.IFNA(VLOOKUP(INDIRECT("G"&amp;ROW()),minfo!$A:$M,COLUMN()-8,0),"")</f>
        <v>http://i0.hdslb.com/bfs/station_src/music_metadata/c67ce1dd9cbfd2414bb3914f717f4817</v>
      </c>
      <c r="Q427" s="4">
        <f ca="1">_xlfn.IFNA(VLOOKUP(INDIRECT("G"&amp;ROW()),minfo!$A:$M,COLUMN()-8,0),"")</f>
        <v>2739</v>
      </c>
      <c r="R427" s="4" t="str">
        <f ca="1">_xlfn.IFNA(VLOOKUP(INDIRECT("G"&amp;ROW()),minfo!$A:$M,COLUMN()-8,0),"")</f>
        <v>《江南百景图》手游推广曲</v>
      </c>
      <c r="S427" s="4" t="str">
        <f ca="1">_xlfn.IFNA(VLOOKUP(INDIRECT("G"&amp;ROW()),minfo!$A:$M,COLUMN()-8,0),"")</f>
        <v>入画江南</v>
      </c>
      <c r="T427" s="4">
        <f ca="1">_xlfn.IFNA(VLOOKUP(INDIRECT("G"&amp;ROW()),minfo!$A:$M,COLUMN()-8,0),"")</f>
        <v>119060924</v>
      </c>
      <c r="U427" s="4">
        <f ca="1">_xlfn.IFNA(VLOOKUP(INDIRECT("G"&amp;ROW()),minfo!$A:$M,COLUMN()-8,0),"")</f>
        <v>0</v>
      </c>
    </row>
    <row r="428" spans="1:21" ht="15.75" customHeight="1">
      <c r="A428" s="15">
        <v>427</v>
      </c>
      <c r="B428" s="4" t="s">
        <v>3999</v>
      </c>
      <c r="C428" s="4">
        <v>428</v>
      </c>
      <c r="D428" s="4">
        <v>37</v>
      </c>
      <c r="E428" s="4" t="s">
        <v>946</v>
      </c>
      <c r="F428" s="16">
        <v>45132</v>
      </c>
      <c r="G428" s="5" t="s">
        <v>945</v>
      </c>
      <c r="H428" s="5" t="s">
        <v>3961</v>
      </c>
      <c r="I428" s="24" t="str">
        <f>HYPERLINK("https://www.bilibili.com/video/BV1gz4y147yu?p=37", "BV1gz4y147yu?p=37")</f>
        <v>BV1gz4y147yu?p=37</v>
      </c>
      <c r="J428" s="4" t="str">
        <f ca="1">_xlfn.IFNA(VLOOKUP(INDIRECT("G"&amp;ROW()),minfo!$A:$M,COLUMN()-8,0),"")</f>
        <v>半岛铁盒</v>
      </c>
      <c r="K428" s="4" t="str">
        <f ca="1">_xlfn.IFNA(VLOOKUP(INDIRECT("G"&amp;ROW()),minfo!$A:$M,COLUMN()-8,0),"")</f>
        <v>周杰伦</v>
      </c>
      <c r="L428" s="4">
        <f ca="1">_xlfn.IFNA(VLOOKUP(INDIRECT("G"&amp;ROW()),minfo!$A:$M,COLUMN()-8,0),"")</f>
        <v>0</v>
      </c>
      <c r="M428" s="4">
        <f ca="1">_xlfn.IFNA(VLOOKUP(INDIRECT("G"&amp;ROW()),minfo!$A:$M,COLUMN()-8,0),"")</f>
        <v>0</v>
      </c>
      <c r="N428" s="4">
        <f ca="1">_xlfn.IFNA(VLOOKUP(INDIRECT("G"&amp;ROW()),minfo!$A:$M,COLUMN()-8,0),"")</f>
        <v>0</v>
      </c>
      <c r="O428" s="4" t="str">
        <f ca="1">_xlfn.IFNA(VLOOKUP(INDIRECT("G"&amp;ROW()),minfo!$A:$M,COLUMN()-8,0),"")</f>
        <v>https://i0.hdslb.com/bfs/station_src/music_metadata/969db89b7df27aa5580e7e0a53957368.jpg</v>
      </c>
      <c r="P428" s="4">
        <f ca="1">_xlfn.IFNA(VLOOKUP(INDIRECT("G"&amp;ROW()),minfo!$A:$M,COLUMN()-8,0),"")</f>
        <v>0</v>
      </c>
      <c r="Q428" s="4">
        <f ca="1">_xlfn.IFNA(VLOOKUP(INDIRECT("G"&amp;ROW()),minfo!$A:$M,COLUMN()-8,0),"")</f>
        <v>6537</v>
      </c>
      <c r="R428" s="4">
        <f ca="1">_xlfn.IFNA(VLOOKUP(INDIRECT("G"&amp;ROW()),minfo!$A:$M,COLUMN()-8,0),"")</f>
        <v>0</v>
      </c>
      <c r="S428" s="4" t="str">
        <f ca="1">_xlfn.IFNA(VLOOKUP(INDIRECT("G"&amp;ROW()),minfo!$A:$M,COLUMN()-8,0),"")</f>
        <v>八度空间</v>
      </c>
      <c r="T428" s="4">
        <f ca="1">_xlfn.IFNA(VLOOKUP(INDIRECT("G"&amp;ROW()),minfo!$A:$M,COLUMN()-8,0),"")</f>
        <v>569248560</v>
      </c>
      <c r="U428" s="4">
        <f ca="1">_xlfn.IFNA(VLOOKUP(INDIRECT("G"&amp;ROW()),minfo!$A:$M,COLUMN()-8,0),"")</f>
        <v>0</v>
      </c>
    </row>
    <row r="429" spans="1:21" ht="15.75" customHeight="1">
      <c r="A429" s="15">
        <v>428</v>
      </c>
      <c r="B429" s="4" t="s">
        <v>4000</v>
      </c>
      <c r="C429" s="4">
        <v>429</v>
      </c>
      <c r="D429" s="4">
        <v>38</v>
      </c>
      <c r="E429" s="4" t="s">
        <v>99</v>
      </c>
      <c r="F429" s="16">
        <v>45132</v>
      </c>
      <c r="G429" s="5" t="s">
        <v>1299</v>
      </c>
      <c r="H429" s="5" t="s">
        <v>3961</v>
      </c>
      <c r="I429" s="24" t="str">
        <f>HYPERLINK("https://www.bilibili.com/video/BV1gz4y147yu?p=38", "BV1gz4y147yu?p=38")</f>
        <v>BV1gz4y147yu?p=38</v>
      </c>
      <c r="J429" s="4" t="str">
        <f ca="1">_xlfn.IFNA(VLOOKUP(INDIRECT("G"&amp;ROW()),minfo!$A:$M,COLUMN()-8,0),"")</f>
        <v>标准答案</v>
      </c>
      <c r="K429" s="4" t="str">
        <f ca="1">_xlfn.IFNA(VLOOKUP(INDIRECT("G"&amp;ROW()),minfo!$A:$M,COLUMN()-8,0),"")</f>
        <v>说说Crystal</v>
      </c>
      <c r="L429" s="4">
        <f ca="1">_xlfn.IFNA(VLOOKUP(INDIRECT("G"&amp;ROW()),minfo!$A:$M,COLUMN()-8,0),"")</f>
        <v>0</v>
      </c>
      <c r="M429" s="4">
        <f ca="1">_xlfn.IFNA(VLOOKUP(INDIRECT("G"&amp;ROW()),minfo!$A:$M,COLUMN()-8,0),"")</f>
        <v>0</v>
      </c>
      <c r="N429" s="4">
        <f ca="1">_xlfn.IFNA(VLOOKUP(INDIRECT("G"&amp;ROW()),minfo!$A:$M,COLUMN()-8,0),"")</f>
        <v>0</v>
      </c>
      <c r="O429" s="4" t="str">
        <f ca="1">_xlfn.IFNA(VLOOKUP(INDIRECT("G"&amp;ROW()),minfo!$A:$M,COLUMN()-8,0),"")</f>
        <v>https://i0.hdslb.com/bfs/station_src/music_metadata/cb7c412dc5758610165454efdef23d3b.jpg</v>
      </c>
      <c r="P429" s="4" t="str">
        <f ca="1">_xlfn.IFNA(VLOOKUP(INDIRECT("G"&amp;ROW()),minfo!$A:$M,COLUMN()-8,0),"")</f>
        <v>https://i0.hdslb.com/bfs/station_src/music_metadata/3f425645ad340ed93a1345109dd50b00.txt</v>
      </c>
      <c r="Q429" s="4">
        <f ca="1">_xlfn.IFNA(VLOOKUP(INDIRECT("G"&amp;ROW()),minfo!$A:$M,COLUMN()-8,0),"")</f>
        <v>0</v>
      </c>
      <c r="R429" s="4">
        <f ca="1">_xlfn.IFNA(VLOOKUP(INDIRECT("G"&amp;ROW()),minfo!$A:$M,COLUMN()-8,0),"")</f>
        <v>0</v>
      </c>
      <c r="S429" s="4" t="str">
        <f ca="1">_xlfn.IFNA(VLOOKUP(INDIRECT("G"&amp;ROW()),minfo!$A:$M,COLUMN()-8,0),"")</f>
        <v>标准答案</v>
      </c>
      <c r="T429" s="4">
        <f ca="1">_xlfn.IFNA(VLOOKUP(INDIRECT("G"&amp;ROW()),minfo!$A:$M,COLUMN()-8,0),"")</f>
        <v>94693</v>
      </c>
      <c r="U429" s="4">
        <f ca="1">_xlfn.IFNA(VLOOKUP(INDIRECT("G"&amp;ROW()),minfo!$A:$M,COLUMN()-8,0),"")</f>
        <v>0</v>
      </c>
    </row>
    <row r="430" spans="1:21" ht="15.75" customHeight="1">
      <c r="A430" s="15">
        <v>429</v>
      </c>
      <c r="B430" s="4" t="s">
        <v>4001</v>
      </c>
      <c r="C430" s="4">
        <v>430</v>
      </c>
      <c r="D430" s="4">
        <v>39</v>
      </c>
      <c r="E430" s="4" t="s">
        <v>103</v>
      </c>
      <c r="F430" s="16">
        <v>45132</v>
      </c>
      <c r="G430" s="5" t="s">
        <v>1302</v>
      </c>
      <c r="H430" s="5" t="s">
        <v>3961</v>
      </c>
      <c r="I430" s="24" t="str">
        <f>HYPERLINK("https://www.bilibili.com/video/BV1gz4y147yu?p=39", "BV1gz4y147yu?p=39")</f>
        <v>BV1gz4y147yu?p=39</v>
      </c>
      <c r="J430" s="4" t="str">
        <f ca="1">_xlfn.IFNA(VLOOKUP(INDIRECT("G"&amp;ROW()),minfo!$A:$M,COLUMN()-8,0),"")</f>
        <v>不与人说</v>
      </c>
      <c r="K430" s="4" t="str">
        <f ca="1">_xlfn.IFNA(VLOOKUP(INDIRECT("G"&amp;ROW()),minfo!$A:$M,COLUMN()-8,0),"")</f>
        <v>说说Crystal</v>
      </c>
      <c r="L430" s="4">
        <f ca="1">_xlfn.IFNA(VLOOKUP(INDIRECT("G"&amp;ROW()),minfo!$A:$M,COLUMN()-8,0),"")</f>
        <v>0</v>
      </c>
      <c r="M430" s="4">
        <f ca="1">_xlfn.IFNA(VLOOKUP(INDIRECT("G"&amp;ROW()),minfo!$A:$M,COLUMN()-8,0),"")</f>
        <v>0</v>
      </c>
      <c r="N430" s="4">
        <f ca="1">_xlfn.IFNA(VLOOKUP(INDIRECT("G"&amp;ROW()),minfo!$A:$M,COLUMN()-8,0),"")</f>
        <v>0</v>
      </c>
      <c r="O430" s="4" t="str">
        <f ca="1">_xlfn.IFNA(VLOOKUP(INDIRECT("G"&amp;ROW()),minfo!$A:$M,COLUMN()-8,0),"")</f>
        <v>https://i0.hdslb.com/bfs/station_src/music_metadata/bdd3f00d8b08a3cddf8bce42db5ff25a.jpg</v>
      </c>
      <c r="P430" s="4">
        <f ca="1">_xlfn.IFNA(VLOOKUP(INDIRECT("G"&amp;ROW()),minfo!$A:$M,COLUMN()-8,0),"")</f>
        <v>0</v>
      </c>
      <c r="Q430" s="4">
        <f ca="1">_xlfn.IFNA(VLOOKUP(INDIRECT("G"&amp;ROW()),minfo!$A:$M,COLUMN()-8,0),"")</f>
        <v>0</v>
      </c>
      <c r="R430" s="4">
        <f ca="1">_xlfn.IFNA(VLOOKUP(INDIRECT("G"&amp;ROW()),minfo!$A:$M,COLUMN()-8,0),"")</f>
        <v>0</v>
      </c>
      <c r="S430" s="4" t="str">
        <f ca="1">_xlfn.IFNA(VLOOKUP(INDIRECT("G"&amp;ROW()),minfo!$A:$M,COLUMN()-8,0),"")</f>
        <v>不与人说</v>
      </c>
      <c r="T430" s="4">
        <f ca="1">_xlfn.IFNA(VLOOKUP(INDIRECT("G"&amp;ROW()),minfo!$A:$M,COLUMN()-8,0),"")</f>
        <v>64479</v>
      </c>
      <c r="U430" s="4">
        <f ca="1">_xlfn.IFNA(VLOOKUP(INDIRECT("G"&amp;ROW()),minfo!$A:$M,COLUMN()-8,0),"")</f>
        <v>0</v>
      </c>
    </row>
    <row r="431" spans="1:21" ht="15.75" customHeight="1">
      <c r="A431" s="15">
        <v>430</v>
      </c>
      <c r="B431" s="4" t="s">
        <v>4002</v>
      </c>
      <c r="C431" s="4">
        <v>431</v>
      </c>
      <c r="D431" s="4">
        <v>40</v>
      </c>
      <c r="E431" s="4" t="s">
        <v>4003</v>
      </c>
      <c r="F431" s="16">
        <v>45133</v>
      </c>
      <c r="G431" s="5" t="s">
        <v>1304</v>
      </c>
      <c r="H431" s="5" t="s">
        <v>3961</v>
      </c>
      <c r="I431" s="24" t="str">
        <f>HYPERLINK("https://www.bilibili.com/video/BV1gz4y147yu?p=40", "BV1gz4y147yu?p=40")</f>
        <v>BV1gz4y147yu?p=40</v>
      </c>
      <c r="J431" s="4" t="str">
        <f ca="1">_xlfn.IFNA(VLOOKUP(INDIRECT("G"&amp;ROW()),minfo!$A:$M,COLUMN()-8,0),"")</f>
        <v>萱草花</v>
      </c>
      <c r="K431" s="4" t="str">
        <f ca="1">_xlfn.IFNA(VLOOKUP(INDIRECT("G"&amp;ROW()),minfo!$A:$M,COLUMN()-8,0),"")</f>
        <v>张小斐</v>
      </c>
      <c r="L431" s="4">
        <f ca="1">_xlfn.IFNA(VLOOKUP(INDIRECT("G"&amp;ROW()),minfo!$A:$M,COLUMN()-8,0),"")</f>
        <v>0</v>
      </c>
      <c r="M431" s="4">
        <f ca="1">_xlfn.IFNA(VLOOKUP(INDIRECT("G"&amp;ROW()),minfo!$A:$M,COLUMN()-8,0),"")</f>
        <v>0</v>
      </c>
      <c r="N431" s="4">
        <f ca="1">_xlfn.IFNA(VLOOKUP(INDIRECT("G"&amp;ROW()),minfo!$A:$M,COLUMN()-8,0),"")</f>
        <v>0</v>
      </c>
      <c r="O431" s="4" t="str">
        <f ca="1">_xlfn.IFNA(VLOOKUP(INDIRECT("G"&amp;ROW()),minfo!$A:$M,COLUMN()-8,0),"")</f>
        <v>http://i0.hdslb.com/bfs/station_src/music_metadata/8a229082f89f61dabf4714b7ca60f646.jpg</v>
      </c>
      <c r="P431" s="4" t="str">
        <f ca="1">_xlfn.IFNA(VLOOKUP(INDIRECT("G"&amp;ROW()),minfo!$A:$M,COLUMN()-8,0),"")</f>
        <v>http://i0.hdslb.com/bfs/station_src/music_metadata/717c439a71569e00fd804d305ca74fdd</v>
      </c>
      <c r="Q431" s="4">
        <f ca="1">_xlfn.IFNA(VLOOKUP(INDIRECT("G"&amp;ROW()),minfo!$A:$M,COLUMN()-8,0),"")</f>
        <v>1718</v>
      </c>
      <c r="R431" s="4" t="str">
        <f ca="1">_xlfn.IFNA(VLOOKUP(INDIRECT("G"&amp;ROW()),minfo!$A:$M,COLUMN()-8,0),"")</f>
        <v>《你好，李焕英》电影主题曲</v>
      </c>
      <c r="S431" s="4" t="str">
        <f ca="1">_xlfn.IFNA(VLOOKUP(INDIRECT("G"&amp;ROW()),minfo!$A:$M,COLUMN()-8,0),"")</f>
        <v>你好，李焕英 电影原声大碟</v>
      </c>
      <c r="T431" s="4">
        <f ca="1">_xlfn.IFNA(VLOOKUP(INDIRECT("G"&amp;ROW()),minfo!$A:$M,COLUMN()-8,0),"")</f>
        <v>544027498</v>
      </c>
      <c r="U431" s="4">
        <f ca="1">_xlfn.IFNA(VLOOKUP(INDIRECT("G"&amp;ROW()),minfo!$A:$M,COLUMN()-8,0),"")</f>
        <v>0</v>
      </c>
    </row>
    <row r="432" spans="1:21" ht="15.75" customHeight="1">
      <c r="A432" s="15">
        <v>431</v>
      </c>
      <c r="B432" s="4" t="s">
        <v>4004</v>
      </c>
      <c r="C432" s="4">
        <v>432</v>
      </c>
      <c r="D432" s="4">
        <v>41</v>
      </c>
      <c r="E432" s="4" t="s">
        <v>20</v>
      </c>
      <c r="F432" s="16">
        <v>45133</v>
      </c>
      <c r="G432" s="5" t="s">
        <v>1311</v>
      </c>
      <c r="H432" s="5" t="s">
        <v>3961</v>
      </c>
      <c r="I432" s="24" t="str">
        <f>HYPERLINK("https://www.bilibili.com/video/BV1gz4y147yu?p=41", "BV1gz4y147yu?p=41")</f>
        <v>BV1gz4y147yu?p=41</v>
      </c>
      <c r="J432" s="4" t="str">
        <f ca="1">_xlfn.IFNA(VLOOKUP(INDIRECT("G"&amp;ROW()),minfo!$A:$M,COLUMN()-8,0),"")</f>
        <v>人啊！</v>
      </c>
      <c r="K432" s="4" t="str">
        <f ca="1">_xlfn.IFNA(VLOOKUP(INDIRECT("G"&amp;ROW()),minfo!$A:$M,COLUMN()-8,0),"")</f>
        <v>孟慧圆</v>
      </c>
      <c r="L432" s="4">
        <f ca="1">_xlfn.IFNA(VLOOKUP(INDIRECT("G"&amp;ROW()),minfo!$A:$M,COLUMN()-8,0),"")</f>
        <v>0</v>
      </c>
      <c r="M432" s="4">
        <f ca="1">_xlfn.IFNA(VLOOKUP(INDIRECT("G"&amp;ROW()),minfo!$A:$M,COLUMN()-8,0),"")</f>
        <v>0</v>
      </c>
      <c r="N432" s="4">
        <f ca="1">_xlfn.IFNA(VLOOKUP(INDIRECT("G"&amp;ROW()),minfo!$A:$M,COLUMN()-8,0),"")</f>
        <v>0</v>
      </c>
      <c r="O432" s="4" t="str">
        <f ca="1">_xlfn.IFNA(VLOOKUP(INDIRECT("G"&amp;ROW()),minfo!$A:$M,COLUMN()-8,0),"")</f>
        <v>https://i0.hdslb.com/bfs/station_src/music_metadata/5409ee86a8b1101694dedd1c76cbf1f7.jpg</v>
      </c>
      <c r="P432" s="4" t="str">
        <f ca="1">_xlfn.IFNA(VLOOKUP(INDIRECT("G"&amp;ROW()),minfo!$A:$M,COLUMN()-8,0),"")</f>
        <v>https://i0.hdslb.com/bfs/station_src/music_metadata/0210489f3075ef46d767cb200e1b4621.txt</v>
      </c>
      <c r="Q432" s="4">
        <f ca="1">_xlfn.IFNA(VLOOKUP(INDIRECT("G"&amp;ROW()),minfo!$A:$M,COLUMN()-8,0),"")</f>
        <v>23</v>
      </c>
      <c r="R432" s="4">
        <f ca="1">_xlfn.IFNA(VLOOKUP(INDIRECT("G"&amp;ROW()),minfo!$A:$M,COLUMN()-8,0),"")</f>
        <v>0</v>
      </c>
      <c r="S432" s="4" t="str">
        <f ca="1">_xlfn.IFNA(VLOOKUP(INDIRECT("G"&amp;ROW()),minfo!$A:$M,COLUMN()-8,0),"")</f>
        <v>人啊！</v>
      </c>
      <c r="T432" s="4">
        <f ca="1">_xlfn.IFNA(VLOOKUP(INDIRECT("G"&amp;ROW()),minfo!$A:$M,COLUMN()-8,0),"")</f>
        <v>2997679</v>
      </c>
      <c r="U432" s="4">
        <f ca="1">_xlfn.IFNA(VLOOKUP(INDIRECT("G"&amp;ROW()),minfo!$A:$M,COLUMN()-8,0),"")</f>
        <v>0</v>
      </c>
    </row>
    <row r="433" spans="1:21" ht="15.75" customHeight="1">
      <c r="A433" s="15">
        <v>432</v>
      </c>
      <c r="B433" s="4" t="s">
        <v>4005</v>
      </c>
      <c r="C433" s="4">
        <v>433</v>
      </c>
      <c r="D433" s="4">
        <v>42</v>
      </c>
      <c r="E433" s="4" t="s">
        <v>30</v>
      </c>
      <c r="F433" s="16">
        <v>45133</v>
      </c>
      <c r="G433" s="5" t="s">
        <v>29</v>
      </c>
      <c r="H433" s="5" t="s">
        <v>3961</v>
      </c>
      <c r="I433" s="24" t="str">
        <f>HYPERLINK("https://www.bilibili.com/video/BV1gz4y147yu?p=42", "BV1gz4y147yu?p=42")</f>
        <v>BV1gz4y147yu?p=42</v>
      </c>
      <c r="J433" s="4" t="str">
        <f ca="1">_xlfn.IFNA(VLOOKUP(INDIRECT("G"&amp;ROW()),minfo!$A:$M,COLUMN()-8,0),"")</f>
        <v>下雨天</v>
      </c>
      <c r="K433" s="4" t="str">
        <f ca="1">_xlfn.IFNA(VLOOKUP(INDIRECT("G"&amp;ROW()),minfo!$A:$M,COLUMN()-8,0),"")</f>
        <v>南拳妈妈</v>
      </c>
      <c r="L433" s="4">
        <f ca="1">_xlfn.IFNA(VLOOKUP(INDIRECT("G"&amp;ROW()),minfo!$A:$M,COLUMN()-8,0),"")</f>
        <v>0</v>
      </c>
      <c r="M433" s="4">
        <f ca="1">_xlfn.IFNA(VLOOKUP(INDIRECT("G"&amp;ROW()),minfo!$A:$M,COLUMN()-8,0),"")</f>
        <v>0</v>
      </c>
      <c r="N433" s="4">
        <f ca="1">_xlfn.IFNA(VLOOKUP(INDIRECT("G"&amp;ROW()),minfo!$A:$M,COLUMN()-8,0),"")</f>
        <v>0</v>
      </c>
      <c r="O433" s="4" t="str">
        <f ca="1">_xlfn.IFNA(VLOOKUP(INDIRECT("G"&amp;ROW()),minfo!$A:$M,COLUMN()-8,0),"")</f>
        <v>http://i0.hdslb.com/bfs/station_src/music_metadata/11894af49c3a6335acdcff5503de93ca.jpg</v>
      </c>
      <c r="P433" s="4" t="str">
        <f ca="1">_xlfn.IFNA(VLOOKUP(INDIRECT("G"&amp;ROW()),minfo!$A:$M,COLUMN()-8,0),"")</f>
        <v>http://i0.hdslb.com/bfs/station_src/music_metadata/7562376c6e398641a1432bf3281bc565</v>
      </c>
      <c r="Q433" s="4">
        <f ca="1">_xlfn.IFNA(VLOOKUP(INDIRECT("G"&amp;ROW()),minfo!$A:$M,COLUMN()-8,0),"")</f>
        <v>1858</v>
      </c>
      <c r="R433" s="4">
        <f ca="1">_xlfn.IFNA(VLOOKUP(INDIRECT("G"&amp;ROW()),minfo!$A:$M,COLUMN()-8,0),"")</f>
        <v>0</v>
      </c>
      <c r="S433" s="4" t="str">
        <f ca="1">_xlfn.IFNA(VLOOKUP(INDIRECT("G"&amp;ROW()),minfo!$A:$M,COLUMN()-8,0),"")</f>
        <v>优の良曲 南搞小孩</v>
      </c>
      <c r="T433" s="4">
        <f ca="1">_xlfn.IFNA(VLOOKUP(INDIRECT("G"&amp;ROW()),minfo!$A:$M,COLUMN()-8,0),"")</f>
        <v>282780877</v>
      </c>
      <c r="U433" s="4" t="str">
        <f ca="1">_xlfn.IFNA(VLOOKUP(INDIRECT("G"&amp;ROW()),minfo!$A:$M,COLUMN()-8,0),"")</f>
        <v>音乐榜最高NO.14</v>
      </c>
    </row>
    <row r="434" spans="1:21" ht="15.75" customHeight="1">
      <c r="A434" s="15">
        <v>433</v>
      </c>
      <c r="B434" s="4" t="s">
        <v>4006</v>
      </c>
      <c r="C434" s="4">
        <v>434</v>
      </c>
      <c r="D434" s="4">
        <v>43</v>
      </c>
      <c r="E434" s="4" t="s">
        <v>4003</v>
      </c>
      <c r="F434" s="16">
        <v>45133</v>
      </c>
      <c r="G434" s="5" t="s">
        <v>1304</v>
      </c>
      <c r="H434" s="5" t="s">
        <v>3961</v>
      </c>
      <c r="I434" s="24" t="str">
        <f>HYPERLINK("https://www.bilibili.com/video/BV1gz4y147yu?p=43", "BV1gz4y147yu?p=43")</f>
        <v>BV1gz4y147yu?p=43</v>
      </c>
      <c r="J434" s="4" t="str">
        <f ca="1">_xlfn.IFNA(VLOOKUP(INDIRECT("G"&amp;ROW()),minfo!$A:$M,COLUMN()-8,0),"")</f>
        <v>萱草花</v>
      </c>
      <c r="K434" s="4" t="str">
        <f ca="1">_xlfn.IFNA(VLOOKUP(INDIRECT("G"&amp;ROW()),minfo!$A:$M,COLUMN()-8,0),"")</f>
        <v>张小斐</v>
      </c>
      <c r="L434" s="4">
        <f ca="1">_xlfn.IFNA(VLOOKUP(INDIRECT("G"&amp;ROW()),minfo!$A:$M,COLUMN()-8,0),"")</f>
        <v>0</v>
      </c>
      <c r="M434" s="4">
        <f ca="1">_xlfn.IFNA(VLOOKUP(INDIRECT("G"&amp;ROW()),minfo!$A:$M,COLUMN()-8,0),"")</f>
        <v>0</v>
      </c>
      <c r="N434" s="4">
        <f ca="1">_xlfn.IFNA(VLOOKUP(INDIRECT("G"&amp;ROW()),minfo!$A:$M,COLUMN()-8,0),"")</f>
        <v>0</v>
      </c>
      <c r="O434" s="4" t="str">
        <f ca="1">_xlfn.IFNA(VLOOKUP(INDIRECT("G"&amp;ROW()),minfo!$A:$M,COLUMN()-8,0),"")</f>
        <v>http://i0.hdslb.com/bfs/station_src/music_metadata/8a229082f89f61dabf4714b7ca60f646.jpg</v>
      </c>
      <c r="P434" s="4" t="str">
        <f ca="1">_xlfn.IFNA(VLOOKUP(INDIRECT("G"&amp;ROW()),minfo!$A:$M,COLUMN()-8,0),"")</f>
        <v>http://i0.hdslb.com/bfs/station_src/music_metadata/717c439a71569e00fd804d305ca74fdd</v>
      </c>
      <c r="Q434" s="4">
        <f ca="1">_xlfn.IFNA(VLOOKUP(INDIRECT("G"&amp;ROW()),minfo!$A:$M,COLUMN()-8,0),"")</f>
        <v>1718</v>
      </c>
      <c r="R434" s="4" t="str">
        <f ca="1">_xlfn.IFNA(VLOOKUP(INDIRECT("G"&amp;ROW()),minfo!$A:$M,COLUMN()-8,0),"")</f>
        <v>《你好，李焕英》电影主题曲</v>
      </c>
      <c r="S434" s="4" t="str">
        <f ca="1">_xlfn.IFNA(VLOOKUP(INDIRECT("G"&amp;ROW()),minfo!$A:$M,COLUMN()-8,0),"")</f>
        <v>你好，李焕英 电影原声大碟</v>
      </c>
      <c r="T434" s="4">
        <f ca="1">_xlfn.IFNA(VLOOKUP(INDIRECT("G"&amp;ROW()),minfo!$A:$M,COLUMN()-8,0),"")</f>
        <v>544027498</v>
      </c>
      <c r="U434" s="4">
        <f ca="1">_xlfn.IFNA(VLOOKUP(INDIRECT("G"&amp;ROW()),minfo!$A:$M,COLUMN()-8,0),"")</f>
        <v>0</v>
      </c>
    </row>
    <row r="435" spans="1:21" ht="15.75" customHeight="1">
      <c r="A435" s="15">
        <v>434</v>
      </c>
      <c r="B435" s="4" t="s">
        <v>4007</v>
      </c>
      <c r="C435" s="4">
        <v>435</v>
      </c>
      <c r="D435" s="4">
        <v>44</v>
      </c>
      <c r="E435" s="4" t="s">
        <v>546</v>
      </c>
      <c r="F435" s="16">
        <v>45135</v>
      </c>
      <c r="G435" s="5" t="s">
        <v>545</v>
      </c>
      <c r="H435" s="5" t="s">
        <v>3961</v>
      </c>
      <c r="I435" s="24" t="str">
        <f>HYPERLINK("https://www.bilibili.com/video/BV1gz4y147yu?p=44", "BV1gz4y147yu?p=44")</f>
        <v>BV1gz4y147yu?p=44</v>
      </c>
      <c r="J435" s="4" t="str">
        <f ca="1">_xlfn.IFNA(VLOOKUP(INDIRECT("G"&amp;ROW()),minfo!$A:$M,COLUMN()-8,0),"")</f>
        <v>阿楚姑娘</v>
      </c>
      <c r="K435" s="4" t="str">
        <f ca="1">_xlfn.IFNA(VLOOKUP(INDIRECT("G"&amp;ROW()),minfo!$A:$M,COLUMN()-8,0),"")</f>
        <v>袁娅维TIA RAY</v>
      </c>
      <c r="L435" s="4">
        <f ca="1">_xlfn.IFNA(VLOOKUP(INDIRECT("G"&amp;ROW()),minfo!$A:$M,COLUMN()-8,0),"")</f>
        <v>0</v>
      </c>
      <c r="M435" s="4">
        <f ca="1">_xlfn.IFNA(VLOOKUP(INDIRECT("G"&amp;ROW()),minfo!$A:$M,COLUMN()-8,0),"")</f>
        <v>0</v>
      </c>
      <c r="N435" s="4">
        <f ca="1">_xlfn.IFNA(VLOOKUP(INDIRECT("G"&amp;ROW()),minfo!$A:$M,COLUMN()-8,0),"")</f>
        <v>0</v>
      </c>
      <c r="O435" s="4" t="str">
        <f ca="1">_xlfn.IFNA(VLOOKUP(INDIRECT("G"&amp;ROW()),minfo!$A:$M,COLUMN()-8,0),"")</f>
        <v>http://i0.hdslb.com/bfs/station_src/music_metadata/490252348b1df68e4145357b5fc3aad5.jpg</v>
      </c>
      <c r="P435" s="4" t="str">
        <f ca="1">_xlfn.IFNA(VLOOKUP(INDIRECT("G"&amp;ROW()),minfo!$A:$M,COLUMN()-8,0),"")</f>
        <v>http://i0.hdslb.com/bfs/station_src/music_metadata/03c91235e156d3e1f46836f93beeb9f7</v>
      </c>
      <c r="Q435" s="4">
        <f ca="1">_xlfn.IFNA(VLOOKUP(INDIRECT("G"&amp;ROW()),minfo!$A:$M,COLUMN()-8,0),"")</f>
        <v>139</v>
      </c>
      <c r="R435" s="4">
        <f ca="1">_xlfn.IFNA(VLOOKUP(INDIRECT("G"&amp;ROW()),minfo!$A:$M,COLUMN()-8,0),"")</f>
        <v>0</v>
      </c>
      <c r="S435" s="4" t="str">
        <f ca="1">_xlfn.IFNA(VLOOKUP(INDIRECT("G"&amp;ROW()),minfo!$A:$M,COLUMN()-8,0),"")</f>
        <v>阿楚姑娘</v>
      </c>
      <c r="T435" s="4">
        <f ca="1">_xlfn.IFNA(VLOOKUP(INDIRECT("G"&amp;ROW()),minfo!$A:$M,COLUMN()-8,0),"")</f>
        <v>27303668</v>
      </c>
      <c r="U435" s="4">
        <f ca="1">_xlfn.IFNA(VLOOKUP(INDIRECT("G"&amp;ROW()),minfo!$A:$M,COLUMN()-8,0),"")</f>
        <v>0</v>
      </c>
    </row>
    <row r="436" spans="1:21" ht="15.75" customHeight="1">
      <c r="A436" s="15">
        <v>435</v>
      </c>
      <c r="B436" s="4" t="s">
        <v>4008</v>
      </c>
      <c r="C436" s="4">
        <v>436</v>
      </c>
      <c r="D436" s="4">
        <v>45</v>
      </c>
      <c r="E436" s="4" t="s">
        <v>1317</v>
      </c>
      <c r="F436" s="16">
        <v>45135</v>
      </c>
      <c r="G436" s="5" t="s">
        <v>1316</v>
      </c>
      <c r="H436" s="5" t="s">
        <v>3961</v>
      </c>
      <c r="I436" s="24" t="str">
        <f>HYPERLINK("https://www.bilibili.com/video/BV1gz4y147yu?p=45", "BV1gz4y147yu?p=45")</f>
        <v>BV1gz4y147yu?p=45</v>
      </c>
      <c r="J436" s="4" t="str">
        <f ca="1">_xlfn.IFNA(VLOOKUP(INDIRECT("G"&amp;ROW()),minfo!$A:$M,COLUMN()-8,0),"")</f>
        <v>旅行中忘记</v>
      </c>
      <c r="K436" s="4" t="str">
        <f ca="1">_xlfn.IFNA(VLOOKUP(INDIRECT("G"&amp;ROW()),minfo!$A:$M,COLUMN()-8,0),"")</f>
        <v>袁娅维TIA RAY</v>
      </c>
      <c r="L436" s="4">
        <f ca="1">_xlfn.IFNA(VLOOKUP(INDIRECT("G"&amp;ROW()),minfo!$A:$M,COLUMN()-8,0),"")</f>
        <v>0</v>
      </c>
      <c r="M436" s="4">
        <f ca="1">_xlfn.IFNA(VLOOKUP(INDIRECT("G"&amp;ROW()),minfo!$A:$M,COLUMN()-8,0),"")</f>
        <v>0</v>
      </c>
      <c r="N436" s="4">
        <f ca="1">_xlfn.IFNA(VLOOKUP(INDIRECT("G"&amp;ROW()),minfo!$A:$M,COLUMN()-8,0),"")</f>
        <v>0</v>
      </c>
      <c r="O436" s="4" t="str">
        <f ca="1">_xlfn.IFNA(VLOOKUP(INDIRECT("G"&amp;ROW()),minfo!$A:$M,COLUMN()-8,0),"")</f>
        <v>http://i0.hdslb.com/bfs/station_src/music_metadata/5622cbdb8cb0b4dcce69097dcd3695d9.jpg</v>
      </c>
      <c r="P436" s="4">
        <f ca="1">_xlfn.IFNA(VLOOKUP(INDIRECT("G"&amp;ROW()),minfo!$A:$M,COLUMN()-8,0),"")</f>
        <v>0</v>
      </c>
      <c r="Q436" s="4">
        <f ca="1">_xlfn.IFNA(VLOOKUP(INDIRECT("G"&amp;ROW()),minfo!$A:$M,COLUMN()-8,0),"")</f>
        <v>79</v>
      </c>
      <c r="R436" s="4">
        <f ca="1">_xlfn.IFNA(VLOOKUP(INDIRECT("G"&amp;ROW()),minfo!$A:$M,COLUMN()-8,0),"")</f>
        <v>0</v>
      </c>
      <c r="S436" s="4" t="str">
        <f ca="1">_xlfn.IFNA(VLOOKUP(INDIRECT("G"&amp;ROW()),minfo!$A:$M,COLUMN()-8,0),"")</f>
        <v>旅行中忘记</v>
      </c>
      <c r="T436" s="4">
        <f ca="1">_xlfn.IFNA(VLOOKUP(INDIRECT("G"&amp;ROW()),minfo!$A:$M,COLUMN()-8,0),"")</f>
        <v>12717948</v>
      </c>
      <c r="U436" s="4">
        <f ca="1">_xlfn.IFNA(VLOOKUP(INDIRECT("G"&amp;ROW()),minfo!$A:$M,COLUMN()-8,0),"")</f>
        <v>0</v>
      </c>
    </row>
    <row r="437" spans="1:21" ht="15.75" customHeight="1">
      <c r="A437" s="15">
        <v>436</v>
      </c>
      <c r="B437" s="4" t="s">
        <v>4009</v>
      </c>
      <c r="C437" s="4">
        <v>437</v>
      </c>
      <c r="D437" s="4">
        <v>46</v>
      </c>
      <c r="E437" s="4" t="s">
        <v>1320</v>
      </c>
      <c r="F437" s="16">
        <v>45135</v>
      </c>
      <c r="G437" s="5" t="s">
        <v>1319</v>
      </c>
      <c r="H437" s="5" t="s">
        <v>3961</v>
      </c>
      <c r="I437" s="24" t="str">
        <f>HYPERLINK("https://www.bilibili.com/video/BV1gz4y147yu?p=46", "BV1gz4y147yu?p=46")</f>
        <v>BV1gz4y147yu?p=46</v>
      </c>
      <c r="J437" s="4" t="str">
        <f ca="1">_xlfn.IFNA(VLOOKUP(INDIRECT("G"&amp;ROW()),minfo!$A:$M,COLUMN()-8,0),"")</f>
        <v>消失的爱人</v>
      </c>
      <c r="K437" s="4" t="str">
        <f ca="1">_xlfn.IFNA(VLOOKUP(INDIRECT("G"&amp;ROW()),minfo!$A:$M,COLUMN()-8,0),"")</f>
        <v>袁娅维TIA RAY,TME live</v>
      </c>
      <c r="L437" s="4">
        <f ca="1">_xlfn.IFNA(VLOOKUP(INDIRECT("G"&amp;ROW()),minfo!$A:$M,COLUMN()-8,0),"")</f>
        <v>0</v>
      </c>
      <c r="M437" s="4">
        <f ca="1">_xlfn.IFNA(VLOOKUP(INDIRECT("G"&amp;ROW()),minfo!$A:$M,COLUMN()-8,0),"")</f>
        <v>0</v>
      </c>
      <c r="N437" s="4">
        <f ca="1">_xlfn.IFNA(VLOOKUP(INDIRECT("G"&amp;ROW()),minfo!$A:$M,COLUMN()-8,0),"")</f>
        <v>0</v>
      </c>
      <c r="O437" s="4" t="str">
        <f ca="1">_xlfn.IFNA(VLOOKUP(INDIRECT("G"&amp;ROW()),minfo!$A:$M,COLUMN()-8,0),"")</f>
        <v>https://i0.hdslb.com/bfs/station_src/music_metadata/6043a5e617db0577a22419487fdcb3bd.jpg</v>
      </c>
      <c r="P437" s="4" t="str">
        <f ca="1">_xlfn.IFNA(VLOOKUP(INDIRECT("G"&amp;ROW()),minfo!$A:$M,COLUMN()-8,0),"")</f>
        <v>https://i0.hdslb.com/bfs/station_src/music_metadata/4517508048c6d1fc38a6fe127480cc78.txt</v>
      </c>
      <c r="Q437" s="4">
        <f ca="1">_xlfn.IFNA(VLOOKUP(INDIRECT("G"&amp;ROW()),minfo!$A:$M,COLUMN()-8,0),"")</f>
        <v>0</v>
      </c>
      <c r="R437" s="4">
        <f ca="1">_xlfn.IFNA(VLOOKUP(INDIRECT("G"&amp;ROW()),minfo!$A:$M,COLUMN()-8,0),"")</f>
        <v>0</v>
      </c>
      <c r="S437" s="4" t="str">
        <f ca="1">_xlfn.IFNA(VLOOKUP(INDIRECT("G"&amp;ROW()),minfo!$A:$M,COLUMN()-8,0),"")</f>
        <v>TME live:袁娅维"Ready For Love"线上音乐会</v>
      </c>
      <c r="T437" s="4">
        <f ca="1">_xlfn.IFNA(VLOOKUP(INDIRECT("G"&amp;ROW()),minfo!$A:$M,COLUMN()-8,0),"")</f>
        <v>216487</v>
      </c>
      <c r="U437" s="4">
        <f ca="1">_xlfn.IFNA(VLOOKUP(INDIRECT("G"&amp;ROW()),minfo!$A:$M,COLUMN()-8,0),"")</f>
        <v>0</v>
      </c>
    </row>
    <row r="438" spans="1:21" ht="15.75" customHeight="1">
      <c r="A438" s="15">
        <v>437</v>
      </c>
      <c r="B438" s="4" t="s">
        <v>4010</v>
      </c>
      <c r="C438" s="4">
        <v>438</v>
      </c>
      <c r="D438" s="4">
        <v>47</v>
      </c>
      <c r="E438" s="4" t="s">
        <v>1279</v>
      </c>
      <c r="F438" s="16">
        <v>45135</v>
      </c>
      <c r="G438" s="5" t="s">
        <v>1278</v>
      </c>
      <c r="H438" s="5" t="s">
        <v>3961</v>
      </c>
      <c r="I438" s="24" t="str">
        <f>HYPERLINK("https://www.bilibili.com/video/BV1gz4y147yu?p=47", "BV1gz4y147yu?p=47")</f>
        <v>BV1gz4y147yu?p=47</v>
      </c>
      <c r="J438" s="4" t="str">
        <f ca="1">_xlfn.IFNA(VLOOKUP(INDIRECT("G"&amp;ROW()),minfo!$A:$M,COLUMN()-8,0),"")</f>
        <v>敢</v>
      </c>
      <c r="K438" s="4" t="str">
        <f ca="1">_xlfn.IFNA(VLOOKUP(INDIRECT("G"&amp;ROW()),minfo!$A:$M,COLUMN()-8,0),"")</f>
        <v>黄龄</v>
      </c>
      <c r="L438" s="4">
        <f ca="1">_xlfn.IFNA(VLOOKUP(INDIRECT("G"&amp;ROW()),minfo!$A:$M,COLUMN()-8,0),"")</f>
        <v>0</v>
      </c>
      <c r="M438" s="4">
        <f ca="1">_xlfn.IFNA(VLOOKUP(INDIRECT("G"&amp;ROW()),minfo!$A:$M,COLUMN()-8,0),"")</f>
        <v>0</v>
      </c>
      <c r="N438" s="4">
        <f ca="1">_xlfn.IFNA(VLOOKUP(INDIRECT("G"&amp;ROW()),minfo!$A:$M,COLUMN()-8,0),"")</f>
        <v>0</v>
      </c>
      <c r="O438" s="4" t="str">
        <f ca="1">_xlfn.IFNA(VLOOKUP(INDIRECT("G"&amp;ROW()),minfo!$A:$M,COLUMN()-8,0),"")</f>
        <v>https://i0.hdslb.com/bfs/station_src/music_metadata/3be9d43d15661acaaf62abaf2eb6f23c.jpg</v>
      </c>
      <c r="P438" s="4" t="str">
        <f ca="1">_xlfn.IFNA(VLOOKUP(INDIRECT("G"&amp;ROW()),minfo!$A:$M,COLUMN()-8,0),"")</f>
        <v>https://i0.hdslb.com/bfs/station_src/music_metadata/fc8ac7f65dd494154a668870380550e2.txt</v>
      </c>
      <c r="Q438" s="4">
        <f ca="1">_xlfn.IFNA(VLOOKUP(INDIRECT("G"&amp;ROW()),minfo!$A:$M,COLUMN()-8,0),"")</f>
        <v>3</v>
      </c>
      <c r="R438" s="4" t="str">
        <f ca="1">_xlfn.IFNA(VLOOKUP(INDIRECT("G"&amp;ROW()),minfo!$A:$M,COLUMN()-8,0),"")</f>
        <v>《紫禁城》大型纪录片主题歌</v>
      </c>
      <c r="S438" s="4" t="str">
        <f ca="1">_xlfn.IFNA(VLOOKUP(INDIRECT("G"&amp;ROW()),minfo!$A:$M,COLUMN()-8,0),"")</f>
        <v>敢</v>
      </c>
      <c r="T438" s="4">
        <f ca="1">_xlfn.IFNA(VLOOKUP(INDIRECT("G"&amp;ROW()),minfo!$A:$M,COLUMN()-8,0),"")</f>
        <v>4976715</v>
      </c>
      <c r="U438" s="4">
        <f ca="1">_xlfn.IFNA(VLOOKUP(INDIRECT("G"&amp;ROW()),minfo!$A:$M,COLUMN()-8,0),"")</f>
        <v>0</v>
      </c>
    </row>
    <row r="439" spans="1:21" ht="15.75" customHeight="1">
      <c r="A439" s="15">
        <v>438</v>
      </c>
      <c r="B439" s="4" t="s">
        <v>4011</v>
      </c>
      <c r="C439" s="4">
        <v>439</v>
      </c>
      <c r="D439" s="4">
        <v>48</v>
      </c>
      <c r="E439" s="4" t="s">
        <v>59</v>
      </c>
      <c r="F439" s="16">
        <v>45135</v>
      </c>
      <c r="G439" s="5" t="s">
        <v>59</v>
      </c>
      <c r="H439" s="5" t="s">
        <v>3961</v>
      </c>
      <c r="I439" s="24" t="str">
        <f>HYPERLINK("https://www.bilibili.com/video/BV1gz4y147yu?p=48", "BV1gz4y147yu?p=48")</f>
        <v>BV1gz4y147yu?p=48</v>
      </c>
      <c r="J439" s="4" t="str">
        <f ca="1">_xlfn.IFNA(VLOOKUP(INDIRECT("G"&amp;ROW()),minfo!$A:$M,COLUMN()-8,0),"")</f>
        <v>长夜杯空</v>
      </c>
      <c r="K439" s="4" t="str">
        <f ca="1">_xlfn.IFNA(VLOOKUP(INDIRECT("G"&amp;ROW()),minfo!$A:$M,COLUMN()-8,0),"")</f>
        <v>说说Crystal</v>
      </c>
      <c r="L439" s="4" t="str">
        <f ca="1">_xlfn.IFNA(VLOOKUP(INDIRECT("G"&amp;ROW()),minfo!$A:$M,COLUMN()-8,0),"")</f>
        <v>BV1KX4y1q7ea</v>
      </c>
      <c r="M439" s="4">
        <f ca="1">_xlfn.IFNA(VLOOKUP(INDIRECT("G"&amp;ROW()),minfo!$A:$M,COLUMN()-8,0),"")</f>
        <v>0</v>
      </c>
      <c r="N439" s="4">
        <f ca="1">_xlfn.IFNA(VLOOKUP(INDIRECT("G"&amp;ROW()),minfo!$A:$M,COLUMN()-8,0),"")</f>
        <v>0</v>
      </c>
      <c r="O439" s="4">
        <f ca="1">_xlfn.IFNA(VLOOKUP(INDIRECT("G"&amp;ROW()),minfo!$A:$M,COLUMN()-8,0),"")</f>
        <v>0</v>
      </c>
      <c r="P439" s="4">
        <f ca="1">_xlfn.IFNA(VLOOKUP(INDIRECT("G"&amp;ROW()),minfo!$A:$M,COLUMN()-8,0),"")</f>
        <v>0</v>
      </c>
      <c r="Q439" s="4">
        <f ca="1">_xlfn.IFNA(VLOOKUP(INDIRECT("G"&amp;ROW()),minfo!$A:$M,COLUMN()-8,0),"")</f>
        <v>0</v>
      </c>
      <c r="R439" s="4">
        <f ca="1">_xlfn.IFNA(VLOOKUP(INDIRECT("G"&amp;ROW()),minfo!$A:$M,COLUMN()-8,0),"")</f>
        <v>0</v>
      </c>
      <c r="S439" s="4">
        <f ca="1">_xlfn.IFNA(VLOOKUP(INDIRECT("G"&amp;ROW()),minfo!$A:$M,COLUMN()-8,0),"")</f>
        <v>0</v>
      </c>
      <c r="T439" s="4">
        <f ca="1">_xlfn.IFNA(VLOOKUP(INDIRECT("G"&amp;ROW()),minfo!$A:$M,COLUMN()-8,0),"")</f>
        <v>0</v>
      </c>
      <c r="U439" s="4">
        <f ca="1">_xlfn.IFNA(VLOOKUP(INDIRECT("G"&amp;ROW()),minfo!$A:$M,COLUMN()-8,0),"")</f>
        <v>0</v>
      </c>
    </row>
    <row r="440" spans="1:21" ht="15.75" customHeight="1">
      <c r="A440" s="15">
        <v>439</v>
      </c>
      <c r="B440" s="4" t="s">
        <v>4012</v>
      </c>
      <c r="C440" s="4">
        <v>440</v>
      </c>
      <c r="D440" s="4">
        <v>49</v>
      </c>
      <c r="E440" s="4" t="s">
        <v>380</v>
      </c>
      <c r="F440" s="16">
        <v>45135</v>
      </c>
      <c r="G440" s="5" t="s">
        <v>379</v>
      </c>
      <c r="H440" s="5" t="s">
        <v>3961</v>
      </c>
      <c r="I440" s="24" t="str">
        <f>HYPERLINK("https://www.bilibili.com/video/BV1gz4y147yu?p=49", "BV1gz4y147yu?p=49")</f>
        <v>BV1gz4y147yu?p=49</v>
      </c>
      <c r="J440" s="4" t="str">
        <f ca="1">_xlfn.IFNA(VLOOKUP(INDIRECT("G"&amp;ROW()),minfo!$A:$M,COLUMN()-8,0),"")</f>
        <v>等你下课</v>
      </c>
      <c r="K440" s="4" t="str">
        <f ca="1">_xlfn.IFNA(VLOOKUP(INDIRECT("G"&amp;ROW()),minfo!$A:$M,COLUMN()-8,0),"")</f>
        <v>周杰伦</v>
      </c>
      <c r="L440" s="4">
        <f ca="1">_xlfn.IFNA(VLOOKUP(INDIRECT("G"&amp;ROW()),minfo!$A:$M,COLUMN()-8,0),"")</f>
        <v>0</v>
      </c>
      <c r="M440" s="4">
        <f ca="1">_xlfn.IFNA(VLOOKUP(INDIRECT("G"&amp;ROW()),minfo!$A:$M,COLUMN()-8,0),"")</f>
        <v>80914</v>
      </c>
      <c r="N440" s="4">
        <f ca="1">_xlfn.IFNA(VLOOKUP(INDIRECT("G"&amp;ROW()),minfo!$A:$M,COLUMN()-8,0),"")</f>
        <v>13096</v>
      </c>
      <c r="O440" s="4" t="str">
        <f ca="1">_xlfn.IFNA(VLOOKUP(INDIRECT("G"&amp;ROW()),minfo!$A:$M,COLUMN()-8,0),"")</f>
        <v>https://i0.hdslb.com/bfs/station_src/music_metadata/daceac43659e7f7f6326c1570b657381.jpg</v>
      </c>
      <c r="P440" s="4" t="str">
        <f ca="1">_xlfn.IFNA(VLOOKUP(INDIRECT("G"&amp;ROW()),minfo!$A:$M,COLUMN()-8,0),"")</f>
        <v>http://i0.hdslb.com/bfs/station_src/music_metadata/1b827e689cae1db38482c44b47c8737a</v>
      </c>
      <c r="Q440" s="4">
        <f ca="1">_xlfn.IFNA(VLOOKUP(INDIRECT("G"&amp;ROW()),minfo!$A:$M,COLUMN()-8,0),"")</f>
        <v>2038</v>
      </c>
      <c r="R440" s="4">
        <f ca="1">_xlfn.IFNA(VLOOKUP(INDIRECT("G"&amp;ROW()),minfo!$A:$M,COLUMN()-8,0),"")</f>
        <v>0</v>
      </c>
      <c r="S440" s="4" t="str">
        <f ca="1">_xlfn.IFNA(VLOOKUP(INDIRECT("G"&amp;ROW()),minfo!$A:$M,COLUMN()-8,0),"")</f>
        <v>等你下课</v>
      </c>
      <c r="T440" s="4">
        <f ca="1">_xlfn.IFNA(VLOOKUP(INDIRECT("G"&amp;ROW()),minfo!$A:$M,COLUMN()-8,0),"")</f>
        <v>419569575</v>
      </c>
      <c r="U440" s="4">
        <f ca="1">_xlfn.IFNA(VLOOKUP(INDIRECT("G"&amp;ROW()),minfo!$A:$M,COLUMN()-8,0),"")</f>
        <v>0</v>
      </c>
    </row>
    <row r="441" spans="1:21" ht="15.75" customHeight="1">
      <c r="A441" s="15">
        <v>440</v>
      </c>
      <c r="B441" s="4" t="s">
        <v>4013</v>
      </c>
      <c r="C441" s="4">
        <v>441</v>
      </c>
      <c r="D441" s="4">
        <v>50</v>
      </c>
      <c r="E441" s="4" t="s">
        <v>1326</v>
      </c>
      <c r="F441" s="16">
        <v>45135</v>
      </c>
      <c r="G441" s="5" t="s">
        <v>1325</v>
      </c>
      <c r="H441" s="5" t="s">
        <v>3961</v>
      </c>
      <c r="I441" s="24" t="str">
        <f>HYPERLINK("https://www.bilibili.com/video/BV1gz4y147yu?p=50", "BV1gz4y147yu?p=50")</f>
        <v>BV1gz4y147yu?p=50</v>
      </c>
      <c r="J441" s="4" t="str">
        <f ca="1">_xlfn.IFNA(VLOOKUP(INDIRECT("G"&amp;ROW()),minfo!$A:$M,COLUMN()-8,0),"")</f>
        <v>东风破</v>
      </c>
      <c r="K441" s="4" t="str">
        <f ca="1">_xlfn.IFNA(VLOOKUP(INDIRECT("G"&amp;ROW()),minfo!$A:$M,COLUMN()-8,0),"")</f>
        <v>周杰伦</v>
      </c>
      <c r="L441" s="4">
        <f ca="1">_xlfn.IFNA(VLOOKUP(INDIRECT("G"&amp;ROW()),minfo!$A:$M,COLUMN()-8,0),"")</f>
        <v>0</v>
      </c>
      <c r="M441" s="4">
        <f ca="1">_xlfn.IFNA(VLOOKUP(INDIRECT("G"&amp;ROW()),minfo!$A:$M,COLUMN()-8,0),"")</f>
        <v>0</v>
      </c>
      <c r="N441" s="4">
        <f ca="1">_xlfn.IFNA(VLOOKUP(INDIRECT("G"&amp;ROW()),minfo!$A:$M,COLUMN()-8,0),"")</f>
        <v>0</v>
      </c>
      <c r="O441" s="4" t="str">
        <f ca="1">_xlfn.IFNA(VLOOKUP(INDIRECT("G"&amp;ROW()),minfo!$A:$M,COLUMN()-8,0),"")</f>
        <v>https://i0.hdslb.com/bfs/station_src/music_metadata/8480d5b9cca7b1a7e5af2101531478e9.jpg</v>
      </c>
      <c r="P441" s="4" t="str">
        <f ca="1">_xlfn.IFNA(VLOOKUP(INDIRECT("G"&amp;ROW()),minfo!$A:$M,COLUMN()-8,0),"")</f>
        <v>copyright-crawler/music/task-lyric/650e6317fad724c0d0113e31.txt</v>
      </c>
      <c r="Q441" s="4">
        <f ca="1">_xlfn.IFNA(VLOOKUP(INDIRECT("G"&amp;ROW()),minfo!$A:$M,COLUMN()-8,0),"")</f>
        <v>1661</v>
      </c>
      <c r="R441" s="4" t="str">
        <f ca="1">_xlfn.IFNA(VLOOKUP(INDIRECT("G"&amp;ROW()),minfo!$A:$M,COLUMN()-8,0),"")</f>
        <v>东风破</v>
      </c>
      <c r="S441" s="4" t="str">
        <f ca="1">_xlfn.IFNA(VLOOKUP(INDIRECT("G"&amp;ROW()),minfo!$A:$M,COLUMN()-8,0),"")</f>
        <v>叶惠美</v>
      </c>
      <c r="T441" s="4">
        <f ca="1">_xlfn.IFNA(VLOOKUP(INDIRECT("G"&amp;ROW()),minfo!$A:$M,COLUMN()-8,0),"")</f>
        <v>406111219</v>
      </c>
      <c r="U441" s="4">
        <f ca="1">_xlfn.IFNA(VLOOKUP(INDIRECT("G"&amp;ROW()),minfo!$A:$M,COLUMN()-8,0),"")</f>
        <v>0</v>
      </c>
    </row>
    <row r="442" spans="1:21" ht="15.75" customHeight="1">
      <c r="A442" s="15">
        <v>441</v>
      </c>
      <c r="B442" s="4" t="s">
        <v>4014</v>
      </c>
      <c r="C442" s="4">
        <v>442</v>
      </c>
      <c r="D442" s="4">
        <v>51</v>
      </c>
      <c r="E442" s="4" t="s">
        <v>4015</v>
      </c>
      <c r="F442" s="16">
        <v>45135</v>
      </c>
      <c r="G442" s="5" t="s">
        <v>1329</v>
      </c>
      <c r="H442" s="5" t="s">
        <v>3961</v>
      </c>
      <c r="I442" s="24" t="str">
        <f>HYPERLINK("https://www.bilibili.com/video/BV1gz4y147yu?p=51", "BV1gz4y147yu?p=51")</f>
        <v>BV1gz4y147yu?p=51</v>
      </c>
      <c r="J442" s="4" t="str">
        <f ca="1">_xlfn.IFNA(VLOOKUP(INDIRECT("G"&amp;ROW()),minfo!$A:$M,COLUMN()-8,0),"")</f>
        <v>Melody</v>
      </c>
      <c r="K442" s="4" t="str">
        <f ca="1">_xlfn.IFNA(VLOOKUP(INDIRECT("G"&amp;ROW()),minfo!$A:$M,COLUMN()-8,0),"")</f>
        <v>陶喆</v>
      </c>
      <c r="L442" s="4">
        <f ca="1">_xlfn.IFNA(VLOOKUP(INDIRECT("G"&amp;ROW()),minfo!$A:$M,COLUMN()-8,0),"")</f>
        <v>0</v>
      </c>
      <c r="M442" s="4">
        <f ca="1">_xlfn.IFNA(VLOOKUP(INDIRECT("G"&amp;ROW()),minfo!$A:$M,COLUMN()-8,0),"")</f>
        <v>0</v>
      </c>
      <c r="N442" s="4">
        <f ca="1">_xlfn.IFNA(VLOOKUP(INDIRECT("G"&amp;ROW()),minfo!$A:$M,COLUMN()-8,0),"")</f>
        <v>0</v>
      </c>
      <c r="O442" s="4" t="str">
        <f ca="1">_xlfn.IFNA(VLOOKUP(INDIRECT("G"&amp;ROW()),minfo!$A:$M,COLUMN()-8,0),"")</f>
        <v>https://i0.hdslb.com/bfs/station_src/music_metadata/4f85133845e2c8b25026a678708a9376.jpg</v>
      </c>
      <c r="P442" s="4" t="str">
        <f ca="1">_xlfn.IFNA(VLOOKUP(INDIRECT("G"&amp;ROW()),minfo!$A:$M,COLUMN()-8,0),"")</f>
        <v>http://i0.hdslb.com/bfs/station_src/music_metadata/d18325416bca019d84b21a8b3f7bb651</v>
      </c>
      <c r="Q442" s="4">
        <f ca="1">_xlfn.IFNA(VLOOKUP(INDIRECT("G"&amp;ROW()),minfo!$A:$M,COLUMN()-8,0),"")</f>
        <v>1120</v>
      </c>
      <c r="R442" s="4">
        <f ca="1">_xlfn.IFNA(VLOOKUP(INDIRECT("G"&amp;ROW()),minfo!$A:$M,COLUMN()-8,0),"")</f>
        <v>0</v>
      </c>
      <c r="S442" s="4" t="str">
        <f ca="1">_xlfn.IFNA(VLOOKUP(INDIRECT("G"&amp;ROW()),minfo!$A:$M,COLUMN()-8,0),"")</f>
        <v>黑色柳丁</v>
      </c>
      <c r="T442" s="4">
        <f ca="1">_xlfn.IFNA(VLOOKUP(INDIRECT("G"&amp;ROW()),minfo!$A:$M,COLUMN()-8,0),"")</f>
        <v>113992875</v>
      </c>
      <c r="U442" s="4">
        <f ca="1">_xlfn.IFNA(VLOOKUP(INDIRECT("G"&amp;ROW()),minfo!$A:$M,COLUMN()-8,0),"")</f>
        <v>0</v>
      </c>
    </row>
    <row r="443" spans="1:21" ht="15.75" customHeight="1">
      <c r="A443" s="15">
        <v>442</v>
      </c>
      <c r="B443" s="4" t="s">
        <v>4016</v>
      </c>
      <c r="C443" s="4">
        <v>443</v>
      </c>
      <c r="D443" s="4">
        <v>52</v>
      </c>
      <c r="E443" s="4" t="s">
        <v>384</v>
      </c>
      <c r="F443" s="16">
        <v>45135</v>
      </c>
      <c r="G443" s="5" t="s">
        <v>383</v>
      </c>
      <c r="H443" s="5" t="s">
        <v>3961</v>
      </c>
      <c r="I443" s="24" t="str">
        <f>HYPERLINK("https://www.bilibili.com/video/BV1gz4y147yu?p=52", "BV1gz4y147yu?p=52")</f>
        <v>BV1gz4y147yu?p=52</v>
      </c>
      <c r="J443" s="4" t="str">
        <f ca="1">_xlfn.IFNA(VLOOKUP(INDIRECT("G"&amp;ROW()),minfo!$A:$M,COLUMN()-8,0),"")</f>
        <v>恰好</v>
      </c>
      <c r="K443" s="4" t="str">
        <f ca="1">_xlfn.IFNA(VLOOKUP(INDIRECT("G"&amp;ROW()),minfo!$A:$M,COLUMN()-8,0),"")</f>
        <v>黄龄,李鑫一</v>
      </c>
      <c r="L443" s="4">
        <f ca="1">_xlfn.IFNA(VLOOKUP(INDIRECT("G"&amp;ROW()),minfo!$A:$M,COLUMN()-8,0),"")</f>
        <v>0</v>
      </c>
      <c r="M443" s="4">
        <f ca="1">_xlfn.IFNA(VLOOKUP(INDIRECT("G"&amp;ROW()),minfo!$A:$M,COLUMN()-8,0),"")</f>
        <v>0</v>
      </c>
      <c r="N443" s="4">
        <f ca="1">_xlfn.IFNA(VLOOKUP(INDIRECT("G"&amp;ROW()),minfo!$A:$M,COLUMN()-8,0),"")</f>
        <v>0</v>
      </c>
      <c r="O443" s="4" t="str">
        <f ca="1">_xlfn.IFNA(VLOOKUP(INDIRECT("G"&amp;ROW()),minfo!$A:$M,COLUMN()-8,0),"")</f>
        <v>https://i0.hdslb.com/bfs/station_src/music_metadata/4114b5dce4dc2e8fa6d696106a6624eb.jpg</v>
      </c>
      <c r="P443" s="4" t="str">
        <f ca="1">_xlfn.IFNA(VLOOKUP(INDIRECT("G"&amp;ROW()),minfo!$A:$M,COLUMN()-8,0),"")</f>
        <v>https://i0.hdslb.com/bfs/station_src/music_metadata/7105373054bbacbd0af01ee959bcd5e2.txt</v>
      </c>
      <c r="Q443" s="4">
        <f ca="1">_xlfn.IFNA(VLOOKUP(INDIRECT("G"&amp;ROW()),minfo!$A:$M,COLUMN()-8,0),"")</f>
        <v>0</v>
      </c>
      <c r="R443" s="4">
        <f ca="1">_xlfn.IFNA(VLOOKUP(INDIRECT("G"&amp;ROW()),minfo!$A:$M,COLUMN()-8,0),"")</f>
        <v>0</v>
      </c>
      <c r="S443" s="4" t="str">
        <f ca="1">_xlfn.IFNA(VLOOKUP(INDIRECT("G"&amp;ROW()),minfo!$A:$M,COLUMN()-8,0),"")</f>
        <v>天赐的声音第二季 第9期</v>
      </c>
      <c r="T443" s="4">
        <f ca="1">_xlfn.IFNA(VLOOKUP(INDIRECT("G"&amp;ROW()),minfo!$A:$M,COLUMN()-8,0),"")</f>
        <v>436159</v>
      </c>
      <c r="U443" s="4">
        <f ca="1">_xlfn.IFNA(VLOOKUP(INDIRECT("G"&amp;ROW()),minfo!$A:$M,COLUMN()-8,0),"")</f>
        <v>0</v>
      </c>
    </row>
    <row r="444" spans="1:21" ht="15.75" customHeight="1">
      <c r="A444" s="15">
        <v>443</v>
      </c>
      <c r="B444" s="4" t="s">
        <v>4017</v>
      </c>
      <c r="C444" s="4">
        <v>444</v>
      </c>
      <c r="D444" s="4">
        <v>53</v>
      </c>
      <c r="E444" s="4" t="s">
        <v>1098</v>
      </c>
      <c r="F444" s="16">
        <v>45136</v>
      </c>
      <c r="G444" s="5" t="s">
        <v>1097</v>
      </c>
      <c r="H444" s="5" t="s">
        <v>3961</v>
      </c>
      <c r="I444" s="24" t="str">
        <f>HYPERLINK("https://www.bilibili.com/video/BV1gz4y147yu?p=53", "BV1gz4y147yu?p=53")</f>
        <v>BV1gz4y147yu?p=53</v>
      </c>
      <c r="J444" s="4" t="str">
        <f ca="1">_xlfn.IFNA(VLOOKUP(INDIRECT("G"&amp;ROW()),minfo!$A:$M,COLUMN()-8,0),"")</f>
        <v>你听得到</v>
      </c>
      <c r="K444" s="4" t="str">
        <f ca="1">_xlfn.IFNA(VLOOKUP(INDIRECT("G"&amp;ROW()),minfo!$A:$M,COLUMN()-8,0),"")</f>
        <v>周杰伦</v>
      </c>
      <c r="L444" s="4">
        <f ca="1">_xlfn.IFNA(VLOOKUP(INDIRECT("G"&amp;ROW()),minfo!$A:$M,COLUMN()-8,0),"")</f>
        <v>0</v>
      </c>
      <c r="M444" s="4">
        <f ca="1">_xlfn.IFNA(VLOOKUP(INDIRECT("G"&amp;ROW()),minfo!$A:$M,COLUMN()-8,0),"")</f>
        <v>0</v>
      </c>
      <c r="N444" s="4">
        <f ca="1">_xlfn.IFNA(VLOOKUP(INDIRECT("G"&amp;ROW()),minfo!$A:$M,COLUMN()-8,0),"")</f>
        <v>0</v>
      </c>
      <c r="O444" s="4" t="str">
        <f ca="1">_xlfn.IFNA(VLOOKUP(INDIRECT("G"&amp;ROW()),minfo!$A:$M,COLUMN()-8,0),"")</f>
        <v>https://i0.hdslb.com/bfs/station_src/music_metadata/29e28424e7d2a4c37f7b84cd0b8b18ba.jpg</v>
      </c>
      <c r="P444" s="4" t="str">
        <f ca="1">_xlfn.IFNA(VLOOKUP(INDIRECT("G"&amp;ROW()),minfo!$A:$M,COLUMN()-8,0),"")</f>
        <v>copyright-crawler/music/task-lyric/62682789504b4c0665226751.txt</v>
      </c>
      <c r="Q444" s="4">
        <f ca="1">_xlfn.IFNA(VLOOKUP(INDIRECT("G"&amp;ROW()),minfo!$A:$M,COLUMN()-8,0),"")</f>
        <v>2198</v>
      </c>
      <c r="R444" s="4" t="str">
        <f ca="1">_xlfn.IFNA(VLOOKUP(INDIRECT("G"&amp;ROW()),minfo!$A:$M,COLUMN()-8,0),"")</f>
        <v>你听得到</v>
      </c>
      <c r="S444" s="4" t="str">
        <f ca="1">_xlfn.IFNA(VLOOKUP(INDIRECT("G"&amp;ROW()),minfo!$A:$M,COLUMN()-8,0),"")</f>
        <v>叶惠美</v>
      </c>
      <c r="T444" s="4">
        <f ca="1">_xlfn.IFNA(VLOOKUP(INDIRECT("G"&amp;ROW()),minfo!$A:$M,COLUMN()-8,0),"")</f>
        <v>280199234</v>
      </c>
      <c r="U444" s="4">
        <f ca="1">_xlfn.IFNA(VLOOKUP(INDIRECT("G"&amp;ROW()),minfo!$A:$M,COLUMN()-8,0),"")</f>
        <v>0</v>
      </c>
    </row>
    <row r="445" spans="1:21" ht="15.75" customHeight="1">
      <c r="A445" s="15">
        <v>444</v>
      </c>
      <c r="B445" s="4" t="s">
        <v>4018</v>
      </c>
      <c r="C445" s="4">
        <v>445</v>
      </c>
      <c r="D445" s="4">
        <v>54</v>
      </c>
      <c r="E445" s="4" t="s">
        <v>319</v>
      </c>
      <c r="F445" s="16">
        <v>45136</v>
      </c>
      <c r="G445" s="5" t="s">
        <v>318</v>
      </c>
      <c r="H445" s="5" t="s">
        <v>3961</v>
      </c>
      <c r="I445" s="24" t="str">
        <f>HYPERLINK("https://www.bilibili.com/video/BV1gz4y147yu?p=54", "BV1gz4y147yu?p=54")</f>
        <v>BV1gz4y147yu?p=54</v>
      </c>
      <c r="J445" s="4" t="str">
        <f ca="1">_xlfn.IFNA(VLOOKUP(INDIRECT("G"&amp;ROW()),minfo!$A:$M,COLUMN()-8,0),"")</f>
        <v>晴天</v>
      </c>
      <c r="K445" s="4" t="str">
        <f ca="1">_xlfn.IFNA(VLOOKUP(INDIRECT("G"&amp;ROW()),minfo!$A:$M,COLUMN()-8,0),"")</f>
        <v>周杰伦</v>
      </c>
      <c r="L445" s="4">
        <f ca="1">_xlfn.IFNA(VLOOKUP(INDIRECT("G"&amp;ROW()),minfo!$A:$M,COLUMN()-8,0),"")</f>
        <v>0</v>
      </c>
      <c r="M445" s="4">
        <f ca="1">_xlfn.IFNA(VLOOKUP(INDIRECT("G"&amp;ROW()),minfo!$A:$M,COLUMN()-8,0),"")</f>
        <v>5048</v>
      </c>
      <c r="N445" s="4">
        <f ca="1">_xlfn.IFNA(VLOOKUP(INDIRECT("G"&amp;ROW()),minfo!$A:$M,COLUMN()-8,0),"")</f>
        <v>135</v>
      </c>
      <c r="O445" s="4" t="str">
        <f ca="1">_xlfn.IFNA(VLOOKUP(INDIRECT("G"&amp;ROW()),minfo!$A:$M,COLUMN()-8,0),"")</f>
        <v>https://i0.hdslb.com/bfs/station_src/music_metadata/2efa8f0df2aff949dee33b3f46a56312.jpg</v>
      </c>
      <c r="P445" s="4">
        <f ca="1">_xlfn.IFNA(VLOOKUP(INDIRECT("G"&amp;ROW()),minfo!$A:$M,COLUMN()-8,0),"")</f>
        <v>0</v>
      </c>
      <c r="Q445" s="4">
        <f ca="1">_xlfn.IFNA(VLOOKUP(INDIRECT("G"&amp;ROW()),minfo!$A:$M,COLUMN()-8,0),"")</f>
        <v>15983</v>
      </c>
      <c r="R445" s="4">
        <f ca="1">_xlfn.IFNA(VLOOKUP(INDIRECT("G"&amp;ROW()),minfo!$A:$M,COLUMN()-8,0),"")</f>
        <v>0</v>
      </c>
      <c r="S445" s="4" t="str">
        <f ca="1">_xlfn.IFNA(VLOOKUP(INDIRECT("G"&amp;ROW()),minfo!$A:$M,COLUMN()-8,0),"")</f>
        <v>叶惠美</v>
      </c>
      <c r="T445" s="4">
        <f ca="1">_xlfn.IFNA(VLOOKUP(INDIRECT("G"&amp;ROW()),minfo!$A:$M,COLUMN()-8,0),"")</f>
        <v>1497162616</v>
      </c>
      <c r="U445" s="4" t="str">
        <f ca="1">_xlfn.IFNA(VLOOKUP(INDIRECT("G"&amp;ROW()),minfo!$A:$M,COLUMN()-8,0),"")</f>
        <v>音乐榜最高NO.8</v>
      </c>
    </row>
    <row r="446" spans="1:21" ht="15.75" customHeight="1">
      <c r="A446" s="15">
        <v>445</v>
      </c>
      <c r="B446" s="4" t="s">
        <v>4019</v>
      </c>
      <c r="C446" s="4">
        <v>446</v>
      </c>
      <c r="D446" s="4">
        <v>55</v>
      </c>
      <c r="E446" s="4" t="s">
        <v>1336</v>
      </c>
      <c r="F446" s="16">
        <v>45136</v>
      </c>
      <c r="G446" s="5" t="s">
        <v>1335</v>
      </c>
      <c r="H446" s="5" t="s">
        <v>3961</v>
      </c>
      <c r="I446" s="24" t="str">
        <f>HYPERLINK("https://www.bilibili.com/video/BV1gz4y147yu?p=55", "BV1gz4y147yu?p=55")</f>
        <v>BV1gz4y147yu?p=55</v>
      </c>
      <c r="J446" s="4" t="str">
        <f ca="1">_xlfn.IFNA(VLOOKUP(INDIRECT("G"&amp;ROW()),minfo!$A:$M,COLUMN()-8,0),"")</f>
        <v>烟花易冷</v>
      </c>
      <c r="K446" s="4" t="str">
        <f ca="1">_xlfn.IFNA(VLOOKUP(INDIRECT("G"&amp;ROW()),minfo!$A:$M,COLUMN()-8,0),"")</f>
        <v>周杰伦</v>
      </c>
      <c r="L446" s="4">
        <f ca="1">_xlfn.IFNA(VLOOKUP(INDIRECT("G"&amp;ROW()),minfo!$A:$M,COLUMN()-8,0),"")</f>
        <v>0</v>
      </c>
      <c r="M446" s="4">
        <f ca="1">_xlfn.IFNA(VLOOKUP(INDIRECT("G"&amp;ROW()),minfo!$A:$M,COLUMN()-8,0),"")</f>
        <v>0</v>
      </c>
      <c r="N446" s="4">
        <f ca="1">_xlfn.IFNA(VLOOKUP(INDIRECT("G"&amp;ROW()),minfo!$A:$M,COLUMN()-8,0),"")</f>
        <v>0</v>
      </c>
      <c r="O446" s="4" t="str">
        <f ca="1">_xlfn.IFNA(VLOOKUP(INDIRECT("G"&amp;ROW()),minfo!$A:$M,COLUMN()-8,0),"")</f>
        <v>https://i0.hdslb.com/bfs/station_src/music_metadata/e91bf06b1d5a37c76a8c823e36c5adfb.jpg</v>
      </c>
      <c r="P446" s="4" t="str">
        <f ca="1">_xlfn.IFNA(VLOOKUP(INDIRECT("G"&amp;ROW()),minfo!$A:$M,COLUMN()-8,0),"")</f>
        <v>http://i0.hdslb.com/bfs/station_src/music_metadata/e33481ddb835d9a60232725d35c37751</v>
      </c>
      <c r="Q446" s="4">
        <f ca="1">_xlfn.IFNA(VLOOKUP(INDIRECT("G"&amp;ROW()),minfo!$A:$M,COLUMN()-8,0),"")</f>
        <v>16922</v>
      </c>
      <c r="R446" s="4">
        <f ca="1">_xlfn.IFNA(VLOOKUP(INDIRECT("G"&amp;ROW()),minfo!$A:$M,COLUMN()-8,0),"")</f>
        <v>0</v>
      </c>
      <c r="S446" s="4" t="str">
        <f ca="1">_xlfn.IFNA(VLOOKUP(INDIRECT("G"&amp;ROW()),minfo!$A:$M,COLUMN()-8,0),"")</f>
        <v>跨时代</v>
      </c>
      <c r="T446" s="4">
        <f ca="1">_xlfn.IFNA(VLOOKUP(INDIRECT("G"&amp;ROW()),minfo!$A:$M,COLUMN()-8,0),"")</f>
        <v>691447981</v>
      </c>
      <c r="U446" s="4">
        <f ca="1">_xlfn.IFNA(VLOOKUP(INDIRECT("G"&amp;ROW()),minfo!$A:$M,COLUMN()-8,0),"")</f>
        <v>0</v>
      </c>
    </row>
    <row r="447" spans="1:21" ht="15.75" customHeight="1">
      <c r="A447" s="15">
        <v>446</v>
      </c>
      <c r="B447" s="4" t="s">
        <v>4020</v>
      </c>
      <c r="C447" s="4">
        <v>447</v>
      </c>
      <c r="D447" s="4">
        <v>56</v>
      </c>
      <c r="E447" s="4" t="s">
        <v>1024</v>
      </c>
      <c r="F447" s="16">
        <v>45140</v>
      </c>
      <c r="G447" s="5" t="s">
        <v>1023</v>
      </c>
      <c r="H447" s="5" t="s">
        <v>3961</v>
      </c>
      <c r="I447" s="24" t="str">
        <f>HYPERLINK("https://www.bilibili.com/video/BV1gz4y147yu?p=56", "BV1gz4y147yu?p=56")</f>
        <v>BV1gz4y147yu?p=56</v>
      </c>
      <c r="J447" s="4" t="str">
        <f ca="1">_xlfn.IFNA(VLOOKUP(INDIRECT("G"&amp;ROW()),minfo!$A:$M,COLUMN()-8,0),"")</f>
        <v>兰亭序</v>
      </c>
      <c r="K447" s="4" t="str">
        <f ca="1">_xlfn.IFNA(VLOOKUP(INDIRECT("G"&amp;ROW()),minfo!$A:$M,COLUMN()-8,0),"")</f>
        <v>周杰伦</v>
      </c>
      <c r="L447" s="4">
        <f ca="1">_xlfn.IFNA(VLOOKUP(INDIRECT("G"&amp;ROW()),minfo!$A:$M,COLUMN()-8,0),"")</f>
        <v>0</v>
      </c>
      <c r="M447" s="4">
        <f ca="1">_xlfn.IFNA(VLOOKUP(INDIRECT("G"&amp;ROW()),minfo!$A:$M,COLUMN()-8,0),"")</f>
        <v>0</v>
      </c>
      <c r="N447" s="4">
        <f ca="1">_xlfn.IFNA(VLOOKUP(INDIRECT("G"&amp;ROW()),minfo!$A:$M,COLUMN()-8,0),"")</f>
        <v>0</v>
      </c>
      <c r="O447" s="4" t="str">
        <f ca="1">_xlfn.IFNA(VLOOKUP(INDIRECT("G"&amp;ROW()),minfo!$A:$M,COLUMN()-8,0),"")</f>
        <v>https://i0.hdslb.com/bfs/station_src/music_metadata/a03f7d174c3b01e4c6b3907a115c5434.jpg</v>
      </c>
      <c r="P447" s="4">
        <f ca="1">_xlfn.IFNA(VLOOKUP(INDIRECT("G"&amp;ROW()),minfo!$A:$M,COLUMN()-8,0),"")</f>
        <v>0</v>
      </c>
      <c r="Q447" s="4">
        <f ca="1">_xlfn.IFNA(VLOOKUP(INDIRECT("G"&amp;ROW()),minfo!$A:$M,COLUMN()-8,0),"")</f>
        <v>28515</v>
      </c>
      <c r="R447" s="4">
        <f ca="1">_xlfn.IFNA(VLOOKUP(INDIRECT("G"&amp;ROW()),minfo!$A:$M,COLUMN()-8,0),"")</f>
        <v>0</v>
      </c>
      <c r="S447" s="4" t="str">
        <f ca="1">_xlfn.IFNA(VLOOKUP(INDIRECT("G"&amp;ROW()),minfo!$A:$M,COLUMN()-8,0),"")</f>
        <v>魔杰座</v>
      </c>
      <c r="T447" s="4">
        <f ca="1">_xlfn.IFNA(VLOOKUP(INDIRECT("G"&amp;ROW()),minfo!$A:$M,COLUMN()-8,0),"")</f>
        <v>2546158396</v>
      </c>
      <c r="U447" s="4" t="str">
        <f ca="1">_xlfn.IFNA(VLOOKUP(INDIRECT("G"&amp;ROW()),minfo!$A:$M,COLUMN()-8,0),"")</f>
        <v>音乐榜最高NO.4</v>
      </c>
    </row>
    <row r="448" spans="1:21" ht="15.75" customHeight="1">
      <c r="A448" s="15">
        <v>447</v>
      </c>
      <c r="B448" s="4" t="s">
        <v>4021</v>
      </c>
      <c r="C448" s="4">
        <v>448</v>
      </c>
      <c r="D448" s="4">
        <v>57</v>
      </c>
      <c r="E448" s="4" t="s">
        <v>1340</v>
      </c>
      <c r="F448" s="16">
        <v>45140</v>
      </c>
      <c r="G448" s="5" t="s">
        <v>1339</v>
      </c>
      <c r="H448" s="5" t="s">
        <v>3961</v>
      </c>
      <c r="I448" s="24" t="str">
        <f>HYPERLINK("https://www.bilibili.com/video/BV1gz4y147yu?p=57", "BV1gz4y147yu?p=57")</f>
        <v>BV1gz4y147yu?p=57</v>
      </c>
      <c r="J448" s="4" t="str">
        <f ca="1">_xlfn.IFNA(VLOOKUP(INDIRECT("G"&amp;ROW()),minfo!$A:$M,COLUMN()-8,0),"")</f>
        <v>天天</v>
      </c>
      <c r="K448" s="4" t="str">
        <f ca="1">_xlfn.IFNA(VLOOKUP(INDIRECT("G"&amp;ROW()),minfo!$A:$M,COLUMN()-8,0),"")</f>
        <v>陶喆</v>
      </c>
      <c r="L448" s="4">
        <f ca="1">_xlfn.IFNA(VLOOKUP(INDIRECT("G"&amp;ROW()),minfo!$A:$M,COLUMN()-8,0),"")</f>
        <v>0</v>
      </c>
      <c r="M448" s="4">
        <f ca="1">_xlfn.IFNA(VLOOKUP(INDIRECT("G"&amp;ROW()),minfo!$A:$M,COLUMN()-8,0),"")</f>
        <v>0</v>
      </c>
      <c r="N448" s="4">
        <f ca="1">_xlfn.IFNA(VLOOKUP(INDIRECT("G"&amp;ROW()),minfo!$A:$M,COLUMN()-8,0),"")</f>
        <v>0</v>
      </c>
      <c r="O448" s="4" t="str">
        <f ca="1">_xlfn.IFNA(VLOOKUP(INDIRECT("G"&amp;ROW()),minfo!$A:$M,COLUMN()-8,0),"")</f>
        <v>http://i0.hdslb.com/bfs/station_src/music_metadata/ff6417302beb4146f79dbd4e37c6d317.jpg</v>
      </c>
      <c r="P448" s="4" t="str">
        <f ca="1">_xlfn.IFNA(VLOOKUP(INDIRECT("G"&amp;ROW()),minfo!$A:$M,COLUMN()-8,0),"")</f>
        <v>http://i0.hdslb.com/bfs/station_src/music_metadata/c93605bfcadefe74f0d5b1a5b6a8db05</v>
      </c>
      <c r="Q448" s="4">
        <f ca="1">_xlfn.IFNA(VLOOKUP(INDIRECT("G"&amp;ROW()),minfo!$A:$M,COLUMN()-8,0),"")</f>
        <v>535</v>
      </c>
      <c r="R448" s="4">
        <f ca="1">_xlfn.IFNA(VLOOKUP(INDIRECT("G"&amp;ROW()),minfo!$A:$M,COLUMN()-8,0),"")</f>
        <v>0</v>
      </c>
      <c r="S448" s="4" t="str">
        <f ca="1">_xlfn.IFNA(VLOOKUP(INDIRECT("G"&amp;ROW()),minfo!$A:$M,COLUMN()-8,0),"")</f>
        <v>I'm OK</v>
      </c>
      <c r="T448" s="4">
        <f ca="1">_xlfn.IFNA(VLOOKUP(INDIRECT("G"&amp;ROW()),minfo!$A:$M,COLUMN()-8,0),"")</f>
        <v>82012532</v>
      </c>
      <c r="U448" s="4">
        <f ca="1">_xlfn.IFNA(VLOOKUP(INDIRECT("G"&amp;ROW()),minfo!$A:$M,COLUMN()-8,0),"")</f>
        <v>0</v>
      </c>
    </row>
    <row r="449" spans="1:21" ht="15.75" customHeight="1">
      <c r="A449" s="15">
        <v>448</v>
      </c>
      <c r="B449" s="4" t="s">
        <v>4022</v>
      </c>
      <c r="C449" s="4">
        <v>449</v>
      </c>
      <c r="D449" s="4">
        <v>58</v>
      </c>
      <c r="E449" s="4" t="s">
        <v>409</v>
      </c>
      <c r="F449" s="16">
        <v>45140</v>
      </c>
      <c r="G449" s="5" t="s">
        <v>408</v>
      </c>
      <c r="H449" s="5" t="s">
        <v>3961</v>
      </c>
      <c r="I449" s="24" t="str">
        <f>HYPERLINK("https://www.bilibili.com/video/BV1gz4y147yu?p=58", "BV1gz4y147yu?p=58")</f>
        <v>BV1gz4y147yu?p=58</v>
      </c>
      <c r="J449" s="4" t="str">
        <f ca="1">_xlfn.IFNA(VLOOKUP(INDIRECT("G"&amp;ROW()),minfo!$A:$M,COLUMN()-8,0),"")</f>
        <v>呼吸决定</v>
      </c>
      <c r="K449" s="4" t="str">
        <f ca="1">_xlfn.IFNA(VLOOKUP(INDIRECT("G"&amp;ROW()),minfo!$A:$M,COLUMN()-8,0),"")</f>
        <v>Fine乐团</v>
      </c>
      <c r="L449" s="4">
        <f ca="1">_xlfn.IFNA(VLOOKUP(INDIRECT("G"&amp;ROW()),minfo!$A:$M,COLUMN()-8,0),"")</f>
        <v>0</v>
      </c>
      <c r="M449" s="4">
        <f ca="1">_xlfn.IFNA(VLOOKUP(INDIRECT("G"&amp;ROW()),minfo!$A:$M,COLUMN()-8,0),"")</f>
        <v>0</v>
      </c>
      <c r="N449" s="4">
        <f ca="1">_xlfn.IFNA(VLOOKUP(INDIRECT("G"&amp;ROW()),minfo!$A:$M,COLUMN()-8,0),"")</f>
        <v>0</v>
      </c>
      <c r="O449" s="4" t="str">
        <f ca="1">_xlfn.IFNA(VLOOKUP(INDIRECT("G"&amp;ROW()),minfo!$A:$M,COLUMN()-8,0),"")</f>
        <v>http://i0.hdslb.com/bfs/station_src/music_metadata/de6c3020bce1962dc02b42568606781f.jpg</v>
      </c>
      <c r="P449" s="4" t="str">
        <f ca="1">_xlfn.IFNA(VLOOKUP(INDIRECT("G"&amp;ROW()),minfo!$A:$M,COLUMN()-8,0),"")</f>
        <v>http://i0.hdslb.com/bfs/station_src/music_metadata/9dfd516512eb23be6e624848db3bed57</v>
      </c>
      <c r="Q449" s="4">
        <f ca="1">_xlfn.IFNA(VLOOKUP(INDIRECT("G"&amp;ROW()),minfo!$A:$M,COLUMN()-8,0),"")</f>
        <v>838</v>
      </c>
      <c r="R449" s="4">
        <f ca="1">_xlfn.IFNA(VLOOKUP(INDIRECT("G"&amp;ROW()),minfo!$A:$M,COLUMN()-8,0),"")</f>
        <v>0</v>
      </c>
      <c r="S449" s="4">
        <f ca="1">_xlfn.IFNA(VLOOKUP(INDIRECT("G"&amp;ROW()),minfo!$A:$M,COLUMN()-8,0),"")</f>
        <v>0</v>
      </c>
      <c r="T449" s="4">
        <f ca="1">_xlfn.IFNA(VLOOKUP(INDIRECT("G"&amp;ROW()),minfo!$A:$M,COLUMN()-8,0),"")</f>
        <v>100019249</v>
      </c>
      <c r="U449" s="4">
        <f ca="1">_xlfn.IFNA(VLOOKUP(INDIRECT("G"&amp;ROW()),minfo!$A:$M,COLUMN()-8,0),"")</f>
        <v>0</v>
      </c>
    </row>
    <row r="450" spans="1:21" ht="15.75" customHeight="1">
      <c r="A450" s="15">
        <v>449</v>
      </c>
      <c r="B450" s="4" t="s">
        <v>4023</v>
      </c>
      <c r="C450" s="4">
        <v>450</v>
      </c>
      <c r="D450" s="4">
        <v>59</v>
      </c>
      <c r="E450" s="4" t="s">
        <v>259</v>
      </c>
      <c r="F450" s="16">
        <v>45140</v>
      </c>
      <c r="G450" s="5" t="s">
        <v>258</v>
      </c>
      <c r="H450" s="5" t="s">
        <v>3961</v>
      </c>
      <c r="I450" s="24" t="str">
        <f>HYPERLINK("https://www.bilibili.com/video/BV1gz4y147yu?p=59", "BV1gz4y147yu?p=59")</f>
        <v>BV1gz4y147yu?p=59</v>
      </c>
      <c r="J450" s="4" t="str">
        <f ca="1">_xlfn.IFNA(VLOOKUP(INDIRECT("G"&amp;ROW()),minfo!$A:$M,COLUMN()-8,0),"")</f>
        <v>枫</v>
      </c>
      <c r="K450" s="4" t="str">
        <f ca="1">_xlfn.IFNA(VLOOKUP(INDIRECT("G"&amp;ROW()),minfo!$A:$M,COLUMN()-8,0),"")</f>
        <v>周杰伦</v>
      </c>
      <c r="L450" s="4">
        <f ca="1">_xlfn.IFNA(VLOOKUP(INDIRECT("G"&amp;ROW()),minfo!$A:$M,COLUMN()-8,0),"")</f>
        <v>0</v>
      </c>
      <c r="M450" s="4">
        <f ca="1">_xlfn.IFNA(VLOOKUP(INDIRECT("G"&amp;ROW()),minfo!$A:$M,COLUMN()-8,0),"")</f>
        <v>0</v>
      </c>
      <c r="N450" s="4">
        <f ca="1">_xlfn.IFNA(VLOOKUP(INDIRECT("G"&amp;ROW()),minfo!$A:$M,COLUMN()-8,0),"")</f>
        <v>0</v>
      </c>
      <c r="O450" s="4" t="str">
        <f ca="1">_xlfn.IFNA(VLOOKUP(INDIRECT("G"&amp;ROW()),minfo!$A:$M,COLUMN()-8,0),"")</f>
        <v>https://i0.hdslb.com/bfs/station_src/music_metadata/fb82b0fb2908b09d88ba13ef0db91863.jpg</v>
      </c>
      <c r="P450" s="4" t="str">
        <f ca="1">_xlfn.IFNA(VLOOKUP(INDIRECT("G"&amp;ROW()),minfo!$A:$M,COLUMN()-8,0),"")</f>
        <v>http://i0.hdslb.com/bfs/station_src/music_metadata/9b1e7a89ea3eead8b8c6b32cdb30abd9</v>
      </c>
      <c r="Q450" s="4">
        <f ca="1">_xlfn.IFNA(VLOOKUP(INDIRECT("G"&amp;ROW()),minfo!$A:$M,COLUMN()-8,0),"")</f>
        <v>6002</v>
      </c>
      <c r="R450" s="4">
        <f ca="1">_xlfn.IFNA(VLOOKUP(INDIRECT("G"&amp;ROW()),minfo!$A:$M,COLUMN()-8,0),"")</f>
        <v>0</v>
      </c>
      <c r="S450" s="4" t="str">
        <f ca="1">_xlfn.IFNA(VLOOKUP(INDIRECT("G"&amp;ROW()),minfo!$A:$M,COLUMN()-8,0),"")</f>
        <v>十一月的萧邦</v>
      </c>
      <c r="T450" s="4">
        <f ca="1">_xlfn.IFNA(VLOOKUP(INDIRECT("G"&amp;ROW()),minfo!$A:$M,COLUMN()-8,0),"")</f>
        <v>560749777</v>
      </c>
      <c r="U450" s="4">
        <f ca="1">_xlfn.IFNA(VLOOKUP(INDIRECT("G"&amp;ROW()),minfo!$A:$M,COLUMN()-8,0),"")</f>
        <v>0</v>
      </c>
    </row>
    <row r="451" spans="1:21" ht="15.75" customHeight="1">
      <c r="A451" s="15">
        <v>450</v>
      </c>
      <c r="B451" s="4" t="s">
        <v>4024</v>
      </c>
      <c r="C451" s="4">
        <v>451</v>
      </c>
      <c r="D451" s="4">
        <v>60</v>
      </c>
      <c r="E451" s="4" t="s">
        <v>1345</v>
      </c>
      <c r="F451" s="16">
        <v>45140</v>
      </c>
      <c r="G451" s="5" t="s">
        <v>1344</v>
      </c>
      <c r="H451" s="5" t="s">
        <v>3961</v>
      </c>
      <c r="I451" s="24" t="str">
        <f>HYPERLINK("https://www.bilibili.com/video/BV1gz4y147yu?p=60", "BV1gz4y147yu?p=60")</f>
        <v>BV1gz4y147yu?p=60</v>
      </c>
      <c r="J451" s="4" t="str">
        <f ca="1">_xlfn.IFNA(VLOOKUP(INDIRECT("G"&amp;ROW()),minfo!$A:$M,COLUMN()-8,0),"")</f>
        <v>我们的明天</v>
      </c>
      <c r="K451" s="4" t="str">
        <f ca="1">_xlfn.IFNA(VLOOKUP(INDIRECT("G"&amp;ROW()),minfo!$A:$M,COLUMN()-8,0),"")</f>
        <v>鹿晗</v>
      </c>
      <c r="L451" s="4">
        <f ca="1">_xlfn.IFNA(VLOOKUP(INDIRECT("G"&amp;ROW()),minfo!$A:$M,COLUMN()-8,0),"")</f>
        <v>0</v>
      </c>
      <c r="M451" s="4">
        <f ca="1">_xlfn.IFNA(VLOOKUP(INDIRECT("G"&amp;ROW()),minfo!$A:$M,COLUMN()-8,0),"")</f>
        <v>0</v>
      </c>
      <c r="N451" s="4">
        <f ca="1">_xlfn.IFNA(VLOOKUP(INDIRECT("G"&amp;ROW()),minfo!$A:$M,COLUMN()-8,0),"")</f>
        <v>0</v>
      </c>
      <c r="O451" s="4" t="str">
        <f ca="1">_xlfn.IFNA(VLOOKUP(INDIRECT("G"&amp;ROW()),minfo!$A:$M,COLUMN()-8,0),"")</f>
        <v>http://i0.hdslb.com/bfs/station_src/music_metadata/1950a7ea2f58f22a4e539e4aaf7f50a1.jpg</v>
      </c>
      <c r="P451" s="4" t="str">
        <f ca="1">_xlfn.IFNA(VLOOKUP(INDIRECT("G"&amp;ROW()),minfo!$A:$M,COLUMN()-8,0),"")</f>
        <v>http://i0.hdslb.com/bfs/station_src/music_metadata/fbfaa234036df108d401e351201e3bdb</v>
      </c>
      <c r="Q451" s="4">
        <f ca="1">_xlfn.IFNA(VLOOKUP(INDIRECT("G"&amp;ROW()),minfo!$A:$M,COLUMN()-8,0),"")</f>
        <v>293</v>
      </c>
      <c r="R451" s="4">
        <f ca="1">_xlfn.IFNA(VLOOKUP(INDIRECT("G"&amp;ROW()),minfo!$A:$M,COLUMN()-8,0),"")</f>
        <v>0</v>
      </c>
      <c r="S451" s="4">
        <f ca="1">_xlfn.IFNA(VLOOKUP(INDIRECT("G"&amp;ROW()),minfo!$A:$M,COLUMN()-8,0),"")</f>
        <v>0</v>
      </c>
      <c r="T451" s="4">
        <f ca="1">_xlfn.IFNA(VLOOKUP(INDIRECT("G"&amp;ROW()),minfo!$A:$M,COLUMN()-8,0),"")</f>
        <v>59748120</v>
      </c>
      <c r="U451" s="4">
        <f ca="1">_xlfn.IFNA(VLOOKUP(INDIRECT("G"&amp;ROW()),minfo!$A:$M,COLUMN()-8,0),"")</f>
        <v>0</v>
      </c>
    </row>
    <row r="452" spans="1:21" ht="15.75" customHeight="1">
      <c r="A452" s="15">
        <v>451</v>
      </c>
      <c r="B452" s="4" t="s">
        <v>4025</v>
      </c>
      <c r="C452" s="4">
        <v>452</v>
      </c>
      <c r="D452" s="4">
        <v>61</v>
      </c>
      <c r="E452" s="4" t="s">
        <v>1098</v>
      </c>
      <c r="F452" s="16">
        <v>45140</v>
      </c>
      <c r="G452" s="5" t="s">
        <v>1097</v>
      </c>
      <c r="H452" s="5" t="s">
        <v>3961</v>
      </c>
      <c r="I452" s="24" t="str">
        <f>HYPERLINK("https://www.bilibili.com/video/BV1gz4y147yu?p=61", "BV1gz4y147yu?p=61")</f>
        <v>BV1gz4y147yu?p=61</v>
      </c>
      <c r="J452" s="4" t="str">
        <f ca="1">_xlfn.IFNA(VLOOKUP(INDIRECT("G"&amp;ROW()),minfo!$A:$M,COLUMN()-8,0),"")</f>
        <v>你听得到</v>
      </c>
      <c r="K452" s="4" t="str">
        <f ca="1">_xlfn.IFNA(VLOOKUP(INDIRECT("G"&amp;ROW()),minfo!$A:$M,COLUMN()-8,0),"")</f>
        <v>周杰伦</v>
      </c>
      <c r="L452" s="4">
        <f ca="1">_xlfn.IFNA(VLOOKUP(INDIRECT("G"&amp;ROW()),minfo!$A:$M,COLUMN()-8,0),"")</f>
        <v>0</v>
      </c>
      <c r="M452" s="4">
        <f ca="1">_xlfn.IFNA(VLOOKUP(INDIRECT("G"&amp;ROW()),minfo!$A:$M,COLUMN()-8,0),"")</f>
        <v>0</v>
      </c>
      <c r="N452" s="4">
        <f ca="1">_xlfn.IFNA(VLOOKUP(INDIRECT("G"&amp;ROW()),minfo!$A:$M,COLUMN()-8,0),"")</f>
        <v>0</v>
      </c>
      <c r="O452" s="4" t="str">
        <f ca="1">_xlfn.IFNA(VLOOKUP(INDIRECT("G"&amp;ROW()),minfo!$A:$M,COLUMN()-8,0),"")</f>
        <v>https://i0.hdslb.com/bfs/station_src/music_metadata/29e28424e7d2a4c37f7b84cd0b8b18ba.jpg</v>
      </c>
      <c r="P452" s="4" t="str">
        <f ca="1">_xlfn.IFNA(VLOOKUP(INDIRECT("G"&amp;ROW()),minfo!$A:$M,COLUMN()-8,0),"")</f>
        <v>copyright-crawler/music/task-lyric/62682789504b4c0665226751.txt</v>
      </c>
      <c r="Q452" s="4">
        <f ca="1">_xlfn.IFNA(VLOOKUP(INDIRECT("G"&amp;ROW()),minfo!$A:$M,COLUMN()-8,0),"")</f>
        <v>2198</v>
      </c>
      <c r="R452" s="4" t="str">
        <f ca="1">_xlfn.IFNA(VLOOKUP(INDIRECT("G"&amp;ROW()),minfo!$A:$M,COLUMN()-8,0),"")</f>
        <v>你听得到</v>
      </c>
      <c r="S452" s="4" t="str">
        <f ca="1">_xlfn.IFNA(VLOOKUP(INDIRECT("G"&amp;ROW()),minfo!$A:$M,COLUMN()-8,0),"")</f>
        <v>叶惠美</v>
      </c>
      <c r="T452" s="4">
        <f ca="1">_xlfn.IFNA(VLOOKUP(INDIRECT("G"&amp;ROW()),minfo!$A:$M,COLUMN()-8,0),"")</f>
        <v>280199234</v>
      </c>
      <c r="U452" s="4">
        <f ca="1">_xlfn.IFNA(VLOOKUP(INDIRECT("G"&amp;ROW()),minfo!$A:$M,COLUMN()-8,0),"")</f>
        <v>0</v>
      </c>
    </row>
    <row r="453" spans="1:21" ht="15.75" customHeight="1">
      <c r="A453" s="15">
        <v>452</v>
      </c>
      <c r="B453" s="4" t="s">
        <v>4026</v>
      </c>
      <c r="C453" s="4">
        <v>453</v>
      </c>
      <c r="D453" s="4">
        <v>62</v>
      </c>
      <c r="E453" s="4" t="s">
        <v>136</v>
      </c>
      <c r="F453" s="16">
        <v>45142</v>
      </c>
      <c r="G453" s="5" t="s">
        <v>136</v>
      </c>
      <c r="H453" s="5" t="s">
        <v>3961</v>
      </c>
      <c r="I453" s="24" t="str">
        <f>HYPERLINK("https://www.bilibili.com/video/BV1gz4y147yu?p=62", "BV1gz4y147yu?p=62")</f>
        <v>BV1gz4y147yu?p=62</v>
      </c>
      <c r="J453" s="4" t="str">
        <f ca="1">_xlfn.IFNA(VLOOKUP(INDIRECT("G"&amp;ROW()),minfo!$A:$M,COLUMN()-8,0),"")</f>
        <v>续写</v>
      </c>
      <c r="K453" s="4" t="str">
        <f ca="1">_xlfn.IFNA(VLOOKUP(INDIRECT("G"&amp;ROW()),minfo!$A:$M,COLUMN()-8,0),"")</f>
        <v>单依纯</v>
      </c>
      <c r="L453" s="4">
        <f ca="1">_xlfn.IFNA(VLOOKUP(INDIRECT("G"&amp;ROW()),minfo!$A:$M,COLUMN()-8,0),"")</f>
        <v>0</v>
      </c>
      <c r="M453" s="4">
        <f ca="1">_xlfn.IFNA(VLOOKUP(INDIRECT("G"&amp;ROW()),minfo!$A:$M,COLUMN()-8,0),"")</f>
        <v>0</v>
      </c>
      <c r="N453" s="4">
        <f ca="1">_xlfn.IFNA(VLOOKUP(INDIRECT("G"&amp;ROW()),minfo!$A:$M,COLUMN()-8,0),"")</f>
        <v>0</v>
      </c>
      <c r="O453" s="4">
        <f ca="1">_xlfn.IFNA(VLOOKUP(INDIRECT("G"&amp;ROW()),minfo!$A:$M,COLUMN()-8,0),"")</f>
        <v>0</v>
      </c>
      <c r="P453" s="4">
        <f ca="1">_xlfn.IFNA(VLOOKUP(INDIRECT("G"&amp;ROW()),minfo!$A:$M,COLUMN()-8,0),"")</f>
        <v>0</v>
      </c>
      <c r="Q453" s="4">
        <f ca="1">_xlfn.IFNA(VLOOKUP(INDIRECT("G"&amp;ROW()),minfo!$A:$M,COLUMN()-8,0),"")</f>
        <v>0</v>
      </c>
      <c r="R453" s="4">
        <f ca="1">_xlfn.IFNA(VLOOKUP(INDIRECT("G"&amp;ROW()),minfo!$A:$M,COLUMN()-8,0),"")</f>
        <v>0</v>
      </c>
      <c r="S453" s="4">
        <f ca="1">_xlfn.IFNA(VLOOKUP(INDIRECT("G"&amp;ROW()),minfo!$A:$M,COLUMN()-8,0),"")</f>
        <v>0</v>
      </c>
      <c r="T453" s="4">
        <f ca="1">_xlfn.IFNA(VLOOKUP(INDIRECT("G"&amp;ROW()),minfo!$A:$M,COLUMN()-8,0),"")</f>
        <v>0</v>
      </c>
      <c r="U453" s="4">
        <f ca="1">_xlfn.IFNA(VLOOKUP(INDIRECT("G"&amp;ROW()),minfo!$A:$M,COLUMN()-8,0),"")</f>
        <v>0</v>
      </c>
    </row>
    <row r="454" spans="1:21" ht="15.75" customHeight="1">
      <c r="A454" s="15">
        <v>453</v>
      </c>
      <c r="B454" s="4" t="s">
        <v>4027</v>
      </c>
      <c r="C454" s="4">
        <v>454</v>
      </c>
      <c r="D454" s="4">
        <v>63</v>
      </c>
      <c r="E454" s="4" t="s">
        <v>1305</v>
      </c>
      <c r="F454" s="16">
        <v>45142</v>
      </c>
      <c r="G454" s="5" t="s">
        <v>1304</v>
      </c>
      <c r="H454" s="5" t="s">
        <v>3961</v>
      </c>
      <c r="I454" s="24" t="str">
        <f>HYPERLINK("https://www.bilibili.com/video/BV1gz4y147yu?p=63", "BV1gz4y147yu?p=63")</f>
        <v>BV1gz4y147yu?p=63</v>
      </c>
      <c r="J454" s="4" t="str">
        <f ca="1">_xlfn.IFNA(VLOOKUP(INDIRECT("G"&amp;ROW()),minfo!$A:$M,COLUMN()-8,0),"")</f>
        <v>萱草花</v>
      </c>
      <c r="K454" s="4" t="str">
        <f ca="1">_xlfn.IFNA(VLOOKUP(INDIRECT("G"&amp;ROW()),minfo!$A:$M,COLUMN()-8,0),"")</f>
        <v>张小斐</v>
      </c>
      <c r="L454" s="4">
        <f ca="1">_xlfn.IFNA(VLOOKUP(INDIRECT("G"&amp;ROW()),minfo!$A:$M,COLUMN()-8,0),"")</f>
        <v>0</v>
      </c>
      <c r="M454" s="4">
        <f ca="1">_xlfn.IFNA(VLOOKUP(INDIRECT("G"&amp;ROW()),minfo!$A:$M,COLUMN()-8,0),"")</f>
        <v>0</v>
      </c>
      <c r="N454" s="4">
        <f ca="1">_xlfn.IFNA(VLOOKUP(INDIRECT("G"&amp;ROW()),minfo!$A:$M,COLUMN()-8,0),"")</f>
        <v>0</v>
      </c>
      <c r="O454" s="4" t="str">
        <f ca="1">_xlfn.IFNA(VLOOKUP(INDIRECT("G"&amp;ROW()),minfo!$A:$M,COLUMN()-8,0),"")</f>
        <v>http://i0.hdslb.com/bfs/station_src/music_metadata/8a229082f89f61dabf4714b7ca60f646.jpg</v>
      </c>
      <c r="P454" s="4" t="str">
        <f ca="1">_xlfn.IFNA(VLOOKUP(INDIRECT("G"&amp;ROW()),minfo!$A:$M,COLUMN()-8,0),"")</f>
        <v>http://i0.hdslb.com/bfs/station_src/music_metadata/717c439a71569e00fd804d305ca74fdd</v>
      </c>
      <c r="Q454" s="4">
        <f ca="1">_xlfn.IFNA(VLOOKUP(INDIRECT("G"&amp;ROW()),minfo!$A:$M,COLUMN()-8,0),"")</f>
        <v>1718</v>
      </c>
      <c r="R454" s="4" t="str">
        <f ca="1">_xlfn.IFNA(VLOOKUP(INDIRECT("G"&amp;ROW()),minfo!$A:$M,COLUMN()-8,0),"")</f>
        <v>《你好，李焕英》电影主题曲</v>
      </c>
      <c r="S454" s="4" t="str">
        <f ca="1">_xlfn.IFNA(VLOOKUP(INDIRECT("G"&amp;ROW()),minfo!$A:$M,COLUMN()-8,0),"")</f>
        <v>你好，李焕英 电影原声大碟</v>
      </c>
      <c r="T454" s="4">
        <f ca="1">_xlfn.IFNA(VLOOKUP(INDIRECT("G"&amp;ROW()),minfo!$A:$M,COLUMN()-8,0),"")</f>
        <v>544027498</v>
      </c>
      <c r="U454" s="4">
        <f ca="1">_xlfn.IFNA(VLOOKUP(INDIRECT("G"&amp;ROW()),minfo!$A:$M,COLUMN()-8,0),"")</f>
        <v>0</v>
      </c>
    </row>
    <row r="455" spans="1:21" ht="15.75" customHeight="1">
      <c r="A455" s="15">
        <v>454</v>
      </c>
      <c r="B455" s="4" t="s">
        <v>4028</v>
      </c>
      <c r="C455" s="4">
        <v>455</v>
      </c>
      <c r="D455" s="4">
        <v>64</v>
      </c>
      <c r="E455" s="4" t="s">
        <v>1350</v>
      </c>
      <c r="F455" s="16">
        <v>45142</v>
      </c>
      <c r="G455" s="5" t="s">
        <v>1349</v>
      </c>
      <c r="H455" s="5" t="s">
        <v>3961</v>
      </c>
      <c r="I455" s="24" t="str">
        <f>HYPERLINK("https://www.bilibili.com/video/BV1gz4y147yu?p=64", "BV1gz4y147yu?p=64")</f>
        <v>BV1gz4y147yu?p=64</v>
      </c>
      <c r="J455" s="4" t="str">
        <f ca="1">_xlfn.IFNA(VLOOKUP(INDIRECT("G"&amp;ROW()),minfo!$A:$M,COLUMN()-8,0),"")</f>
        <v>我要你</v>
      </c>
      <c r="K455" s="4" t="str">
        <f ca="1">_xlfn.IFNA(VLOOKUP(INDIRECT("G"&amp;ROW()),minfo!$A:$M,COLUMN()-8,0),"")</f>
        <v>任素汐</v>
      </c>
      <c r="L455" s="4">
        <f ca="1">_xlfn.IFNA(VLOOKUP(INDIRECT("G"&amp;ROW()),minfo!$A:$M,COLUMN()-8,0),"")</f>
        <v>0</v>
      </c>
      <c r="M455" s="4">
        <f ca="1">_xlfn.IFNA(VLOOKUP(INDIRECT("G"&amp;ROW()),minfo!$A:$M,COLUMN()-8,0),"")</f>
        <v>0</v>
      </c>
      <c r="N455" s="4">
        <f ca="1">_xlfn.IFNA(VLOOKUP(INDIRECT("G"&amp;ROW()),minfo!$A:$M,COLUMN()-8,0),"")</f>
        <v>0</v>
      </c>
      <c r="O455" s="4" t="str">
        <f ca="1">_xlfn.IFNA(VLOOKUP(INDIRECT("G"&amp;ROW()),minfo!$A:$M,COLUMN()-8,0),"")</f>
        <v>https://i0.hdslb.com/bfs/station_src/music_metadata/4197804876b3e8b55ed60f8cd7778bf5.jpg</v>
      </c>
      <c r="P455" s="4" t="str">
        <f ca="1">_xlfn.IFNA(VLOOKUP(INDIRECT("G"&amp;ROW()),minfo!$A:$M,COLUMN()-8,0),"")</f>
        <v>http://i0.hdslb.com/bfs/station_src/music_metadata/28b442d4a42e2442ddfd968f07fe7b09</v>
      </c>
      <c r="Q455" s="4">
        <f ca="1">_xlfn.IFNA(VLOOKUP(INDIRECT("G"&amp;ROW()),minfo!$A:$M,COLUMN()-8,0),"")</f>
        <v>232</v>
      </c>
      <c r="R455" s="4" t="str">
        <f ca="1">_xlfn.IFNA(VLOOKUP(INDIRECT("G"&amp;ROW()),minfo!$A:$M,COLUMN()-8,0),"")</f>
        <v>《驴得水》电影主题曲</v>
      </c>
      <c r="S455" s="4">
        <f ca="1">_xlfn.IFNA(VLOOKUP(INDIRECT("G"&amp;ROW()),minfo!$A:$M,COLUMN()-8,0),"")</f>
        <v>0</v>
      </c>
      <c r="T455" s="4">
        <f ca="1">_xlfn.IFNA(VLOOKUP(INDIRECT("G"&amp;ROW()),minfo!$A:$M,COLUMN()-8,0),"")</f>
        <v>114183476</v>
      </c>
      <c r="U455" s="4">
        <f ca="1">_xlfn.IFNA(VLOOKUP(INDIRECT("G"&amp;ROW()),minfo!$A:$M,COLUMN()-8,0),"")</f>
        <v>0</v>
      </c>
    </row>
    <row r="456" spans="1:21" ht="15.75" customHeight="1">
      <c r="A456" s="15">
        <v>455</v>
      </c>
      <c r="B456" s="4" t="s">
        <v>4029</v>
      </c>
      <c r="C456" s="4">
        <v>456</v>
      </c>
      <c r="D456" s="4">
        <v>65</v>
      </c>
      <c r="E456" s="4" t="s">
        <v>497</v>
      </c>
      <c r="F456" s="16">
        <v>45142</v>
      </c>
      <c r="G456" s="5" t="s">
        <v>496</v>
      </c>
      <c r="H456" s="5" t="s">
        <v>3961</v>
      </c>
      <c r="I456" s="24" t="str">
        <f>HYPERLINK("https://www.bilibili.com/video/BV1gz4y147yu?p=65", "BV1gz4y147yu?p=65")</f>
        <v>BV1gz4y147yu?p=65</v>
      </c>
      <c r="J456" s="4" t="str">
        <f ca="1">_xlfn.IFNA(VLOOKUP(INDIRECT("G"&amp;ROW()),minfo!$A:$M,COLUMN()-8,0),"")</f>
        <v>给电影人的情书</v>
      </c>
      <c r="K456" s="4" t="str">
        <f ca="1">_xlfn.IFNA(VLOOKUP(INDIRECT("G"&amp;ROW()),minfo!$A:$M,COLUMN()-8,0),"")</f>
        <v>蔡琴</v>
      </c>
      <c r="L456" s="4">
        <f ca="1">_xlfn.IFNA(VLOOKUP(INDIRECT("G"&amp;ROW()),minfo!$A:$M,COLUMN()-8,0),"")</f>
        <v>0</v>
      </c>
      <c r="M456" s="4">
        <f ca="1">_xlfn.IFNA(VLOOKUP(INDIRECT("G"&amp;ROW()),minfo!$A:$M,COLUMN()-8,0),"")</f>
        <v>0</v>
      </c>
      <c r="N456" s="4">
        <f ca="1">_xlfn.IFNA(VLOOKUP(INDIRECT("G"&amp;ROW()),minfo!$A:$M,COLUMN()-8,0),"")</f>
        <v>0</v>
      </c>
      <c r="O456" s="4" t="str">
        <f ca="1">_xlfn.IFNA(VLOOKUP(INDIRECT("G"&amp;ROW()),minfo!$A:$M,COLUMN()-8,0),"")</f>
        <v>https://i0.hdslb.com/bfs/station_src/music_metadata/5a642b125d5c75496a65d82a8b356a5f.jpg</v>
      </c>
      <c r="P456" s="4" t="str">
        <f ca="1">_xlfn.IFNA(VLOOKUP(INDIRECT("G"&amp;ROW()),minfo!$A:$M,COLUMN()-8,0),"")</f>
        <v>http://i0.hdslb.com/bfs/station_src/music_metadata/b70311934da8d72b044401d31b44294e</v>
      </c>
      <c r="Q456" s="4">
        <f ca="1">_xlfn.IFNA(VLOOKUP(INDIRECT("G"&amp;ROW()),minfo!$A:$M,COLUMN()-8,0),"")</f>
        <v>192</v>
      </c>
      <c r="R456" s="4">
        <f ca="1">_xlfn.IFNA(VLOOKUP(INDIRECT("G"&amp;ROW()),minfo!$A:$M,COLUMN()-8,0),"")</f>
        <v>0</v>
      </c>
      <c r="S456" s="4" t="str">
        <f ca="1">_xlfn.IFNA(VLOOKUP(INDIRECT("G"&amp;ROW()),minfo!$A:$M,COLUMN()-8,0),"")</f>
        <v>不悔</v>
      </c>
      <c r="T456" s="4">
        <f ca="1">_xlfn.IFNA(VLOOKUP(INDIRECT("G"&amp;ROW()),minfo!$A:$M,COLUMN()-8,0),"")</f>
        <v>47527216</v>
      </c>
      <c r="U456" s="4">
        <f ca="1">_xlfn.IFNA(VLOOKUP(INDIRECT("G"&amp;ROW()),minfo!$A:$M,COLUMN()-8,0),"")</f>
        <v>0</v>
      </c>
    </row>
    <row r="457" spans="1:21" ht="15.75" customHeight="1">
      <c r="A457" s="15">
        <v>456</v>
      </c>
      <c r="B457" s="4" t="s">
        <v>4030</v>
      </c>
      <c r="C457" s="4">
        <v>457</v>
      </c>
      <c r="D457" s="4">
        <v>66</v>
      </c>
      <c r="E457" s="4" t="s">
        <v>798</v>
      </c>
      <c r="F457" s="16">
        <v>45142</v>
      </c>
      <c r="G457" s="5" t="s">
        <v>797</v>
      </c>
      <c r="H457" s="5" t="s">
        <v>3961</v>
      </c>
      <c r="I457" s="24" t="str">
        <f>HYPERLINK("https://www.bilibili.com/video/BV1gz4y147yu?p=66", "BV1gz4y147yu?p=66")</f>
        <v>BV1gz4y147yu?p=66</v>
      </c>
      <c r="J457" s="4" t="str">
        <f ca="1">_xlfn.IFNA(VLOOKUP(INDIRECT("G"&amp;ROW()),minfo!$A:$M,COLUMN()-8,0),"")</f>
        <v>让她降落</v>
      </c>
      <c r="K457" s="4" t="str">
        <f ca="1">_xlfn.IFNA(VLOOKUP(INDIRECT("G"&amp;ROW()),minfo!$A:$M,COLUMN()-8,0),"")</f>
        <v>何璐</v>
      </c>
      <c r="L457" s="4">
        <f ca="1">_xlfn.IFNA(VLOOKUP(INDIRECT("G"&amp;ROW()),minfo!$A:$M,COLUMN()-8,0),"")</f>
        <v>0</v>
      </c>
      <c r="M457" s="4">
        <f ca="1">_xlfn.IFNA(VLOOKUP(INDIRECT("G"&amp;ROW()),minfo!$A:$M,COLUMN()-8,0),"")</f>
        <v>0</v>
      </c>
      <c r="N457" s="4">
        <f ca="1">_xlfn.IFNA(VLOOKUP(INDIRECT("G"&amp;ROW()),minfo!$A:$M,COLUMN()-8,0),"")</f>
        <v>0</v>
      </c>
      <c r="O457" s="4" t="str">
        <f ca="1">_xlfn.IFNA(VLOOKUP(INDIRECT("G"&amp;ROW()),minfo!$A:$M,COLUMN()-8,0),"")</f>
        <v>http://i0.hdslb.com/bfs/station_src/music_metadata/cac3cdb113beb631fc51a8ee80236746.jpg</v>
      </c>
      <c r="P457" s="4" t="str">
        <f ca="1">_xlfn.IFNA(VLOOKUP(INDIRECT("G"&amp;ROW()),minfo!$A:$M,COLUMN()-8,0),"")</f>
        <v>http://i0.hdslb.com/bfs/station_src/music_metadata/61a0ea9f4aae0b0d39b3cda25e077499</v>
      </c>
      <c r="Q457" s="4">
        <f ca="1">_xlfn.IFNA(VLOOKUP(INDIRECT("G"&amp;ROW()),minfo!$A:$M,COLUMN()-8,0),"")</f>
        <v>850</v>
      </c>
      <c r="R457" s="4">
        <f ca="1">_xlfn.IFNA(VLOOKUP(INDIRECT("G"&amp;ROW()),minfo!$A:$M,COLUMN()-8,0),"")</f>
        <v>0</v>
      </c>
      <c r="S457" s="4" t="str">
        <f ca="1">_xlfn.IFNA(VLOOKUP(INDIRECT("G"&amp;ROW()),minfo!$A:$M,COLUMN()-8,0),"")</f>
        <v>让她降落</v>
      </c>
      <c r="T457" s="4">
        <f ca="1">_xlfn.IFNA(VLOOKUP(INDIRECT("G"&amp;ROW()),minfo!$A:$M,COLUMN()-8,0),"")</f>
        <v>168699816</v>
      </c>
      <c r="U457" s="4">
        <f ca="1">_xlfn.IFNA(VLOOKUP(INDIRECT("G"&amp;ROW()),minfo!$A:$M,COLUMN()-8,0),"")</f>
        <v>0</v>
      </c>
    </row>
    <row r="458" spans="1:21" ht="15.75" customHeight="1">
      <c r="A458" s="15">
        <v>457</v>
      </c>
      <c r="B458" s="4" t="s">
        <v>4031</v>
      </c>
      <c r="C458" s="4">
        <v>458</v>
      </c>
      <c r="D458" s="4">
        <v>67</v>
      </c>
      <c r="E458" s="4" t="s">
        <v>1356</v>
      </c>
      <c r="F458" s="16">
        <v>45142</v>
      </c>
      <c r="G458" s="5" t="s">
        <v>1355</v>
      </c>
      <c r="H458" s="5" t="s">
        <v>3961</v>
      </c>
      <c r="I458" s="24" t="str">
        <f>HYPERLINK("https://www.bilibili.com/video/BV1gz4y147yu?p=67", "BV1gz4y147yu?p=67")</f>
        <v>BV1gz4y147yu?p=67</v>
      </c>
      <c r="J458" s="4" t="str">
        <f ca="1">_xlfn.IFNA(VLOOKUP(INDIRECT("G"&amp;ROW()),minfo!$A:$M,COLUMN()-8,0),"")</f>
        <v>夜来香</v>
      </c>
      <c r="K458" s="4" t="str">
        <f ca="1">_xlfn.IFNA(VLOOKUP(INDIRECT("G"&amp;ROW()),minfo!$A:$M,COLUMN()-8,0),"")</f>
        <v>李香兰</v>
      </c>
      <c r="L458" s="4">
        <f ca="1">_xlfn.IFNA(VLOOKUP(INDIRECT("G"&amp;ROW()),minfo!$A:$M,COLUMN()-8,0),"")</f>
        <v>0</v>
      </c>
      <c r="M458" s="4">
        <f ca="1">_xlfn.IFNA(VLOOKUP(INDIRECT("G"&amp;ROW()),minfo!$A:$M,COLUMN()-8,0),"")</f>
        <v>0</v>
      </c>
      <c r="N458" s="4">
        <f ca="1">_xlfn.IFNA(VLOOKUP(INDIRECT("G"&amp;ROW()),minfo!$A:$M,COLUMN()-8,0),"")</f>
        <v>0</v>
      </c>
      <c r="O458" s="4" t="str">
        <f ca="1">_xlfn.IFNA(VLOOKUP(INDIRECT("G"&amp;ROW()),minfo!$A:$M,COLUMN()-8,0),"")</f>
        <v>http://i0.hdslb.com/bfs/station_src/music_metadata/bfb91f7e1a49506d755cc1e7a185a477.jpg</v>
      </c>
      <c r="P458" s="4">
        <f ca="1">_xlfn.IFNA(VLOOKUP(INDIRECT("G"&amp;ROW()),minfo!$A:$M,COLUMN()-8,0),"")</f>
        <v>0</v>
      </c>
      <c r="Q458" s="4">
        <f ca="1">_xlfn.IFNA(VLOOKUP(INDIRECT("G"&amp;ROW()),minfo!$A:$M,COLUMN()-8,0),"")</f>
        <v>15</v>
      </c>
      <c r="R458" s="4">
        <f ca="1">_xlfn.IFNA(VLOOKUP(INDIRECT("G"&amp;ROW()),minfo!$A:$M,COLUMN()-8,0),"")</f>
        <v>0</v>
      </c>
      <c r="S458" s="4" t="str">
        <f ca="1">_xlfn.IFNA(VLOOKUP(INDIRECT("G"&amp;ROW()),minfo!$A:$M,COLUMN()-8,0),"")</f>
        <v>夜上海——上海老歌精选集</v>
      </c>
      <c r="T458" s="4">
        <f ca="1">_xlfn.IFNA(VLOOKUP(INDIRECT("G"&amp;ROW()),minfo!$A:$M,COLUMN()-8,0),"")</f>
        <v>35028061</v>
      </c>
      <c r="U458" s="4">
        <f ca="1">_xlfn.IFNA(VLOOKUP(INDIRECT("G"&amp;ROW()),minfo!$A:$M,COLUMN()-8,0),"")</f>
        <v>0</v>
      </c>
    </row>
    <row r="459" spans="1:21" ht="15.75" customHeight="1">
      <c r="A459" s="15">
        <v>458</v>
      </c>
      <c r="B459" s="4" t="s">
        <v>4032</v>
      </c>
      <c r="C459" s="4">
        <v>459</v>
      </c>
      <c r="D459" s="4">
        <v>68</v>
      </c>
      <c r="E459" s="4" t="s">
        <v>1361</v>
      </c>
      <c r="F459" s="16">
        <v>45142</v>
      </c>
      <c r="G459" s="5" t="s">
        <v>1360</v>
      </c>
      <c r="H459" s="5" t="s">
        <v>3961</v>
      </c>
      <c r="I459" s="24" t="str">
        <f>HYPERLINK("https://www.bilibili.com/video/BV1gz4y147yu?p=68", "BV1gz4y147yu?p=68")</f>
        <v>BV1gz4y147yu?p=68</v>
      </c>
      <c r="J459" s="4" t="str">
        <f ca="1">_xlfn.IFNA(VLOOKUP(INDIRECT("G"&amp;ROW()),minfo!$A:$M,COLUMN()-8,0),"")</f>
        <v>路边的野花不要采</v>
      </c>
      <c r="K459" s="4" t="str">
        <f ca="1">_xlfn.IFNA(VLOOKUP(INDIRECT("G"&amp;ROW()),minfo!$A:$M,COLUMN()-8,0),"")</f>
        <v>邓丽君</v>
      </c>
      <c r="L459" s="4">
        <f ca="1">_xlfn.IFNA(VLOOKUP(INDIRECT("G"&amp;ROW()),minfo!$A:$M,COLUMN()-8,0),"")</f>
        <v>0</v>
      </c>
      <c r="M459" s="4">
        <f ca="1">_xlfn.IFNA(VLOOKUP(INDIRECT("G"&amp;ROW()),minfo!$A:$M,COLUMN()-8,0),"")</f>
        <v>0</v>
      </c>
      <c r="N459" s="4">
        <f ca="1">_xlfn.IFNA(VLOOKUP(INDIRECT("G"&amp;ROW()),minfo!$A:$M,COLUMN()-8,0),"")</f>
        <v>0</v>
      </c>
      <c r="O459" s="4" t="str">
        <f ca="1">_xlfn.IFNA(VLOOKUP(INDIRECT("G"&amp;ROW()),minfo!$A:$M,COLUMN()-8,0),"")</f>
        <v>https://i0.hdslb.com/bfs/station_src/music_metadata/b8d5bd001d322a7b3e6414223e4ffc64.jpg</v>
      </c>
      <c r="P459" s="4">
        <f ca="1">_xlfn.IFNA(VLOOKUP(INDIRECT("G"&amp;ROW()),minfo!$A:$M,COLUMN()-8,0),"")</f>
        <v>0</v>
      </c>
      <c r="Q459" s="4">
        <f ca="1">_xlfn.IFNA(VLOOKUP(INDIRECT("G"&amp;ROW()),minfo!$A:$M,COLUMN()-8,0),"")</f>
        <v>21</v>
      </c>
      <c r="R459" s="4">
        <f ca="1">_xlfn.IFNA(VLOOKUP(INDIRECT("G"&amp;ROW()),minfo!$A:$M,COLUMN()-8,0),"")</f>
        <v>0</v>
      </c>
      <c r="S459" s="4" t="str">
        <f ca="1">_xlfn.IFNA(VLOOKUP(INDIRECT("G"&amp;ROW()),minfo!$A:$M,COLUMN()-8,0),"")</f>
        <v>邓丽君1982香港伊利沙伯体育馆演唱会</v>
      </c>
      <c r="T459" s="4">
        <f ca="1">_xlfn.IFNA(VLOOKUP(INDIRECT("G"&amp;ROW()),minfo!$A:$M,COLUMN()-8,0),"")</f>
        <v>36042656</v>
      </c>
      <c r="U459" s="4">
        <f ca="1">_xlfn.IFNA(VLOOKUP(INDIRECT("G"&amp;ROW()),minfo!$A:$M,COLUMN()-8,0),"")</f>
        <v>0</v>
      </c>
    </row>
    <row r="460" spans="1:21" ht="15.75" customHeight="1">
      <c r="A460" s="15">
        <v>459</v>
      </c>
      <c r="B460" s="4" t="s">
        <v>4033</v>
      </c>
      <c r="C460" s="4">
        <v>460</v>
      </c>
      <c r="D460" s="4">
        <v>69</v>
      </c>
      <c r="E460" s="4" t="s">
        <v>477</v>
      </c>
      <c r="F460" s="16">
        <v>45142</v>
      </c>
      <c r="G460" s="5" t="s">
        <v>476</v>
      </c>
      <c r="H460" s="5" t="s">
        <v>3961</v>
      </c>
      <c r="I460" s="24" t="str">
        <f>HYPERLINK("https://www.bilibili.com/video/BV1gz4y147yu?p=69", "BV1gz4y147yu?p=69")</f>
        <v>BV1gz4y147yu?p=69</v>
      </c>
      <c r="J460" s="4" t="str">
        <f ca="1">_xlfn.IFNA(VLOOKUP(INDIRECT("G"&amp;ROW()),minfo!$A:$M,COLUMN()-8,0),"")</f>
        <v>我只在乎你</v>
      </c>
      <c r="K460" s="4" t="str">
        <f ca="1">_xlfn.IFNA(VLOOKUP(INDIRECT("G"&amp;ROW()),minfo!$A:$M,COLUMN()-8,0),"")</f>
        <v>邓丽君</v>
      </c>
      <c r="L460" s="4">
        <f ca="1">_xlfn.IFNA(VLOOKUP(INDIRECT("G"&amp;ROW()),minfo!$A:$M,COLUMN()-8,0),"")</f>
        <v>0</v>
      </c>
      <c r="M460" s="4">
        <f ca="1">_xlfn.IFNA(VLOOKUP(INDIRECT("G"&amp;ROW()),minfo!$A:$M,COLUMN()-8,0),"")</f>
        <v>0</v>
      </c>
      <c r="N460" s="4">
        <f ca="1">_xlfn.IFNA(VLOOKUP(INDIRECT("G"&amp;ROW()),minfo!$A:$M,COLUMN()-8,0),"")</f>
        <v>0</v>
      </c>
      <c r="O460" s="4" t="str">
        <f ca="1">_xlfn.IFNA(VLOOKUP(INDIRECT("G"&amp;ROW()),minfo!$A:$M,COLUMN()-8,0),"")</f>
        <v>https://i0.hdslb.com/bfs/station_src/music_metadata/20edcc42dece649a8fcfbc7a532d33cf.jpg</v>
      </c>
      <c r="P460" s="4" t="str">
        <f ca="1">_xlfn.IFNA(VLOOKUP(INDIRECT("G"&amp;ROW()),minfo!$A:$M,COLUMN()-8,0),"")</f>
        <v>http://i0.hdslb.com/bfs/station_src/music_metadata/49dfa16b48e0cab94adf65044415eee3</v>
      </c>
      <c r="Q460" s="4">
        <f ca="1">_xlfn.IFNA(VLOOKUP(INDIRECT("G"&amp;ROW()),minfo!$A:$M,COLUMN()-8,0),"")</f>
        <v>486</v>
      </c>
      <c r="R460" s="4">
        <f ca="1">_xlfn.IFNA(VLOOKUP(INDIRECT("G"&amp;ROW()),minfo!$A:$M,COLUMN()-8,0),"")</f>
        <v>0</v>
      </c>
      <c r="S460" s="4" t="str">
        <f ca="1">_xlfn.IFNA(VLOOKUP(INDIRECT("G"&amp;ROW()),minfo!$A:$M,COLUMN()-8,0),"")</f>
        <v>邓丽君金曲选01</v>
      </c>
      <c r="T460" s="4">
        <f ca="1">_xlfn.IFNA(VLOOKUP(INDIRECT("G"&amp;ROW()),minfo!$A:$M,COLUMN()-8,0),"")</f>
        <v>196147959</v>
      </c>
      <c r="U460" s="4">
        <f ca="1">_xlfn.IFNA(VLOOKUP(INDIRECT("G"&amp;ROW()),minfo!$A:$M,COLUMN()-8,0),"")</f>
        <v>0</v>
      </c>
    </row>
    <row r="461" spans="1:21" ht="15.75" customHeight="1">
      <c r="A461" s="15">
        <v>460</v>
      </c>
      <c r="B461" s="4" t="s">
        <v>4034</v>
      </c>
      <c r="C461" s="4">
        <v>461</v>
      </c>
      <c r="D461" s="4">
        <v>70</v>
      </c>
      <c r="E461" s="4" t="s">
        <v>922</v>
      </c>
      <c r="F461" s="16">
        <v>45142</v>
      </c>
      <c r="G461" s="5" t="s">
        <v>921</v>
      </c>
      <c r="H461" s="5" t="s">
        <v>3961</v>
      </c>
      <c r="I461" s="24" t="str">
        <f>HYPERLINK("https://www.bilibili.com/video/BV1gz4y147yu?p=70", "BV1gz4y147yu?p=70")</f>
        <v>BV1gz4y147yu?p=70</v>
      </c>
      <c r="J461" s="4" t="str">
        <f ca="1">_xlfn.IFNA(VLOOKUP(INDIRECT("G"&amp;ROW()),minfo!$A:$M,COLUMN()-8,0),"")</f>
        <v>月亮代表我的心</v>
      </c>
      <c r="K461" s="4" t="str">
        <f ca="1">_xlfn.IFNA(VLOOKUP(INDIRECT("G"&amp;ROW()),minfo!$A:$M,COLUMN()-8,0),"")</f>
        <v>邓丽君</v>
      </c>
      <c r="L461" s="4">
        <f ca="1">_xlfn.IFNA(VLOOKUP(INDIRECT("G"&amp;ROW()),minfo!$A:$M,COLUMN()-8,0),"")</f>
        <v>0</v>
      </c>
      <c r="M461" s="4">
        <f ca="1">_xlfn.IFNA(VLOOKUP(INDIRECT("G"&amp;ROW()),minfo!$A:$M,COLUMN()-8,0),"")</f>
        <v>0</v>
      </c>
      <c r="N461" s="4">
        <f ca="1">_xlfn.IFNA(VLOOKUP(INDIRECT("G"&amp;ROW()),minfo!$A:$M,COLUMN()-8,0),"")</f>
        <v>0</v>
      </c>
      <c r="O461" s="4" t="str">
        <f ca="1">_xlfn.IFNA(VLOOKUP(INDIRECT("G"&amp;ROW()),minfo!$A:$M,COLUMN()-8,0),"")</f>
        <v>http://i0.hdslb.com/bfs/station_src/music_metadata/bd74866c15196fe2e0221c852cd1f687.jpg</v>
      </c>
      <c r="P461" s="4" t="str">
        <f ca="1">_xlfn.IFNA(VLOOKUP(INDIRECT("G"&amp;ROW()),minfo!$A:$M,COLUMN()-8,0),"")</f>
        <v>http://i0.hdslb.com/bfs/station_src/music_metadata/47c5859ed38ee442afeffa8c3c2a6afb</v>
      </c>
      <c r="Q461" s="4">
        <f ca="1">_xlfn.IFNA(VLOOKUP(INDIRECT("G"&amp;ROW()),minfo!$A:$M,COLUMN()-8,0),"")</f>
        <v>233</v>
      </c>
      <c r="R461" s="4">
        <f ca="1">_xlfn.IFNA(VLOOKUP(INDIRECT("G"&amp;ROW()),minfo!$A:$M,COLUMN()-8,0),"")</f>
        <v>0</v>
      </c>
      <c r="S461" s="4">
        <f ca="1">_xlfn.IFNA(VLOOKUP(INDIRECT("G"&amp;ROW()),minfo!$A:$M,COLUMN()-8,0),"")</f>
        <v>0</v>
      </c>
      <c r="T461" s="4">
        <f ca="1">_xlfn.IFNA(VLOOKUP(INDIRECT("G"&amp;ROW()),minfo!$A:$M,COLUMN()-8,0),"")</f>
        <v>131757764</v>
      </c>
      <c r="U461" s="4">
        <f ca="1">_xlfn.IFNA(VLOOKUP(INDIRECT("G"&amp;ROW()),minfo!$A:$M,COLUMN()-8,0),"")</f>
        <v>0</v>
      </c>
    </row>
    <row r="462" spans="1:21" ht="15.75" customHeight="1">
      <c r="A462" s="15">
        <v>461</v>
      </c>
      <c r="B462" s="4" t="s">
        <v>4035</v>
      </c>
      <c r="C462" s="4">
        <v>462</v>
      </c>
      <c r="D462" s="4">
        <v>71</v>
      </c>
      <c r="E462" s="4" t="s">
        <v>1365</v>
      </c>
      <c r="F462" s="16">
        <v>45142</v>
      </c>
      <c r="G462" s="5" t="s">
        <v>1364</v>
      </c>
      <c r="H462" s="5" t="s">
        <v>3961</v>
      </c>
      <c r="I462" s="24" t="str">
        <f>HYPERLINK("https://www.bilibili.com/video/BV1gz4y147yu?p=71", "BV1gz4y147yu?p=71")</f>
        <v>BV1gz4y147yu?p=71</v>
      </c>
      <c r="J462" s="4" t="str">
        <f ca="1">_xlfn.IFNA(VLOOKUP(INDIRECT("G"&amp;ROW()),minfo!$A:$M,COLUMN()-8,0),"")</f>
        <v>芦花</v>
      </c>
      <c r="K462" s="4" t="str">
        <f ca="1">_xlfn.IFNA(VLOOKUP(INDIRECT("G"&amp;ROW()),minfo!$A:$M,COLUMN()-8,0),"")</f>
        <v>雷佳</v>
      </c>
      <c r="L462" s="4">
        <f ca="1">_xlfn.IFNA(VLOOKUP(INDIRECT("G"&amp;ROW()),minfo!$A:$M,COLUMN()-8,0),"")</f>
        <v>0</v>
      </c>
      <c r="M462" s="4">
        <f ca="1">_xlfn.IFNA(VLOOKUP(INDIRECT("G"&amp;ROW()),minfo!$A:$M,COLUMN()-8,0),"")</f>
        <v>0</v>
      </c>
      <c r="N462" s="4">
        <f ca="1">_xlfn.IFNA(VLOOKUP(INDIRECT("G"&amp;ROW()),minfo!$A:$M,COLUMN()-8,0),"")</f>
        <v>0</v>
      </c>
      <c r="O462" s="4" t="str">
        <f ca="1">_xlfn.IFNA(VLOOKUP(INDIRECT("G"&amp;ROW()),minfo!$A:$M,COLUMN()-8,0),"")</f>
        <v>https://i0.hdslb.com/bfs/station_src/music_metadata/5d10069250016b4dc0f3b44677f25d40.jpg</v>
      </c>
      <c r="P462" s="4" t="str">
        <f ca="1">_xlfn.IFNA(VLOOKUP(INDIRECT("G"&amp;ROW()),minfo!$A:$M,COLUMN()-8,0),"")</f>
        <v>https://i0.hdslb.com/bfs/station_src/music_metadata/d73271ada4973630cf18fe263ae525c3.txt</v>
      </c>
      <c r="Q462" s="4">
        <f ca="1">_xlfn.IFNA(VLOOKUP(INDIRECT("G"&amp;ROW()),minfo!$A:$M,COLUMN()-8,0),"")</f>
        <v>7</v>
      </c>
      <c r="R462" s="4">
        <f ca="1">_xlfn.IFNA(VLOOKUP(INDIRECT("G"&amp;ROW()),minfo!$A:$M,COLUMN()-8,0),"")</f>
        <v>0</v>
      </c>
      <c r="S462" s="4" t="str">
        <f ca="1">_xlfn.IFNA(VLOOKUP(INDIRECT("G"&amp;ROW()),minfo!$A:$M,COLUMN()-8,0),"")</f>
        <v>一人一首成名曲10</v>
      </c>
      <c r="T462" s="4">
        <f ca="1">_xlfn.IFNA(VLOOKUP(INDIRECT("G"&amp;ROW()),minfo!$A:$M,COLUMN()-8,0),"")</f>
        <v>2752773</v>
      </c>
      <c r="U462" s="4">
        <f ca="1">_xlfn.IFNA(VLOOKUP(INDIRECT("G"&amp;ROW()),minfo!$A:$M,COLUMN()-8,0),"")</f>
        <v>0</v>
      </c>
    </row>
    <row r="463" spans="1:21" ht="15.75" customHeight="1">
      <c r="A463" s="15">
        <v>462</v>
      </c>
      <c r="B463" s="4" t="s">
        <v>4036</v>
      </c>
      <c r="C463" s="4">
        <v>463</v>
      </c>
      <c r="D463" s="4">
        <v>72</v>
      </c>
      <c r="E463" s="4" t="s">
        <v>934</v>
      </c>
      <c r="F463" s="16">
        <v>45142</v>
      </c>
      <c r="G463" s="5" t="s">
        <v>933</v>
      </c>
      <c r="H463" s="5" t="s">
        <v>3961</v>
      </c>
      <c r="I463" s="24" t="str">
        <f>HYPERLINK("https://www.bilibili.com/video/BV1gz4y147yu?p=72", "BV1gz4y147yu?p=72")</f>
        <v>BV1gz4y147yu?p=72</v>
      </c>
      <c r="J463" s="4" t="str">
        <f ca="1">_xlfn.IFNA(VLOOKUP(INDIRECT("G"&amp;ROW()),minfo!$A:$M,COLUMN()-8,0),"")</f>
        <v>敕勒歌</v>
      </c>
      <c r="K463" s="4" t="str">
        <f ca="1">_xlfn.IFNA(VLOOKUP(INDIRECT("G"&amp;ROW()),minfo!$A:$M,COLUMN()-8,0),"")</f>
        <v>谭维维</v>
      </c>
      <c r="L463" s="4">
        <f ca="1">_xlfn.IFNA(VLOOKUP(INDIRECT("G"&amp;ROW()),minfo!$A:$M,COLUMN()-8,0),"")</f>
        <v>0</v>
      </c>
      <c r="M463" s="4">
        <f ca="1">_xlfn.IFNA(VLOOKUP(INDIRECT("G"&amp;ROW()),minfo!$A:$M,COLUMN()-8,0),"")</f>
        <v>0</v>
      </c>
      <c r="N463" s="4">
        <f ca="1">_xlfn.IFNA(VLOOKUP(INDIRECT("G"&amp;ROW()),minfo!$A:$M,COLUMN()-8,0),"")</f>
        <v>0</v>
      </c>
      <c r="O463" s="4" t="str">
        <f ca="1">_xlfn.IFNA(VLOOKUP(INDIRECT("G"&amp;ROW()),minfo!$A:$M,COLUMN()-8,0),"")</f>
        <v>https://i0.hdslb.com/bfs/station_src/music_metadata/4633e67685206de0672cc528709e3e2f.jpg</v>
      </c>
      <c r="P463" s="4" t="str">
        <f ca="1">_xlfn.IFNA(VLOOKUP(INDIRECT("G"&amp;ROW()),minfo!$A:$M,COLUMN()-8,0),"")</f>
        <v>https://i0.hdslb.com/bfs/station_src/music_metadata/dff7d3073b6cc36766c38942f1f4cf16.txt</v>
      </c>
      <c r="Q463" s="4">
        <f ca="1">_xlfn.IFNA(VLOOKUP(INDIRECT("G"&amp;ROW()),minfo!$A:$M,COLUMN()-8,0),"")</f>
        <v>382</v>
      </c>
      <c r="R463" s="4">
        <f ca="1">_xlfn.IFNA(VLOOKUP(INDIRECT("G"&amp;ROW()),minfo!$A:$M,COLUMN()-8,0),"")</f>
        <v>0</v>
      </c>
      <c r="S463" s="4" t="str">
        <f ca="1">_xlfn.IFNA(VLOOKUP(INDIRECT("G"&amp;ROW()),minfo!$A:$M,COLUMN()-8,0),"")</f>
        <v>经典咏流传第二季 第六期</v>
      </c>
      <c r="T463" s="4">
        <f ca="1">_xlfn.IFNA(VLOOKUP(INDIRECT("G"&amp;ROW()),minfo!$A:$M,COLUMN()-8,0),"")</f>
        <v>19549830</v>
      </c>
      <c r="U463" s="4">
        <f ca="1">_xlfn.IFNA(VLOOKUP(INDIRECT("G"&amp;ROW()),minfo!$A:$M,COLUMN()-8,0),"")</f>
        <v>0</v>
      </c>
    </row>
    <row r="464" spans="1:21" ht="15.75" customHeight="1">
      <c r="A464" s="15">
        <v>463</v>
      </c>
      <c r="B464" s="4" t="s">
        <v>4037</v>
      </c>
      <c r="C464" s="4">
        <v>464</v>
      </c>
      <c r="D464" s="4">
        <v>73</v>
      </c>
      <c r="E464" s="4" t="s">
        <v>332</v>
      </c>
      <c r="F464" s="16">
        <v>45142</v>
      </c>
      <c r="G464" s="5" t="s">
        <v>331</v>
      </c>
      <c r="H464" s="5" t="s">
        <v>3961</v>
      </c>
      <c r="I464" s="24" t="str">
        <f>HYPERLINK("https://www.bilibili.com/video/BV1gz4y147yu?p=73", "BV1gz4y147yu?p=73")</f>
        <v>BV1gz4y147yu?p=73</v>
      </c>
      <c r="J464" s="4" t="str">
        <f ca="1">_xlfn.IFNA(VLOOKUP(INDIRECT("G"&amp;ROW()),minfo!$A:$M,COLUMN()-8,0),"")</f>
        <v>春天的芭蕾</v>
      </c>
      <c r="K464" s="4" t="str">
        <f ca="1">_xlfn.IFNA(VLOOKUP(INDIRECT("G"&amp;ROW()),minfo!$A:$M,COLUMN()-8,0),"")</f>
        <v>常思思</v>
      </c>
      <c r="L464" s="4">
        <f ca="1">_xlfn.IFNA(VLOOKUP(INDIRECT("G"&amp;ROW()),minfo!$A:$M,COLUMN()-8,0),"")</f>
        <v>0</v>
      </c>
      <c r="M464" s="4">
        <f ca="1">_xlfn.IFNA(VLOOKUP(INDIRECT("G"&amp;ROW()),minfo!$A:$M,COLUMN()-8,0),"")</f>
        <v>0</v>
      </c>
      <c r="N464" s="4">
        <f ca="1">_xlfn.IFNA(VLOOKUP(INDIRECT("G"&amp;ROW()),minfo!$A:$M,COLUMN()-8,0),"")</f>
        <v>0</v>
      </c>
      <c r="O464" s="4" t="str">
        <f ca="1">_xlfn.IFNA(VLOOKUP(INDIRECT("G"&amp;ROW()),minfo!$A:$M,COLUMN()-8,0),"")</f>
        <v>http://i0.hdslb.com/bfs/station_src/music_metadata/7202bafed8b495edfdc98691518442b5.jpg</v>
      </c>
      <c r="P464" s="4" t="str">
        <f ca="1">_xlfn.IFNA(VLOOKUP(INDIRECT("G"&amp;ROW()),minfo!$A:$M,COLUMN()-8,0),"")</f>
        <v>http://i0.hdslb.com/bfs/station_src/music_metadata/1faf7f1d5734fb67fc3aa5824aaf8ed2</v>
      </c>
      <c r="Q464" s="4">
        <f ca="1">_xlfn.IFNA(VLOOKUP(INDIRECT("G"&amp;ROW()),minfo!$A:$M,COLUMN()-8,0),"")</f>
        <v>173</v>
      </c>
      <c r="R464" s="4">
        <f ca="1">_xlfn.IFNA(VLOOKUP(INDIRECT("G"&amp;ROW()),minfo!$A:$M,COLUMN()-8,0),"")</f>
        <v>0</v>
      </c>
      <c r="S464" s="4">
        <f ca="1">_xlfn.IFNA(VLOOKUP(INDIRECT("G"&amp;ROW()),minfo!$A:$M,COLUMN()-8,0),"")</f>
        <v>0</v>
      </c>
      <c r="T464" s="4">
        <f ca="1">_xlfn.IFNA(VLOOKUP(INDIRECT("G"&amp;ROW()),minfo!$A:$M,COLUMN()-8,0),"")</f>
        <v>25997684</v>
      </c>
      <c r="U464" s="4">
        <f ca="1">_xlfn.IFNA(VLOOKUP(INDIRECT("G"&amp;ROW()),minfo!$A:$M,COLUMN()-8,0),"")</f>
        <v>0</v>
      </c>
    </row>
    <row r="465" spans="1:21" ht="15.75" customHeight="1">
      <c r="A465" s="15">
        <v>464</v>
      </c>
      <c r="B465" s="4" t="s">
        <v>4038</v>
      </c>
      <c r="C465" s="4">
        <v>465</v>
      </c>
      <c r="D465" s="4">
        <v>74</v>
      </c>
      <c r="E465" s="4" t="s">
        <v>337</v>
      </c>
      <c r="F465" s="16">
        <v>45142</v>
      </c>
      <c r="G465" s="5" t="s">
        <v>336</v>
      </c>
      <c r="H465" s="5" t="s">
        <v>3961</v>
      </c>
      <c r="I465" s="24" t="str">
        <f>HYPERLINK("https://www.bilibili.com/video/BV1gz4y147yu?p=74", "BV1gz4y147yu?p=74")</f>
        <v>BV1gz4y147yu?p=74</v>
      </c>
      <c r="J465" s="4" t="str">
        <f ca="1">_xlfn.IFNA(VLOOKUP(INDIRECT("G"&amp;ROW()),minfo!$A:$M,COLUMN()-8,0),"")</f>
        <v>玛依拉变奏曲</v>
      </c>
      <c r="K465" s="4" t="str">
        <f ca="1">_xlfn.IFNA(VLOOKUP(INDIRECT("G"&amp;ROW()),minfo!$A:$M,COLUMN()-8,0),"")</f>
        <v>常思思</v>
      </c>
      <c r="L465" s="4">
        <f ca="1">_xlfn.IFNA(VLOOKUP(INDIRECT("G"&amp;ROW()),minfo!$A:$M,COLUMN()-8,0),"")</f>
        <v>0</v>
      </c>
      <c r="M465" s="4">
        <f ca="1">_xlfn.IFNA(VLOOKUP(INDIRECT("G"&amp;ROW()),minfo!$A:$M,COLUMN()-8,0),"")</f>
        <v>0</v>
      </c>
      <c r="N465" s="4">
        <f ca="1">_xlfn.IFNA(VLOOKUP(INDIRECT("G"&amp;ROW()),minfo!$A:$M,COLUMN()-8,0),"")</f>
        <v>0</v>
      </c>
      <c r="O465" s="4" t="str">
        <f ca="1">_xlfn.IFNA(VLOOKUP(INDIRECT("G"&amp;ROW()),minfo!$A:$M,COLUMN()-8,0),"")</f>
        <v>https://i0.hdslb.com/bfs/station_src/music_metadata/44ef3b674b440061a8551258b673f958.jpg</v>
      </c>
      <c r="P465" s="4" t="str">
        <f ca="1">_xlfn.IFNA(VLOOKUP(INDIRECT("G"&amp;ROW()),minfo!$A:$M,COLUMN()-8,0),"")</f>
        <v>https://i0.hdslb.com/bfs/station_src/music_metadata/0d31f0b335305bb6b2fae9ab4daacc38.txt</v>
      </c>
      <c r="Q465" s="4">
        <f ca="1">_xlfn.IFNA(VLOOKUP(INDIRECT("G"&amp;ROW()),minfo!$A:$M,COLUMN()-8,0),"")</f>
        <v>6</v>
      </c>
      <c r="R465" s="4">
        <f ca="1">_xlfn.IFNA(VLOOKUP(INDIRECT("G"&amp;ROW()),minfo!$A:$M,COLUMN()-8,0),"")</f>
        <v>0</v>
      </c>
      <c r="S465" s="4" t="str">
        <f ca="1">_xlfn.IFNA(VLOOKUP(INDIRECT("G"&amp;ROW()),minfo!$A:$M,COLUMN()-8,0),"")</f>
        <v>龙乐合集 27</v>
      </c>
      <c r="T465" s="4">
        <f ca="1">_xlfn.IFNA(VLOOKUP(INDIRECT("G"&amp;ROW()),minfo!$A:$M,COLUMN()-8,0),"")</f>
        <v>3469898</v>
      </c>
      <c r="U465" s="4">
        <f ca="1">_xlfn.IFNA(VLOOKUP(INDIRECT("G"&amp;ROW()),minfo!$A:$M,COLUMN()-8,0),"")</f>
        <v>0</v>
      </c>
    </row>
    <row r="466" spans="1:21" ht="15.75" customHeight="1">
      <c r="A466" s="15">
        <v>465</v>
      </c>
      <c r="B466" s="4" t="s">
        <v>4039</v>
      </c>
      <c r="C466" s="4">
        <v>466</v>
      </c>
      <c r="D466" s="4">
        <v>75</v>
      </c>
      <c r="E466" s="4" t="s">
        <v>313</v>
      </c>
      <c r="F466" s="16">
        <v>45142</v>
      </c>
      <c r="G466" s="5" t="s">
        <v>312</v>
      </c>
      <c r="H466" s="5" t="s">
        <v>3961</v>
      </c>
      <c r="I466" s="24" t="str">
        <f>HYPERLINK("https://www.bilibili.com/video/BV1gz4y147yu?p=75", "BV1gz4y147yu?p=75")</f>
        <v>BV1gz4y147yu?p=75</v>
      </c>
      <c r="J466" s="4" t="str">
        <f ca="1">_xlfn.IFNA(VLOOKUP(INDIRECT("G"&amp;ROW()),minfo!$A:$M,COLUMN()-8,0),"")</f>
        <v>鸿雁</v>
      </c>
      <c r="K466" s="4" t="str">
        <f ca="1">_xlfn.IFNA(VLOOKUP(INDIRECT("G"&amp;ROW()),minfo!$A:$M,COLUMN()-8,0),"")</f>
        <v>呼斯楞,柏菲音乐</v>
      </c>
      <c r="L466" s="4">
        <f ca="1">_xlfn.IFNA(VLOOKUP(INDIRECT("G"&amp;ROW()),minfo!$A:$M,COLUMN()-8,0),"")</f>
        <v>0</v>
      </c>
      <c r="M466" s="4">
        <f ca="1">_xlfn.IFNA(VLOOKUP(INDIRECT("G"&amp;ROW()),minfo!$A:$M,COLUMN()-8,0),"")</f>
        <v>0</v>
      </c>
      <c r="N466" s="4">
        <f ca="1">_xlfn.IFNA(VLOOKUP(INDIRECT("G"&amp;ROW()),minfo!$A:$M,COLUMN()-8,0),"")</f>
        <v>0</v>
      </c>
      <c r="O466" s="4" t="str">
        <f ca="1">_xlfn.IFNA(VLOOKUP(INDIRECT("G"&amp;ROW()),minfo!$A:$M,COLUMN()-8,0),"")</f>
        <v>https://i0.hdslb.com/bfs/station_src/music_metadata/757ef72664f713a69ffc3e10d1eaad5d.jpg</v>
      </c>
      <c r="P466" s="4" t="str">
        <f ca="1">_xlfn.IFNA(VLOOKUP(INDIRECT("G"&amp;ROW()),minfo!$A:$M,COLUMN()-8,0),"")</f>
        <v>https://i0.hdslb.com/bfs/station_src/music_metadata/1cc81a2b8e82def7add1a73a9f9486fe.txt</v>
      </c>
      <c r="Q466" s="4">
        <f ca="1">_xlfn.IFNA(VLOOKUP(INDIRECT("G"&amp;ROW()),minfo!$A:$M,COLUMN()-8,0),"")</f>
        <v>1717</v>
      </c>
      <c r="R466" s="4">
        <f ca="1">_xlfn.IFNA(VLOOKUP(INDIRECT("G"&amp;ROW()),minfo!$A:$M,COLUMN()-8,0),"")</f>
        <v>0</v>
      </c>
      <c r="S466" s="4" t="str">
        <f ca="1">_xlfn.IFNA(VLOOKUP(INDIRECT("G"&amp;ROW()),minfo!$A:$M,COLUMN()-8,0),"")</f>
        <v>非同凡响NO·3</v>
      </c>
      <c r="T466" s="4">
        <f ca="1">_xlfn.IFNA(VLOOKUP(INDIRECT("G"&amp;ROW()),minfo!$A:$M,COLUMN()-8,0),"")</f>
        <v>79378829</v>
      </c>
      <c r="U466" s="4">
        <f ca="1">_xlfn.IFNA(VLOOKUP(INDIRECT("G"&amp;ROW()),minfo!$A:$M,COLUMN()-8,0),"")</f>
        <v>0</v>
      </c>
    </row>
    <row r="467" spans="1:21" ht="15.75" customHeight="1">
      <c r="A467" s="15">
        <v>466</v>
      </c>
      <c r="B467" s="4" t="s">
        <v>4040</v>
      </c>
      <c r="C467" s="4">
        <v>467</v>
      </c>
      <c r="D467" s="4">
        <v>76</v>
      </c>
      <c r="E467" s="4" t="s">
        <v>860</v>
      </c>
      <c r="F467" s="16">
        <v>45142</v>
      </c>
      <c r="G467" s="5" t="s">
        <v>859</v>
      </c>
      <c r="H467" s="5" t="s">
        <v>3961</v>
      </c>
      <c r="I467" s="24" t="str">
        <f>HYPERLINK("https://www.bilibili.com/video/BV1gz4y147yu?p=76", "BV1gz4y147yu?p=76")</f>
        <v>BV1gz4y147yu?p=76</v>
      </c>
      <c r="J467" s="4" t="str">
        <f ca="1">_xlfn.IFNA(VLOOKUP(INDIRECT("G"&amp;ROW()),minfo!$A:$M,COLUMN()-8,0),"")</f>
        <v>秋水长天</v>
      </c>
      <c r="K467" s="4" t="str">
        <f ca="1">_xlfn.IFNA(VLOOKUP(INDIRECT("G"&amp;ROW()),minfo!$A:$M,COLUMN()-8,0),"")</f>
        <v>常思思</v>
      </c>
      <c r="L467" s="4">
        <f ca="1">_xlfn.IFNA(VLOOKUP(INDIRECT("G"&amp;ROW()),minfo!$A:$M,COLUMN()-8,0),"")</f>
        <v>0</v>
      </c>
      <c r="M467" s="4">
        <f ca="1">_xlfn.IFNA(VLOOKUP(INDIRECT("G"&amp;ROW()),minfo!$A:$M,COLUMN()-8,0),"")</f>
        <v>0</v>
      </c>
      <c r="N467" s="4">
        <f ca="1">_xlfn.IFNA(VLOOKUP(INDIRECT("G"&amp;ROW()),minfo!$A:$M,COLUMN()-8,0),"")</f>
        <v>0</v>
      </c>
      <c r="O467" s="4" t="str">
        <f ca="1">_xlfn.IFNA(VLOOKUP(INDIRECT("G"&amp;ROW()),minfo!$A:$M,COLUMN()-8,0),"")</f>
        <v>https://i0.hdslb.com/bfs/station_src/music_metadata/d520e489abaf715fb24ccc60f72dc6e4.jpg</v>
      </c>
      <c r="P467" s="4" t="str">
        <f ca="1">_xlfn.IFNA(VLOOKUP(INDIRECT("G"&amp;ROW()),minfo!$A:$M,COLUMN()-8,0),"")</f>
        <v>https://i0.hdslb.com/bfs/station_src/music_metadata/56ca13041f9dd35abfd03e02fe5cf59f.txt</v>
      </c>
      <c r="Q467" s="4">
        <f ca="1">_xlfn.IFNA(VLOOKUP(INDIRECT("G"&amp;ROW()),minfo!$A:$M,COLUMN()-8,0),"")</f>
        <v>1</v>
      </c>
      <c r="R467" s="4">
        <f ca="1">_xlfn.IFNA(VLOOKUP(INDIRECT("G"&amp;ROW()),minfo!$A:$M,COLUMN()-8,0),"")</f>
        <v>0</v>
      </c>
      <c r="S467" s="4" t="str">
        <f ca="1">_xlfn.IFNA(VLOOKUP(INDIRECT("G"&amp;ROW()),minfo!$A:$M,COLUMN()-8,0),"")</f>
        <v>常思思精选歌曲集</v>
      </c>
      <c r="T467" s="4">
        <f ca="1">_xlfn.IFNA(VLOOKUP(INDIRECT("G"&amp;ROW()),minfo!$A:$M,COLUMN()-8,0),"")</f>
        <v>1335190</v>
      </c>
      <c r="U467" s="4">
        <f ca="1">_xlfn.IFNA(VLOOKUP(INDIRECT("G"&amp;ROW()),minfo!$A:$M,COLUMN()-8,0),"")</f>
        <v>0</v>
      </c>
    </row>
    <row r="468" spans="1:21" ht="15.75" customHeight="1">
      <c r="A468" s="15">
        <v>467</v>
      </c>
      <c r="B468" s="4" t="s">
        <v>4041</v>
      </c>
      <c r="C468" s="4">
        <v>468</v>
      </c>
      <c r="D468" s="4">
        <v>77</v>
      </c>
      <c r="E468" s="4" t="s">
        <v>1371</v>
      </c>
      <c r="F468" s="16">
        <v>45142</v>
      </c>
      <c r="G468" s="5" t="s">
        <v>1370</v>
      </c>
      <c r="H468" s="5" t="s">
        <v>3961</v>
      </c>
      <c r="I468" s="24" t="str">
        <f>HYPERLINK("https://www.bilibili.com/video/BV1gz4y147yu?p=77", "BV1gz4y147yu?p=77")</f>
        <v>BV1gz4y147yu?p=77</v>
      </c>
      <c r="J468" s="4" t="str">
        <f ca="1">_xlfn.IFNA(VLOOKUP(INDIRECT("G"&amp;ROW()),minfo!$A:$M,COLUMN()-8,0),"")</f>
        <v>大地飞歌</v>
      </c>
      <c r="K468" s="4" t="str">
        <f ca="1">_xlfn.IFNA(VLOOKUP(INDIRECT("G"&amp;ROW()),minfo!$A:$M,COLUMN()-8,0),"")</f>
        <v>宋祖英</v>
      </c>
      <c r="L468" s="4">
        <f ca="1">_xlfn.IFNA(VLOOKUP(INDIRECT("G"&amp;ROW()),minfo!$A:$M,COLUMN()-8,0),"")</f>
        <v>0</v>
      </c>
      <c r="M468" s="4">
        <f ca="1">_xlfn.IFNA(VLOOKUP(INDIRECT("G"&amp;ROW()),minfo!$A:$M,COLUMN()-8,0),"")</f>
        <v>0</v>
      </c>
      <c r="N468" s="4">
        <f ca="1">_xlfn.IFNA(VLOOKUP(INDIRECT("G"&amp;ROW()),minfo!$A:$M,COLUMN()-8,0),"")</f>
        <v>0</v>
      </c>
      <c r="O468" s="4" t="str">
        <f ca="1">_xlfn.IFNA(VLOOKUP(INDIRECT("G"&amp;ROW()),minfo!$A:$M,COLUMN()-8,0),"")</f>
        <v>https://i0.hdslb.com/bfs/station_src/music_metadata/b346c034f2cc826bb53de1c250ee108f.jpg</v>
      </c>
      <c r="P468" s="4" t="str">
        <f ca="1">_xlfn.IFNA(VLOOKUP(INDIRECT("G"&amp;ROW()),minfo!$A:$M,COLUMN()-8,0),"")</f>
        <v>http://i0.hdslb.com/bfs/station_src/music_metadata/6092aa62fa54d28c6b8c742cffe5b12e</v>
      </c>
      <c r="Q468" s="4">
        <f ca="1">_xlfn.IFNA(VLOOKUP(INDIRECT("G"&amp;ROW()),minfo!$A:$M,COLUMN()-8,0),"")</f>
        <v>218</v>
      </c>
      <c r="R468" s="4">
        <f ca="1">_xlfn.IFNA(VLOOKUP(INDIRECT("G"&amp;ROW()),minfo!$A:$M,COLUMN()-8,0),"")</f>
        <v>0</v>
      </c>
      <c r="S468" s="4" t="str">
        <f ca="1">_xlfn.IFNA(VLOOKUP(INDIRECT("G"&amp;ROW()),minfo!$A:$M,COLUMN()-8,0),"")</f>
        <v>节日欢歌 如意吉祥贺佳节1</v>
      </c>
      <c r="T468" s="4">
        <f ca="1">_xlfn.IFNA(VLOOKUP(INDIRECT("G"&amp;ROW()),minfo!$A:$M,COLUMN()-8,0),"")</f>
        <v>79469412</v>
      </c>
      <c r="U468" s="4">
        <f ca="1">_xlfn.IFNA(VLOOKUP(INDIRECT("G"&amp;ROW()),minfo!$A:$M,COLUMN()-8,0),"")</f>
        <v>0</v>
      </c>
    </row>
    <row r="469" spans="1:21" ht="15.75" customHeight="1">
      <c r="A469" s="15">
        <v>468</v>
      </c>
      <c r="B469" s="4" t="s">
        <v>4042</v>
      </c>
      <c r="C469" s="4">
        <v>469</v>
      </c>
      <c r="D469" s="4">
        <v>78</v>
      </c>
      <c r="E469" s="4" t="s">
        <v>1377</v>
      </c>
      <c r="F469" s="16">
        <v>45142</v>
      </c>
      <c r="G469" s="5" t="s">
        <v>1376</v>
      </c>
      <c r="H469" s="5" t="s">
        <v>3961</v>
      </c>
      <c r="I469" s="24" t="str">
        <f>HYPERLINK("https://www.bilibili.com/video/BV1gz4y147yu?p=78", "BV1gz4y147yu?p=78")</f>
        <v>BV1gz4y147yu?p=78</v>
      </c>
      <c r="J469" s="4" t="str">
        <f ca="1">_xlfn.IFNA(VLOOKUP(INDIRECT("G"&amp;ROW()),minfo!$A:$M,COLUMN()-8,0),"")</f>
        <v>小河淌水</v>
      </c>
      <c r="K469" s="4" t="str">
        <f ca="1">_xlfn.IFNA(VLOOKUP(INDIRECT("G"&amp;ROW()),minfo!$A:$M,COLUMN()-8,0),"")</f>
        <v>黄虹</v>
      </c>
      <c r="L469" s="4">
        <f ca="1">_xlfn.IFNA(VLOOKUP(INDIRECT("G"&amp;ROW()),minfo!$A:$M,COLUMN()-8,0),"")</f>
        <v>0</v>
      </c>
      <c r="M469" s="4">
        <f ca="1">_xlfn.IFNA(VLOOKUP(INDIRECT("G"&amp;ROW()),minfo!$A:$M,COLUMN()-8,0),"")</f>
        <v>0</v>
      </c>
      <c r="N469" s="4">
        <f ca="1">_xlfn.IFNA(VLOOKUP(INDIRECT("G"&amp;ROW()),minfo!$A:$M,COLUMN()-8,0),"")</f>
        <v>0</v>
      </c>
      <c r="O469" s="4" t="str">
        <f ca="1">_xlfn.IFNA(VLOOKUP(INDIRECT("G"&amp;ROW()),minfo!$A:$M,COLUMN()-8,0),"")</f>
        <v>https://i0.hdslb.com/bfs/station_src/music_metadata/c920c0d20590c1764d9b9834d2c7b166.jpg</v>
      </c>
      <c r="P469" s="4" t="str">
        <f ca="1">_xlfn.IFNA(VLOOKUP(INDIRECT("G"&amp;ROW()),minfo!$A:$M,COLUMN()-8,0),"")</f>
        <v>https://i0.hdslb.com/bfs/station_src/music_metadata/288db8bb4526b29549f624e21b295ab0.txt</v>
      </c>
      <c r="Q469" s="4">
        <f ca="1">_xlfn.IFNA(VLOOKUP(INDIRECT("G"&amp;ROW()),minfo!$A:$M,COLUMN()-8,0),"")</f>
        <v>0</v>
      </c>
      <c r="R469" s="4">
        <f ca="1">_xlfn.IFNA(VLOOKUP(INDIRECT("G"&amp;ROW()),minfo!$A:$M,COLUMN()-8,0),"")</f>
        <v>0</v>
      </c>
      <c r="S469" s="4" t="str">
        <f ca="1">_xlfn.IFNA(VLOOKUP(INDIRECT("G"&amp;ROW()),minfo!$A:$M,COLUMN()-8,0),"")</f>
        <v>池中萍</v>
      </c>
      <c r="T469" s="4">
        <f ca="1">_xlfn.IFNA(VLOOKUP(INDIRECT("G"&amp;ROW()),minfo!$A:$M,COLUMN()-8,0),"")</f>
        <v>37994</v>
      </c>
      <c r="U469" s="4">
        <f ca="1">_xlfn.IFNA(VLOOKUP(INDIRECT("G"&amp;ROW()),minfo!$A:$M,COLUMN()-8,0),"")</f>
        <v>0</v>
      </c>
    </row>
    <row r="470" spans="1:21" ht="15.75" customHeight="1">
      <c r="A470" s="15">
        <v>469</v>
      </c>
      <c r="B470" s="4" t="s">
        <v>4043</v>
      </c>
      <c r="C470" s="4">
        <v>470</v>
      </c>
      <c r="D470" s="4">
        <v>79</v>
      </c>
      <c r="E470" s="4" t="s">
        <v>65</v>
      </c>
      <c r="F470" s="16">
        <v>45142</v>
      </c>
      <c r="G470" s="5" t="s">
        <v>513</v>
      </c>
      <c r="H470" s="5" t="s">
        <v>3961</v>
      </c>
      <c r="I470" s="24" t="str">
        <f>HYPERLINK("https://www.bilibili.com/video/BV1gz4y147yu?p=79", "BV1gz4y147yu?p=79")</f>
        <v>BV1gz4y147yu?p=79</v>
      </c>
      <c r="J470" s="4" t="str">
        <f ca="1">_xlfn.IFNA(VLOOKUP(INDIRECT("G"&amp;ROW()),minfo!$A:$M,COLUMN()-8,0),"")</f>
        <v>天知河</v>
      </c>
      <c r="K470" s="4" t="str">
        <f ca="1">_xlfn.IFNA(VLOOKUP(INDIRECT("G"&amp;ROW()),minfo!$A:$M,COLUMN()-8,0),"")</f>
        <v>说说Crystal</v>
      </c>
      <c r="L470" s="4">
        <f ca="1">_xlfn.IFNA(VLOOKUP(INDIRECT("G"&amp;ROW()),minfo!$A:$M,COLUMN()-8,0),"")</f>
        <v>0</v>
      </c>
      <c r="M470" s="4">
        <f ca="1">_xlfn.IFNA(VLOOKUP(INDIRECT("G"&amp;ROW()),minfo!$A:$M,COLUMN()-8,0),"")</f>
        <v>63471</v>
      </c>
      <c r="N470" s="4">
        <f ca="1">_xlfn.IFNA(VLOOKUP(INDIRECT("G"&amp;ROW()),minfo!$A:$M,COLUMN()-8,0),"")</f>
        <v>19895</v>
      </c>
      <c r="O470" s="4" t="str">
        <f ca="1">_xlfn.IFNA(VLOOKUP(INDIRECT("G"&amp;ROW()),minfo!$A:$M,COLUMN()-8,0),"")</f>
        <v>http://i0.hdslb.com/bfs/station_src/music_metadata/4ad5958a6b4bee52560f0cf175374bf7.jpg</v>
      </c>
      <c r="P470" s="4">
        <f ca="1">_xlfn.IFNA(VLOOKUP(INDIRECT("G"&amp;ROW()),minfo!$A:$M,COLUMN()-8,0),"")</f>
        <v>0</v>
      </c>
      <c r="Q470" s="4">
        <f ca="1">_xlfn.IFNA(VLOOKUP(INDIRECT("G"&amp;ROW()),minfo!$A:$M,COLUMN()-8,0),"")</f>
        <v>106</v>
      </c>
      <c r="R470" s="4">
        <f ca="1">_xlfn.IFNA(VLOOKUP(INDIRECT("G"&amp;ROW()),minfo!$A:$M,COLUMN()-8,0),"")</f>
        <v>0</v>
      </c>
      <c r="S470" s="4" t="str">
        <f ca="1">_xlfn.IFNA(VLOOKUP(INDIRECT("G"&amp;ROW()),minfo!$A:$M,COLUMN()-8,0),"")</f>
        <v>天知河</v>
      </c>
      <c r="T470" s="4">
        <f ca="1">_xlfn.IFNA(VLOOKUP(INDIRECT("G"&amp;ROW()),minfo!$A:$M,COLUMN()-8,0),"")</f>
        <v>3294592</v>
      </c>
      <c r="U470" s="4">
        <f ca="1">_xlfn.IFNA(VLOOKUP(INDIRECT("G"&amp;ROW()),minfo!$A:$M,COLUMN()-8,0),"")</f>
        <v>0</v>
      </c>
    </row>
    <row r="471" spans="1:21" ht="15.75" customHeight="1">
      <c r="A471" s="15">
        <v>470</v>
      </c>
      <c r="B471" s="4" t="s">
        <v>4044</v>
      </c>
      <c r="C471" s="4">
        <v>471</v>
      </c>
      <c r="D471" s="4">
        <v>80</v>
      </c>
      <c r="E471" s="4" t="s">
        <v>244</v>
      </c>
      <c r="F471" s="16">
        <v>45143</v>
      </c>
      <c r="G471" s="5" t="s">
        <v>243</v>
      </c>
      <c r="H471" s="5" t="s">
        <v>3961</v>
      </c>
      <c r="I471" s="24" t="str">
        <f>HYPERLINK("https://www.bilibili.com/video/BV1gz4y147yu?p=80", "BV1gz4y147yu?p=80")</f>
        <v>BV1gz4y147yu?p=80</v>
      </c>
      <c r="J471" s="4" t="str">
        <f ca="1">_xlfn.IFNA(VLOOKUP(INDIRECT("G"&amp;ROW()),minfo!$A:$M,COLUMN()-8,0),"")</f>
        <v>天若有情</v>
      </c>
      <c r="K471" s="4" t="str">
        <f ca="1">_xlfn.IFNA(VLOOKUP(INDIRECT("G"&amp;ROW()),minfo!$A:$M,COLUMN()-8,0),"")</f>
        <v>A-Lin</v>
      </c>
      <c r="L471" s="4">
        <f ca="1">_xlfn.IFNA(VLOOKUP(INDIRECT("G"&amp;ROW()),minfo!$A:$M,COLUMN()-8,0),"")</f>
        <v>0</v>
      </c>
      <c r="M471" s="4">
        <f ca="1">_xlfn.IFNA(VLOOKUP(INDIRECT("G"&amp;ROW()),minfo!$A:$M,COLUMN()-8,0),"")</f>
        <v>0</v>
      </c>
      <c r="N471" s="4">
        <f ca="1">_xlfn.IFNA(VLOOKUP(INDIRECT("G"&amp;ROW()),minfo!$A:$M,COLUMN()-8,0),"")</f>
        <v>0</v>
      </c>
      <c r="O471" s="4" t="str">
        <f ca="1">_xlfn.IFNA(VLOOKUP(INDIRECT("G"&amp;ROW()),minfo!$A:$M,COLUMN()-8,0),"")</f>
        <v>https://i0.hdslb.com/bfs/station_src/music_metadata/d7077aac44142c14752bf54adb6735dd.jpg</v>
      </c>
      <c r="P471" s="4" t="str">
        <f ca="1">_xlfn.IFNA(VLOOKUP(INDIRECT("G"&amp;ROW()),minfo!$A:$M,COLUMN()-8,0),"")</f>
        <v>http://i0.hdslb.com/bfs/station_src/music_metadata/d430629d07fd668a47cf98e2c77345f8</v>
      </c>
      <c r="Q471" s="4">
        <f ca="1">_xlfn.IFNA(VLOOKUP(INDIRECT("G"&amp;ROW()),minfo!$A:$M,COLUMN()-8,0),"")</f>
        <v>4856</v>
      </c>
      <c r="R471" s="4" t="str">
        <f ca="1">_xlfn.IFNA(VLOOKUP(INDIRECT("G"&amp;ROW()),minfo!$A:$M,COLUMN()-8,0),"")</f>
        <v>《锦绣未央》电视剧主题曲</v>
      </c>
      <c r="S471" s="4" t="str">
        <f ca="1">_xlfn.IFNA(VLOOKUP(INDIRECT("G"&amp;ROW()),minfo!$A:$M,COLUMN()-8,0),"")</f>
        <v>天若有情</v>
      </c>
      <c r="T471" s="4">
        <f ca="1">_xlfn.IFNA(VLOOKUP(INDIRECT("G"&amp;ROW()),minfo!$A:$M,COLUMN()-8,0),"")</f>
        <v>508621070</v>
      </c>
      <c r="U471" s="4">
        <f ca="1">_xlfn.IFNA(VLOOKUP(INDIRECT("G"&amp;ROW()),minfo!$A:$M,COLUMN()-8,0),"")</f>
        <v>0</v>
      </c>
    </row>
    <row r="472" spans="1:21" ht="15.75" customHeight="1">
      <c r="A472" s="15">
        <v>471</v>
      </c>
      <c r="B472" s="4" t="s">
        <v>4045</v>
      </c>
      <c r="C472" s="4">
        <v>472</v>
      </c>
      <c r="D472" s="4">
        <v>81</v>
      </c>
      <c r="E472" s="4" t="s">
        <v>1340</v>
      </c>
      <c r="F472" s="16">
        <v>45146</v>
      </c>
      <c r="G472" s="5" t="s">
        <v>1339</v>
      </c>
      <c r="H472" s="5" t="s">
        <v>3961</v>
      </c>
      <c r="I472" s="24" t="str">
        <f>HYPERLINK("https://www.bilibili.com/video/BV1gz4y147yu?p=81", "BV1gz4y147yu?p=81")</f>
        <v>BV1gz4y147yu?p=81</v>
      </c>
      <c r="J472" s="4" t="str">
        <f ca="1">_xlfn.IFNA(VLOOKUP(INDIRECT("G"&amp;ROW()),minfo!$A:$M,COLUMN()-8,0),"")</f>
        <v>天天</v>
      </c>
      <c r="K472" s="4" t="str">
        <f ca="1">_xlfn.IFNA(VLOOKUP(INDIRECT("G"&amp;ROW()),minfo!$A:$M,COLUMN()-8,0),"")</f>
        <v>陶喆</v>
      </c>
      <c r="L472" s="4">
        <f ca="1">_xlfn.IFNA(VLOOKUP(INDIRECT("G"&amp;ROW()),minfo!$A:$M,COLUMN()-8,0),"")</f>
        <v>0</v>
      </c>
      <c r="M472" s="4">
        <f ca="1">_xlfn.IFNA(VLOOKUP(INDIRECT("G"&amp;ROW()),minfo!$A:$M,COLUMN()-8,0),"")</f>
        <v>0</v>
      </c>
      <c r="N472" s="4">
        <f ca="1">_xlfn.IFNA(VLOOKUP(INDIRECT("G"&amp;ROW()),minfo!$A:$M,COLUMN()-8,0),"")</f>
        <v>0</v>
      </c>
      <c r="O472" s="4" t="str">
        <f ca="1">_xlfn.IFNA(VLOOKUP(INDIRECT("G"&amp;ROW()),minfo!$A:$M,COLUMN()-8,0),"")</f>
        <v>http://i0.hdslb.com/bfs/station_src/music_metadata/ff6417302beb4146f79dbd4e37c6d317.jpg</v>
      </c>
      <c r="P472" s="4" t="str">
        <f ca="1">_xlfn.IFNA(VLOOKUP(INDIRECT("G"&amp;ROW()),minfo!$A:$M,COLUMN()-8,0),"")</f>
        <v>http://i0.hdslb.com/bfs/station_src/music_metadata/c93605bfcadefe74f0d5b1a5b6a8db05</v>
      </c>
      <c r="Q472" s="4">
        <f ca="1">_xlfn.IFNA(VLOOKUP(INDIRECT("G"&amp;ROW()),minfo!$A:$M,COLUMN()-8,0),"")</f>
        <v>535</v>
      </c>
      <c r="R472" s="4">
        <f ca="1">_xlfn.IFNA(VLOOKUP(INDIRECT("G"&amp;ROW()),minfo!$A:$M,COLUMN()-8,0),"")</f>
        <v>0</v>
      </c>
      <c r="S472" s="4" t="str">
        <f ca="1">_xlfn.IFNA(VLOOKUP(INDIRECT("G"&amp;ROW()),minfo!$A:$M,COLUMN()-8,0),"")</f>
        <v>I'm OK</v>
      </c>
      <c r="T472" s="4">
        <f ca="1">_xlfn.IFNA(VLOOKUP(INDIRECT("G"&amp;ROW()),minfo!$A:$M,COLUMN()-8,0),"")</f>
        <v>82012532</v>
      </c>
      <c r="U472" s="4">
        <f ca="1">_xlfn.IFNA(VLOOKUP(INDIRECT("G"&amp;ROW()),minfo!$A:$M,COLUMN()-8,0),"")</f>
        <v>0</v>
      </c>
    </row>
    <row r="473" spans="1:21" ht="15.75" customHeight="1">
      <c r="A473" s="15">
        <v>472</v>
      </c>
      <c r="B473" s="4" t="s">
        <v>4046</v>
      </c>
      <c r="C473" s="4">
        <v>473</v>
      </c>
      <c r="D473" s="4">
        <v>82</v>
      </c>
      <c r="E473" s="4" t="s">
        <v>3610</v>
      </c>
      <c r="F473" s="16">
        <v>45147</v>
      </c>
      <c r="G473" s="5" t="s">
        <v>398</v>
      </c>
      <c r="H473" s="5" t="s">
        <v>3961</v>
      </c>
      <c r="I473" s="24" t="str">
        <f>HYPERLINK("https://www.bilibili.com/video/BV1gz4y147yu?p=82", "BV1gz4y147yu?p=82")</f>
        <v>BV1gz4y147yu?p=82</v>
      </c>
      <c r="J473" s="4" t="str">
        <f ca="1">_xlfn.IFNA(VLOOKUP(INDIRECT("G"&amp;ROW()),minfo!$A:$M,COLUMN()-8,0),"")</f>
        <v>Paper Hearts</v>
      </c>
      <c r="K473" s="4" t="str">
        <f ca="1">_xlfn.IFNA(VLOOKUP(INDIRECT("G"&amp;ROW()),minfo!$A:$M,COLUMN()-8,0),"")</f>
        <v>Tori Kelly</v>
      </c>
      <c r="L473" s="4">
        <f ca="1">_xlfn.IFNA(VLOOKUP(INDIRECT("G"&amp;ROW()),minfo!$A:$M,COLUMN()-8,0),"")</f>
        <v>0</v>
      </c>
      <c r="M473" s="4">
        <f ca="1">_xlfn.IFNA(VLOOKUP(INDIRECT("G"&amp;ROW()),minfo!$A:$M,COLUMN()-8,0),"")</f>
        <v>0</v>
      </c>
      <c r="N473" s="4">
        <f ca="1">_xlfn.IFNA(VLOOKUP(INDIRECT("G"&amp;ROW()),minfo!$A:$M,COLUMN()-8,0),"")</f>
        <v>0</v>
      </c>
      <c r="O473" s="4" t="str">
        <f ca="1">_xlfn.IFNA(VLOOKUP(INDIRECT("G"&amp;ROW()),minfo!$A:$M,COLUMN()-8,0),"")</f>
        <v>https://i0.hdslb.com/bfs/station_src/music_metadata/d163890fde7ff71487a0619f16a06100.jpg</v>
      </c>
      <c r="P473" s="4">
        <f ca="1">_xlfn.IFNA(VLOOKUP(INDIRECT("G"&amp;ROW()),minfo!$A:$M,COLUMN()-8,0),"")</f>
        <v>0</v>
      </c>
      <c r="Q473" s="4">
        <f ca="1">_xlfn.IFNA(VLOOKUP(INDIRECT("G"&amp;ROW()),minfo!$A:$M,COLUMN()-8,0),"")</f>
        <v>65</v>
      </c>
      <c r="R473" s="4">
        <f ca="1">_xlfn.IFNA(VLOOKUP(INDIRECT("G"&amp;ROW()),minfo!$A:$M,COLUMN()-8,0),"")</f>
        <v>0</v>
      </c>
      <c r="S473" s="4" t="str">
        <f ca="1">_xlfn.IFNA(VLOOKUP(INDIRECT("G"&amp;ROW()),minfo!$A:$M,COLUMN()-8,0),"")</f>
        <v>Foreword</v>
      </c>
      <c r="T473" s="4">
        <f ca="1">_xlfn.IFNA(VLOOKUP(INDIRECT("G"&amp;ROW()),minfo!$A:$M,COLUMN()-8,0),"")</f>
        <v>14743388</v>
      </c>
      <c r="U473" s="4">
        <f ca="1">_xlfn.IFNA(VLOOKUP(INDIRECT("G"&amp;ROW()),minfo!$A:$M,COLUMN()-8,0),"")</f>
        <v>0</v>
      </c>
    </row>
    <row r="474" spans="1:21" ht="15.75" customHeight="1">
      <c r="A474" s="15">
        <v>473</v>
      </c>
      <c r="B474" s="4" t="s">
        <v>4047</v>
      </c>
      <c r="C474" s="4">
        <v>474</v>
      </c>
      <c r="D474" s="4">
        <v>83</v>
      </c>
      <c r="E474" s="4" t="s">
        <v>683</v>
      </c>
      <c r="F474" s="16">
        <v>45147</v>
      </c>
      <c r="G474" s="5" t="s">
        <v>682</v>
      </c>
      <c r="H474" s="5" t="s">
        <v>3961</v>
      </c>
      <c r="I474" s="24" t="str">
        <f>HYPERLINK("https://www.bilibili.com/video/BV1gz4y147yu?p=83", "BV1gz4y147yu?p=83")</f>
        <v>BV1gz4y147yu?p=83</v>
      </c>
      <c r="J474" s="4" t="str">
        <f ca="1">_xlfn.IFNA(VLOOKUP(INDIRECT("G"&amp;ROW()),minfo!$A:$M,COLUMN()-8,0),"")</f>
        <v>翅膀</v>
      </c>
      <c r="K474" s="4" t="str">
        <f ca="1">_xlfn.IFNA(VLOOKUP(INDIRECT("G"&amp;ROW()),minfo!$A:$M,COLUMN()-8,0),"")</f>
        <v>林俊杰</v>
      </c>
      <c r="L474" s="4">
        <f ca="1">_xlfn.IFNA(VLOOKUP(INDIRECT("G"&amp;ROW()),minfo!$A:$M,COLUMN()-8,0),"")</f>
        <v>0</v>
      </c>
      <c r="M474" s="4">
        <f ca="1">_xlfn.IFNA(VLOOKUP(INDIRECT("G"&amp;ROW()),minfo!$A:$M,COLUMN()-8,0),"")</f>
        <v>0</v>
      </c>
      <c r="N474" s="4">
        <f ca="1">_xlfn.IFNA(VLOOKUP(INDIRECT("G"&amp;ROW()),minfo!$A:$M,COLUMN()-8,0),"")</f>
        <v>0</v>
      </c>
      <c r="O474" s="4" t="str">
        <f ca="1">_xlfn.IFNA(VLOOKUP(INDIRECT("G"&amp;ROW()),minfo!$A:$M,COLUMN()-8,0),"")</f>
        <v>https://i0.hdslb.com/bfs/station_src/music_metadata/21d90da3561f5ecc4b0febfb44a261f8.jpg</v>
      </c>
      <c r="P474" s="4" t="str">
        <f ca="1">_xlfn.IFNA(VLOOKUP(INDIRECT("G"&amp;ROW()),minfo!$A:$M,COLUMN()-8,0),"")</f>
        <v>https://i0.hdslb.com/bfs/station_src/music_metadata/73f8a18239ae15d29ce08c084ba9ba98.txt</v>
      </c>
      <c r="Q474" s="4">
        <f ca="1">_xlfn.IFNA(VLOOKUP(INDIRECT("G"&amp;ROW()),minfo!$A:$M,COLUMN()-8,0),"")</f>
        <v>17</v>
      </c>
      <c r="R474" s="4">
        <f ca="1">_xlfn.IFNA(VLOOKUP(INDIRECT("G"&amp;ROW()),minfo!$A:$M,COLUMN()-8,0),"")</f>
        <v>0</v>
      </c>
      <c r="S474" s="4" t="str">
        <f ca="1">_xlfn.IFNA(VLOOKUP(INDIRECT("G"&amp;ROW()),minfo!$A:$M,COLUMN()-8,0),"")</f>
        <v>乐行者</v>
      </c>
      <c r="T474" s="4">
        <f ca="1">_xlfn.IFNA(VLOOKUP(INDIRECT("G"&amp;ROW()),minfo!$A:$M,COLUMN()-8,0),"")</f>
        <v>30870161</v>
      </c>
      <c r="U474" s="4">
        <f ca="1">_xlfn.IFNA(VLOOKUP(INDIRECT("G"&amp;ROW()),minfo!$A:$M,COLUMN()-8,0),"")</f>
        <v>0</v>
      </c>
    </row>
    <row r="475" spans="1:21" ht="15.75" customHeight="1">
      <c r="A475" s="15">
        <v>474</v>
      </c>
      <c r="B475" s="4" t="s">
        <v>4048</v>
      </c>
      <c r="C475" s="4">
        <v>475</v>
      </c>
      <c r="D475" s="4">
        <v>84</v>
      </c>
      <c r="E475" s="4" t="s">
        <v>1383</v>
      </c>
      <c r="F475" s="16">
        <v>45147</v>
      </c>
      <c r="G475" s="5" t="s">
        <v>1382</v>
      </c>
      <c r="H475" s="5" t="s">
        <v>3961</v>
      </c>
      <c r="I475" s="24" t="str">
        <f>HYPERLINK("https://www.bilibili.com/video/BV1gz4y147yu?p=84", "BV1gz4y147yu?p=84")</f>
        <v>BV1gz4y147yu?p=84</v>
      </c>
      <c r="J475" s="4" t="str">
        <f ca="1">_xlfn.IFNA(VLOOKUP(INDIRECT("G"&amp;ROW()),minfo!$A:$M,COLUMN()-8,0),"")</f>
        <v>飞云之下</v>
      </c>
      <c r="K475" s="4" t="str">
        <f ca="1">_xlfn.IFNA(VLOOKUP(INDIRECT("G"&amp;ROW()),minfo!$A:$M,COLUMN()-8,0),"")</f>
        <v>韩红,林俊杰</v>
      </c>
      <c r="L475" s="4">
        <f ca="1">_xlfn.IFNA(VLOOKUP(INDIRECT("G"&amp;ROW()),minfo!$A:$M,COLUMN()-8,0),"")</f>
        <v>0</v>
      </c>
      <c r="M475" s="4">
        <f ca="1">_xlfn.IFNA(VLOOKUP(INDIRECT("G"&amp;ROW()),minfo!$A:$M,COLUMN()-8,0),"")</f>
        <v>0</v>
      </c>
      <c r="N475" s="4">
        <f ca="1">_xlfn.IFNA(VLOOKUP(INDIRECT("G"&amp;ROW()),minfo!$A:$M,COLUMN()-8,0),"")</f>
        <v>0</v>
      </c>
      <c r="O475" s="4" t="str">
        <f ca="1">_xlfn.IFNA(VLOOKUP(INDIRECT("G"&amp;ROW()),minfo!$A:$M,COLUMN()-8,0),"")</f>
        <v>https://i0.hdslb.com/bfs/station_src/music_metadata/8173839e76e61fbdb14a575311cd129c.jpg</v>
      </c>
      <c r="P475" s="4" t="str">
        <f ca="1">_xlfn.IFNA(VLOOKUP(INDIRECT("G"&amp;ROW()),minfo!$A:$M,COLUMN()-8,0),"")</f>
        <v>http://i0.hdslb.com/bfs/station_src/music_metadata/a707e381fa177d6b768e612785fecf0d</v>
      </c>
      <c r="Q475" s="4">
        <f ca="1">_xlfn.IFNA(VLOOKUP(INDIRECT("G"&amp;ROW()),minfo!$A:$M,COLUMN()-8,0),"")</f>
        <v>627</v>
      </c>
      <c r="R475" s="4">
        <f ca="1">_xlfn.IFNA(VLOOKUP(INDIRECT("G"&amp;ROW()),minfo!$A:$M,COLUMN()-8,0),"")</f>
        <v>0</v>
      </c>
      <c r="S475" s="4" t="str">
        <f ca="1">_xlfn.IFNA(VLOOKUP(INDIRECT("G"&amp;ROW()),minfo!$A:$M,COLUMN()-8,0),"")</f>
        <v>飞云之下</v>
      </c>
      <c r="T475" s="4">
        <f ca="1">_xlfn.IFNA(VLOOKUP(INDIRECT("G"&amp;ROW()),minfo!$A:$M,COLUMN()-8,0),"")</f>
        <v>133126146</v>
      </c>
      <c r="U475" s="4">
        <f ca="1">_xlfn.IFNA(VLOOKUP(INDIRECT("G"&amp;ROW()),minfo!$A:$M,COLUMN()-8,0),"")</f>
        <v>0</v>
      </c>
    </row>
    <row r="476" spans="1:21" ht="15.75" customHeight="1">
      <c r="A476" s="15">
        <v>475</v>
      </c>
      <c r="B476" s="4" t="s">
        <v>4049</v>
      </c>
      <c r="C476" s="4">
        <v>476</v>
      </c>
      <c r="D476" s="4">
        <v>85</v>
      </c>
      <c r="E476" s="4" t="s">
        <v>688</v>
      </c>
      <c r="F476" s="16">
        <v>45147</v>
      </c>
      <c r="G476" s="5" t="s">
        <v>687</v>
      </c>
      <c r="H476" s="5" t="s">
        <v>3961</v>
      </c>
      <c r="I476" s="24" t="str">
        <f>HYPERLINK("https://www.bilibili.com/video/BV1gz4y147yu?p=85", "BV1gz4y147yu?p=85")</f>
        <v>BV1gz4y147yu?p=85</v>
      </c>
      <c r="J476" s="4" t="str">
        <f ca="1">_xlfn.IFNA(VLOOKUP(INDIRECT("G"&amp;ROW()),minfo!$A:$M,COLUMN()-8,0),"")</f>
        <v>关键词</v>
      </c>
      <c r="K476" s="4" t="str">
        <f ca="1">_xlfn.IFNA(VLOOKUP(INDIRECT("G"&amp;ROW()),minfo!$A:$M,COLUMN()-8,0),"")</f>
        <v>林俊杰</v>
      </c>
      <c r="L476" s="4">
        <f ca="1">_xlfn.IFNA(VLOOKUP(INDIRECT("G"&amp;ROW()),minfo!$A:$M,COLUMN()-8,0),"")</f>
        <v>0</v>
      </c>
      <c r="M476" s="4">
        <f ca="1">_xlfn.IFNA(VLOOKUP(INDIRECT("G"&amp;ROW()),minfo!$A:$M,COLUMN()-8,0),"")</f>
        <v>314</v>
      </c>
      <c r="N476" s="4">
        <f ca="1">_xlfn.IFNA(VLOOKUP(INDIRECT("G"&amp;ROW()),minfo!$A:$M,COLUMN()-8,0),"")</f>
        <v>49</v>
      </c>
      <c r="O476" s="4" t="str">
        <f ca="1">_xlfn.IFNA(VLOOKUP(INDIRECT("G"&amp;ROW()),minfo!$A:$M,COLUMN()-8,0),"")</f>
        <v>http://i0.hdslb.com/bfs/station_src/music_metadata/2a51c18f069a58269fc8cde88e0fb107.jpg</v>
      </c>
      <c r="P476" s="4" t="str">
        <f ca="1">_xlfn.IFNA(VLOOKUP(INDIRECT("G"&amp;ROW()),minfo!$A:$M,COLUMN()-8,0),"")</f>
        <v>http://i0.hdslb.com/bfs/station_src/music_metadata/b66ef916b6cf54b30ab6d5ba87db00fd</v>
      </c>
      <c r="Q476" s="4">
        <f ca="1">_xlfn.IFNA(VLOOKUP(INDIRECT("G"&amp;ROW()),minfo!$A:$M,COLUMN()-8,0),"")</f>
        <v>765</v>
      </c>
      <c r="R476" s="4">
        <f ca="1">_xlfn.IFNA(VLOOKUP(INDIRECT("G"&amp;ROW()),minfo!$A:$M,COLUMN()-8,0),"")</f>
        <v>0</v>
      </c>
      <c r="S476" s="4" t="str">
        <f ca="1">_xlfn.IFNA(VLOOKUP(INDIRECT("G"&amp;ROW()),minfo!$A:$M,COLUMN()-8,0),"")</f>
        <v>和自己对话 From M.E. To Myself</v>
      </c>
      <c r="T476" s="4">
        <f ca="1">_xlfn.IFNA(VLOOKUP(INDIRECT("G"&amp;ROW()),minfo!$A:$M,COLUMN()-8,0),"")</f>
        <v>287090873</v>
      </c>
      <c r="U476" s="4">
        <f ca="1">_xlfn.IFNA(VLOOKUP(INDIRECT("G"&amp;ROW()),minfo!$A:$M,COLUMN()-8,0),"")</f>
        <v>0</v>
      </c>
    </row>
    <row r="477" spans="1:21" ht="15.75" customHeight="1">
      <c r="A477" s="15">
        <v>476</v>
      </c>
      <c r="B477" s="4" t="s">
        <v>4050</v>
      </c>
      <c r="C477" s="4">
        <v>477</v>
      </c>
      <c r="D477" s="4">
        <v>86</v>
      </c>
      <c r="E477" s="4" t="s">
        <v>1388</v>
      </c>
      <c r="F477" s="16">
        <v>45147</v>
      </c>
      <c r="G477" s="5" t="s">
        <v>1387</v>
      </c>
      <c r="H477" s="5" t="s">
        <v>3961</v>
      </c>
      <c r="I477" s="24" t="str">
        <f>HYPERLINK("https://www.bilibili.com/video/BV1gz4y147yu?p=86", "BV1gz4y147yu?p=86")</f>
        <v>BV1gz4y147yu?p=86</v>
      </c>
      <c r="J477" s="4" t="str">
        <f ca="1">_xlfn.IFNA(VLOOKUP(INDIRECT("G"&amp;ROW()),minfo!$A:$M,COLUMN()-8,0),"")</f>
        <v>梨花又开放</v>
      </c>
      <c r="K477" s="4" t="str">
        <f ca="1">_xlfn.IFNA(VLOOKUP(INDIRECT("G"&amp;ROW()),minfo!$A:$M,COLUMN()-8,0),"")</f>
        <v>周峰</v>
      </c>
      <c r="L477" s="4">
        <f ca="1">_xlfn.IFNA(VLOOKUP(INDIRECT("G"&amp;ROW()),minfo!$A:$M,COLUMN()-8,0),"")</f>
        <v>0</v>
      </c>
      <c r="M477" s="4">
        <f ca="1">_xlfn.IFNA(VLOOKUP(INDIRECT("G"&amp;ROW()),minfo!$A:$M,COLUMN()-8,0),"")</f>
        <v>0</v>
      </c>
      <c r="N477" s="4">
        <f ca="1">_xlfn.IFNA(VLOOKUP(INDIRECT("G"&amp;ROW()),minfo!$A:$M,COLUMN()-8,0),"")</f>
        <v>0</v>
      </c>
      <c r="O477" s="4" t="str">
        <f ca="1">_xlfn.IFNA(VLOOKUP(INDIRECT("G"&amp;ROW()),minfo!$A:$M,COLUMN()-8,0),"")</f>
        <v>http://i0.hdslb.com/bfs/station_src/music_metadata/7572b8e3dc6a41dbbcf3a7538f6ee478.jpg</v>
      </c>
      <c r="P477" s="4" t="str">
        <f ca="1">_xlfn.IFNA(VLOOKUP(INDIRECT("G"&amp;ROW()),minfo!$A:$M,COLUMN()-8,0),"")</f>
        <v>http://i0.hdslb.com/bfs/station_src/music_metadata/0ad50c57aec103dba6a9e0dffce7fe2c</v>
      </c>
      <c r="Q477" s="4">
        <f ca="1">_xlfn.IFNA(VLOOKUP(INDIRECT("G"&amp;ROW()),minfo!$A:$M,COLUMN()-8,0),"")</f>
        <v>35</v>
      </c>
      <c r="R477" s="4">
        <f ca="1">_xlfn.IFNA(VLOOKUP(INDIRECT("G"&amp;ROW()),minfo!$A:$M,COLUMN()-8,0),"")</f>
        <v>0</v>
      </c>
      <c r="S477" s="4" t="str">
        <f ca="1">_xlfn.IFNA(VLOOKUP(INDIRECT("G"&amp;ROW()),minfo!$A:$M,COLUMN()-8,0),"")</f>
        <v>1984-01-01</v>
      </c>
      <c r="T477" s="4">
        <f ca="1">_xlfn.IFNA(VLOOKUP(INDIRECT("G"&amp;ROW()),minfo!$A:$M,COLUMN()-8,0),"")</f>
        <v>6033596</v>
      </c>
      <c r="U477" s="4">
        <f ca="1">_xlfn.IFNA(VLOOKUP(INDIRECT("G"&amp;ROW()),minfo!$A:$M,COLUMN()-8,0),"")</f>
        <v>0</v>
      </c>
    </row>
    <row r="478" spans="1:21" ht="15.75" customHeight="1">
      <c r="A478" s="15">
        <v>477</v>
      </c>
      <c r="B478" s="4" t="s">
        <v>4051</v>
      </c>
      <c r="C478" s="4">
        <v>478</v>
      </c>
      <c r="D478" s="4">
        <v>87</v>
      </c>
      <c r="E478" s="4" t="s">
        <v>1394</v>
      </c>
      <c r="F478" s="16">
        <v>45147</v>
      </c>
      <c r="G478" s="5" t="s">
        <v>1393</v>
      </c>
      <c r="H478" s="5" t="s">
        <v>3961</v>
      </c>
      <c r="I478" s="24" t="str">
        <f>HYPERLINK("https://www.bilibili.com/video/BV1gz4y147yu?p=87", "BV1gz4y147yu?p=87")</f>
        <v>BV1gz4y147yu?p=87</v>
      </c>
      <c r="J478" s="4" t="str">
        <f ca="1">_xlfn.IFNA(VLOOKUP(INDIRECT("G"&amp;ROW()),minfo!$A:$M,COLUMN()-8,0),"")</f>
        <v>妈妈的娜鲁娃</v>
      </c>
      <c r="K478" s="4" t="str">
        <f ca="1">_xlfn.IFNA(VLOOKUP(INDIRECT("G"&amp;ROW()),minfo!$A:$M,COLUMN()-8,0),"")</f>
        <v>林俊杰</v>
      </c>
      <c r="L478" s="4">
        <f ca="1">_xlfn.IFNA(VLOOKUP(INDIRECT("G"&amp;ROW()),minfo!$A:$M,COLUMN()-8,0),"")</f>
        <v>0</v>
      </c>
      <c r="M478" s="4">
        <f ca="1">_xlfn.IFNA(VLOOKUP(INDIRECT("G"&amp;ROW()),minfo!$A:$M,COLUMN()-8,0),"")</f>
        <v>0</v>
      </c>
      <c r="N478" s="4">
        <f ca="1">_xlfn.IFNA(VLOOKUP(INDIRECT("G"&amp;ROW()),minfo!$A:$M,COLUMN()-8,0),"")</f>
        <v>0</v>
      </c>
      <c r="O478" s="4">
        <f ca="1">_xlfn.IFNA(VLOOKUP(INDIRECT("G"&amp;ROW()),minfo!$A:$M,COLUMN()-8,0),"")</f>
        <v>0</v>
      </c>
      <c r="P478" s="4">
        <f ca="1">_xlfn.IFNA(VLOOKUP(INDIRECT("G"&amp;ROW()),minfo!$A:$M,COLUMN()-8,0),"")</f>
        <v>0</v>
      </c>
      <c r="Q478" s="4">
        <f ca="1">_xlfn.IFNA(VLOOKUP(INDIRECT("G"&amp;ROW()),minfo!$A:$M,COLUMN()-8,0),"")</f>
        <v>0</v>
      </c>
      <c r="R478" s="4" t="str">
        <f ca="1">_xlfn.IFNA(VLOOKUP(INDIRECT("G"&amp;ROW()),minfo!$A:$M,COLUMN()-8,0),"")</f>
        <v>妈妈的娜鲁娃</v>
      </c>
      <c r="S478" s="4" t="str">
        <f ca="1">_xlfn.IFNA(VLOOKUP(INDIRECT("G"&amp;ROW()),minfo!$A:$M,COLUMN()-8,0),"")</f>
        <v>妈妈的娜鲁娃</v>
      </c>
      <c r="T478" s="4">
        <f ca="1">_xlfn.IFNA(VLOOKUP(INDIRECT("G"&amp;ROW()),minfo!$A:$M,COLUMN()-8,0),"")</f>
        <v>2204723</v>
      </c>
      <c r="U478" s="4">
        <f ca="1">_xlfn.IFNA(VLOOKUP(INDIRECT("G"&amp;ROW()),minfo!$A:$M,COLUMN()-8,0),"")</f>
        <v>0</v>
      </c>
    </row>
    <row r="479" spans="1:21" ht="15.75" customHeight="1">
      <c r="A479" s="15">
        <v>478</v>
      </c>
      <c r="B479" s="4" t="s">
        <v>4052</v>
      </c>
      <c r="C479" s="4">
        <v>479</v>
      </c>
      <c r="D479" s="4">
        <v>88</v>
      </c>
      <c r="E479" s="4" t="s">
        <v>1396</v>
      </c>
      <c r="F479" s="16">
        <v>45147</v>
      </c>
      <c r="G479" s="5" t="s">
        <v>1395</v>
      </c>
      <c r="H479" s="5" t="s">
        <v>3961</v>
      </c>
      <c r="I479" s="24" t="str">
        <f>HYPERLINK("https://www.bilibili.com/video/BV1gz4y147yu?p=88", "BV1gz4y147yu?p=88")</f>
        <v>BV1gz4y147yu?p=88</v>
      </c>
      <c r="J479" s="4" t="str">
        <f ca="1">_xlfn.IFNA(VLOOKUP(INDIRECT("G"&amp;ROW()),minfo!$A:$M,COLUMN()-8,0),"")</f>
        <v>那片海</v>
      </c>
      <c r="K479" s="4" t="str">
        <f ca="1">_xlfn.IFNA(VLOOKUP(INDIRECT("G"&amp;ROW()),minfo!$A:$M,COLUMN()-8,0),"")</f>
        <v>韩红</v>
      </c>
      <c r="L479" s="4">
        <f ca="1">_xlfn.IFNA(VLOOKUP(INDIRECT("G"&amp;ROW()),minfo!$A:$M,COLUMN()-8,0),"")</f>
        <v>0</v>
      </c>
      <c r="M479" s="4">
        <f ca="1">_xlfn.IFNA(VLOOKUP(INDIRECT("G"&amp;ROW()),minfo!$A:$M,COLUMN()-8,0),"")</f>
        <v>0</v>
      </c>
      <c r="N479" s="4">
        <f ca="1">_xlfn.IFNA(VLOOKUP(INDIRECT("G"&amp;ROW()),minfo!$A:$M,COLUMN()-8,0),"")</f>
        <v>0</v>
      </c>
      <c r="O479" s="4" t="str">
        <f ca="1">_xlfn.IFNA(VLOOKUP(INDIRECT("G"&amp;ROW()),minfo!$A:$M,COLUMN()-8,0),"")</f>
        <v>https://i0.hdslb.com/bfs/station_src/music_metadata/184f793edd86aab2479787634f1ec387.jpg</v>
      </c>
      <c r="P479" s="4" t="str">
        <f ca="1">_xlfn.IFNA(VLOOKUP(INDIRECT("G"&amp;ROW()),minfo!$A:$M,COLUMN()-8,0),"")</f>
        <v>http://i0.hdslb.com/bfs/station_src/music_metadata/0a89e25b3c3174c7720c4acdf780f656</v>
      </c>
      <c r="Q479" s="4">
        <f ca="1">_xlfn.IFNA(VLOOKUP(INDIRECT("G"&amp;ROW()),minfo!$A:$M,COLUMN()-8,0),"")</f>
        <v>20</v>
      </c>
      <c r="R479" s="4">
        <f ca="1">_xlfn.IFNA(VLOOKUP(INDIRECT("G"&amp;ROW()),minfo!$A:$M,COLUMN()-8,0),"")</f>
        <v>0</v>
      </c>
      <c r="S479" s="4" t="str">
        <f ca="1">_xlfn.IFNA(VLOOKUP(INDIRECT("G"&amp;ROW()),minfo!$A:$M,COLUMN()-8,0),"")</f>
        <v>醒了</v>
      </c>
      <c r="T479" s="4">
        <f ca="1">_xlfn.IFNA(VLOOKUP(INDIRECT("G"&amp;ROW()),minfo!$A:$M,COLUMN()-8,0),"")</f>
        <v>29779114</v>
      </c>
      <c r="U479" s="4">
        <f ca="1">_xlfn.IFNA(VLOOKUP(INDIRECT("G"&amp;ROW()),minfo!$A:$M,COLUMN()-8,0),"")</f>
        <v>0</v>
      </c>
    </row>
    <row r="480" spans="1:21" ht="15.75" customHeight="1">
      <c r="A480" s="15">
        <v>479</v>
      </c>
      <c r="B480" s="4" t="s">
        <v>4053</v>
      </c>
      <c r="C480" s="4">
        <v>480</v>
      </c>
      <c r="D480" s="4">
        <v>89</v>
      </c>
      <c r="E480" s="4" t="s">
        <v>1401</v>
      </c>
      <c r="F480" s="16">
        <v>45147</v>
      </c>
      <c r="G480" s="5" t="s">
        <v>1400</v>
      </c>
      <c r="H480" s="5" t="s">
        <v>3961</v>
      </c>
      <c r="I480" s="24" t="str">
        <f>HYPERLINK("https://www.bilibili.com/video/BV1gz4y147yu?p=89", "BV1gz4y147yu?p=89")</f>
        <v>BV1gz4y147yu?p=89</v>
      </c>
      <c r="J480" s="4" t="str">
        <f ca="1">_xlfn.IFNA(VLOOKUP(INDIRECT("G"&amp;ROW()),minfo!$A:$M,COLUMN()-8,0),"")</f>
        <v>青藏高原</v>
      </c>
      <c r="K480" s="4" t="str">
        <f ca="1">_xlfn.IFNA(VLOOKUP(INDIRECT("G"&amp;ROW()),minfo!$A:$M,COLUMN()-8,0),"")</f>
        <v>李娜</v>
      </c>
      <c r="L480" s="4">
        <f ca="1">_xlfn.IFNA(VLOOKUP(INDIRECT("G"&amp;ROW()),minfo!$A:$M,COLUMN()-8,0),"")</f>
        <v>0</v>
      </c>
      <c r="M480" s="4">
        <f ca="1">_xlfn.IFNA(VLOOKUP(INDIRECT("G"&amp;ROW()),minfo!$A:$M,COLUMN()-8,0),"")</f>
        <v>0</v>
      </c>
      <c r="N480" s="4">
        <f ca="1">_xlfn.IFNA(VLOOKUP(INDIRECT("G"&amp;ROW()),minfo!$A:$M,COLUMN()-8,0),"")</f>
        <v>0</v>
      </c>
      <c r="O480" s="4" t="str">
        <f ca="1">_xlfn.IFNA(VLOOKUP(INDIRECT("G"&amp;ROW()),minfo!$A:$M,COLUMN()-8,0),"")</f>
        <v>http://i0.hdslb.com/bfs/station_src/music_metadata/abffd58894a68460c3c30d449dad96ee.jpg</v>
      </c>
      <c r="P480" s="4" t="str">
        <f ca="1">_xlfn.IFNA(VLOOKUP(INDIRECT("G"&amp;ROW()),minfo!$A:$M,COLUMN()-8,0),"")</f>
        <v>http://i0.hdslb.com/bfs/station_src/music_metadata/c1f095eb882ec280da5fefcb120232f8</v>
      </c>
      <c r="Q480" s="4">
        <f ca="1">_xlfn.IFNA(VLOOKUP(INDIRECT("G"&amp;ROW()),minfo!$A:$M,COLUMN()-8,0),"")</f>
        <v>428</v>
      </c>
      <c r="R480" s="4">
        <f ca="1">_xlfn.IFNA(VLOOKUP(INDIRECT("G"&amp;ROW()),minfo!$A:$M,COLUMN()-8,0),"")</f>
        <v>0</v>
      </c>
      <c r="S480" s="4" t="str">
        <f ca="1">_xlfn.IFNA(VLOOKUP(INDIRECT("G"&amp;ROW()),minfo!$A:$M,COLUMN()-8,0),"")</f>
        <v>青藏高原</v>
      </c>
      <c r="T480" s="4">
        <f ca="1">_xlfn.IFNA(VLOOKUP(INDIRECT("G"&amp;ROW()),minfo!$A:$M,COLUMN()-8,0),"")</f>
        <v>112923360</v>
      </c>
      <c r="U480" s="4">
        <f ca="1">_xlfn.IFNA(VLOOKUP(INDIRECT("G"&amp;ROW()),minfo!$A:$M,COLUMN()-8,0),"")</f>
        <v>0</v>
      </c>
    </row>
    <row r="481" spans="1:21" ht="15.75" customHeight="1">
      <c r="A481" s="15">
        <v>480</v>
      </c>
      <c r="B481" s="4" t="s">
        <v>4054</v>
      </c>
      <c r="C481" s="4">
        <v>481</v>
      </c>
      <c r="D481" s="4">
        <v>90</v>
      </c>
      <c r="E481" s="4" t="s">
        <v>1406</v>
      </c>
      <c r="F481" s="16">
        <v>45147</v>
      </c>
      <c r="G481" s="5" t="s">
        <v>1405</v>
      </c>
      <c r="H481" s="5" t="s">
        <v>3961</v>
      </c>
      <c r="I481" s="24" t="str">
        <f>HYPERLINK("https://www.bilibili.com/video/BV1gz4y147yu?p=90", "BV1gz4y147yu?p=90")</f>
        <v>BV1gz4y147yu?p=90</v>
      </c>
      <c r="J481" s="4" t="str">
        <f ca="1">_xlfn.IFNA(VLOOKUP(INDIRECT("G"&amp;ROW()),minfo!$A:$M,COLUMN()-8,0),"")</f>
        <v>天亮了</v>
      </c>
      <c r="K481" s="4" t="str">
        <f ca="1">_xlfn.IFNA(VLOOKUP(INDIRECT("G"&amp;ROW()),minfo!$A:$M,COLUMN()-8,0),"")</f>
        <v>韩红</v>
      </c>
      <c r="L481" s="4">
        <f ca="1">_xlfn.IFNA(VLOOKUP(INDIRECT("G"&amp;ROW()),minfo!$A:$M,COLUMN()-8,0),"")</f>
        <v>0</v>
      </c>
      <c r="M481" s="4">
        <f ca="1">_xlfn.IFNA(VLOOKUP(INDIRECT("G"&amp;ROW()),minfo!$A:$M,COLUMN()-8,0),"")</f>
        <v>0</v>
      </c>
      <c r="N481" s="4">
        <f ca="1">_xlfn.IFNA(VLOOKUP(INDIRECT("G"&amp;ROW()),minfo!$A:$M,COLUMN()-8,0),"")</f>
        <v>0</v>
      </c>
      <c r="O481" s="4" t="str">
        <f ca="1">_xlfn.IFNA(VLOOKUP(INDIRECT("G"&amp;ROW()),minfo!$A:$M,COLUMN()-8,0),"")</f>
        <v>https://i0.hdslb.com/bfs/station_src/music_metadata/3f12048cabc0c4dba5b994952d79f6c7.jpg</v>
      </c>
      <c r="P481" s="4" t="str">
        <f ca="1">_xlfn.IFNA(VLOOKUP(INDIRECT("G"&amp;ROW()),minfo!$A:$M,COLUMN()-8,0),"")</f>
        <v>http://i0.hdslb.com/bfs/station_src/music_metadata/1480c9f7fdcf51cc52abae7962a7cbfa</v>
      </c>
      <c r="Q481" s="4">
        <f ca="1">_xlfn.IFNA(VLOOKUP(INDIRECT("G"&amp;ROW()),minfo!$A:$M,COLUMN()-8,0),"")</f>
        <v>175</v>
      </c>
      <c r="R481" s="4">
        <f ca="1">_xlfn.IFNA(VLOOKUP(INDIRECT("G"&amp;ROW()),minfo!$A:$M,COLUMN()-8,0),"")</f>
        <v>0</v>
      </c>
      <c r="S481" s="4" t="str">
        <f ca="1">_xlfn.IFNA(VLOOKUP(INDIRECT("G"&amp;ROW()),minfo!$A:$M,COLUMN()-8,0),"")</f>
        <v>醒了</v>
      </c>
      <c r="T481" s="4">
        <f ca="1">_xlfn.IFNA(VLOOKUP(INDIRECT("G"&amp;ROW()),minfo!$A:$M,COLUMN()-8,0),"")</f>
        <v>92788477</v>
      </c>
      <c r="U481" s="4">
        <f ca="1">_xlfn.IFNA(VLOOKUP(INDIRECT("G"&amp;ROW()),minfo!$A:$M,COLUMN()-8,0),"")</f>
        <v>0</v>
      </c>
    </row>
    <row r="482" spans="1:21" ht="15.75" customHeight="1">
      <c r="A482" s="15">
        <v>481</v>
      </c>
      <c r="B482" s="4" t="s">
        <v>4055</v>
      </c>
      <c r="C482" s="4">
        <v>482</v>
      </c>
      <c r="D482" s="4">
        <v>91</v>
      </c>
      <c r="E482" s="4" t="s">
        <v>1410</v>
      </c>
      <c r="F482" s="16">
        <v>45147</v>
      </c>
      <c r="G482" s="5" t="s">
        <v>1409</v>
      </c>
      <c r="H482" s="5" t="s">
        <v>3961</v>
      </c>
      <c r="I482" s="24" t="str">
        <f>HYPERLINK("https://www.bilibili.com/video/BV1gz4y147yu?p=91", "BV1gz4y147yu?p=91")</f>
        <v>BV1gz4y147yu?p=91</v>
      </c>
      <c r="J482" s="4" t="str">
        <f ca="1">_xlfn.IFNA(VLOOKUP(INDIRECT("G"&amp;ROW()),minfo!$A:$M,COLUMN()-8,0),"")</f>
        <v>天路</v>
      </c>
      <c r="K482" s="4" t="str">
        <f ca="1">_xlfn.IFNA(VLOOKUP(INDIRECT("G"&amp;ROW()),minfo!$A:$M,COLUMN()-8,0),"")</f>
        <v>韩红</v>
      </c>
      <c r="L482" s="4">
        <f ca="1">_xlfn.IFNA(VLOOKUP(INDIRECT("G"&amp;ROW()),minfo!$A:$M,COLUMN()-8,0),"")</f>
        <v>0</v>
      </c>
      <c r="M482" s="4">
        <f ca="1">_xlfn.IFNA(VLOOKUP(INDIRECT("G"&amp;ROW()),minfo!$A:$M,COLUMN()-8,0),"")</f>
        <v>0</v>
      </c>
      <c r="N482" s="4">
        <f ca="1">_xlfn.IFNA(VLOOKUP(INDIRECT("G"&amp;ROW()),minfo!$A:$M,COLUMN()-8,0),"")</f>
        <v>0</v>
      </c>
      <c r="O482" s="4" t="str">
        <f ca="1">_xlfn.IFNA(VLOOKUP(INDIRECT("G"&amp;ROW()),minfo!$A:$M,COLUMN()-8,0),"")</f>
        <v>https://i0.hdslb.com/bfs/station_src/music_metadata/aa6a20647b6d98fd68d4dd24ce89517d.jpg</v>
      </c>
      <c r="P482" s="4" t="str">
        <f ca="1">_xlfn.IFNA(VLOOKUP(INDIRECT("G"&amp;ROW()),minfo!$A:$M,COLUMN()-8,0),"")</f>
        <v>http://i0.hdslb.com/bfs/station_src/music_metadata/c23bca7dcdf1c888e7e476793ae4c2ef</v>
      </c>
      <c r="Q482" s="4">
        <f ca="1">_xlfn.IFNA(VLOOKUP(INDIRECT("G"&amp;ROW()),minfo!$A:$M,COLUMN()-8,0),"")</f>
        <v>186</v>
      </c>
      <c r="R482" s="4">
        <f ca="1">_xlfn.IFNA(VLOOKUP(INDIRECT("G"&amp;ROW()),minfo!$A:$M,COLUMN()-8,0),"")</f>
        <v>0</v>
      </c>
      <c r="S482" s="4" t="str">
        <f ca="1">_xlfn.IFNA(VLOOKUP(INDIRECT("G"&amp;ROW()),minfo!$A:$M,COLUMN()-8,0),"")</f>
        <v>感动</v>
      </c>
      <c r="T482" s="4">
        <f ca="1">_xlfn.IFNA(VLOOKUP(INDIRECT("G"&amp;ROW()),minfo!$A:$M,COLUMN()-8,0),"")</f>
        <v>55710732</v>
      </c>
      <c r="U482" s="4">
        <f ca="1">_xlfn.IFNA(VLOOKUP(INDIRECT("G"&amp;ROW()),minfo!$A:$M,COLUMN()-8,0),"")</f>
        <v>0</v>
      </c>
    </row>
    <row r="483" spans="1:21" ht="15.75" customHeight="1">
      <c r="A483" s="15">
        <v>482</v>
      </c>
      <c r="B483" s="4" t="s">
        <v>4056</v>
      </c>
      <c r="C483" s="4">
        <v>483</v>
      </c>
      <c r="D483" s="4">
        <v>92</v>
      </c>
      <c r="E483" s="4" t="s">
        <v>1284</v>
      </c>
      <c r="F483" s="16">
        <v>45147</v>
      </c>
      <c r="G483" s="5" t="s">
        <v>1283</v>
      </c>
      <c r="H483" s="5" t="s">
        <v>3961</v>
      </c>
      <c r="I483" s="24" t="str">
        <f>HYPERLINK("https://www.bilibili.com/video/BV1gz4y147yu?p=92", "BV1gz4y147yu?p=92")</f>
        <v>BV1gz4y147yu?p=92</v>
      </c>
      <c r="J483" s="4" t="str">
        <f ca="1">_xlfn.IFNA(VLOOKUP(INDIRECT("G"&amp;ROW()),minfo!$A:$M,COLUMN()-8,0),"")</f>
        <v>醉赤壁</v>
      </c>
      <c r="K483" s="4" t="str">
        <f ca="1">_xlfn.IFNA(VLOOKUP(INDIRECT("G"&amp;ROW()),minfo!$A:$M,COLUMN()-8,0),"")</f>
        <v>林俊杰</v>
      </c>
      <c r="L483" s="4">
        <f ca="1">_xlfn.IFNA(VLOOKUP(INDIRECT("G"&amp;ROW()),minfo!$A:$M,COLUMN()-8,0),"")</f>
        <v>0</v>
      </c>
      <c r="M483" s="4">
        <f ca="1">_xlfn.IFNA(VLOOKUP(INDIRECT("G"&amp;ROW()),minfo!$A:$M,COLUMN()-8,0),"")</f>
        <v>0</v>
      </c>
      <c r="N483" s="4">
        <f ca="1">_xlfn.IFNA(VLOOKUP(INDIRECT("G"&amp;ROW()),minfo!$A:$M,COLUMN()-8,0),"")</f>
        <v>0</v>
      </c>
      <c r="O483" s="4" t="str">
        <f ca="1">_xlfn.IFNA(VLOOKUP(INDIRECT("G"&amp;ROW()),minfo!$A:$M,COLUMN()-8,0),"")</f>
        <v>https://i0.hdslb.com/bfs/station_src/music_metadata/7fba77ac6c1e2b9c4ee3c5edfb8fb4fe.jpg</v>
      </c>
      <c r="P483" s="4" t="str">
        <f ca="1">_xlfn.IFNA(VLOOKUP(INDIRECT("G"&amp;ROW()),minfo!$A:$M,COLUMN()-8,0),"")</f>
        <v>https://i0.hdslb.com/bfs/station_src/music_metadata/f6d8d115284de5ecdf96d995274c5783.txt</v>
      </c>
      <c r="Q483" s="4">
        <f ca="1">_xlfn.IFNA(VLOOKUP(INDIRECT("G"&amp;ROW()),minfo!$A:$M,COLUMN()-8,0),"")</f>
        <v>240</v>
      </c>
      <c r="R483" s="4">
        <f ca="1">_xlfn.IFNA(VLOOKUP(INDIRECT("G"&amp;ROW()),minfo!$A:$M,COLUMN()-8,0),"")</f>
        <v>0</v>
      </c>
      <c r="S483" s="4" t="str">
        <f ca="1">_xlfn.IFNA(VLOOKUP(INDIRECT("G"&amp;ROW()),minfo!$A:$M,COLUMN()-8,0),"")</f>
        <v>JJ陆</v>
      </c>
      <c r="T483" s="4">
        <f ca="1">_xlfn.IFNA(VLOOKUP(INDIRECT("G"&amp;ROW()),minfo!$A:$M,COLUMN()-8,0),"")</f>
        <v>177898408</v>
      </c>
      <c r="U483" s="4">
        <f ca="1">_xlfn.IFNA(VLOOKUP(INDIRECT("G"&amp;ROW()),minfo!$A:$M,COLUMN()-8,0),"")</f>
        <v>0</v>
      </c>
    </row>
    <row r="484" spans="1:21" ht="15.75" customHeight="1">
      <c r="A484" s="15">
        <v>483</v>
      </c>
      <c r="B484" s="4" t="s">
        <v>4057</v>
      </c>
      <c r="C484" s="4">
        <v>484</v>
      </c>
      <c r="D484" s="4">
        <v>93</v>
      </c>
      <c r="E484" s="4" t="s">
        <v>1229</v>
      </c>
      <c r="F484" s="16">
        <v>45151</v>
      </c>
      <c r="G484" s="5" t="s">
        <v>1228</v>
      </c>
      <c r="H484" s="5" t="s">
        <v>3961</v>
      </c>
      <c r="I484" s="24" t="str">
        <f>HYPERLINK("https://www.bilibili.com/video/BV1gz4y147yu?p=93", "BV1gz4y147yu?p=93")</f>
        <v>BV1gz4y147yu?p=93</v>
      </c>
      <c r="J484" s="4" t="str">
        <f ca="1">_xlfn.IFNA(VLOOKUP(INDIRECT("G"&amp;ROW()),minfo!$A:$M,COLUMN()-8,0),"")</f>
        <v>昨日青空</v>
      </c>
      <c r="K484" s="4" t="str">
        <f ca="1">_xlfn.IFNA(VLOOKUP(INDIRECT("G"&amp;ROW()),minfo!$A:$M,COLUMN()-8,0),"")</f>
        <v>尤长靖</v>
      </c>
      <c r="L484" s="4">
        <f ca="1">_xlfn.IFNA(VLOOKUP(INDIRECT("G"&amp;ROW()),minfo!$A:$M,COLUMN()-8,0),"")</f>
        <v>0</v>
      </c>
      <c r="M484" s="4">
        <f ca="1">_xlfn.IFNA(VLOOKUP(INDIRECT("G"&amp;ROW()),minfo!$A:$M,COLUMN()-8,0),"")</f>
        <v>0</v>
      </c>
      <c r="N484" s="4">
        <f ca="1">_xlfn.IFNA(VLOOKUP(INDIRECT("G"&amp;ROW()),minfo!$A:$M,COLUMN()-8,0),"")</f>
        <v>0</v>
      </c>
      <c r="O484" s="4" t="str">
        <f ca="1">_xlfn.IFNA(VLOOKUP(INDIRECT("G"&amp;ROW()),minfo!$A:$M,COLUMN()-8,0),"")</f>
        <v>https://i0.hdslb.com/bfs/station_src/music_metadata/abc73110210c595e7074ddc5a01dd754.jpg</v>
      </c>
      <c r="P484" s="4" t="str">
        <f ca="1">_xlfn.IFNA(VLOOKUP(INDIRECT("G"&amp;ROW()),minfo!$A:$M,COLUMN()-8,0),"")</f>
        <v>http://i0.hdslb.com/bfs/station_src/music_metadata/042fb26c880b233a48dc106af6e82bca</v>
      </c>
      <c r="Q484" s="4">
        <f ca="1">_xlfn.IFNA(VLOOKUP(INDIRECT("G"&amp;ROW()),minfo!$A:$M,COLUMN()-8,0),"")</f>
        <v>558</v>
      </c>
      <c r="R484" s="4" t="str">
        <f ca="1">_xlfn.IFNA(VLOOKUP(INDIRECT("G"&amp;ROW()),minfo!$A:$M,COLUMN()-8,0),"")</f>
        <v>《昨日青空》电影同名青春主题曲</v>
      </c>
      <c r="S484" s="4" t="str">
        <f ca="1">_xlfn.IFNA(VLOOKUP(INDIRECT("G"&amp;ROW()),minfo!$A:$M,COLUMN()-8,0),"")</f>
        <v>昨日青空</v>
      </c>
      <c r="T484" s="4">
        <f ca="1">_xlfn.IFNA(VLOOKUP(INDIRECT("G"&amp;ROW()),minfo!$A:$M,COLUMN()-8,0),"")</f>
        <v>70470580</v>
      </c>
      <c r="U484" s="4">
        <f ca="1">_xlfn.IFNA(VLOOKUP(INDIRECT("G"&amp;ROW()),minfo!$A:$M,COLUMN()-8,0),"")</f>
        <v>0</v>
      </c>
    </row>
    <row r="485" spans="1:21" ht="15.75" customHeight="1">
      <c r="A485" s="15">
        <v>484</v>
      </c>
      <c r="B485" s="4" t="s">
        <v>4058</v>
      </c>
      <c r="C485" s="4">
        <v>485</v>
      </c>
      <c r="D485" s="4">
        <v>94</v>
      </c>
      <c r="E485" s="4" t="s">
        <v>1415</v>
      </c>
      <c r="F485" s="16">
        <v>45154</v>
      </c>
      <c r="G485" s="5" t="s">
        <v>1414</v>
      </c>
      <c r="H485" s="5" t="s">
        <v>3961</v>
      </c>
      <c r="I485" s="24" t="str">
        <f>HYPERLINK("https://www.bilibili.com/video/BV1gz4y147yu?p=94", "BV1gz4y147yu?p=94")</f>
        <v>BV1gz4y147yu?p=94</v>
      </c>
      <c r="J485" s="4" t="str">
        <f ca="1">_xlfn.IFNA(VLOOKUP(INDIRECT("G"&amp;ROW()),minfo!$A:$M,COLUMN()-8,0),"")</f>
        <v>二十二</v>
      </c>
      <c r="K485" s="4" t="str">
        <f ca="1">_xlfn.IFNA(VLOOKUP(INDIRECT("G"&amp;ROW()),minfo!$A:$M,COLUMN()-8,0),"")</f>
        <v>陶喆</v>
      </c>
      <c r="L485" s="4">
        <f ca="1">_xlfn.IFNA(VLOOKUP(INDIRECT("G"&amp;ROW()),minfo!$A:$M,COLUMN()-8,0),"")</f>
        <v>0</v>
      </c>
      <c r="M485" s="4">
        <f ca="1">_xlfn.IFNA(VLOOKUP(INDIRECT("G"&amp;ROW()),minfo!$A:$M,COLUMN()-8,0),"")</f>
        <v>0</v>
      </c>
      <c r="N485" s="4">
        <f ca="1">_xlfn.IFNA(VLOOKUP(INDIRECT("G"&amp;ROW()),minfo!$A:$M,COLUMN()-8,0),"")</f>
        <v>0</v>
      </c>
      <c r="O485" s="4" t="str">
        <f ca="1">_xlfn.IFNA(VLOOKUP(INDIRECT("G"&amp;ROW()),minfo!$A:$M,COLUMN()-8,0),"")</f>
        <v>http://i0.hdslb.com/bfs/station_src/music_metadata/e89d0b6bb51b52049a17aa607ecd7e8d.jpg</v>
      </c>
      <c r="P485" s="4" t="str">
        <f ca="1">_xlfn.IFNA(VLOOKUP(INDIRECT("G"&amp;ROW()),minfo!$A:$M,COLUMN()-8,0),"")</f>
        <v>http://i0.hdslb.com/bfs/station_src/music_metadata/47f341ee2acc202b90520bd34837ebc4</v>
      </c>
      <c r="Q485" s="4">
        <f ca="1">_xlfn.IFNA(VLOOKUP(INDIRECT("G"&amp;ROW()),minfo!$A:$M,COLUMN()-8,0),"")</f>
        <v>343</v>
      </c>
      <c r="R485" s="4">
        <f ca="1">_xlfn.IFNA(VLOOKUP(INDIRECT("G"&amp;ROW()),minfo!$A:$M,COLUMN()-8,0),"")</f>
        <v>0</v>
      </c>
      <c r="S485" s="4" t="str">
        <f ca="1">_xlfn.IFNA(VLOOKUP(INDIRECT("G"&amp;ROW()),minfo!$A:$M,COLUMN()-8,0),"")</f>
        <v>黑色柳丁</v>
      </c>
      <c r="T485" s="4">
        <f ca="1">_xlfn.IFNA(VLOOKUP(INDIRECT("G"&amp;ROW()),minfo!$A:$M,COLUMN()-8,0),"")</f>
        <v>50077794</v>
      </c>
      <c r="U485" s="4">
        <f ca="1">_xlfn.IFNA(VLOOKUP(INDIRECT("G"&amp;ROW()),minfo!$A:$M,COLUMN()-8,0),"")</f>
        <v>0</v>
      </c>
    </row>
    <row r="486" spans="1:21" ht="15.75" customHeight="1">
      <c r="A486" s="15">
        <v>485</v>
      </c>
      <c r="B486" s="4" t="s">
        <v>4059</v>
      </c>
      <c r="C486" s="4">
        <v>486</v>
      </c>
      <c r="D486" s="4">
        <v>95</v>
      </c>
      <c r="E486" s="4" t="s">
        <v>1340</v>
      </c>
      <c r="F486" s="16">
        <v>45154</v>
      </c>
      <c r="G486" s="5" t="s">
        <v>1339</v>
      </c>
      <c r="H486" s="5" t="s">
        <v>3961</v>
      </c>
      <c r="I486" s="24" t="str">
        <f>HYPERLINK("https://www.bilibili.com/video/BV1gz4y147yu?p=95", "BV1gz4y147yu?p=95")</f>
        <v>BV1gz4y147yu?p=95</v>
      </c>
      <c r="J486" s="4" t="str">
        <f ca="1">_xlfn.IFNA(VLOOKUP(INDIRECT("G"&amp;ROW()),minfo!$A:$M,COLUMN()-8,0),"")</f>
        <v>天天</v>
      </c>
      <c r="K486" s="4" t="str">
        <f ca="1">_xlfn.IFNA(VLOOKUP(INDIRECT("G"&amp;ROW()),minfo!$A:$M,COLUMN()-8,0),"")</f>
        <v>陶喆</v>
      </c>
      <c r="L486" s="4">
        <f ca="1">_xlfn.IFNA(VLOOKUP(INDIRECT("G"&amp;ROW()),minfo!$A:$M,COLUMN()-8,0),"")</f>
        <v>0</v>
      </c>
      <c r="M486" s="4">
        <f ca="1">_xlfn.IFNA(VLOOKUP(INDIRECT("G"&amp;ROW()),minfo!$A:$M,COLUMN()-8,0),"")</f>
        <v>0</v>
      </c>
      <c r="N486" s="4">
        <f ca="1">_xlfn.IFNA(VLOOKUP(INDIRECT("G"&amp;ROW()),minfo!$A:$M,COLUMN()-8,0),"")</f>
        <v>0</v>
      </c>
      <c r="O486" s="4" t="str">
        <f ca="1">_xlfn.IFNA(VLOOKUP(INDIRECT("G"&amp;ROW()),minfo!$A:$M,COLUMN()-8,0),"")</f>
        <v>http://i0.hdslb.com/bfs/station_src/music_metadata/ff6417302beb4146f79dbd4e37c6d317.jpg</v>
      </c>
      <c r="P486" s="4" t="str">
        <f ca="1">_xlfn.IFNA(VLOOKUP(INDIRECT("G"&amp;ROW()),minfo!$A:$M,COLUMN()-8,0),"")</f>
        <v>http://i0.hdslb.com/bfs/station_src/music_metadata/c93605bfcadefe74f0d5b1a5b6a8db05</v>
      </c>
      <c r="Q486" s="4">
        <f ca="1">_xlfn.IFNA(VLOOKUP(INDIRECT("G"&amp;ROW()),minfo!$A:$M,COLUMN()-8,0),"")</f>
        <v>535</v>
      </c>
      <c r="R486" s="4">
        <f ca="1">_xlfn.IFNA(VLOOKUP(INDIRECT("G"&amp;ROW()),minfo!$A:$M,COLUMN()-8,0),"")</f>
        <v>0</v>
      </c>
      <c r="S486" s="4" t="str">
        <f ca="1">_xlfn.IFNA(VLOOKUP(INDIRECT("G"&amp;ROW()),minfo!$A:$M,COLUMN()-8,0),"")</f>
        <v>I'm OK</v>
      </c>
      <c r="T486" s="4">
        <f ca="1">_xlfn.IFNA(VLOOKUP(INDIRECT("G"&amp;ROW()),minfo!$A:$M,COLUMN()-8,0),"")</f>
        <v>82012532</v>
      </c>
      <c r="U486" s="4">
        <f ca="1">_xlfn.IFNA(VLOOKUP(INDIRECT("G"&amp;ROW()),minfo!$A:$M,COLUMN()-8,0),"")</f>
        <v>0</v>
      </c>
    </row>
    <row r="487" spans="1:21" ht="15.75" customHeight="1">
      <c r="A487" s="15">
        <v>486</v>
      </c>
      <c r="B487" s="4" t="s">
        <v>4060</v>
      </c>
      <c r="C487" s="4">
        <v>487</v>
      </c>
      <c r="D487" s="4">
        <v>96</v>
      </c>
      <c r="E487" s="4" t="s">
        <v>816</v>
      </c>
      <c r="F487" s="16">
        <v>45154</v>
      </c>
      <c r="G487" s="5" t="s">
        <v>815</v>
      </c>
      <c r="H487" s="5" t="s">
        <v>3961</v>
      </c>
      <c r="I487" s="24" t="str">
        <f>HYPERLINK("https://www.bilibili.com/video/BV1gz4y147yu?p=96", "BV1gz4y147yu?p=96")</f>
        <v>BV1gz4y147yu?p=96</v>
      </c>
      <c r="J487" s="4" t="str">
        <f ca="1">_xlfn.IFNA(VLOOKUP(INDIRECT("G"&amp;ROW()),minfo!$A:$M,COLUMN()-8,0),"")</f>
        <v>开不了口</v>
      </c>
      <c r="K487" s="4" t="str">
        <f ca="1">_xlfn.IFNA(VLOOKUP(INDIRECT("G"&amp;ROW()),minfo!$A:$M,COLUMN()-8,0),"")</f>
        <v>周杰伦</v>
      </c>
      <c r="L487" s="4">
        <f ca="1">_xlfn.IFNA(VLOOKUP(INDIRECT("G"&amp;ROW()),minfo!$A:$M,COLUMN()-8,0),"")</f>
        <v>0</v>
      </c>
      <c r="M487" s="4">
        <f ca="1">_xlfn.IFNA(VLOOKUP(INDIRECT("G"&amp;ROW()),minfo!$A:$M,COLUMN()-8,0),"")</f>
        <v>0</v>
      </c>
      <c r="N487" s="4">
        <f ca="1">_xlfn.IFNA(VLOOKUP(INDIRECT("G"&amp;ROW()),minfo!$A:$M,COLUMN()-8,0),"")</f>
        <v>0</v>
      </c>
      <c r="O487" s="4" t="str">
        <f ca="1">_xlfn.IFNA(VLOOKUP(INDIRECT("G"&amp;ROW()),minfo!$A:$M,COLUMN()-8,0),"")</f>
        <v>http://i0.hdslb.com/bfs/station_src/music_metadata/d0f745972711cd41b07e10e96dd6512a.jpg</v>
      </c>
      <c r="P487" s="4" t="str">
        <f ca="1">_xlfn.IFNA(VLOOKUP(INDIRECT("G"&amp;ROW()),minfo!$A:$M,COLUMN()-8,0),"")</f>
        <v>http://i0.hdslb.com/bfs/station_src/music_metadata/9e21bb6bd3e9e6c6a099ea6fe790a7e4</v>
      </c>
      <c r="Q487" s="4">
        <f ca="1">_xlfn.IFNA(VLOOKUP(INDIRECT("G"&amp;ROW()),minfo!$A:$M,COLUMN()-8,0),"")</f>
        <v>1670</v>
      </c>
      <c r="R487" s="4">
        <f ca="1">_xlfn.IFNA(VLOOKUP(INDIRECT("G"&amp;ROW()),minfo!$A:$M,COLUMN()-8,0),"")</f>
        <v>0</v>
      </c>
      <c r="S487" s="4" t="str">
        <f ca="1">_xlfn.IFNA(VLOOKUP(INDIRECT("G"&amp;ROW()),minfo!$A:$M,COLUMN()-8,0),"")</f>
        <v>范特西</v>
      </c>
      <c r="T487" s="4">
        <f ca="1">_xlfn.IFNA(VLOOKUP(INDIRECT("G"&amp;ROW()),minfo!$A:$M,COLUMN()-8,0),"")</f>
        <v>374265212</v>
      </c>
      <c r="U487" s="4">
        <f ca="1">_xlfn.IFNA(VLOOKUP(INDIRECT("G"&amp;ROW()),minfo!$A:$M,COLUMN()-8,0),"")</f>
        <v>0</v>
      </c>
    </row>
    <row r="488" spans="1:21" ht="15.75" customHeight="1">
      <c r="A488" s="15">
        <v>487</v>
      </c>
      <c r="B488" s="4" t="s">
        <v>4061</v>
      </c>
      <c r="C488" s="4">
        <v>488</v>
      </c>
      <c r="D488" s="4">
        <v>97</v>
      </c>
      <c r="E488" s="4" t="s">
        <v>1419</v>
      </c>
      <c r="F488" s="16">
        <v>45154</v>
      </c>
      <c r="G488" s="5" t="s">
        <v>1418</v>
      </c>
      <c r="H488" s="5" t="s">
        <v>3961</v>
      </c>
      <c r="I488" s="24" t="str">
        <f>HYPERLINK("https://www.bilibili.com/video/BV1gz4y147yu?p=97", "BV1gz4y147yu?p=97")</f>
        <v>BV1gz4y147yu?p=97</v>
      </c>
      <c r="J488" s="4" t="str">
        <f ca="1">_xlfn.IFNA(VLOOKUP(INDIRECT("G"&amp;ROW()),minfo!$A:$M,COLUMN()-8,0),"")</f>
        <v>普通朋友</v>
      </c>
      <c r="K488" s="4" t="str">
        <f ca="1">_xlfn.IFNA(VLOOKUP(INDIRECT("G"&amp;ROW()),minfo!$A:$M,COLUMN()-8,0),"")</f>
        <v>娃娃,陶喆</v>
      </c>
      <c r="L488" s="4">
        <f ca="1">_xlfn.IFNA(VLOOKUP(INDIRECT("G"&amp;ROW()),minfo!$A:$M,COLUMN()-8,0),"")</f>
        <v>0</v>
      </c>
      <c r="M488" s="4">
        <f ca="1">_xlfn.IFNA(VLOOKUP(INDIRECT("G"&amp;ROW()),minfo!$A:$M,COLUMN()-8,0),"")</f>
        <v>0</v>
      </c>
      <c r="N488" s="4">
        <f ca="1">_xlfn.IFNA(VLOOKUP(INDIRECT("G"&amp;ROW()),minfo!$A:$M,COLUMN()-8,0),"")</f>
        <v>0</v>
      </c>
      <c r="O488" s="4" t="str">
        <f ca="1">_xlfn.IFNA(VLOOKUP(INDIRECT("G"&amp;ROW()),minfo!$A:$M,COLUMN()-8,0),"")</f>
        <v>http://i0.hdslb.com/bfs/station_src/music_metadata/b4de12b50832ba1f1ca69812232e19ce.jpg</v>
      </c>
      <c r="P488" s="4">
        <f ca="1">_xlfn.IFNA(VLOOKUP(INDIRECT("G"&amp;ROW()),minfo!$A:$M,COLUMN()-8,0),"")</f>
        <v>0</v>
      </c>
      <c r="Q488" s="4">
        <f ca="1">_xlfn.IFNA(VLOOKUP(INDIRECT("G"&amp;ROW()),minfo!$A:$M,COLUMN()-8,0),"")</f>
        <v>828</v>
      </c>
      <c r="R488" s="4">
        <f ca="1">_xlfn.IFNA(VLOOKUP(INDIRECT("G"&amp;ROW()),minfo!$A:$M,COLUMN()-8,0),"")</f>
        <v>0</v>
      </c>
      <c r="S488" s="4" t="str">
        <f ca="1">_xlfn.IFNA(VLOOKUP(INDIRECT("G"&amp;ROW()),minfo!$A:$M,COLUMN()-8,0),"")</f>
        <v>I'm OK</v>
      </c>
      <c r="T488" s="4">
        <f ca="1">_xlfn.IFNA(VLOOKUP(INDIRECT("G"&amp;ROW()),minfo!$A:$M,COLUMN()-8,0),"")</f>
        <v>137417227</v>
      </c>
      <c r="U488" s="4">
        <f ca="1">_xlfn.IFNA(VLOOKUP(INDIRECT("G"&amp;ROW()),minfo!$A:$M,COLUMN()-8,0),"")</f>
        <v>0</v>
      </c>
    </row>
    <row r="489" spans="1:21" ht="15.75" customHeight="1">
      <c r="A489" s="15">
        <v>488</v>
      </c>
      <c r="B489" s="4" t="s">
        <v>4062</v>
      </c>
      <c r="C489" s="4">
        <v>489</v>
      </c>
      <c r="D489" s="4">
        <v>98</v>
      </c>
      <c r="E489" s="4" t="s">
        <v>328</v>
      </c>
      <c r="F489" s="16">
        <v>45160</v>
      </c>
      <c r="G489" s="5" t="s">
        <v>327</v>
      </c>
      <c r="H489" s="5" t="s">
        <v>3961</v>
      </c>
      <c r="I489" s="24" t="str">
        <f>HYPERLINK("https://www.bilibili.com/video/BV1gz4y147yu?p=98", "BV1gz4y147yu?p=98")</f>
        <v>BV1gz4y147yu?p=98</v>
      </c>
      <c r="J489" s="4" t="str">
        <f ca="1">_xlfn.IFNA(VLOOKUP(INDIRECT("G"&amp;ROW()),minfo!$A:$M,COLUMN()-8,0),"")</f>
        <v>浪漫手机</v>
      </c>
      <c r="K489" s="4" t="str">
        <f ca="1">_xlfn.IFNA(VLOOKUP(INDIRECT("G"&amp;ROW()),minfo!$A:$M,COLUMN()-8,0),"")</f>
        <v>周杰伦</v>
      </c>
      <c r="L489" s="4">
        <f ca="1">_xlfn.IFNA(VLOOKUP(INDIRECT("G"&amp;ROW()),minfo!$A:$M,COLUMN()-8,0),"")</f>
        <v>0</v>
      </c>
      <c r="M489" s="4">
        <f ca="1">_xlfn.IFNA(VLOOKUP(INDIRECT("G"&amp;ROW()),minfo!$A:$M,COLUMN()-8,0),"")</f>
        <v>0</v>
      </c>
      <c r="N489" s="4">
        <f ca="1">_xlfn.IFNA(VLOOKUP(INDIRECT("G"&amp;ROW()),minfo!$A:$M,COLUMN()-8,0),"")</f>
        <v>0</v>
      </c>
      <c r="O489" s="4" t="str">
        <f ca="1">_xlfn.IFNA(VLOOKUP(INDIRECT("G"&amp;ROW()),minfo!$A:$M,COLUMN()-8,0),"")</f>
        <v>https://i0.hdslb.com/bfs/station_src/music_metadata/8eedd1a09269c8d74ed387337e626b75.jpg</v>
      </c>
      <c r="P489" s="4" t="str">
        <f ca="1">_xlfn.IFNA(VLOOKUP(INDIRECT("G"&amp;ROW()),minfo!$A:$M,COLUMN()-8,0),"")</f>
        <v>https://i0.hdslb.com/bfs/station_src/music_metadata/ae5c6e95bbcbbf46dea75520d23f2e3e.txt</v>
      </c>
      <c r="Q489" s="4">
        <f ca="1">_xlfn.IFNA(VLOOKUP(INDIRECT("G"&amp;ROW()),minfo!$A:$M,COLUMN()-8,0),"")</f>
        <v>757</v>
      </c>
      <c r="R489" s="4">
        <f ca="1">_xlfn.IFNA(VLOOKUP(INDIRECT("G"&amp;ROW()),minfo!$A:$M,COLUMN()-8,0),"")</f>
        <v>0</v>
      </c>
      <c r="S489" s="4" t="str">
        <f ca="1">_xlfn.IFNA(VLOOKUP(INDIRECT("G"&amp;ROW()),minfo!$A:$M,COLUMN()-8,0),"")</f>
        <v>十一月的萧邦</v>
      </c>
      <c r="T489" s="4">
        <f ca="1">_xlfn.IFNA(VLOOKUP(INDIRECT("G"&amp;ROW()),minfo!$A:$M,COLUMN()-8,0),"")</f>
        <v>267490941</v>
      </c>
      <c r="U489" s="4">
        <f ca="1">_xlfn.IFNA(VLOOKUP(INDIRECT("G"&amp;ROW()),minfo!$A:$M,COLUMN()-8,0),"")</f>
        <v>0</v>
      </c>
    </row>
    <row r="490" spans="1:21" ht="15.75" customHeight="1">
      <c r="A490" s="15">
        <v>489</v>
      </c>
      <c r="B490" s="4" t="s">
        <v>4063</v>
      </c>
      <c r="C490" s="4">
        <v>490</v>
      </c>
      <c r="D490" s="4">
        <v>99</v>
      </c>
      <c r="E490" s="4" t="s">
        <v>1107</v>
      </c>
      <c r="F490" s="16">
        <v>45160</v>
      </c>
      <c r="G490" s="5" t="s">
        <v>1106</v>
      </c>
      <c r="H490" s="5" t="s">
        <v>3961</v>
      </c>
      <c r="I490" s="24" t="str">
        <f>HYPERLINK("https://www.bilibili.com/video/BV1gz4y147yu?p=99", "BV1gz4y147yu?p=99")</f>
        <v>BV1gz4y147yu?p=99</v>
      </c>
      <c r="J490" s="4" t="str">
        <f ca="1">_xlfn.IFNA(VLOOKUP(INDIRECT("G"&amp;ROW()),minfo!$A:$M,COLUMN()-8,0),"")</f>
        <v>那些你很冒险的梦</v>
      </c>
      <c r="K490" s="4" t="str">
        <f ca="1">_xlfn.IFNA(VLOOKUP(INDIRECT("G"&amp;ROW()),minfo!$A:$M,COLUMN()-8,0),"")</f>
        <v>林俊杰</v>
      </c>
      <c r="L490" s="4">
        <f ca="1">_xlfn.IFNA(VLOOKUP(INDIRECT("G"&amp;ROW()),minfo!$A:$M,COLUMN()-8,0),"")</f>
        <v>0</v>
      </c>
      <c r="M490" s="4">
        <f ca="1">_xlfn.IFNA(VLOOKUP(INDIRECT("G"&amp;ROW()),minfo!$A:$M,COLUMN()-8,0),"")</f>
        <v>0</v>
      </c>
      <c r="N490" s="4">
        <f ca="1">_xlfn.IFNA(VLOOKUP(INDIRECT("G"&amp;ROW()),minfo!$A:$M,COLUMN()-8,0),"")</f>
        <v>0</v>
      </c>
      <c r="O490" s="4" t="str">
        <f ca="1">_xlfn.IFNA(VLOOKUP(INDIRECT("G"&amp;ROW()),minfo!$A:$M,COLUMN()-8,0),"")</f>
        <v>https://i0.hdslb.com/bfs/station_src/music_metadata/06f970ae00e00f724e3ce8b49b192dcc.jpg</v>
      </c>
      <c r="P490" s="4" t="str">
        <f ca="1">_xlfn.IFNA(VLOOKUP(INDIRECT("G"&amp;ROW()),minfo!$A:$M,COLUMN()-8,0),"")</f>
        <v>http://i0.hdslb.com/bfs/station_src/music_metadata/7d9fd351995e1af5aa9ec35eed740caa</v>
      </c>
      <c r="Q490" s="4">
        <f ca="1">_xlfn.IFNA(VLOOKUP(INDIRECT("G"&amp;ROW()),minfo!$A:$M,COLUMN()-8,0),"")</f>
        <v>412</v>
      </c>
      <c r="R490" s="4">
        <f ca="1">_xlfn.IFNA(VLOOKUP(INDIRECT("G"&amp;ROW()),minfo!$A:$M,COLUMN()-8,0),"")</f>
        <v>0</v>
      </c>
      <c r="S490" s="4" t="str">
        <f ca="1">_xlfn.IFNA(VLOOKUP(INDIRECT("G"&amp;ROW()),minfo!$A:$M,COLUMN()-8,0),"")</f>
        <v>学不会</v>
      </c>
      <c r="T490" s="4">
        <f ca="1">_xlfn.IFNA(VLOOKUP(INDIRECT("G"&amp;ROW()),minfo!$A:$M,COLUMN()-8,0),"")</f>
        <v>192890831</v>
      </c>
      <c r="U490" s="4">
        <f ca="1">_xlfn.IFNA(VLOOKUP(INDIRECT("G"&amp;ROW()),minfo!$A:$M,COLUMN()-8,0),"")</f>
        <v>0</v>
      </c>
    </row>
    <row r="491" spans="1:21" ht="15.75" customHeight="1">
      <c r="A491" s="15">
        <v>490</v>
      </c>
      <c r="B491" s="4" t="s">
        <v>4064</v>
      </c>
      <c r="C491" s="4">
        <v>491</v>
      </c>
      <c r="D491" s="4">
        <v>100</v>
      </c>
      <c r="E491" s="4" t="s">
        <v>14</v>
      </c>
      <c r="F491" s="16">
        <v>45160</v>
      </c>
      <c r="G491" s="5" t="s">
        <v>13</v>
      </c>
      <c r="H491" s="5" t="s">
        <v>3961</v>
      </c>
      <c r="I491" s="24" t="str">
        <f>HYPERLINK("https://www.bilibili.com/video/BV1gz4y147yu?p=100", "BV1gz4y147yu?p=100")</f>
        <v>BV1gz4y147yu?p=100</v>
      </c>
      <c r="J491" s="4" t="str">
        <f ca="1">_xlfn.IFNA(VLOOKUP(INDIRECT("G"&amp;ROW()),minfo!$A:$M,COLUMN()-8,0),"")</f>
        <v>瓦解</v>
      </c>
      <c r="K491" s="4" t="str">
        <f ca="1">_xlfn.IFNA(VLOOKUP(INDIRECT("G"&amp;ROW()),minfo!$A:$M,COLUMN()-8,0),"")</f>
        <v>南拳妈妈</v>
      </c>
      <c r="L491" s="4">
        <f ca="1">_xlfn.IFNA(VLOOKUP(INDIRECT("G"&amp;ROW()),minfo!$A:$M,COLUMN()-8,0),"")</f>
        <v>0</v>
      </c>
      <c r="M491" s="4">
        <f ca="1">_xlfn.IFNA(VLOOKUP(INDIRECT("G"&amp;ROW()),minfo!$A:$M,COLUMN()-8,0),"")</f>
        <v>0</v>
      </c>
      <c r="N491" s="4">
        <f ca="1">_xlfn.IFNA(VLOOKUP(INDIRECT("G"&amp;ROW()),minfo!$A:$M,COLUMN()-8,0),"")</f>
        <v>0</v>
      </c>
      <c r="O491" s="4" t="str">
        <f ca="1">_xlfn.IFNA(VLOOKUP(INDIRECT("G"&amp;ROW()),minfo!$A:$M,COLUMN()-8,0),"")</f>
        <v>https://i0.hdslb.com/bfs/station_src/music_metadata/284aedba73bbb46dd43548a108598c32.jpg</v>
      </c>
      <c r="P491" s="4" t="str">
        <f ca="1">_xlfn.IFNA(VLOOKUP(INDIRECT("G"&amp;ROW()),minfo!$A:$M,COLUMN()-8,0),"")</f>
        <v>http://i0.hdslb.com/bfs/station_src/music_metadata/4d7bef88af4faa856325802b023ef85e</v>
      </c>
      <c r="Q491" s="4">
        <f ca="1">_xlfn.IFNA(VLOOKUP(INDIRECT("G"&amp;ROW()),minfo!$A:$M,COLUMN()-8,0),"")</f>
        <v>129</v>
      </c>
      <c r="R491" s="4">
        <f ca="1">_xlfn.IFNA(VLOOKUP(INDIRECT("G"&amp;ROW()),minfo!$A:$M,COLUMN()-8,0),"")</f>
        <v>0</v>
      </c>
      <c r="S491" s="4" t="str">
        <f ca="1">_xlfn.IFNA(VLOOKUP(INDIRECT("G"&amp;ROW()),minfo!$A:$M,COLUMN()-8,0),"")</f>
        <v>南拳妈妈的夏天</v>
      </c>
      <c r="T491" s="4">
        <f ca="1">_xlfn.IFNA(VLOOKUP(INDIRECT("G"&amp;ROW()),minfo!$A:$M,COLUMN()-8,0),"")</f>
        <v>122109069</v>
      </c>
      <c r="U491" s="4">
        <f ca="1">_xlfn.IFNA(VLOOKUP(INDIRECT("G"&amp;ROW()),minfo!$A:$M,COLUMN()-8,0),"")</f>
        <v>0</v>
      </c>
    </row>
    <row r="492" spans="1:21" ht="15.75" customHeight="1">
      <c r="A492" s="15">
        <v>491</v>
      </c>
      <c r="B492" s="4" t="s">
        <v>4065</v>
      </c>
      <c r="C492" s="4">
        <v>492</v>
      </c>
      <c r="D492" s="4">
        <v>101</v>
      </c>
      <c r="E492" s="4" t="s">
        <v>1423</v>
      </c>
      <c r="F492" s="16">
        <v>45160</v>
      </c>
      <c r="G492" s="5" t="s">
        <v>1422</v>
      </c>
      <c r="H492" s="5" t="s">
        <v>3961</v>
      </c>
      <c r="I492" s="24" t="str">
        <f>HYPERLINK("https://www.bilibili.com/video/BV1gz4y147yu?p=101", "BV1gz4y147yu?p=101")</f>
        <v>BV1gz4y147yu?p=101</v>
      </c>
      <c r="J492" s="4" t="str">
        <f ca="1">_xlfn.IFNA(VLOOKUP(INDIRECT("G"&amp;ROW()),minfo!$A:$M,COLUMN()-8,0),"")</f>
        <v>修炼爱情</v>
      </c>
      <c r="K492" s="4" t="str">
        <f ca="1">_xlfn.IFNA(VLOOKUP(INDIRECT("G"&amp;ROW()),minfo!$A:$M,COLUMN()-8,0),"")</f>
        <v>林俊杰</v>
      </c>
      <c r="L492" s="4">
        <f ca="1">_xlfn.IFNA(VLOOKUP(INDIRECT("G"&amp;ROW()),minfo!$A:$M,COLUMN()-8,0),"")</f>
        <v>0</v>
      </c>
      <c r="M492" s="4">
        <f ca="1">_xlfn.IFNA(VLOOKUP(INDIRECT("G"&amp;ROW()),minfo!$A:$M,COLUMN()-8,0),"")</f>
        <v>0</v>
      </c>
      <c r="N492" s="4">
        <f ca="1">_xlfn.IFNA(VLOOKUP(INDIRECT("G"&amp;ROW()),minfo!$A:$M,COLUMN()-8,0),"")</f>
        <v>0</v>
      </c>
      <c r="O492" s="4" t="str">
        <f ca="1">_xlfn.IFNA(VLOOKUP(INDIRECT("G"&amp;ROW()),minfo!$A:$M,COLUMN()-8,0),"")</f>
        <v>http://i0.hdslb.com/bfs/station_src/music_metadata/713cd2835e797b42166abbd9090b7ff1.jpg</v>
      </c>
      <c r="P492" s="4" t="str">
        <f ca="1">_xlfn.IFNA(VLOOKUP(INDIRECT("G"&amp;ROW()),minfo!$A:$M,COLUMN()-8,0),"")</f>
        <v>http://i0.hdslb.com/bfs/station_src/music_metadata/e8eecc0895b84fc8099f903f807b10ff</v>
      </c>
      <c r="Q492" s="4">
        <f ca="1">_xlfn.IFNA(VLOOKUP(INDIRECT("G"&amp;ROW()),minfo!$A:$M,COLUMN()-8,0),"")</f>
        <v>1053</v>
      </c>
      <c r="R492" s="4">
        <f ca="1">_xlfn.IFNA(VLOOKUP(INDIRECT("G"&amp;ROW()),minfo!$A:$M,COLUMN()-8,0),"")</f>
        <v>0</v>
      </c>
      <c r="S492" s="4" t="str">
        <f ca="1">_xlfn.IFNA(VLOOKUP(INDIRECT("G"&amp;ROW()),minfo!$A:$M,COLUMN()-8,0),"")</f>
        <v>因你 而在</v>
      </c>
      <c r="T492" s="4">
        <f ca="1">_xlfn.IFNA(VLOOKUP(INDIRECT("G"&amp;ROW()),minfo!$A:$M,COLUMN()-8,0),"")</f>
        <v>371141890</v>
      </c>
      <c r="U492" s="4" t="str">
        <f ca="1">_xlfn.IFNA(VLOOKUP(INDIRECT("G"&amp;ROW()),minfo!$A:$M,COLUMN()-8,0),"")</f>
        <v>音乐榜最高NO.4</v>
      </c>
    </row>
    <row r="493" spans="1:21" ht="15.75" customHeight="1">
      <c r="A493" s="15">
        <v>492</v>
      </c>
      <c r="B493" s="4" t="s">
        <v>4066</v>
      </c>
      <c r="C493" s="4">
        <v>493</v>
      </c>
      <c r="D493" s="4">
        <v>102</v>
      </c>
      <c r="E493" s="4" t="s">
        <v>418</v>
      </c>
      <c r="F493" s="16">
        <v>45160</v>
      </c>
      <c r="G493" s="5" t="s">
        <v>417</v>
      </c>
      <c r="H493" s="5" t="s">
        <v>3961</v>
      </c>
      <c r="I493" s="24" t="str">
        <f>HYPERLINK("https://www.bilibili.com/video/BV1gz4y147yu?p=102", "BV1gz4y147yu?p=102")</f>
        <v>BV1gz4y147yu?p=102</v>
      </c>
      <c r="J493" s="4" t="str">
        <f ca="1">_xlfn.IFNA(VLOOKUP(INDIRECT("G"&amp;ROW()),minfo!$A:$M,COLUMN()-8,0),"")</f>
        <v>甜甜的</v>
      </c>
      <c r="K493" s="4" t="str">
        <f ca="1">_xlfn.IFNA(VLOOKUP(INDIRECT("G"&amp;ROW()),minfo!$A:$M,COLUMN()-8,0),"")</f>
        <v>周杰伦</v>
      </c>
      <c r="L493" s="4">
        <f ca="1">_xlfn.IFNA(VLOOKUP(INDIRECT("G"&amp;ROW()),minfo!$A:$M,COLUMN()-8,0),"")</f>
        <v>0</v>
      </c>
      <c r="M493" s="4">
        <f ca="1">_xlfn.IFNA(VLOOKUP(INDIRECT("G"&amp;ROW()),minfo!$A:$M,COLUMN()-8,0),"")</f>
        <v>0</v>
      </c>
      <c r="N493" s="4">
        <f ca="1">_xlfn.IFNA(VLOOKUP(INDIRECT("G"&amp;ROW()),minfo!$A:$M,COLUMN()-8,0),"")</f>
        <v>0</v>
      </c>
      <c r="O493" s="4" t="str">
        <f ca="1">_xlfn.IFNA(VLOOKUP(INDIRECT("G"&amp;ROW()),minfo!$A:$M,COLUMN()-8,0),"")</f>
        <v>http://i0.hdslb.com/bfs/station_src/music_metadata/b70b267ed4b8e6627ef2fddb400bc930.jpg</v>
      </c>
      <c r="P493" s="4" t="str">
        <f ca="1">_xlfn.IFNA(VLOOKUP(INDIRECT("G"&amp;ROW()),minfo!$A:$M,COLUMN()-8,0),"")</f>
        <v>http://i0.hdslb.com/bfs/station_src/music_metadata/279ee78db41e6396428b468a8620d95b</v>
      </c>
      <c r="Q493" s="4">
        <f ca="1">_xlfn.IFNA(VLOOKUP(INDIRECT("G"&amp;ROW()),minfo!$A:$M,COLUMN()-8,0),"")</f>
        <v>1115</v>
      </c>
      <c r="R493" s="4">
        <f ca="1">_xlfn.IFNA(VLOOKUP(INDIRECT("G"&amp;ROW()),minfo!$A:$M,COLUMN()-8,0),"")</f>
        <v>0</v>
      </c>
      <c r="S493" s="4" t="str">
        <f ca="1">_xlfn.IFNA(VLOOKUP(INDIRECT("G"&amp;ROW()),minfo!$A:$M,COLUMN()-8,0),"")</f>
        <v>我很忙</v>
      </c>
      <c r="T493" s="4">
        <f ca="1">_xlfn.IFNA(VLOOKUP(INDIRECT("G"&amp;ROW()),minfo!$A:$M,COLUMN()-8,0),"")</f>
        <v>514709406</v>
      </c>
      <c r="U493" s="4">
        <f ca="1">_xlfn.IFNA(VLOOKUP(INDIRECT("G"&amp;ROW()),minfo!$A:$M,COLUMN()-8,0),"")</f>
        <v>0</v>
      </c>
    </row>
    <row r="494" spans="1:21" ht="15.75" customHeight="1">
      <c r="A494" s="15">
        <v>493</v>
      </c>
      <c r="B494" s="4" t="s">
        <v>4067</v>
      </c>
      <c r="C494" s="4">
        <v>494</v>
      </c>
      <c r="D494" s="4">
        <v>103</v>
      </c>
      <c r="E494" s="4" t="s">
        <v>918</v>
      </c>
      <c r="F494" s="16">
        <v>45160</v>
      </c>
      <c r="G494" s="5" t="s">
        <v>917</v>
      </c>
      <c r="H494" s="5" t="s">
        <v>3961</v>
      </c>
      <c r="I494" s="24" t="str">
        <f>HYPERLINK("https://www.bilibili.com/video/BV1gz4y147yu?p=103", "BV1gz4y147yu?p=103")</f>
        <v>BV1gz4y147yu?p=103</v>
      </c>
      <c r="J494" s="4" t="str">
        <f ca="1">_xlfn.IFNA(VLOOKUP(INDIRECT("G"&amp;ROW()),minfo!$A:$M,COLUMN()-8,0),"")</f>
        <v>暗号</v>
      </c>
      <c r="K494" s="4" t="str">
        <f ca="1">_xlfn.IFNA(VLOOKUP(INDIRECT("G"&amp;ROW()),minfo!$A:$M,COLUMN()-8,0),"")</f>
        <v>周杰伦</v>
      </c>
      <c r="L494" s="4">
        <f ca="1">_xlfn.IFNA(VLOOKUP(INDIRECT("G"&amp;ROW()),minfo!$A:$M,COLUMN()-8,0),"")</f>
        <v>0</v>
      </c>
      <c r="M494" s="4">
        <f ca="1">_xlfn.IFNA(VLOOKUP(INDIRECT("G"&amp;ROW()),minfo!$A:$M,COLUMN()-8,0),"")</f>
        <v>0</v>
      </c>
      <c r="N494" s="4">
        <f ca="1">_xlfn.IFNA(VLOOKUP(INDIRECT("G"&amp;ROW()),minfo!$A:$M,COLUMN()-8,0),"")</f>
        <v>0</v>
      </c>
      <c r="O494" s="4" t="str">
        <f ca="1">_xlfn.IFNA(VLOOKUP(INDIRECT("G"&amp;ROW()),minfo!$A:$M,COLUMN()-8,0),"")</f>
        <v>https://i0.hdslb.com/bfs/station_src/music_metadata/836d7078552d6143b4a27f54a2a62598.jpg</v>
      </c>
      <c r="P494" s="4">
        <f ca="1">_xlfn.IFNA(VLOOKUP(INDIRECT("G"&amp;ROW()),minfo!$A:$M,COLUMN()-8,0),"")</f>
        <v>0</v>
      </c>
      <c r="Q494" s="4">
        <f ca="1">_xlfn.IFNA(VLOOKUP(INDIRECT("G"&amp;ROW()),minfo!$A:$M,COLUMN()-8,0),"")</f>
        <v>8346</v>
      </c>
      <c r="R494" s="4">
        <f ca="1">_xlfn.IFNA(VLOOKUP(INDIRECT("G"&amp;ROW()),minfo!$A:$M,COLUMN()-8,0),"")</f>
        <v>0</v>
      </c>
      <c r="S494" s="4" t="str">
        <f ca="1">_xlfn.IFNA(VLOOKUP(INDIRECT("G"&amp;ROW()),minfo!$A:$M,COLUMN()-8,0),"")</f>
        <v>八度空间</v>
      </c>
      <c r="T494" s="4">
        <f ca="1">_xlfn.IFNA(VLOOKUP(INDIRECT("G"&amp;ROW()),minfo!$A:$M,COLUMN()-8,0),"")</f>
        <v>445692889</v>
      </c>
      <c r="U494" s="4">
        <f ca="1">_xlfn.IFNA(VLOOKUP(INDIRECT("G"&amp;ROW()),minfo!$A:$M,COLUMN()-8,0),"")</f>
        <v>0</v>
      </c>
    </row>
    <row r="495" spans="1:21" ht="15.75" customHeight="1">
      <c r="A495" s="15">
        <v>494</v>
      </c>
      <c r="B495" s="4" t="s">
        <v>4068</v>
      </c>
      <c r="C495" s="4">
        <v>495</v>
      </c>
      <c r="D495" s="4">
        <v>104</v>
      </c>
      <c r="E495" s="4" t="s">
        <v>147</v>
      </c>
      <c r="F495" s="16">
        <v>45160</v>
      </c>
      <c r="G495" s="5" t="s">
        <v>147</v>
      </c>
      <c r="H495" s="5" t="s">
        <v>3961</v>
      </c>
      <c r="I495" s="24" t="str">
        <f>HYPERLINK("https://www.bilibili.com/video/BV1gz4y147yu?p=104", "BV1gz4y147yu?p=104")</f>
        <v>BV1gz4y147yu?p=104</v>
      </c>
      <c r="J495" s="4" t="str">
        <f ca="1">_xlfn.IFNA(VLOOKUP(INDIRECT("G"&amp;ROW()),minfo!$A:$M,COLUMN()-8,0),"")</f>
        <v>悲伤的五个步骤</v>
      </c>
      <c r="K495" s="4" t="str">
        <f ca="1">_xlfn.IFNA(VLOOKUP(INDIRECT("G"&amp;ROW()),minfo!$A:$M,COLUMN()-8,0),"")</f>
        <v>艾薇</v>
      </c>
      <c r="L495" s="4">
        <f ca="1">_xlfn.IFNA(VLOOKUP(INDIRECT("G"&amp;ROW()),minfo!$A:$M,COLUMN()-8,0),"")</f>
        <v>0</v>
      </c>
      <c r="M495" s="4">
        <f ca="1">_xlfn.IFNA(VLOOKUP(INDIRECT("G"&amp;ROW()),minfo!$A:$M,COLUMN()-8,0),"")</f>
        <v>0</v>
      </c>
      <c r="N495" s="4">
        <f ca="1">_xlfn.IFNA(VLOOKUP(INDIRECT("G"&amp;ROW()),minfo!$A:$M,COLUMN()-8,0),"")</f>
        <v>0</v>
      </c>
      <c r="O495" s="4">
        <f ca="1">_xlfn.IFNA(VLOOKUP(INDIRECT("G"&amp;ROW()),minfo!$A:$M,COLUMN()-8,0),"")</f>
        <v>0</v>
      </c>
      <c r="P495" s="4">
        <f ca="1">_xlfn.IFNA(VLOOKUP(INDIRECT("G"&amp;ROW()),minfo!$A:$M,COLUMN()-8,0),"")</f>
        <v>0</v>
      </c>
      <c r="Q495" s="4">
        <f ca="1">_xlfn.IFNA(VLOOKUP(INDIRECT("G"&amp;ROW()),minfo!$A:$M,COLUMN()-8,0),"")</f>
        <v>0</v>
      </c>
      <c r="R495" s="4">
        <f ca="1">_xlfn.IFNA(VLOOKUP(INDIRECT("G"&amp;ROW()),minfo!$A:$M,COLUMN()-8,0),"")</f>
        <v>0</v>
      </c>
      <c r="S495" s="4">
        <f ca="1">_xlfn.IFNA(VLOOKUP(INDIRECT("G"&amp;ROW()),minfo!$A:$M,COLUMN()-8,0),"")</f>
        <v>0</v>
      </c>
      <c r="T495" s="4">
        <f ca="1">_xlfn.IFNA(VLOOKUP(INDIRECT("G"&amp;ROW()),minfo!$A:$M,COLUMN()-8,0),"")</f>
        <v>0</v>
      </c>
      <c r="U495" s="4">
        <f ca="1">_xlfn.IFNA(VLOOKUP(INDIRECT("G"&amp;ROW()),minfo!$A:$M,COLUMN()-8,0),"")</f>
        <v>0</v>
      </c>
    </row>
    <row r="496" spans="1:21" ht="15.75" customHeight="1">
      <c r="A496" s="15">
        <v>495</v>
      </c>
      <c r="B496" s="4" t="s">
        <v>4069</v>
      </c>
      <c r="C496" s="4">
        <v>496</v>
      </c>
      <c r="D496" s="4">
        <v>105</v>
      </c>
      <c r="E496" s="4" t="s">
        <v>4070</v>
      </c>
      <c r="F496" s="16">
        <v>45160</v>
      </c>
      <c r="G496" s="5" t="s">
        <v>203</v>
      </c>
      <c r="H496" s="5" t="s">
        <v>3961</v>
      </c>
      <c r="I496" s="24" t="str">
        <f>HYPERLINK("https://www.bilibili.com/video/BV1gz4y147yu?p=105", "BV1gz4y147yu?p=105")</f>
        <v>BV1gz4y147yu?p=105</v>
      </c>
      <c r="J496" s="4" t="str">
        <f ca="1">_xlfn.IFNA(VLOOKUP(INDIRECT("G"&amp;ROW()),minfo!$A:$M,COLUMN()-8,0),"")</f>
        <v>不问天</v>
      </c>
      <c r="K496" s="4" t="str">
        <f ca="1">_xlfn.IFNA(VLOOKUP(INDIRECT("G"&amp;ROW()),minfo!$A:$M,COLUMN()-8,0),"")</f>
        <v>说说Crystal</v>
      </c>
      <c r="L496" s="4">
        <f ca="1">_xlfn.IFNA(VLOOKUP(INDIRECT("G"&amp;ROW()),minfo!$A:$M,COLUMN()-8,0),"")</f>
        <v>0</v>
      </c>
      <c r="M496" s="4">
        <f ca="1">_xlfn.IFNA(VLOOKUP(INDIRECT("G"&amp;ROW()),minfo!$A:$M,COLUMN()-8,0),"")</f>
        <v>0</v>
      </c>
      <c r="N496" s="4">
        <f ca="1">_xlfn.IFNA(VLOOKUP(INDIRECT("G"&amp;ROW()),minfo!$A:$M,COLUMN()-8,0),"")</f>
        <v>0</v>
      </c>
      <c r="O496" s="4" t="str">
        <f ca="1">_xlfn.IFNA(VLOOKUP(INDIRECT("G"&amp;ROW()),minfo!$A:$M,COLUMN()-8,0),"")</f>
        <v>https://i0.hdslb.com/bfs/station_src/music_metadata/ce3a0da2a7e64a49fa42a6e3db521f57.jpg</v>
      </c>
      <c r="P496" s="4" t="str">
        <f ca="1">_xlfn.IFNA(VLOOKUP(INDIRECT("G"&amp;ROW()),minfo!$A:$M,COLUMN()-8,0),"")</f>
        <v>https://i0.hdslb.com/bfs/station_src/music_metadata/02cd9198a33924449443fc704a92a25a.txt</v>
      </c>
      <c r="Q496" s="4">
        <f ca="1">_xlfn.IFNA(VLOOKUP(INDIRECT("G"&amp;ROW()),minfo!$A:$M,COLUMN()-8,0),"")</f>
        <v>149</v>
      </c>
      <c r="R496" s="4">
        <f ca="1">_xlfn.IFNA(VLOOKUP(INDIRECT("G"&amp;ROW()),minfo!$A:$M,COLUMN()-8,0),"")</f>
        <v>0</v>
      </c>
      <c r="S496" s="4" t="str">
        <f ca="1">_xlfn.IFNA(VLOOKUP(INDIRECT("G"&amp;ROW()),minfo!$A:$M,COLUMN()-8,0),"")</f>
        <v>2021哔哩哔哩拜年纪</v>
      </c>
      <c r="T496" s="4">
        <f ca="1">_xlfn.IFNA(VLOOKUP(INDIRECT("G"&amp;ROW()),minfo!$A:$M,COLUMN()-8,0),"")</f>
        <v>33137051</v>
      </c>
      <c r="U496" s="4">
        <f ca="1">_xlfn.IFNA(VLOOKUP(INDIRECT("G"&amp;ROW()),minfo!$A:$M,COLUMN()-8,0),"")</f>
        <v>0</v>
      </c>
    </row>
    <row r="497" spans="1:21" ht="15.75" customHeight="1">
      <c r="A497" s="15">
        <v>496</v>
      </c>
      <c r="B497" s="4" t="s">
        <v>4071</v>
      </c>
      <c r="C497" s="4">
        <v>497</v>
      </c>
      <c r="D497" s="4">
        <v>106</v>
      </c>
      <c r="E497" s="4" t="s">
        <v>1428</v>
      </c>
      <c r="F497" s="16">
        <v>45161</v>
      </c>
      <c r="G497" s="5" t="s">
        <v>1427</v>
      </c>
      <c r="H497" s="5" t="s">
        <v>3961</v>
      </c>
      <c r="I497" s="24" t="str">
        <f>HYPERLINK("https://www.bilibili.com/video/BV1gz4y147yu?p=106", "BV1gz4y147yu?p=106")</f>
        <v>BV1gz4y147yu?p=106</v>
      </c>
      <c r="J497" s="4" t="str">
        <f ca="1">_xlfn.IFNA(VLOOKUP(INDIRECT("G"&amp;ROW()),minfo!$A:$M,COLUMN()-8,0),"")</f>
        <v>一个人</v>
      </c>
      <c r="K497" s="4" t="str">
        <f ca="1">_xlfn.IFNA(VLOOKUP(INDIRECT("G"&amp;ROW()),minfo!$A:$M,COLUMN()-8,0),"")</f>
        <v>黄铃凯,吴青峰</v>
      </c>
      <c r="L497" s="4">
        <f ca="1">_xlfn.IFNA(VLOOKUP(INDIRECT("G"&amp;ROW()),minfo!$A:$M,COLUMN()-8,0),"")</f>
        <v>0</v>
      </c>
      <c r="M497" s="4">
        <f ca="1">_xlfn.IFNA(VLOOKUP(INDIRECT("G"&amp;ROW()),minfo!$A:$M,COLUMN()-8,0),"")</f>
        <v>0</v>
      </c>
      <c r="N497" s="4">
        <f ca="1">_xlfn.IFNA(VLOOKUP(INDIRECT("G"&amp;ROW()),minfo!$A:$M,COLUMN()-8,0),"")</f>
        <v>0</v>
      </c>
      <c r="O497" s="4" t="str">
        <f ca="1">_xlfn.IFNA(VLOOKUP(INDIRECT("G"&amp;ROW()),minfo!$A:$M,COLUMN()-8,0),"")</f>
        <v>https://i0.hdslb.com/bfs/station_src/music_metadata/82d9b0e5b48d60f44bc2df2977abcbc6.jpg</v>
      </c>
      <c r="P497" s="4" t="str">
        <f ca="1">_xlfn.IFNA(VLOOKUP(INDIRECT("G"&amp;ROW()),minfo!$A:$M,COLUMN()-8,0),"")</f>
        <v>https://i0.hdslb.com/bfs/station_src/music_metadata/4f320c6331203727bd8e81c3afdf2762.txt</v>
      </c>
      <c r="Q497" s="4">
        <f ca="1">_xlfn.IFNA(VLOOKUP(INDIRECT("G"&amp;ROW()),minfo!$A:$M,COLUMN()-8,0),"")</f>
        <v>4</v>
      </c>
      <c r="R497" s="4">
        <f ca="1">_xlfn.IFNA(VLOOKUP(INDIRECT("G"&amp;ROW()),minfo!$A:$M,COLUMN()-8,0),"")</f>
        <v>0</v>
      </c>
      <c r="S497" s="4" t="str">
        <f ca="1">_xlfn.IFNA(VLOOKUP(INDIRECT("G"&amp;ROW()),minfo!$A:$M,COLUMN()-8,0),"")</f>
        <v>中国好歌曲第一季 总决赛</v>
      </c>
      <c r="T497" s="4">
        <f ca="1">_xlfn.IFNA(VLOOKUP(INDIRECT("G"&amp;ROW()),minfo!$A:$M,COLUMN()-8,0),"")</f>
        <v>3929581</v>
      </c>
      <c r="U497" s="4">
        <f ca="1">_xlfn.IFNA(VLOOKUP(INDIRECT("G"&amp;ROW()),minfo!$A:$M,COLUMN()-8,0),"")</f>
        <v>0</v>
      </c>
    </row>
    <row r="498" spans="1:21" ht="15.75" customHeight="1">
      <c r="A498" s="15">
        <v>497</v>
      </c>
      <c r="B498" s="4" t="s">
        <v>4072</v>
      </c>
      <c r="C498" s="4">
        <v>498</v>
      </c>
      <c r="D498" s="4">
        <v>107</v>
      </c>
      <c r="E498" s="4" t="s">
        <v>1434</v>
      </c>
      <c r="F498" s="16">
        <v>45161</v>
      </c>
      <c r="G498" s="5" t="s">
        <v>1433</v>
      </c>
      <c r="H498" s="5" t="s">
        <v>3961</v>
      </c>
      <c r="I498" s="24" t="str">
        <f>HYPERLINK("https://www.bilibili.com/video/BV1gz4y147yu?p=107", "BV1gz4y147yu?p=107")</f>
        <v>BV1gz4y147yu?p=107</v>
      </c>
      <c r="J498" s="4" t="str">
        <f ca="1">_xlfn.IFNA(VLOOKUP(INDIRECT("G"&amp;ROW()),minfo!$A:$M,COLUMN()-8,0),"")</f>
        <v>你啊你啊</v>
      </c>
      <c r="K498" s="4" t="str">
        <f ca="1">_xlfn.IFNA(VLOOKUP(INDIRECT("G"&amp;ROW()),minfo!$A:$M,COLUMN()-8,0),"")</f>
        <v>魏如萱</v>
      </c>
      <c r="L498" s="4">
        <f ca="1">_xlfn.IFNA(VLOOKUP(INDIRECT("G"&amp;ROW()),minfo!$A:$M,COLUMN()-8,0),"")</f>
        <v>0</v>
      </c>
      <c r="M498" s="4">
        <f ca="1">_xlfn.IFNA(VLOOKUP(INDIRECT("G"&amp;ROW()),minfo!$A:$M,COLUMN()-8,0),"")</f>
        <v>0</v>
      </c>
      <c r="N498" s="4">
        <f ca="1">_xlfn.IFNA(VLOOKUP(INDIRECT("G"&amp;ROW()),minfo!$A:$M,COLUMN()-8,0),"")</f>
        <v>0</v>
      </c>
      <c r="O498" s="4" t="str">
        <f ca="1">_xlfn.IFNA(VLOOKUP(INDIRECT("G"&amp;ROW()),minfo!$A:$M,COLUMN()-8,0),"")</f>
        <v>https://i0.hdslb.com/bfs/station_src/music_metadata/9636f8642428f1f3347f6cc3b66a1b94.jpg</v>
      </c>
      <c r="P498" s="4" t="str">
        <f ca="1">_xlfn.IFNA(VLOOKUP(INDIRECT("G"&amp;ROW()),minfo!$A:$M,COLUMN()-8,0),"")</f>
        <v>http://i0.hdslb.com/bfs/station_src/music_metadata/05ff6c9faa056ccafc6e20d96ce6e3f2</v>
      </c>
      <c r="Q498" s="4">
        <f ca="1">_xlfn.IFNA(VLOOKUP(INDIRECT("G"&amp;ROW()),minfo!$A:$M,COLUMN()-8,0),"")</f>
        <v>576</v>
      </c>
      <c r="R498" s="4" t="str">
        <f ca="1">_xlfn.IFNA(VLOOKUP(INDIRECT("G"&amp;ROW()),minfo!$A:$M,COLUMN()-8,0),"")</f>
        <v>《用九柑仔店》电视剧插曲</v>
      </c>
      <c r="S498" s="4" t="str">
        <f ca="1">_xlfn.IFNA(VLOOKUP(INDIRECT("G"&amp;ROW()),minfo!$A:$M,COLUMN()-8,0),"")</f>
        <v>末路狂花</v>
      </c>
      <c r="T498" s="4">
        <f ca="1">_xlfn.IFNA(VLOOKUP(INDIRECT("G"&amp;ROW()),minfo!$A:$M,COLUMN()-8,0),"")</f>
        <v>61646853</v>
      </c>
      <c r="U498" s="4">
        <f ca="1">_xlfn.IFNA(VLOOKUP(INDIRECT("G"&amp;ROW()),minfo!$A:$M,COLUMN()-8,0),"")</f>
        <v>0</v>
      </c>
    </row>
    <row r="499" spans="1:21" ht="15.75" customHeight="1">
      <c r="A499" s="15">
        <v>498</v>
      </c>
      <c r="B499" s="4" t="s">
        <v>4073</v>
      </c>
      <c r="C499" s="4">
        <v>499</v>
      </c>
      <c r="D499" s="4">
        <v>108</v>
      </c>
      <c r="E499" s="4" t="s">
        <v>4074</v>
      </c>
      <c r="F499" s="16">
        <v>45161</v>
      </c>
      <c r="G499" s="5" t="s">
        <v>1440</v>
      </c>
      <c r="H499" s="5" t="s">
        <v>3961</v>
      </c>
      <c r="I499" s="24" t="str">
        <f>HYPERLINK("https://www.bilibili.com/video/BV1gz4y147yu?p=108", "BV1gz4y147yu?p=108")</f>
        <v>BV1gz4y147yu?p=108</v>
      </c>
      <c r="J499" s="4" t="str">
        <f ca="1">_xlfn.IFNA(VLOOKUP(INDIRECT("G"&amp;ROW()),minfo!$A:$M,COLUMN()-8,0),"")</f>
        <v>看得最远的地方</v>
      </c>
      <c r="K499" s="4" t="str">
        <f ca="1">_xlfn.IFNA(VLOOKUP(INDIRECT("G"&amp;ROW()),minfo!$A:$M,COLUMN()-8,0),"")</f>
        <v>张韶涵</v>
      </c>
      <c r="L499" s="4">
        <f ca="1">_xlfn.IFNA(VLOOKUP(INDIRECT("G"&amp;ROW()),minfo!$A:$M,COLUMN()-8,0),"")</f>
        <v>0</v>
      </c>
      <c r="M499" s="4">
        <f ca="1">_xlfn.IFNA(VLOOKUP(INDIRECT("G"&amp;ROW()),minfo!$A:$M,COLUMN()-8,0),"")</f>
        <v>0</v>
      </c>
      <c r="N499" s="4">
        <f ca="1">_xlfn.IFNA(VLOOKUP(INDIRECT("G"&amp;ROW()),minfo!$A:$M,COLUMN()-8,0),"")</f>
        <v>0</v>
      </c>
      <c r="O499" s="4" t="str">
        <f ca="1">_xlfn.IFNA(VLOOKUP(INDIRECT("G"&amp;ROW()),minfo!$A:$M,COLUMN()-8,0),"")</f>
        <v>http://i0.hdslb.com/bfs/station_src/music_metadata/9322541561a8ea8bf5994345bd442ee0.jpg</v>
      </c>
      <c r="P499" s="4" t="str">
        <f ca="1">_xlfn.IFNA(VLOOKUP(INDIRECT("G"&amp;ROW()),minfo!$A:$M,COLUMN()-8,0),"")</f>
        <v>http://i0.hdslb.com/bfs/station_src/music_metadata/12ffa6a40a1d3e55c4c95c5bf8cf65b6</v>
      </c>
      <c r="Q499" s="4">
        <f ca="1">_xlfn.IFNA(VLOOKUP(INDIRECT("G"&amp;ROW()),minfo!$A:$M,COLUMN()-8,0),"")</f>
        <v>550</v>
      </c>
      <c r="R499" s="4" t="str">
        <f ca="1">_xlfn.IFNA(VLOOKUP(INDIRECT("G"&amp;ROW()),minfo!$A:$M,COLUMN()-8,0),"")</f>
        <v>《爱的谎言》韩剧片尾曲</v>
      </c>
      <c r="S499" s="4" t="str">
        <f ca="1">_xlfn.IFNA(VLOOKUP(INDIRECT("G"&amp;ROW()),minfo!$A:$M,COLUMN()-8,0),"")</f>
        <v>非常完美 电影原声带</v>
      </c>
      <c r="T499" s="4">
        <f ca="1">_xlfn.IFNA(VLOOKUP(INDIRECT("G"&amp;ROW()),minfo!$A:$M,COLUMN()-8,0),"")</f>
        <v>168634997</v>
      </c>
      <c r="U499" s="4">
        <f ca="1">_xlfn.IFNA(VLOOKUP(INDIRECT("G"&amp;ROW()),minfo!$A:$M,COLUMN()-8,0),"")</f>
        <v>0</v>
      </c>
    </row>
    <row r="500" spans="1:21" ht="15.75" customHeight="1">
      <c r="A500" s="15">
        <v>499</v>
      </c>
      <c r="B500" s="4" t="s">
        <v>4075</v>
      </c>
      <c r="C500" s="4">
        <v>500</v>
      </c>
      <c r="D500" s="4">
        <v>109</v>
      </c>
      <c r="E500" s="4" t="s">
        <v>1447</v>
      </c>
      <c r="F500" s="16">
        <v>45161</v>
      </c>
      <c r="G500" s="5" t="s">
        <v>1446</v>
      </c>
      <c r="H500" s="5" t="s">
        <v>3961</v>
      </c>
      <c r="I500" s="24" t="str">
        <f>HYPERLINK("https://www.bilibili.com/video/BV1gz4y147yu?p=109", "BV1gz4y147yu?p=109")</f>
        <v>BV1gz4y147yu?p=109</v>
      </c>
      <c r="J500" s="4" t="str">
        <f ca="1">_xlfn.IFNA(VLOOKUP(INDIRECT("G"&amp;ROW()),minfo!$A:$M,COLUMN()-8,0),"")</f>
        <v>淋雨一直走</v>
      </c>
      <c r="K500" s="4" t="str">
        <f ca="1">_xlfn.IFNA(VLOOKUP(INDIRECT("G"&amp;ROW()),minfo!$A:$M,COLUMN()-8,0),"")</f>
        <v>张韶涵</v>
      </c>
      <c r="L500" s="4">
        <f ca="1">_xlfn.IFNA(VLOOKUP(INDIRECT("G"&amp;ROW()),minfo!$A:$M,COLUMN()-8,0),"")</f>
        <v>0</v>
      </c>
      <c r="M500" s="4">
        <f ca="1">_xlfn.IFNA(VLOOKUP(INDIRECT("G"&amp;ROW()),minfo!$A:$M,COLUMN()-8,0),"")</f>
        <v>0</v>
      </c>
      <c r="N500" s="4">
        <f ca="1">_xlfn.IFNA(VLOOKUP(INDIRECT("G"&amp;ROW()),minfo!$A:$M,COLUMN()-8,0),"")</f>
        <v>0</v>
      </c>
      <c r="O500" s="4" t="str">
        <f ca="1">_xlfn.IFNA(VLOOKUP(INDIRECT("G"&amp;ROW()),minfo!$A:$M,COLUMN()-8,0),"")</f>
        <v>http://i0.hdslb.com/bfs/station_src/music_metadata/9cb2a9808b96e53d44684033bfe70e69.jpg</v>
      </c>
      <c r="P500" s="4" t="str">
        <f ca="1">_xlfn.IFNA(VLOOKUP(INDIRECT("G"&amp;ROW()),minfo!$A:$M,COLUMN()-8,0),"")</f>
        <v>http://i0.hdslb.com/bfs/station_src/music_metadata/33fe688ec26e02462db14743a2130485</v>
      </c>
      <c r="Q500" s="4">
        <f ca="1">_xlfn.IFNA(VLOOKUP(INDIRECT("G"&amp;ROW()),minfo!$A:$M,COLUMN()-8,0),"")</f>
        <v>1024</v>
      </c>
      <c r="R500" s="4">
        <f ca="1">_xlfn.IFNA(VLOOKUP(INDIRECT("G"&amp;ROW()),minfo!$A:$M,COLUMN()-8,0),"")</f>
        <v>0</v>
      </c>
      <c r="S500" s="4" t="str">
        <f ca="1">_xlfn.IFNA(VLOOKUP(INDIRECT("G"&amp;ROW()),minfo!$A:$M,COLUMN()-8,0),"")</f>
        <v>有形的翅膀</v>
      </c>
      <c r="T500" s="4">
        <f ca="1">_xlfn.IFNA(VLOOKUP(INDIRECT("G"&amp;ROW()),minfo!$A:$M,COLUMN()-8,0),"")</f>
        <v>184926363</v>
      </c>
      <c r="U500" s="4">
        <f ca="1">_xlfn.IFNA(VLOOKUP(INDIRECT("G"&amp;ROW()),minfo!$A:$M,COLUMN()-8,0),"")</f>
        <v>0</v>
      </c>
    </row>
    <row r="501" spans="1:21" ht="15.75" customHeight="1">
      <c r="A501" s="15">
        <v>500</v>
      </c>
      <c r="B501" s="4" t="s">
        <v>4076</v>
      </c>
      <c r="C501" s="4">
        <v>501</v>
      </c>
      <c r="D501" s="4">
        <v>110</v>
      </c>
      <c r="E501" s="4" t="s">
        <v>985</v>
      </c>
      <c r="F501" s="16">
        <v>45161</v>
      </c>
      <c r="G501" s="5" t="s">
        <v>984</v>
      </c>
      <c r="H501" s="5" t="s">
        <v>3961</v>
      </c>
      <c r="I501" s="24" t="str">
        <f>HYPERLINK("https://www.bilibili.com/video/BV1gz4y147yu?p=110", "BV1gz4y147yu?p=110")</f>
        <v>BV1gz4y147yu?p=110</v>
      </c>
      <c r="J501" s="4" t="str">
        <f ca="1">_xlfn.IFNA(VLOOKUP(INDIRECT("G"&amp;ROW()),minfo!$A:$M,COLUMN()-8,0),"")</f>
        <v>黑色幽默</v>
      </c>
      <c r="K501" s="4" t="str">
        <f ca="1">_xlfn.IFNA(VLOOKUP(INDIRECT("G"&amp;ROW()),minfo!$A:$M,COLUMN()-8,0),"")</f>
        <v>周杰伦</v>
      </c>
      <c r="L501" s="4">
        <f ca="1">_xlfn.IFNA(VLOOKUP(INDIRECT("G"&amp;ROW()),minfo!$A:$M,COLUMN()-8,0),"")</f>
        <v>0</v>
      </c>
      <c r="M501" s="4">
        <f ca="1">_xlfn.IFNA(VLOOKUP(INDIRECT("G"&amp;ROW()),minfo!$A:$M,COLUMN()-8,0),"")</f>
        <v>0</v>
      </c>
      <c r="N501" s="4">
        <f ca="1">_xlfn.IFNA(VLOOKUP(INDIRECT("G"&amp;ROW()),minfo!$A:$M,COLUMN()-8,0),"")</f>
        <v>0</v>
      </c>
      <c r="O501" s="4" t="str">
        <f ca="1">_xlfn.IFNA(VLOOKUP(INDIRECT("G"&amp;ROW()),minfo!$A:$M,COLUMN()-8,0),"")</f>
        <v>http://i0.hdslb.com/bfs/station_src/music_metadata/8b249713403b3d00ccd102426b9ebda9.jpg</v>
      </c>
      <c r="P501" s="4" t="str">
        <f ca="1">_xlfn.IFNA(VLOOKUP(INDIRECT("G"&amp;ROW()),minfo!$A:$M,COLUMN()-8,0),"")</f>
        <v>http://i0.hdslb.com/bfs/station_src/music_metadata/f8d85e0e293c6e2811bc4a179f6f1d41</v>
      </c>
      <c r="Q501" s="4">
        <f ca="1">_xlfn.IFNA(VLOOKUP(INDIRECT("G"&amp;ROW()),minfo!$A:$M,COLUMN()-8,0),"")</f>
        <v>1040</v>
      </c>
      <c r="R501" s="4">
        <f ca="1">_xlfn.IFNA(VLOOKUP(INDIRECT("G"&amp;ROW()),minfo!$A:$M,COLUMN()-8,0),"")</f>
        <v>0</v>
      </c>
      <c r="S501" s="4" t="str">
        <f ca="1">_xlfn.IFNA(VLOOKUP(INDIRECT("G"&amp;ROW()),minfo!$A:$M,COLUMN()-8,0),"")</f>
        <v>Jay</v>
      </c>
      <c r="T501" s="4">
        <f ca="1">_xlfn.IFNA(VLOOKUP(INDIRECT("G"&amp;ROW()),minfo!$A:$M,COLUMN()-8,0),"")</f>
        <v>294619498</v>
      </c>
      <c r="U501" s="4">
        <f ca="1">_xlfn.IFNA(VLOOKUP(INDIRECT("G"&amp;ROW()),minfo!$A:$M,COLUMN()-8,0),"")</f>
        <v>0</v>
      </c>
    </row>
    <row r="502" spans="1:21" ht="15.75" customHeight="1">
      <c r="A502" s="15">
        <v>501</v>
      </c>
      <c r="B502" s="4" t="s">
        <v>4077</v>
      </c>
      <c r="C502" s="4">
        <v>502</v>
      </c>
      <c r="D502" s="4">
        <v>111</v>
      </c>
      <c r="E502" s="4" t="s">
        <v>1451</v>
      </c>
      <c r="F502" s="16">
        <v>45161</v>
      </c>
      <c r="G502" s="5" t="s">
        <v>1450</v>
      </c>
      <c r="H502" s="5" t="s">
        <v>3961</v>
      </c>
      <c r="I502" s="24" t="str">
        <f>HYPERLINK("https://www.bilibili.com/video/BV1gz4y147yu?p=111", "BV1gz4y147yu?p=111")</f>
        <v>BV1gz4y147yu?p=111</v>
      </c>
      <c r="J502" s="4" t="str">
        <f ca="1">_xlfn.IFNA(VLOOKUP(INDIRECT("G"&amp;ROW()),minfo!$A:$M,COLUMN()-8,0),"")</f>
        <v>爱</v>
      </c>
      <c r="K502" s="4" t="str">
        <f ca="1">_xlfn.IFNA(VLOOKUP(INDIRECT("G"&amp;ROW()),minfo!$A:$M,COLUMN()-8,0),"")</f>
        <v>莫文蔚</v>
      </c>
      <c r="L502" s="4">
        <f ca="1">_xlfn.IFNA(VLOOKUP(INDIRECT("G"&amp;ROW()),minfo!$A:$M,COLUMN()-8,0),"")</f>
        <v>0</v>
      </c>
      <c r="M502" s="4">
        <f ca="1">_xlfn.IFNA(VLOOKUP(INDIRECT("G"&amp;ROW()),minfo!$A:$M,COLUMN()-8,0),"")</f>
        <v>0</v>
      </c>
      <c r="N502" s="4">
        <f ca="1">_xlfn.IFNA(VLOOKUP(INDIRECT("G"&amp;ROW()),minfo!$A:$M,COLUMN()-8,0),"")</f>
        <v>0</v>
      </c>
      <c r="O502" s="4" t="str">
        <f ca="1">_xlfn.IFNA(VLOOKUP(INDIRECT("G"&amp;ROW()),minfo!$A:$M,COLUMN()-8,0),"")</f>
        <v>https://i0.hdslb.com/bfs/station_src/music_metadata/af470c58e628d8785792917f90c60d13.jpg</v>
      </c>
      <c r="P502" s="4" t="str">
        <f ca="1">_xlfn.IFNA(VLOOKUP(INDIRECT("G"&amp;ROW()),minfo!$A:$M,COLUMN()-8,0),"")</f>
        <v>https://i0.hdslb.com/bfs/station_src/music_metadata/4a698382a93be802db96791cf23fa0f9.txt</v>
      </c>
      <c r="Q502" s="4">
        <f ca="1">_xlfn.IFNA(VLOOKUP(INDIRECT("G"&amp;ROW()),minfo!$A:$M,COLUMN()-8,0),"")</f>
        <v>85</v>
      </c>
      <c r="R502" s="4">
        <f ca="1">_xlfn.IFNA(VLOOKUP(INDIRECT("G"&amp;ROW()),minfo!$A:$M,COLUMN()-8,0),"")</f>
        <v>0</v>
      </c>
      <c r="S502" s="4" t="str">
        <f ca="1">_xlfn.IFNA(VLOOKUP(INDIRECT("G"&amp;ROW()),minfo!$A:$M,COLUMN()-8,0),"")</f>
        <v>[i]</v>
      </c>
      <c r="T502" s="4">
        <f ca="1">_xlfn.IFNA(VLOOKUP(INDIRECT("G"&amp;ROW()),minfo!$A:$M,COLUMN()-8,0),"")</f>
        <v>21188773</v>
      </c>
      <c r="U502" s="4">
        <f ca="1">_xlfn.IFNA(VLOOKUP(INDIRECT("G"&amp;ROW()),minfo!$A:$M,COLUMN()-8,0),"")</f>
        <v>0</v>
      </c>
    </row>
    <row r="503" spans="1:21" ht="15.75" customHeight="1">
      <c r="A503" s="15">
        <v>502</v>
      </c>
      <c r="B503" s="4" t="s">
        <v>4078</v>
      </c>
      <c r="C503" s="4">
        <v>503</v>
      </c>
      <c r="D503" s="4">
        <v>112</v>
      </c>
      <c r="E503" s="4" t="s">
        <v>1456</v>
      </c>
      <c r="F503" s="16">
        <v>45161</v>
      </c>
      <c r="G503" s="5" t="s">
        <v>1455</v>
      </c>
      <c r="H503" s="5" t="s">
        <v>3961</v>
      </c>
      <c r="I503" s="24" t="str">
        <f>HYPERLINK("https://www.bilibili.com/video/BV1gz4y147yu?p=112", "BV1gz4y147yu?p=112")</f>
        <v>BV1gz4y147yu?p=112</v>
      </c>
      <c r="J503" s="4" t="str">
        <f ca="1">_xlfn.IFNA(VLOOKUP(INDIRECT("G"&amp;ROW()),minfo!$A:$M,COLUMN()-8,0),"")</f>
        <v>小精灵</v>
      </c>
      <c r="K503" s="4" t="str">
        <f ca="1">_xlfn.IFNA(VLOOKUP(INDIRECT("G"&amp;ROW()),minfo!$A:$M,COLUMN()-8,0),"")</f>
        <v>TFBOYS</v>
      </c>
      <c r="L503" s="4">
        <f ca="1">_xlfn.IFNA(VLOOKUP(INDIRECT("G"&amp;ROW()),minfo!$A:$M,COLUMN()-8,0),"")</f>
        <v>0</v>
      </c>
      <c r="M503" s="4">
        <f ca="1">_xlfn.IFNA(VLOOKUP(INDIRECT("G"&amp;ROW()),minfo!$A:$M,COLUMN()-8,0),"")</f>
        <v>0</v>
      </c>
      <c r="N503" s="4">
        <f ca="1">_xlfn.IFNA(VLOOKUP(INDIRECT("G"&amp;ROW()),minfo!$A:$M,COLUMN()-8,0),"")</f>
        <v>0</v>
      </c>
      <c r="O503" s="4" t="str">
        <f ca="1">_xlfn.IFNA(VLOOKUP(INDIRECT("G"&amp;ROW()),minfo!$A:$M,COLUMN()-8,0),"")</f>
        <v>https://i0.hdslb.com/bfs/station_src/music_metadata/4f4e8d0557d68e38a177ab168433a8fa.jpg</v>
      </c>
      <c r="P503" s="4" t="str">
        <f ca="1">_xlfn.IFNA(VLOOKUP(INDIRECT("G"&amp;ROW()),minfo!$A:$M,COLUMN()-8,0),"")</f>
        <v>https://i0.hdslb.com/bfs/station_src/music_metadata/fc82c2697eef2777de0dac5160dc3f96.txt</v>
      </c>
      <c r="Q503" s="4">
        <f ca="1">_xlfn.IFNA(VLOOKUP(INDIRECT("G"&amp;ROW()),minfo!$A:$M,COLUMN()-8,0),"")</f>
        <v>144</v>
      </c>
      <c r="R503" s="4">
        <f ca="1">_xlfn.IFNA(VLOOKUP(INDIRECT("G"&amp;ROW()),minfo!$A:$M,COLUMN()-8,0),"")</f>
        <v>0</v>
      </c>
      <c r="S503" s="4" t="str">
        <f ca="1">_xlfn.IFNA(VLOOKUP(INDIRECT("G"&amp;ROW()),minfo!$A:$M,COLUMN()-8,0),"")</f>
        <v>我们的时光</v>
      </c>
      <c r="T503" s="4">
        <f ca="1">_xlfn.IFNA(VLOOKUP(INDIRECT("G"&amp;ROW()),minfo!$A:$M,COLUMN()-8,0),"")</f>
        <v>89378664</v>
      </c>
      <c r="U503" s="4">
        <f ca="1">_xlfn.IFNA(VLOOKUP(INDIRECT("G"&amp;ROW()),minfo!$A:$M,COLUMN()-8,0),"")</f>
        <v>0</v>
      </c>
    </row>
    <row r="504" spans="1:21" ht="15.75" customHeight="1">
      <c r="A504" s="15">
        <v>503</v>
      </c>
      <c r="B504" s="4" t="s">
        <v>4079</v>
      </c>
      <c r="C504" s="4">
        <v>504</v>
      </c>
      <c r="D504" s="4">
        <v>113</v>
      </c>
      <c r="E504" s="4" t="s">
        <v>879</v>
      </c>
      <c r="F504" s="16">
        <v>45163</v>
      </c>
      <c r="G504" s="5" t="s">
        <v>1461</v>
      </c>
      <c r="H504" s="5" t="s">
        <v>3961</v>
      </c>
      <c r="I504" s="24" t="str">
        <f>HYPERLINK("https://www.bilibili.com/video/BV1gz4y147yu?p=113", "BV1gz4y147yu?p=113")</f>
        <v>BV1gz4y147yu?p=113</v>
      </c>
      <c r="J504" s="4" t="str">
        <f ca="1">_xlfn.IFNA(VLOOKUP(INDIRECT("G"&amp;ROW()),minfo!$A:$M,COLUMN()-8,0),"")</f>
        <v>发如雪</v>
      </c>
      <c r="K504" s="4" t="str">
        <f ca="1">_xlfn.IFNA(VLOOKUP(INDIRECT("G"&amp;ROW()),minfo!$A:$M,COLUMN()-8,0),"")</f>
        <v>发如雪 – 周杰伦</v>
      </c>
      <c r="L504" s="4">
        <f ca="1">_xlfn.IFNA(VLOOKUP(INDIRECT("G"&amp;ROW()),minfo!$A:$M,COLUMN()-8,0),"")</f>
        <v>0</v>
      </c>
      <c r="M504" s="4">
        <f ca="1">_xlfn.IFNA(VLOOKUP(INDIRECT("G"&amp;ROW()),minfo!$A:$M,COLUMN()-8,0),"")</f>
        <v>0</v>
      </c>
      <c r="N504" s="4">
        <f ca="1">_xlfn.IFNA(VLOOKUP(INDIRECT("G"&amp;ROW()),minfo!$A:$M,COLUMN()-8,0),"")</f>
        <v>0</v>
      </c>
      <c r="O504" s="4" t="str">
        <f ca="1">_xlfn.IFNA(VLOOKUP(INDIRECT("G"&amp;ROW()),minfo!$A:$M,COLUMN()-8,0),"")</f>
        <v>https://i0.hdslb.com/bfs/station_src/music_metadata/0a6cfe79833036f9cb25dd6619684c36.jpg</v>
      </c>
      <c r="P504" s="4">
        <f ca="1">_xlfn.IFNA(VLOOKUP(INDIRECT("G"&amp;ROW()),minfo!$A:$M,COLUMN()-8,0),"")</f>
        <v>0</v>
      </c>
      <c r="Q504" s="4">
        <f ca="1">_xlfn.IFNA(VLOOKUP(INDIRECT("G"&amp;ROW()),minfo!$A:$M,COLUMN()-8,0),"")</f>
        <v>3</v>
      </c>
      <c r="R504" s="4">
        <f ca="1">_xlfn.IFNA(VLOOKUP(INDIRECT("G"&amp;ROW()),minfo!$A:$M,COLUMN()-8,0),"")</f>
        <v>0</v>
      </c>
      <c r="S504" s="4" t="str">
        <f ca="1">_xlfn.IFNA(VLOOKUP(INDIRECT("G"&amp;ROW()),minfo!$A:$M,COLUMN()-8,0),"")</f>
        <v>发如雪 – 周杰伦</v>
      </c>
      <c r="T504" s="4">
        <f ca="1">_xlfn.IFNA(VLOOKUP(INDIRECT("G"&amp;ROW()),minfo!$A:$M,COLUMN()-8,0),"")</f>
        <v>2589419</v>
      </c>
      <c r="U504" s="4">
        <f ca="1">_xlfn.IFNA(VLOOKUP(INDIRECT("G"&amp;ROW()),minfo!$A:$M,COLUMN()-8,0),"")</f>
        <v>0</v>
      </c>
    </row>
    <row r="505" spans="1:21" ht="15.75" customHeight="1">
      <c r="A505" s="15">
        <v>504</v>
      </c>
      <c r="B505" s="4" t="s">
        <v>4080</v>
      </c>
      <c r="C505" s="4">
        <v>505</v>
      </c>
      <c r="D505" s="4">
        <v>114</v>
      </c>
      <c r="E505" s="4" t="s">
        <v>994</v>
      </c>
      <c r="F505" s="16">
        <v>45163</v>
      </c>
      <c r="G505" s="5" t="s">
        <v>993</v>
      </c>
      <c r="H505" s="5" t="s">
        <v>3961</v>
      </c>
      <c r="I505" s="24" t="str">
        <f>HYPERLINK("https://www.bilibili.com/video/BV1gz4y147yu?p=114", "BV1gz4y147yu?p=114")</f>
        <v>BV1gz4y147yu?p=114</v>
      </c>
      <c r="J505" s="4" t="str">
        <f ca="1">_xlfn.IFNA(VLOOKUP(INDIRECT("G"&amp;ROW()),minfo!$A:$M,COLUMN()-8,0),"")</f>
        <v>千里之外</v>
      </c>
      <c r="K505" s="4" t="str">
        <f ca="1">_xlfn.IFNA(VLOOKUP(INDIRECT("G"&amp;ROW()),minfo!$A:$M,COLUMN()-8,0),"")</f>
        <v>周杰伦,费玉清</v>
      </c>
      <c r="L505" s="4">
        <f ca="1">_xlfn.IFNA(VLOOKUP(INDIRECT("G"&amp;ROW()),minfo!$A:$M,COLUMN()-8,0),"")</f>
        <v>0</v>
      </c>
      <c r="M505" s="4">
        <f ca="1">_xlfn.IFNA(VLOOKUP(INDIRECT("G"&amp;ROW()),minfo!$A:$M,COLUMN()-8,0),"")</f>
        <v>0</v>
      </c>
      <c r="N505" s="4">
        <f ca="1">_xlfn.IFNA(VLOOKUP(INDIRECT("G"&amp;ROW()),minfo!$A:$M,COLUMN()-8,0),"")</f>
        <v>0</v>
      </c>
      <c r="O505" s="4" t="str">
        <f ca="1">_xlfn.IFNA(VLOOKUP(INDIRECT("G"&amp;ROW()),minfo!$A:$M,COLUMN()-8,0),"")</f>
        <v>https://i0.hdslb.com/bfs/station_src/music_metadata/93cc2943c40bbf6990bd9e0adeabafe2.jpg</v>
      </c>
      <c r="P505" s="4" t="str">
        <f ca="1">_xlfn.IFNA(VLOOKUP(INDIRECT("G"&amp;ROW()),minfo!$A:$M,COLUMN()-8,0),"")</f>
        <v>http://i0.hdslb.com/bfs/station_src/music_metadata/e8ad99f703c7b523f52b890a4f1946c1</v>
      </c>
      <c r="Q505" s="4">
        <f ca="1">_xlfn.IFNA(VLOOKUP(INDIRECT("G"&amp;ROW()),minfo!$A:$M,COLUMN()-8,0),"")</f>
        <v>1217</v>
      </c>
      <c r="R505" s="4">
        <f ca="1">_xlfn.IFNA(VLOOKUP(INDIRECT("G"&amp;ROW()),minfo!$A:$M,COLUMN()-8,0),"")</f>
        <v>0</v>
      </c>
      <c r="S505" s="4" t="str">
        <f ca="1">_xlfn.IFNA(VLOOKUP(INDIRECT("G"&amp;ROW()),minfo!$A:$M,COLUMN()-8,0),"")</f>
        <v>依然范特西</v>
      </c>
      <c r="T505" s="4">
        <f ca="1">_xlfn.IFNA(VLOOKUP(INDIRECT("G"&amp;ROW()),minfo!$A:$M,COLUMN()-8,0),"")</f>
        <v>391200362</v>
      </c>
      <c r="U505" s="4">
        <f ca="1">_xlfn.IFNA(VLOOKUP(INDIRECT("G"&amp;ROW()),minfo!$A:$M,COLUMN()-8,0),"")</f>
        <v>0</v>
      </c>
    </row>
    <row r="506" spans="1:21" ht="15.75" customHeight="1">
      <c r="A506" s="15">
        <v>505</v>
      </c>
      <c r="B506" s="4" t="s">
        <v>4081</v>
      </c>
      <c r="C506" s="4">
        <v>506</v>
      </c>
      <c r="D506" s="4">
        <v>115</v>
      </c>
      <c r="E506" s="4" t="s">
        <v>319</v>
      </c>
      <c r="F506" s="16">
        <v>45163</v>
      </c>
      <c r="G506" s="5" t="s">
        <v>318</v>
      </c>
      <c r="H506" s="5" t="s">
        <v>3961</v>
      </c>
      <c r="I506" s="24" t="str">
        <f>HYPERLINK("https://www.bilibili.com/video/BV1gz4y147yu?p=115", "BV1gz4y147yu?p=115")</f>
        <v>BV1gz4y147yu?p=115</v>
      </c>
      <c r="J506" s="4" t="str">
        <f ca="1">_xlfn.IFNA(VLOOKUP(INDIRECT("G"&amp;ROW()),minfo!$A:$M,COLUMN()-8,0),"")</f>
        <v>晴天</v>
      </c>
      <c r="K506" s="4" t="str">
        <f ca="1">_xlfn.IFNA(VLOOKUP(INDIRECT("G"&amp;ROW()),minfo!$A:$M,COLUMN()-8,0),"")</f>
        <v>周杰伦</v>
      </c>
      <c r="L506" s="4">
        <f ca="1">_xlfn.IFNA(VLOOKUP(INDIRECT("G"&amp;ROW()),minfo!$A:$M,COLUMN()-8,0),"")</f>
        <v>0</v>
      </c>
      <c r="M506" s="4">
        <f ca="1">_xlfn.IFNA(VLOOKUP(INDIRECT("G"&amp;ROW()),minfo!$A:$M,COLUMN()-8,0),"")</f>
        <v>5048</v>
      </c>
      <c r="N506" s="4">
        <f ca="1">_xlfn.IFNA(VLOOKUP(INDIRECT("G"&amp;ROW()),minfo!$A:$M,COLUMN()-8,0),"")</f>
        <v>135</v>
      </c>
      <c r="O506" s="4" t="str">
        <f ca="1">_xlfn.IFNA(VLOOKUP(INDIRECT("G"&amp;ROW()),minfo!$A:$M,COLUMN()-8,0),"")</f>
        <v>https://i0.hdslb.com/bfs/station_src/music_metadata/2efa8f0df2aff949dee33b3f46a56312.jpg</v>
      </c>
      <c r="P506" s="4">
        <f ca="1">_xlfn.IFNA(VLOOKUP(INDIRECT("G"&amp;ROW()),minfo!$A:$M,COLUMN()-8,0),"")</f>
        <v>0</v>
      </c>
      <c r="Q506" s="4">
        <f ca="1">_xlfn.IFNA(VLOOKUP(INDIRECT("G"&amp;ROW()),minfo!$A:$M,COLUMN()-8,0),"")</f>
        <v>15983</v>
      </c>
      <c r="R506" s="4">
        <f ca="1">_xlfn.IFNA(VLOOKUP(INDIRECT("G"&amp;ROW()),minfo!$A:$M,COLUMN()-8,0),"")</f>
        <v>0</v>
      </c>
      <c r="S506" s="4" t="str">
        <f ca="1">_xlfn.IFNA(VLOOKUP(INDIRECT("G"&amp;ROW()),minfo!$A:$M,COLUMN()-8,0),"")</f>
        <v>叶惠美</v>
      </c>
      <c r="T506" s="4">
        <f ca="1">_xlfn.IFNA(VLOOKUP(INDIRECT("G"&amp;ROW()),minfo!$A:$M,COLUMN()-8,0),"")</f>
        <v>1497162616</v>
      </c>
      <c r="U506" s="4" t="str">
        <f ca="1">_xlfn.IFNA(VLOOKUP(INDIRECT("G"&amp;ROW()),minfo!$A:$M,COLUMN()-8,0),"")</f>
        <v>音乐榜最高NO.8</v>
      </c>
    </row>
    <row r="507" spans="1:21" ht="15.75" customHeight="1">
      <c r="A507" s="15">
        <v>506</v>
      </c>
      <c r="B507" s="4" t="s">
        <v>4082</v>
      </c>
      <c r="C507" s="4">
        <v>507</v>
      </c>
      <c r="D507" s="4">
        <v>116</v>
      </c>
      <c r="E507" s="4" t="s">
        <v>1098</v>
      </c>
      <c r="F507" s="16">
        <v>45163</v>
      </c>
      <c r="G507" s="5" t="s">
        <v>1097</v>
      </c>
      <c r="H507" s="5" t="s">
        <v>3961</v>
      </c>
      <c r="I507" s="24" t="str">
        <f>HYPERLINK("https://www.bilibili.com/video/BV1gz4y147yu?p=116", "BV1gz4y147yu?p=116")</f>
        <v>BV1gz4y147yu?p=116</v>
      </c>
      <c r="J507" s="4" t="str">
        <f ca="1">_xlfn.IFNA(VLOOKUP(INDIRECT("G"&amp;ROW()),minfo!$A:$M,COLUMN()-8,0),"")</f>
        <v>你听得到</v>
      </c>
      <c r="K507" s="4" t="str">
        <f ca="1">_xlfn.IFNA(VLOOKUP(INDIRECT("G"&amp;ROW()),minfo!$A:$M,COLUMN()-8,0),"")</f>
        <v>周杰伦</v>
      </c>
      <c r="L507" s="4">
        <f ca="1">_xlfn.IFNA(VLOOKUP(INDIRECT("G"&amp;ROW()),minfo!$A:$M,COLUMN()-8,0),"")</f>
        <v>0</v>
      </c>
      <c r="M507" s="4">
        <f ca="1">_xlfn.IFNA(VLOOKUP(INDIRECT("G"&amp;ROW()),minfo!$A:$M,COLUMN()-8,0),"")</f>
        <v>0</v>
      </c>
      <c r="N507" s="4">
        <f ca="1">_xlfn.IFNA(VLOOKUP(INDIRECT("G"&amp;ROW()),minfo!$A:$M,COLUMN()-8,0),"")</f>
        <v>0</v>
      </c>
      <c r="O507" s="4" t="str">
        <f ca="1">_xlfn.IFNA(VLOOKUP(INDIRECT("G"&amp;ROW()),minfo!$A:$M,COLUMN()-8,0),"")</f>
        <v>https://i0.hdslb.com/bfs/station_src/music_metadata/29e28424e7d2a4c37f7b84cd0b8b18ba.jpg</v>
      </c>
      <c r="P507" s="4" t="str">
        <f ca="1">_xlfn.IFNA(VLOOKUP(INDIRECT("G"&amp;ROW()),minfo!$A:$M,COLUMN()-8,0),"")</f>
        <v>copyright-crawler/music/task-lyric/62682789504b4c0665226751.txt</v>
      </c>
      <c r="Q507" s="4">
        <f ca="1">_xlfn.IFNA(VLOOKUP(INDIRECT("G"&amp;ROW()),minfo!$A:$M,COLUMN()-8,0),"")</f>
        <v>2198</v>
      </c>
      <c r="R507" s="4" t="str">
        <f ca="1">_xlfn.IFNA(VLOOKUP(INDIRECT("G"&amp;ROW()),minfo!$A:$M,COLUMN()-8,0),"")</f>
        <v>你听得到</v>
      </c>
      <c r="S507" s="4" t="str">
        <f ca="1">_xlfn.IFNA(VLOOKUP(INDIRECT("G"&amp;ROW()),minfo!$A:$M,COLUMN()-8,0),"")</f>
        <v>叶惠美</v>
      </c>
      <c r="T507" s="4">
        <f ca="1">_xlfn.IFNA(VLOOKUP(INDIRECT("G"&amp;ROW()),minfo!$A:$M,COLUMN()-8,0),"")</f>
        <v>280199234</v>
      </c>
      <c r="U507" s="4">
        <f ca="1">_xlfn.IFNA(VLOOKUP(INDIRECT("G"&amp;ROW()),minfo!$A:$M,COLUMN()-8,0),"")</f>
        <v>0</v>
      </c>
    </row>
    <row r="508" spans="1:21" ht="15.75" customHeight="1">
      <c r="A508" s="15">
        <v>507</v>
      </c>
      <c r="B508" s="4" t="s">
        <v>4083</v>
      </c>
      <c r="C508" s="4">
        <v>508</v>
      </c>
      <c r="D508" s="4">
        <v>117</v>
      </c>
      <c r="E508" s="4" t="s">
        <v>1326</v>
      </c>
      <c r="F508" s="16">
        <v>45163</v>
      </c>
      <c r="G508" s="5" t="s">
        <v>1325</v>
      </c>
      <c r="H508" s="5" t="s">
        <v>3961</v>
      </c>
      <c r="I508" s="24" t="str">
        <f>HYPERLINK("https://www.bilibili.com/video/BV1gz4y147yu?p=117", "BV1gz4y147yu?p=117")</f>
        <v>BV1gz4y147yu?p=117</v>
      </c>
      <c r="J508" s="4" t="str">
        <f ca="1">_xlfn.IFNA(VLOOKUP(INDIRECT("G"&amp;ROW()),minfo!$A:$M,COLUMN()-8,0),"")</f>
        <v>东风破</v>
      </c>
      <c r="K508" s="4" t="str">
        <f ca="1">_xlfn.IFNA(VLOOKUP(INDIRECT("G"&amp;ROW()),minfo!$A:$M,COLUMN()-8,0),"")</f>
        <v>周杰伦</v>
      </c>
      <c r="L508" s="4">
        <f ca="1">_xlfn.IFNA(VLOOKUP(INDIRECT("G"&amp;ROW()),minfo!$A:$M,COLUMN()-8,0),"")</f>
        <v>0</v>
      </c>
      <c r="M508" s="4">
        <f ca="1">_xlfn.IFNA(VLOOKUP(INDIRECT("G"&amp;ROW()),minfo!$A:$M,COLUMN()-8,0),"")</f>
        <v>0</v>
      </c>
      <c r="N508" s="4">
        <f ca="1">_xlfn.IFNA(VLOOKUP(INDIRECT("G"&amp;ROW()),minfo!$A:$M,COLUMN()-8,0),"")</f>
        <v>0</v>
      </c>
      <c r="O508" s="4" t="str">
        <f ca="1">_xlfn.IFNA(VLOOKUP(INDIRECT("G"&amp;ROW()),minfo!$A:$M,COLUMN()-8,0),"")</f>
        <v>https://i0.hdslb.com/bfs/station_src/music_metadata/8480d5b9cca7b1a7e5af2101531478e9.jpg</v>
      </c>
      <c r="P508" s="4" t="str">
        <f ca="1">_xlfn.IFNA(VLOOKUP(INDIRECT("G"&amp;ROW()),minfo!$A:$M,COLUMN()-8,0),"")</f>
        <v>copyright-crawler/music/task-lyric/650e6317fad724c0d0113e31.txt</v>
      </c>
      <c r="Q508" s="4">
        <f ca="1">_xlfn.IFNA(VLOOKUP(INDIRECT("G"&amp;ROW()),minfo!$A:$M,COLUMN()-8,0),"")</f>
        <v>1661</v>
      </c>
      <c r="R508" s="4" t="str">
        <f ca="1">_xlfn.IFNA(VLOOKUP(INDIRECT("G"&amp;ROW()),minfo!$A:$M,COLUMN()-8,0),"")</f>
        <v>东风破</v>
      </c>
      <c r="S508" s="4" t="str">
        <f ca="1">_xlfn.IFNA(VLOOKUP(INDIRECT("G"&amp;ROW()),minfo!$A:$M,COLUMN()-8,0),"")</f>
        <v>叶惠美</v>
      </c>
      <c r="T508" s="4">
        <f ca="1">_xlfn.IFNA(VLOOKUP(INDIRECT("G"&amp;ROW()),minfo!$A:$M,COLUMN()-8,0),"")</f>
        <v>406111219</v>
      </c>
      <c r="U508" s="4">
        <f ca="1">_xlfn.IFNA(VLOOKUP(INDIRECT("G"&amp;ROW()),minfo!$A:$M,COLUMN()-8,0),"")</f>
        <v>0</v>
      </c>
    </row>
    <row r="509" spans="1:21" ht="15.75" customHeight="1">
      <c r="A509" s="15">
        <v>508</v>
      </c>
      <c r="B509" s="4" t="s">
        <v>4084</v>
      </c>
      <c r="C509" s="4">
        <v>509</v>
      </c>
      <c r="D509" s="4">
        <v>118</v>
      </c>
      <c r="E509" s="4" t="s">
        <v>259</v>
      </c>
      <c r="F509" s="16">
        <v>45163</v>
      </c>
      <c r="G509" s="5" t="s">
        <v>258</v>
      </c>
      <c r="H509" s="5" t="s">
        <v>3961</v>
      </c>
      <c r="I509" s="24" t="str">
        <f>HYPERLINK("https://www.bilibili.com/video/BV1gz4y147yu?p=118", "BV1gz4y147yu?p=118")</f>
        <v>BV1gz4y147yu?p=118</v>
      </c>
      <c r="J509" s="4" t="str">
        <f ca="1">_xlfn.IFNA(VLOOKUP(INDIRECT("G"&amp;ROW()),minfo!$A:$M,COLUMN()-8,0),"")</f>
        <v>枫</v>
      </c>
      <c r="K509" s="4" t="str">
        <f ca="1">_xlfn.IFNA(VLOOKUP(INDIRECT("G"&amp;ROW()),minfo!$A:$M,COLUMN()-8,0),"")</f>
        <v>周杰伦</v>
      </c>
      <c r="L509" s="4">
        <f ca="1">_xlfn.IFNA(VLOOKUP(INDIRECT("G"&amp;ROW()),minfo!$A:$M,COLUMN()-8,0),"")</f>
        <v>0</v>
      </c>
      <c r="M509" s="4">
        <f ca="1">_xlfn.IFNA(VLOOKUP(INDIRECT("G"&amp;ROW()),minfo!$A:$M,COLUMN()-8,0),"")</f>
        <v>0</v>
      </c>
      <c r="N509" s="4">
        <f ca="1">_xlfn.IFNA(VLOOKUP(INDIRECT("G"&amp;ROW()),minfo!$A:$M,COLUMN()-8,0),"")</f>
        <v>0</v>
      </c>
      <c r="O509" s="4" t="str">
        <f ca="1">_xlfn.IFNA(VLOOKUP(INDIRECT("G"&amp;ROW()),minfo!$A:$M,COLUMN()-8,0),"")</f>
        <v>https://i0.hdslb.com/bfs/station_src/music_metadata/fb82b0fb2908b09d88ba13ef0db91863.jpg</v>
      </c>
      <c r="P509" s="4" t="str">
        <f ca="1">_xlfn.IFNA(VLOOKUP(INDIRECT("G"&amp;ROW()),minfo!$A:$M,COLUMN()-8,0),"")</f>
        <v>http://i0.hdslb.com/bfs/station_src/music_metadata/9b1e7a89ea3eead8b8c6b32cdb30abd9</v>
      </c>
      <c r="Q509" s="4">
        <f ca="1">_xlfn.IFNA(VLOOKUP(INDIRECT("G"&amp;ROW()),minfo!$A:$M,COLUMN()-8,0),"")</f>
        <v>6002</v>
      </c>
      <c r="R509" s="4">
        <f ca="1">_xlfn.IFNA(VLOOKUP(INDIRECT("G"&amp;ROW()),minfo!$A:$M,COLUMN()-8,0),"")</f>
        <v>0</v>
      </c>
      <c r="S509" s="4" t="str">
        <f ca="1">_xlfn.IFNA(VLOOKUP(INDIRECT("G"&amp;ROW()),minfo!$A:$M,COLUMN()-8,0),"")</f>
        <v>十一月的萧邦</v>
      </c>
      <c r="T509" s="4">
        <f ca="1">_xlfn.IFNA(VLOOKUP(INDIRECT("G"&amp;ROW()),minfo!$A:$M,COLUMN()-8,0),"")</f>
        <v>560749777</v>
      </c>
      <c r="U509" s="4">
        <f ca="1">_xlfn.IFNA(VLOOKUP(INDIRECT("G"&amp;ROW()),minfo!$A:$M,COLUMN()-8,0),"")</f>
        <v>0</v>
      </c>
    </row>
    <row r="510" spans="1:21" ht="15.75" customHeight="1">
      <c r="A510" s="15">
        <v>509</v>
      </c>
      <c r="B510" s="4" t="s">
        <v>4085</v>
      </c>
      <c r="C510" s="4">
        <v>510</v>
      </c>
      <c r="D510" s="4">
        <v>119</v>
      </c>
      <c r="E510" s="4" t="s">
        <v>638</v>
      </c>
      <c r="F510" s="16">
        <v>45163</v>
      </c>
      <c r="G510" s="5" t="s">
        <v>637</v>
      </c>
      <c r="H510" s="5" t="s">
        <v>3961</v>
      </c>
      <c r="I510" s="24" t="str">
        <f>HYPERLINK("https://www.bilibili.com/video/BV1gz4y147yu?p=119", "BV1gz4y147yu?p=119")</f>
        <v>BV1gz4y147yu?p=119</v>
      </c>
      <c r="J510" s="4" t="str">
        <f ca="1">_xlfn.IFNA(VLOOKUP(INDIRECT("G"&amp;ROW()),minfo!$A:$M,COLUMN()-8,0),"")</f>
        <v>搁浅</v>
      </c>
      <c r="K510" s="4" t="str">
        <f ca="1">_xlfn.IFNA(VLOOKUP(INDIRECT("G"&amp;ROW()),minfo!$A:$M,COLUMN()-8,0),"")</f>
        <v>周杰伦</v>
      </c>
      <c r="L510" s="4">
        <f ca="1">_xlfn.IFNA(VLOOKUP(INDIRECT("G"&amp;ROW()),minfo!$A:$M,COLUMN()-8,0),"")</f>
        <v>0</v>
      </c>
      <c r="M510" s="4">
        <f ca="1">_xlfn.IFNA(VLOOKUP(INDIRECT("G"&amp;ROW()),minfo!$A:$M,COLUMN()-8,0),"")</f>
        <v>0</v>
      </c>
      <c r="N510" s="4">
        <f ca="1">_xlfn.IFNA(VLOOKUP(INDIRECT("G"&amp;ROW()),minfo!$A:$M,COLUMN()-8,0),"")</f>
        <v>0</v>
      </c>
      <c r="O510" s="4" t="str">
        <f ca="1">_xlfn.IFNA(VLOOKUP(INDIRECT("G"&amp;ROW()),minfo!$A:$M,COLUMN()-8,0),"")</f>
        <v>https://i0.hdslb.com/bfs/station_src/music_metadata/5ea93d49aa366e4340787bbc3d63de25.jpg</v>
      </c>
      <c r="P510" s="4">
        <f ca="1">_xlfn.IFNA(VLOOKUP(INDIRECT("G"&amp;ROW()),minfo!$A:$M,COLUMN()-8,0),"")</f>
        <v>0</v>
      </c>
      <c r="Q510" s="4">
        <f ca="1">_xlfn.IFNA(VLOOKUP(INDIRECT("G"&amp;ROW()),minfo!$A:$M,COLUMN()-8,0),"")</f>
        <v>4120</v>
      </c>
      <c r="R510" s="4">
        <f ca="1">_xlfn.IFNA(VLOOKUP(INDIRECT("G"&amp;ROW()),minfo!$A:$M,COLUMN()-8,0),"")</f>
        <v>0</v>
      </c>
      <c r="S510" s="4" t="str">
        <f ca="1">_xlfn.IFNA(VLOOKUP(INDIRECT("G"&amp;ROW()),minfo!$A:$M,COLUMN()-8,0),"")</f>
        <v>七里香</v>
      </c>
      <c r="T510" s="4">
        <f ca="1">_xlfn.IFNA(VLOOKUP(INDIRECT("G"&amp;ROW()),minfo!$A:$M,COLUMN()-8,0),"")</f>
        <v>593603418</v>
      </c>
      <c r="U510" s="4">
        <f ca="1">_xlfn.IFNA(VLOOKUP(INDIRECT("G"&amp;ROW()),minfo!$A:$M,COLUMN()-8,0),"")</f>
        <v>0</v>
      </c>
    </row>
    <row r="511" spans="1:21" ht="15.75" customHeight="1">
      <c r="A511" s="15">
        <v>510</v>
      </c>
      <c r="B511" s="4" t="s">
        <v>4086</v>
      </c>
      <c r="C511" s="4">
        <v>511</v>
      </c>
      <c r="D511" s="4">
        <v>120</v>
      </c>
      <c r="E511" s="4" t="s">
        <v>259</v>
      </c>
      <c r="F511" s="16">
        <v>45164</v>
      </c>
      <c r="G511" s="5" t="s">
        <v>258</v>
      </c>
      <c r="H511" s="5" t="s">
        <v>3961</v>
      </c>
      <c r="I511" s="24" t="str">
        <f>HYPERLINK("https://www.bilibili.com/video/BV1gz4y147yu?p=120", "BV1gz4y147yu?p=120")</f>
        <v>BV1gz4y147yu?p=120</v>
      </c>
      <c r="J511" s="4" t="str">
        <f ca="1">_xlfn.IFNA(VLOOKUP(INDIRECT("G"&amp;ROW()),minfo!$A:$M,COLUMN()-8,0),"")</f>
        <v>枫</v>
      </c>
      <c r="K511" s="4" t="str">
        <f ca="1">_xlfn.IFNA(VLOOKUP(INDIRECT("G"&amp;ROW()),minfo!$A:$M,COLUMN()-8,0),"")</f>
        <v>周杰伦</v>
      </c>
      <c r="L511" s="4">
        <f ca="1">_xlfn.IFNA(VLOOKUP(INDIRECT("G"&amp;ROW()),minfo!$A:$M,COLUMN()-8,0),"")</f>
        <v>0</v>
      </c>
      <c r="M511" s="4">
        <f ca="1">_xlfn.IFNA(VLOOKUP(INDIRECT("G"&amp;ROW()),minfo!$A:$M,COLUMN()-8,0),"")</f>
        <v>0</v>
      </c>
      <c r="N511" s="4">
        <f ca="1">_xlfn.IFNA(VLOOKUP(INDIRECT("G"&amp;ROW()),minfo!$A:$M,COLUMN()-8,0),"")</f>
        <v>0</v>
      </c>
      <c r="O511" s="4" t="str">
        <f ca="1">_xlfn.IFNA(VLOOKUP(INDIRECT("G"&amp;ROW()),minfo!$A:$M,COLUMN()-8,0),"")</f>
        <v>https://i0.hdslb.com/bfs/station_src/music_metadata/fb82b0fb2908b09d88ba13ef0db91863.jpg</v>
      </c>
      <c r="P511" s="4" t="str">
        <f ca="1">_xlfn.IFNA(VLOOKUP(INDIRECT("G"&amp;ROW()),minfo!$A:$M,COLUMN()-8,0),"")</f>
        <v>http://i0.hdslb.com/bfs/station_src/music_metadata/9b1e7a89ea3eead8b8c6b32cdb30abd9</v>
      </c>
      <c r="Q511" s="4">
        <f ca="1">_xlfn.IFNA(VLOOKUP(INDIRECT("G"&amp;ROW()),minfo!$A:$M,COLUMN()-8,0),"")</f>
        <v>6002</v>
      </c>
      <c r="R511" s="4">
        <f ca="1">_xlfn.IFNA(VLOOKUP(INDIRECT("G"&amp;ROW()),minfo!$A:$M,COLUMN()-8,0),"")</f>
        <v>0</v>
      </c>
      <c r="S511" s="4" t="str">
        <f ca="1">_xlfn.IFNA(VLOOKUP(INDIRECT("G"&amp;ROW()),minfo!$A:$M,COLUMN()-8,0),"")</f>
        <v>十一月的萧邦</v>
      </c>
      <c r="T511" s="4">
        <f ca="1">_xlfn.IFNA(VLOOKUP(INDIRECT("G"&amp;ROW()),minfo!$A:$M,COLUMN()-8,0),"")</f>
        <v>560749777</v>
      </c>
      <c r="U511" s="4">
        <f ca="1">_xlfn.IFNA(VLOOKUP(INDIRECT("G"&amp;ROW()),minfo!$A:$M,COLUMN()-8,0),"")</f>
        <v>0</v>
      </c>
    </row>
    <row r="512" spans="1:21" ht="15.75" customHeight="1">
      <c r="A512" s="15">
        <v>511</v>
      </c>
      <c r="B512" s="4" t="s">
        <v>4087</v>
      </c>
      <c r="C512" s="4">
        <v>512</v>
      </c>
      <c r="D512" s="4">
        <v>121</v>
      </c>
      <c r="E512" s="4" t="s">
        <v>1040</v>
      </c>
      <c r="F512" s="16">
        <v>45164</v>
      </c>
      <c r="G512" s="5" t="s">
        <v>1039</v>
      </c>
      <c r="H512" s="5" t="s">
        <v>3961</v>
      </c>
      <c r="I512" s="24" t="str">
        <f>HYPERLINK("https://www.bilibili.com/video/BV1gz4y147yu?p=121", "BV1gz4y147yu?p=121")</f>
        <v>BV1gz4y147yu?p=121</v>
      </c>
      <c r="J512" s="4" t="str">
        <f ca="1">_xlfn.IFNA(VLOOKUP(INDIRECT("G"&amp;ROW()),minfo!$A:$M,COLUMN()-8,0),"")</f>
        <v>断了的弦</v>
      </c>
      <c r="K512" s="4" t="str">
        <f ca="1">_xlfn.IFNA(VLOOKUP(INDIRECT("G"&amp;ROW()),minfo!$A:$M,COLUMN()-8,0),"")</f>
        <v>周杰伦</v>
      </c>
      <c r="L512" s="4">
        <f ca="1">_xlfn.IFNA(VLOOKUP(INDIRECT("G"&amp;ROW()),minfo!$A:$M,COLUMN()-8,0),"")</f>
        <v>0</v>
      </c>
      <c r="M512" s="4">
        <f ca="1">_xlfn.IFNA(VLOOKUP(INDIRECT("G"&amp;ROW()),minfo!$A:$M,COLUMN()-8,0),"")</f>
        <v>0</v>
      </c>
      <c r="N512" s="4">
        <f ca="1">_xlfn.IFNA(VLOOKUP(INDIRECT("G"&amp;ROW()),minfo!$A:$M,COLUMN()-8,0),"")</f>
        <v>0</v>
      </c>
      <c r="O512" s="4" t="str">
        <f ca="1">_xlfn.IFNA(VLOOKUP(INDIRECT("G"&amp;ROW()),minfo!$A:$M,COLUMN()-8,0),"")</f>
        <v>https://i0.hdslb.com/bfs/station_src/music_metadata/ebc5b74fc87de3b14aae385fe242095a.jpg</v>
      </c>
      <c r="P512" s="4">
        <f ca="1">_xlfn.IFNA(VLOOKUP(INDIRECT("G"&amp;ROW()),minfo!$A:$M,COLUMN()-8,0),"")</f>
        <v>0</v>
      </c>
      <c r="Q512" s="4">
        <f ca="1">_xlfn.IFNA(VLOOKUP(INDIRECT("G"&amp;ROW()),minfo!$A:$M,COLUMN()-8,0),"")</f>
        <v>1532</v>
      </c>
      <c r="R512" s="4" t="str">
        <f ca="1">_xlfn.IFNA(VLOOKUP(INDIRECT("G"&amp;ROW()),minfo!$A:$M,COLUMN()-8,0),"")</f>
        <v>《寻找周杰伦》电影插曲</v>
      </c>
      <c r="S512" s="4" t="str">
        <f ca="1">_xlfn.IFNA(VLOOKUP(INDIRECT("G"&amp;ROW()),minfo!$A:$M,COLUMN()-8,0),"")</f>
        <v>寻找周杰伦</v>
      </c>
      <c r="T512" s="4">
        <f ca="1">_xlfn.IFNA(VLOOKUP(INDIRECT("G"&amp;ROW()),minfo!$A:$M,COLUMN()-8,0),"")</f>
        <v>336737849</v>
      </c>
      <c r="U512" s="4">
        <f ca="1">_xlfn.IFNA(VLOOKUP(INDIRECT("G"&amp;ROW()),minfo!$A:$M,COLUMN()-8,0),"")</f>
        <v>0</v>
      </c>
    </row>
    <row r="513" spans="1:21" ht="15.75" customHeight="1">
      <c r="A513" s="15">
        <v>512</v>
      </c>
      <c r="B513" s="4" t="s">
        <v>4088</v>
      </c>
      <c r="C513" s="4">
        <v>513</v>
      </c>
      <c r="D513" s="4">
        <v>122</v>
      </c>
      <c r="E513" s="4" t="s">
        <v>696</v>
      </c>
      <c r="F513" s="16">
        <v>45168</v>
      </c>
      <c r="G513" s="5" t="s">
        <v>695</v>
      </c>
      <c r="H513" s="5" t="s">
        <v>3961</v>
      </c>
      <c r="I513" s="24" t="str">
        <f>HYPERLINK("https://www.bilibili.com/video/BV1gz4y147yu?p=122", "BV1gz4y147yu?p=122")</f>
        <v>BV1gz4y147yu?p=122</v>
      </c>
      <c r="J513" s="4" t="str">
        <f ca="1">_xlfn.IFNA(VLOOKUP(INDIRECT("G"&amp;ROW()),minfo!$A:$M,COLUMN()-8,0),"")</f>
        <v>分身</v>
      </c>
      <c r="K513" s="4" t="str">
        <f ca="1">_xlfn.IFNA(VLOOKUP(INDIRECT("G"&amp;ROW()),minfo!$A:$M,COLUMN()-8,0),"")</f>
        <v>单依纯</v>
      </c>
      <c r="L513" s="4">
        <f ca="1">_xlfn.IFNA(VLOOKUP(INDIRECT("G"&amp;ROW()),minfo!$A:$M,COLUMN()-8,0),"")</f>
        <v>0</v>
      </c>
      <c r="M513" s="4">
        <f ca="1">_xlfn.IFNA(VLOOKUP(INDIRECT("G"&amp;ROW()),minfo!$A:$M,COLUMN()-8,0),"")</f>
        <v>0</v>
      </c>
      <c r="N513" s="4">
        <f ca="1">_xlfn.IFNA(VLOOKUP(INDIRECT("G"&amp;ROW()),minfo!$A:$M,COLUMN()-8,0),"")</f>
        <v>0</v>
      </c>
      <c r="O513" s="4" t="str">
        <f ca="1">_xlfn.IFNA(VLOOKUP(INDIRECT("G"&amp;ROW()),minfo!$A:$M,COLUMN()-8,0),"")</f>
        <v>http://i0.hdslb.com/bfs/station_src/music_metadata/0fd80cf4360670d154b7c8c64ae7abde.jpg</v>
      </c>
      <c r="P513" s="4">
        <f ca="1">_xlfn.IFNA(VLOOKUP(INDIRECT("G"&amp;ROW()),minfo!$A:$M,COLUMN()-8,0),"")</f>
        <v>0</v>
      </c>
      <c r="Q513" s="4">
        <f ca="1">_xlfn.IFNA(VLOOKUP(INDIRECT("G"&amp;ROW()),minfo!$A:$M,COLUMN()-8,0),"")</f>
        <v>13</v>
      </c>
      <c r="R513" s="4">
        <f ca="1">_xlfn.IFNA(VLOOKUP(INDIRECT("G"&amp;ROW()),minfo!$A:$M,COLUMN()-8,0),"")</f>
        <v>0</v>
      </c>
      <c r="S513" s="4" t="str">
        <f ca="1">_xlfn.IFNA(VLOOKUP(INDIRECT("G"&amp;ROW()),minfo!$A:$M,COLUMN()-8,0),"")</f>
        <v>分身</v>
      </c>
      <c r="T513" s="4">
        <f ca="1">_xlfn.IFNA(VLOOKUP(INDIRECT("G"&amp;ROW()),minfo!$A:$M,COLUMN()-8,0),"")</f>
        <v>3245965</v>
      </c>
      <c r="U513" s="4">
        <f ca="1">_xlfn.IFNA(VLOOKUP(INDIRECT("G"&amp;ROW()),minfo!$A:$M,COLUMN()-8,0),"")</f>
        <v>0</v>
      </c>
    </row>
    <row r="514" spans="1:21" ht="15.75" customHeight="1">
      <c r="A514" s="15">
        <v>513</v>
      </c>
      <c r="B514" s="4" t="s">
        <v>4089</v>
      </c>
      <c r="C514" s="4">
        <v>514</v>
      </c>
      <c r="D514" s="4">
        <v>123</v>
      </c>
      <c r="E514" s="4" t="s">
        <v>763</v>
      </c>
      <c r="F514" s="16">
        <v>45168</v>
      </c>
      <c r="G514" s="5" t="s">
        <v>762</v>
      </c>
      <c r="H514" s="5" t="s">
        <v>3961</v>
      </c>
      <c r="I514" s="24" t="str">
        <f>HYPERLINK("https://www.bilibili.com/video/BV1gz4y147yu?p=123", "BV1gz4y147yu?p=123")</f>
        <v>BV1gz4y147yu?p=123</v>
      </c>
      <c r="J514" s="4" t="str">
        <f ca="1">_xlfn.IFNA(VLOOKUP(INDIRECT("G"&amp;ROW()),minfo!$A:$M,COLUMN()-8,0),"")</f>
        <v>喂</v>
      </c>
      <c r="K514" s="4" t="str">
        <f ca="1">_xlfn.IFNA(VLOOKUP(INDIRECT("G"&amp;ROW()),minfo!$A:$M,COLUMN()-8,0),"")</f>
        <v>单依纯</v>
      </c>
      <c r="L514" s="4">
        <f ca="1">_xlfn.IFNA(VLOOKUP(INDIRECT("G"&amp;ROW()),minfo!$A:$M,COLUMN()-8,0),"")</f>
        <v>0</v>
      </c>
      <c r="M514" s="4">
        <f ca="1">_xlfn.IFNA(VLOOKUP(INDIRECT("G"&amp;ROW()),minfo!$A:$M,COLUMN()-8,0),"")</f>
        <v>0</v>
      </c>
      <c r="N514" s="4">
        <f ca="1">_xlfn.IFNA(VLOOKUP(INDIRECT("G"&amp;ROW()),minfo!$A:$M,COLUMN()-8,0),"")</f>
        <v>0</v>
      </c>
      <c r="O514" s="4" t="str">
        <f ca="1">_xlfn.IFNA(VLOOKUP(INDIRECT("G"&amp;ROW()),minfo!$A:$M,COLUMN()-8,0),"")</f>
        <v>http://i0.hdslb.com/bfs/station_src/music_metadata/3e25166ec82d69eca35a1a16729579ed.jpg</v>
      </c>
      <c r="P514" s="4" t="str">
        <f ca="1">_xlfn.IFNA(VLOOKUP(INDIRECT("G"&amp;ROW()),minfo!$A:$M,COLUMN()-8,0),"")</f>
        <v>http://i0.hdslb.com/bfs/station_src/music_metadata/2751e8840adbe50ca18c15e272712e78</v>
      </c>
      <c r="Q514" s="4">
        <f ca="1">_xlfn.IFNA(VLOOKUP(INDIRECT("G"&amp;ROW()),minfo!$A:$M,COLUMN()-8,0),"")</f>
        <v>90</v>
      </c>
      <c r="R514" s="4">
        <f ca="1">_xlfn.IFNA(VLOOKUP(INDIRECT("G"&amp;ROW()),minfo!$A:$M,COLUMN()-8,0),"")</f>
        <v>0</v>
      </c>
      <c r="S514" s="4" t="str">
        <f ca="1">_xlfn.IFNA(VLOOKUP(INDIRECT("G"&amp;ROW()),minfo!$A:$M,COLUMN()-8,0),"")</f>
        <v>喂</v>
      </c>
      <c r="T514" s="4">
        <f ca="1">_xlfn.IFNA(VLOOKUP(INDIRECT("G"&amp;ROW()),minfo!$A:$M,COLUMN()-8,0),"")</f>
        <v>9314230</v>
      </c>
      <c r="U514" s="4">
        <f ca="1">_xlfn.IFNA(VLOOKUP(INDIRECT("G"&amp;ROW()),minfo!$A:$M,COLUMN()-8,0),"")</f>
        <v>0</v>
      </c>
    </row>
    <row r="515" spans="1:21" ht="15.75" customHeight="1">
      <c r="A515" s="15">
        <v>514</v>
      </c>
      <c r="B515" s="4" t="s">
        <v>4090</v>
      </c>
      <c r="C515" s="4">
        <v>515</v>
      </c>
      <c r="D515" s="4">
        <v>124</v>
      </c>
      <c r="E515" s="4" t="s">
        <v>1465</v>
      </c>
      <c r="F515" s="16">
        <v>45168</v>
      </c>
      <c r="G515" s="5" t="s">
        <v>1464</v>
      </c>
      <c r="H515" s="5" t="s">
        <v>3961</v>
      </c>
      <c r="I515" s="24" t="str">
        <f>HYPERLINK("https://www.bilibili.com/video/BV1gz4y147yu?p=124", "BV1gz4y147yu?p=124")</f>
        <v>BV1gz4y147yu?p=124</v>
      </c>
      <c r="J515" s="4" t="str">
        <f ca="1">_xlfn.IFNA(VLOOKUP(INDIRECT("G"&amp;ROW()),minfo!$A:$M,COLUMN()-8,0),"")</f>
        <v>岁月神偷</v>
      </c>
      <c r="K515" s="4" t="str">
        <f ca="1">_xlfn.IFNA(VLOOKUP(INDIRECT("G"&amp;ROW()),minfo!$A:$M,COLUMN()-8,0),"")</f>
        <v>金玟岐</v>
      </c>
      <c r="L515" s="4">
        <f ca="1">_xlfn.IFNA(VLOOKUP(INDIRECT("G"&amp;ROW()),minfo!$A:$M,COLUMN()-8,0),"")</f>
        <v>0</v>
      </c>
      <c r="M515" s="4">
        <f ca="1">_xlfn.IFNA(VLOOKUP(INDIRECT("G"&amp;ROW()),minfo!$A:$M,COLUMN()-8,0),"")</f>
        <v>0</v>
      </c>
      <c r="N515" s="4">
        <f ca="1">_xlfn.IFNA(VLOOKUP(INDIRECT("G"&amp;ROW()),minfo!$A:$M,COLUMN()-8,0),"")</f>
        <v>0</v>
      </c>
      <c r="O515" s="4" t="str">
        <f ca="1">_xlfn.IFNA(VLOOKUP(INDIRECT("G"&amp;ROW()),minfo!$A:$M,COLUMN()-8,0),"")</f>
        <v>https://i0.hdslb.com/bfs/station_src/music_metadata/327ad462fdbb00a2610dd5b7139ebc74.jpg</v>
      </c>
      <c r="P515" s="4">
        <f ca="1">_xlfn.IFNA(VLOOKUP(INDIRECT("G"&amp;ROW()),minfo!$A:$M,COLUMN()-8,0),"")</f>
        <v>0</v>
      </c>
      <c r="Q515" s="4">
        <f ca="1">_xlfn.IFNA(VLOOKUP(INDIRECT("G"&amp;ROW()),minfo!$A:$M,COLUMN()-8,0),"")</f>
        <v>705</v>
      </c>
      <c r="R515" s="4">
        <f ca="1">_xlfn.IFNA(VLOOKUP(INDIRECT("G"&amp;ROW()),minfo!$A:$M,COLUMN()-8,0),"")</f>
        <v>0</v>
      </c>
      <c r="S515" s="4" t="str">
        <f ca="1">_xlfn.IFNA(VLOOKUP(INDIRECT("G"&amp;ROW()),minfo!$A:$M,COLUMN()-8,0),"")</f>
        <v>完美世界</v>
      </c>
      <c r="T515" s="4">
        <f ca="1">_xlfn.IFNA(VLOOKUP(INDIRECT("G"&amp;ROW()),minfo!$A:$M,COLUMN()-8,0),"")</f>
        <v>270809489</v>
      </c>
      <c r="U515" s="4">
        <f ca="1">_xlfn.IFNA(VLOOKUP(INDIRECT("G"&amp;ROW()),minfo!$A:$M,COLUMN()-8,0),"")</f>
        <v>0</v>
      </c>
    </row>
    <row r="516" spans="1:21" ht="15.75" customHeight="1">
      <c r="A516" s="15">
        <v>515</v>
      </c>
      <c r="B516" s="4" t="s">
        <v>4091</v>
      </c>
      <c r="C516" s="4">
        <v>516</v>
      </c>
      <c r="D516" s="4">
        <v>125</v>
      </c>
      <c r="E516" s="4" t="s">
        <v>1415</v>
      </c>
      <c r="F516" s="16">
        <v>45168</v>
      </c>
      <c r="G516" s="5" t="s">
        <v>1414</v>
      </c>
      <c r="H516" s="5" t="s">
        <v>3961</v>
      </c>
      <c r="I516" s="24" t="str">
        <f>HYPERLINK("https://www.bilibili.com/video/BV1gz4y147yu?p=125", "BV1gz4y147yu?p=125")</f>
        <v>BV1gz4y147yu?p=125</v>
      </c>
      <c r="J516" s="4" t="str">
        <f ca="1">_xlfn.IFNA(VLOOKUP(INDIRECT("G"&amp;ROW()),minfo!$A:$M,COLUMN()-8,0),"")</f>
        <v>二十二</v>
      </c>
      <c r="K516" s="4" t="str">
        <f ca="1">_xlfn.IFNA(VLOOKUP(INDIRECT("G"&amp;ROW()),minfo!$A:$M,COLUMN()-8,0),"")</f>
        <v>陶喆</v>
      </c>
      <c r="L516" s="4">
        <f ca="1">_xlfn.IFNA(VLOOKUP(INDIRECT("G"&amp;ROW()),minfo!$A:$M,COLUMN()-8,0),"")</f>
        <v>0</v>
      </c>
      <c r="M516" s="4">
        <f ca="1">_xlfn.IFNA(VLOOKUP(INDIRECT("G"&amp;ROW()),minfo!$A:$M,COLUMN()-8,0),"")</f>
        <v>0</v>
      </c>
      <c r="N516" s="4">
        <f ca="1">_xlfn.IFNA(VLOOKUP(INDIRECT("G"&amp;ROW()),minfo!$A:$M,COLUMN()-8,0),"")</f>
        <v>0</v>
      </c>
      <c r="O516" s="4" t="str">
        <f ca="1">_xlfn.IFNA(VLOOKUP(INDIRECT("G"&amp;ROW()),minfo!$A:$M,COLUMN()-8,0),"")</f>
        <v>http://i0.hdslb.com/bfs/station_src/music_metadata/e89d0b6bb51b52049a17aa607ecd7e8d.jpg</v>
      </c>
      <c r="P516" s="4" t="str">
        <f ca="1">_xlfn.IFNA(VLOOKUP(INDIRECT("G"&amp;ROW()),minfo!$A:$M,COLUMN()-8,0),"")</f>
        <v>http://i0.hdslb.com/bfs/station_src/music_metadata/47f341ee2acc202b90520bd34837ebc4</v>
      </c>
      <c r="Q516" s="4">
        <f ca="1">_xlfn.IFNA(VLOOKUP(INDIRECT("G"&amp;ROW()),minfo!$A:$M,COLUMN()-8,0),"")</f>
        <v>343</v>
      </c>
      <c r="R516" s="4">
        <f ca="1">_xlfn.IFNA(VLOOKUP(INDIRECT("G"&amp;ROW()),minfo!$A:$M,COLUMN()-8,0),"")</f>
        <v>0</v>
      </c>
      <c r="S516" s="4" t="str">
        <f ca="1">_xlfn.IFNA(VLOOKUP(INDIRECT("G"&amp;ROW()),minfo!$A:$M,COLUMN()-8,0),"")</f>
        <v>黑色柳丁</v>
      </c>
      <c r="T516" s="4">
        <f ca="1">_xlfn.IFNA(VLOOKUP(INDIRECT("G"&amp;ROW()),minfo!$A:$M,COLUMN()-8,0),"")</f>
        <v>50077794</v>
      </c>
      <c r="U516" s="4">
        <f ca="1">_xlfn.IFNA(VLOOKUP(INDIRECT("G"&amp;ROW()),minfo!$A:$M,COLUMN()-8,0),"")</f>
        <v>0</v>
      </c>
    </row>
    <row r="517" spans="1:21" ht="15.75" customHeight="1">
      <c r="A517" s="15">
        <v>516</v>
      </c>
      <c r="B517" s="4" t="s">
        <v>4092</v>
      </c>
      <c r="C517" s="4">
        <v>517</v>
      </c>
      <c r="D517" s="4">
        <v>126</v>
      </c>
      <c r="E517" s="4" t="s">
        <v>808</v>
      </c>
      <c r="F517" s="16">
        <v>45169</v>
      </c>
      <c r="G517" s="5" t="s">
        <v>807</v>
      </c>
      <c r="H517" s="5" t="s">
        <v>3961</v>
      </c>
      <c r="I517" s="24" t="str">
        <f>HYPERLINK("https://www.bilibili.com/video/BV1gz4y147yu?p=126", "BV1gz4y147yu?p=126")</f>
        <v>BV1gz4y147yu?p=126</v>
      </c>
      <c r="J517" s="4" t="str">
        <f ca="1">_xlfn.IFNA(VLOOKUP(INDIRECT("G"&amp;ROW()),minfo!$A:$M,COLUMN()-8,0),"")</f>
        <v>上海一九四三</v>
      </c>
      <c r="K517" s="4" t="str">
        <f ca="1">_xlfn.IFNA(VLOOKUP(INDIRECT("G"&amp;ROW()),minfo!$A:$M,COLUMN()-8,0),"")</f>
        <v>周杰伦</v>
      </c>
      <c r="L517" s="4">
        <f ca="1">_xlfn.IFNA(VLOOKUP(INDIRECT("G"&amp;ROW()),minfo!$A:$M,COLUMN()-8,0),"")</f>
        <v>0</v>
      </c>
      <c r="M517" s="4">
        <f ca="1">_xlfn.IFNA(VLOOKUP(INDIRECT("G"&amp;ROW()),minfo!$A:$M,COLUMN()-8,0),"")</f>
        <v>0</v>
      </c>
      <c r="N517" s="4">
        <f ca="1">_xlfn.IFNA(VLOOKUP(INDIRECT("G"&amp;ROW()),minfo!$A:$M,COLUMN()-8,0),"")</f>
        <v>0</v>
      </c>
      <c r="O517" s="4" t="str">
        <f ca="1">_xlfn.IFNA(VLOOKUP(INDIRECT("G"&amp;ROW()),minfo!$A:$M,COLUMN()-8,0),"")</f>
        <v>https://i0.hdslb.com/bfs/station_src/music_metadata/00515c7749037eb5e54b1b53955bc7ff.jpg</v>
      </c>
      <c r="P517" s="4" t="str">
        <f ca="1">_xlfn.IFNA(VLOOKUP(INDIRECT("G"&amp;ROW()),minfo!$A:$M,COLUMN()-8,0),"")</f>
        <v>http://i0.hdslb.com/bfs/station_src/music_metadata/ff8a043954c6ca13adc9e5f1c94ecd23</v>
      </c>
      <c r="Q517" s="4">
        <f ca="1">_xlfn.IFNA(VLOOKUP(INDIRECT("G"&amp;ROW()),minfo!$A:$M,COLUMN()-8,0),"")</f>
        <v>529</v>
      </c>
      <c r="R517" s="4">
        <f ca="1">_xlfn.IFNA(VLOOKUP(INDIRECT("G"&amp;ROW()),minfo!$A:$M,COLUMN()-8,0),"")</f>
        <v>0</v>
      </c>
      <c r="S517" s="4" t="str">
        <f ca="1">_xlfn.IFNA(VLOOKUP(INDIRECT("G"&amp;ROW()),minfo!$A:$M,COLUMN()-8,0),"")</f>
        <v>范特西</v>
      </c>
      <c r="T517" s="4">
        <f ca="1">_xlfn.IFNA(VLOOKUP(INDIRECT("G"&amp;ROW()),minfo!$A:$M,COLUMN()-8,0),"")</f>
        <v>224985389</v>
      </c>
      <c r="U517" s="4">
        <f ca="1">_xlfn.IFNA(VLOOKUP(INDIRECT("G"&amp;ROW()),minfo!$A:$M,COLUMN()-8,0),"")</f>
        <v>0</v>
      </c>
    </row>
    <row r="518" spans="1:21" ht="15.75" customHeight="1">
      <c r="A518" s="15">
        <v>517</v>
      </c>
      <c r="B518" s="4" t="s">
        <v>4093</v>
      </c>
      <c r="C518" s="4">
        <v>518</v>
      </c>
      <c r="D518" s="4">
        <v>127</v>
      </c>
      <c r="E518" s="4" t="s">
        <v>655</v>
      </c>
      <c r="F518" s="16">
        <v>45169</v>
      </c>
      <c r="G518" s="5" t="s">
        <v>654</v>
      </c>
      <c r="H518" s="5" t="s">
        <v>3961</v>
      </c>
      <c r="I518" s="24" t="str">
        <f>HYPERLINK("https://www.bilibili.com/video/BV1gz4y147yu?p=127", "BV1gz4y147yu?p=127")</f>
        <v>BV1gz4y147yu?p=127</v>
      </c>
      <c r="J518" s="4" t="str">
        <f ca="1">_xlfn.IFNA(VLOOKUP(INDIRECT("G"&amp;ROW()),minfo!$A:$M,COLUMN()-8,0),"")</f>
        <v>路过人间</v>
      </c>
      <c r="K518" s="4" t="str">
        <f ca="1">_xlfn.IFNA(VLOOKUP(INDIRECT("G"&amp;ROW()),minfo!$A:$M,COLUMN()-8,0),"")</f>
        <v>郁可唯</v>
      </c>
      <c r="L518" s="4">
        <f ca="1">_xlfn.IFNA(VLOOKUP(INDIRECT("G"&amp;ROW()),minfo!$A:$M,COLUMN()-8,0),"")</f>
        <v>0</v>
      </c>
      <c r="M518" s="4">
        <f ca="1">_xlfn.IFNA(VLOOKUP(INDIRECT("G"&amp;ROW()),minfo!$A:$M,COLUMN()-8,0),"")</f>
        <v>17966</v>
      </c>
      <c r="N518" s="4">
        <f ca="1">_xlfn.IFNA(VLOOKUP(INDIRECT("G"&amp;ROW()),minfo!$A:$M,COLUMN()-8,0),"")</f>
        <v>8458</v>
      </c>
      <c r="O518" s="4" t="str">
        <f ca="1">_xlfn.IFNA(VLOOKUP(INDIRECT("G"&amp;ROW()),minfo!$A:$M,COLUMN()-8,0),"")</f>
        <v>http://i0.hdslb.com/bfs/station_src/music_metadata/570f6a193a95780dfeae2a4dfe0cb932.jpg</v>
      </c>
      <c r="P518" s="4" t="str">
        <f ca="1">_xlfn.IFNA(VLOOKUP(INDIRECT("G"&amp;ROW()),minfo!$A:$M,COLUMN()-8,0),"")</f>
        <v>http://i0.hdslb.com/bfs/station_src/music_metadata/0386d6bc66823747cb1d61d511d20a21</v>
      </c>
      <c r="Q518" s="4">
        <f ca="1">_xlfn.IFNA(VLOOKUP(INDIRECT("G"&amp;ROW()),minfo!$A:$M,COLUMN()-8,0),"")</f>
        <v>1296</v>
      </c>
      <c r="R518" s="4">
        <f ca="1">_xlfn.IFNA(VLOOKUP(INDIRECT("G"&amp;ROW()),minfo!$A:$M,COLUMN()-8,0),"")</f>
        <v>0</v>
      </c>
      <c r="S518" s="4" t="str">
        <f ca="1">_xlfn.IFNA(VLOOKUP(INDIRECT("G"&amp;ROW()),minfo!$A:$M,COLUMN()-8,0),"")</f>
        <v>路过人间</v>
      </c>
      <c r="T518" s="4">
        <f ca="1">_xlfn.IFNA(VLOOKUP(INDIRECT("G"&amp;ROW()),minfo!$A:$M,COLUMN()-8,0),"")</f>
        <v>218547878</v>
      </c>
      <c r="U518" s="4" t="str">
        <f ca="1">_xlfn.IFNA(VLOOKUP(INDIRECT("G"&amp;ROW()),minfo!$A:$M,COLUMN()-8,0),"")</f>
        <v>音乐榜最高NO.10</v>
      </c>
    </row>
    <row r="519" spans="1:21" ht="15.75" customHeight="1">
      <c r="A519" s="15">
        <v>518</v>
      </c>
      <c r="B519" s="4" t="s">
        <v>4094</v>
      </c>
      <c r="C519" s="4">
        <v>519</v>
      </c>
      <c r="D519" s="4">
        <v>128</v>
      </c>
      <c r="E519" s="4" t="s">
        <v>1470</v>
      </c>
      <c r="F519" s="16">
        <v>45169</v>
      </c>
      <c r="G519" s="5" t="s">
        <v>1469</v>
      </c>
      <c r="H519" s="5" t="s">
        <v>3961</v>
      </c>
      <c r="I519" s="24" t="str">
        <f>HYPERLINK("https://www.bilibili.com/video/BV1gz4y147yu?p=128", "BV1gz4y147yu?p=128")</f>
        <v>BV1gz4y147yu?p=128</v>
      </c>
      <c r="J519" s="4" t="str">
        <f ca="1">_xlfn.IFNA(VLOOKUP(INDIRECT("G"&amp;ROW()),minfo!$A:$M,COLUMN()-8,0),"")</f>
        <v>天天晴朗</v>
      </c>
      <c r="K519" s="4" t="str">
        <f ca="1">_xlfn.IFNA(VLOOKUP(INDIRECT("G"&amp;ROW()),minfo!$A:$M,COLUMN()-8,0),"")</f>
        <v>苏打绿</v>
      </c>
      <c r="L519" s="4">
        <f ca="1">_xlfn.IFNA(VLOOKUP(INDIRECT("G"&amp;ROW()),minfo!$A:$M,COLUMN()-8,0),"")</f>
        <v>0</v>
      </c>
      <c r="M519" s="4">
        <f ca="1">_xlfn.IFNA(VLOOKUP(INDIRECT("G"&amp;ROW()),minfo!$A:$M,COLUMN()-8,0),"")</f>
        <v>0</v>
      </c>
      <c r="N519" s="4">
        <f ca="1">_xlfn.IFNA(VLOOKUP(INDIRECT("G"&amp;ROW()),minfo!$A:$M,COLUMN()-8,0),"")</f>
        <v>0</v>
      </c>
      <c r="O519" s="4" t="str">
        <f ca="1">_xlfn.IFNA(VLOOKUP(INDIRECT("G"&amp;ROW()),minfo!$A:$M,COLUMN()-8,0),"")</f>
        <v>https://i0.hdslb.com/bfs/station_src/music_metadata/6436393b099ec18973601ec85b363cad.jpg</v>
      </c>
      <c r="P519" s="4" t="str">
        <f ca="1">_xlfn.IFNA(VLOOKUP(INDIRECT("G"&amp;ROW()),minfo!$A:$M,COLUMN()-8,0),"")</f>
        <v>https://i0.hdslb.com/bfs/station_src/music_metadata/b3b3b921f262cf66d194d34bba7d383a.txt</v>
      </c>
      <c r="Q519" s="4">
        <f ca="1">_xlfn.IFNA(VLOOKUP(INDIRECT("G"&amp;ROW()),minfo!$A:$M,COLUMN()-8,0),"")</f>
        <v>0</v>
      </c>
      <c r="R519" s="4">
        <f ca="1">_xlfn.IFNA(VLOOKUP(INDIRECT("G"&amp;ROW()),minfo!$A:$M,COLUMN()-8,0),"")</f>
        <v>0</v>
      </c>
      <c r="S519" s="4" t="str">
        <f ca="1">_xlfn.IFNA(VLOOKUP(INDIRECT("G"&amp;ROW()),minfo!$A:$M,COLUMN()-8,0),"")</f>
        <v>MOOV Live 2013 苏打绿</v>
      </c>
      <c r="T519" s="4">
        <f ca="1">_xlfn.IFNA(VLOOKUP(INDIRECT("G"&amp;ROW()),minfo!$A:$M,COLUMN()-8,0),"")</f>
        <v>1677928</v>
      </c>
      <c r="U519" s="4">
        <f ca="1">_xlfn.IFNA(VLOOKUP(INDIRECT("G"&amp;ROW()),minfo!$A:$M,COLUMN()-8,0),"")</f>
        <v>0</v>
      </c>
    </row>
    <row r="520" spans="1:21" ht="15.75" customHeight="1">
      <c r="A520" s="15">
        <v>519</v>
      </c>
      <c r="B520" s="4" t="s">
        <v>4095</v>
      </c>
      <c r="C520" s="4">
        <v>520</v>
      </c>
      <c r="D520" s="4">
        <v>129</v>
      </c>
      <c r="E520" s="4" t="s">
        <v>1474</v>
      </c>
      <c r="F520" s="16">
        <v>45175</v>
      </c>
      <c r="G520" s="5" t="s">
        <v>1473</v>
      </c>
      <c r="H520" s="5" t="s">
        <v>3961</v>
      </c>
      <c r="I520" s="24" t="str">
        <f>HYPERLINK("https://www.bilibili.com/video/BV1gz4y147yu?p=129", "BV1gz4y147yu?p=129")</f>
        <v>BV1gz4y147yu?p=129</v>
      </c>
      <c r="J520" s="4" t="str">
        <f ca="1">_xlfn.IFNA(VLOOKUP(INDIRECT("G"&amp;ROW()),minfo!$A:$M,COLUMN()-8,0),"")</f>
        <v>Love U U</v>
      </c>
      <c r="K520" s="4" t="str">
        <f ca="1">_xlfn.IFNA(VLOOKUP(INDIRECT("G"&amp;ROW()),minfo!$A:$M,COLUMN()-8,0),"")</f>
        <v>林俊杰</v>
      </c>
      <c r="L520" s="4">
        <f ca="1">_xlfn.IFNA(VLOOKUP(INDIRECT("G"&amp;ROW()),minfo!$A:$M,COLUMN()-8,0),"")</f>
        <v>0</v>
      </c>
      <c r="M520" s="4">
        <f ca="1">_xlfn.IFNA(VLOOKUP(INDIRECT("G"&amp;ROW()),minfo!$A:$M,COLUMN()-8,0),"")</f>
        <v>0</v>
      </c>
      <c r="N520" s="4">
        <f ca="1">_xlfn.IFNA(VLOOKUP(INDIRECT("G"&amp;ROW()),minfo!$A:$M,COLUMN()-8,0),"")</f>
        <v>0</v>
      </c>
      <c r="O520" s="4" t="str">
        <f ca="1">_xlfn.IFNA(VLOOKUP(INDIRECT("G"&amp;ROW()),minfo!$A:$M,COLUMN()-8,0),"")</f>
        <v>https://i0.hdslb.com/bfs/station_src/music_metadata/683874c8b50e8963e73219e464a05a2f.jpg</v>
      </c>
      <c r="P520" s="4" t="str">
        <f ca="1">_xlfn.IFNA(VLOOKUP(INDIRECT("G"&amp;ROW()),minfo!$A:$M,COLUMN()-8,0),"")</f>
        <v>https://i0.hdslb.com/bfs/station_src/music_metadata/b121a6651c2b3ba2042afd8f79c17ee5.txt</v>
      </c>
      <c r="Q520" s="4">
        <f ca="1">_xlfn.IFNA(VLOOKUP(INDIRECT("G"&amp;ROW()),minfo!$A:$M,COLUMN()-8,0),"")</f>
        <v>25</v>
      </c>
      <c r="R520" s="4">
        <f ca="1">_xlfn.IFNA(VLOOKUP(INDIRECT("G"&amp;ROW()),minfo!$A:$M,COLUMN()-8,0),"")</f>
        <v>0</v>
      </c>
      <c r="S520" s="4" t="str">
        <f ca="1">_xlfn.IFNA(VLOOKUP(INDIRECT("G"&amp;ROW()),minfo!$A:$M,COLUMN()-8,0),"")</f>
        <v>学不会</v>
      </c>
      <c r="T520" s="4">
        <f ca="1">_xlfn.IFNA(VLOOKUP(INDIRECT("G"&amp;ROW()),minfo!$A:$M,COLUMN()-8,0),"")</f>
        <v>18991884</v>
      </c>
      <c r="U520" s="4">
        <f ca="1">_xlfn.IFNA(VLOOKUP(INDIRECT("G"&amp;ROW()),minfo!$A:$M,COLUMN()-8,0),"")</f>
        <v>0</v>
      </c>
    </row>
    <row r="521" spans="1:21" ht="15.75" customHeight="1">
      <c r="A521" s="15">
        <v>520</v>
      </c>
      <c r="B521" s="4" t="s">
        <v>4096</v>
      </c>
      <c r="C521" s="4">
        <v>521</v>
      </c>
      <c r="D521" s="4">
        <v>130</v>
      </c>
      <c r="E521" s="4" t="s">
        <v>1478</v>
      </c>
      <c r="F521" s="16">
        <v>45175</v>
      </c>
      <c r="G521" s="5" t="s">
        <v>1477</v>
      </c>
      <c r="H521" s="5" t="s">
        <v>3961</v>
      </c>
      <c r="I521" s="24" t="str">
        <f>HYPERLINK("https://www.bilibili.com/video/BV1gz4y147yu?p=130", "BV1gz4y147yu?p=130")</f>
        <v>BV1gz4y147yu?p=130</v>
      </c>
      <c r="J521" s="4" t="str">
        <f ca="1">_xlfn.IFNA(VLOOKUP(INDIRECT("G"&amp;ROW()),minfo!$A:$M,COLUMN()-8,0),"")</f>
        <v>想你时风起</v>
      </c>
      <c r="K521" s="4" t="str">
        <f ca="1">_xlfn.IFNA(VLOOKUP(INDIRECT("G"&amp;ROW()),minfo!$A:$M,COLUMN()-8,0),"")</f>
        <v>单依纯</v>
      </c>
      <c r="L521" s="4">
        <f ca="1">_xlfn.IFNA(VLOOKUP(INDIRECT("G"&amp;ROW()),minfo!$A:$M,COLUMN()-8,0),"")</f>
        <v>0</v>
      </c>
      <c r="M521" s="4">
        <f ca="1">_xlfn.IFNA(VLOOKUP(INDIRECT("G"&amp;ROW()),minfo!$A:$M,COLUMN()-8,0),"")</f>
        <v>0</v>
      </c>
      <c r="N521" s="4">
        <f ca="1">_xlfn.IFNA(VLOOKUP(INDIRECT("G"&amp;ROW()),minfo!$A:$M,COLUMN()-8,0),"")</f>
        <v>0</v>
      </c>
      <c r="O521" s="4" t="str">
        <f ca="1">_xlfn.IFNA(VLOOKUP(INDIRECT("G"&amp;ROW()),minfo!$A:$M,COLUMN()-8,0),"")</f>
        <v>http://i0.hdslb.com/bfs/station_src/music_metadata/690d5f026cf42acdf74154d42a9e4aec.jpg</v>
      </c>
      <c r="P521" s="4">
        <f ca="1">_xlfn.IFNA(VLOOKUP(INDIRECT("G"&amp;ROW()),minfo!$A:$M,COLUMN()-8,0),"")</f>
        <v>0</v>
      </c>
      <c r="Q521" s="4">
        <f ca="1">_xlfn.IFNA(VLOOKUP(INDIRECT("G"&amp;ROW()),minfo!$A:$M,COLUMN()-8,0),"")</f>
        <v>710</v>
      </c>
      <c r="R521" s="4">
        <f ca="1">_xlfn.IFNA(VLOOKUP(INDIRECT("G"&amp;ROW()),minfo!$A:$M,COLUMN()-8,0),"")</f>
        <v>0</v>
      </c>
      <c r="S521" s="4" t="str">
        <f ca="1">_xlfn.IFNA(VLOOKUP(INDIRECT("G"&amp;ROW()),minfo!$A:$M,COLUMN()-8,0),"")</f>
        <v>想你时风起</v>
      </c>
      <c r="T521" s="4">
        <f ca="1">_xlfn.IFNA(VLOOKUP(INDIRECT("G"&amp;ROW()),minfo!$A:$M,COLUMN()-8,0),"")</f>
        <v>48566163</v>
      </c>
      <c r="U521" s="4">
        <f ca="1">_xlfn.IFNA(VLOOKUP(INDIRECT("G"&amp;ROW()),minfo!$A:$M,COLUMN()-8,0),"")</f>
        <v>0</v>
      </c>
    </row>
    <row r="522" spans="1:21" ht="15.75" customHeight="1">
      <c r="A522" s="15">
        <v>521</v>
      </c>
      <c r="B522" s="4" t="s">
        <v>4097</v>
      </c>
      <c r="C522" s="4">
        <v>522</v>
      </c>
      <c r="D522" s="4">
        <v>131</v>
      </c>
      <c r="E522" s="4" t="s">
        <v>1350</v>
      </c>
      <c r="F522" s="16">
        <v>45175</v>
      </c>
      <c r="G522" s="5" t="s">
        <v>1480</v>
      </c>
      <c r="H522" s="5" t="s">
        <v>3961</v>
      </c>
      <c r="I522" s="24" t="str">
        <f>HYPERLINK("https://www.bilibili.com/video/BV1gz4y147yu?p=131", "BV1gz4y147yu?p=131")</f>
        <v>BV1gz4y147yu?p=131</v>
      </c>
      <c r="J522" s="4" t="str">
        <f ca="1">_xlfn.IFNA(VLOOKUP(INDIRECT("G"&amp;ROW()),minfo!$A:$M,COLUMN()-8,0),"")</f>
        <v>我要你</v>
      </c>
      <c r="K522" s="4" t="str">
        <f ca="1">_xlfn.IFNA(VLOOKUP(INDIRECT("G"&amp;ROW()),minfo!$A:$M,COLUMN()-8,0),"")</f>
        <v>任素汐</v>
      </c>
      <c r="L522" s="4">
        <f ca="1">_xlfn.IFNA(VLOOKUP(INDIRECT("G"&amp;ROW()),minfo!$A:$M,COLUMN()-8,0),"")</f>
        <v>0</v>
      </c>
      <c r="M522" s="4">
        <f ca="1">_xlfn.IFNA(VLOOKUP(INDIRECT("G"&amp;ROW()),minfo!$A:$M,COLUMN()-8,0),"")</f>
        <v>0</v>
      </c>
      <c r="N522" s="4">
        <f ca="1">_xlfn.IFNA(VLOOKUP(INDIRECT("G"&amp;ROW()),minfo!$A:$M,COLUMN()-8,0),"")</f>
        <v>0</v>
      </c>
      <c r="O522" s="4" t="str">
        <f ca="1">_xlfn.IFNA(VLOOKUP(INDIRECT("G"&amp;ROW()),minfo!$A:$M,COLUMN()-8,0),"")</f>
        <v>http://i0.hdslb.com/bfs/station_src/music_metadata/8b9ab4aee8e303fe951b3749e53aff6e.jpg</v>
      </c>
      <c r="P522" s="4">
        <f ca="1">_xlfn.IFNA(VLOOKUP(INDIRECT("G"&amp;ROW()),minfo!$A:$M,COLUMN()-8,0),"")</f>
        <v>0</v>
      </c>
      <c r="Q522" s="4">
        <f ca="1">_xlfn.IFNA(VLOOKUP(INDIRECT("G"&amp;ROW()),minfo!$A:$M,COLUMN()-8,0),"")</f>
        <v>6</v>
      </c>
      <c r="R522" s="4">
        <f ca="1">_xlfn.IFNA(VLOOKUP(INDIRECT("G"&amp;ROW()),minfo!$A:$M,COLUMN()-8,0),"")</f>
        <v>0</v>
      </c>
      <c r="S522" s="4" t="str">
        <f ca="1">_xlfn.IFNA(VLOOKUP(INDIRECT("G"&amp;ROW()),minfo!$A:$M,COLUMN()-8,0),"")</f>
        <v>剧好听的歌 第8期</v>
      </c>
      <c r="T522" s="4">
        <f ca="1">_xlfn.IFNA(VLOOKUP(INDIRECT("G"&amp;ROW()),minfo!$A:$M,COLUMN()-8,0),"")</f>
        <v>2946170</v>
      </c>
      <c r="U522" s="4">
        <f ca="1">_xlfn.IFNA(VLOOKUP(INDIRECT("G"&amp;ROW()),minfo!$A:$M,COLUMN()-8,0),"")</f>
        <v>0</v>
      </c>
    </row>
    <row r="523" spans="1:21" ht="15.75" customHeight="1">
      <c r="A523" s="15">
        <v>522</v>
      </c>
      <c r="B523" s="4" t="s">
        <v>4098</v>
      </c>
      <c r="C523" s="4">
        <v>523</v>
      </c>
      <c r="D523" s="4">
        <v>132</v>
      </c>
      <c r="E523" s="4" t="s">
        <v>1474</v>
      </c>
      <c r="F523" s="16">
        <v>45175</v>
      </c>
      <c r="G523" s="5" t="s">
        <v>1473</v>
      </c>
      <c r="H523" s="5" t="s">
        <v>3961</v>
      </c>
      <c r="I523" s="24" t="str">
        <f>HYPERLINK("https://www.bilibili.com/video/BV1gz4y147yu?p=132", "BV1gz4y147yu?p=132")</f>
        <v>BV1gz4y147yu?p=132</v>
      </c>
      <c r="J523" s="4" t="str">
        <f ca="1">_xlfn.IFNA(VLOOKUP(INDIRECT("G"&amp;ROW()),minfo!$A:$M,COLUMN()-8,0),"")</f>
        <v>Love U U</v>
      </c>
      <c r="K523" s="4" t="str">
        <f ca="1">_xlfn.IFNA(VLOOKUP(INDIRECT("G"&amp;ROW()),minfo!$A:$M,COLUMN()-8,0),"")</f>
        <v>林俊杰</v>
      </c>
      <c r="L523" s="4">
        <f ca="1">_xlfn.IFNA(VLOOKUP(INDIRECT("G"&amp;ROW()),minfo!$A:$M,COLUMN()-8,0),"")</f>
        <v>0</v>
      </c>
      <c r="M523" s="4">
        <f ca="1">_xlfn.IFNA(VLOOKUP(INDIRECT("G"&amp;ROW()),minfo!$A:$M,COLUMN()-8,0),"")</f>
        <v>0</v>
      </c>
      <c r="N523" s="4">
        <f ca="1">_xlfn.IFNA(VLOOKUP(INDIRECT("G"&amp;ROW()),minfo!$A:$M,COLUMN()-8,0),"")</f>
        <v>0</v>
      </c>
      <c r="O523" s="4" t="str">
        <f ca="1">_xlfn.IFNA(VLOOKUP(INDIRECT("G"&amp;ROW()),minfo!$A:$M,COLUMN()-8,0),"")</f>
        <v>https://i0.hdslb.com/bfs/station_src/music_metadata/683874c8b50e8963e73219e464a05a2f.jpg</v>
      </c>
      <c r="P523" s="4" t="str">
        <f ca="1">_xlfn.IFNA(VLOOKUP(INDIRECT("G"&amp;ROW()),minfo!$A:$M,COLUMN()-8,0),"")</f>
        <v>https://i0.hdslb.com/bfs/station_src/music_metadata/b121a6651c2b3ba2042afd8f79c17ee5.txt</v>
      </c>
      <c r="Q523" s="4">
        <f ca="1">_xlfn.IFNA(VLOOKUP(INDIRECT("G"&amp;ROW()),minfo!$A:$M,COLUMN()-8,0),"")</f>
        <v>25</v>
      </c>
      <c r="R523" s="4">
        <f ca="1">_xlfn.IFNA(VLOOKUP(INDIRECT("G"&amp;ROW()),minfo!$A:$M,COLUMN()-8,0),"")</f>
        <v>0</v>
      </c>
      <c r="S523" s="4" t="str">
        <f ca="1">_xlfn.IFNA(VLOOKUP(INDIRECT("G"&amp;ROW()),minfo!$A:$M,COLUMN()-8,0),"")</f>
        <v>学不会</v>
      </c>
      <c r="T523" s="4">
        <f ca="1">_xlfn.IFNA(VLOOKUP(INDIRECT("G"&amp;ROW()),minfo!$A:$M,COLUMN()-8,0),"")</f>
        <v>18991884</v>
      </c>
      <c r="U523" s="4">
        <f ca="1">_xlfn.IFNA(VLOOKUP(INDIRECT("G"&amp;ROW()),minfo!$A:$M,COLUMN()-8,0),"")</f>
        <v>0</v>
      </c>
    </row>
    <row r="524" spans="1:21" ht="15.75" customHeight="1">
      <c r="A524" s="15">
        <v>523</v>
      </c>
      <c r="B524" s="4" t="s">
        <v>4099</v>
      </c>
      <c r="C524" s="4">
        <v>524</v>
      </c>
      <c r="D524" s="4">
        <v>133</v>
      </c>
      <c r="E524" s="4" t="s">
        <v>1478</v>
      </c>
      <c r="F524" s="16">
        <v>45175</v>
      </c>
      <c r="G524" s="5" t="s">
        <v>1477</v>
      </c>
      <c r="H524" s="5" t="s">
        <v>3961</v>
      </c>
      <c r="I524" s="24" t="str">
        <f>HYPERLINK("https://www.bilibili.com/video/BV1gz4y147yu?p=133", "BV1gz4y147yu?p=133")</f>
        <v>BV1gz4y147yu?p=133</v>
      </c>
      <c r="J524" s="4" t="str">
        <f ca="1">_xlfn.IFNA(VLOOKUP(INDIRECT("G"&amp;ROW()),minfo!$A:$M,COLUMN()-8,0),"")</f>
        <v>想你时风起</v>
      </c>
      <c r="K524" s="4" t="str">
        <f ca="1">_xlfn.IFNA(VLOOKUP(INDIRECT("G"&amp;ROW()),minfo!$A:$M,COLUMN()-8,0),"")</f>
        <v>单依纯</v>
      </c>
      <c r="L524" s="4">
        <f ca="1">_xlfn.IFNA(VLOOKUP(INDIRECT("G"&amp;ROW()),minfo!$A:$M,COLUMN()-8,0),"")</f>
        <v>0</v>
      </c>
      <c r="M524" s="4">
        <f ca="1">_xlfn.IFNA(VLOOKUP(INDIRECT("G"&amp;ROW()),minfo!$A:$M,COLUMN()-8,0),"")</f>
        <v>0</v>
      </c>
      <c r="N524" s="4">
        <f ca="1">_xlfn.IFNA(VLOOKUP(INDIRECT("G"&amp;ROW()),minfo!$A:$M,COLUMN()-8,0),"")</f>
        <v>0</v>
      </c>
      <c r="O524" s="4" t="str">
        <f ca="1">_xlfn.IFNA(VLOOKUP(INDIRECT("G"&amp;ROW()),minfo!$A:$M,COLUMN()-8,0),"")</f>
        <v>http://i0.hdslb.com/bfs/station_src/music_metadata/690d5f026cf42acdf74154d42a9e4aec.jpg</v>
      </c>
      <c r="P524" s="4">
        <f ca="1">_xlfn.IFNA(VLOOKUP(INDIRECT("G"&amp;ROW()),minfo!$A:$M,COLUMN()-8,0),"")</f>
        <v>0</v>
      </c>
      <c r="Q524" s="4">
        <f ca="1">_xlfn.IFNA(VLOOKUP(INDIRECT("G"&amp;ROW()),minfo!$A:$M,COLUMN()-8,0),"")</f>
        <v>710</v>
      </c>
      <c r="R524" s="4">
        <f ca="1">_xlfn.IFNA(VLOOKUP(INDIRECT("G"&amp;ROW()),minfo!$A:$M,COLUMN()-8,0),"")</f>
        <v>0</v>
      </c>
      <c r="S524" s="4" t="str">
        <f ca="1">_xlfn.IFNA(VLOOKUP(INDIRECT("G"&amp;ROW()),minfo!$A:$M,COLUMN()-8,0),"")</f>
        <v>想你时风起</v>
      </c>
      <c r="T524" s="4">
        <f ca="1">_xlfn.IFNA(VLOOKUP(INDIRECT("G"&amp;ROW()),minfo!$A:$M,COLUMN()-8,0),"")</f>
        <v>48566163</v>
      </c>
      <c r="U524" s="4">
        <f ca="1">_xlfn.IFNA(VLOOKUP(INDIRECT("G"&amp;ROW()),minfo!$A:$M,COLUMN()-8,0),"")</f>
        <v>0</v>
      </c>
    </row>
    <row r="525" spans="1:21" ht="15.75" customHeight="1">
      <c r="A525" s="15">
        <v>524</v>
      </c>
      <c r="B525" s="4" t="s">
        <v>4100</v>
      </c>
      <c r="C525" s="4">
        <v>525</v>
      </c>
      <c r="D525" s="4">
        <v>134</v>
      </c>
      <c r="E525" s="4" t="s">
        <v>328</v>
      </c>
      <c r="F525" s="16">
        <v>45177</v>
      </c>
      <c r="G525" s="5" t="s">
        <v>327</v>
      </c>
      <c r="H525" s="5" t="s">
        <v>3961</v>
      </c>
      <c r="I525" s="24" t="str">
        <f>HYPERLINK("https://www.bilibili.com/video/BV1gz4y147yu?p=134", "BV1gz4y147yu?p=134")</f>
        <v>BV1gz4y147yu?p=134</v>
      </c>
      <c r="J525" s="4" t="str">
        <f ca="1">_xlfn.IFNA(VLOOKUP(INDIRECT("G"&amp;ROW()),minfo!$A:$M,COLUMN()-8,0),"")</f>
        <v>浪漫手机</v>
      </c>
      <c r="K525" s="4" t="str">
        <f ca="1">_xlfn.IFNA(VLOOKUP(INDIRECT("G"&amp;ROW()),minfo!$A:$M,COLUMN()-8,0),"")</f>
        <v>周杰伦</v>
      </c>
      <c r="L525" s="4">
        <f ca="1">_xlfn.IFNA(VLOOKUP(INDIRECT("G"&amp;ROW()),minfo!$A:$M,COLUMN()-8,0),"")</f>
        <v>0</v>
      </c>
      <c r="M525" s="4">
        <f ca="1">_xlfn.IFNA(VLOOKUP(INDIRECT("G"&amp;ROW()),minfo!$A:$M,COLUMN()-8,0),"")</f>
        <v>0</v>
      </c>
      <c r="N525" s="4">
        <f ca="1">_xlfn.IFNA(VLOOKUP(INDIRECT("G"&amp;ROW()),minfo!$A:$M,COLUMN()-8,0),"")</f>
        <v>0</v>
      </c>
      <c r="O525" s="4" t="str">
        <f ca="1">_xlfn.IFNA(VLOOKUP(INDIRECT("G"&amp;ROW()),minfo!$A:$M,COLUMN()-8,0),"")</f>
        <v>https://i0.hdslb.com/bfs/station_src/music_metadata/8eedd1a09269c8d74ed387337e626b75.jpg</v>
      </c>
      <c r="P525" s="4" t="str">
        <f ca="1">_xlfn.IFNA(VLOOKUP(INDIRECT("G"&amp;ROW()),minfo!$A:$M,COLUMN()-8,0),"")</f>
        <v>https://i0.hdslb.com/bfs/station_src/music_metadata/ae5c6e95bbcbbf46dea75520d23f2e3e.txt</v>
      </c>
      <c r="Q525" s="4">
        <f ca="1">_xlfn.IFNA(VLOOKUP(INDIRECT("G"&amp;ROW()),minfo!$A:$M,COLUMN()-8,0),"")</f>
        <v>757</v>
      </c>
      <c r="R525" s="4">
        <f ca="1">_xlfn.IFNA(VLOOKUP(INDIRECT("G"&amp;ROW()),minfo!$A:$M,COLUMN()-8,0),"")</f>
        <v>0</v>
      </c>
      <c r="S525" s="4" t="str">
        <f ca="1">_xlfn.IFNA(VLOOKUP(INDIRECT("G"&amp;ROW()),minfo!$A:$M,COLUMN()-8,0),"")</f>
        <v>十一月的萧邦</v>
      </c>
      <c r="T525" s="4">
        <f ca="1">_xlfn.IFNA(VLOOKUP(INDIRECT("G"&amp;ROW()),minfo!$A:$M,COLUMN()-8,0),"")</f>
        <v>267490941</v>
      </c>
      <c r="U525" s="4">
        <f ca="1">_xlfn.IFNA(VLOOKUP(INDIRECT("G"&amp;ROW()),minfo!$A:$M,COLUMN()-8,0),"")</f>
        <v>0</v>
      </c>
    </row>
    <row r="526" spans="1:21" ht="15.75" customHeight="1">
      <c r="A526" s="15">
        <v>525</v>
      </c>
      <c r="B526" s="4" t="s">
        <v>4101</v>
      </c>
      <c r="C526" s="4">
        <v>526</v>
      </c>
      <c r="D526" s="4">
        <v>135</v>
      </c>
      <c r="E526" s="4" t="s">
        <v>1478</v>
      </c>
      <c r="F526" s="16">
        <v>45177</v>
      </c>
      <c r="G526" s="5" t="s">
        <v>1477</v>
      </c>
      <c r="H526" s="5" t="s">
        <v>3961</v>
      </c>
      <c r="I526" s="24" t="str">
        <f>HYPERLINK("https://www.bilibili.com/video/BV1gz4y147yu?p=135", "BV1gz4y147yu?p=135")</f>
        <v>BV1gz4y147yu?p=135</v>
      </c>
      <c r="J526" s="4" t="str">
        <f ca="1">_xlfn.IFNA(VLOOKUP(INDIRECT("G"&amp;ROW()),minfo!$A:$M,COLUMN()-8,0),"")</f>
        <v>想你时风起</v>
      </c>
      <c r="K526" s="4" t="str">
        <f ca="1">_xlfn.IFNA(VLOOKUP(INDIRECT("G"&amp;ROW()),minfo!$A:$M,COLUMN()-8,0),"")</f>
        <v>单依纯</v>
      </c>
      <c r="L526" s="4">
        <f ca="1">_xlfn.IFNA(VLOOKUP(INDIRECT("G"&amp;ROW()),minfo!$A:$M,COLUMN()-8,0),"")</f>
        <v>0</v>
      </c>
      <c r="M526" s="4">
        <f ca="1">_xlfn.IFNA(VLOOKUP(INDIRECT("G"&amp;ROW()),minfo!$A:$M,COLUMN()-8,0),"")</f>
        <v>0</v>
      </c>
      <c r="N526" s="4">
        <f ca="1">_xlfn.IFNA(VLOOKUP(INDIRECT("G"&amp;ROW()),minfo!$A:$M,COLUMN()-8,0),"")</f>
        <v>0</v>
      </c>
      <c r="O526" s="4" t="str">
        <f ca="1">_xlfn.IFNA(VLOOKUP(INDIRECT("G"&amp;ROW()),minfo!$A:$M,COLUMN()-8,0),"")</f>
        <v>http://i0.hdslb.com/bfs/station_src/music_metadata/690d5f026cf42acdf74154d42a9e4aec.jpg</v>
      </c>
      <c r="P526" s="4">
        <f ca="1">_xlfn.IFNA(VLOOKUP(INDIRECT("G"&amp;ROW()),minfo!$A:$M,COLUMN()-8,0),"")</f>
        <v>0</v>
      </c>
      <c r="Q526" s="4">
        <f ca="1">_xlfn.IFNA(VLOOKUP(INDIRECT("G"&amp;ROW()),minfo!$A:$M,COLUMN()-8,0),"")</f>
        <v>710</v>
      </c>
      <c r="R526" s="4">
        <f ca="1">_xlfn.IFNA(VLOOKUP(INDIRECT("G"&amp;ROW()),minfo!$A:$M,COLUMN()-8,0),"")</f>
        <v>0</v>
      </c>
      <c r="S526" s="4" t="str">
        <f ca="1">_xlfn.IFNA(VLOOKUP(INDIRECT("G"&amp;ROW()),minfo!$A:$M,COLUMN()-8,0),"")</f>
        <v>想你时风起</v>
      </c>
      <c r="T526" s="4">
        <f ca="1">_xlfn.IFNA(VLOOKUP(INDIRECT("G"&amp;ROW()),minfo!$A:$M,COLUMN()-8,0),"")</f>
        <v>48566163</v>
      </c>
      <c r="U526" s="4">
        <f ca="1">_xlfn.IFNA(VLOOKUP(INDIRECT("G"&amp;ROW()),minfo!$A:$M,COLUMN()-8,0),"")</f>
        <v>0</v>
      </c>
    </row>
    <row r="527" spans="1:21" ht="15.75" customHeight="1">
      <c r="A527" s="15">
        <v>526</v>
      </c>
      <c r="B527" s="4" t="s">
        <v>4102</v>
      </c>
      <c r="C527" s="4">
        <v>527</v>
      </c>
      <c r="D527" s="4">
        <v>136</v>
      </c>
      <c r="E527" s="4" t="s">
        <v>95</v>
      </c>
      <c r="F527" s="16">
        <v>45177</v>
      </c>
      <c r="G527" s="5" t="s">
        <v>203</v>
      </c>
      <c r="H527" s="5" t="s">
        <v>3961</v>
      </c>
      <c r="I527" s="24" t="str">
        <f>HYPERLINK("https://www.bilibili.com/video/BV1gz4y147yu?p=136", "BV1gz4y147yu?p=136")</f>
        <v>BV1gz4y147yu?p=136</v>
      </c>
      <c r="J527" s="4" t="str">
        <f ca="1">_xlfn.IFNA(VLOOKUP(INDIRECT("G"&amp;ROW()),minfo!$A:$M,COLUMN()-8,0),"")</f>
        <v>不问天</v>
      </c>
      <c r="K527" s="4" t="str">
        <f ca="1">_xlfn.IFNA(VLOOKUP(INDIRECT("G"&amp;ROW()),minfo!$A:$M,COLUMN()-8,0),"")</f>
        <v>说说Crystal</v>
      </c>
      <c r="L527" s="4">
        <f ca="1">_xlfn.IFNA(VLOOKUP(INDIRECT("G"&amp;ROW()),minfo!$A:$M,COLUMN()-8,0),"")</f>
        <v>0</v>
      </c>
      <c r="M527" s="4">
        <f ca="1">_xlfn.IFNA(VLOOKUP(INDIRECT("G"&amp;ROW()),minfo!$A:$M,COLUMN()-8,0),"")</f>
        <v>0</v>
      </c>
      <c r="N527" s="4">
        <f ca="1">_xlfn.IFNA(VLOOKUP(INDIRECT("G"&amp;ROW()),minfo!$A:$M,COLUMN()-8,0),"")</f>
        <v>0</v>
      </c>
      <c r="O527" s="4" t="str">
        <f ca="1">_xlfn.IFNA(VLOOKUP(INDIRECT("G"&amp;ROW()),minfo!$A:$M,COLUMN()-8,0),"")</f>
        <v>https://i0.hdslb.com/bfs/station_src/music_metadata/ce3a0da2a7e64a49fa42a6e3db521f57.jpg</v>
      </c>
      <c r="P527" s="4" t="str">
        <f ca="1">_xlfn.IFNA(VLOOKUP(INDIRECT("G"&amp;ROW()),minfo!$A:$M,COLUMN()-8,0),"")</f>
        <v>https://i0.hdslb.com/bfs/station_src/music_metadata/02cd9198a33924449443fc704a92a25a.txt</v>
      </c>
      <c r="Q527" s="4">
        <f ca="1">_xlfn.IFNA(VLOOKUP(INDIRECT("G"&amp;ROW()),minfo!$A:$M,COLUMN()-8,0),"")</f>
        <v>149</v>
      </c>
      <c r="R527" s="4">
        <f ca="1">_xlfn.IFNA(VLOOKUP(INDIRECT("G"&amp;ROW()),minfo!$A:$M,COLUMN()-8,0),"")</f>
        <v>0</v>
      </c>
      <c r="S527" s="4" t="str">
        <f ca="1">_xlfn.IFNA(VLOOKUP(INDIRECT("G"&amp;ROW()),minfo!$A:$M,COLUMN()-8,0),"")</f>
        <v>2021哔哩哔哩拜年纪</v>
      </c>
      <c r="T527" s="4">
        <f ca="1">_xlfn.IFNA(VLOOKUP(INDIRECT("G"&amp;ROW()),minfo!$A:$M,COLUMN()-8,0),"")</f>
        <v>33137051</v>
      </c>
      <c r="U527" s="4">
        <f ca="1">_xlfn.IFNA(VLOOKUP(INDIRECT("G"&amp;ROW()),minfo!$A:$M,COLUMN()-8,0),"")</f>
        <v>0</v>
      </c>
    </row>
    <row r="528" spans="1:21" ht="15.75" customHeight="1">
      <c r="A528" s="15">
        <v>527</v>
      </c>
      <c r="B528" s="4" t="s">
        <v>4103</v>
      </c>
      <c r="C528" s="4">
        <v>528</v>
      </c>
      <c r="D528" s="4">
        <v>137</v>
      </c>
      <c r="E528" s="4" t="s">
        <v>237</v>
      </c>
      <c r="F528" s="16">
        <v>45177</v>
      </c>
      <c r="G528" s="5" t="s">
        <v>236</v>
      </c>
      <c r="H528" s="5" t="s">
        <v>3961</v>
      </c>
      <c r="I528" s="24" t="str">
        <f>HYPERLINK("https://www.bilibili.com/video/BV1gz4y147yu?p=137", "BV1gz4y147yu?p=137")</f>
        <v>BV1gz4y147yu?p=137</v>
      </c>
      <c r="J528" s="4" t="str">
        <f ca="1">_xlfn.IFNA(VLOOKUP(INDIRECT("G"&amp;ROW()),minfo!$A:$M,COLUMN()-8,0),"")</f>
        <v>菩萨蛮</v>
      </c>
      <c r="K528" s="4" t="str">
        <f ca="1">_xlfn.IFNA(VLOOKUP(INDIRECT("G"&amp;ROW()),minfo!$A:$M,COLUMN()-8,0),"")</f>
        <v>姚贝娜</v>
      </c>
      <c r="L528" s="4">
        <f ca="1">_xlfn.IFNA(VLOOKUP(INDIRECT("G"&amp;ROW()),minfo!$A:$M,COLUMN()-8,0),"")</f>
        <v>0</v>
      </c>
      <c r="M528" s="4">
        <f ca="1">_xlfn.IFNA(VLOOKUP(INDIRECT("G"&amp;ROW()),minfo!$A:$M,COLUMN()-8,0),"")</f>
        <v>0</v>
      </c>
      <c r="N528" s="4">
        <f ca="1">_xlfn.IFNA(VLOOKUP(INDIRECT("G"&amp;ROW()),minfo!$A:$M,COLUMN()-8,0),"")</f>
        <v>0</v>
      </c>
      <c r="O528" s="4" t="str">
        <f ca="1">_xlfn.IFNA(VLOOKUP(INDIRECT("G"&amp;ROW()),minfo!$A:$M,COLUMN()-8,0),"")</f>
        <v>https://i0.hdslb.com/bfs/station_src/music_metadata/af6a2e36820cd2387f0261a48e49c4ac.jpg</v>
      </c>
      <c r="P528" s="4" t="str">
        <f ca="1">_xlfn.IFNA(VLOOKUP(INDIRECT("G"&amp;ROW()),minfo!$A:$M,COLUMN()-8,0),"")</f>
        <v>https://i0.hdslb.com/bfs/station_src/music_metadata/2ab2b1693f38d61941e813d3fb513a11.txt</v>
      </c>
      <c r="Q528" s="4">
        <f ca="1">_xlfn.IFNA(VLOOKUP(INDIRECT("G"&amp;ROW()),minfo!$A:$M,COLUMN()-8,0),"")</f>
        <v>95</v>
      </c>
      <c r="R528" s="4" t="str">
        <f ca="1">_xlfn.IFNA(VLOOKUP(INDIRECT("G"&amp;ROW()),minfo!$A:$M,COLUMN()-8,0),"")</f>
        <v>《甄嬛传》电视剧插曲</v>
      </c>
      <c r="S528" s="4" t="str">
        <f ca="1">_xlfn.IFNA(VLOOKUP(INDIRECT("G"&amp;ROW()),minfo!$A:$M,COLUMN()-8,0),"")</f>
        <v>姚贝娜影视音乐精选辑</v>
      </c>
      <c r="T528" s="4">
        <f ca="1">_xlfn.IFNA(VLOOKUP(INDIRECT("G"&amp;ROW()),minfo!$A:$M,COLUMN()-8,0),"")</f>
        <v>40070424</v>
      </c>
      <c r="U528" s="4">
        <f ca="1">_xlfn.IFNA(VLOOKUP(INDIRECT("G"&amp;ROW()),minfo!$A:$M,COLUMN()-8,0),"")</f>
        <v>0</v>
      </c>
    </row>
    <row r="529" spans="1:21" ht="15.75" customHeight="1">
      <c r="A529" s="15">
        <v>528</v>
      </c>
      <c r="B529" s="4" t="s">
        <v>4104</v>
      </c>
      <c r="C529" s="4">
        <v>529</v>
      </c>
      <c r="D529" s="4">
        <v>138</v>
      </c>
      <c r="E529" s="4" t="s">
        <v>113</v>
      </c>
      <c r="F529" s="16">
        <v>45177</v>
      </c>
      <c r="G529" s="5" t="s">
        <v>113</v>
      </c>
      <c r="H529" s="5" t="s">
        <v>3961</v>
      </c>
      <c r="I529" s="24" t="str">
        <f>HYPERLINK("https://www.bilibili.com/video/BV1gz4y147yu?p=138", "BV1gz4y147yu?p=138")</f>
        <v>BV1gz4y147yu?p=138</v>
      </c>
      <c r="J529" s="4" t="str">
        <f ca="1">_xlfn.IFNA(VLOOKUP(INDIRECT("G"&amp;ROW()),minfo!$A:$M,COLUMN()-8,0),"")</f>
        <v>牡丹亭畔</v>
      </c>
      <c r="K529" s="4" t="str">
        <f ca="1">_xlfn.IFNA(VLOOKUP(INDIRECT("G"&amp;ROW()),minfo!$A:$M,COLUMN()-8,0),"")</f>
        <v>说说Crystal</v>
      </c>
      <c r="L529" s="4" t="str">
        <f ca="1">_xlfn.IFNA(VLOOKUP(INDIRECT("G"&amp;ROW()),minfo!$A:$M,COLUMN()-8,0),"")</f>
        <v>BV1CP411M7tc</v>
      </c>
      <c r="M529" s="4">
        <f ca="1">_xlfn.IFNA(VLOOKUP(INDIRECT("G"&amp;ROW()),minfo!$A:$M,COLUMN()-8,0),"")</f>
        <v>0</v>
      </c>
      <c r="N529" s="4">
        <f ca="1">_xlfn.IFNA(VLOOKUP(INDIRECT("G"&amp;ROW()),minfo!$A:$M,COLUMN()-8,0),"")</f>
        <v>0</v>
      </c>
      <c r="O529" s="4">
        <f ca="1">_xlfn.IFNA(VLOOKUP(INDIRECT("G"&amp;ROW()),minfo!$A:$M,COLUMN()-8,0),"")</f>
        <v>0</v>
      </c>
      <c r="P529" s="4">
        <f ca="1">_xlfn.IFNA(VLOOKUP(INDIRECT("G"&amp;ROW()),minfo!$A:$M,COLUMN()-8,0),"")</f>
        <v>0</v>
      </c>
      <c r="Q529" s="4">
        <f ca="1">_xlfn.IFNA(VLOOKUP(INDIRECT("G"&amp;ROW()),minfo!$A:$M,COLUMN()-8,0),"")</f>
        <v>0</v>
      </c>
      <c r="R529" s="4">
        <f ca="1">_xlfn.IFNA(VLOOKUP(INDIRECT("G"&amp;ROW()),minfo!$A:$M,COLUMN()-8,0),"")</f>
        <v>0</v>
      </c>
      <c r="S529" s="4">
        <f ca="1">_xlfn.IFNA(VLOOKUP(INDIRECT("G"&amp;ROW()),minfo!$A:$M,COLUMN()-8,0),"")</f>
        <v>0</v>
      </c>
      <c r="T529" s="4">
        <f ca="1">_xlfn.IFNA(VLOOKUP(INDIRECT("G"&amp;ROW()),minfo!$A:$M,COLUMN()-8,0),"")</f>
        <v>0</v>
      </c>
      <c r="U529" s="4">
        <f ca="1">_xlfn.IFNA(VLOOKUP(INDIRECT("G"&amp;ROW()),minfo!$A:$M,COLUMN()-8,0),"")</f>
        <v>0</v>
      </c>
    </row>
    <row r="530" spans="1:21" ht="15.75" customHeight="1">
      <c r="A530" s="15">
        <v>529</v>
      </c>
      <c r="B530" s="4" t="s">
        <v>4105</v>
      </c>
      <c r="C530" s="4">
        <v>530</v>
      </c>
      <c r="D530" s="4">
        <v>139</v>
      </c>
      <c r="E530" s="4" t="s">
        <v>69</v>
      </c>
      <c r="F530" s="16">
        <v>45177</v>
      </c>
      <c r="G530" s="5" t="s">
        <v>69</v>
      </c>
      <c r="H530" s="5" t="s">
        <v>3961</v>
      </c>
      <c r="I530" s="24" t="str">
        <f>HYPERLINK("https://www.bilibili.com/video/BV1gz4y147yu?p=139", "BV1gz4y147yu?p=139")</f>
        <v>BV1gz4y147yu?p=139</v>
      </c>
      <c r="J530" s="4" t="str">
        <f ca="1">_xlfn.IFNA(VLOOKUP(INDIRECT("G"&amp;ROW()),minfo!$A:$M,COLUMN()-8,0),"")</f>
        <v>琥珀色爱情</v>
      </c>
      <c r="K530" s="4" t="str">
        <f ca="1">_xlfn.IFNA(VLOOKUP(INDIRECT("G"&amp;ROW()),minfo!$A:$M,COLUMN()-8,0),"")</f>
        <v>说说Crystal</v>
      </c>
      <c r="L530" s="4" t="str">
        <f ca="1">_xlfn.IFNA(VLOOKUP(INDIRECT("G"&amp;ROW()),minfo!$A:$M,COLUMN()-8,0),"")</f>
        <v>BV1rU4y117Kk</v>
      </c>
      <c r="M530" s="4">
        <f ca="1">_xlfn.IFNA(VLOOKUP(INDIRECT("G"&amp;ROW()),minfo!$A:$M,COLUMN()-8,0),"")</f>
        <v>0</v>
      </c>
      <c r="N530" s="4">
        <f ca="1">_xlfn.IFNA(VLOOKUP(INDIRECT("G"&amp;ROW()),minfo!$A:$M,COLUMN()-8,0),"")</f>
        <v>0</v>
      </c>
      <c r="O530" s="4">
        <f ca="1">_xlfn.IFNA(VLOOKUP(INDIRECT("G"&amp;ROW()),minfo!$A:$M,COLUMN()-8,0),"")</f>
        <v>0</v>
      </c>
      <c r="P530" s="4">
        <f ca="1">_xlfn.IFNA(VLOOKUP(INDIRECT("G"&amp;ROW()),minfo!$A:$M,COLUMN()-8,0),"")</f>
        <v>0</v>
      </c>
      <c r="Q530" s="4">
        <f ca="1">_xlfn.IFNA(VLOOKUP(INDIRECT("G"&amp;ROW()),minfo!$A:$M,COLUMN()-8,0),"")</f>
        <v>0</v>
      </c>
      <c r="R530" s="4">
        <f ca="1">_xlfn.IFNA(VLOOKUP(INDIRECT("G"&amp;ROW()),minfo!$A:$M,COLUMN()-8,0),"")</f>
        <v>0</v>
      </c>
      <c r="S530" s="4">
        <f ca="1">_xlfn.IFNA(VLOOKUP(INDIRECT("G"&amp;ROW()),minfo!$A:$M,COLUMN()-8,0),"")</f>
        <v>0</v>
      </c>
      <c r="T530" s="4">
        <f ca="1">_xlfn.IFNA(VLOOKUP(INDIRECT("G"&amp;ROW()),minfo!$A:$M,COLUMN()-8,0),"")</f>
        <v>0</v>
      </c>
      <c r="U530" s="4">
        <f ca="1">_xlfn.IFNA(VLOOKUP(INDIRECT("G"&amp;ROW()),minfo!$A:$M,COLUMN()-8,0),"")</f>
        <v>0</v>
      </c>
    </row>
    <row r="531" spans="1:21" ht="15.75" customHeight="1">
      <c r="A531" s="15">
        <v>530</v>
      </c>
      <c r="B531" s="4" t="s">
        <v>4106</v>
      </c>
      <c r="C531" s="4">
        <v>531</v>
      </c>
      <c r="D531" s="4">
        <v>140</v>
      </c>
      <c r="E531" s="4" t="s">
        <v>69</v>
      </c>
      <c r="F531" s="16">
        <v>45177</v>
      </c>
      <c r="G531" s="5" t="s">
        <v>69</v>
      </c>
      <c r="H531" s="5" t="s">
        <v>3961</v>
      </c>
      <c r="I531" s="24" t="str">
        <f>HYPERLINK("https://www.bilibili.com/video/BV1gz4y147yu?p=140", "BV1gz4y147yu?p=140")</f>
        <v>BV1gz4y147yu?p=140</v>
      </c>
      <c r="J531" s="4" t="str">
        <f ca="1">_xlfn.IFNA(VLOOKUP(INDIRECT("G"&amp;ROW()),minfo!$A:$M,COLUMN()-8,0),"")</f>
        <v>琥珀色爱情</v>
      </c>
      <c r="K531" s="4" t="str">
        <f ca="1">_xlfn.IFNA(VLOOKUP(INDIRECT("G"&amp;ROW()),minfo!$A:$M,COLUMN()-8,0),"")</f>
        <v>说说Crystal</v>
      </c>
      <c r="L531" s="4" t="str">
        <f ca="1">_xlfn.IFNA(VLOOKUP(INDIRECT("G"&amp;ROW()),minfo!$A:$M,COLUMN()-8,0),"")</f>
        <v>BV1rU4y117Kk</v>
      </c>
      <c r="M531" s="4">
        <f ca="1">_xlfn.IFNA(VLOOKUP(INDIRECT("G"&amp;ROW()),minfo!$A:$M,COLUMN()-8,0),"")</f>
        <v>0</v>
      </c>
      <c r="N531" s="4">
        <f ca="1">_xlfn.IFNA(VLOOKUP(INDIRECT("G"&amp;ROW()),minfo!$A:$M,COLUMN()-8,0),"")</f>
        <v>0</v>
      </c>
      <c r="O531" s="4">
        <f ca="1">_xlfn.IFNA(VLOOKUP(INDIRECT("G"&amp;ROW()),minfo!$A:$M,COLUMN()-8,0),"")</f>
        <v>0</v>
      </c>
      <c r="P531" s="4">
        <f ca="1">_xlfn.IFNA(VLOOKUP(INDIRECT("G"&amp;ROW()),minfo!$A:$M,COLUMN()-8,0),"")</f>
        <v>0</v>
      </c>
      <c r="Q531" s="4">
        <f ca="1">_xlfn.IFNA(VLOOKUP(INDIRECT("G"&amp;ROW()),minfo!$A:$M,COLUMN()-8,0),"")</f>
        <v>0</v>
      </c>
      <c r="R531" s="4">
        <f ca="1">_xlfn.IFNA(VLOOKUP(INDIRECT("G"&amp;ROW()),minfo!$A:$M,COLUMN()-8,0),"")</f>
        <v>0</v>
      </c>
      <c r="S531" s="4">
        <f ca="1">_xlfn.IFNA(VLOOKUP(INDIRECT("G"&amp;ROW()),minfo!$A:$M,COLUMN()-8,0),"")</f>
        <v>0</v>
      </c>
      <c r="T531" s="4">
        <f ca="1">_xlfn.IFNA(VLOOKUP(INDIRECT("G"&amp;ROW()),minfo!$A:$M,COLUMN()-8,0),"")</f>
        <v>0</v>
      </c>
      <c r="U531" s="4">
        <f ca="1">_xlfn.IFNA(VLOOKUP(INDIRECT("G"&amp;ROW()),minfo!$A:$M,COLUMN()-8,0),"")</f>
        <v>0</v>
      </c>
    </row>
    <row r="532" spans="1:21" ht="15.75" customHeight="1">
      <c r="A532" s="15">
        <v>531</v>
      </c>
      <c r="B532" s="4" t="s">
        <v>4107</v>
      </c>
      <c r="C532" s="4">
        <v>532</v>
      </c>
      <c r="D532" s="4">
        <v>141</v>
      </c>
      <c r="E532" s="4" t="s">
        <v>1484</v>
      </c>
      <c r="F532" s="16">
        <v>45178</v>
      </c>
      <c r="G532" s="5" t="s">
        <v>1483</v>
      </c>
      <c r="H532" s="5" t="s">
        <v>3961</v>
      </c>
      <c r="I532" s="24" t="str">
        <f>HYPERLINK("https://www.bilibili.com/video/BV1gz4y147yu?p=141", "BV1gz4y147yu?p=141")</f>
        <v>BV1gz4y147yu?p=141</v>
      </c>
      <c r="J532" s="4" t="str">
        <f ca="1">_xlfn.IFNA(VLOOKUP(INDIRECT("G"&amp;ROW()),minfo!$A:$M,COLUMN()-8,0),"")</f>
        <v>听海</v>
      </c>
      <c r="K532" s="4" t="str">
        <f ca="1">_xlfn.IFNA(VLOOKUP(INDIRECT("G"&amp;ROW()),minfo!$A:$M,COLUMN()-8,0),"")</f>
        <v>张惠妹</v>
      </c>
      <c r="L532" s="4">
        <f ca="1">_xlfn.IFNA(VLOOKUP(INDIRECT("G"&amp;ROW()),minfo!$A:$M,COLUMN()-8,0),"")</f>
        <v>0</v>
      </c>
      <c r="M532" s="4">
        <f ca="1">_xlfn.IFNA(VLOOKUP(INDIRECT("G"&amp;ROW()),minfo!$A:$M,COLUMN()-8,0),"")</f>
        <v>30</v>
      </c>
      <c r="N532" s="4">
        <f ca="1">_xlfn.IFNA(VLOOKUP(INDIRECT("G"&amp;ROW()),minfo!$A:$M,COLUMN()-8,0),"")</f>
        <v>12</v>
      </c>
      <c r="O532" s="4" t="str">
        <f ca="1">_xlfn.IFNA(VLOOKUP(INDIRECT("G"&amp;ROW()),minfo!$A:$M,COLUMN()-8,0),"")</f>
        <v>https://i0.hdslb.com/bfs/station_src/music_metadata/73dec89697f84502d2f1b8bc3034448d.jpg</v>
      </c>
      <c r="P532" s="4" t="str">
        <f ca="1">_xlfn.IFNA(VLOOKUP(INDIRECT("G"&amp;ROW()),minfo!$A:$M,COLUMN()-8,0),"")</f>
        <v>http://i0.hdslb.com/bfs/station_src/music_metadata/38e7089b8771efc1ab365cfebcb68ddf</v>
      </c>
      <c r="Q532" s="4">
        <f ca="1">_xlfn.IFNA(VLOOKUP(INDIRECT("G"&amp;ROW()),minfo!$A:$M,COLUMN()-8,0),"")</f>
        <v>174</v>
      </c>
      <c r="R532" s="4">
        <f ca="1">_xlfn.IFNA(VLOOKUP(INDIRECT("G"&amp;ROW()),minfo!$A:$M,COLUMN()-8,0),"")</f>
        <v>0</v>
      </c>
      <c r="S532" s="4" t="str">
        <f ca="1">_xlfn.IFNA(VLOOKUP(INDIRECT("G"&amp;ROW()),minfo!$A:$M,COLUMN()-8,0),"")</f>
        <v>Bad Boy</v>
      </c>
      <c r="T532" s="4">
        <f ca="1">_xlfn.IFNA(VLOOKUP(INDIRECT("G"&amp;ROW()),minfo!$A:$M,COLUMN()-8,0),"")</f>
        <v>103633402</v>
      </c>
      <c r="U532" s="4">
        <f ca="1">_xlfn.IFNA(VLOOKUP(INDIRECT("G"&amp;ROW()),minfo!$A:$M,COLUMN()-8,0),"")</f>
        <v>0</v>
      </c>
    </row>
    <row r="533" spans="1:21" ht="15.75" customHeight="1">
      <c r="A533" s="15">
        <v>532</v>
      </c>
      <c r="B533" s="4" t="s">
        <v>4108</v>
      </c>
      <c r="C533" s="4">
        <v>533</v>
      </c>
      <c r="D533" s="4">
        <v>142</v>
      </c>
      <c r="E533" s="4" t="s">
        <v>540</v>
      </c>
      <c r="F533" s="16">
        <v>45178</v>
      </c>
      <c r="G533" s="5" t="s">
        <v>539</v>
      </c>
      <c r="H533" s="5" t="s">
        <v>3961</v>
      </c>
      <c r="I533" s="24" t="str">
        <f>HYPERLINK("https://www.bilibili.com/video/BV1gz4y147yu?p=142", "BV1gz4y147yu?p=142")</f>
        <v>BV1gz4y147yu?p=142</v>
      </c>
      <c r="J533" s="4" t="str">
        <f ca="1">_xlfn.IFNA(VLOOKUP(INDIRECT("G"&amp;ROW()),minfo!$A:$M,COLUMN()-8,0),"")</f>
        <v>如果你也听说</v>
      </c>
      <c r="K533" s="4" t="str">
        <f ca="1">_xlfn.IFNA(VLOOKUP(INDIRECT("G"&amp;ROW()),minfo!$A:$M,COLUMN()-8,0),"")</f>
        <v>张惠妹</v>
      </c>
      <c r="L533" s="4">
        <f ca="1">_xlfn.IFNA(VLOOKUP(INDIRECT("G"&amp;ROW()),minfo!$A:$M,COLUMN()-8,0),"")</f>
        <v>0</v>
      </c>
      <c r="M533" s="4">
        <f ca="1">_xlfn.IFNA(VLOOKUP(INDIRECT("G"&amp;ROW()),minfo!$A:$M,COLUMN()-8,0),"")</f>
        <v>0</v>
      </c>
      <c r="N533" s="4">
        <f ca="1">_xlfn.IFNA(VLOOKUP(INDIRECT("G"&amp;ROW()),minfo!$A:$M,COLUMN()-8,0),"")</f>
        <v>0</v>
      </c>
      <c r="O533" s="4" t="str">
        <f ca="1">_xlfn.IFNA(VLOOKUP(INDIRECT("G"&amp;ROW()),minfo!$A:$M,COLUMN()-8,0),"")</f>
        <v>https://i0.hdslb.com/bfs/station_src/music_metadata/817afa2e773e7b58be0aa81357a6d3ba.jpg</v>
      </c>
      <c r="P533" s="4" t="str">
        <f ca="1">_xlfn.IFNA(VLOOKUP(INDIRECT("G"&amp;ROW()),minfo!$A:$M,COLUMN()-8,0),"")</f>
        <v>http://i0.hdslb.com/bfs/station_src/music_metadata/bf62c79e96e7ed1fd3cc328229e1279c</v>
      </c>
      <c r="Q533" s="4">
        <f ca="1">_xlfn.IFNA(VLOOKUP(INDIRECT("G"&amp;ROW()),minfo!$A:$M,COLUMN()-8,0),"")</f>
        <v>131</v>
      </c>
      <c r="R533" s="4">
        <f ca="1">_xlfn.IFNA(VLOOKUP(INDIRECT("G"&amp;ROW()),minfo!$A:$M,COLUMN()-8,0),"")</f>
        <v>0</v>
      </c>
      <c r="S533" s="4" t="str">
        <f ca="1">_xlfn.IFNA(VLOOKUP(INDIRECT("G"&amp;ROW()),minfo!$A:$M,COLUMN()-8,0),"")</f>
        <v>我最亲爱的张惠妹 - 给自己的精选（2015 Edition）</v>
      </c>
      <c r="T533" s="4">
        <f ca="1">_xlfn.IFNA(VLOOKUP(INDIRECT("G"&amp;ROW()),minfo!$A:$M,COLUMN()-8,0),"")</f>
        <v>70228527</v>
      </c>
      <c r="U533" s="4">
        <f ca="1">_xlfn.IFNA(VLOOKUP(INDIRECT("G"&amp;ROW()),minfo!$A:$M,COLUMN()-8,0),"")</f>
        <v>0</v>
      </c>
    </row>
    <row r="534" spans="1:21" ht="15.75" customHeight="1">
      <c r="A534" s="15">
        <v>533</v>
      </c>
      <c r="B534" s="4" t="s">
        <v>4109</v>
      </c>
      <c r="C534" s="4">
        <v>534</v>
      </c>
      <c r="D534" s="4">
        <v>143</v>
      </c>
      <c r="E534" s="4" t="s">
        <v>872</v>
      </c>
      <c r="F534" s="16">
        <v>45182</v>
      </c>
      <c r="G534" s="5" t="s">
        <v>871</v>
      </c>
      <c r="H534" s="5" t="s">
        <v>3961</v>
      </c>
      <c r="I534" s="24" t="str">
        <f>HYPERLINK("https://www.bilibili.com/video/BV1gz4y147yu?p=143", "BV1gz4y147yu?p=143")</f>
        <v>BV1gz4y147yu?p=143</v>
      </c>
      <c r="J534" s="4" t="str">
        <f ca="1">_xlfn.IFNA(VLOOKUP(INDIRECT("G"&amp;ROW()),minfo!$A:$M,COLUMN()-8,0),"")</f>
        <v>一样的月光</v>
      </c>
      <c r="K534" s="4" t="str">
        <f ca="1">_xlfn.IFNA(VLOOKUP(INDIRECT("G"&amp;ROW()),minfo!$A:$M,COLUMN()-8,0),"")</f>
        <v>徐佳莹</v>
      </c>
      <c r="L534" s="4">
        <f ca="1">_xlfn.IFNA(VLOOKUP(INDIRECT("G"&amp;ROW()),minfo!$A:$M,COLUMN()-8,0),"")</f>
        <v>0</v>
      </c>
      <c r="M534" s="4">
        <f ca="1">_xlfn.IFNA(VLOOKUP(INDIRECT("G"&amp;ROW()),minfo!$A:$M,COLUMN()-8,0),"")</f>
        <v>0</v>
      </c>
      <c r="N534" s="4">
        <f ca="1">_xlfn.IFNA(VLOOKUP(INDIRECT("G"&amp;ROW()),minfo!$A:$M,COLUMN()-8,0),"")</f>
        <v>0</v>
      </c>
      <c r="O534" s="4" t="str">
        <f ca="1">_xlfn.IFNA(VLOOKUP(INDIRECT("G"&amp;ROW()),minfo!$A:$M,COLUMN()-8,0),"")</f>
        <v>https://i0.hdslb.com/bfs/station_src/music_metadata/bb47ed0b6da92d07d9492a6e3982d7f7.jpg</v>
      </c>
      <c r="P534" s="4" t="str">
        <f ca="1">_xlfn.IFNA(VLOOKUP(INDIRECT("G"&amp;ROW()),minfo!$A:$M,COLUMN()-8,0),"")</f>
        <v>http://i0.hdslb.com/bfs/station_src/music_metadata/df58f5b1cd8da2f562b22b6c913ab846</v>
      </c>
      <c r="Q534" s="4">
        <f ca="1">_xlfn.IFNA(VLOOKUP(INDIRECT("G"&amp;ROW()),minfo!$A:$M,COLUMN()-8,0),"")</f>
        <v>1830</v>
      </c>
      <c r="R534" s="4">
        <f ca="1">_xlfn.IFNA(VLOOKUP(INDIRECT("G"&amp;ROW()),minfo!$A:$M,COLUMN()-8,0),"")</f>
        <v>0</v>
      </c>
      <c r="S534" s="4" t="str">
        <f ca="1">_xlfn.IFNA(VLOOKUP(INDIRECT("G"&amp;ROW()),minfo!$A:$M,COLUMN()-8,0),"")</f>
        <v>LaLa首张创作专辑</v>
      </c>
      <c r="T534" s="4">
        <f ca="1">_xlfn.IFNA(VLOOKUP(INDIRECT("G"&amp;ROW()),minfo!$A:$M,COLUMN()-8,0),"")</f>
        <v>312017425</v>
      </c>
      <c r="U534" s="4">
        <f ca="1">_xlfn.IFNA(VLOOKUP(INDIRECT("G"&amp;ROW()),minfo!$A:$M,COLUMN()-8,0),"")</f>
        <v>0</v>
      </c>
    </row>
    <row r="535" spans="1:21" ht="15.75" customHeight="1">
      <c r="A535" s="15">
        <v>534</v>
      </c>
      <c r="B535" s="4" t="s">
        <v>4110</v>
      </c>
      <c r="C535" s="4">
        <v>535</v>
      </c>
      <c r="D535" s="4">
        <v>144</v>
      </c>
      <c r="E535" s="4" t="s">
        <v>904</v>
      </c>
      <c r="F535" s="16">
        <v>45182</v>
      </c>
      <c r="G535" s="5" t="s">
        <v>903</v>
      </c>
      <c r="H535" s="5" t="s">
        <v>3961</v>
      </c>
      <c r="I535" s="24" t="str">
        <f>HYPERLINK("https://www.bilibili.com/video/BV1gz4y147yu?p=144", "BV1gz4y147yu?p=144")</f>
        <v>BV1gz4y147yu?p=144</v>
      </c>
      <c r="J535" s="4" t="str">
        <f ca="1">_xlfn.IFNA(VLOOKUP(INDIRECT("G"&amp;ROW()),minfo!$A:$M,COLUMN()-8,0),"")</f>
        <v>轨迹</v>
      </c>
      <c r="K535" s="4" t="str">
        <f ca="1">_xlfn.IFNA(VLOOKUP(INDIRECT("G"&amp;ROW()),minfo!$A:$M,COLUMN()-8,0),"")</f>
        <v>周杰伦</v>
      </c>
      <c r="L535" s="4">
        <f ca="1">_xlfn.IFNA(VLOOKUP(INDIRECT("G"&amp;ROW()),minfo!$A:$M,COLUMN()-8,0),"")</f>
        <v>0</v>
      </c>
      <c r="M535" s="4">
        <f ca="1">_xlfn.IFNA(VLOOKUP(INDIRECT("G"&amp;ROW()),minfo!$A:$M,COLUMN()-8,0),"")</f>
        <v>0</v>
      </c>
      <c r="N535" s="4">
        <f ca="1">_xlfn.IFNA(VLOOKUP(INDIRECT("G"&amp;ROW()),minfo!$A:$M,COLUMN()-8,0),"")</f>
        <v>0</v>
      </c>
      <c r="O535" s="4" t="str">
        <f ca="1">_xlfn.IFNA(VLOOKUP(INDIRECT("G"&amp;ROW()),minfo!$A:$M,COLUMN()-8,0),"")</f>
        <v>https://i0.hdslb.com/bfs/station_src/music_metadata/439418765b962c30a2db33196128f32b.jpg</v>
      </c>
      <c r="P535" s="4" t="str">
        <f ca="1">_xlfn.IFNA(VLOOKUP(INDIRECT("G"&amp;ROW()),minfo!$A:$M,COLUMN()-8,0),"")</f>
        <v>copyright-crawler/music/task-lyric/6267f46a504b4c0665fd7bfd.txt</v>
      </c>
      <c r="Q535" s="4">
        <f ca="1">_xlfn.IFNA(VLOOKUP(INDIRECT("G"&amp;ROW()),minfo!$A:$M,COLUMN()-8,0),"")</f>
        <v>2850</v>
      </c>
      <c r="R535" s="4" t="str">
        <f ca="1">_xlfn.IFNA(VLOOKUP(INDIRECT("G"&amp;ROW()),minfo!$A:$M,COLUMN()-8,0),"")</f>
        <v>轨迹</v>
      </c>
      <c r="S535" s="4" t="str">
        <f ca="1">_xlfn.IFNA(VLOOKUP(INDIRECT("G"&amp;ROW()),minfo!$A:$M,COLUMN()-8,0),"")</f>
        <v>寻找周杰伦</v>
      </c>
      <c r="T535" s="4">
        <f ca="1">_xlfn.IFNA(VLOOKUP(INDIRECT("G"&amp;ROW()),minfo!$A:$M,COLUMN()-8,0),"")</f>
        <v>416774055</v>
      </c>
      <c r="U535" s="4">
        <f ca="1">_xlfn.IFNA(VLOOKUP(INDIRECT("G"&amp;ROW()),minfo!$A:$M,COLUMN()-8,0),"")</f>
        <v>0</v>
      </c>
    </row>
    <row r="536" spans="1:21" ht="15.75" customHeight="1">
      <c r="A536" s="15">
        <v>535</v>
      </c>
      <c r="B536" s="4" t="s">
        <v>4111</v>
      </c>
      <c r="C536" s="4">
        <v>536</v>
      </c>
      <c r="D536" s="4">
        <v>145</v>
      </c>
      <c r="E536" s="4" t="s">
        <v>1010</v>
      </c>
      <c r="F536" s="16">
        <v>45182</v>
      </c>
      <c r="G536" s="5" t="s">
        <v>1009</v>
      </c>
      <c r="H536" s="5" t="s">
        <v>3961</v>
      </c>
      <c r="I536" s="24" t="str">
        <f>HYPERLINK("https://www.bilibili.com/video/BV1gz4y147yu?p=145", "BV1gz4y147yu?p=145")</f>
        <v>BV1gz4y147yu?p=145</v>
      </c>
      <c r="J536" s="4" t="str">
        <f ca="1">_xlfn.IFNA(VLOOKUP(INDIRECT("G"&amp;ROW()),minfo!$A:$M,COLUMN()-8,0),"")</f>
        <v>黑色毛衣</v>
      </c>
      <c r="K536" s="4" t="str">
        <f ca="1">_xlfn.IFNA(VLOOKUP(INDIRECT("G"&amp;ROW()),minfo!$A:$M,COLUMN()-8,0),"")</f>
        <v>周杰伦</v>
      </c>
      <c r="L536" s="4">
        <f ca="1">_xlfn.IFNA(VLOOKUP(INDIRECT("G"&amp;ROW()),minfo!$A:$M,COLUMN()-8,0),"")</f>
        <v>0</v>
      </c>
      <c r="M536" s="4">
        <f ca="1">_xlfn.IFNA(VLOOKUP(INDIRECT("G"&amp;ROW()),minfo!$A:$M,COLUMN()-8,0),"")</f>
        <v>0</v>
      </c>
      <c r="N536" s="4">
        <f ca="1">_xlfn.IFNA(VLOOKUP(INDIRECT("G"&amp;ROW()),minfo!$A:$M,COLUMN()-8,0),"")</f>
        <v>0</v>
      </c>
      <c r="O536" s="4" t="str">
        <f ca="1">_xlfn.IFNA(VLOOKUP(INDIRECT("G"&amp;ROW()),minfo!$A:$M,COLUMN()-8,0),"")</f>
        <v>https://i0.hdslb.com/bfs/station_src/music_metadata/d177abbc80cfe554a91bcd9e69d8da51.jpg</v>
      </c>
      <c r="P536" s="4" t="str">
        <f ca="1">_xlfn.IFNA(VLOOKUP(INDIRECT("G"&amp;ROW()),minfo!$A:$M,COLUMN()-8,0),"")</f>
        <v>http://i0.hdslb.com/bfs/station_src/music_metadata/87ffce3db53d0d821f19079333c6109c</v>
      </c>
      <c r="Q536" s="4">
        <f ca="1">_xlfn.IFNA(VLOOKUP(INDIRECT("G"&amp;ROW()),minfo!$A:$M,COLUMN()-8,0),"")</f>
        <v>900</v>
      </c>
      <c r="R536" s="4">
        <f ca="1">_xlfn.IFNA(VLOOKUP(INDIRECT("G"&amp;ROW()),minfo!$A:$M,COLUMN()-8,0),"")</f>
        <v>0</v>
      </c>
      <c r="S536" s="4" t="str">
        <f ca="1">_xlfn.IFNA(VLOOKUP(INDIRECT("G"&amp;ROW()),minfo!$A:$M,COLUMN()-8,0),"")</f>
        <v>十一月的萧邦</v>
      </c>
      <c r="T536" s="4">
        <f ca="1">_xlfn.IFNA(VLOOKUP(INDIRECT("G"&amp;ROW()),minfo!$A:$M,COLUMN()-8,0),"")</f>
        <v>294942325</v>
      </c>
      <c r="U536" s="4">
        <f ca="1">_xlfn.IFNA(VLOOKUP(INDIRECT("G"&amp;ROW()),minfo!$A:$M,COLUMN()-8,0),"")</f>
        <v>0</v>
      </c>
    </row>
    <row r="537" spans="1:21" ht="15.75" customHeight="1">
      <c r="A537" s="15">
        <v>536</v>
      </c>
      <c r="B537" s="4" t="s">
        <v>4112</v>
      </c>
      <c r="C537" s="4">
        <v>537</v>
      </c>
      <c r="D537" s="4">
        <v>146</v>
      </c>
      <c r="E537" s="4" t="s">
        <v>1489</v>
      </c>
      <c r="F537" s="16">
        <v>45182</v>
      </c>
      <c r="G537" s="5" t="s">
        <v>1488</v>
      </c>
      <c r="H537" s="5" t="s">
        <v>3961</v>
      </c>
      <c r="I537" s="24" t="str">
        <f>HYPERLINK("https://www.bilibili.com/video/BV1gz4y147yu?p=146", "BV1gz4y147yu?p=146")</f>
        <v>BV1gz4y147yu?p=146</v>
      </c>
      <c r="J537" s="4" t="str">
        <f ca="1">_xlfn.IFNA(VLOOKUP(INDIRECT("G"&amp;ROW()),minfo!$A:$M,COLUMN()-8,0),"")</f>
        <v>海芋恋</v>
      </c>
      <c r="K537" s="4" t="str">
        <f ca="1">_xlfn.IFNA(VLOOKUP(INDIRECT("G"&amp;ROW()),minfo!$A:$M,COLUMN()-8,0),"")</f>
        <v>萧敬腾</v>
      </c>
      <c r="L537" s="4">
        <f ca="1">_xlfn.IFNA(VLOOKUP(INDIRECT("G"&amp;ROW()),minfo!$A:$M,COLUMN()-8,0),"")</f>
        <v>0</v>
      </c>
      <c r="M537" s="4">
        <f ca="1">_xlfn.IFNA(VLOOKUP(INDIRECT("G"&amp;ROW()),minfo!$A:$M,COLUMN()-8,0),"")</f>
        <v>0</v>
      </c>
      <c r="N537" s="4">
        <f ca="1">_xlfn.IFNA(VLOOKUP(INDIRECT("G"&amp;ROW()),minfo!$A:$M,COLUMN()-8,0),"")</f>
        <v>0</v>
      </c>
      <c r="O537" s="4" t="str">
        <f ca="1">_xlfn.IFNA(VLOOKUP(INDIRECT("G"&amp;ROW()),minfo!$A:$M,COLUMN()-8,0),"")</f>
        <v>https://i0.hdslb.com/bfs/station_src/music_metadata/683179c70f1a5eda62c161e62be8d9ed.jpg</v>
      </c>
      <c r="P537" s="4" t="str">
        <f ca="1">_xlfn.IFNA(VLOOKUP(INDIRECT("G"&amp;ROW()),minfo!$A:$M,COLUMN()-8,0),"")</f>
        <v>http://i0.hdslb.com/bfs/station_src/music_metadata/6bb823a769a34945c2763ae747f03685</v>
      </c>
      <c r="Q537" s="4">
        <f ca="1">_xlfn.IFNA(VLOOKUP(INDIRECT("G"&amp;ROW()),minfo!$A:$M,COLUMN()-8,0),"")</f>
        <v>319</v>
      </c>
      <c r="R537" s="4">
        <f ca="1">_xlfn.IFNA(VLOOKUP(INDIRECT("G"&amp;ROW()),minfo!$A:$M,COLUMN()-8,0),"")</f>
        <v>0</v>
      </c>
      <c r="S537" s="4" t="str">
        <f ca="1">_xlfn.IFNA(VLOOKUP(INDIRECT("G"&amp;ROW()),minfo!$A:$M,COLUMN()-8,0),"")</f>
        <v>萧敬腾 同名专辑</v>
      </c>
      <c r="T537" s="4">
        <f ca="1">_xlfn.IFNA(VLOOKUP(INDIRECT("G"&amp;ROW()),minfo!$A:$M,COLUMN()-8,0),"")</f>
        <v>101719428</v>
      </c>
      <c r="U537" s="4">
        <f ca="1">_xlfn.IFNA(VLOOKUP(INDIRECT("G"&amp;ROW()),minfo!$A:$M,COLUMN()-8,0),"")</f>
        <v>0</v>
      </c>
    </row>
    <row r="538" spans="1:21" ht="15.75" customHeight="1">
      <c r="A538" s="15">
        <v>537</v>
      </c>
      <c r="B538" s="4" t="s">
        <v>4113</v>
      </c>
      <c r="C538" s="4">
        <v>538</v>
      </c>
      <c r="D538" s="4">
        <v>147</v>
      </c>
      <c r="E538" s="4" t="s">
        <v>1082</v>
      </c>
      <c r="F538" s="16">
        <v>45182</v>
      </c>
      <c r="G538" s="5" t="s">
        <v>1081</v>
      </c>
      <c r="H538" s="5" t="s">
        <v>3961</v>
      </c>
      <c r="I538" s="24" t="str">
        <f>HYPERLINK("https://www.bilibili.com/video/BV1gz4y147yu?p=147", "BV1gz4y147yu?p=147")</f>
        <v>BV1gz4y147yu?p=147</v>
      </c>
      <c r="J538" s="4" t="str">
        <f ca="1">_xlfn.IFNA(VLOOKUP(INDIRECT("G"&amp;ROW()),minfo!$A:$M,COLUMN()-8,0),"")</f>
        <v>原谅</v>
      </c>
      <c r="K538" s="4" t="str">
        <f ca="1">_xlfn.IFNA(VLOOKUP(INDIRECT("G"&amp;ROW()),minfo!$A:$M,COLUMN()-8,0),"")</f>
        <v>张玉华</v>
      </c>
      <c r="L538" s="4">
        <f ca="1">_xlfn.IFNA(VLOOKUP(INDIRECT("G"&amp;ROW()),minfo!$A:$M,COLUMN()-8,0),"")</f>
        <v>0</v>
      </c>
      <c r="M538" s="4">
        <f ca="1">_xlfn.IFNA(VLOOKUP(INDIRECT("G"&amp;ROW()),minfo!$A:$M,COLUMN()-8,0),"")</f>
        <v>0</v>
      </c>
      <c r="N538" s="4">
        <f ca="1">_xlfn.IFNA(VLOOKUP(INDIRECT("G"&amp;ROW()),minfo!$A:$M,COLUMN()-8,0),"")</f>
        <v>0</v>
      </c>
      <c r="O538" s="4" t="str">
        <f ca="1">_xlfn.IFNA(VLOOKUP(INDIRECT("G"&amp;ROW()),minfo!$A:$M,COLUMN()-8,0),"")</f>
        <v>https://i0.hdslb.com/bfs/station_src/music_metadata/0c325dbf0a194d5e4405e319d529c6a7.jpg</v>
      </c>
      <c r="P538" s="4" t="str">
        <f ca="1">_xlfn.IFNA(VLOOKUP(INDIRECT("G"&amp;ROW()),minfo!$A:$M,COLUMN()-8,0),"")</f>
        <v>https://i0.hdslb.com/bfs/station_src/music_metadata/acb7dde5c1a35b828aaa3369b3a690da.txt</v>
      </c>
      <c r="Q538" s="4">
        <f ca="1">_xlfn.IFNA(VLOOKUP(INDIRECT("G"&amp;ROW()),minfo!$A:$M,COLUMN()-8,0),"")</f>
        <v>43</v>
      </c>
      <c r="R538" s="4">
        <f ca="1">_xlfn.IFNA(VLOOKUP(INDIRECT("G"&amp;ROW()),minfo!$A:$M,COLUMN()-8,0),"")</f>
        <v>0</v>
      </c>
      <c r="S538" s="4" t="str">
        <f ca="1">_xlfn.IFNA(VLOOKUP(INDIRECT("G"&amp;ROW()),minfo!$A:$M,COLUMN()-8,0),"")</f>
        <v>张玉华同名专辑</v>
      </c>
      <c r="T538" s="4">
        <f ca="1">_xlfn.IFNA(VLOOKUP(INDIRECT("G"&amp;ROW()),minfo!$A:$M,COLUMN()-8,0),"")</f>
        <v>20951606</v>
      </c>
      <c r="U538" s="4">
        <f ca="1">_xlfn.IFNA(VLOOKUP(INDIRECT("G"&amp;ROW()),minfo!$A:$M,COLUMN()-8,0),"")</f>
        <v>0</v>
      </c>
    </row>
    <row r="539" spans="1:21" ht="15.75" customHeight="1">
      <c r="A539" s="15">
        <v>538</v>
      </c>
      <c r="B539" s="4" t="s">
        <v>4114</v>
      </c>
      <c r="C539" s="4">
        <v>539</v>
      </c>
      <c r="D539" s="4">
        <v>148</v>
      </c>
      <c r="E539" s="4" t="s">
        <v>3577</v>
      </c>
      <c r="F539" s="16">
        <v>45182</v>
      </c>
      <c r="G539" s="5" t="s">
        <v>276</v>
      </c>
      <c r="H539" s="5" t="s">
        <v>3961</v>
      </c>
      <c r="I539" s="24" t="str">
        <f>HYPERLINK("https://www.bilibili.com/video/BV1gz4y147yu?p=148", "BV1gz4y147yu?p=148")</f>
        <v>BV1gz4y147yu?p=148</v>
      </c>
      <c r="J539" s="4" t="str">
        <f ca="1">_xlfn.IFNA(VLOOKUP(INDIRECT("G"&amp;ROW()),minfo!$A:$M,COLUMN()-8,0),"")</f>
        <v>Slow Down</v>
      </c>
      <c r="K539" s="4" t="str">
        <f ca="1">_xlfn.IFNA(VLOOKUP(INDIRECT("G"&amp;ROW()),minfo!$A:$M,COLUMN()-8,0),"")</f>
        <v>向井太一</v>
      </c>
      <c r="L539" s="4">
        <f ca="1">_xlfn.IFNA(VLOOKUP(INDIRECT("G"&amp;ROW()),minfo!$A:$M,COLUMN()-8,0),"")</f>
        <v>0</v>
      </c>
      <c r="M539" s="4">
        <f ca="1">_xlfn.IFNA(VLOOKUP(INDIRECT("G"&amp;ROW()),minfo!$A:$M,COLUMN()-8,0),"")</f>
        <v>112849</v>
      </c>
      <c r="N539" s="4">
        <f ca="1">_xlfn.IFNA(VLOOKUP(INDIRECT("G"&amp;ROW()),minfo!$A:$M,COLUMN()-8,0),"")</f>
        <v>9885</v>
      </c>
      <c r="O539" s="4" t="str">
        <f ca="1">_xlfn.IFNA(VLOOKUP(INDIRECT("G"&amp;ROW()),minfo!$A:$M,COLUMN()-8,0),"")</f>
        <v>https://i0.hdslb.com/bfs/station_src/music_metadata/5cd4f791f41dffb71c9f185bf05380f0.jpg</v>
      </c>
      <c r="P539" s="4" t="str">
        <f ca="1">_xlfn.IFNA(VLOOKUP(INDIRECT("G"&amp;ROW()),minfo!$A:$M,COLUMN()-8,0),"")</f>
        <v>http://i0.hdslb.com/bfs/station_src/music_metadata/2ee2f5a1afacc5fb26124bf82db2655b</v>
      </c>
      <c r="Q539" s="4">
        <f ca="1">_xlfn.IFNA(VLOOKUP(INDIRECT("G"&amp;ROW()),minfo!$A:$M,COLUMN()-8,0),"")</f>
        <v>5582</v>
      </c>
      <c r="R539" s="4">
        <f ca="1">_xlfn.IFNA(VLOOKUP(INDIRECT("G"&amp;ROW()),minfo!$A:$M,COLUMN()-8,0),"")</f>
        <v>0</v>
      </c>
      <c r="S539" s="4" t="str">
        <f ca="1">_xlfn.IFNA(VLOOKUP(INDIRECT("G"&amp;ROW()),minfo!$A:$M,COLUMN()-8,0),"")</f>
        <v>SLOW DOWN</v>
      </c>
      <c r="T539" s="4">
        <f ca="1">_xlfn.IFNA(VLOOKUP(INDIRECT("G"&amp;ROW()),minfo!$A:$M,COLUMN()-8,0),"")</f>
        <v>101589317</v>
      </c>
      <c r="U539" s="4">
        <f ca="1">_xlfn.IFNA(VLOOKUP(INDIRECT("G"&amp;ROW()),minfo!$A:$M,COLUMN()-8,0),"")</f>
        <v>0</v>
      </c>
    </row>
    <row r="540" spans="1:21" ht="15.75" customHeight="1">
      <c r="A540" s="15">
        <v>539</v>
      </c>
      <c r="B540" s="4" t="s">
        <v>4115</v>
      </c>
      <c r="C540" s="4">
        <v>540</v>
      </c>
      <c r="D540" s="4">
        <v>149</v>
      </c>
      <c r="E540" s="4" t="s">
        <v>1495</v>
      </c>
      <c r="F540" s="16">
        <v>45182</v>
      </c>
      <c r="G540" s="5" t="s">
        <v>1494</v>
      </c>
      <c r="H540" s="5" t="s">
        <v>3961</v>
      </c>
      <c r="I540" s="24" t="str">
        <f>HYPERLINK("https://www.bilibili.com/video/BV1gz4y147yu?p=149", "BV1gz4y147yu?p=149")</f>
        <v>BV1gz4y147yu?p=149</v>
      </c>
      <c r="J540" s="4" t="str">
        <f ca="1">_xlfn.IFNA(VLOOKUP(INDIRECT("G"&amp;ROW()),minfo!$A:$M,COLUMN()-8,0),"")</f>
        <v>兜圈</v>
      </c>
      <c r="K540" s="4" t="str">
        <f ca="1">_xlfn.IFNA(VLOOKUP(INDIRECT("G"&amp;ROW()),minfo!$A:$M,COLUMN()-8,0),"")</f>
        <v>林宥嘉</v>
      </c>
      <c r="L540" s="4">
        <f ca="1">_xlfn.IFNA(VLOOKUP(INDIRECT("G"&amp;ROW()),minfo!$A:$M,COLUMN()-8,0),"")</f>
        <v>0</v>
      </c>
      <c r="M540" s="4">
        <f ca="1">_xlfn.IFNA(VLOOKUP(INDIRECT("G"&amp;ROW()),minfo!$A:$M,COLUMN()-8,0),"")</f>
        <v>0</v>
      </c>
      <c r="N540" s="4">
        <f ca="1">_xlfn.IFNA(VLOOKUP(INDIRECT("G"&amp;ROW()),minfo!$A:$M,COLUMN()-8,0),"")</f>
        <v>0</v>
      </c>
      <c r="O540" s="4" t="str">
        <f ca="1">_xlfn.IFNA(VLOOKUP(INDIRECT("G"&amp;ROW()),minfo!$A:$M,COLUMN()-8,0),"")</f>
        <v>http://i0.hdslb.com/bfs/station_src/music_metadata/e4aaa8aab2c28fc2fde797d960647814.jpg</v>
      </c>
      <c r="P540" s="4" t="str">
        <f ca="1">_xlfn.IFNA(VLOOKUP(INDIRECT("G"&amp;ROW()),minfo!$A:$M,COLUMN()-8,0),"")</f>
        <v>http://i0.hdslb.com/bfs/station_src/music_metadata/287cc610c4bd3e3ef13de5df8dde7c02</v>
      </c>
      <c r="Q540" s="4">
        <f ca="1">_xlfn.IFNA(VLOOKUP(INDIRECT("G"&amp;ROW()),minfo!$A:$M,COLUMN()-8,0),"")</f>
        <v>421</v>
      </c>
      <c r="R540" s="4">
        <f ca="1">_xlfn.IFNA(VLOOKUP(INDIRECT("G"&amp;ROW()),minfo!$A:$M,COLUMN()-8,0),"")</f>
        <v>0</v>
      </c>
      <c r="S540" s="4">
        <f ca="1">_xlfn.IFNA(VLOOKUP(INDIRECT("G"&amp;ROW()),minfo!$A:$M,COLUMN()-8,0),"")</f>
        <v>0</v>
      </c>
      <c r="T540" s="4">
        <f ca="1">_xlfn.IFNA(VLOOKUP(INDIRECT("G"&amp;ROW()),minfo!$A:$M,COLUMN()-8,0),"")</f>
        <v>29390728</v>
      </c>
      <c r="U540" s="4">
        <f ca="1">_xlfn.IFNA(VLOOKUP(INDIRECT("G"&amp;ROW()),minfo!$A:$M,COLUMN()-8,0),"")</f>
        <v>0</v>
      </c>
    </row>
    <row r="541" spans="1:21" ht="15.75" customHeight="1">
      <c r="A541" s="15">
        <v>540</v>
      </c>
      <c r="B541" s="4" t="s">
        <v>4116</v>
      </c>
      <c r="C541" s="4">
        <v>541</v>
      </c>
      <c r="D541" s="4">
        <v>150</v>
      </c>
      <c r="E541" s="4" t="s">
        <v>1499</v>
      </c>
      <c r="F541" s="16">
        <v>45182</v>
      </c>
      <c r="G541" s="5" t="s">
        <v>1498</v>
      </c>
      <c r="H541" s="5" t="s">
        <v>3961</v>
      </c>
      <c r="I541" s="24" t="str">
        <f>HYPERLINK("https://www.bilibili.com/video/BV1gz4y147yu?p=150", "BV1gz4y147yu?p=150")</f>
        <v>BV1gz4y147yu?p=150</v>
      </c>
      <c r="J541" s="4" t="str">
        <f ca="1">_xlfn.IFNA(VLOOKUP(INDIRECT("G"&amp;ROW()),minfo!$A:$M,COLUMN()-8,0),"")</f>
        <v>想自由</v>
      </c>
      <c r="K541" s="4" t="str">
        <f ca="1">_xlfn.IFNA(VLOOKUP(INDIRECT("G"&amp;ROW()),minfo!$A:$M,COLUMN()-8,0),"")</f>
        <v>林宥嘉</v>
      </c>
      <c r="L541" s="4">
        <f ca="1">_xlfn.IFNA(VLOOKUP(INDIRECT("G"&amp;ROW()),minfo!$A:$M,COLUMN()-8,0),"")</f>
        <v>0</v>
      </c>
      <c r="M541" s="4">
        <f ca="1">_xlfn.IFNA(VLOOKUP(INDIRECT("G"&amp;ROW()),minfo!$A:$M,COLUMN()-8,0),"")</f>
        <v>0</v>
      </c>
      <c r="N541" s="4">
        <f ca="1">_xlfn.IFNA(VLOOKUP(INDIRECT("G"&amp;ROW()),minfo!$A:$M,COLUMN()-8,0),"")</f>
        <v>0</v>
      </c>
      <c r="O541" s="4" t="str">
        <f ca="1">_xlfn.IFNA(VLOOKUP(INDIRECT("G"&amp;ROW()),minfo!$A:$M,COLUMN()-8,0),"")</f>
        <v>https://i0.hdslb.com/bfs/station_src/music_metadata/80c48cde65ddbc496d663ac30e1ea657.jpg</v>
      </c>
      <c r="P541" s="4" t="str">
        <f ca="1">_xlfn.IFNA(VLOOKUP(INDIRECT("G"&amp;ROW()),minfo!$A:$M,COLUMN()-8,0),"")</f>
        <v>http://i0.hdslb.com/bfs/station_src/music_metadata/cea95dbba745359d59323685a1866bce</v>
      </c>
      <c r="Q541" s="4">
        <f ca="1">_xlfn.IFNA(VLOOKUP(INDIRECT("G"&amp;ROW()),minfo!$A:$M,COLUMN()-8,0),"")</f>
        <v>729</v>
      </c>
      <c r="R541" s="4">
        <f ca="1">_xlfn.IFNA(VLOOKUP(INDIRECT("G"&amp;ROW()),minfo!$A:$M,COLUMN()-8,0),"")</f>
        <v>0</v>
      </c>
      <c r="S541" s="4" t="str">
        <f ca="1">_xlfn.IFNA(VLOOKUP(INDIRECT("G"&amp;ROW()),minfo!$A:$M,COLUMN()-8,0),"")</f>
        <v>美妙生活</v>
      </c>
      <c r="T541" s="4">
        <f ca="1">_xlfn.IFNA(VLOOKUP(INDIRECT("G"&amp;ROW()),minfo!$A:$M,COLUMN()-8,0),"")</f>
        <v>114457691</v>
      </c>
      <c r="U541" s="4">
        <f ca="1">_xlfn.IFNA(VLOOKUP(INDIRECT("G"&amp;ROW()),minfo!$A:$M,COLUMN()-8,0),"")</f>
        <v>0</v>
      </c>
    </row>
    <row r="542" spans="1:21" ht="15.75" customHeight="1">
      <c r="A542" s="15">
        <v>541</v>
      </c>
      <c r="B542" s="4" t="s">
        <v>4117</v>
      </c>
      <c r="C542" s="4">
        <v>542</v>
      </c>
      <c r="D542" s="4">
        <v>151</v>
      </c>
      <c r="E542" s="4" t="s">
        <v>1067</v>
      </c>
      <c r="F542" s="16">
        <v>45182</v>
      </c>
      <c r="G542" s="5" t="s">
        <v>1066</v>
      </c>
      <c r="H542" s="5" t="s">
        <v>3961</v>
      </c>
      <c r="I542" s="24" t="str">
        <f>HYPERLINK("https://www.bilibili.com/video/BV1gz4y147yu?p=151", "BV1gz4y147yu?p=151")</f>
        <v>BV1gz4y147yu?p=151</v>
      </c>
      <c r="J542" s="4" t="str">
        <f ca="1">_xlfn.IFNA(VLOOKUP(INDIRECT("G"&amp;ROW()),minfo!$A:$M,COLUMN()-8,0),"")</f>
        <v>永不失联的爱</v>
      </c>
      <c r="K542" s="4" t="str">
        <f ca="1">_xlfn.IFNA(VLOOKUP(INDIRECT("G"&amp;ROW()),minfo!$A:$M,COLUMN()-8,0),"")</f>
        <v>Eric周兴哲</v>
      </c>
      <c r="L542" s="4">
        <f ca="1">_xlfn.IFNA(VLOOKUP(INDIRECT("G"&amp;ROW()),minfo!$A:$M,COLUMN()-8,0),"")</f>
        <v>0</v>
      </c>
      <c r="M542" s="4">
        <f ca="1">_xlfn.IFNA(VLOOKUP(INDIRECT("G"&amp;ROW()),minfo!$A:$M,COLUMN()-8,0),"")</f>
        <v>0</v>
      </c>
      <c r="N542" s="4">
        <f ca="1">_xlfn.IFNA(VLOOKUP(INDIRECT("G"&amp;ROW()),minfo!$A:$M,COLUMN()-8,0),"")</f>
        <v>0</v>
      </c>
      <c r="O542" s="4" t="str">
        <f ca="1">_xlfn.IFNA(VLOOKUP(INDIRECT("G"&amp;ROW()),minfo!$A:$M,COLUMN()-8,0),"")</f>
        <v>http://i0.hdslb.com/bfs/station_src/music_metadata/66d68e12c7bf06dfcd345e31ea45ac05.jpg</v>
      </c>
      <c r="P542" s="4" t="str">
        <f ca="1">_xlfn.IFNA(VLOOKUP(INDIRECT("G"&amp;ROW()),minfo!$A:$M,COLUMN()-8,0),"")</f>
        <v>http://i0.hdslb.com/bfs/station_src/music_metadata/4a6a6c9be708e96306f4fbc010bf2a12</v>
      </c>
      <c r="Q542" s="4">
        <f ca="1">_xlfn.IFNA(VLOOKUP(INDIRECT("G"&amp;ROW()),minfo!$A:$M,COLUMN()-8,0),"")</f>
        <v>1013</v>
      </c>
      <c r="R542" s="4">
        <f ca="1">_xlfn.IFNA(VLOOKUP(INDIRECT("G"&amp;ROW()),minfo!$A:$M,COLUMN()-8,0),"")</f>
        <v>0</v>
      </c>
      <c r="S542" s="4" t="str">
        <f ca="1">_xlfn.IFNA(VLOOKUP(INDIRECT("G"&amp;ROW()),minfo!$A:$M,COLUMN()-8,0),"")</f>
        <v>如果雨之后</v>
      </c>
      <c r="T542" s="4">
        <f ca="1">_xlfn.IFNA(VLOOKUP(INDIRECT("G"&amp;ROW()),minfo!$A:$M,COLUMN()-8,0),"")</f>
        <v>291250605</v>
      </c>
      <c r="U542" s="4">
        <f ca="1">_xlfn.IFNA(VLOOKUP(INDIRECT("G"&amp;ROW()),minfo!$A:$M,COLUMN()-8,0),"")</f>
        <v>0</v>
      </c>
    </row>
    <row r="543" spans="1:21" ht="15.75" customHeight="1">
      <c r="A543" s="15">
        <v>542</v>
      </c>
      <c r="B543" s="4" t="s">
        <v>4118</v>
      </c>
      <c r="C543" s="4">
        <v>543</v>
      </c>
      <c r="D543" s="4">
        <v>152</v>
      </c>
      <c r="E543" s="4" t="s">
        <v>3973</v>
      </c>
      <c r="F543" s="16">
        <v>45182</v>
      </c>
      <c r="G543" s="5" t="s">
        <v>1265</v>
      </c>
      <c r="H543" s="5" t="s">
        <v>3961</v>
      </c>
      <c r="I543" s="24" t="str">
        <f>HYPERLINK("https://www.bilibili.com/video/BV1gz4y147yu?p=152", "BV1gz4y147yu?p=152")</f>
        <v>BV1gz4y147yu?p=152</v>
      </c>
      <c r="J543" s="4" t="str">
        <f ca="1">_xlfn.IFNA(VLOOKUP(INDIRECT("G"&amp;ROW()),minfo!$A:$M,COLUMN()-8,0),"")</f>
        <v>Reflection</v>
      </c>
      <c r="K543" s="4" t="str">
        <f ca="1">_xlfn.IFNA(VLOOKUP(INDIRECT("G"&amp;ROW()),minfo!$A:$M,COLUMN()-8,0),"")</f>
        <v>Christina Aguilera</v>
      </c>
      <c r="L543" s="4">
        <f ca="1">_xlfn.IFNA(VLOOKUP(INDIRECT("G"&amp;ROW()),minfo!$A:$M,COLUMN()-8,0),"")</f>
        <v>0</v>
      </c>
      <c r="M543" s="4">
        <f ca="1">_xlfn.IFNA(VLOOKUP(INDIRECT("G"&amp;ROW()),minfo!$A:$M,COLUMN()-8,0),"")</f>
        <v>0</v>
      </c>
      <c r="N543" s="4">
        <f ca="1">_xlfn.IFNA(VLOOKUP(INDIRECT("G"&amp;ROW()),minfo!$A:$M,COLUMN()-8,0),"")</f>
        <v>0</v>
      </c>
      <c r="O543" s="4" t="str">
        <f ca="1">_xlfn.IFNA(VLOOKUP(INDIRECT("G"&amp;ROW()),minfo!$A:$M,COLUMN()-8,0),"")</f>
        <v>https://i0.hdslb.com/bfs/station_src/music_metadata/0d7f271e6f2c08fc7ca8314568eac002.jpg</v>
      </c>
      <c r="P543" s="4" t="str">
        <f ca="1">_xlfn.IFNA(VLOOKUP(INDIRECT("G"&amp;ROW()),minfo!$A:$M,COLUMN()-8,0),"")</f>
        <v>https://i0.hdslb.com/bfs/station_src/music_metadata/bd734f3bc162e7d8c76d4cf3e4b594c3.txt</v>
      </c>
      <c r="Q543" s="4">
        <f ca="1">_xlfn.IFNA(VLOOKUP(INDIRECT("G"&amp;ROW()),minfo!$A:$M,COLUMN()-8,0),"")</f>
        <v>64</v>
      </c>
      <c r="R543" s="4" t="str">
        <f ca="1">_xlfn.IFNA(VLOOKUP(INDIRECT("G"&amp;ROW()),minfo!$A:$M,COLUMN()-8,0),"")</f>
        <v>动画电影《花木兰》主题曲</v>
      </c>
      <c r="S543" s="4" t="str">
        <f ca="1">_xlfn.IFNA(VLOOKUP(INDIRECT("G"&amp;ROW()),minfo!$A:$M,COLUMN()-8,0),"")</f>
        <v>Princess Disneymania</v>
      </c>
      <c r="T543" s="4">
        <f ca="1">_xlfn.IFNA(VLOOKUP(INDIRECT("G"&amp;ROW()),minfo!$A:$M,COLUMN()-8,0),"")</f>
        <v>15785405</v>
      </c>
      <c r="U543" s="4">
        <f ca="1">_xlfn.IFNA(VLOOKUP(INDIRECT("G"&amp;ROW()),minfo!$A:$M,COLUMN()-8,0),"")</f>
        <v>0</v>
      </c>
    </row>
    <row r="544" spans="1:21" ht="15.75" customHeight="1">
      <c r="A544" s="15">
        <v>543</v>
      </c>
      <c r="B544" s="4" t="s">
        <v>4119</v>
      </c>
      <c r="C544" s="4">
        <v>544</v>
      </c>
      <c r="D544" s="4">
        <v>153</v>
      </c>
      <c r="E544" s="4" t="s">
        <v>1504</v>
      </c>
      <c r="F544" s="16">
        <v>45184</v>
      </c>
      <c r="G544" s="5" t="s">
        <v>1503</v>
      </c>
      <c r="H544" s="5" t="s">
        <v>3961</v>
      </c>
      <c r="I544" s="24" t="str">
        <f>HYPERLINK("https://www.bilibili.com/video/BV1gz4y147yu?p=153", "BV1gz4y147yu?p=153")</f>
        <v>BV1gz4y147yu?p=153</v>
      </c>
      <c r="J544" s="4" t="str">
        <f ca="1">_xlfn.IFNA(VLOOKUP(INDIRECT("G"&amp;ROW()),minfo!$A:$M,COLUMN()-8,0),"")</f>
        <v>蒲公英的约定</v>
      </c>
      <c r="K544" s="4" t="str">
        <f ca="1">_xlfn.IFNA(VLOOKUP(INDIRECT("G"&amp;ROW()),minfo!$A:$M,COLUMN()-8,0),"")</f>
        <v>周杰伦</v>
      </c>
      <c r="L544" s="4">
        <f ca="1">_xlfn.IFNA(VLOOKUP(INDIRECT("G"&amp;ROW()),minfo!$A:$M,COLUMN()-8,0),"")</f>
        <v>0</v>
      </c>
      <c r="M544" s="4">
        <f ca="1">_xlfn.IFNA(VLOOKUP(INDIRECT("G"&amp;ROW()),minfo!$A:$M,COLUMN()-8,0),"")</f>
        <v>0</v>
      </c>
      <c r="N544" s="4">
        <f ca="1">_xlfn.IFNA(VLOOKUP(INDIRECT("G"&amp;ROW()),minfo!$A:$M,COLUMN()-8,0),"")</f>
        <v>0</v>
      </c>
      <c r="O544" s="4" t="str">
        <f ca="1">_xlfn.IFNA(VLOOKUP(INDIRECT("G"&amp;ROW()),minfo!$A:$M,COLUMN()-8,0),"")</f>
        <v>https://i0.hdslb.com/bfs/station_src/music_metadata/def25ce07624152bcd4c15c64b585b2b.jpg</v>
      </c>
      <c r="P544" s="4" t="str">
        <f ca="1">_xlfn.IFNA(VLOOKUP(INDIRECT("G"&amp;ROW()),minfo!$A:$M,COLUMN()-8,0),"")</f>
        <v>copyright-crawler/music/task-lyric/650e62cdfad724c0d01131df.txt</v>
      </c>
      <c r="Q544" s="4">
        <f ca="1">_xlfn.IFNA(VLOOKUP(INDIRECT("G"&amp;ROW()),minfo!$A:$M,COLUMN()-8,0),"")</f>
        <v>5783</v>
      </c>
      <c r="R544" s="4" t="str">
        <f ca="1">_xlfn.IFNA(VLOOKUP(INDIRECT("G"&amp;ROW()),minfo!$A:$M,COLUMN()-8,0),"")</f>
        <v>蒲公英的约定</v>
      </c>
      <c r="S544" s="4" t="str">
        <f ca="1">_xlfn.IFNA(VLOOKUP(INDIRECT("G"&amp;ROW()),minfo!$A:$M,COLUMN()-8,0),"")</f>
        <v>我很忙</v>
      </c>
      <c r="T544" s="4">
        <f ca="1">_xlfn.IFNA(VLOOKUP(INDIRECT("G"&amp;ROW()),minfo!$A:$M,COLUMN()-8,0),"")</f>
        <v>746779605</v>
      </c>
      <c r="U544" s="4" t="str">
        <f ca="1">_xlfn.IFNA(VLOOKUP(INDIRECT("G"&amp;ROW()),minfo!$A:$M,COLUMN()-8,0),"")</f>
        <v>音乐榜最高NO.11</v>
      </c>
    </row>
    <row r="545" spans="1:21" ht="15.75" customHeight="1">
      <c r="A545" s="15">
        <v>544</v>
      </c>
      <c r="B545" s="4" t="s">
        <v>4120</v>
      </c>
      <c r="C545" s="4">
        <v>545</v>
      </c>
      <c r="D545" s="4">
        <v>154</v>
      </c>
      <c r="E545" s="4" t="s">
        <v>418</v>
      </c>
      <c r="F545" s="16">
        <v>45184</v>
      </c>
      <c r="G545" s="5" t="s">
        <v>417</v>
      </c>
      <c r="H545" s="5" t="s">
        <v>3961</v>
      </c>
      <c r="I545" s="24" t="str">
        <f>HYPERLINK("https://www.bilibili.com/video/BV1gz4y147yu?p=154", "BV1gz4y147yu?p=154")</f>
        <v>BV1gz4y147yu?p=154</v>
      </c>
      <c r="J545" s="4" t="str">
        <f ca="1">_xlfn.IFNA(VLOOKUP(INDIRECT("G"&amp;ROW()),minfo!$A:$M,COLUMN()-8,0),"")</f>
        <v>甜甜的</v>
      </c>
      <c r="K545" s="4" t="str">
        <f ca="1">_xlfn.IFNA(VLOOKUP(INDIRECT("G"&amp;ROW()),minfo!$A:$M,COLUMN()-8,0),"")</f>
        <v>周杰伦</v>
      </c>
      <c r="L545" s="4">
        <f ca="1">_xlfn.IFNA(VLOOKUP(INDIRECT("G"&amp;ROW()),minfo!$A:$M,COLUMN()-8,0),"")</f>
        <v>0</v>
      </c>
      <c r="M545" s="4">
        <f ca="1">_xlfn.IFNA(VLOOKUP(INDIRECT("G"&amp;ROW()),minfo!$A:$M,COLUMN()-8,0),"")</f>
        <v>0</v>
      </c>
      <c r="N545" s="4">
        <f ca="1">_xlfn.IFNA(VLOOKUP(INDIRECT("G"&amp;ROW()),minfo!$A:$M,COLUMN()-8,0),"")</f>
        <v>0</v>
      </c>
      <c r="O545" s="4" t="str">
        <f ca="1">_xlfn.IFNA(VLOOKUP(INDIRECT("G"&amp;ROW()),minfo!$A:$M,COLUMN()-8,0),"")</f>
        <v>http://i0.hdslb.com/bfs/station_src/music_metadata/b70b267ed4b8e6627ef2fddb400bc930.jpg</v>
      </c>
      <c r="P545" s="4" t="str">
        <f ca="1">_xlfn.IFNA(VLOOKUP(INDIRECT("G"&amp;ROW()),minfo!$A:$M,COLUMN()-8,0),"")</f>
        <v>http://i0.hdslb.com/bfs/station_src/music_metadata/279ee78db41e6396428b468a8620d95b</v>
      </c>
      <c r="Q545" s="4">
        <f ca="1">_xlfn.IFNA(VLOOKUP(INDIRECT("G"&amp;ROW()),minfo!$A:$M,COLUMN()-8,0),"")</f>
        <v>1115</v>
      </c>
      <c r="R545" s="4">
        <f ca="1">_xlfn.IFNA(VLOOKUP(INDIRECT("G"&amp;ROW()),minfo!$A:$M,COLUMN()-8,0),"")</f>
        <v>0</v>
      </c>
      <c r="S545" s="4" t="str">
        <f ca="1">_xlfn.IFNA(VLOOKUP(INDIRECT("G"&amp;ROW()),minfo!$A:$M,COLUMN()-8,0),"")</f>
        <v>我很忙</v>
      </c>
      <c r="T545" s="4">
        <f ca="1">_xlfn.IFNA(VLOOKUP(INDIRECT("G"&amp;ROW()),minfo!$A:$M,COLUMN()-8,0),"")</f>
        <v>514709406</v>
      </c>
      <c r="U545" s="4">
        <f ca="1">_xlfn.IFNA(VLOOKUP(INDIRECT("G"&amp;ROW()),minfo!$A:$M,COLUMN()-8,0),"")</f>
        <v>0</v>
      </c>
    </row>
    <row r="546" spans="1:21" ht="15.75" customHeight="1">
      <c r="A546" s="15">
        <v>545</v>
      </c>
      <c r="B546" s="4" t="s">
        <v>4121</v>
      </c>
      <c r="C546" s="4">
        <v>546</v>
      </c>
      <c r="D546" s="4">
        <v>155</v>
      </c>
      <c r="E546" s="4" t="s">
        <v>1474</v>
      </c>
      <c r="F546" s="16">
        <v>45184</v>
      </c>
      <c r="G546" s="5" t="s">
        <v>1473</v>
      </c>
      <c r="H546" s="5" t="s">
        <v>3961</v>
      </c>
      <c r="I546" s="24" t="str">
        <f>HYPERLINK("https://www.bilibili.com/video/BV1gz4y147yu?p=155", "BV1gz4y147yu?p=155")</f>
        <v>BV1gz4y147yu?p=155</v>
      </c>
      <c r="J546" s="4" t="str">
        <f ca="1">_xlfn.IFNA(VLOOKUP(INDIRECT("G"&amp;ROW()),minfo!$A:$M,COLUMN()-8,0),"")</f>
        <v>Love U U</v>
      </c>
      <c r="K546" s="4" t="str">
        <f ca="1">_xlfn.IFNA(VLOOKUP(INDIRECT("G"&amp;ROW()),minfo!$A:$M,COLUMN()-8,0),"")</f>
        <v>林俊杰</v>
      </c>
      <c r="L546" s="4">
        <f ca="1">_xlfn.IFNA(VLOOKUP(INDIRECT("G"&amp;ROW()),minfo!$A:$M,COLUMN()-8,0),"")</f>
        <v>0</v>
      </c>
      <c r="M546" s="4">
        <f ca="1">_xlfn.IFNA(VLOOKUP(INDIRECT("G"&amp;ROW()),minfo!$A:$M,COLUMN()-8,0),"")</f>
        <v>0</v>
      </c>
      <c r="N546" s="4">
        <f ca="1">_xlfn.IFNA(VLOOKUP(INDIRECT("G"&amp;ROW()),minfo!$A:$M,COLUMN()-8,0),"")</f>
        <v>0</v>
      </c>
      <c r="O546" s="4" t="str">
        <f ca="1">_xlfn.IFNA(VLOOKUP(INDIRECT("G"&amp;ROW()),minfo!$A:$M,COLUMN()-8,0),"")</f>
        <v>https://i0.hdslb.com/bfs/station_src/music_metadata/683874c8b50e8963e73219e464a05a2f.jpg</v>
      </c>
      <c r="P546" s="4" t="str">
        <f ca="1">_xlfn.IFNA(VLOOKUP(INDIRECT("G"&amp;ROW()),minfo!$A:$M,COLUMN()-8,0),"")</f>
        <v>https://i0.hdslb.com/bfs/station_src/music_metadata/b121a6651c2b3ba2042afd8f79c17ee5.txt</v>
      </c>
      <c r="Q546" s="4">
        <f ca="1">_xlfn.IFNA(VLOOKUP(INDIRECT("G"&amp;ROW()),minfo!$A:$M,COLUMN()-8,0),"")</f>
        <v>25</v>
      </c>
      <c r="R546" s="4">
        <f ca="1">_xlfn.IFNA(VLOOKUP(INDIRECT("G"&amp;ROW()),minfo!$A:$M,COLUMN()-8,0),"")</f>
        <v>0</v>
      </c>
      <c r="S546" s="4" t="str">
        <f ca="1">_xlfn.IFNA(VLOOKUP(INDIRECT("G"&amp;ROW()),minfo!$A:$M,COLUMN()-8,0),"")</f>
        <v>学不会</v>
      </c>
      <c r="T546" s="4">
        <f ca="1">_xlfn.IFNA(VLOOKUP(INDIRECT("G"&amp;ROW()),minfo!$A:$M,COLUMN()-8,0),"")</f>
        <v>18991884</v>
      </c>
      <c r="U546" s="4">
        <f ca="1">_xlfn.IFNA(VLOOKUP(INDIRECT("G"&amp;ROW()),minfo!$A:$M,COLUMN()-8,0),"")</f>
        <v>0</v>
      </c>
    </row>
    <row r="547" spans="1:21" ht="15.75" customHeight="1">
      <c r="A547" s="15">
        <v>546</v>
      </c>
      <c r="B547" s="4" t="s">
        <v>4122</v>
      </c>
      <c r="C547" s="4">
        <v>547</v>
      </c>
      <c r="D547" s="4">
        <v>156</v>
      </c>
      <c r="E547" s="4" t="s">
        <v>1289</v>
      </c>
      <c r="F547" s="16">
        <v>45184</v>
      </c>
      <c r="G547" s="5" t="s">
        <v>1288</v>
      </c>
      <c r="H547" s="5" t="s">
        <v>3961</v>
      </c>
      <c r="I547" s="24" t="str">
        <f>HYPERLINK("https://www.bilibili.com/video/BV1gz4y147yu?p=156", "BV1gz4y147yu?p=156")</f>
        <v>BV1gz4y147yu?p=156</v>
      </c>
      <c r="J547" s="4" t="str">
        <f ca="1">_xlfn.IFNA(VLOOKUP(INDIRECT("G"&amp;ROW()),minfo!$A:$M,COLUMN()-8,0),"")</f>
        <v>孤独娱乐</v>
      </c>
      <c r="K547" s="4" t="str">
        <f ca="1">_xlfn.IFNA(VLOOKUP(INDIRECT("G"&amp;ROW()),minfo!$A:$M,COLUMN()-8,0),"")</f>
        <v>林俊杰</v>
      </c>
      <c r="L547" s="4">
        <f ca="1">_xlfn.IFNA(VLOOKUP(INDIRECT("G"&amp;ROW()),minfo!$A:$M,COLUMN()-8,0),"")</f>
        <v>0</v>
      </c>
      <c r="M547" s="4">
        <f ca="1">_xlfn.IFNA(VLOOKUP(INDIRECT("G"&amp;ROW()),minfo!$A:$M,COLUMN()-8,0),"")</f>
        <v>0</v>
      </c>
      <c r="N547" s="4">
        <f ca="1">_xlfn.IFNA(VLOOKUP(INDIRECT("G"&amp;ROW()),minfo!$A:$M,COLUMN()-8,0),"")</f>
        <v>0</v>
      </c>
      <c r="O547" s="4" t="str">
        <f ca="1">_xlfn.IFNA(VLOOKUP(INDIRECT("G"&amp;ROW()),minfo!$A:$M,COLUMN()-8,0),"")</f>
        <v>http://i0.hdslb.com/bfs/station_src/music_metadata/84561b5e1d6e1dfa852adcf51e34eb8f.jpg</v>
      </c>
      <c r="P547" s="4">
        <f ca="1">_xlfn.IFNA(VLOOKUP(INDIRECT("G"&amp;ROW()),minfo!$A:$M,COLUMN()-8,0),"")</f>
        <v>0</v>
      </c>
      <c r="Q547" s="4">
        <f ca="1">_xlfn.IFNA(VLOOKUP(INDIRECT("G"&amp;ROW()),minfo!$A:$M,COLUMN()-8,0),"")</f>
        <v>79</v>
      </c>
      <c r="R547" s="4">
        <f ca="1">_xlfn.IFNA(VLOOKUP(INDIRECT("G"&amp;ROW()),minfo!$A:$M,COLUMN()-8,0),"")</f>
        <v>0</v>
      </c>
      <c r="S547" s="4" t="str">
        <f ca="1">_xlfn.IFNA(VLOOKUP(INDIRECT("G"&amp;ROW()),minfo!$A:$M,COLUMN()-8,0),"")</f>
        <v>重拾_快乐</v>
      </c>
      <c r="T547" s="4">
        <f ca="1">_xlfn.IFNA(VLOOKUP(INDIRECT("G"&amp;ROW()),minfo!$A:$M,COLUMN()-8,0),"")</f>
        <v>19753956</v>
      </c>
      <c r="U547" s="4">
        <f ca="1">_xlfn.IFNA(VLOOKUP(INDIRECT("G"&amp;ROW()),minfo!$A:$M,COLUMN()-8,0),"")</f>
        <v>0</v>
      </c>
    </row>
    <row r="548" spans="1:21" ht="15.75" customHeight="1">
      <c r="A548" s="15">
        <v>547</v>
      </c>
      <c r="B548" s="4" t="s">
        <v>4123</v>
      </c>
      <c r="C548" s="4">
        <v>548</v>
      </c>
      <c r="D548" s="4">
        <v>157</v>
      </c>
      <c r="E548" s="4" t="s">
        <v>1509</v>
      </c>
      <c r="F548" s="16">
        <v>45184</v>
      </c>
      <c r="G548" s="5" t="s">
        <v>1508</v>
      </c>
      <c r="H548" s="5" t="s">
        <v>3961</v>
      </c>
      <c r="I548" s="24" t="str">
        <f>HYPERLINK("https://www.bilibili.com/video/BV1gz4y147yu?p=157", "BV1gz4y147yu?p=157")</f>
        <v>BV1gz4y147yu?p=157</v>
      </c>
      <c r="J548" s="4" t="str">
        <f ca="1">_xlfn.IFNA(VLOOKUP(INDIRECT("G"&amp;ROW()),minfo!$A:$M,COLUMN()-8,0),"")</f>
        <v>她说</v>
      </c>
      <c r="K548" s="4" t="str">
        <f ca="1">_xlfn.IFNA(VLOOKUP(INDIRECT("G"&amp;ROW()),minfo!$A:$M,COLUMN()-8,0),"")</f>
        <v>林俊杰</v>
      </c>
      <c r="L548" s="4">
        <f ca="1">_xlfn.IFNA(VLOOKUP(INDIRECT("G"&amp;ROW()),minfo!$A:$M,COLUMN()-8,0),"")</f>
        <v>0</v>
      </c>
      <c r="M548" s="4">
        <f ca="1">_xlfn.IFNA(VLOOKUP(INDIRECT("G"&amp;ROW()),minfo!$A:$M,COLUMN()-8,0),"")</f>
        <v>0</v>
      </c>
      <c r="N548" s="4">
        <f ca="1">_xlfn.IFNA(VLOOKUP(INDIRECT("G"&amp;ROW()),minfo!$A:$M,COLUMN()-8,0),"")</f>
        <v>0</v>
      </c>
      <c r="O548" s="4" t="str">
        <f ca="1">_xlfn.IFNA(VLOOKUP(INDIRECT("G"&amp;ROW()),minfo!$A:$M,COLUMN()-8,0),"")</f>
        <v>https://i0.hdslb.com/bfs/station_src/music_metadata/8b4e431d99f3a01b4d163c0902a4b5fd.jpg</v>
      </c>
      <c r="P548" s="4" t="str">
        <f ca="1">_xlfn.IFNA(VLOOKUP(INDIRECT("G"&amp;ROW()),minfo!$A:$M,COLUMN()-8,0),"")</f>
        <v>http://i0.hdslb.com/bfs/station_src/music_metadata/1b91609d6012828328ba59d53f73b326</v>
      </c>
      <c r="Q548" s="4">
        <f ca="1">_xlfn.IFNA(VLOOKUP(INDIRECT("G"&amp;ROW()),minfo!$A:$M,COLUMN()-8,0),"")</f>
        <v>675</v>
      </c>
      <c r="R548" s="4">
        <f ca="1">_xlfn.IFNA(VLOOKUP(INDIRECT("G"&amp;ROW()),minfo!$A:$M,COLUMN()-8,0),"")</f>
        <v>0</v>
      </c>
      <c r="S548" s="4" t="str">
        <f ca="1">_xlfn.IFNA(VLOOKUP(INDIRECT("G"&amp;ROW()),minfo!$A:$M,COLUMN()-8,0),"")</f>
        <v>她说 概念自选辑</v>
      </c>
      <c r="T548" s="4">
        <f ca="1">_xlfn.IFNA(VLOOKUP(INDIRECT("G"&amp;ROW()),minfo!$A:$M,COLUMN()-8,0),"")</f>
        <v>252890047</v>
      </c>
      <c r="U548" s="4">
        <f ca="1">_xlfn.IFNA(VLOOKUP(INDIRECT("G"&amp;ROW()),minfo!$A:$M,COLUMN()-8,0),"")</f>
        <v>0</v>
      </c>
    </row>
    <row r="549" spans="1:21" ht="15.75" customHeight="1">
      <c r="A549" s="15">
        <v>548</v>
      </c>
      <c r="B549" s="4" t="s">
        <v>4124</v>
      </c>
      <c r="C549" s="4">
        <v>549</v>
      </c>
      <c r="D549" s="4">
        <v>158</v>
      </c>
      <c r="E549" s="4" t="s">
        <v>4015</v>
      </c>
      <c r="F549" s="16">
        <v>45184</v>
      </c>
      <c r="G549" s="5" t="s">
        <v>1329</v>
      </c>
      <c r="H549" s="5" t="s">
        <v>3961</v>
      </c>
      <c r="I549" s="24" t="str">
        <f>HYPERLINK("https://www.bilibili.com/video/BV1gz4y147yu?p=158", "BV1gz4y147yu?p=158")</f>
        <v>BV1gz4y147yu?p=158</v>
      </c>
      <c r="J549" s="4" t="str">
        <f ca="1">_xlfn.IFNA(VLOOKUP(INDIRECT("G"&amp;ROW()),minfo!$A:$M,COLUMN()-8,0),"")</f>
        <v>Melody</v>
      </c>
      <c r="K549" s="4" t="str">
        <f ca="1">_xlfn.IFNA(VLOOKUP(INDIRECT("G"&amp;ROW()),minfo!$A:$M,COLUMN()-8,0),"")</f>
        <v>陶喆</v>
      </c>
      <c r="L549" s="4">
        <f ca="1">_xlfn.IFNA(VLOOKUP(INDIRECT("G"&amp;ROW()),minfo!$A:$M,COLUMN()-8,0),"")</f>
        <v>0</v>
      </c>
      <c r="M549" s="4">
        <f ca="1">_xlfn.IFNA(VLOOKUP(INDIRECT("G"&amp;ROW()),minfo!$A:$M,COLUMN()-8,0),"")</f>
        <v>0</v>
      </c>
      <c r="N549" s="4">
        <f ca="1">_xlfn.IFNA(VLOOKUP(INDIRECT("G"&amp;ROW()),minfo!$A:$M,COLUMN()-8,0),"")</f>
        <v>0</v>
      </c>
      <c r="O549" s="4" t="str">
        <f ca="1">_xlfn.IFNA(VLOOKUP(INDIRECT("G"&amp;ROW()),minfo!$A:$M,COLUMN()-8,0),"")</f>
        <v>https://i0.hdslb.com/bfs/station_src/music_metadata/4f85133845e2c8b25026a678708a9376.jpg</v>
      </c>
      <c r="P549" s="4" t="str">
        <f ca="1">_xlfn.IFNA(VLOOKUP(INDIRECT("G"&amp;ROW()),minfo!$A:$M,COLUMN()-8,0),"")</f>
        <v>http://i0.hdslb.com/bfs/station_src/music_metadata/d18325416bca019d84b21a8b3f7bb651</v>
      </c>
      <c r="Q549" s="4">
        <f ca="1">_xlfn.IFNA(VLOOKUP(INDIRECT("G"&amp;ROW()),minfo!$A:$M,COLUMN()-8,0),"")</f>
        <v>1120</v>
      </c>
      <c r="R549" s="4">
        <f ca="1">_xlfn.IFNA(VLOOKUP(INDIRECT("G"&amp;ROW()),minfo!$A:$M,COLUMN()-8,0),"")</f>
        <v>0</v>
      </c>
      <c r="S549" s="4" t="str">
        <f ca="1">_xlfn.IFNA(VLOOKUP(INDIRECT("G"&amp;ROW()),minfo!$A:$M,COLUMN()-8,0),"")</f>
        <v>黑色柳丁</v>
      </c>
      <c r="T549" s="4">
        <f ca="1">_xlfn.IFNA(VLOOKUP(INDIRECT("G"&amp;ROW()),minfo!$A:$M,COLUMN()-8,0),"")</f>
        <v>113992875</v>
      </c>
      <c r="U549" s="4">
        <f ca="1">_xlfn.IFNA(VLOOKUP(INDIRECT("G"&amp;ROW()),minfo!$A:$M,COLUMN()-8,0),"")</f>
        <v>0</v>
      </c>
    </row>
    <row r="550" spans="1:21" ht="15.75" customHeight="1">
      <c r="A550" s="15">
        <v>549</v>
      </c>
      <c r="B550" s="4" t="s">
        <v>4125</v>
      </c>
      <c r="C550" s="4">
        <v>550</v>
      </c>
      <c r="D550" s="4">
        <v>159</v>
      </c>
      <c r="E550" s="4" t="s">
        <v>1415</v>
      </c>
      <c r="F550" s="16">
        <v>45184</v>
      </c>
      <c r="G550" s="5" t="s">
        <v>1414</v>
      </c>
      <c r="H550" s="5" t="s">
        <v>3961</v>
      </c>
      <c r="I550" s="24" t="str">
        <f>HYPERLINK("https://www.bilibili.com/video/BV1gz4y147yu?p=159", "BV1gz4y147yu?p=159")</f>
        <v>BV1gz4y147yu?p=159</v>
      </c>
      <c r="J550" s="4" t="str">
        <f ca="1">_xlfn.IFNA(VLOOKUP(INDIRECT("G"&amp;ROW()),minfo!$A:$M,COLUMN()-8,0),"")</f>
        <v>二十二</v>
      </c>
      <c r="K550" s="4" t="str">
        <f ca="1">_xlfn.IFNA(VLOOKUP(INDIRECT("G"&amp;ROW()),minfo!$A:$M,COLUMN()-8,0),"")</f>
        <v>陶喆</v>
      </c>
      <c r="L550" s="4">
        <f ca="1">_xlfn.IFNA(VLOOKUP(INDIRECT("G"&amp;ROW()),minfo!$A:$M,COLUMN()-8,0),"")</f>
        <v>0</v>
      </c>
      <c r="M550" s="4">
        <f ca="1">_xlfn.IFNA(VLOOKUP(INDIRECT("G"&amp;ROW()),minfo!$A:$M,COLUMN()-8,0),"")</f>
        <v>0</v>
      </c>
      <c r="N550" s="4">
        <f ca="1">_xlfn.IFNA(VLOOKUP(INDIRECT("G"&amp;ROW()),minfo!$A:$M,COLUMN()-8,0),"")</f>
        <v>0</v>
      </c>
      <c r="O550" s="4" t="str">
        <f ca="1">_xlfn.IFNA(VLOOKUP(INDIRECT("G"&amp;ROW()),minfo!$A:$M,COLUMN()-8,0),"")</f>
        <v>http://i0.hdslb.com/bfs/station_src/music_metadata/e89d0b6bb51b52049a17aa607ecd7e8d.jpg</v>
      </c>
      <c r="P550" s="4" t="str">
        <f ca="1">_xlfn.IFNA(VLOOKUP(INDIRECT("G"&amp;ROW()),minfo!$A:$M,COLUMN()-8,0),"")</f>
        <v>http://i0.hdslb.com/bfs/station_src/music_metadata/47f341ee2acc202b90520bd34837ebc4</v>
      </c>
      <c r="Q550" s="4">
        <f ca="1">_xlfn.IFNA(VLOOKUP(INDIRECT("G"&amp;ROW()),minfo!$A:$M,COLUMN()-8,0),"")</f>
        <v>343</v>
      </c>
      <c r="R550" s="4">
        <f ca="1">_xlfn.IFNA(VLOOKUP(INDIRECT("G"&amp;ROW()),minfo!$A:$M,COLUMN()-8,0),"")</f>
        <v>0</v>
      </c>
      <c r="S550" s="4" t="str">
        <f ca="1">_xlfn.IFNA(VLOOKUP(INDIRECT("G"&amp;ROW()),minfo!$A:$M,COLUMN()-8,0),"")</f>
        <v>黑色柳丁</v>
      </c>
      <c r="T550" s="4">
        <f ca="1">_xlfn.IFNA(VLOOKUP(INDIRECT("G"&amp;ROW()),minfo!$A:$M,COLUMN()-8,0),"")</f>
        <v>50077794</v>
      </c>
      <c r="U550" s="4">
        <f ca="1">_xlfn.IFNA(VLOOKUP(INDIRECT("G"&amp;ROW()),minfo!$A:$M,COLUMN()-8,0),"")</f>
        <v>0</v>
      </c>
    </row>
    <row r="551" spans="1:21" ht="15.75" customHeight="1">
      <c r="A551" s="15">
        <v>550</v>
      </c>
      <c r="B551" s="4" t="s">
        <v>4126</v>
      </c>
      <c r="C551" s="4">
        <v>551</v>
      </c>
      <c r="D551" s="4">
        <v>160</v>
      </c>
      <c r="E551" s="4" t="s">
        <v>1514</v>
      </c>
      <c r="F551" s="16">
        <v>45184</v>
      </c>
      <c r="G551" s="5" t="s">
        <v>1513</v>
      </c>
      <c r="H551" s="5" t="s">
        <v>3961</v>
      </c>
      <c r="I551" s="24" t="str">
        <f>HYPERLINK("https://www.bilibili.com/video/BV1gz4y147yu?p=160", "BV1gz4y147yu?p=160")</f>
        <v>BV1gz4y147yu?p=160</v>
      </c>
      <c r="J551" s="4" t="str">
        <f ca="1">_xlfn.IFNA(VLOOKUP(INDIRECT("G"&amp;ROW()),minfo!$A:$M,COLUMN()-8,0),"")</f>
        <v>满月</v>
      </c>
      <c r="K551" s="4" t="str">
        <f ca="1">_xlfn.IFNA(VLOOKUP(INDIRECT("G"&amp;ROW()),minfo!$A:$M,COLUMN()-8,0),"")</f>
        <v>陈思思</v>
      </c>
      <c r="L551" s="4">
        <f ca="1">_xlfn.IFNA(VLOOKUP(INDIRECT("G"&amp;ROW()),minfo!$A:$M,COLUMN()-8,0),"")</f>
        <v>0</v>
      </c>
      <c r="M551" s="4">
        <f ca="1">_xlfn.IFNA(VLOOKUP(INDIRECT("G"&amp;ROW()),minfo!$A:$M,COLUMN()-8,0),"")</f>
        <v>0</v>
      </c>
      <c r="N551" s="4">
        <f ca="1">_xlfn.IFNA(VLOOKUP(INDIRECT("G"&amp;ROW()),minfo!$A:$M,COLUMN()-8,0),"")</f>
        <v>0</v>
      </c>
      <c r="O551" s="4" t="str">
        <f ca="1">_xlfn.IFNA(VLOOKUP(INDIRECT("G"&amp;ROW()),minfo!$A:$M,COLUMN()-8,0),"")</f>
        <v>https://i0.hdslb.com/bfs/station_src/music_metadata/43a9966e91cd69b2348a555c6041cfb6.jpg</v>
      </c>
      <c r="P551" s="4" t="str">
        <f ca="1">_xlfn.IFNA(VLOOKUP(INDIRECT("G"&amp;ROW()),minfo!$A:$M,COLUMN()-8,0),"")</f>
        <v>https://i0.hdslb.com/bfs/station_src/music_metadata/2a1df572abce1d44c082f0b985cf3183.txt</v>
      </c>
      <c r="Q551" s="4">
        <f ca="1">_xlfn.IFNA(VLOOKUP(INDIRECT("G"&amp;ROW()),minfo!$A:$M,COLUMN()-8,0),"")</f>
        <v>5</v>
      </c>
      <c r="R551" s="4">
        <f ca="1">_xlfn.IFNA(VLOOKUP(INDIRECT("G"&amp;ROW()),minfo!$A:$M,COLUMN()-8,0),"")</f>
        <v>0</v>
      </c>
      <c r="S551" s="4" t="str">
        <f ca="1">_xlfn.IFNA(VLOOKUP(INDIRECT("G"&amp;ROW()),minfo!$A:$M,COLUMN()-8,0),"")</f>
        <v>星光璀璨</v>
      </c>
      <c r="T551" s="4">
        <f ca="1">_xlfn.IFNA(VLOOKUP(INDIRECT("G"&amp;ROW()),minfo!$A:$M,COLUMN()-8,0),"")</f>
        <v>3821199</v>
      </c>
      <c r="U551" s="4">
        <f ca="1">_xlfn.IFNA(VLOOKUP(INDIRECT("G"&amp;ROW()),minfo!$A:$M,COLUMN()-8,0),"")</f>
        <v>0</v>
      </c>
    </row>
    <row r="552" spans="1:21" ht="15.75" customHeight="1">
      <c r="A552" s="15">
        <v>551</v>
      </c>
      <c r="B552" s="4" t="s">
        <v>4127</v>
      </c>
      <c r="C552" s="4">
        <v>552</v>
      </c>
      <c r="D552" s="4">
        <v>161</v>
      </c>
      <c r="E552" s="4" t="s">
        <v>1520</v>
      </c>
      <c r="F552" s="16">
        <v>45184</v>
      </c>
      <c r="G552" s="5" t="s">
        <v>1519</v>
      </c>
      <c r="H552" s="5" t="s">
        <v>3961</v>
      </c>
      <c r="I552" s="24" t="str">
        <f>HYPERLINK("https://www.bilibili.com/video/BV1gz4y147yu?p=161", "BV1gz4y147yu?p=161")</f>
        <v>BV1gz4y147yu?p=161</v>
      </c>
      <c r="J552" s="4" t="str">
        <f ca="1">_xlfn.IFNA(VLOOKUP(INDIRECT("G"&amp;ROW()),minfo!$A:$M,COLUMN()-8,0),"")</f>
        <v>望月</v>
      </c>
      <c r="K552" s="4" t="str">
        <f ca="1">_xlfn.IFNA(VLOOKUP(INDIRECT("G"&amp;ROW()),minfo!$A:$M,COLUMN()-8,0),"")</f>
        <v>宋祖英</v>
      </c>
      <c r="L552" s="4">
        <f ca="1">_xlfn.IFNA(VLOOKUP(INDIRECT("G"&amp;ROW()),minfo!$A:$M,COLUMN()-8,0),"")</f>
        <v>0</v>
      </c>
      <c r="M552" s="4">
        <f ca="1">_xlfn.IFNA(VLOOKUP(INDIRECT("G"&amp;ROW()),minfo!$A:$M,COLUMN()-8,0),"")</f>
        <v>0</v>
      </c>
      <c r="N552" s="4">
        <f ca="1">_xlfn.IFNA(VLOOKUP(INDIRECT("G"&amp;ROW()),minfo!$A:$M,COLUMN()-8,0),"")</f>
        <v>0</v>
      </c>
      <c r="O552" s="4" t="str">
        <f ca="1">_xlfn.IFNA(VLOOKUP(INDIRECT("G"&amp;ROW()),minfo!$A:$M,COLUMN()-8,0),"")</f>
        <v>https://i0.hdslb.com/bfs/station_src/music_metadata/b784ce989528e3c111409e7fae53c03b.jpg</v>
      </c>
      <c r="P552" s="4" t="str">
        <f ca="1">_xlfn.IFNA(VLOOKUP(INDIRECT("G"&amp;ROW()),minfo!$A:$M,COLUMN()-8,0),"")</f>
        <v>https://i0.hdslb.com/bfs/station_src/music_metadata/d0de622123bd7df3b723f2f8a109b29b.txt</v>
      </c>
      <c r="Q552" s="4">
        <f ca="1">_xlfn.IFNA(VLOOKUP(INDIRECT("G"&amp;ROW()),minfo!$A:$M,COLUMN()-8,0),"")</f>
        <v>3</v>
      </c>
      <c r="R552" s="4">
        <f ca="1">_xlfn.IFNA(VLOOKUP(INDIRECT("G"&amp;ROW()),minfo!$A:$M,COLUMN()-8,0),"")</f>
        <v>0</v>
      </c>
      <c r="S552" s="4" t="str">
        <f ca="1">_xlfn.IFNA(VLOOKUP(INDIRECT("G"&amp;ROW()),minfo!$A:$M,COLUMN()-8,0),"")</f>
        <v>印青创作歌曲精选</v>
      </c>
      <c r="T552" s="4">
        <f ca="1">_xlfn.IFNA(VLOOKUP(INDIRECT("G"&amp;ROW()),minfo!$A:$M,COLUMN()-8,0),"")</f>
        <v>1868068</v>
      </c>
      <c r="U552" s="4">
        <f ca="1">_xlfn.IFNA(VLOOKUP(INDIRECT("G"&amp;ROW()),minfo!$A:$M,COLUMN()-8,0),"")</f>
        <v>0</v>
      </c>
    </row>
    <row r="553" spans="1:21" ht="15.75" customHeight="1">
      <c r="A553" s="15">
        <v>552</v>
      </c>
      <c r="B553" s="4" t="s">
        <v>4128</v>
      </c>
      <c r="C553" s="4">
        <v>553</v>
      </c>
      <c r="D553" s="4">
        <v>162</v>
      </c>
      <c r="E553" s="4" t="s">
        <v>1014</v>
      </c>
      <c r="F553" s="16">
        <v>45188</v>
      </c>
      <c r="G553" s="5" t="s">
        <v>1013</v>
      </c>
      <c r="H553" s="5" t="s">
        <v>3961</v>
      </c>
      <c r="I553" s="24" t="str">
        <f>HYPERLINK("https://www.bilibili.com/video/BV1gz4y147yu?p=162", "BV1gz4y147yu?p=162")</f>
        <v>BV1gz4y147yu?p=162</v>
      </c>
      <c r="J553" s="4" t="str">
        <f ca="1">_xlfn.IFNA(VLOOKUP(INDIRECT("G"&amp;ROW()),minfo!$A:$M,COLUMN()-8,0),"")</f>
        <v>退后</v>
      </c>
      <c r="K553" s="4" t="str">
        <f ca="1">_xlfn.IFNA(VLOOKUP(INDIRECT("G"&amp;ROW()),minfo!$A:$M,COLUMN()-8,0),"")</f>
        <v>周杰伦</v>
      </c>
      <c r="L553" s="4">
        <f ca="1">_xlfn.IFNA(VLOOKUP(INDIRECT("G"&amp;ROW()),minfo!$A:$M,COLUMN()-8,0),"")</f>
        <v>0</v>
      </c>
      <c r="M553" s="4">
        <f ca="1">_xlfn.IFNA(VLOOKUP(INDIRECT("G"&amp;ROW()),minfo!$A:$M,COLUMN()-8,0),"")</f>
        <v>0</v>
      </c>
      <c r="N553" s="4">
        <f ca="1">_xlfn.IFNA(VLOOKUP(INDIRECT("G"&amp;ROW()),minfo!$A:$M,COLUMN()-8,0),"")</f>
        <v>0</v>
      </c>
      <c r="O553" s="4" t="str">
        <f ca="1">_xlfn.IFNA(VLOOKUP(INDIRECT("G"&amp;ROW()),minfo!$A:$M,COLUMN()-8,0),"")</f>
        <v>https://i0.hdslb.com/bfs/station_src/music_metadata/f15e73f798d4a0f5f331d77b333ef1a8.jpg</v>
      </c>
      <c r="P553" s="4" t="str">
        <f ca="1">_xlfn.IFNA(VLOOKUP(INDIRECT("G"&amp;ROW()),minfo!$A:$M,COLUMN()-8,0),"")</f>
        <v>copyright-crawler/music/task-lyric/650e62defad724c0d01134a0.txt</v>
      </c>
      <c r="Q553" s="4">
        <f ca="1">_xlfn.IFNA(VLOOKUP(INDIRECT("G"&amp;ROW()),minfo!$A:$M,COLUMN()-8,0),"")</f>
        <v>1135</v>
      </c>
      <c r="R553" s="4" t="str">
        <f ca="1">_xlfn.IFNA(VLOOKUP(INDIRECT("G"&amp;ROW()),minfo!$A:$M,COLUMN()-8,0),"")</f>
        <v>退后</v>
      </c>
      <c r="S553" s="4" t="str">
        <f ca="1">_xlfn.IFNA(VLOOKUP(INDIRECT("G"&amp;ROW()),minfo!$A:$M,COLUMN()-8,0),"")</f>
        <v>依然范特西</v>
      </c>
      <c r="T553" s="4">
        <f ca="1">_xlfn.IFNA(VLOOKUP(INDIRECT("G"&amp;ROW()),minfo!$A:$M,COLUMN()-8,0),"")</f>
        <v>327291034</v>
      </c>
      <c r="U553" s="4" t="str">
        <f ca="1">_xlfn.IFNA(VLOOKUP(INDIRECT("G"&amp;ROW()),minfo!$A:$M,COLUMN()-8,0),"")</f>
        <v>音乐榜最高NO.19</v>
      </c>
    </row>
    <row r="554" spans="1:21" ht="15.75" customHeight="1">
      <c r="A554" s="15">
        <v>553</v>
      </c>
      <c r="B554" s="4" t="s">
        <v>4129</v>
      </c>
      <c r="C554" s="4">
        <v>554</v>
      </c>
      <c r="D554" s="4">
        <v>163</v>
      </c>
      <c r="E554" s="4" t="s">
        <v>378</v>
      </c>
      <c r="F554" s="16">
        <v>45188</v>
      </c>
      <c r="G554" s="5" t="s">
        <v>1210</v>
      </c>
      <c r="H554" s="5" t="s">
        <v>3961</v>
      </c>
      <c r="I554" s="24" t="str">
        <f>HYPERLINK("https://www.bilibili.com/video/BV1gz4y147yu?p=163", "BV1gz4y147yu?p=163")</f>
        <v>BV1gz4y147yu?p=163</v>
      </c>
      <c r="J554" s="4" t="str">
        <f ca="1">_xlfn.IFNA(VLOOKUP(INDIRECT("G"&amp;ROW()),minfo!$A:$M,COLUMN()-8,0),"")</f>
        <v>我很忙</v>
      </c>
      <c r="K554" s="4" t="str">
        <f ca="1">_xlfn.IFNA(VLOOKUP(INDIRECT("G"&amp;ROW()),minfo!$A:$M,COLUMN()-8,0),"")</f>
        <v>黄丽玲</v>
      </c>
      <c r="L554" s="4">
        <f ca="1">_xlfn.IFNA(VLOOKUP(INDIRECT("G"&amp;ROW()),minfo!$A:$M,COLUMN()-8,0),"")</f>
        <v>0</v>
      </c>
      <c r="M554" s="4">
        <f ca="1">_xlfn.IFNA(VLOOKUP(INDIRECT("G"&amp;ROW()),minfo!$A:$M,COLUMN()-8,0),"")</f>
        <v>0</v>
      </c>
      <c r="N554" s="4">
        <f ca="1">_xlfn.IFNA(VLOOKUP(INDIRECT("G"&amp;ROW()),minfo!$A:$M,COLUMN()-8,0),"")</f>
        <v>0</v>
      </c>
      <c r="O554" s="4" t="str">
        <f ca="1">_xlfn.IFNA(VLOOKUP(INDIRECT("G"&amp;ROW()),minfo!$A:$M,COLUMN()-8,0),"")</f>
        <v>https://i0.hdslb.com/bfs/station_src/music_metadata/48397dbb63cd5969dc63b01aa1d0d8a5.jpg</v>
      </c>
      <c r="P554" s="4" t="str">
        <f ca="1">_xlfn.IFNA(VLOOKUP(INDIRECT("G"&amp;ROW()),minfo!$A:$M,COLUMN()-8,0),"")</f>
        <v>https://i0.hdslb.com/bfs/station_src/music_metadata/bd60b926118ad39fd6e624910ce0f5b5.txt</v>
      </c>
      <c r="Q554" s="4">
        <f ca="1">_xlfn.IFNA(VLOOKUP(INDIRECT("G"&amp;ROW()),minfo!$A:$M,COLUMN()-8,0),"")</f>
        <v>2</v>
      </c>
      <c r="R554" s="4">
        <f ca="1">_xlfn.IFNA(VLOOKUP(INDIRECT("G"&amp;ROW()),minfo!$A:$M,COLUMN()-8,0),"")</f>
        <v>0</v>
      </c>
      <c r="S554" s="4" t="str">
        <f ca="1">_xlfn.IFNA(VLOOKUP(INDIRECT("G"&amp;ROW()),minfo!$A:$M,COLUMN()-8,0),"")</f>
        <v>我们会更好的</v>
      </c>
      <c r="T554" s="4">
        <f ca="1">_xlfn.IFNA(VLOOKUP(INDIRECT("G"&amp;ROW()),minfo!$A:$M,COLUMN()-8,0),"")</f>
        <v>2445092</v>
      </c>
      <c r="U554" s="4">
        <f ca="1">_xlfn.IFNA(VLOOKUP(INDIRECT("G"&amp;ROW()),minfo!$A:$M,COLUMN()-8,0),"")</f>
        <v>0</v>
      </c>
    </row>
    <row r="555" spans="1:21" ht="15.75" customHeight="1">
      <c r="A555" s="15">
        <v>554</v>
      </c>
      <c r="B555" s="4" t="s">
        <v>4130</v>
      </c>
      <c r="C555" s="4">
        <v>555</v>
      </c>
      <c r="D555" s="4">
        <v>164</v>
      </c>
      <c r="E555" s="4" t="s">
        <v>1525</v>
      </c>
      <c r="F555" s="16">
        <v>45188</v>
      </c>
      <c r="G555" s="5" t="s">
        <v>1524</v>
      </c>
      <c r="H555" s="5" t="s">
        <v>3961</v>
      </c>
      <c r="I555" s="24" t="str">
        <f>HYPERLINK("https://www.bilibili.com/video/BV1gz4y147yu?p=164", "BV1gz4y147yu?p=164")</f>
        <v>BV1gz4y147yu?p=164</v>
      </c>
      <c r="J555" s="4" t="str">
        <f ca="1">_xlfn.IFNA(VLOOKUP(INDIRECT("G"&amp;ROW()),minfo!$A:$M,COLUMN()-8,0),"")</f>
        <v>说了再见</v>
      </c>
      <c r="K555" s="4" t="str">
        <f ca="1">_xlfn.IFNA(VLOOKUP(INDIRECT("G"&amp;ROW()),minfo!$A:$M,COLUMN()-8,0),"")</f>
        <v>周杰伦</v>
      </c>
      <c r="L555" s="4">
        <f ca="1">_xlfn.IFNA(VLOOKUP(INDIRECT("G"&amp;ROW()),minfo!$A:$M,COLUMN()-8,0),"")</f>
        <v>0</v>
      </c>
      <c r="M555" s="4">
        <f ca="1">_xlfn.IFNA(VLOOKUP(INDIRECT("G"&amp;ROW()),minfo!$A:$M,COLUMN()-8,0),"")</f>
        <v>0</v>
      </c>
      <c r="N555" s="4">
        <f ca="1">_xlfn.IFNA(VLOOKUP(INDIRECT("G"&amp;ROW()),minfo!$A:$M,COLUMN()-8,0),"")</f>
        <v>0</v>
      </c>
      <c r="O555" s="4" t="str">
        <f ca="1">_xlfn.IFNA(VLOOKUP(INDIRECT("G"&amp;ROW()),minfo!$A:$M,COLUMN()-8,0),"")</f>
        <v>https://i0.hdslb.com/bfs/station_src/music_metadata/41ab18757ca0611eb7d09587f90195ce.jpg</v>
      </c>
      <c r="P555" s="4">
        <f ca="1">_xlfn.IFNA(VLOOKUP(INDIRECT("G"&amp;ROW()),minfo!$A:$M,COLUMN()-8,0),"")</f>
        <v>0</v>
      </c>
      <c r="Q555" s="4">
        <f ca="1">_xlfn.IFNA(VLOOKUP(INDIRECT("G"&amp;ROW()),minfo!$A:$M,COLUMN()-8,0),"")</f>
        <v>1923</v>
      </c>
      <c r="R555" s="4" t="str">
        <f ca="1">_xlfn.IFNA(VLOOKUP(INDIRECT("G"&amp;ROW()),minfo!$A:$M,COLUMN()-8,0),"")</f>
        <v>《海洋天堂》电影主题曲</v>
      </c>
      <c r="S555" s="4" t="str">
        <f ca="1">_xlfn.IFNA(VLOOKUP(INDIRECT("G"&amp;ROW()),minfo!$A:$M,COLUMN()-8,0),"")</f>
        <v>跨时代</v>
      </c>
      <c r="T555" s="4">
        <f ca="1">_xlfn.IFNA(VLOOKUP(INDIRECT("G"&amp;ROW()),minfo!$A:$M,COLUMN()-8,0),"")</f>
        <v>325204982</v>
      </c>
      <c r="U555" s="4">
        <f ca="1">_xlfn.IFNA(VLOOKUP(INDIRECT("G"&amp;ROW()),minfo!$A:$M,COLUMN()-8,0),"")</f>
        <v>0</v>
      </c>
    </row>
    <row r="556" spans="1:21" ht="15.75" customHeight="1">
      <c r="A556" s="15">
        <v>555</v>
      </c>
      <c r="B556" s="4" t="s">
        <v>4131</v>
      </c>
      <c r="C556" s="4">
        <v>556</v>
      </c>
      <c r="D556" s="4">
        <v>165</v>
      </c>
      <c r="E556" s="4" t="s">
        <v>153</v>
      </c>
      <c r="F556" s="16">
        <v>45189</v>
      </c>
      <c r="G556" s="5" t="s">
        <v>152</v>
      </c>
      <c r="H556" s="5" t="s">
        <v>3961</v>
      </c>
      <c r="I556" s="24" t="str">
        <f>HYPERLINK("https://www.bilibili.com/video/BV1gz4y147yu?p=165", "BV1gz4y147yu?p=165")</f>
        <v>BV1gz4y147yu?p=165</v>
      </c>
      <c r="J556" s="4" t="str">
        <f ca="1">_xlfn.IFNA(VLOOKUP(INDIRECT("G"&amp;ROW()),minfo!$A:$M,COLUMN()-8,0),"")</f>
        <v>听见下雨的声音</v>
      </c>
      <c r="K556" s="4" t="str">
        <f ca="1">_xlfn.IFNA(VLOOKUP(INDIRECT("G"&amp;ROW()),minfo!$A:$M,COLUMN()-8,0),"")</f>
        <v>周杰伦</v>
      </c>
      <c r="L556" s="4">
        <f ca="1">_xlfn.IFNA(VLOOKUP(INDIRECT("G"&amp;ROW()),minfo!$A:$M,COLUMN()-8,0),"")</f>
        <v>0</v>
      </c>
      <c r="M556" s="4">
        <f ca="1">_xlfn.IFNA(VLOOKUP(INDIRECT("G"&amp;ROW()),minfo!$A:$M,COLUMN()-8,0),"")</f>
        <v>0</v>
      </c>
      <c r="N556" s="4">
        <f ca="1">_xlfn.IFNA(VLOOKUP(INDIRECT("G"&amp;ROW()),minfo!$A:$M,COLUMN()-8,0),"")</f>
        <v>0</v>
      </c>
      <c r="O556" s="4" t="str">
        <f ca="1">_xlfn.IFNA(VLOOKUP(INDIRECT("G"&amp;ROW()),minfo!$A:$M,COLUMN()-8,0),"")</f>
        <v>http://i0.hdslb.com/bfs/station_src/music_metadata/f190c7459496ee7ff2a9ebb250df5398.jpg</v>
      </c>
      <c r="P556" s="4" t="str">
        <f ca="1">_xlfn.IFNA(VLOOKUP(INDIRECT("G"&amp;ROW()),minfo!$A:$M,COLUMN()-8,0),"")</f>
        <v>http://i0.hdslb.com/bfs/station_src/music_metadata/0d0869a8c2bb7470dd66d7fec7591c32</v>
      </c>
      <c r="Q556" s="4">
        <f ca="1">_xlfn.IFNA(VLOOKUP(INDIRECT("G"&amp;ROW()),minfo!$A:$M,COLUMN()-8,0),"")</f>
        <v>689</v>
      </c>
      <c r="R556" s="4" t="str">
        <f ca="1">_xlfn.IFNA(VLOOKUP(INDIRECT("G"&amp;ROW()),minfo!$A:$M,COLUMN()-8,0),"")</f>
        <v>《听见下雨声音》电影主题曲</v>
      </c>
      <c r="S556" s="4" t="str">
        <f ca="1">_xlfn.IFNA(VLOOKUP(INDIRECT("G"&amp;ROW()),minfo!$A:$M,COLUMN()-8,0),"")</f>
        <v>哎呦，不错哦</v>
      </c>
      <c r="T556" s="4">
        <f ca="1">_xlfn.IFNA(VLOOKUP(INDIRECT("G"&amp;ROW()),minfo!$A:$M,COLUMN()-8,0),"")</f>
        <v>220057953</v>
      </c>
      <c r="U556" s="4">
        <f ca="1">_xlfn.IFNA(VLOOKUP(INDIRECT("G"&amp;ROW()),minfo!$A:$M,COLUMN()-8,0),"")</f>
        <v>0</v>
      </c>
    </row>
    <row r="557" spans="1:21" ht="15.75" customHeight="1">
      <c r="A557" s="15">
        <v>556</v>
      </c>
      <c r="B557" s="4" t="s">
        <v>4132</v>
      </c>
      <c r="C557" s="4">
        <v>557</v>
      </c>
      <c r="D557" s="4">
        <v>166</v>
      </c>
      <c r="E557" s="4" t="s">
        <v>3551</v>
      </c>
      <c r="F557" s="16">
        <v>45189</v>
      </c>
      <c r="G557" s="5" t="s">
        <v>186</v>
      </c>
      <c r="H557" s="5" t="s">
        <v>3961</v>
      </c>
      <c r="I557" s="24" t="str">
        <f>HYPERLINK("https://www.bilibili.com/video/BV1gz4y147yu?p=166", "BV1gz4y147yu?p=166")</f>
        <v>BV1gz4y147yu?p=166</v>
      </c>
      <c r="J557" s="4" t="str">
        <f ca="1">_xlfn.IFNA(VLOOKUP(INDIRECT("G"&amp;ROW()),minfo!$A:$M,COLUMN()-8,0),"")</f>
        <v>Rubia</v>
      </c>
      <c r="K557" s="4" t="str">
        <f ca="1">_xlfn.IFNA(VLOOKUP(INDIRECT("G"&amp;ROW()),minfo!$A:$M,COLUMN()-8,0),"")</f>
        <v>周深</v>
      </c>
      <c r="L557" s="4">
        <f ca="1">_xlfn.IFNA(VLOOKUP(INDIRECT("G"&amp;ROW()),minfo!$A:$M,COLUMN()-8,0),"")</f>
        <v>0</v>
      </c>
      <c r="M557" s="4">
        <f ca="1">_xlfn.IFNA(VLOOKUP(INDIRECT("G"&amp;ROW()),minfo!$A:$M,COLUMN()-8,0),"")</f>
        <v>516030</v>
      </c>
      <c r="N557" s="4">
        <f ca="1">_xlfn.IFNA(VLOOKUP(INDIRECT("G"&amp;ROW()),minfo!$A:$M,COLUMN()-8,0),"")</f>
        <v>96155</v>
      </c>
      <c r="O557" s="4" t="str">
        <f ca="1">_xlfn.IFNA(VLOOKUP(INDIRECT("G"&amp;ROW()),minfo!$A:$M,COLUMN()-8,0),"")</f>
        <v>https://i0.hdslb.com/bfs/station_src/music_metadata/58bc0047ef309717106ab37f9f0eaaef.jpg</v>
      </c>
      <c r="P557" s="4" t="str">
        <f ca="1">_xlfn.IFNA(VLOOKUP(INDIRECT("G"&amp;ROW()),minfo!$A:$M,COLUMN()-8,0),"")</f>
        <v>http://i0.hdslb.com/bfs/station_src/music_metadata/004573c098a52ded7995aead78b01386</v>
      </c>
      <c r="Q557" s="4">
        <f ca="1">_xlfn.IFNA(VLOOKUP(INDIRECT("G"&amp;ROW()),minfo!$A:$M,COLUMN()-8,0),"")</f>
        <v>4410</v>
      </c>
      <c r="R557" s="4">
        <f ca="1">_xlfn.IFNA(VLOOKUP(INDIRECT("G"&amp;ROW()),minfo!$A:$M,COLUMN()-8,0),"")</f>
        <v>0</v>
      </c>
      <c r="S557" s="4" t="str">
        <f ca="1">_xlfn.IFNA(VLOOKUP(INDIRECT("G"&amp;ROW()),minfo!$A:$M,COLUMN()-8,0),"")</f>
        <v>Rubia</v>
      </c>
      <c r="T557" s="4">
        <f ca="1">_xlfn.IFNA(VLOOKUP(INDIRECT("G"&amp;ROW()),minfo!$A:$M,COLUMN()-8,0),"")</f>
        <v>217211932</v>
      </c>
      <c r="U557" s="4">
        <f ca="1">_xlfn.IFNA(VLOOKUP(INDIRECT("G"&amp;ROW()),minfo!$A:$M,COLUMN()-8,0),"")</f>
        <v>0</v>
      </c>
    </row>
    <row r="558" spans="1:21" ht="15.75" customHeight="1">
      <c r="A558" s="15">
        <v>557</v>
      </c>
      <c r="B558" s="4" t="s">
        <v>4133</v>
      </c>
      <c r="C558" s="4">
        <v>558</v>
      </c>
      <c r="D558" s="4">
        <v>167</v>
      </c>
      <c r="E558" s="4" t="s">
        <v>1529</v>
      </c>
      <c r="F558" s="16">
        <v>45189</v>
      </c>
      <c r="G558" s="5" t="s">
        <v>1528</v>
      </c>
      <c r="H558" s="5" t="s">
        <v>3961</v>
      </c>
      <c r="I558" s="24" t="str">
        <f>HYPERLINK("https://www.bilibili.com/video/BV1gz4y147yu?p=167", "BV1gz4y147yu?p=167")</f>
        <v>BV1gz4y147yu?p=167</v>
      </c>
      <c r="J558" s="4" t="str">
        <f ca="1">_xlfn.IFNA(VLOOKUP(INDIRECT("G"&amp;ROW()),minfo!$A:$M,COLUMN()-8,0),"")</f>
        <v>大鱼</v>
      </c>
      <c r="K558" s="4" t="str">
        <f ca="1">_xlfn.IFNA(VLOOKUP(INDIRECT("G"&amp;ROW()),minfo!$A:$M,COLUMN()-8,0),"")</f>
        <v>周深</v>
      </c>
      <c r="L558" s="4">
        <f ca="1">_xlfn.IFNA(VLOOKUP(INDIRECT("G"&amp;ROW()),minfo!$A:$M,COLUMN()-8,0),"")</f>
        <v>0</v>
      </c>
      <c r="M558" s="4">
        <f ca="1">_xlfn.IFNA(VLOOKUP(INDIRECT("G"&amp;ROW()),minfo!$A:$M,COLUMN()-8,0),"")</f>
        <v>0</v>
      </c>
      <c r="N558" s="4">
        <f ca="1">_xlfn.IFNA(VLOOKUP(INDIRECT("G"&amp;ROW()),minfo!$A:$M,COLUMN()-8,0),"")</f>
        <v>0</v>
      </c>
      <c r="O558" s="4" t="str">
        <f ca="1">_xlfn.IFNA(VLOOKUP(INDIRECT("G"&amp;ROW()),minfo!$A:$M,COLUMN()-8,0),"")</f>
        <v>http://i0.hdslb.com/bfs/station_src/music_metadata/8a70d72d1642278d2951984ed21f64b8.jpg</v>
      </c>
      <c r="P558" s="4" t="str">
        <f ca="1">_xlfn.IFNA(VLOOKUP(INDIRECT("G"&amp;ROW()),minfo!$A:$M,COLUMN()-8,0),"")</f>
        <v>http://i0.hdslb.com/bfs/station_src/music_metadata/1ca26ab8b49fda9fd7daa1b9e44e8cab</v>
      </c>
      <c r="Q558" s="4">
        <f ca="1">_xlfn.IFNA(VLOOKUP(INDIRECT("G"&amp;ROW()),minfo!$A:$M,COLUMN()-8,0),"")</f>
        <v>2637</v>
      </c>
      <c r="R558" s="4" t="str">
        <f ca="1">_xlfn.IFNA(VLOOKUP(INDIRECT("G"&amp;ROW()),minfo!$A:$M,COLUMN()-8,0),"")</f>
        <v>《大鱼海棠》动画电影印象曲</v>
      </c>
      <c r="S558" s="4" t="str">
        <f ca="1">_xlfn.IFNA(VLOOKUP(INDIRECT("G"&amp;ROW()),minfo!$A:$M,COLUMN()-8,0),"")</f>
        <v>大鱼</v>
      </c>
      <c r="T558" s="4">
        <f ca="1">_xlfn.IFNA(VLOOKUP(INDIRECT("G"&amp;ROW()),minfo!$A:$M,COLUMN()-8,0),"")</f>
        <v>1065218649</v>
      </c>
      <c r="U558" s="4">
        <f ca="1">_xlfn.IFNA(VLOOKUP(INDIRECT("G"&amp;ROW()),minfo!$A:$M,COLUMN()-8,0),"")</f>
        <v>0</v>
      </c>
    </row>
    <row r="559" spans="1:21" ht="15.75" customHeight="1">
      <c r="A559" s="15">
        <v>558</v>
      </c>
      <c r="B559" s="4" t="s">
        <v>4134</v>
      </c>
      <c r="C559" s="4">
        <v>559</v>
      </c>
      <c r="D559" s="4">
        <v>168</v>
      </c>
      <c r="E559" s="4" t="s">
        <v>462</v>
      </c>
      <c r="F559" s="16">
        <v>45189</v>
      </c>
      <c r="G559" s="5" t="s">
        <v>461</v>
      </c>
      <c r="H559" s="5" t="s">
        <v>3961</v>
      </c>
      <c r="I559" s="24" t="str">
        <f>HYPERLINK("https://www.bilibili.com/video/BV1gz4y147yu?p=168", "BV1gz4y147yu?p=168")</f>
        <v>BV1gz4y147yu?p=168</v>
      </c>
      <c r="J559" s="4" t="str">
        <f ca="1">_xlfn.IFNA(VLOOKUP(INDIRECT("G"&amp;ROW()),minfo!$A:$M,COLUMN()-8,0),"")</f>
        <v>人是_</v>
      </c>
      <c r="K559" s="4" t="str">
        <f ca="1">_xlfn.IFNA(VLOOKUP(INDIRECT("G"&amp;ROW()),minfo!$A:$M,COLUMN()-8,0),"")</f>
        <v>周深</v>
      </c>
      <c r="L559" s="4">
        <f ca="1">_xlfn.IFNA(VLOOKUP(INDIRECT("G"&amp;ROW()),minfo!$A:$M,COLUMN()-8,0),"")</f>
        <v>0</v>
      </c>
      <c r="M559" s="4">
        <f ca="1">_xlfn.IFNA(VLOOKUP(INDIRECT("G"&amp;ROW()),minfo!$A:$M,COLUMN()-8,0),"")</f>
        <v>315938</v>
      </c>
      <c r="N559" s="4">
        <f ca="1">_xlfn.IFNA(VLOOKUP(INDIRECT("G"&amp;ROW()),minfo!$A:$M,COLUMN()-8,0),"")</f>
        <v>67117</v>
      </c>
      <c r="O559" s="4" t="str">
        <f ca="1">_xlfn.IFNA(VLOOKUP(INDIRECT("G"&amp;ROW()),minfo!$A:$M,COLUMN()-8,0),"")</f>
        <v>https://i0.hdslb.com/bfs/station_src/music_metadata/cbc6b9595b8d8ddf3be5a4600fe4ee1f.jpg</v>
      </c>
      <c r="P559" s="4">
        <f ca="1">_xlfn.IFNA(VLOOKUP(INDIRECT("G"&amp;ROW()),minfo!$A:$M,COLUMN()-8,0),"")</f>
        <v>0</v>
      </c>
      <c r="Q559" s="4">
        <f ca="1">_xlfn.IFNA(VLOOKUP(INDIRECT("G"&amp;ROW()),minfo!$A:$M,COLUMN()-8,0),"")</f>
        <v>831</v>
      </c>
      <c r="R559" s="4">
        <f ca="1">_xlfn.IFNA(VLOOKUP(INDIRECT("G"&amp;ROW()),minfo!$A:$M,COLUMN()-8,0),"")</f>
        <v>0</v>
      </c>
      <c r="S559" s="4" t="str">
        <f ca="1">_xlfn.IFNA(VLOOKUP(INDIRECT("G"&amp;ROW()),minfo!$A:$M,COLUMN()-8,0),"")</f>
        <v>人是_</v>
      </c>
      <c r="T559" s="4">
        <f ca="1">_xlfn.IFNA(VLOOKUP(INDIRECT("G"&amp;ROW()),minfo!$A:$M,COLUMN()-8,0),"")</f>
        <v>80359568</v>
      </c>
      <c r="U559" s="4" t="str">
        <f ca="1">_xlfn.IFNA(VLOOKUP(INDIRECT("G"&amp;ROW()),minfo!$A:$M,COLUMN()-8,0),"")</f>
        <v>音乐榜最高NO.8</v>
      </c>
    </row>
    <row r="560" spans="1:21" ht="15.75" customHeight="1">
      <c r="A560" s="15">
        <v>559</v>
      </c>
      <c r="B560" s="4" t="s">
        <v>4135</v>
      </c>
      <c r="C560" s="4">
        <v>560</v>
      </c>
      <c r="D560" s="4">
        <v>169</v>
      </c>
      <c r="E560" s="4" t="s">
        <v>1419</v>
      </c>
      <c r="F560" s="16">
        <v>45189</v>
      </c>
      <c r="G560" s="5" t="s">
        <v>1418</v>
      </c>
      <c r="H560" s="5" t="s">
        <v>3961</v>
      </c>
      <c r="I560" s="24" t="str">
        <f>HYPERLINK("https://www.bilibili.com/video/BV1gz4y147yu?p=169", "BV1gz4y147yu?p=169")</f>
        <v>BV1gz4y147yu?p=169</v>
      </c>
      <c r="J560" s="4" t="str">
        <f ca="1">_xlfn.IFNA(VLOOKUP(INDIRECT("G"&amp;ROW()),minfo!$A:$M,COLUMN()-8,0),"")</f>
        <v>普通朋友</v>
      </c>
      <c r="K560" s="4" t="str">
        <f ca="1">_xlfn.IFNA(VLOOKUP(INDIRECT("G"&amp;ROW()),minfo!$A:$M,COLUMN()-8,0),"")</f>
        <v>娃娃,陶喆</v>
      </c>
      <c r="L560" s="4">
        <f ca="1">_xlfn.IFNA(VLOOKUP(INDIRECT("G"&amp;ROW()),minfo!$A:$M,COLUMN()-8,0),"")</f>
        <v>0</v>
      </c>
      <c r="M560" s="4">
        <f ca="1">_xlfn.IFNA(VLOOKUP(INDIRECT("G"&amp;ROW()),minfo!$A:$M,COLUMN()-8,0),"")</f>
        <v>0</v>
      </c>
      <c r="N560" s="4">
        <f ca="1">_xlfn.IFNA(VLOOKUP(INDIRECT("G"&amp;ROW()),minfo!$A:$M,COLUMN()-8,0),"")</f>
        <v>0</v>
      </c>
      <c r="O560" s="4" t="str">
        <f ca="1">_xlfn.IFNA(VLOOKUP(INDIRECT("G"&amp;ROW()),minfo!$A:$M,COLUMN()-8,0),"")</f>
        <v>http://i0.hdslb.com/bfs/station_src/music_metadata/b4de12b50832ba1f1ca69812232e19ce.jpg</v>
      </c>
      <c r="P560" s="4">
        <f ca="1">_xlfn.IFNA(VLOOKUP(INDIRECT("G"&amp;ROW()),minfo!$A:$M,COLUMN()-8,0),"")</f>
        <v>0</v>
      </c>
      <c r="Q560" s="4">
        <f ca="1">_xlfn.IFNA(VLOOKUP(INDIRECT("G"&amp;ROW()),minfo!$A:$M,COLUMN()-8,0),"")</f>
        <v>828</v>
      </c>
      <c r="R560" s="4">
        <f ca="1">_xlfn.IFNA(VLOOKUP(INDIRECT("G"&amp;ROW()),minfo!$A:$M,COLUMN()-8,0),"")</f>
        <v>0</v>
      </c>
      <c r="S560" s="4" t="str">
        <f ca="1">_xlfn.IFNA(VLOOKUP(INDIRECT("G"&amp;ROW()),minfo!$A:$M,COLUMN()-8,0),"")</f>
        <v>I'm OK</v>
      </c>
      <c r="T560" s="4">
        <f ca="1">_xlfn.IFNA(VLOOKUP(INDIRECT("G"&amp;ROW()),minfo!$A:$M,COLUMN()-8,0),"")</f>
        <v>137417227</v>
      </c>
      <c r="U560" s="4">
        <f ca="1">_xlfn.IFNA(VLOOKUP(INDIRECT("G"&amp;ROW()),minfo!$A:$M,COLUMN()-8,0),"")</f>
        <v>0</v>
      </c>
    </row>
    <row r="561" spans="1:21" ht="15.75" customHeight="1">
      <c r="A561" s="15">
        <v>560</v>
      </c>
      <c r="B561" s="4" t="s">
        <v>4136</v>
      </c>
      <c r="C561" s="4">
        <v>561</v>
      </c>
      <c r="D561" s="4">
        <v>170</v>
      </c>
      <c r="E561" s="4" t="s">
        <v>1289</v>
      </c>
      <c r="F561" s="16">
        <v>45192</v>
      </c>
      <c r="G561" s="5" t="s">
        <v>1288</v>
      </c>
      <c r="H561" s="5" t="s">
        <v>3961</v>
      </c>
      <c r="I561" s="24" t="str">
        <f>HYPERLINK("https://www.bilibili.com/video/BV1gz4y147yu?p=170", "BV1gz4y147yu?p=170")</f>
        <v>BV1gz4y147yu?p=170</v>
      </c>
      <c r="J561" s="4" t="str">
        <f ca="1">_xlfn.IFNA(VLOOKUP(INDIRECT("G"&amp;ROW()),minfo!$A:$M,COLUMN()-8,0),"")</f>
        <v>孤独娱乐</v>
      </c>
      <c r="K561" s="4" t="str">
        <f ca="1">_xlfn.IFNA(VLOOKUP(INDIRECT("G"&amp;ROW()),minfo!$A:$M,COLUMN()-8,0),"")</f>
        <v>林俊杰</v>
      </c>
      <c r="L561" s="4">
        <f ca="1">_xlfn.IFNA(VLOOKUP(INDIRECT("G"&amp;ROW()),minfo!$A:$M,COLUMN()-8,0),"")</f>
        <v>0</v>
      </c>
      <c r="M561" s="4">
        <f ca="1">_xlfn.IFNA(VLOOKUP(INDIRECT("G"&amp;ROW()),minfo!$A:$M,COLUMN()-8,0),"")</f>
        <v>0</v>
      </c>
      <c r="N561" s="4">
        <f ca="1">_xlfn.IFNA(VLOOKUP(INDIRECT("G"&amp;ROW()),minfo!$A:$M,COLUMN()-8,0),"")</f>
        <v>0</v>
      </c>
      <c r="O561" s="4" t="str">
        <f ca="1">_xlfn.IFNA(VLOOKUP(INDIRECT("G"&amp;ROW()),minfo!$A:$M,COLUMN()-8,0),"")</f>
        <v>http://i0.hdslb.com/bfs/station_src/music_metadata/84561b5e1d6e1dfa852adcf51e34eb8f.jpg</v>
      </c>
      <c r="P561" s="4">
        <f ca="1">_xlfn.IFNA(VLOOKUP(INDIRECT("G"&amp;ROW()),minfo!$A:$M,COLUMN()-8,0),"")</f>
        <v>0</v>
      </c>
      <c r="Q561" s="4">
        <f ca="1">_xlfn.IFNA(VLOOKUP(INDIRECT("G"&amp;ROW()),minfo!$A:$M,COLUMN()-8,0),"")</f>
        <v>79</v>
      </c>
      <c r="R561" s="4">
        <f ca="1">_xlfn.IFNA(VLOOKUP(INDIRECT("G"&amp;ROW()),minfo!$A:$M,COLUMN()-8,0),"")</f>
        <v>0</v>
      </c>
      <c r="S561" s="4" t="str">
        <f ca="1">_xlfn.IFNA(VLOOKUP(INDIRECT("G"&amp;ROW()),minfo!$A:$M,COLUMN()-8,0),"")</f>
        <v>重拾_快乐</v>
      </c>
      <c r="T561" s="4">
        <f ca="1">_xlfn.IFNA(VLOOKUP(INDIRECT("G"&amp;ROW()),minfo!$A:$M,COLUMN()-8,0),"")</f>
        <v>19753956</v>
      </c>
      <c r="U561" s="4">
        <f ca="1">_xlfn.IFNA(VLOOKUP(INDIRECT("G"&amp;ROW()),minfo!$A:$M,COLUMN()-8,0),"")</f>
        <v>0</v>
      </c>
    </row>
    <row r="562" spans="1:21" ht="15.75" customHeight="1">
      <c r="A562" s="15">
        <v>561</v>
      </c>
      <c r="B562" s="4" t="s">
        <v>4137</v>
      </c>
      <c r="C562" s="4">
        <v>562</v>
      </c>
      <c r="D562" s="4">
        <v>171</v>
      </c>
      <c r="E562" s="4" t="s">
        <v>136</v>
      </c>
      <c r="F562" s="16">
        <v>45192</v>
      </c>
      <c r="G562" s="5" t="s">
        <v>136</v>
      </c>
      <c r="H562" s="5" t="s">
        <v>3961</v>
      </c>
      <c r="I562" s="24" t="str">
        <f>HYPERLINK("https://www.bilibili.com/video/BV1gz4y147yu?p=171", "BV1gz4y147yu?p=171")</f>
        <v>BV1gz4y147yu?p=171</v>
      </c>
      <c r="J562" s="4" t="str">
        <f ca="1">_xlfn.IFNA(VLOOKUP(INDIRECT("G"&amp;ROW()),minfo!$A:$M,COLUMN()-8,0),"")</f>
        <v>续写</v>
      </c>
      <c r="K562" s="4" t="str">
        <f ca="1">_xlfn.IFNA(VLOOKUP(INDIRECT("G"&amp;ROW()),minfo!$A:$M,COLUMN()-8,0),"")</f>
        <v>单依纯</v>
      </c>
      <c r="L562" s="4">
        <f ca="1">_xlfn.IFNA(VLOOKUP(INDIRECT("G"&amp;ROW()),minfo!$A:$M,COLUMN()-8,0),"")</f>
        <v>0</v>
      </c>
      <c r="M562" s="4">
        <f ca="1">_xlfn.IFNA(VLOOKUP(INDIRECT("G"&amp;ROW()),minfo!$A:$M,COLUMN()-8,0),"")</f>
        <v>0</v>
      </c>
      <c r="N562" s="4">
        <f ca="1">_xlfn.IFNA(VLOOKUP(INDIRECT("G"&amp;ROW()),minfo!$A:$M,COLUMN()-8,0),"")</f>
        <v>0</v>
      </c>
      <c r="O562" s="4">
        <f ca="1">_xlfn.IFNA(VLOOKUP(INDIRECT("G"&amp;ROW()),minfo!$A:$M,COLUMN()-8,0),"")</f>
        <v>0</v>
      </c>
      <c r="P562" s="4">
        <f ca="1">_xlfn.IFNA(VLOOKUP(INDIRECT("G"&amp;ROW()),minfo!$A:$M,COLUMN()-8,0),"")</f>
        <v>0</v>
      </c>
      <c r="Q562" s="4">
        <f ca="1">_xlfn.IFNA(VLOOKUP(INDIRECT("G"&amp;ROW()),minfo!$A:$M,COLUMN()-8,0),"")</f>
        <v>0</v>
      </c>
      <c r="R562" s="4">
        <f ca="1">_xlfn.IFNA(VLOOKUP(INDIRECT("G"&amp;ROW()),minfo!$A:$M,COLUMN()-8,0),"")</f>
        <v>0</v>
      </c>
      <c r="S562" s="4">
        <f ca="1">_xlfn.IFNA(VLOOKUP(INDIRECT("G"&amp;ROW()),minfo!$A:$M,COLUMN()-8,0),"")</f>
        <v>0</v>
      </c>
      <c r="T562" s="4">
        <f ca="1">_xlfn.IFNA(VLOOKUP(INDIRECT("G"&amp;ROW()),minfo!$A:$M,COLUMN()-8,0),"")</f>
        <v>0</v>
      </c>
      <c r="U562" s="4">
        <f ca="1">_xlfn.IFNA(VLOOKUP(INDIRECT("G"&amp;ROW()),minfo!$A:$M,COLUMN()-8,0),"")</f>
        <v>0</v>
      </c>
    </row>
    <row r="563" spans="1:21" ht="15.75" customHeight="1">
      <c r="A563" s="15">
        <v>562</v>
      </c>
      <c r="B563" s="4" t="s">
        <v>4138</v>
      </c>
      <c r="C563" s="4">
        <v>563</v>
      </c>
      <c r="D563" s="4">
        <v>172</v>
      </c>
      <c r="E563" s="4" t="s">
        <v>75</v>
      </c>
      <c r="F563" s="16">
        <v>45192</v>
      </c>
      <c r="G563" s="5" t="s">
        <v>1056</v>
      </c>
      <c r="H563" s="5" t="s">
        <v>3961</v>
      </c>
      <c r="I563" s="24" t="str">
        <f>HYPERLINK("https://www.bilibili.com/video/BV1gz4y147yu?p=172", "BV1gz4y147yu?p=172")</f>
        <v>BV1gz4y147yu?p=172</v>
      </c>
      <c r="J563" s="4" t="str">
        <f ca="1">_xlfn.IFNA(VLOOKUP(INDIRECT("G"&amp;ROW()),minfo!$A:$M,COLUMN()-8,0),"")</f>
        <v>布虎记</v>
      </c>
      <c r="K563" s="4" t="str">
        <f ca="1">_xlfn.IFNA(VLOOKUP(INDIRECT("G"&amp;ROW()),minfo!$A:$M,COLUMN()-8,0),"")</f>
        <v>洛天依,西门振</v>
      </c>
      <c r="L563" s="4">
        <f ca="1">_xlfn.IFNA(VLOOKUP(INDIRECT("G"&amp;ROW()),minfo!$A:$M,COLUMN()-8,0),"")</f>
        <v>0</v>
      </c>
      <c r="M563" s="4">
        <f ca="1">_xlfn.IFNA(VLOOKUP(INDIRECT("G"&amp;ROW()),minfo!$A:$M,COLUMN()-8,0),"")</f>
        <v>0</v>
      </c>
      <c r="N563" s="4">
        <f ca="1">_xlfn.IFNA(VLOOKUP(INDIRECT("G"&amp;ROW()),minfo!$A:$M,COLUMN()-8,0),"")</f>
        <v>0</v>
      </c>
      <c r="O563" s="4" t="str">
        <f ca="1">_xlfn.IFNA(VLOOKUP(INDIRECT("G"&amp;ROW()),minfo!$A:$M,COLUMN()-8,0),"")</f>
        <v>https://i0.hdslb.com/bfs/station_src/music_metadata/346f3d0245c598c7be9afcb1e6a727b4.jpg</v>
      </c>
      <c r="P563" s="4">
        <f ca="1">_xlfn.IFNA(VLOOKUP(INDIRECT("G"&amp;ROW()),minfo!$A:$M,COLUMN()-8,0),"")</f>
        <v>0</v>
      </c>
      <c r="Q563" s="4">
        <f ca="1">_xlfn.IFNA(VLOOKUP(INDIRECT("G"&amp;ROW()),minfo!$A:$M,COLUMN()-8,0),"")</f>
        <v>0</v>
      </c>
      <c r="R563" s="4">
        <f ca="1">_xlfn.IFNA(VLOOKUP(INDIRECT("G"&amp;ROW()),minfo!$A:$M,COLUMN()-8,0),"")</f>
        <v>0</v>
      </c>
      <c r="S563" s="4" t="str">
        <f ca="1">_xlfn.IFNA(VLOOKUP(INDIRECT("G"&amp;ROW()),minfo!$A:$M,COLUMN()-8,0),"")</f>
        <v>【2022虚拟歌手贺岁纪】布虎记</v>
      </c>
      <c r="T563" s="4">
        <f ca="1">_xlfn.IFNA(VLOOKUP(INDIRECT("G"&amp;ROW()),minfo!$A:$M,COLUMN()-8,0),"")</f>
        <v>1512793</v>
      </c>
      <c r="U563" s="4">
        <f ca="1">_xlfn.IFNA(VLOOKUP(INDIRECT("G"&amp;ROW()),minfo!$A:$M,COLUMN()-8,0),"")</f>
        <v>0</v>
      </c>
    </row>
    <row r="564" spans="1:21" ht="15.75" customHeight="1">
      <c r="A564" s="15">
        <v>563</v>
      </c>
      <c r="B564" s="4" t="s">
        <v>4139</v>
      </c>
      <c r="C564" s="4">
        <v>564</v>
      </c>
      <c r="D564" s="4">
        <v>173</v>
      </c>
      <c r="E564" s="4" t="s">
        <v>579</v>
      </c>
      <c r="F564" s="16">
        <v>45192</v>
      </c>
      <c r="G564" s="5" t="s">
        <v>578</v>
      </c>
      <c r="H564" s="5" t="s">
        <v>3961</v>
      </c>
      <c r="I564" s="24" t="str">
        <f>HYPERLINK("https://www.bilibili.com/video/BV1gz4y147yu?p=173", "BV1gz4y147yu?p=173")</f>
        <v>BV1gz4y147yu?p=173</v>
      </c>
      <c r="J564" s="4" t="str">
        <f ca="1">_xlfn.IFNA(VLOOKUP(INDIRECT("G"&amp;ROW()),minfo!$A:$M,COLUMN()-8,0),"")</f>
        <v>月光</v>
      </c>
      <c r="K564" s="4" t="str">
        <f ca="1">_xlfn.IFNA(VLOOKUP(INDIRECT("G"&amp;ROW()),minfo!$A:$M,COLUMN()-8,0),"")</f>
        <v>胡彦斌</v>
      </c>
      <c r="L564" s="4">
        <f ca="1">_xlfn.IFNA(VLOOKUP(INDIRECT("G"&amp;ROW()),minfo!$A:$M,COLUMN()-8,0),"")</f>
        <v>0</v>
      </c>
      <c r="M564" s="4">
        <f ca="1">_xlfn.IFNA(VLOOKUP(INDIRECT("G"&amp;ROW()),minfo!$A:$M,COLUMN()-8,0),"")</f>
        <v>0</v>
      </c>
      <c r="N564" s="4">
        <f ca="1">_xlfn.IFNA(VLOOKUP(INDIRECT("G"&amp;ROW()),minfo!$A:$M,COLUMN()-8,0),"")</f>
        <v>0</v>
      </c>
      <c r="O564" s="4" t="str">
        <f ca="1">_xlfn.IFNA(VLOOKUP(INDIRECT("G"&amp;ROW()),minfo!$A:$M,COLUMN()-8,0),"")</f>
        <v>https://i0.hdslb.com/bfs/station_src/music_metadata/7cc411366d037e788cb0589e4b72b353.jpg</v>
      </c>
      <c r="P564" s="4" t="str">
        <f ca="1">_xlfn.IFNA(VLOOKUP(INDIRECT("G"&amp;ROW()),minfo!$A:$M,COLUMN()-8,0),"")</f>
        <v>https://i0.hdslb.com/bfs/station_src/music_metadata/24b147c13fc9ffd4dfb30a3a88355255.txt</v>
      </c>
      <c r="Q564" s="4">
        <f ca="1">_xlfn.IFNA(VLOOKUP(INDIRECT("G"&amp;ROW()),minfo!$A:$M,COLUMN()-8,0),"")</f>
        <v>3207</v>
      </c>
      <c r="R564" s="4" t="str">
        <f ca="1">_xlfn.IFNA(VLOOKUP(INDIRECT("G"&amp;ROW()),minfo!$A:$M,COLUMN()-8,0),"")</f>
        <v>《秦时明月》动画主题曲|《秦时明月之君临天下》动画片头曲</v>
      </c>
      <c r="S564" s="4" t="str">
        <f ca="1">_xlfn.IFNA(VLOOKUP(INDIRECT("G"&amp;ROW()),minfo!$A:$M,COLUMN()-8,0),"")</f>
        <v>男人歌 (全胜铂金版)</v>
      </c>
      <c r="T564" s="4">
        <f ca="1">_xlfn.IFNA(VLOOKUP(INDIRECT("G"&amp;ROW()),minfo!$A:$M,COLUMN()-8,0),"")</f>
        <v>276993628</v>
      </c>
      <c r="U564" s="4">
        <f ca="1">_xlfn.IFNA(VLOOKUP(INDIRECT("G"&amp;ROW()),minfo!$A:$M,COLUMN()-8,0),"")</f>
        <v>0</v>
      </c>
    </row>
    <row r="565" spans="1:21" ht="15.75" customHeight="1">
      <c r="A565" s="15">
        <v>564</v>
      </c>
      <c r="B565" s="4" t="s">
        <v>4140</v>
      </c>
      <c r="C565" s="4">
        <v>565</v>
      </c>
      <c r="D565" s="4">
        <v>174</v>
      </c>
      <c r="E565" s="4" t="s">
        <v>3909</v>
      </c>
      <c r="F565" s="16">
        <v>45192</v>
      </c>
      <c r="G565" s="5" t="s">
        <v>1115</v>
      </c>
      <c r="H565" s="5" t="s">
        <v>3961</v>
      </c>
      <c r="I565" s="24" t="str">
        <f>HYPERLINK("https://www.bilibili.com/video/BV1gz4y147yu?p=174", "BV1gz4y147yu?p=174")</f>
        <v>BV1gz4y147yu?p=174</v>
      </c>
      <c r="J565" s="4" t="str">
        <f ca="1">_xlfn.IFNA(VLOOKUP(INDIRECT("G"&amp;ROW()),minfo!$A:$M,COLUMN()-8,0),"")</f>
        <v>私を泣かせて下さい</v>
      </c>
      <c r="K565" s="4" t="str">
        <f ca="1">_xlfn.IFNA(VLOOKUP(INDIRECT("G"&amp;ROW()),minfo!$A:$M,COLUMN()-8,0),"")</f>
        <v>Sarah Brightman</v>
      </c>
      <c r="L565" s="4">
        <f ca="1">_xlfn.IFNA(VLOOKUP(INDIRECT("G"&amp;ROW()),minfo!$A:$M,COLUMN()-8,0),"")</f>
        <v>0</v>
      </c>
      <c r="M565" s="4">
        <f ca="1">_xlfn.IFNA(VLOOKUP(INDIRECT("G"&amp;ROW()),minfo!$A:$M,COLUMN()-8,0),"")</f>
        <v>0</v>
      </c>
      <c r="N565" s="4">
        <f ca="1">_xlfn.IFNA(VLOOKUP(INDIRECT("G"&amp;ROW()),minfo!$A:$M,COLUMN()-8,0),"")</f>
        <v>0</v>
      </c>
      <c r="O565" s="4" t="str">
        <f ca="1">_xlfn.IFNA(VLOOKUP(INDIRECT("G"&amp;ROW()),minfo!$A:$M,COLUMN()-8,0),"")</f>
        <v>https://i0.hdslb.com/bfs/station_src/music_metadata/ccbb3991f525f2ad4a3c655fd573023a.jpg</v>
      </c>
      <c r="P565" s="4" t="str">
        <f ca="1">_xlfn.IFNA(VLOOKUP(INDIRECT("G"&amp;ROW()),minfo!$A:$M,COLUMN()-8,0),"")</f>
        <v>https://i0.hdslb.com/bfs/station_src/music_metadata/160eedabe69037f7e7f9360e0959914d.txt</v>
      </c>
      <c r="Q565" s="4">
        <f ca="1">_xlfn.IFNA(VLOOKUP(INDIRECT("G"&amp;ROW()),minfo!$A:$M,COLUMN()-8,0),"")</f>
        <v>0</v>
      </c>
      <c r="R565" s="4">
        <f ca="1">_xlfn.IFNA(VLOOKUP(INDIRECT("G"&amp;ROW()),minfo!$A:$M,COLUMN()-8,0),"")</f>
        <v>0</v>
      </c>
      <c r="S565" s="4" t="str">
        <f ca="1">_xlfn.IFNA(VLOOKUP(INDIRECT("G"&amp;ROW()),minfo!$A:$M,COLUMN()-8,0),"")</f>
        <v>The Most Relaxing Feel vol.3</v>
      </c>
      <c r="T565" s="4">
        <f ca="1">_xlfn.IFNA(VLOOKUP(INDIRECT("G"&amp;ROW()),minfo!$A:$M,COLUMN()-8,0),"")</f>
        <v>574539</v>
      </c>
      <c r="U565" s="4">
        <f ca="1">_xlfn.IFNA(VLOOKUP(INDIRECT("G"&amp;ROW()),minfo!$A:$M,COLUMN()-8,0),"")</f>
        <v>0</v>
      </c>
    </row>
    <row r="566" spans="1:21" ht="15.75" customHeight="1">
      <c r="A566" s="15">
        <v>565</v>
      </c>
      <c r="B566" s="4" t="s">
        <v>4141</v>
      </c>
      <c r="C566" s="4">
        <v>566</v>
      </c>
      <c r="D566" s="4">
        <v>175</v>
      </c>
      <c r="E566" s="4" t="s">
        <v>985</v>
      </c>
      <c r="F566" s="16">
        <v>45192</v>
      </c>
      <c r="G566" s="5" t="s">
        <v>984</v>
      </c>
      <c r="H566" s="5" t="s">
        <v>3961</v>
      </c>
      <c r="I566" s="24" t="str">
        <f>HYPERLINK("https://www.bilibili.com/video/BV1gz4y147yu?p=175", "BV1gz4y147yu?p=175")</f>
        <v>BV1gz4y147yu?p=175</v>
      </c>
      <c r="J566" s="4" t="str">
        <f ca="1">_xlfn.IFNA(VLOOKUP(INDIRECT("G"&amp;ROW()),minfo!$A:$M,COLUMN()-8,0),"")</f>
        <v>黑色幽默</v>
      </c>
      <c r="K566" s="4" t="str">
        <f ca="1">_xlfn.IFNA(VLOOKUP(INDIRECT("G"&amp;ROW()),minfo!$A:$M,COLUMN()-8,0),"")</f>
        <v>周杰伦</v>
      </c>
      <c r="L566" s="4">
        <f ca="1">_xlfn.IFNA(VLOOKUP(INDIRECT("G"&amp;ROW()),minfo!$A:$M,COLUMN()-8,0),"")</f>
        <v>0</v>
      </c>
      <c r="M566" s="4">
        <f ca="1">_xlfn.IFNA(VLOOKUP(INDIRECT("G"&amp;ROW()),minfo!$A:$M,COLUMN()-8,0),"")</f>
        <v>0</v>
      </c>
      <c r="N566" s="4">
        <f ca="1">_xlfn.IFNA(VLOOKUP(INDIRECT("G"&amp;ROW()),minfo!$A:$M,COLUMN()-8,0),"")</f>
        <v>0</v>
      </c>
      <c r="O566" s="4" t="str">
        <f ca="1">_xlfn.IFNA(VLOOKUP(INDIRECT("G"&amp;ROW()),minfo!$A:$M,COLUMN()-8,0),"")</f>
        <v>http://i0.hdslb.com/bfs/station_src/music_metadata/8b249713403b3d00ccd102426b9ebda9.jpg</v>
      </c>
      <c r="P566" s="4" t="str">
        <f ca="1">_xlfn.IFNA(VLOOKUP(INDIRECT("G"&amp;ROW()),minfo!$A:$M,COLUMN()-8,0),"")</f>
        <v>http://i0.hdslb.com/bfs/station_src/music_metadata/f8d85e0e293c6e2811bc4a179f6f1d41</v>
      </c>
      <c r="Q566" s="4">
        <f ca="1">_xlfn.IFNA(VLOOKUP(INDIRECT("G"&amp;ROW()),minfo!$A:$M,COLUMN()-8,0),"")</f>
        <v>1040</v>
      </c>
      <c r="R566" s="4">
        <f ca="1">_xlfn.IFNA(VLOOKUP(INDIRECT("G"&amp;ROW()),minfo!$A:$M,COLUMN()-8,0),"")</f>
        <v>0</v>
      </c>
      <c r="S566" s="4" t="str">
        <f ca="1">_xlfn.IFNA(VLOOKUP(INDIRECT("G"&amp;ROW()),minfo!$A:$M,COLUMN()-8,0),"")</f>
        <v>Jay</v>
      </c>
      <c r="T566" s="4">
        <f ca="1">_xlfn.IFNA(VLOOKUP(INDIRECT("G"&amp;ROW()),minfo!$A:$M,COLUMN()-8,0),"")</f>
        <v>294619498</v>
      </c>
      <c r="U566" s="4">
        <f ca="1">_xlfn.IFNA(VLOOKUP(INDIRECT("G"&amp;ROW()),minfo!$A:$M,COLUMN()-8,0),"")</f>
        <v>0</v>
      </c>
    </row>
    <row r="567" spans="1:21" ht="15.75" customHeight="1">
      <c r="A567" s="15">
        <v>566</v>
      </c>
      <c r="B567" s="4" t="s">
        <v>4142</v>
      </c>
      <c r="C567" s="4">
        <v>567</v>
      </c>
      <c r="D567" s="4">
        <v>176</v>
      </c>
      <c r="E567" s="4" t="s">
        <v>259</v>
      </c>
      <c r="F567" s="16">
        <v>45192</v>
      </c>
      <c r="G567" s="5" t="s">
        <v>258</v>
      </c>
      <c r="H567" s="5" t="s">
        <v>3961</v>
      </c>
      <c r="I567" s="24" t="str">
        <f>HYPERLINK("https://www.bilibili.com/video/BV1gz4y147yu?p=176", "BV1gz4y147yu?p=176")</f>
        <v>BV1gz4y147yu?p=176</v>
      </c>
      <c r="J567" s="4" t="str">
        <f ca="1">_xlfn.IFNA(VLOOKUP(INDIRECT("G"&amp;ROW()),minfo!$A:$M,COLUMN()-8,0),"")</f>
        <v>枫</v>
      </c>
      <c r="K567" s="4" t="str">
        <f ca="1">_xlfn.IFNA(VLOOKUP(INDIRECT("G"&amp;ROW()),minfo!$A:$M,COLUMN()-8,0),"")</f>
        <v>周杰伦</v>
      </c>
      <c r="L567" s="4">
        <f ca="1">_xlfn.IFNA(VLOOKUP(INDIRECT("G"&amp;ROW()),minfo!$A:$M,COLUMN()-8,0),"")</f>
        <v>0</v>
      </c>
      <c r="M567" s="4">
        <f ca="1">_xlfn.IFNA(VLOOKUP(INDIRECT("G"&amp;ROW()),minfo!$A:$M,COLUMN()-8,0),"")</f>
        <v>0</v>
      </c>
      <c r="N567" s="4">
        <f ca="1">_xlfn.IFNA(VLOOKUP(INDIRECT("G"&amp;ROW()),minfo!$A:$M,COLUMN()-8,0),"")</f>
        <v>0</v>
      </c>
      <c r="O567" s="4" t="str">
        <f ca="1">_xlfn.IFNA(VLOOKUP(INDIRECT("G"&amp;ROW()),minfo!$A:$M,COLUMN()-8,0),"")</f>
        <v>https://i0.hdslb.com/bfs/station_src/music_metadata/fb82b0fb2908b09d88ba13ef0db91863.jpg</v>
      </c>
      <c r="P567" s="4" t="str">
        <f ca="1">_xlfn.IFNA(VLOOKUP(INDIRECT("G"&amp;ROW()),minfo!$A:$M,COLUMN()-8,0),"")</f>
        <v>http://i0.hdslb.com/bfs/station_src/music_metadata/9b1e7a89ea3eead8b8c6b32cdb30abd9</v>
      </c>
      <c r="Q567" s="4">
        <f ca="1">_xlfn.IFNA(VLOOKUP(INDIRECT("G"&amp;ROW()),minfo!$A:$M,COLUMN()-8,0),"")</f>
        <v>6002</v>
      </c>
      <c r="R567" s="4">
        <f ca="1">_xlfn.IFNA(VLOOKUP(INDIRECT("G"&amp;ROW()),minfo!$A:$M,COLUMN()-8,0),"")</f>
        <v>0</v>
      </c>
      <c r="S567" s="4" t="str">
        <f ca="1">_xlfn.IFNA(VLOOKUP(INDIRECT("G"&amp;ROW()),minfo!$A:$M,COLUMN()-8,0),"")</f>
        <v>十一月的萧邦</v>
      </c>
      <c r="T567" s="4">
        <f ca="1">_xlfn.IFNA(VLOOKUP(INDIRECT("G"&amp;ROW()),minfo!$A:$M,COLUMN()-8,0),"")</f>
        <v>560749777</v>
      </c>
      <c r="U567" s="4">
        <f ca="1">_xlfn.IFNA(VLOOKUP(INDIRECT("G"&amp;ROW()),minfo!$A:$M,COLUMN()-8,0),"")</f>
        <v>0</v>
      </c>
    </row>
    <row r="568" spans="1:21" ht="15.75" customHeight="1">
      <c r="A568" s="15">
        <v>567</v>
      </c>
      <c r="B568" s="4" t="s">
        <v>4143</v>
      </c>
      <c r="C568" s="4">
        <v>568</v>
      </c>
      <c r="D568" s="4">
        <v>177</v>
      </c>
      <c r="E568" s="4" t="s">
        <v>59</v>
      </c>
      <c r="F568" s="16">
        <v>45192</v>
      </c>
      <c r="G568" s="5" t="s">
        <v>59</v>
      </c>
      <c r="H568" s="5" t="s">
        <v>3961</v>
      </c>
      <c r="I568" s="24" t="str">
        <f>HYPERLINK("https://www.bilibili.com/video/BV1gz4y147yu?p=177", "BV1gz4y147yu?p=177")</f>
        <v>BV1gz4y147yu?p=177</v>
      </c>
      <c r="J568" s="4" t="str">
        <f ca="1">_xlfn.IFNA(VLOOKUP(INDIRECT("G"&amp;ROW()),minfo!$A:$M,COLUMN()-8,0),"")</f>
        <v>长夜杯空</v>
      </c>
      <c r="K568" s="4" t="str">
        <f ca="1">_xlfn.IFNA(VLOOKUP(INDIRECT("G"&amp;ROW()),minfo!$A:$M,COLUMN()-8,0),"")</f>
        <v>说说Crystal</v>
      </c>
      <c r="L568" s="4" t="str">
        <f ca="1">_xlfn.IFNA(VLOOKUP(INDIRECT("G"&amp;ROW()),minfo!$A:$M,COLUMN()-8,0),"")</f>
        <v>BV1KX4y1q7ea</v>
      </c>
      <c r="M568" s="4">
        <f ca="1">_xlfn.IFNA(VLOOKUP(INDIRECT("G"&amp;ROW()),minfo!$A:$M,COLUMN()-8,0),"")</f>
        <v>0</v>
      </c>
      <c r="N568" s="4">
        <f ca="1">_xlfn.IFNA(VLOOKUP(INDIRECT("G"&amp;ROW()),minfo!$A:$M,COLUMN()-8,0),"")</f>
        <v>0</v>
      </c>
      <c r="O568" s="4">
        <f ca="1">_xlfn.IFNA(VLOOKUP(INDIRECT("G"&amp;ROW()),minfo!$A:$M,COLUMN()-8,0),"")</f>
        <v>0</v>
      </c>
      <c r="P568" s="4">
        <f ca="1">_xlfn.IFNA(VLOOKUP(INDIRECT("G"&amp;ROW()),minfo!$A:$M,COLUMN()-8,0),"")</f>
        <v>0</v>
      </c>
      <c r="Q568" s="4">
        <f ca="1">_xlfn.IFNA(VLOOKUP(INDIRECT("G"&amp;ROW()),minfo!$A:$M,COLUMN()-8,0),"")</f>
        <v>0</v>
      </c>
      <c r="R568" s="4">
        <f ca="1">_xlfn.IFNA(VLOOKUP(INDIRECT("G"&amp;ROW()),minfo!$A:$M,COLUMN()-8,0),"")</f>
        <v>0</v>
      </c>
      <c r="S568" s="4">
        <f ca="1">_xlfn.IFNA(VLOOKUP(INDIRECT("G"&amp;ROW()),minfo!$A:$M,COLUMN()-8,0),"")</f>
        <v>0</v>
      </c>
      <c r="T568" s="4">
        <f ca="1">_xlfn.IFNA(VLOOKUP(INDIRECT("G"&amp;ROW()),minfo!$A:$M,COLUMN()-8,0),"")</f>
        <v>0</v>
      </c>
      <c r="U568" s="4">
        <f ca="1">_xlfn.IFNA(VLOOKUP(INDIRECT("G"&amp;ROW()),minfo!$A:$M,COLUMN()-8,0),"")</f>
        <v>0</v>
      </c>
    </row>
    <row r="569" spans="1:21" ht="15.75" customHeight="1">
      <c r="A569" s="15">
        <v>568</v>
      </c>
      <c r="B569" s="4" t="s">
        <v>4144</v>
      </c>
      <c r="C569" s="4">
        <v>569</v>
      </c>
      <c r="D569" s="4">
        <v>178</v>
      </c>
      <c r="E569" s="4" t="s">
        <v>1489</v>
      </c>
      <c r="F569" s="16">
        <v>45193</v>
      </c>
      <c r="G569" s="5" t="s">
        <v>1488</v>
      </c>
      <c r="H569" s="5" t="s">
        <v>3961</v>
      </c>
      <c r="I569" s="24" t="str">
        <f>HYPERLINK("https://www.bilibili.com/video/BV1gz4y147yu?p=178", "BV1gz4y147yu?p=178")</f>
        <v>BV1gz4y147yu?p=178</v>
      </c>
      <c r="J569" s="4" t="str">
        <f ca="1">_xlfn.IFNA(VLOOKUP(INDIRECT("G"&amp;ROW()),minfo!$A:$M,COLUMN()-8,0),"")</f>
        <v>海芋恋</v>
      </c>
      <c r="K569" s="4" t="str">
        <f ca="1">_xlfn.IFNA(VLOOKUP(INDIRECT("G"&amp;ROW()),minfo!$A:$M,COLUMN()-8,0),"")</f>
        <v>萧敬腾</v>
      </c>
      <c r="L569" s="4">
        <f ca="1">_xlfn.IFNA(VLOOKUP(INDIRECT("G"&amp;ROW()),minfo!$A:$M,COLUMN()-8,0),"")</f>
        <v>0</v>
      </c>
      <c r="M569" s="4">
        <f ca="1">_xlfn.IFNA(VLOOKUP(INDIRECT("G"&amp;ROW()),minfo!$A:$M,COLUMN()-8,0),"")</f>
        <v>0</v>
      </c>
      <c r="N569" s="4">
        <f ca="1">_xlfn.IFNA(VLOOKUP(INDIRECT("G"&amp;ROW()),minfo!$A:$M,COLUMN()-8,0),"")</f>
        <v>0</v>
      </c>
      <c r="O569" s="4" t="str">
        <f ca="1">_xlfn.IFNA(VLOOKUP(INDIRECT("G"&amp;ROW()),minfo!$A:$M,COLUMN()-8,0),"")</f>
        <v>https://i0.hdslb.com/bfs/station_src/music_metadata/683179c70f1a5eda62c161e62be8d9ed.jpg</v>
      </c>
      <c r="P569" s="4" t="str">
        <f ca="1">_xlfn.IFNA(VLOOKUP(INDIRECT("G"&amp;ROW()),minfo!$A:$M,COLUMN()-8,0),"")</f>
        <v>http://i0.hdslb.com/bfs/station_src/music_metadata/6bb823a769a34945c2763ae747f03685</v>
      </c>
      <c r="Q569" s="4">
        <f ca="1">_xlfn.IFNA(VLOOKUP(INDIRECT("G"&amp;ROW()),minfo!$A:$M,COLUMN()-8,0),"")</f>
        <v>319</v>
      </c>
      <c r="R569" s="4">
        <f ca="1">_xlfn.IFNA(VLOOKUP(INDIRECT("G"&amp;ROW()),minfo!$A:$M,COLUMN()-8,0),"")</f>
        <v>0</v>
      </c>
      <c r="S569" s="4" t="str">
        <f ca="1">_xlfn.IFNA(VLOOKUP(INDIRECT("G"&amp;ROW()),minfo!$A:$M,COLUMN()-8,0),"")</f>
        <v>萧敬腾 同名专辑</v>
      </c>
      <c r="T569" s="4">
        <f ca="1">_xlfn.IFNA(VLOOKUP(INDIRECT("G"&amp;ROW()),minfo!$A:$M,COLUMN()-8,0),"")</f>
        <v>101719428</v>
      </c>
      <c r="U569" s="4">
        <f ca="1">_xlfn.IFNA(VLOOKUP(INDIRECT("G"&amp;ROW()),minfo!$A:$M,COLUMN()-8,0),"")</f>
        <v>0</v>
      </c>
    </row>
    <row r="570" spans="1:21" ht="15.75" customHeight="1">
      <c r="A570" s="15">
        <v>569</v>
      </c>
      <c r="B570" s="4" t="s">
        <v>4145</v>
      </c>
      <c r="C570" s="4">
        <v>570</v>
      </c>
      <c r="D570" s="4">
        <v>179</v>
      </c>
      <c r="E570" s="4" t="s">
        <v>1534</v>
      </c>
      <c r="F570" s="16">
        <v>45193</v>
      </c>
      <c r="G570" s="5" t="s">
        <v>1533</v>
      </c>
      <c r="H570" s="5" t="s">
        <v>3961</v>
      </c>
      <c r="I570" s="24" t="str">
        <f>HYPERLINK("https://www.bilibili.com/video/BV1gz4y147yu?p=179", "BV1gz4y147yu?p=179")</f>
        <v>BV1gz4y147yu?p=179</v>
      </c>
      <c r="J570" s="4" t="str">
        <f ca="1">_xlfn.IFNA(VLOOKUP(INDIRECT("G"&amp;ROW()),minfo!$A:$M,COLUMN()-8,0),"")</f>
        <v>夏天的风</v>
      </c>
      <c r="K570" s="4" t="str">
        <f ca="1">_xlfn.IFNA(VLOOKUP(INDIRECT("G"&amp;ROW()),minfo!$A:$M,COLUMN()-8,0),"")</f>
        <v>温岚</v>
      </c>
      <c r="L570" s="4">
        <f ca="1">_xlfn.IFNA(VLOOKUP(INDIRECT("G"&amp;ROW()),minfo!$A:$M,COLUMN()-8,0),"")</f>
        <v>0</v>
      </c>
      <c r="M570" s="4">
        <f ca="1">_xlfn.IFNA(VLOOKUP(INDIRECT("G"&amp;ROW()),minfo!$A:$M,COLUMN()-8,0),"")</f>
        <v>0</v>
      </c>
      <c r="N570" s="4">
        <f ca="1">_xlfn.IFNA(VLOOKUP(INDIRECT("G"&amp;ROW()),minfo!$A:$M,COLUMN()-8,0),"")</f>
        <v>0</v>
      </c>
      <c r="O570" s="4" t="str">
        <f ca="1">_xlfn.IFNA(VLOOKUP(INDIRECT("G"&amp;ROW()),minfo!$A:$M,COLUMN()-8,0),"")</f>
        <v>http://i0.hdslb.com/bfs/station_src/music_metadata/299064b429626e564b820aa490025cf3.jpg</v>
      </c>
      <c r="P570" s="4" t="str">
        <f ca="1">_xlfn.IFNA(VLOOKUP(INDIRECT("G"&amp;ROW()),minfo!$A:$M,COLUMN()-8,0),"")</f>
        <v>http://i0.hdslb.com/bfs/station_src/music_metadata/1738086c832f4a90ef3a8c8e24d13a84</v>
      </c>
      <c r="Q570" s="4">
        <f ca="1">_xlfn.IFNA(VLOOKUP(INDIRECT("G"&amp;ROW()),minfo!$A:$M,COLUMN()-8,0),"")</f>
        <v>1370</v>
      </c>
      <c r="R570" s="4">
        <f ca="1">_xlfn.IFNA(VLOOKUP(INDIRECT("G"&amp;ROW()),minfo!$A:$M,COLUMN()-8,0),"")</f>
        <v>0</v>
      </c>
      <c r="S570" s="4" t="str">
        <f ca="1">_xlfn.IFNA(VLOOKUP(INDIRECT("G"&amp;ROW()),minfo!$A:$M,COLUMN()-8,0),"")</f>
        <v>温式效应</v>
      </c>
      <c r="T570" s="4">
        <f ca="1">_xlfn.IFNA(VLOOKUP(INDIRECT("G"&amp;ROW()),minfo!$A:$M,COLUMN()-8,0),"")</f>
        <v>529974853</v>
      </c>
      <c r="U570" s="4">
        <f ca="1">_xlfn.IFNA(VLOOKUP(INDIRECT("G"&amp;ROW()),minfo!$A:$M,COLUMN()-8,0),"")</f>
        <v>0</v>
      </c>
    </row>
    <row r="571" spans="1:21" ht="15.75" customHeight="1">
      <c r="A571" s="15">
        <v>570</v>
      </c>
      <c r="B571" s="4" t="s">
        <v>4146</v>
      </c>
      <c r="C571" s="4">
        <v>571</v>
      </c>
      <c r="D571" s="4">
        <v>180</v>
      </c>
      <c r="E571" s="4" t="s">
        <v>1540</v>
      </c>
      <c r="F571" s="16">
        <v>45193</v>
      </c>
      <c r="G571" s="5" t="s">
        <v>1539</v>
      </c>
      <c r="H571" s="5" t="s">
        <v>3961</v>
      </c>
      <c r="I571" s="24" t="str">
        <f>HYPERLINK("https://www.bilibili.com/video/BV1gz4y147yu?p=180", "BV1gz4y147yu?p=180")</f>
        <v>BV1gz4y147yu?p=180</v>
      </c>
      <c r="J571" s="4" t="str">
        <f ca="1">_xlfn.IFNA(VLOOKUP(INDIRECT("G"&amp;ROW()),minfo!$A:$M,COLUMN()-8,0),"")</f>
        <v>他夏了夏天</v>
      </c>
      <c r="K571" s="4" t="str">
        <f ca="1">_xlfn.IFNA(VLOOKUP(INDIRECT("G"&amp;ROW()),minfo!$A:$M,COLUMN()-8,0),"")</f>
        <v>苏打绿</v>
      </c>
      <c r="L571" s="4">
        <f ca="1">_xlfn.IFNA(VLOOKUP(INDIRECT("G"&amp;ROW()),minfo!$A:$M,COLUMN()-8,0),"")</f>
        <v>0</v>
      </c>
      <c r="M571" s="4">
        <f ca="1">_xlfn.IFNA(VLOOKUP(INDIRECT("G"&amp;ROW()),minfo!$A:$M,COLUMN()-8,0),"")</f>
        <v>0</v>
      </c>
      <c r="N571" s="4">
        <f ca="1">_xlfn.IFNA(VLOOKUP(INDIRECT("G"&amp;ROW()),minfo!$A:$M,COLUMN()-8,0),"")</f>
        <v>0</v>
      </c>
      <c r="O571" s="4" t="str">
        <f ca="1">_xlfn.IFNA(VLOOKUP(INDIRECT("G"&amp;ROW()),minfo!$A:$M,COLUMN()-8,0),"")</f>
        <v>https://i0.hdslb.com/bfs/station_src/music_metadata/2001aedebfef6f094ce35d0506d02edc.jpg</v>
      </c>
      <c r="P571" s="4">
        <f ca="1">_xlfn.IFNA(VLOOKUP(INDIRECT("G"&amp;ROW()),minfo!$A:$M,COLUMN()-8,0),"")</f>
        <v>0</v>
      </c>
      <c r="Q571" s="4">
        <f ca="1">_xlfn.IFNA(VLOOKUP(INDIRECT("G"&amp;ROW()),minfo!$A:$M,COLUMN()-8,0),"")</f>
        <v>43</v>
      </c>
      <c r="R571" s="4">
        <f ca="1">_xlfn.IFNA(VLOOKUP(INDIRECT("G"&amp;ROW()),minfo!$A:$M,COLUMN()-8,0),"")</f>
        <v>0</v>
      </c>
      <c r="S571" s="4" t="str">
        <f ca="1">_xlfn.IFNA(VLOOKUP(INDIRECT("G"&amp;ROW()),minfo!$A:$M,COLUMN()-8,0),"")</f>
        <v>十年一刻</v>
      </c>
      <c r="T571" s="4">
        <f ca="1">_xlfn.IFNA(VLOOKUP(INDIRECT("G"&amp;ROW()),minfo!$A:$M,COLUMN()-8,0),"")</f>
        <v>28766284</v>
      </c>
      <c r="U571" s="4">
        <f ca="1">_xlfn.IFNA(VLOOKUP(INDIRECT("G"&amp;ROW()),minfo!$A:$M,COLUMN()-8,0),"")</f>
        <v>0</v>
      </c>
    </row>
    <row r="572" spans="1:21" ht="15.75" customHeight="1">
      <c r="A572" s="15">
        <v>571</v>
      </c>
      <c r="B572" s="4" t="s">
        <v>4147</v>
      </c>
      <c r="C572" s="4">
        <v>572</v>
      </c>
      <c r="D572" s="4">
        <v>181</v>
      </c>
      <c r="E572" s="4" t="s">
        <v>1544</v>
      </c>
      <c r="F572" s="16">
        <v>45193</v>
      </c>
      <c r="G572" s="5" t="s">
        <v>1543</v>
      </c>
      <c r="H572" s="5" t="s">
        <v>3961</v>
      </c>
      <c r="I572" s="24" t="str">
        <f>HYPERLINK("https://www.bilibili.com/video/BV1gz4y147yu?p=181", "BV1gz4y147yu?p=181")</f>
        <v>BV1gz4y147yu?p=181</v>
      </c>
      <c r="J572" s="4" t="str">
        <f ca="1">_xlfn.IFNA(VLOOKUP(INDIRECT("G"&amp;ROW()),minfo!$A:$M,COLUMN()-8,0),"")</f>
        <v>宁夏</v>
      </c>
      <c r="K572" s="4" t="str">
        <f ca="1">_xlfn.IFNA(VLOOKUP(INDIRECT("G"&amp;ROW()),minfo!$A:$M,COLUMN()-8,0),"")</f>
        <v>梁静茹</v>
      </c>
      <c r="L572" s="4">
        <f ca="1">_xlfn.IFNA(VLOOKUP(INDIRECT("G"&amp;ROW()),minfo!$A:$M,COLUMN()-8,0),"")</f>
        <v>0</v>
      </c>
      <c r="M572" s="4">
        <f ca="1">_xlfn.IFNA(VLOOKUP(INDIRECT("G"&amp;ROW()),minfo!$A:$M,COLUMN()-8,0),"")</f>
        <v>0</v>
      </c>
      <c r="N572" s="4">
        <f ca="1">_xlfn.IFNA(VLOOKUP(INDIRECT("G"&amp;ROW()),minfo!$A:$M,COLUMN()-8,0),"")</f>
        <v>0</v>
      </c>
      <c r="O572" s="4" t="str">
        <f ca="1">_xlfn.IFNA(VLOOKUP(INDIRECT("G"&amp;ROW()),minfo!$A:$M,COLUMN()-8,0),"")</f>
        <v>http://i0.hdslb.com/bfs/station_src/music_metadata/6a0b6f38ab5d991fe1362b9e32ae7dfb.jpg</v>
      </c>
      <c r="P572" s="4" t="str">
        <f ca="1">_xlfn.IFNA(VLOOKUP(INDIRECT("G"&amp;ROW()),minfo!$A:$M,COLUMN()-8,0),"")</f>
        <v>http://i0.hdslb.com/bfs/station_src/music_metadata/eb7bc07ad56e068ddcdc4ba8a8038aa1</v>
      </c>
      <c r="Q572" s="4">
        <f ca="1">_xlfn.IFNA(VLOOKUP(INDIRECT("G"&amp;ROW()),minfo!$A:$M,COLUMN()-8,0),"")</f>
        <v>335</v>
      </c>
      <c r="R572" s="4">
        <f ca="1">_xlfn.IFNA(VLOOKUP(INDIRECT("G"&amp;ROW()),minfo!$A:$M,COLUMN()-8,0),"")</f>
        <v>0</v>
      </c>
      <c r="S572" s="4" t="str">
        <f ca="1">_xlfn.IFNA(VLOOKUP(INDIRECT("G"&amp;ROW()),minfo!$A:$M,COLUMN()-8,0),"")</f>
        <v>燕尾蝶</v>
      </c>
      <c r="T572" s="4">
        <f ca="1">_xlfn.IFNA(VLOOKUP(INDIRECT("G"&amp;ROW()),minfo!$A:$M,COLUMN()-8,0),"")</f>
        <v>185332919</v>
      </c>
      <c r="U572" s="4">
        <f ca="1">_xlfn.IFNA(VLOOKUP(INDIRECT("G"&amp;ROW()),minfo!$A:$M,COLUMN()-8,0),"")</f>
        <v>0</v>
      </c>
    </row>
    <row r="573" spans="1:21" ht="15.75" customHeight="1">
      <c r="A573" s="15">
        <v>572</v>
      </c>
      <c r="B573" s="4" t="s">
        <v>4148</v>
      </c>
      <c r="C573" s="4">
        <v>573</v>
      </c>
      <c r="D573" s="4">
        <v>182</v>
      </c>
      <c r="E573" s="4" t="s">
        <v>1478</v>
      </c>
      <c r="F573" s="16">
        <v>45196</v>
      </c>
      <c r="G573" s="5" t="s">
        <v>1477</v>
      </c>
      <c r="H573" s="5" t="s">
        <v>3961</v>
      </c>
      <c r="I573" s="24" t="str">
        <f>HYPERLINK("https://www.bilibili.com/video/BV1gz4y147yu?p=182", "BV1gz4y147yu?p=182")</f>
        <v>BV1gz4y147yu?p=182</v>
      </c>
      <c r="J573" s="4" t="str">
        <f ca="1">_xlfn.IFNA(VLOOKUP(INDIRECT("G"&amp;ROW()),minfo!$A:$M,COLUMN()-8,0),"")</f>
        <v>想你时风起</v>
      </c>
      <c r="K573" s="4" t="str">
        <f ca="1">_xlfn.IFNA(VLOOKUP(INDIRECT("G"&amp;ROW()),minfo!$A:$M,COLUMN()-8,0),"")</f>
        <v>单依纯</v>
      </c>
      <c r="L573" s="4">
        <f ca="1">_xlfn.IFNA(VLOOKUP(INDIRECT("G"&amp;ROW()),minfo!$A:$M,COLUMN()-8,0),"")</f>
        <v>0</v>
      </c>
      <c r="M573" s="4">
        <f ca="1">_xlfn.IFNA(VLOOKUP(INDIRECT("G"&amp;ROW()),minfo!$A:$M,COLUMN()-8,0),"")</f>
        <v>0</v>
      </c>
      <c r="N573" s="4">
        <f ca="1">_xlfn.IFNA(VLOOKUP(INDIRECT("G"&amp;ROW()),minfo!$A:$M,COLUMN()-8,0),"")</f>
        <v>0</v>
      </c>
      <c r="O573" s="4" t="str">
        <f ca="1">_xlfn.IFNA(VLOOKUP(INDIRECT("G"&amp;ROW()),minfo!$A:$M,COLUMN()-8,0),"")</f>
        <v>http://i0.hdslb.com/bfs/station_src/music_metadata/690d5f026cf42acdf74154d42a9e4aec.jpg</v>
      </c>
      <c r="P573" s="4">
        <f ca="1">_xlfn.IFNA(VLOOKUP(INDIRECT("G"&amp;ROW()),minfo!$A:$M,COLUMN()-8,0),"")</f>
        <v>0</v>
      </c>
      <c r="Q573" s="4">
        <f ca="1">_xlfn.IFNA(VLOOKUP(INDIRECT("G"&amp;ROW()),minfo!$A:$M,COLUMN()-8,0),"")</f>
        <v>710</v>
      </c>
      <c r="R573" s="4">
        <f ca="1">_xlfn.IFNA(VLOOKUP(INDIRECT("G"&amp;ROW()),minfo!$A:$M,COLUMN()-8,0),"")</f>
        <v>0</v>
      </c>
      <c r="S573" s="4" t="str">
        <f ca="1">_xlfn.IFNA(VLOOKUP(INDIRECT("G"&amp;ROW()),minfo!$A:$M,COLUMN()-8,0),"")</f>
        <v>想你时风起</v>
      </c>
      <c r="T573" s="4">
        <f ca="1">_xlfn.IFNA(VLOOKUP(INDIRECT("G"&amp;ROW()),minfo!$A:$M,COLUMN()-8,0),"")</f>
        <v>48566163</v>
      </c>
      <c r="U573" s="4">
        <f ca="1">_xlfn.IFNA(VLOOKUP(INDIRECT("G"&amp;ROW()),minfo!$A:$M,COLUMN()-8,0),"")</f>
        <v>0</v>
      </c>
    </row>
    <row r="574" spans="1:21" ht="15.75" customHeight="1">
      <c r="A574" s="15">
        <v>573</v>
      </c>
      <c r="B574" s="4" t="s">
        <v>4149</v>
      </c>
      <c r="C574" s="4">
        <v>574</v>
      </c>
      <c r="D574" s="4">
        <v>183</v>
      </c>
      <c r="E574" s="4" t="s">
        <v>55</v>
      </c>
      <c r="F574" s="16">
        <v>45196</v>
      </c>
      <c r="G574" s="5" t="s">
        <v>1549</v>
      </c>
      <c r="H574" s="5" t="s">
        <v>3961</v>
      </c>
      <c r="I574" s="24" t="str">
        <f>HYPERLINK("https://www.bilibili.com/video/BV1gz4y147yu?p=183", "BV1gz4y147yu?p=183")</f>
        <v>BV1gz4y147yu?p=183</v>
      </c>
      <c r="J574" s="4" t="str">
        <f ca="1">_xlfn.IFNA(VLOOKUP(INDIRECT("G"&amp;ROW()),minfo!$A:$M,COLUMN()-8,0),"")</f>
        <v>人间未满</v>
      </c>
      <c r="K574" s="4" t="str">
        <f ca="1">_xlfn.IFNA(VLOOKUP(INDIRECT("G"&amp;ROW()),minfo!$A:$M,COLUMN()-8,0),"")</f>
        <v>妮莉安Lily,纱依shayi,说说Crystal</v>
      </c>
      <c r="L574" s="4">
        <f ca="1">_xlfn.IFNA(VLOOKUP(INDIRECT("G"&amp;ROW()),minfo!$A:$M,COLUMN()-8,0),"")</f>
        <v>0</v>
      </c>
      <c r="M574" s="4">
        <f ca="1">_xlfn.IFNA(VLOOKUP(INDIRECT("G"&amp;ROW()),minfo!$A:$M,COLUMN()-8,0),"")</f>
        <v>0</v>
      </c>
      <c r="N574" s="4">
        <f ca="1">_xlfn.IFNA(VLOOKUP(INDIRECT("G"&amp;ROW()),minfo!$A:$M,COLUMN()-8,0),"")</f>
        <v>0</v>
      </c>
      <c r="O574" s="4" t="str">
        <f ca="1">_xlfn.IFNA(VLOOKUP(INDIRECT("G"&amp;ROW()),minfo!$A:$M,COLUMN()-8,0),"")</f>
        <v>http://i0.hdslb.com/bfs/station_src/music_metadata/a9d9bd8d10828caa99479d3a5fd6f323.jpg</v>
      </c>
      <c r="P574" s="4">
        <f ca="1">_xlfn.IFNA(VLOOKUP(INDIRECT("G"&amp;ROW()),minfo!$A:$M,COLUMN()-8,0),"")</f>
        <v>0</v>
      </c>
      <c r="Q574" s="4">
        <f ca="1">_xlfn.IFNA(VLOOKUP(INDIRECT("G"&amp;ROW()),minfo!$A:$M,COLUMN()-8,0),"")</f>
        <v>16</v>
      </c>
      <c r="R574" s="4">
        <f ca="1">_xlfn.IFNA(VLOOKUP(INDIRECT("G"&amp;ROW()),minfo!$A:$M,COLUMN()-8,0),"")</f>
        <v>0</v>
      </c>
      <c r="S574" s="4" t="str">
        <f ca="1">_xlfn.IFNA(VLOOKUP(INDIRECT("G"&amp;ROW()),minfo!$A:$M,COLUMN()-8,0),"")</f>
        <v>人间未满</v>
      </c>
      <c r="T574" s="4">
        <f ca="1">_xlfn.IFNA(VLOOKUP(INDIRECT("G"&amp;ROW()),minfo!$A:$M,COLUMN()-8,0),"")</f>
        <v>256261</v>
      </c>
      <c r="U574" s="4">
        <f ca="1">_xlfn.IFNA(VLOOKUP(INDIRECT("G"&amp;ROW()),minfo!$A:$M,COLUMN()-8,0),"")</f>
        <v>0</v>
      </c>
    </row>
    <row r="575" spans="1:21" ht="15.75" customHeight="1">
      <c r="A575" s="15">
        <v>574</v>
      </c>
      <c r="B575" s="4" t="s">
        <v>4150</v>
      </c>
      <c r="C575" s="4">
        <v>575</v>
      </c>
      <c r="D575" s="4">
        <v>184</v>
      </c>
      <c r="E575" s="4" t="s">
        <v>967</v>
      </c>
      <c r="F575" s="16">
        <v>45196</v>
      </c>
      <c r="G575" s="5" t="s">
        <v>966</v>
      </c>
      <c r="H575" s="5" t="s">
        <v>3961</v>
      </c>
      <c r="I575" s="24" t="str">
        <f>HYPERLINK("https://www.bilibili.com/video/BV1gz4y147yu?p=184", "BV1gz4y147yu?p=184")</f>
        <v>BV1gz4y147yu?p=184</v>
      </c>
      <c r="J575" s="4" t="str">
        <f ca="1">_xlfn.IFNA(VLOOKUP(INDIRECT("G"&amp;ROW()),minfo!$A:$M,COLUMN()-8,0),"")</f>
        <v>小雨</v>
      </c>
      <c r="K575" s="4" t="str">
        <f ca="1">_xlfn.IFNA(VLOOKUP(INDIRECT("G"&amp;ROW()),minfo!$A:$M,COLUMN()-8,0),"")</f>
        <v>黄龄</v>
      </c>
      <c r="L575" s="4">
        <f ca="1">_xlfn.IFNA(VLOOKUP(INDIRECT("G"&amp;ROW()),minfo!$A:$M,COLUMN()-8,0),"")</f>
        <v>0</v>
      </c>
      <c r="M575" s="4">
        <f ca="1">_xlfn.IFNA(VLOOKUP(INDIRECT("G"&amp;ROW()),minfo!$A:$M,COLUMN()-8,0),"")</f>
        <v>0</v>
      </c>
      <c r="N575" s="4">
        <f ca="1">_xlfn.IFNA(VLOOKUP(INDIRECT("G"&amp;ROW()),minfo!$A:$M,COLUMN()-8,0),"")</f>
        <v>0</v>
      </c>
      <c r="O575" s="4" t="str">
        <f ca="1">_xlfn.IFNA(VLOOKUP(INDIRECT("G"&amp;ROW()),minfo!$A:$M,COLUMN()-8,0),"")</f>
        <v>https://i0.hdslb.com/bfs/station_src/music_metadata/607346922702f1ba7302d87db0ecdbf1.jpg</v>
      </c>
      <c r="P575" s="4" t="str">
        <f ca="1">_xlfn.IFNA(VLOOKUP(INDIRECT("G"&amp;ROW()),minfo!$A:$M,COLUMN()-8,0),"")</f>
        <v>https://i0.hdslb.com/bfs/station_src/music_metadata/245fdd0b68a8f71caa554e8f05ea1b6c.txt</v>
      </c>
      <c r="Q575" s="4">
        <f ca="1">_xlfn.IFNA(VLOOKUP(INDIRECT("G"&amp;ROW()),minfo!$A:$M,COLUMN()-8,0),"")</f>
        <v>2250</v>
      </c>
      <c r="R575" s="4">
        <f ca="1">_xlfn.IFNA(VLOOKUP(INDIRECT("G"&amp;ROW()),minfo!$A:$M,COLUMN()-8,0),"")</f>
        <v>0</v>
      </c>
      <c r="S575" s="4" t="str">
        <f ca="1">_xlfn.IFNA(VLOOKUP(INDIRECT("G"&amp;ROW()),minfo!$A:$M,COLUMN()-8,0),"")</f>
        <v>小雨</v>
      </c>
      <c r="T575" s="4">
        <f ca="1">_xlfn.IFNA(VLOOKUP(INDIRECT("G"&amp;ROW()),minfo!$A:$M,COLUMN()-8,0),"")</f>
        <v>63947645</v>
      </c>
      <c r="U575" s="4">
        <f ca="1">_xlfn.IFNA(VLOOKUP(INDIRECT("G"&amp;ROW()),minfo!$A:$M,COLUMN()-8,0),"")</f>
        <v>0</v>
      </c>
    </row>
    <row r="576" spans="1:21" ht="15.75" customHeight="1">
      <c r="A576" s="15">
        <v>575</v>
      </c>
      <c r="B576" s="4" t="s">
        <v>4151</v>
      </c>
      <c r="C576" s="4">
        <v>576</v>
      </c>
      <c r="D576" s="4">
        <v>185</v>
      </c>
      <c r="E576" s="4" t="s">
        <v>226</v>
      </c>
      <c r="F576" s="16">
        <v>45196</v>
      </c>
      <c r="G576" s="5" t="s">
        <v>225</v>
      </c>
      <c r="H576" s="5" t="s">
        <v>3961</v>
      </c>
      <c r="I576" s="24" t="str">
        <f>HYPERLINK("https://www.bilibili.com/video/BV1gz4y147yu?p=185", "BV1gz4y147yu?p=185")</f>
        <v>BV1gz4y147yu?p=185</v>
      </c>
      <c r="J576" s="4" t="str">
        <f ca="1">_xlfn.IFNA(VLOOKUP(INDIRECT("G"&amp;ROW()),minfo!$A:$M,COLUMN()-8,0),"")</f>
        <v>如愿</v>
      </c>
      <c r="K576" s="4" t="str">
        <f ca="1">_xlfn.IFNA(VLOOKUP(INDIRECT("G"&amp;ROW()),minfo!$A:$M,COLUMN()-8,0),"")</f>
        <v>王菲</v>
      </c>
      <c r="L576" s="4">
        <f ca="1">_xlfn.IFNA(VLOOKUP(INDIRECT("G"&amp;ROW()),minfo!$A:$M,COLUMN()-8,0),"")</f>
        <v>0</v>
      </c>
      <c r="M576" s="4">
        <f ca="1">_xlfn.IFNA(VLOOKUP(INDIRECT("G"&amp;ROW()),minfo!$A:$M,COLUMN()-8,0),"")</f>
        <v>0</v>
      </c>
      <c r="N576" s="4">
        <f ca="1">_xlfn.IFNA(VLOOKUP(INDIRECT("G"&amp;ROW()),minfo!$A:$M,COLUMN()-8,0),"")</f>
        <v>0</v>
      </c>
      <c r="O576" s="4" t="str">
        <f ca="1">_xlfn.IFNA(VLOOKUP(INDIRECT("G"&amp;ROW()),minfo!$A:$M,COLUMN()-8,0),"")</f>
        <v>http://i0.hdslb.com/bfs/station_src/music_metadata/4c29d6e8ea08a5ae0f90cb123bf5f52d.jpg</v>
      </c>
      <c r="P576" s="4" t="str">
        <f ca="1">_xlfn.IFNA(VLOOKUP(INDIRECT("G"&amp;ROW()),minfo!$A:$M,COLUMN()-8,0),"")</f>
        <v>http://i0.hdslb.com/bfs/station_src/music_metadata/7dfb091f97b87d41cdb10f22a04b20e6</v>
      </c>
      <c r="Q576" s="4">
        <f ca="1">_xlfn.IFNA(VLOOKUP(INDIRECT("G"&amp;ROW()),minfo!$A:$M,COLUMN()-8,0),"")</f>
        <v>8985</v>
      </c>
      <c r="R576" s="4" t="str">
        <f ca="1">_xlfn.IFNA(VLOOKUP(INDIRECT("G"&amp;ROW()),minfo!$A:$M,COLUMN()-8,0),"")</f>
        <v>《我和我的父辈》电影主题推广曲</v>
      </c>
      <c r="S576" s="4" t="str">
        <f ca="1">_xlfn.IFNA(VLOOKUP(INDIRECT("G"&amp;ROW()),minfo!$A:$M,COLUMN()-8,0),"")</f>
        <v>如愿</v>
      </c>
      <c r="T576" s="4">
        <f ca="1">_xlfn.IFNA(VLOOKUP(INDIRECT("G"&amp;ROW()),minfo!$A:$M,COLUMN()-8,0),"")</f>
        <v>520502983</v>
      </c>
      <c r="U576" s="4">
        <f ca="1">_xlfn.IFNA(VLOOKUP(INDIRECT("G"&amp;ROW()),minfo!$A:$M,COLUMN()-8,0),"")</f>
        <v>0</v>
      </c>
    </row>
    <row r="577" spans="1:21" ht="15.75" customHeight="1">
      <c r="A577" s="15">
        <v>576</v>
      </c>
      <c r="B577" s="4" t="s">
        <v>4152</v>
      </c>
      <c r="C577" s="4">
        <v>577</v>
      </c>
      <c r="D577" s="4">
        <v>186</v>
      </c>
      <c r="E577" s="4" t="s">
        <v>678</v>
      </c>
      <c r="F577" s="16">
        <v>45196</v>
      </c>
      <c r="G577" s="5" t="s">
        <v>677</v>
      </c>
      <c r="H577" s="5" t="s">
        <v>3961</v>
      </c>
      <c r="I577" s="24" t="str">
        <f>HYPERLINK("https://www.bilibili.com/video/BV1gz4y147yu?p=186", "BV1gz4y147yu?p=186")</f>
        <v>BV1gz4y147yu?p=186</v>
      </c>
      <c r="J577" s="4" t="str">
        <f ca="1">_xlfn.IFNA(VLOOKUP(INDIRECT("G"&amp;ROW()),minfo!$A:$M,COLUMN()-8,0),"")</f>
        <v>将故事写成我们</v>
      </c>
      <c r="K577" s="4" t="str">
        <f ca="1">_xlfn.IFNA(VLOOKUP(INDIRECT("G"&amp;ROW()),minfo!$A:$M,COLUMN()-8,0),"")</f>
        <v>林俊杰</v>
      </c>
      <c r="L577" s="4">
        <f ca="1">_xlfn.IFNA(VLOOKUP(INDIRECT("G"&amp;ROW()),minfo!$A:$M,COLUMN()-8,0),"")</f>
        <v>0</v>
      </c>
      <c r="M577" s="4">
        <f ca="1">_xlfn.IFNA(VLOOKUP(INDIRECT("G"&amp;ROW()),minfo!$A:$M,COLUMN()-8,0),"")</f>
        <v>1032</v>
      </c>
      <c r="N577" s="4">
        <f ca="1">_xlfn.IFNA(VLOOKUP(INDIRECT("G"&amp;ROW()),minfo!$A:$M,COLUMN()-8,0),"")</f>
        <v>165</v>
      </c>
      <c r="O577" s="4" t="str">
        <f ca="1">_xlfn.IFNA(VLOOKUP(INDIRECT("G"&amp;ROW()),minfo!$A:$M,COLUMN()-8,0),"")</f>
        <v>http://i0.hdslb.com/bfs/station_src/music_metadata/63fe00af138c363552e6aff10baba93e.jpg</v>
      </c>
      <c r="P577" s="4" t="str">
        <f ca="1">_xlfn.IFNA(VLOOKUP(INDIRECT("G"&amp;ROW()),minfo!$A:$M,COLUMN()-8,0),"")</f>
        <v>http://i0.hdslb.com/bfs/station_src/music_metadata/2c6ada3c80c79f0dd8b56da48df1f4ad</v>
      </c>
      <c r="Q577" s="4">
        <f ca="1">_xlfn.IFNA(VLOOKUP(INDIRECT("G"&amp;ROW()),minfo!$A:$M,COLUMN()-8,0),"")</f>
        <v>138</v>
      </c>
      <c r="R577" s="4">
        <f ca="1">_xlfn.IFNA(VLOOKUP(INDIRECT("G"&amp;ROW()),minfo!$A:$M,COLUMN()-8,0),"")</f>
        <v>0</v>
      </c>
      <c r="S577" s="4" t="str">
        <f ca="1">_xlfn.IFNA(VLOOKUP(INDIRECT("G"&amp;ROW()),minfo!$A:$M,COLUMN()-8,0),"")</f>
        <v>将故事写成我们</v>
      </c>
      <c r="T577" s="4">
        <f ca="1">_xlfn.IFNA(VLOOKUP(INDIRECT("G"&amp;ROW()),minfo!$A:$M,COLUMN()-8,0),"")</f>
        <v>64920351</v>
      </c>
      <c r="U577" s="4">
        <f ca="1">_xlfn.IFNA(VLOOKUP(INDIRECT("G"&amp;ROW()),minfo!$A:$M,COLUMN()-8,0),"")</f>
        <v>0</v>
      </c>
    </row>
    <row r="578" spans="1:21" ht="15.75" customHeight="1">
      <c r="A578" s="15">
        <v>577</v>
      </c>
      <c r="B578" s="4" t="s">
        <v>4153</v>
      </c>
      <c r="C578" s="4">
        <v>578</v>
      </c>
      <c r="D578" s="4">
        <v>187</v>
      </c>
      <c r="E578" s="4" t="s">
        <v>1553</v>
      </c>
      <c r="F578" s="16">
        <v>45196</v>
      </c>
      <c r="G578" s="5" t="s">
        <v>1552</v>
      </c>
      <c r="H578" s="5" t="s">
        <v>3961</v>
      </c>
      <c r="I578" s="24" t="str">
        <f>HYPERLINK("https://www.bilibili.com/video/BV1gz4y147yu?p=187", "BV1gz4y147yu?p=187")</f>
        <v>BV1gz4y147yu?p=187</v>
      </c>
      <c r="J578" s="4" t="str">
        <f ca="1">_xlfn.IFNA(VLOOKUP(INDIRECT("G"&amp;ROW()),minfo!$A:$M,COLUMN()-8,0),"")</f>
        <v>光亮</v>
      </c>
      <c r="K578" s="4" t="str">
        <f ca="1">_xlfn.IFNA(VLOOKUP(INDIRECT("G"&amp;ROW()),minfo!$A:$M,COLUMN()-8,0),"")</f>
        <v>周深</v>
      </c>
      <c r="L578" s="4">
        <f ca="1">_xlfn.IFNA(VLOOKUP(INDIRECT("G"&amp;ROW()),minfo!$A:$M,COLUMN()-8,0),"")</f>
        <v>0</v>
      </c>
      <c r="M578" s="4">
        <f ca="1">_xlfn.IFNA(VLOOKUP(INDIRECT("G"&amp;ROW()),minfo!$A:$M,COLUMN()-8,0),"")</f>
        <v>50129</v>
      </c>
      <c r="N578" s="4">
        <f ca="1">_xlfn.IFNA(VLOOKUP(INDIRECT("G"&amp;ROW()),minfo!$A:$M,COLUMN()-8,0),"")</f>
        <v>14164</v>
      </c>
      <c r="O578" s="4" t="str">
        <f ca="1">_xlfn.IFNA(VLOOKUP(INDIRECT("G"&amp;ROW()),minfo!$A:$M,COLUMN()-8,0),"")</f>
        <v>https://i0.hdslb.com/bfs/station_src/music_metadata/432327254cfcfcbb06e70cd8958eec15.jpg</v>
      </c>
      <c r="P578" s="4" t="str">
        <f ca="1">_xlfn.IFNA(VLOOKUP(INDIRECT("G"&amp;ROW()),minfo!$A:$M,COLUMN()-8,0),"")</f>
        <v>https://i0.hdslb.com/bfs/station_src/music_metadata/bc80794f31f422159366c112e2245a93.txt</v>
      </c>
      <c r="Q578" s="4">
        <f ca="1">_xlfn.IFNA(VLOOKUP(INDIRECT("G"&amp;ROW()),minfo!$A:$M,COLUMN()-8,0),"")</f>
        <v>637</v>
      </c>
      <c r="R578" s="4" t="str">
        <f ca="1">_xlfn.IFNA(VLOOKUP(INDIRECT("G"&amp;ROW()),minfo!$A:$M,COLUMN()-8,0),"")</f>
        <v>《紫禁城》大型纪录片主题歌</v>
      </c>
      <c r="S578" s="4" t="str">
        <f ca="1">_xlfn.IFNA(VLOOKUP(INDIRECT("G"&amp;ROW()),minfo!$A:$M,COLUMN()-8,0),"")</f>
        <v>大型纪录片《紫禁城》主题歌音乐专辑</v>
      </c>
      <c r="T578" s="4">
        <f ca="1">_xlfn.IFNA(VLOOKUP(INDIRECT("G"&amp;ROW()),minfo!$A:$M,COLUMN()-8,0),"")</f>
        <v>165524997</v>
      </c>
      <c r="U578" s="4" t="str">
        <f ca="1">_xlfn.IFNA(VLOOKUP(INDIRECT("G"&amp;ROW()),minfo!$A:$M,COLUMN()-8,0),"")</f>
        <v>音乐榜最高NO.9</v>
      </c>
    </row>
    <row r="579" spans="1:21" ht="15.75" customHeight="1">
      <c r="A579" s="15">
        <v>578</v>
      </c>
      <c r="B579" s="4" t="s">
        <v>4154</v>
      </c>
      <c r="C579" s="4">
        <v>579</v>
      </c>
      <c r="D579" s="4">
        <v>188</v>
      </c>
      <c r="E579" s="4" t="s">
        <v>1558</v>
      </c>
      <c r="F579" s="16">
        <v>45196</v>
      </c>
      <c r="G579" s="5" t="s">
        <v>1557</v>
      </c>
      <c r="H579" s="5" t="s">
        <v>3961</v>
      </c>
      <c r="I579" s="24" t="str">
        <f>HYPERLINK("https://www.bilibili.com/video/BV1gz4y147yu?p=188", "BV1gz4y147yu?p=188")</f>
        <v>BV1gz4y147yu?p=188</v>
      </c>
      <c r="J579" s="4" t="str">
        <f ca="1">_xlfn.IFNA(VLOOKUP(INDIRECT("G"&amp;ROW()),minfo!$A:$M,COLUMN()-8,0),"")</f>
        <v>童话</v>
      </c>
      <c r="K579" s="4" t="str">
        <f ca="1">_xlfn.IFNA(VLOOKUP(INDIRECT("G"&amp;ROW()),minfo!$A:$M,COLUMN()-8,0),"")</f>
        <v>光良</v>
      </c>
      <c r="L579" s="4">
        <f ca="1">_xlfn.IFNA(VLOOKUP(INDIRECT("G"&amp;ROW()),minfo!$A:$M,COLUMN()-8,0),"")</f>
        <v>0</v>
      </c>
      <c r="M579" s="4">
        <f ca="1">_xlfn.IFNA(VLOOKUP(INDIRECT("G"&amp;ROW()),minfo!$A:$M,COLUMN()-8,0),"")</f>
        <v>0</v>
      </c>
      <c r="N579" s="4">
        <f ca="1">_xlfn.IFNA(VLOOKUP(INDIRECT("G"&amp;ROW()),minfo!$A:$M,COLUMN()-8,0),"")</f>
        <v>0</v>
      </c>
      <c r="O579" s="4" t="str">
        <f ca="1">_xlfn.IFNA(VLOOKUP(INDIRECT("G"&amp;ROW()),minfo!$A:$M,COLUMN()-8,0),"")</f>
        <v>https://i0.hdslb.com/bfs/station_src/music_metadata/7df55e39676b3da5a3fd7ef9d94469db.jpg</v>
      </c>
      <c r="P579" s="4" t="str">
        <f ca="1">_xlfn.IFNA(VLOOKUP(INDIRECT("G"&amp;ROW()),minfo!$A:$M,COLUMN()-8,0),"")</f>
        <v>https://i0.hdslb.com/bfs/station_src/music_metadata/56678415403ced751ddc9bc6f2f99d52.txt</v>
      </c>
      <c r="Q579" s="4">
        <f ca="1">_xlfn.IFNA(VLOOKUP(INDIRECT("G"&amp;ROW()),minfo!$A:$M,COLUMN()-8,0),"")</f>
        <v>829</v>
      </c>
      <c r="R579" s="4">
        <f ca="1">_xlfn.IFNA(VLOOKUP(INDIRECT("G"&amp;ROW()),minfo!$A:$M,COLUMN()-8,0),"")</f>
        <v>0</v>
      </c>
      <c r="S579" s="4" t="str">
        <f ca="1">_xlfn.IFNA(VLOOKUP(INDIRECT("G"&amp;ROW()),minfo!$A:$M,COLUMN()-8,0),"")</f>
        <v>童话</v>
      </c>
      <c r="T579" s="4">
        <f ca="1">_xlfn.IFNA(VLOOKUP(INDIRECT("G"&amp;ROW()),minfo!$A:$M,COLUMN()-8,0),"")</f>
        <v>330373359</v>
      </c>
      <c r="U579" s="4">
        <f ca="1">_xlfn.IFNA(VLOOKUP(INDIRECT("G"&amp;ROW()),minfo!$A:$M,COLUMN()-8,0),"")</f>
        <v>0</v>
      </c>
    </row>
    <row r="580" spans="1:21" ht="15.75" customHeight="1">
      <c r="A580" s="15">
        <v>579</v>
      </c>
      <c r="B580" s="4" t="s">
        <v>4155</v>
      </c>
      <c r="C580" s="4">
        <v>580</v>
      </c>
      <c r="D580" s="4">
        <v>189</v>
      </c>
      <c r="E580" s="4" t="s">
        <v>1024</v>
      </c>
      <c r="F580" s="16">
        <v>45196</v>
      </c>
      <c r="G580" s="5" t="s">
        <v>1023</v>
      </c>
      <c r="H580" s="5" t="s">
        <v>3961</v>
      </c>
      <c r="I580" s="24" t="str">
        <f>HYPERLINK("https://www.bilibili.com/video/BV1gz4y147yu?p=189", "BV1gz4y147yu?p=189")</f>
        <v>BV1gz4y147yu?p=189</v>
      </c>
      <c r="J580" s="4" t="str">
        <f ca="1">_xlfn.IFNA(VLOOKUP(INDIRECT("G"&amp;ROW()),minfo!$A:$M,COLUMN()-8,0),"")</f>
        <v>兰亭序</v>
      </c>
      <c r="K580" s="4" t="str">
        <f ca="1">_xlfn.IFNA(VLOOKUP(INDIRECT("G"&amp;ROW()),minfo!$A:$M,COLUMN()-8,0),"")</f>
        <v>周杰伦</v>
      </c>
      <c r="L580" s="4">
        <f ca="1">_xlfn.IFNA(VLOOKUP(INDIRECT("G"&amp;ROW()),minfo!$A:$M,COLUMN()-8,0),"")</f>
        <v>0</v>
      </c>
      <c r="M580" s="4">
        <f ca="1">_xlfn.IFNA(VLOOKUP(INDIRECT("G"&amp;ROW()),minfo!$A:$M,COLUMN()-8,0),"")</f>
        <v>0</v>
      </c>
      <c r="N580" s="4">
        <f ca="1">_xlfn.IFNA(VLOOKUP(INDIRECT("G"&amp;ROW()),minfo!$A:$M,COLUMN()-8,0),"")</f>
        <v>0</v>
      </c>
      <c r="O580" s="4" t="str">
        <f ca="1">_xlfn.IFNA(VLOOKUP(INDIRECT("G"&amp;ROW()),minfo!$A:$M,COLUMN()-8,0),"")</f>
        <v>https://i0.hdslb.com/bfs/station_src/music_metadata/a03f7d174c3b01e4c6b3907a115c5434.jpg</v>
      </c>
      <c r="P580" s="4">
        <f ca="1">_xlfn.IFNA(VLOOKUP(INDIRECT("G"&amp;ROW()),minfo!$A:$M,COLUMN()-8,0),"")</f>
        <v>0</v>
      </c>
      <c r="Q580" s="4">
        <f ca="1">_xlfn.IFNA(VLOOKUP(INDIRECT("G"&amp;ROW()),minfo!$A:$M,COLUMN()-8,0),"")</f>
        <v>28515</v>
      </c>
      <c r="R580" s="4">
        <f ca="1">_xlfn.IFNA(VLOOKUP(INDIRECT("G"&amp;ROW()),minfo!$A:$M,COLUMN()-8,0),"")</f>
        <v>0</v>
      </c>
      <c r="S580" s="4" t="str">
        <f ca="1">_xlfn.IFNA(VLOOKUP(INDIRECT("G"&amp;ROW()),minfo!$A:$M,COLUMN()-8,0),"")</f>
        <v>魔杰座</v>
      </c>
      <c r="T580" s="4">
        <f ca="1">_xlfn.IFNA(VLOOKUP(INDIRECT("G"&amp;ROW()),minfo!$A:$M,COLUMN()-8,0),"")</f>
        <v>2546158396</v>
      </c>
      <c r="U580" s="4" t="str">
        <f ca="1">_xlfn.IFNA(VLOOKUP(INDIRECT("G"&amp;ROW()),minfo!$A:$M,COLUMN()-8,0),"")</f>
        <v>音乐榜最高NO.4</v>
      </c>
    </row>
    <row r="581" spans="1:21" ht="15.75" customHeight="1">
      <c r="A581" s="15">
        <v>580</v>
      </c>
      <c r="B581" s="4" t="s">
        <v>4156</v>
      </c>
      <c r="C581" s="4">
        <v>581</v>
      </c>
      <c r="D581" s="4">
        <v>190</v>
      </c>
      <c r="E581" s="4" t="s">
        <v>93</v>
      </c>
      <c r="F581" s="16">
        <v>45198</v>
      </c>
      <c r="G581" s="5" t="s">
        <v>273</v>
      </c>
      <c r="H581" s="5" t="s">
        <v>3961</v>
      </c>
      <c r="I581" s="24" t="str">
        <f>HYPERLINK("https://www.bilibili.com/video/BV1gz4y147yu?p=190", "BV1gz4y147yu?p=190")</f>
        <v>BV1gz4y147yu?p=190</v>
      </c>
      <c r="J581" s="4" t="str">
        <f ca="1">_xlfn.IFNA(VLOOKUP(INDIRECT("G"&amp;ROW()),minfo!$A:$M,COLUMN()-8,0),"")</f>
        <v>罗敷</v>
      </c>
      <c r="K581" s="4" t="str">
        <f ca="1">_xlfn.IFNA(VLOOKUP(INDIRECT("G"&amp;ROW()),minfo!$A:$M,COLUMN()-8,0),"")</f>
        <v>说说Crystal</v>
      </c>
      <c r="L581" s="4">
        <f ca="1">_xlfn.IFNA(VLOOKUP(INDIRECT("G"&amp;ROW()),minfo!$A:$M,COLUMN()-8,0),"")</f>
        <v>0</v>
      </c>
      <c r="M581" s="4">
        <f ca="1">_xlfn.IFNA(VLOOKUP(INDIRECT("G"&amp;ROW()),minfo!$A:$M,COLUMN()-8,0),"")</f>
        <v>0</v>
      </c>
      <c r="N581" s="4">
        <f ca="1">_xlfn.IFNA(VLOOKUP(INDIRECT("G"&amp;ROW()),minfo!$A:$M,COLUMN()-8,0),"")</f>
        <v>0</v>
      </c>
      <c r="O581" s="4" t="str">
        <f ca="1">_xlfn.IFNA(VLOOKUP(INDIRECT("G"&amp;ROW()),minfo!$A:$M,COLUMN()-8,0),"")</f>
        <v>https://i0.hdslb.com/bfs/station_src/music_metadata/1b7b9e3e2c4c793577a84986cdadb2cc.jpg</v>
      </c>
      <c r="P581" s="4">
        <f ca="1">_xlfn.IFNA(VLOOKUP(INDIRECT("G"&amp;ROW()),minfo!$A:$M,COLUMN()-8,0),"")</f>
        <v>0</v>
      </c>
      <c r="Q581" s="4">
        <f ca="1">_xlfn.IFNA(VLOOKUP(INDIRECT("G"&amp;ROW()),minfo!$A:$M,COLUMN()-8,0),"")</f>
        <v>0</v>
      </c>
      <c r="R581" s="4">
        <f ca="1">_xlfn.IFNA(VLOOKUP(INDIRECT("G"&amp;ROW()),minfo!$A:$M,COLUMN()-8,0),"")</f>
        <v>0</v>
      </c>
      <c r="S581" s="4" t="str">
        <f ca="1">_xlfn.IFNA(VLOOKUP(INDIRECT("G"&amp;ROW()),minfo!$A:$M,COLUMN()-8,0),"")</f>
        <v>【说说·原创】这一曲只倾心于你 |《罗敷》</v>
      </c>
      <c r="T581" s="4">
        <f ca="1">_xlfn.IFNA(VLOOKUP(INDIRECT("G"&amp;ROW()),minfo!$A:$M,COLUMN()-8,0),"")</f>
        <v>323164</v>
      </c>
      <c r="U581" s="4">
        <f ca="1">_xlfn.IFNA(VLOOKUP(INDIRECT("G"&amp;ROW()),minfo!$A:$M,COLUMN()-8,0),"")</f>
        <v>0</v>
      </c>
    </row>
    <row r="582" spans="1:21" ht="15.75" customHeight="1">
      <c r="A582" s="15">
        <v>581</v>
      </c>
      <c r="B582" s="4" t="s">
        <v>4157</v>
      </c>
      <c r="C582" s="4">
        <v>582</v>
      </c>
      <c r="D582" s="4">
        <v>191</v>
      </c>
      <c r="E582" s="4" t="s">
        <v>1563</v>
      </c>
      <c r="F582" s="16">
        <v>45198</v>
      </c>
      <c r="G582" s="5" t="s">
        <v>1562</v>
      </c>
      <c r="H582" s="5" t="s">
        <v>3961</v>
      </c>
      <c r="I582" s="24" t="str">
        <f>HYPERLINK("https://www.bilibili.com/video/BV1gz4y147yu?p=191", "BV1gz4y147yu?p=191")</f>
        <v>BV1gz4y147yu?p=191</v>
      </c>
      <c r="J582" s="4" t="str">
        <f ca="1">_xlfn.IFNA(VLOOKUP(INDIRECT("G"&amp;ROW()),minfo!$A:$M,COLUMN()-8,0),"")</f>
        <v>广寒宫</v>
      </c>
      <c r="K582" s="4" t="str">
        <f ca="1">_xlfn.IFNA(VLOOKUP(INDIRECT("G"&amp;ROW()),minfo!$A:$M,COLUMN()-8,0),"")</f>
        <v>丸子呦</v>
      </c>
      <c r="L582" s="4">
        <f ca="1">_xlfn.IFNA(VLOOKUP(INDIRECT("G"&amp;ROW()),minfo!$A:$M,COLUMN()-8,0),"")</f>
        <v>0</v>
      </c>
      <c r="M582" s="4">
        <f ca="1">_xlfn.IFNA(VLOOKUP(INDIRECT("G"&amp;ROW()),minfo!$A:$M,COLUMN()-8,0),"")</f>
        <v>0</v>
      </c>
      <c r="N582" s="4">
        <f ca="1">_xlfn.IFNA(VLOOKUP(INDIRECT("G"&amp;ROW()),minfo!$A:$M,COLUMN()-8,0),"")</f>
        <v>0</v>
      </c>
      <c r="O582" s="4" t="str">
        <f ca="1">_xlfn.IFNA(VLOOKUP(INDIRECT("G"&amp;ROW()),minfo!$A:$M,COLUMN()-8,0),"")</f>
        <v>http://i0.hdslb.com/bfs/station_src/music_metadata/34ca6b8e730825da76cd496fc8ec788e.jpg</v>
      </c>
      <c r="P582" s="4" t="str">
        <f ca="1">_xlfn.IFNA(VLOOKUP(INDIRECT("G"&amp;ROW()),minfo!$A:$M,COLUMN()-8,0),"")</f>
        <v>http://i0.hdslb.com/bfs/station_src/music_metadata/a95b0d50c3fc759441c9e4331e2e9148</v>
      </c>
      <c r="Q582" s="4">
        <f ca="1">_xlfn.IFNA(VLOOKUP(INDIRECT("G"&amp;ROW()),minfo!$A:$M,COLUMN()-8,0),"")</f>
        <v>1984</v>
      </c>
      <c r="R582" s="4">
        <f ca="1">_xlfn.IFNA(VLOOKUP(INDIRECT("G"&amp;ROW()),minfo!$A:$M,COLUMN()-8,0),"")</f>
        <v>0</v>
      </c>
      <c r="S582" s="4" t="str">
        <f ca="1">_xlfn.IFNA(VLOOKUP(INDIRECT("G"&amp;ROW()),minfo!$A:$M,COLUMN()-8,0),"")</f>
        <v xml:space="preserve"> 广寒宫 </v>
      </c>
      <c r="T582" s="4">
        <f ca="1">_xlfn.IFNA(VLOOKUP(INDIRECT("G"&amp;ROW()),minfo!$A:$M,COLUMN()-8,0),"")</f>
        <v>812417214</v>
      </c>
      <c r="U582" s="4">
        <f ca="1">_xlfn.IFNA(VLOOKUP(INDIRECT("G"&amp;ROW()),minfo!$A:$M,COLUMN()-8,0),"")</f>
        <v>0</v>
      </c>
    </row>
    <row r="583" spans="1:21" ht="15.75" customHeight="1">
      <c r="A583" s="15">
        <v>582</v>
      </c>
      <c r="B583" s="4" t="s">
        <v>4158</v>
      </c>
      <c r="C583" s="4">
        <v>583</v>
      </c>
      <c r="D583" s="4">
        <v>192</v>
      </c>
      <c r="E583" s="4" t="s">
        <v>1569</v>
      </c>
      <c r="F583" s="16">
        <v>45198</v>
      </c>
      <c r="G583" s="5" t="s">
        <v>1568</v>
      </c>
      <c r="H583" s="5" t="s">
        <v>3961</v>
      </c>
      <c r="I583" s="24" t="str">
        <f>HYPERLINK("https://www.bilibili.com/video/BV1gz4y147yu?p=192", "BV1gz4y147yu?p=192")</f>
        <v>BV1gz4y147yu?p=192</v>
      </c>
      <c r="J583" s="4" t="str">
        <f ca="1">_xlfn.IFNA(VLOOKUP(INDIRECT("G"&amp;ROW()),minfo!$A:$M,COLUMN()-8,0),"")</f>
        <v>风月</v>
      </c>
      <c r="K583" s="4" t="str">
        <f ca="1">_xlfn.IFNA(VLOOKUP(INDIRECT("G"&amp;ROW()),minfo!$A:$M,COLUMN()-8,0),"")</f>
        <v>黄龄</v>
      </c>
      <c r="L583" s="4">
        <f ca="1">_xlfn.IFNA(VLOOKUP(INDIRECT("G"&amp;ROW()),minfo!$A:$M,COLUMN()-8,0),"")</f>
        <v>0</v>
      </c>
      <c r="M583" s="4">
        <f ca="1">_xlfn.IFNA(VLOOKUP(INDIRECT("G"&amp;ROW()),minfo!$A:$M,COLUMN()-8,0),"")</f>
        <v>0</v>
      </c>
      <c r="N583" s="4">
        <f ca="1">_xlfn.IFNA(VLOOKUP(INDIRECT("G"&amp;ROW()),minfo!$A:$M,COLUMN()-8,0),"")</f>
        <v>0</v>
      </c>
      <c r="O583" s="4" t="str">
        <f ca="1">_xlfn.IFNA(VLOOKUP(INDIRECT("G"&amp;ROW()),minfo!$A:$M,COLUMN()-8,0),"")</f>
        <v>https://i0.hdslb.com/bfs/station_src/music_metadata/874d427c68cbd11ec3a0c97a238991cf.jpg</v>
      </c>
      <c r="P583" s="4">
        <f ca="1">_xlfn.IFNA(VLOOKUP(INDIRECT("G"&amp;ROW()),minfo!$A:$M,COLUMN()-8,0),"")</f>
        <v>0</v>
      </c>
      <c r="Q583" s="4">
        <f ca="1">_xlfn.IFNA(VLOOKUP(INDIRECT("G"&amp;ROW()),minfo!$A:$M,COLUMN()-8,0),"")</f>
        <v>778</v>
      </c>
      <c r="R583" s="4">
        <f ca="1">_xlfn.IFNA(VLOOKUP(INDIRECT("G"&amp;ROW()),minfo!$A:$M,COLUMN()-8,0),"")</f>
        <v>0</v>
      </c>
      <c r="S583" s="4" t="str">
        <f ca="1">_xlfn.IFNA(VLOOKUP(INDIRECT("G"&amp;ROW()),minfo!$A:$M,COLUMN()-8,0),"")</f>
        <v>2020最美的夜 bilibili晚会</v>
      </c>
      <c r="T583" s="4">
        <f ca="1">_xlfn.IFNA(VLOOKUP(INDIRECT("G"&amp;ROW()),minfo!$A:$M,COLUMN()-8,0),"")</f>
        <v>174632458</v>
      </c>
      <c r="U583" s="4">
        <f ca="1">_xlfn.IFNA(VLOOKUP(INDIRECT("G"&amp;ROW()),minfo!$A:$M,COLUMN()-8,0),"")</f>
        <v>0</v>
      </c>
    </row>
    <row r="584" spans="1:21" ht="15.75" customHeight="1">
      <c r="A584" s="15">
        <v>583</v>
      </c>
      <c r="B584" s="4" t="s">
        <v>4159</v>
      </c>
      <c r="C584" s="4">
        <v>584</v>
      </c>
      <c r="D584" s="4">
        <v>193</v>
      </c>
      <c r="E584" s="4" t="s">
        <v>1520</v>
      </c>
      <c r="F584" s="16">
        <v>45198</v>
      </c>
      <c r="G584" s="5" t="s">
        <v>1572</v>
      </c>
      <c r="H584" s="5" t="s">
        <v>3961</v>
      </c>
      <c r="I584" s="24" t="str">
        <f>HYPERLINK("https://www.bilibili.com/video/BV1gz4y147yu?p=193", "BV1gz4y147yu?p=193")</f>
        <v>BV1gz4y147yu?p=193</v>
      </c>
      <c r="J584" s="4" t="str">
        <f ca="1">_xlfn.IFNA(VLOOKUP(INDIRECT("G"&amp;ROW()),minfo!$A:$M,COLUMN()-8,0),"")</f>
        <v>望月</v>
      </c>
      <c r="K584" s="4" t="str">
        <f ca="1">_xlfn.IFNA(VLOOKUP(INDIRECT("G"&amp;ROW()),minfo!$A:$M,COLUMN()-8,0),"")</f>
        <v>宋祖英</v>
      </c>
      <c r="L584" s="4">
        <f ca="1">_xlfn.IFNA(VLOOKUP(INDIRECT("G"&amp;ROW()),minfo!$A:$M,COLUMN()-8,0),"")</f>
        <v>0</v>
      </c>
      <c r="M584" s="4">
        <f ca="1">_xlfn.IFNA(VLOOKUP(INDIRECT("G"&amp;ROW()),minfo!$A:$M,COLUMN()-8,0),"")</f>
        <v>0</v>
      </c>
      <c r="N584" s="4">
        <f ca="1">_xlfn.IFNA(VLOOKUP(INDIRECT("G"&amp;ROW()),minfo!$A:$M,COLUMN()-8,0),"")</f>
        <v>0</v>
      </c>
      <c r="O584" s="4" t="str">
        <f ca="1">_xlfn.IFNA(VLOOKUP(INDIRECT("G"&amp;ROW()),minfo!$A:$M,COLUMN()-8,0),"")</f>
        <v>https://i0.hdslb.com/bfs/station_src/music_metadata/f2323a45b4412a3a02fbea8914a0a44e.jpg</v>
      </c>
      <c r="P584" s="4" t="str">
        <f ca="1">_xlfn.IFNA(VLOOKUP(INDIRECT("G"&amp;ROW()),minfo!$A:$M,COLUMN()-8,0),"")</f>
        <v>https://i0.hdslb.com/bfs/station_src/music_metadata/e29a5aa33d28ad0ccd2810298465b1b4.txt</v>
      </c>
      <c r="Q584" s="4">
        <f ca="1">_xlfn.IFNA(VLOOKUP(INDIRECT("G"&amp;ROW()),minfo!$A:$M,COLUMN()-8,0),"")</f>
        <v>6</v>
      </c>
      <c r="R584" s="4">
        <f ca="1">_xlfn.IFNA(VLOOKUP(INDIRECT("G"&amp;ROW()),minfo!$A:$M,COLUMN()-8,0),"")</f>
        <v>0</v>
      </c>
      <c r="S584" s="4" t="str">
        <f ca="1">_xlfn.IFNA(VLOOKUP(INDIRECT("G"&amp;ROW()),minfo!$A:$M,COLUMN()-8,0),"")</f>
        <v>望月</v>
      </c>
      <c r="T584" s="4">
        <f ca="1">_xlfn.IFNA(VLOOKUP(INDIRECT("G"&amp;ROW()),minfo!$A:$M,COLUMN()-8,0),"")</f>
        <v>283638</v>
      </c>
      <c r="U584" s="4">
        <f ca="1">_xlfn.IFNA(VLOOKUP(INDIRECT("G"&amp;ROW()),minfo!$A:$M,COLUMN()-8,0),"")</f>
        <v>0</v>
      </c>
    </row>
    <row r="585" spans="1:21" ht="15.75" customHeight="1">
      <c r="A585" s="15">
        <v>584</v>
      </c>
      <c r="B585" s="4" t="s">
        <v>4160</v>
      </c>
      <c r="C585" s="4">
        <v>585</v>
      </c>
      <c r="D585" s="4">
        <v>194</v>
      </c>
      <c r="E585" s="4" t="s">
        <v>1576</v>
      </c>
      <c r="F585" s="16">
        <v>45198</v>
      </c>
      <c r="G585" s="5" t="s">
        <v>1575</v>
      </c>
      <c r="H585" s="5" t="s">
        <v>3961</v>
      </c>
      <c r="I585" s="24" t="str">
        <f>HYPERLINK("https://www.bilibili.com/video/BV1gz4y147yu?p=194", "BV1gz4y147yu?p=194")</f>
        <v>BV1gz4y147yu?p=194</v>
      </c>
      <c r="J585" s="4" t="str">
        <f ca="1">_xlfn.IFNA(VLOOKUP(INDIRECT("G"&amp;ROW()),minfo!$A:$M,COLUMN()-8,0),"")</f>
        <v>但愿人长久</v>
      </c>
      <c r="K585" s="4" t="str">
        <f ca="1">_xlfn.IFNA(VLOOKUP(INDIRECT("G"&amp;ROW()),minfo!$A:$M,COLUMN()-8,0),"")</f>
        <v>邓丽君</v>
      </c>
      <c r="L585" s="4">
        <f ca="1">_xlfn.IFNA(VLOOKUP(INDIRECT("G"&amp;ROW()),minfo!$A:$M,COLUMN()-8,0),"")</f>
        <v>0</v>
      </c>
      <c r="M585" s="4">
        <f ca="1">_xlfn.IFNA(VLOOKUP(INDIRECT("G"&amp;ROW()),minfo!$A:$M,COLUMN()-8,0),"")</f>
        <v>0</v>
      </c>
      <c r="N585" s="4">
        <f ca="1">_xlfn.IFNA(VLOOKUP(INDIRECT("G"&amp;ROW()),minfo!$A:$M,COLUMN()-8,0),"")</f>
        <v>0</v>
      </c>
      <c r="O585" s="4" t="str">
        <f ca="1">_xlfn.IFNA(VLOOKUP(INDIRECT("G"&amp;ROW()),minfo!$A:$M,COLUMN()-8,0),"")</f>
        <v>https://i0.hdslb.com/bfs/station_src/music_metadata/7fb7940860e18a3fa0b05d6850c81206.jpg</v>
      </c>
      <c r="P585" s="4" t="str">
        <f ca="1">_xlfn.IFNA(VLOOKUP(INDIRECT("G"&amp;ROW()),minfo!$A:$M,COLUMN()-8,0),"")</f>
        <v>http://i0.hdslb.com/bfs/station_src/music_metadata/ee3c6651e88071b7a1db572cbc6ce075</v>
      </c>
      <c r="Q585" s="4">
        <f ca="1">_xlfn.IFNA(VLOOKUP(INDIRECT("G"&amp;ROW()),minfo!$A:$M,COLUMN()-8,0),"")</f>
        <v>372</v>
      </c>
      <c r="R585" s="4">
        <f ca="1">_xlfn.IFNA(VLOOKUP(INDIRECT("G"&amp;ROW()),minfo!$A:$M,COLUMN()-8,0),"")</f>
        <v>0</v>
      </c>
      <c r="S585" s="4" t="str">
        <f ca="1">_xlfn.IFNA(VLOOKUP(INDIRECT("G"&amp;ROW()),minfo!$A:$M,COLUMN()-8,0),"")</f>
        <v>夜上海 国语老歌 第九辑</v>
      </c>
      <c r="T585" s="4">
        <f ca="1">_xlfn.IFNA(VLOOKUP(INDIRECT("G"&amp;ROW()),minfo!$A:$M,COLUMN()-8,0),"")</f>
        <v>91130644</v>
      </c>
      <c r="U585" s="4">
        <f ca="1">_xlfn.IFNA(VLOOKUP(INDIRECT("G"&amp;ROW()),minfo!$A:$M,COLUMN()-8,0),"")</f>
        <v>0</v>
      </c>
    </row>
    <row r="586" spans="1:21" ht="15.75" customHeight="1">
      <c r="A586" s="15">
        <v>585</v>
      </c>
      <c r="B586" s="4" t="s">
        <v>4161</v>
      </c>
      <c r="C586" s="4">
        <v>586</v>
      </c>
      <c r="D586" s="4">
        <v>195</v>
      </c>
      <c r="E586" s="4" t="s">
        <v>1377</v>
      </c>
      <c r="F586" s="16">
        <v>45198</v>
      </c>
      <c r="G586" s="5" t="s">
        <v>1580</v>
      </c>
      <c r="H586" s="5" t="s">
        <v>3961</v>
      </c>
      <c r="I586" s="24" t="str">
        <f>HYPERLINK("https://www.bilibili.com/video/BV1gz4y147yu?p=195", "BV1gz4y147yu?p=195")</f>
        <v>BV1gz4y147yu?p=195</v>
      </c>
      <c r="J586" s="4" t="str">
        <f ca="1">_xlfn.IFNA(VLOOKUP(INDIRECT("G"&amp;ROW()),minfo!$A:$M,COLUMN()-8,0),"")</f>
        <v>小河淌水</v>
      </c>
      <c r="K586" s="4" t="str">
        <f ca="1">_xlfn.IFNA(VLOOKUP(INDIRECT("G"&amp;ROW()),minfo!$A:$M,COLUMN()-8,0),"")</f>
        <v>黄虹</v>
      </c>
      <c r="L586" s="4">
        <f ca="1">_xlfn.IFNA(VLOOKUP(INDIRECT("G"&amp;ROW()),minfo!$A:$M,COLUMN()-8,0),"")</f>
        <v>0</v>
      </c>
      <c r="M586" s="4">
        <f ca="1">_xlfn.IFNA(VLOOKUP(INDIRECT("G"&amp;ROW()),minfo!$A:$M,COLUMN()-8,0),"")</f>
        <v>0</v>
      </c>
      <c r="N586" s="4">
        <f ca="1">_xlfn.IFNA(VLOOKUP(INDIRECT("G"&amp;ROW()),minfo!$A:$M,COLUMN()-8,0),"")</f>
        <v>0</v>
      </c>
      <c r="O586" s="4" t="str">
        <f ca="1">_xlfn.IFNA(VLOOKUP(INDIRECT("G"&amp;ROW()),minfo!$A:$M,COLUMN()-8,0),"")</f>
        <v>https://i0.hdslb.com/bfs/station_src/music_metadata/e218df4be9686e673484ef800ad67133.jpg</v>
      </c>
      <c r="P586" s="4" t="str">
        <f ca="1">_xlfn.IFNA(VLOOKUP(INDIRECT("G"&amp;ROW()),minfo!$A:$M,COLUMN()-8,0),"")</f>
        <v>https://i0.hdslb.com/bfs/station_src/music_metadata/1c7415392f2006564a764f0b5ba325b3.txt</v>
      </c>
      <c r="Q586" s="4">
        <f ca="1">_xlfn.IFNA(VLOOKUP(INDIRECT("G"&amp;ROW()),minfo!$A:$M,COLUMN()-8,0),"")</f>
        <v>0</v>
      </c>
      <c r="R586" s="4">
        <f ca="1">_xlfn.IFNA(VLOOKUP(INDIRECT("G"&amp;ROW()),minfo!$A:$M,COLUMN()-8,0),"")</f>
        <v>0</v>
      </c>
      <c r="S586" s="4" t="str">
        <f ca="1">_xlfn.IFNA(VLOOKUP(INDIRECT("G"&amp;ROW()),minfo!$A:$M,COLUMN()-8,0),"")</f>
        <v>中国民歌集粹 好花红</v>
      </c>
      <c r="T586" s="4">
        <f ca="1">_xlfn.IFNA(VLOOKUP(INDIRECT("G"&amp;ROW()),minfo!$A:$M,COLUMN()-8,0),"")</f>
        <v>489616</v>
      </c>
      <c r="U586" s="4">
        <f ca="1">_xlfn.IFNA(VLOOKUP(INDIRECT("G"&amp;ROW()),minfo!$A:$M,COLUMN()-8,0),"")</f>
        <v>0</v>
      </c>
    </row>
    <row r="587" spans="1:21" ht="15.75" customHeight="1">
      <c r="A587" s="15">
        <v>586</v>
      </c>
      <c r="B587" s="4" t="s">
        <v>4162</v>
      </c>
      <c r="C587" s="4">
        <v>587</v>
      </c>
      <c r="D587" s="4">
        <v>196</v>
      </c>
      <c r="E587" s="4" t="s">
        <v>579</v>
      </c>
      <c r="F587" s="16">
        <v>45198</v>
      </c>
      <c r="G587" s="5" t="s">
        <v>578</v>
      </c>
      <c r="H587" s="5" t="s">
        <v>3961</v>
      </c>
      <c r="I587" s="24" t="str">
        <f>HYPERLINK("https://www.bilibili.com/video/BV1gz4y147yu?p=196", "BV1gz4y147yu?p=196")</f>
        <v>BV1gz4y147yu?p=196</v>
      </c>
      <c r="J587" s="4" t="str">
        <f ca="1">_xlfn.IFNA(VLOOKUP(INDIRECT("G"&amp;ROW()),minfo!$A:$M,COLUMN()-8,0),"")</f>
        <v>月光</v>
      </c>
      <c r="K587" s="4" t="str">
        <f ca="1">_xlfn.IFNA(VLOOKUP(INDIRECT("G"&amp;ROW()),minfo!$A:$M,COLUMN()-8,0),"")</f>
        <v>胡彦斌</v>
      </c>
      <c r="L587" s="4">
        <f ca="1">_xlfn.IFNA(VLOOKUP(INDIRECT("G"&amp;ROW()),minfo!$A:$M,COLUMN()-8,0),"")</f>
        <v>0</v>
      </c>
      <c r="M587" s="4">
        <f ca="1">_xlfn.IFNA(VLOOKUP(INDIRECT("G"&amp;ROW()),minfo!$A:$M,COLUMN()-8,0),"")</f>
        <v>0</v>
      </c>
      <c r="N587" s="4">
        <f ca="1">_xlfn.IFNA(VLOOKUP(INDIRECT("G"&amp;ROW()),minfo!$A:$M,COLUMN()-8,0),"")</f>
        <v>0</v>
      </c>
      <c r="O587" s="4" t="str">
        <f ca="1">_xlfn.IFNA(VLOOKUP(INDIRECT("G"&amp;ROW()),minfo!$A:$M,COLUMN()-8,0),"")</f>
        <v>https://i0.hdslb.com/bfs/station_src/music_metadata/7cc411366d037e788cb0589e4b72b353.jpg</v>
      </c>
      <c r="P587" s="4" t="str">
        <f ca="1">_xlfn.IFNA(VLOOKUP(INDIRECT("G"&amp;ROW()),minfo!$A:$M,COLUMN()-8,0),"")</f>
        <v>https://i0.hdslb.com/bfs/station_src/music_metadata/24b147c13fc9ffd4dfb30a3a88355255.txt</v>
      </c>
      <c r="Q587" s="4">
        <f ca="1">_xlfn.IFNA(VLOOKUP(INDIRECT("G"&amp;ROW()),minfo!$A:$M,COLUMN()-8,0),"")</f>
        <v>3207</v>
      </c>
      <c r="R587" s="4" t="str">
        <f ca="1">_xlfn.IFNA(VLOOKUP(INDIRECT("G"&amp;ROW()),minfo!$A:$M,COLUMN()-8,0),"")</f>
        <v>《秦时明月》动画主题曲|《秦时明月之君临天下》动画片头曲</v>
      </c>
      <c r="S587" s="4" t="str">
        <f ca="1">_xlfn.IFNA(VLOOKUP(INDIRECT("G"&amp;ROW()),minfo!$A:$M,COLUMN()-8,0),"")</f>
        <v>男人歌 (全胜铂金版)</v>
      </c>
      <c r="T587" s="4">
        <f ca="1">_xlfn.IFNA(VLOOKUP(INDIRECT("G"&amp;ROW()),minfo!$A:$M,COLUMN()-8,0),"")</f>
        <v>276993628</v>
      </c>
      <c r="U587" s="4">
        <f ca="1">_xlfn.IFNA(VLOOKUP(INDIRECT("G"&amp;ROW()),minfo!$A:$M,COLUMN()-8,0),"")</f>
        <v>0</v>
      </c>
    </row>
    <row r="588" spans="1:21" ht="15.75" customHeight="1">
      <c r="A588" s="15">
        <v>587</v>
      </c>
      <c r="B588" s="4" t="s">
        <v>4163</v>
      </c>
      <c r="C588" s="4">
        <v>588</v>
      </c>
      <c r="D588" s="4">
        <v>197</v>
      </c>
      <c r="E588" s="4" t="s">
        <v>1585</v>
      </c>
      <c r="F588" s="16">
        <v>45198</v>
      </c>
      <c r="G588" s="5" t="s">
        <v>1584</v>
      </c>
      <c r="H588" s="5" t="s">
        <v>3961</v>
      </c>
      <c r="I588" s="24" t="str">
        <f>HYPERLINK("https://www.bilibili.com/video/BV1gz4y147yu?p=197", "BV1gz4y147yu?p=197")</f>
        <v>BV1gz4y147yu?p=197</v>
      </c>
      <c r="J588" s="4" t="str">
        <f ca="1">_xlfn.IFNA(VLOOKUP(INDIRECT("G"&amp;ROW()),minfo!$A:$M,COLUMN()-8,0),"")</f>
        <v>月牙湾</v>
      </c>
      <c r="K588" s="4" t="str">
        <f ca="1">_xlfn.IFNA(VLOOKUP(INDIRECT("G"&amp;ROW()),minfo!$A:$M,COLUMN()-8,0),"")</f>
        <v>飞儿乐队</v>
      </c>
      <c r="L588" s="4">
        <f ca="1">_xlfn.IFNA(VLOOKUP(INDIRECT("G"&amp;ROW()),minfo!$A:$M,COLUMN()-8,0),"")</f>
        <v>0</v>
      </c>
      <c r="M588" s="4">
        <f ca="1">_xlfn.IFNA(VLOOKUP(INDIRECT("G"&amp;ROW()),minfo!$A:$M,COLUMN()-8,0),"")</f>
        <v>0</v>
      </c>
      <c r="N588" s="4">
        <f ca="1">_xlfn.IFNA(VLOOKUP(INDIRECT("G"&amp;ROW()),minfo!$A:$M,COLUMN()-8,0),"")</f>
        <v>0</v>
      </c>
      <c r="O588" s="4" t="str">
        <f ca="1">_xlfn.IFNA(VLOOKUP(INDIRECT("G"&amp;ROW()),minfo!$A:$M,COLUMN()-8,0),"")</f>
        <v>https://i0.hdslb.com/bfs/station_src/music_metadata/4d030f96fbe202f9504add491a690ace.jpg</v>
      </c>
      <c r="P588" s="4" t="str">
        <f ca="1">_xlfn.IFNA(VLOOKUP(INDIRECT("G"&amp;ROW()),minfo!$A:$M,COLUMN()-8,0),"")</f>
        <v>http://i0.hdslb.com/bfs/station_src/music_metadata/b5eef77c8e09fe891a2c85dda279ee2c</v>
      </c>
      <c r="Q588" s="4">
        <f ca="1">_xlfn.IFNA(VLOOKUP(INDIRECT("G"&amp;ROW()),minfo!$A:$M,COLUMN()-8,0),"")</f>
        <v>1119</v>
      </c>
      <c r="R588" s="4">
        <f ca="1">_xlfn.IFNA(VLOOKUP(INDIRECT("G"&amp;ROW()),minfo!$A:$M,COLUMN()-8,0),"")</f>
        <v>0</v>
      </c>
      <c r="S588" s="4" t="str">
        <f ca="1">_xlfn.IFNA(VLOOKUP(INDIRECT("G"&amp;ROW()),minfo!$A:$M,COLUMN()-8,0),"")</f>
        <v>爱‧歌姬</v>
      </c>
      <c r="T588" s="4">
        <f ca="1">_xlfn.IFNA(VLOOKUP(INDIRECT("G"&amp;ROW()),minfo!$A:$M,COLUMN()-8,0),"")</f>
        <v>217542753</v>
      </c>
      <c r="U588" s="4">
        <f ca="1">_xlfn.IFNA(VLOOKUP(INDIRECT("G"&amp;ROW()),minfo!$A:$M,COLUMN()-8,0),"")</f>
        <v>0</v>
      </c>
    </row>
    <row r="589" spans="1:21" ht="15.75" customHeight="1">
      <c r="A589" s="15">
        <v>588</v>
      </c>
      <c r="B589" s="4" t="s">
        <v>4164</v>
      </c>
      <c r="C589" s="4">
        <v>589</v>
      </c>
      <c r="D589" s="4">
        <v>198</v>
      </c>
      <c r="E589" s="4" t="s">
        <v>220</v>
      </c>
      <c r="F589" s="16">
        <v>45198</v>
      </c>
      <c r="G589" s="5" t="s">
        <v>219</v>
      </c>
      <c r="H589" s="5" t="s">
        <v>3961</v>
      </c>
      <c r="I589" s="24" t="str">
        <f>HYPERLINK("https://www.bilibili.com/video/BV1gz4y147yu?p=198", "BV1gz4y147yu?p=198")</f>
        <v>BV1gz4y147yu?p=198</v>
      </c>
      <c r="J589" s="4" t="str">
        <f ca="1">_xlfn.IFNA(VLOOKUP(INDIRECT("G"&amp;ROW()),minfo!$A:$M,COLUMN()-8,0),"")</f>
        <v>一荤一素</v>
      </c>
      <c r="K589" s="4" t="str">
        <f ca="1">_xlfn.IFNA(VLOOKUP(INDIRECT("G"&amp;ROW()),minfo!$A:$M,COLUMN()-8,0),"")</f>
        <v>毛不易</v>
      </c>
      <c r="L589" s="4">
        <f ca="1">_xlfn.IFNA(VLOOKUP(INDIRECT("G"&amp;ROW()),minfo!$A:$M,COLUMN()-8,0),"")</f>
        <v>0</v>
      </c>
      <c r="M589" s="4">
        <f ca="1">_xlfn.IFNA(VLOOKUP(INDIRECT("G"&amp;ROW()),minfo!$A:$M,COLUMN()-8,0),"")</f>
        <v>1071</v>
      </c>
      <c r="N589" s="4">
        <f ca="1">_xlfn.IFNA(VLOOKUP(INDIRECT("G"&amp;ROW()),minfo!$A:$M,COLUMN()-8,0),"")</f>
        <v>194</v>
      </c>
      <c r="O589" s="4" t="str">
        <f ca="1">_xlfn.IFNA(VLOOKUP(INDIRECT("G"&amp;ROW()),minfo!$A:$M,COLUMN()-8,0),"")</f>
        <v>https://i0.hdslb.com/bfs/station_src/music_metadata/7f59fe0f47fb65bdae2eeac57b76228c.jpg</v>
      </c>
      <c r="P589" s="4" t="str">
        <f ca="1">_xlfn.IFNA(VLOOKUP(INDIRECT("G"&amp;ROW()),minfo!$A:$M,COLUMN()-8,0),"")</f>
        <v>http://i0.hdslb.com/bfs/station_src/music_metadata/592263cf9a711b6ee593a6429c442efb</v>
      </c>
      <c r="Q589" s="4">
        <f ca="1">_xlfn.IFNA(VLOOKUP(INDIRECT("G"&amp;ROW()),minfo!$A:$M,COLUMN()-8,0),"")</f>
        <v>905</v>
      </c>
      <c r="R589" s="4">
        <f ca="1">_xlfn.IFNA(VLOOKUP(INDIRECT("G"&amp;ROW()),minfo!$A:$M,COLUMN()-8,0),"")</f>
        <v>0</v>
      </c>
      <c r="S589" s="4" t="str">
        <f ca="1">_xlfn.IFNA(VLOOKUP(INDIRECT("G"&amp;ROW()),minfo!$A:$M,COLUMN()-8,0),"")</f>
        <v>平凡的一天</v>
      </c>
      <c r="T589" s="4">
        <f ca="1">_xlfn.IFNA(VLOOKUP(INDIRECT("G"&amp;ROW()),minfo!$A:$M,COLUMN()-8,0),"")</f>
        <v>132554728</v>
      </c>
      <c r="U589" s="4">
        <f ca="1">_xlfn.IFNA(VLOOKUP(INDIRECT("G"&amp;ROW()),minfo!$A:$M,COLUMN()-8,0),"")</f>
        <v>0</v>
      </c>
    </row>
    <row r="590" spans="1:21" ht="15.75" customHeight="1">
      <c r="A590" s="15">
        <v>589</v>
      </c>
      <c r="B590" s="4" t="s">
        <v>4165</v>
      </c>
      <c r="C590" s="4">
        <v>590</v>
      </c>
      <c r="D590" s="4">
        <v>199</v>
      </c>
      <c r="E590" s="4" t="s">
        <v>1591</v>
      </c>
      <c r="F590" s="16">
        <v>45198</v>
      </c>
      <c r="G590" s="5" t="s">
        <v>1590</v>
      </c>
      <c r="H590" s="5" t="s">
        <v>3961</v>
      </c>
      <c r="I590" s="24" t="str">
        <f>HYPERLINK("https://www.bilibili.com/video/BV1gz4y147yu?p=199", "BV1gz4y147yu?p=199")</f>
        <v>BV1gz4y147yu?p=199</v>
      </c>
      <c r="J590" s="4" t="str">
        <f ca="1">_xlfn.IFNA(VLOOKUP(INDIRECT("G"&amp;ROW()),minfo!$A:$M,COLUMN()-8,0),"")</f>
        <v>消愁</v>
      </c>
      <c r="K590" s="4" t="str">
        <f ca="1">_xlfn.IFNA(VLOOKUP(INDIRECT("G"&amp;ROW()),minfo!$A:$M,COLUMN()-8,0),"")</f>
        <v>毛不易</v>
      </c>
      <c r="L590" s="4">
        <f ca="1">_xlfn.IFNA(VLOOKUP(INDIRECT("G"&amp;ROW()),minfo!$A:$M,COLUMN()-8,0),"")</f>
        <v>0</v>
      </c>
      <c r="M590" s="4">
        <f ca="1">_xlfn.IFNA(VLOOKUP(INDIRECT("G"&amp;ROW()),minfo!$A:$M,COLUMN()-8,0),"")</f>
        <v>0</v>
      </c>
      <c r="N590" s="4">
        <f ca="1">_xlfn.IFNA(VLOOKUP(INDIRECT("G"&amp;ROW()),minfo!$A:$M,COLUMN()-8,0),"")</f>
        <v>0</v>
      </c>
      <c r="O590" s="4" t="str">
        <f ca="1">_xlfn.IFNA(VLOOKUP(INDIRECT("G"&amp;ROW()),minfo!$A:$M,COLUMN()-8,0),"")</f>
        <v>https://i0.hdslb.com/bfs/station_src/music_metadata/a78412b184af9f6009298b806dbe6dd0.jpg</v>
      </c>
      <c r="P590" s="4" t="str">
        <f ca="1">_xlfn.IFNA(VLOOKUP(INDIRECT("G"&amp;ROW()),minfo!$A:$M,COLUMN()-8,0),"")</f>
        <v>http://i0.hdslb.com/bfs/station_src/music_metadata/b9fbfa971eda374f0c66fc1c765f3df4</v>
      </c>
      <c r="Q590" s="4">
        <f ca="1">_xlfn.IFNA(VLOOKUP(INDIRECT("G"&amp;ROW()),minfo!$A:$M,COLUMN()-8,0),"")</f>
        <v>1004</v>
      </c>
      <c r="R590" s="4">
        <f ca="1">_xlfn.IFNA(VLOOKUP(INDIRECT("G"&amp;ROW()),minfo!$A:$M,COLUMN()-8,0),"")</f>
        <v>0</v>
      </c>
      <c r="S590" s="4" t="str">
        <f ca="1">_xlfn.IFNA(VLOOKUP(INDIRECT("G"&amp;ROW()),minfo!$A:$M,COLUMN()-8,0),"")</f>
        <v>明日之子 第7期</v>
      </c>
      <c r="T590" s="4">
        <f ca="1">_xlfn.IFNA(VLOOKUP(INDIRECT("G"&amp;ROW()),minfo!$A:$M,COLUMN()-8,0),"")</f>
        <v>298090542</v>
      </c>
      <c r="U590" s="4">
        <f ca="1">_xlfn.IFNA(VLOOKUP(INDIRECT("G"&amp;ROW()),minfo!$A:$M,COLUMN()-8,0),"")</f>
        <v>0</v>
      </c>
    </row>
    <row r="591" spans="1:21" ht="15.75" customHeight="1">
      <c r="A591" s="15">
        <v>590</v>
      </c>
      <c r="B591" s="4" t="s">
        <v>4166</v>
      </c>
      <c r="C591" s="4">
        <v>591</v>
      </c>
      <c r="D591" s="4">
        <v>1</v>
      </c>
      <c r="E591" s="4" t="s">
        <v>4167</v>
      </c>
      <c r="F591" s="16">
        <v>45203</v>
      </c>
      <c r="G591" s="5" t="s">
        <v>719</v>
      </c>
      <c r="H591" s="5" t="s">
        <v>4168</v>
      </c>
      <c r="I591" s="24" t="str">
        <f>HYPERLINK("https://www.bilibili.com/video/BV1ie411v7a2?p=1", "BV1ie411v7a2?p=1")</f>
        <v>BV1ie411v7a2?p=1</v>
      </c>
      <c r="J591" s="4" t="str">
        <f ca="1">_xlfn.IFNA(VLOOKUP(INDIRECT("G"&amp;ROW()),minfo!$A:$M,COLUMN()-8,0),"")</f>
        <v>落叶归根</v>
      </c>
      <c r="K591" s="4" t="str">
        <f ca="1">_xlfn.IFNA(VLOOKUP(INDIRECT("G"&amp;ROW()),minfo!$A:$M,COLUMN()-8,0),"")</f>
        <v>王力宏</v>
      </c>
      <c r="L591" s="4">
        <f ca="1">_xlfn.IFNA(VLOOKUP(INDIRECT("G"&amp;ROW()),minfo!$A:$M,COLUMN()-8,0),"")</f>
        <v>0</v>
      </c>
      <c r="M591" s="4">
        <f ca="1">_xlfn.IFNA(VLOOKUP(INDIRECT("G"&amp;ROW()),minfo!$A:$M,COLUMN()-8,0),"")</f>
        <v>3387</v>
      </c>
      <c r="N591" s="4">
        <f ca="1">_xlfn.IFNA(VLOOKUP(INDIRECT("G"&amp;ROW()),minfo!$A:$M,COLUMN()-8,0),"")</f>
        <v>845</v>
      </c>
      <c r="O591" s="4" t="str">
        <f ca="1">_xlfn.IFNA(VLOOKUP(INDIRECT("G"&amp;ROW()),minfo!$A:$M,COLUMN()-8,0),"")</f>
        <v>https://i0.hdslb.com/bfs/station_src/music_metadata/a8ffd1d411d13153eb4745f7b32606c9.jpg</v>
      </c>
      <c r="P591" s="4" t="str">
        <f ca="1">_xlfn.IFNA(VLOOKUP(INDIRECT("G"&amp;ROW()),minfo!$A:$M,COLUMN()-8,0),"")</f>
        <v>https://i0.hdslb.com/bfs/station_src/music_metadata/bcd960f324898e0e42f392683fa178ba.txt</v>
      </c>
      <c r="Q591" s="4">
        <f ca="1">_xlfn.IFNA(VLOOKUP(INDIRECT("G"&amp;ROW()),minfo!$A:$M,COLUMN()-8,0),"")</f>
        <v>60</v>
      </c>
      <c r="R591" s="4">
        <f ca="1">_xlfn.IFNA(VLOOKUP(INDIRECT("G"&amp;ROW()),minfo!$A:$M,COLUMN()-8,0),"")</f>
        <v>0</v>
      </c>
      <c r="S591" s="4" t="str">
        <f ca="1">_xlfn.IFNA(VLOOKUP(INDIRECT("G"&amp;ROW()),minfo!$A:$M,COLUMN()-8,0),"")</f>
        <v>改变自己</v>
      </c>
      <c r="T591" s="4">
        <f ca="1">_xlfn.IFNA(VLOOKUP(INDIRECT("G"&amp;ROW()),minfo!$A:$M,COLUMN()-8,0),"")</f>
        <v>41008288</v>
      </c>
      <c r="U591" s="4">
        <f ca="1">_xlfn.IFNA(VLOOKUP(INDIRECT("G"&amp;ROW()),minfo!$A:$M,COLUMN()-8,0),"")</f>
        <v>0</v>
      </c>
    </row>
    <row r="592" spans="1:21" ht="15.75" customHeight="1">
      <c r="A592" s="15">
        <v>591</v>
      </c>
      <c r="B592" s="4" t="s">
        <v>4169</v>
      </c>
      <c r="C592" s="4">
        <v>592</v>
      </c>
      <c r="D592" s="4">
        <v>2</v>
      </c>
      <c r="E592" s="4" t="s">
        <v>1143</v>
      </c>
      <c r="F592" s="16">
        <v>45203</v>
      </c>
      <c r="G592" s="5" t="s">
        <v>1142</v>
      </c>
      <c r="H592" s="5" t="s">
        <v>4168</v>
      </c>
      <c r="I592" s="24" t="str">
        <f>HYPERLINK("https://www.bilibili.com/video/BV1ie411v7a2?p=2", "BV1ie411v7a2?p=2")</f>
        <v>BV1ie411v7a2?p=2</v>
      </c>
      <c r="J592" s="4" t="str">
        <f ca="1">_xlfn.IFNA(VLOOKUP(INDIRECT("G"&amp;ROW()),minfo!$A:$M,COLUMN()-8,0),"")</f>
        <v>稻香</v>
      </c>
      <c r="K592" s="4" t="str">
        <f ca="1">_xlfn.IFNA(VLOOKUP(INDIRECT("G"&amp;ROW()),minfo!$A:$M,COLUMN()-8,0),"")</f>
        <v>周杰伦</v>
      </c>
      <c r="L592" s="4">
        <f ca="1">_xlfn.IFNA(VLOOKUP(INDIRECT("G"&amp;ROW()),minfo!$A:$M,COLUMN()-8,0),"")</f>
        <v>0</v>
      </c>
      <c r="M592" s="4">
        <f ca="1">_xlfn.IFNA(VLOOKUP(INDIRECT("G"&amp;ROW()),minfo!$A:$M,COLUMN()-8,0),"")</f>
        <v>82980</v>
      </c>
      <c r="N592" s="4">
        <f ca="1">_xlfn.IFNA(VLOOKUP(INDIRECT("G"&amp;ROW()),minfo!$A:$M,COLUMN()-8,0),"")</f>
        <v>5843</v>
      </c>
      <c r="O592" s="4" t="str">
        <f ca="1">_xlfn.IFNA(VLOOKUP(INDIRECT("G"&amp;ROW()),minfo!$A:$M,COLUMN()-8,0),"")</f>
        <v>https://i0.hdslb.com/bfs/station_src/music_metadata/957f8ba4e202e519f64cdd61268ee24d.jpg</v>
      </c>
      <c r="P592" s="4">
        <f ca="1">_xlfn.IFNA(VLOOKUP(INDIRECT("G"&amp;ROW()),minfo!$A:$M,COLUMN()-8,0),"")</f>
        <v>0</v>
      </c>
      <c r="Q592" s="4">
        <f ca="1">_xlfn.IFNA(VLOOKUP(INDIRECT("G"&amp;ROW()),minfo!$A:$M,COLUMN()-8,0),"")</f>
        <v>7881</v>
      </c>
      <c r="R592" s="4">
        <f ca="1">_xlfn.IFNA(VLOOKUP(INDIRECT("G"&amp;ROW()),minfo!$A:$M,COLUMN()-8,0),"")</f>
        <v>0</v>
      </c>
      <c r="S592" s="4" t="str">
        <f ca="1">_xlfn.IFNA(VLOOKUP(INDIRECT("G"&amp;ROW()),minfo!$A:$M,COLUMN()-8,0),"")</f>
        <v>魔杰座</v>
      </c>
      <c r="T592" s="4">
        <f ca="1">_xlfn.IFNA(VLOOKUP(INDIRECT("G"&amp;ROW()),minfo!$A:$M,COLUMN()-8,0),"")</f>
        <v>2525440964</v>
      </c>
      <c r="U592" s="4" t="str">
        <f ca="1">_xlfn.IFNA(VLOOKUP(INDIRECT("G"&amp;ROW()),minfo!$A:$M,COLUMN()-8,0),"")</f>
        <v>音乐榜最高NO.6</v>
      </c>
    </row>
    <row r="593" spans="1:21" ht="15.75" customHeight="1">
      <c r="A593" s="15">
        <v>592</v>
      </c>
      <c r="B593" s="4" t="s">
        <v>4170</v>
      </c>
      <c r="C593" s="4">
        <v>593</v>
      </c>
      <c r="D593" s="4">
        <v>3</v>
      </c>
      <c r="E593" s="4" t="s">
        <v>289</v>
      </c>
      <c r="F593" s="16">
        <v>45203</v>
      </c>
      <c r="G593" s="5" t="s">
        <v>288</v>
      </c>
      <c r="H593" s="5" t="s">
        <v>4168</v>
      </c>
      <c r="I593" s="24" t="str">
        <f>HYPERLINK("https://www.bilibili.com/video/BV1ie411v7a2?p=3", "BV1ie411v7a2?p=3")</f>
        <v>BV1ie411v7a2?p=3</v>
      </c>
      <c r="J593" s="4" t="str">
        <f ca="1">_xlfn.IFNA(VLOOKUP(INDIRECT("G"&amp;ROW()),minfo!$A:$M,COLUMN()-8,0),"")</f>
        <v>明明就</v>
      </c>
      <c r="K593" s="4" t="str">
        <f ca="1">_xlfn.IFNA(VLOOKUP(INDIRECT("G"&amp;ROW()),minfo!$A:$M,COLUMN()-8,0),"")</f>
        <v>周杰伦</v>
      </c>
      <c r="L593" s="4">
        <f ca="1">_xlfn.IFNA(VLOOKUP(INDIRECT("G"&amp;ROW()),minfo!$A:$M,COLUMN()-8,0),"")</f>
        <v>0</v>
      </c>
      <c r="M593" s="4">
        <f ca="1">_xlfn.IFNA(VLOOKUP(INDIRECT("G"&amp;ROW()),minfo!$A:$M,COLUMN()-8,0),"")</f>
        <v>0</v>
      </c>
      <c r="N593" s="4">
        <f ca="1">_xlfn.IFNA(VLOOKUP(INDIRECT("G"&amp;ROW()),minfo!$A:$M,COLUMN()-8,0),"")</f>
        <v>0</v>
      </c>
      <c r="O593" s="4" t="str">
        <f ca="1">_xlfn.IFNA(VLOOKUP(INDIRECT("G"&amp;ROW()),minfo!$A:$M,COLUMN()-8,0),"")</f>
        <v>https://i0.hdslb.com/bfs/station_src/music_metadata/b98a05427f027651ca3c0c8cbab055fe.jpg</v>
      </c>
      <c r="P593" s="4" t="str">
        <f ca="1">_xlfn.IFNA(VLOOKUP(INDIRECT("G"&amp;ROW()),minfo!$A:$M,COLUMN()-8,0),"")</f>
        <v>copyright-crawler/music/task-lyric/65093974f03c35ab34fd5795.txt</v>
      </c>
      <c r="Q593" s="4">
        <f ca="1">_xlfn.IFNA(VLOOKUP(INDIRECT("G"&amp;ROW()),minfo!$A:$M,COLUMN()-8,0),"")</f>
        <v>3451</v>
      </c>
      <c r="R593" s="4" t="str">
        <f ca="1">_xlfn.IFNA(VLOOKUP(INDIRECT("G"&amp;ROW()),minfo!$A:$M,COLUMN()-8,0),"")</f>
        <v>明明就</v>
      </c>
      <c r="S593" s="4" t="str">
        <f ca="1">_xlfn.IFNA(VLOOKUP(INDIRECT("G"&amp;ROW()),minfo!$A:$M,COLUMN()-8,0),"")</f>
        <v>十二新作</v>
      </c>
      <c r="T593" s="4">
        <f ca="1">_xlfn.IFNA(VLOOKUP(INDIRECT("G"&amp;ROW()),minfo!$A:$M,COLUMN()-8,0),"")</f>
        <v>424774252</v>
      </c>
      <c r="U593" s="4" t="str">
        <f ca="1">_xlfn.IFNA(VLOOKUP(INDIRECT("G"&amp;ROW()),minfo!$A:$M,COLUMN()-8,0),"")</f>
        <v>音乐榜最高NO.18</v>
      </c>
    </row>
    <row r="594" spans="1:21" ht="15.75" customHeight="1">
      <c r="A594" s="15">
        <v>593</v>
      </c>
      <c r="B594" s="4" t="s">
        <v>4171</v>
      </c>
      <c r="C594" s="4">
        <v>594</v>
      </c>
      <c r="D594" s="4">
        <v>4</v>
      </c>
      <c r="E594" s="4" t="s">
        <v>749</v>
      </c>
      <c r="F594" s="16">
        <v>45203</v>
      </c>
      <c r="G594" s="5" t="s">
        <v>748</v>
      </c>
      <c r="H594" s="5" t="s">
        <v>4168</v>
      </c>
      <c r="I594" s="24" t="str">
        <f>HYPERLINK("https://www.bilibili.com/video/BV1ie411v7a2?p=4", "BV1ie411v7a2?p=4")</f>
        <v>BV1ie411v7a2?p=4</v>
      </c>
      <c r="J594" s="4" t="str">
        <f ca="1">_xlfn.IFNA(VLOOKUP(INDIRECT("G"&amp;ROW()),minfo!$A:$M,COLUMN()-8,0),"")</f>
        <v>我好想你</v>
      </c>
      <c r="K594" s="4" t="str">
        <f ca="1">_xlfn.IFNA(VLOOKUP(INDIRECT("G"&amp;ROW()),minfo!$A:$M,COLUMN()-8,0),"")</f>
        <v>苏打绿</v>
      </c>
      <c r="L594" s="4">
        <f ca="1">_xlfn.IFNA(VLOOKUP(INDIRECT("G"&amp;ROW()),minfo!$A:$M,COLUMN()-8,0),"")</f>
        <v>0</v>
      </c>
      <c r="M594" s="4">
        <f ca="1">_xlfn.IFNA(VLOOKUP(INDIRECT("G"&amp;ROW()),minfo!$A:$M,COLUMN()-8,0),"")</f>
        <v>0</v>
      </c>
      <c r="N594" s="4">
        <f ca="1">_xlfn.IFNA(VLOOKUP(INDIRECT("G"&amp;ROW()),minfo!$A:$M,COLUMN()-8,0),"")</f>
        <v>0</v>
      </c>
      <c r="O594" s="4" t="str">
        <f ca="1">_xlfn.IFNA(VLOOKUP(INDIRECT("G"&amp;ROW()),minfo!$A:$M,COLUMN()-8,0),"")</f>
        <v>https://i0.hdslb.com/bfs/station_src/music_metadata/142298774c35c909c17cc46ed0028323.jpg</v>
      </c>
      <c r="P594" s="4" t="str">
        <f ca="1">_xlfn.IFNA(VLOOKUP(INDIRECT("G"&amp;ROW()),minfo!$A:$M,COLUMN()-8,0),"")</f>
        <v>http://i0.hdslb.com/bfs/station_src/music_metadata/a561acc490d86e8b1eff97408e8b2033</v>
      </c>
      <c r="Q594" s="4">
        <f ca="1">_xlfn.IFNA(VLOOKUP(INDIRECT("G"&amp;ROW()),minfo!$A:$M,COLUMN()-8,0),"")</f>
        <v>6140</v>
      </c>
      <c r="R594" s="4">
        <f ca="1">_xlfn.IFNA(VLOOKUP(INDIRECT("G"&amp;ROW()),minfo!$A:$M,COLUMN()-8,0),"")</f>
        <v>0</v>
      </c>
      <c r="S594" s="4" t="str">
        <f ca="1">_xlfn.IFNA(VLOOKUP(INDIRECT("G"&amp;ROW()),minfo!$A:$M,COLUMN()-8,0),"")</f>
        <v>MOOV Live 2013 苏打绿</v>
      </c>
      <c r="T594" s="4">
        <f ca="1">_xlfn.IFNA(VLOOKUP(INDIRECT("G"&amp;ROW()),minfo!$A:$M,COLUMN()-8,0),"")</f>
        <v>400198699</v>
      </c>
      <c r="U594" s="4" t="str">
        <f ca="1">_xlfn.IFNA(VLOOKUP(INDIRECT("G"&amp;ROW()),minfo!$A:$M,COLUMN()-8,0),"")</f>
        <v>音乐榜最高NO.7</v>
      </c>
    </row>
    <row r="595" spans="1:21" ht="15.75" customHeight="1">
      <c r="A595" s="15">
        <v>594</v>
      </c>
      <c r="B595" s="4" t="s">
        <v>4172</v>
      </c>
      <c r="C595" s="4">
        <v>595</v>
      </c>
      <c r="D595" s="4">
        <v>5</v>
      </c>
      <c r="E595" s="4" t="s">
        <v>259</v>
      </c>
      <c r="F595" s="16">
        <v>45203</v>
      </c>
      <c r="G595" s="5" t="s">
        <v>258</v>
      </c>
      <c r="H595" s="5" t="s">
        <v>4168</v>
      </c>
      <c r="I595" s="24" t="str">
        <f>HYPERLINK("https://www.bilibili.com/video/BV1ie411v7a2?p=5", "BV1ie411v7a2?p=5")</f>
        <v>BV1ie411v7a2?p=5</v>
      </c>
      <c r="J595" s="4" t="str">
        <f ca="1">_xlfn.IFNA(VLOOKUP(INDIRECT("G"&amp;ROW()),minfo!$A:$M,COLUMN()-8,0),"")</f>
        <v>枫</v>
      </c>
      <c r="K595" s="4" t="str">
        <f ca="1">_xlfn.IFNA(VLOOKUP(INDIRECT("G"&amp;ROW()),minfo!$A:$M,COLUMN()-8,0),"")</f>
        <v>周杰伦</v>
      </c>
      <c r="L595" s="4">
        <f ca="1">_xlfn.IFNA(VLOOKUP(INDIRECT("G"&amp;ROW()),minfo!$A:$M,COLUMN()-8,0),"")</f>
        <v>0</v>
      </c>
      <c r="M595" s="4">
        <f ca="1">_xlfn.IFNA(VLOOKUP(INDIRECT("G"&amp;ROW()),minfo!$A:$M,COLUMN()-8,0),"")</f>
        <v>0</v>
      </c>
      <c r="N595" s="4">
        <f ca="1">_xlfn.IFNA(VLOOKUP(INDIRECT("G"&amp;ROW()),minfo!$A:$M,COLUMN()-8,0),"")</f>
        <v>0</v>
      </c>
      <c r="O595" s="4" t="str">
        <f ca="1">_xlfn.IFNA(VLOOKUP(INDIRECT("G"&amp;ROW()),minfo!$A:$M,COLUMN()-8,0),"")</f>
        <v>https://i0.hdslb.com/bfs/station_src/music_metadata/fb82b0fb2908b09d88ba13ef0db91863.jpg</v>
      </c>
      <c r="P595" s="4" t="str">
        <f ca="1">_xlfn.IFNA(VLOOKUP(INDIRECT("G"&amp;ROW()),minfo!$A:$M,COLUMN()-8,0),"")</f>
        <v>http://i0.hdslb.com/bfs/station_src/music_metadata/9b1e7a89ea3eead8b8c6b32cdb30abd9</v>
      </c>
      <c r="Q595" s="4">
        <f ca="1">_xlfn.IFNA(VLOOKUP(INDIRECT("G"&amp;ROW()),minfo!$A:$M,COLUMN()-8,0),"")</f>
        <v>6002</v>
      </c>
      <c r="R595" s="4">
        <f ca="1">_xlfn.IFNA(VLOOKUP(INDIRECT("G"&amp;ROW()),minfo!$A:$M,COLUMN()-8,0),"")</f>
        <v>0</v>
      </c>
      <c r="S595" s="4" t="str">
        <f ca="1">_xlfn.IFNA(VLOOKUP(INDIRECT("G"&amp;ROW()),minfo!$A:$M,COLUMN()-8,0),"")</f>
        <v>十一月的萧邦</v>
      </c>
      <c r="T595" s="4">
        <f ca="1">_xlfn.IFNA(VLOOKUP(INDIRECT("G"&amp;ROW()),minfo!$A:$M,COLUMN()-8,0),"")</f>
        <v>560749777</v>
      </c>
      <c r="U595" s="4">
        <f ca="1">_xlfn.IFNA(VLOOKUP(INDIRECT("G"&amp;ROW()),minfo!$A:$M,COLUMN()-8,0),"")</f>
        <v>0</v>
      </c>
    </row>
    <row r="596" spans="1:21" ht="15.75" customHeight="1">
      <c r="A596" s="15">
        <v>595</v>
      </c>
      <c r="B596" s="4" t="s">
        <v>4173</v>
      </c>
      <c r="C596" s="4">
        <v>596</v>
      </c>
      <c r="D596" s="4">
        <v>6</v>
      </c>
      <c r="E596" s="4" t="s">
        <v>1596</v>
      </c>
      <c r="F596" s="16">
        <v>45207</v>
      </c>
      <c r="G596" s="5" t="s">
        <v>1595</v>
      </c>
      <c r="H596" s="5" t="s">
        <v>4168</v>
      </c>
      <c r="I596" s="24" t="str">
        <f>HYPERLINK("https://www.bilibili.com/video/BV1ie411v7a2?p=6", "BV1ie411v7a2?p=6")</f>
        <v>BV1ie411v7a2?p=6</v>
      </c>
      <c r="J596" s="4" t="str">
        <f ca="1">_xlfn.IFNA(VLOOKUP(INDIRECT("G"&amp;ROW()),minfo!$A:$M,COLUMN()-8,0),"")</f>
        <v>故事</v>
      </c>
      <c r="K596" s="4" t="str">
        <f ca="1">_xlfn.IFNA(VLOOKUP(INDIRECT("G"&amp;ROW()),minfo!$A:$M,COLUMN()-8,0),"")</f>
        <v>苏打绿</v>
      </c>
      <c r="L596" s="4">
        <f ca="1">_xlfn.IFNA(VLOOKUP(INDIRECT("G"&amp;ROW()),minfo!$A:$M,COLUMN()-8,0),"")</f>
        <v>0</v>
      </c>
      <c r="M596" s="4">
        <f ca="1">_xlfn.IFNA(VLOOKUP(INDIRECT("G"&amp;ROW()),minfo!$A:$M,COLUMN()-8,0),"")</f>
        <v>0</v>
      </c>
      <c r="N596" s="4">
        <f ca="1">_xlfn.IFNA(VLOOKUP(INDIRECT("G"&amp;ROW()),minfo!$A:$M,COLUMN()-8,0),"")</f>
        <v>0</v>
      </c>
      <c r="O596" s="4" t="str">
        <f ca="1">_xlfn.IFNA(VLOOKUP(INDIRECT("G"&amp;ROW()),minfo!$A:$M,COLUMN()-8,0),"")</f>
        <v>https://i0.hdslb.com/bfs/station_src/music_metadata/2d29fd5060f4c7150a75dd81e25fdbdd.jpg</v>
      </c>
      <c r="P596" s="4" t="str">
        <f ca="1">_xlfn.IFNA(VLOOKUP(INDIRECT("G"&amp;ROW()),minfo!$A:$M,COLUMN()-8,0),"")</f>
        <v>https://i0.hdslb.com/bfs/station_src/music_metadata/8c1c9743af2990403681c5a21d4fd2e9.txt</v>
      </c>
      <c r="Q596" s="4">
        <f ca="1">_xlfn.IFNA(VLOOKUP(INDIRECT("G"&amp;ROW()),minfo!$A:$M,COLUMN()-8,0),"")</f>
        <v>12</v>
      </c>
      <c r="R596" s="4">
        <f ca="1">_xlfn.IFNA(VLOOKUP(INDIRECT("G"&amp;ROW()),minfo!$A:$M,COLUMN()-8,0),"")</f>
        <v>0</v>
      </c>
      <c r="S596" s="4" t="str">
        <f ca="1">_xlfn.IFNA(VLOOKUP(INDIRECT("G"&amp;ROW()),minfo!$A:$M,COLUMN()-8,0),"")</f>
        <v>MOOV Live 2013 苏打绿</v>
      </c>
      <c r="T596" s="4">
        <f ca="1">_xlfn.IFNA(VLOOKUP(INDIRECT("G"&amp;ROW()),minfo!$A:$M,COLUMN()-8,0),"")</f>
        <v>3135196</v>
      </c>
      <c r="U596" s="4">
        <f ca="1">_xlfn.IFNA(VLOOKUP(INDIRECT("G"&amp;ROW()),minfo!$A:$M,COLUMN()-8,0),"")</f>
        <v>0</v>
      </c>
    </row>
    <row r="597" spans="1:21" ht="15.75" customHeight="1">
      <c r="A597" s="15">
        <v>596</v>
      </c>
      <c r="B597" s="4" t="s">
        <v>4174</v>
      </c>
      <c r="C597" s="4">
        <v>597</v>
      </c>
      <c r="D597" s="4">
        <v>7</v>
      </c>
      <c r="E597" s="4" t="s">
        <v>55</v>
      </c>
      <c r="F597" s="16">
        <v>45207</v>
      </c>
      <c r="G597" s="5" t="s">
        <v>1549</v>
      </c>
      <c r="H597" s="5" t="s">
        <v>4168</v>
      </c>
      <c r="I597" s="24" t="str">
        <f>HYPERLINK("https://www.bilibili.com/video/BV1ie411v7a2?p=7", "BV1ie411v7a2?p=7")</f>
        <v>BV1ie411v7a2?p=7</v>
      </c>
      <c r="J597" s="4" t="str">
        <f ca="1">_xlfn.IFNA(VLOOKUP(INDIRECT("G"&amp;ROW()),minfo!$A:$M,COLUMN()-8,0),"")</f>
        <v>人间未满</v>
      </c>
      <c r="K597" s="4" t="str">
        <f ca="1">_xlfn.IFNA(VLOOKUP(INDIRECT("G"&amp;ROW()),minfo!$A:$M,COLUMN()-8,0),"")</f>
        <v>妮莉安Lily,纱依shayi,说说Crystal</v>
      </c>
      <c r="L597" s="4">
        <f ca="1">_xlfn.IFNA(VLOOKUP(INDIRECT("G"&amp;ROW()),minfo!$A:$M,COLUMN()-8,0),"")</f>
        <v>0</v>
      </c>
      <c r="M597" s="4">
        <f ca="1">_xlfn.IFNA(VLOOKUP(INDIRECT("G"&amp;ROW()),minfo!$A:$M,COLUMN()-8,0),"")</f>
        <v>0</v>
      </c>
      <c r="N597" s="4">
        <f ca="1">_xlfn.IFNA(VLOOKUP(INDIRECT("G"&amp;ROW()),minfo!$A:$M,COLUMN()-8,0),"")</f>
        <v>0</v>
      </c>
      <c r="O597" s="4" t="str">
        <f ca="1">_xlfn.IFNA(VLOOKUP(INDIRECT("G"&amp;ROW()),minfo!$A:$M,COLUMN()-8,0),"")</f>
        <v>http://i0.hdslb.com/bfs/station_src/music_metadata/a9d9bd8d10828caa99479d3a5fd6f323.jpg</v>
      </c>
      <c r="P597" s="4">
        <f ca="1">_xlfn.IFNA(VLOOKUP(INDIRECT("G"&amp;ROW()),minfo!$A:$M,COLUMN()-8,0),"")</f>
        <v>0</v>
      </c>
      <c r="Q597" s="4">
        <f ca="1">_xlfn.IFNA(VLOOKUP(INDIRECT("G"&amp;ROW()),minfo!$A:$M,COLUMN()-8,0),"")</f>
        <v>16</v>
      </c>
      <c r="R597" s="4">
        <f ca="1">_xlfn.IFNA(VLOOKUP(INDIRECT("G"&amp;ROW()),minfo!$A:$M,COLUMN()-8,0),"")</f>
        <v>0</v>
      </c>
      <c r="S597" s="4" t="str">
        <f ca="1">_xlfn.IFNA(VLOOKUP(INDIRECT("G"&amp;ROW()),minfo!$A:$M,COLUMN()-8,0),"")</f>
        <v>人间未满</v>
      </c>
      <c r="T597" s="4">
        <f ca="1">_xlfn.IFNA(VLOOKUP(INDIRECT("G"&amp;ROW()),minfo!$A:$M,COLUMN()-8,0),"")</f>
        <v>256261</v>
      </c>
      <c r="U597" s="4">
        <f ca="1">_xlfn.IFNA(VLOOKUP(INDIRECT("G"&amp;ROW()),minfo!$A:$M,COLUMN()-8,0),"")</f>
        <v>0</v>
      </c>
    </row>
    <row r="598" spans="1:21" ht="15.75" customHeight="1">
      <c r="A598" s="15">
        <v>597</v>
      </c>
      <c r="B598" s="4" t="s">
        <v>4175</v>
      </c>
      <c r="C598" s="4">
        <v>598</v>
      </c>
      <c r="D598" s="4">
        <v>8</v>
      </c>
      <c r="E598" s="4" t="s">
        <v>3055</v>
      </c>
      <c r="F598" s="16">
        <v>45207</v>
      </c>
      <c r="G598" s="5" t="s">
        <v>3054</v>
      </c>
      <c r="H598" s="5" t="s">
        <v>4168</v>
      </c>
      <c r="I598" s="24" t="str">
        <f>HYPERLINK("https://www.bilibili.com/video/BV1ie411v7a2?p=8", "BV1ie411v7a2?p=8")</f>
        <v>BV1ie411v7a2?p=8</v>
      </c>
      <c r="J598" s="4" t="str">
        <f ca="1">_xlfn.IFNA(VLOOKUP(INDIRECT("G"&amp;ROW()),minfo!$A:$M,COLUMN()-8,0),"")</f>
        <v>说了再见以后</v>
      </c>
      <c r="K598" s="4" t="str">
        <f ca="1">_xlfn.IFNA(VLOOKUP(INDIRECT("G"&amp;ROW()),minfo!$A:$M,COLUMN()-8,0),"")</f>
        <v>苏打绿</v>
      </c>
      <c r="L598" s="4">
        <f ca="1">_xlfn.IFNA(VLOOKUP(INDIRECT("G"&amp;ROW()),minfo!$A:$M,COLUMN()-8,0),"")</f>
        <v>0</v>
      </c>
      <c r="M598" s="4">
        <f ca="1">_xlfn.IFNA(VLOOKUP(INDIRECT("G"&amp;ROW()),minfo!$A:$M,COLUMN()-8,0),"")</f>
        <v>0</v>
      </c>
      <c r="N598" s="4">
        <f ca="1">_xlfn.IFNA(VLOOKUP(INDIRECT("G"&amp;ROW()),minfo!$A:$M,COLUMN()-8,0),"")</f>
        <v>0</v>
      </c>
      <c r="O598" s="4" t="str">
        <f ca="1">_xlfn.IFNA(VLOOKUP(INDIRECT("G"&amp;ROW()),minfo!$A:$M,COLUMN()-8,0),"")</f>
        <v>https://i0.hdslb.com/bfs/station_src/music_metadata/94d234557fe9a5920254f7d6b7838607.jpg</v>
      </c>
      <c r="P598" s="4" t="str">
        <f ca="1">_xlfn.IFNA(VLOOKUP(INDIRECT("G"&amp;ROW()),minfo!$A:$M,COLUMN()-8,0),"")</f>
        <v>https://i0.hdslb.com/bfs/station_src/music_metadata/8e4a419e96162f4f01b7e3d8698db51f.txt</v>
      </c>
      <c r="Q598" s="4">
        <f ca="1">_xlfn.IFNA(VLOOKUP(INDIRECT("G"&amp;ROW()),minfo!$A:$M,COLUMN()-8,0),"")</f>
        <v>3</v>
      </c>
      <c r="R598" s="4">
        <f ca="1">_xlfn.IFNA(VLOOKUP(INDIRECT("G"&amp;ROW()),minfo!$A:$M,COLUMN()-8,0),"")</f>
        <v>0</v>
      </c>
      <c r="S598" s="4" t="str">
        <f ca="1">_xlfn.IFNA(VLOOKUP(INDIRECT("G"&amp;ROW()),minfo!$A:$M,COLUMN()-8,0),"")</f>
        <v>MOOV Live 2013 苏打绿</v>
      </c>
      <c r="T598" s="4">
        <f ca="1">_xlfn.IFNA(VLOOKUP(INDIRECT("G"&amp;ROW()),minfo!$A:$M,COLUMN()-8,0),"")</f>
        <v>2380374</v>
      </c>
      <c r="U598" s="4">
        <f ca="1">_xlfn.IFNA(VLOOKUP(INDIRECT("G"&amp;ROW()),minfo!$A:$M,COLUMN()-8,0),"")</f>
        <v>0</v>
      </c>
    </row>
    <row r="599" spans="1:21" ht="15.75" customHeight="1">
      <c r="A599" s="15">
        <v>598</v>
      </c>
      <c r="B599" s="4" t="s">
        <v>4176</v>
      </c>
      <c r="C599" s="4">
        <v>599</v>
      </c>
      <c r="D599" s="4">
        <v>9</v>
      </c>
      <c r="E599" s="4" t="s">
        <v>61</v>
      </c>
      <c r="F599" s="16">
        <v>45217</v>
      </c>
      <c r="G599" s="5" t="s">
        <v>61</v>
      </c>
      <c r="H599" s="5" t="s">
        <v>4168</v>
      </c>
      <c r="I599" s="24" t="str">
        <f>HYPERLINK("https://www.bilibili.com/video/BV1ie411v7a2?p=9", "BV1ie411v7a2?p=9")</f>
        <v>BV1ie411v7a2?p=9</v>
      </c>
      <c r="J599" s="4" t="str">
        <f ca="1">_xlfn.IFNA(VLOOKUP(INDIRECT("G"&amp;ROW()),minfo!$A:$M,COLUMN()-8,0),"")</f>
        <v>桃華</v>
      </c>
      <c r="K599" s="4" t="str">
        <f ca="1">_xlfn.IFNA(VLOOKUP(INDIRECT("G"&amp;ROW()),minfo!$A:$M,COLUMN()-8,0),"")</f>
        <v>说说Crystal</v>
      </c>
      <c r="L599" s="4" t="str">
        <f ca="1">_xlfn.IFNA(VLOOKUP(INDIRECT("G"&amp;ROW()),minfo!$A:$M,COLUMN()-8,0),"")</f>
        <v>BV14z4y1H7Jn</v>
      </c>
      <c r="M599" s="4">
        <f ca="1">_xlfn.IFNA(VLOOKUP(INDIRECT("G"&amp;ROW()),minfo!$A:$M,COLUMN()-8,0),"")</f>
        <v>0</v>
      </c>
      <c r="N599" s="4">
        <f ca="1">_xlfn.IFNA(VLOOKUP(INDIRECT("G"&amp;ROW()),minfo!$A:$M,COLUMN()-8,0),"")</f>
        <v>0</v>
      </c>
      <c r="O599" s="4">
        <f ca="1">_xlfn.IFNA(VLOOKUP(INDIRECT("G"&amp;ROW()),minfo!$A:$M,COLUMN()-8,0),"")</f>
        <v>0</v>
      </c>
      <c r="P599" s="4">
        <f ca="1">_xlfn.IFNA(VLOOKUP(INDIRECT("G"&amp;ROW()),minfo!$A:$M,COLUMN()-8,0),"")</f>
        <v>0</v>
      </c>
      <c r="Q599" s="4">
        <f ca="1">_xlfn.IFNA(VLOOKUP(INDIRECT("G"&amp;ROW()),minfo!$A:$M,COLUMN()-8,0),"")</f>
        <v>0</v>
      </c>
      <c r="R599" s="4">
        <f ca="1">_xlfn.IFNA(VLOOKUP(INDIRECT("G"&amp;ROW()),minfo!$A:$M,COLUMN()-8,0),"")</f>
        <v>0</v>
      </c>
      <c r="S599" s="4">
        <f ca="1">_xlfn.IFNA(VLOOKUP(INDIRECT("G"&amp;ROW()),minfo!$A:$M,COLUMN()-8,0),"")</f>
        <v>0</v>
      </c>
      <c r="T599" s="4">
        <f ca="1">_xlfn.IFNA(VLOOKUP(INDIRECT("G"&amp;ROW()),minfo!$A:$M,COLUMN()-8,0),"")</f>
        <v>0</v>
      </c>
      <c r="U599" s="4">
        <f ca="1">_xlfn.IFNA(VLOOKUP(INDIRECT("G"&amp;ROW()),minfo!$A:$M,COLUMN()-8,0),"")</f>
        <v>0</v>
      </c>
    </row>
    <row r="600" spans="1:21" ht="15.75" customHeight="1">
      <c r="A600" s="15">
        <v>599</v>
      </c>
      <c r="B600" s="4" t="s">
        <v>4177</v>
      </c>
      <c r="C600" s="4">
        <v>600</v>
      </c>
      <c r="D600" s="4">
        <v>10</v>
      </c>
      <c r="E600" s="4" t="s">
        <v>638</v>
      </c>
      <c r="F600" s="16">
        <v>45217</v>
      </c>
      <c r="G600" s="5" t="s">
        <v>637</v>
      </c>
      <c r="H600" s="5" t="s">
        <v>4168</v>
      </c>
      <c r="I600" s="24" t="str">
        <f>HYPERLINK("https://www.bilibili.com/video/BV1ie411v7a2?p=10", "BV1ie411v7a2?p=10")</f>
        <v>BV1ie411v7a2?p=10</v>
      </c>
      <c r="J600" s="4" t="str">
        <f ca="1">_xlfn.IFNA(VLOOKUP(INDIRECT("G"&amp;ROW()),minfo!$A:$M,COLUMN()-8,0),"")</f>
        <v>搁浅</v>
      </c>
      <c r="K600" s="4" t="str">
        <f ca="1">_xlfn.IFNA(VLOOKUP(INDIRECT("G"&amp;ROW()),minfo!$A:$M,COLUMN()-8,0),"")</f>
        <v>周杰伦</v>
      </c>
      <c r="L600" s="4">
        <f ca="1">_xlfn.IFNA(VLOOKUP(INDIRECT("G"&amp;ROW()),minfo!$A:$M,COLUMN()-8,0),"")</f>
        <v>0</v>
      </c>
      <c r="M600" s="4">
        <f ca="1">_xlfn.IFNA(VLOOKUP(INDIRECT("G"&amp;ROW()),minfo!$A:$M,COLUMN()-8,0),"")</f>
        <v>0</v>
      </c>
      <c r="N600" s="4">
        <f ca="1">_xlfn.IFNA(VLOOKUP(INDIRECT("G"&amp;ROW()),minfo!$A:$M,COLUMN()-8,0),"")</f>
        <v>0</v>
      </c>
      <c r="O600" s="4" t="str">
        <f ca="1">_xlfn.IFNA(VLOOKUP(INDIRECT("G"&amp;ROW()),minfo!$A:$M,COLUMN()-8,0),"")</f>
        <v>https://i0.hdslb.com/bfs/station_src/music_metadata/5ea93d49aa366e4340787bbc3d63de25.jpg</v>
      </c>
      <c r="P600" s="4">
        <f ca="1">_xlfn.IFNA(VLOOKUP(INDIRECT("G"&amp;ROW()),minfo!$A:$M,COLUMN()-8,0),"")</f>
        <v>0</v>
      </c>
      <c r="Q600" s="4">
        <f ca="1">_xlfn.IFNA(VLOOKUP(INDIRECT("G"&amp;ROW()),minfo!$A:$M,COLUMN()-8,0),"")</f>
        <v>4120</v>
      </c>
      <c r="R600" s="4">
        <f ca="1">_xlfn.IFNA(VLOOKUP(INDIRECT("G"&amp;ROW()),minfo!$A:$M,COLUMN()-8,0),"")</f>
        <v>0</v>
      </c>
      <c r="S600" s="4" t="str">
        <f ca="1">_xlfn.IFNA(VLOOKUP(INDIRECT("G"&amp;ROW()),minfo!$A:$M,COLUMN()-8,0),"")</f>
        <v>七里香</v>
      </c>
      <c r="T600" s="4">
        <f ca="1">_xlfn.IFNA(VLOOKUP(INDIRECT("G"&amp;ROW()),minfo!$A:$M,COLUMN()-8,0),"")</f>
        <v>593603418</v>
      </c>
      <c r="U600" s="4">
        <f ca="1">_xlfn.IFNA(VLOOKUP(INDIRECT("G"&amp;ROW()),minfo!$A:$M,COLUMN()-8,0),"")</f>
        <v>0</v>
      </c>
    </row>
    <row r="601" spans="1:21" ht="15.75" customHeight="1">
      <c r="A601" s="15">
        <v>600</v>
      </c>
      <c r="B601" s="4" t="s">
        <v>4178</v>
      </c>
      <c r="C601" s="4">
        <v>601</v>
      </c>
      <c r="D601" s="4">
        <v>11</v>
      </c>
      <c r="E601" s="4" t="s">
        <v>375</v>
      </c>
      <c r="F601" s="16">
        <v>45217</v>
      </c>
      <c r="G601" s="5" t="s">
        <v>374</v>
      </c>
      <c r="H601" s="5" t="s">
        <v>4168</v>
      </c>
      <c r="I601" s="24" t="str">
        <f>HYPERLINK("https://www.bilibili.com/video/BV1ie411v7a2?p=11", "BV1ie411v7a2?p=11")</f>
        <v>BV1ie411v7a2?p=11</v>
      </c>
      <c r="J601" s="4" t="str">
        <f ca="1">_xlfn.IFNA(VLOOKUP(INDIRECT("G"&amp;ROW()),minfo!$A:$M,COLUMN()-8,0),"")</f>
        <v>彩虹</v>
      </c>
      <c r="K601" s="4" t="str">
        <f ca="1">_xlfn.IFNA(VLOOKUP(INDIRECT("G"&amp;ROW()),minfo!$A:$M,COLUMN()-8,0),"")</f>
        <v>周杰伦</v>
      </c>
      <c r="L601" s="4">
        <f ca="1">_xlfn.IFNA(VLOOKUP(INDIRECT("G"&amp;ROW()),minfo!$A:$M,COLUMN()-8,0),"")</f>
        <v>0</v>
      </c>
      <c r="M601" s="4">
        <f ca="1">_xlfn.IFNA(VLOOKUP(INDIRECT("G"&amp;ROW()),minfo!$A:$M,COLUMN()-8,0),"")</f>
        <v>0</v>
      </c>
      <c r="N601" s="4">
        <f ca="1">_xlfn.IFNA(VLOOKUP(INDIRECT("G"&amp;ROW()),minfo!$A:$M,COLUMN()-8,0),"")</f>
        <v>0</v>
      </c>
      <c r="O601" s="4" t="str">
        <f ca="1">_xlfn.IFNA(VLOOKUP(INDIRECT("G"&amp;ROW()),minfo!$A:$M,COLUMN()-8,0),"")</f>
        <v>https://i0.hdslb.com/bfs/station_src/music_metadata/2b7d7250423bd10995c607eb49b4e004.jpg</v>
      </c>
      <c r="P601" s="4">
        <f ca="1">_xlfn.IFNA(VLOOKUP(INDIRECT("G"&amp;ROW()),minfo!$A:$M,COLUMN()-8,0),"")</f>
        <v>0</v>
      </c>
      <c r="Q601" s="4">
        <f ca="1">_xlfn.IFNA(VLOOKUP(INDIRECT("G"&amp;ROW()),minfo!$A:$M,COLUMN()-8,0),"")</f>
        <v>1340</v>
      </c>
      <c r="R601" s="4" t="str">
        <f ca="1">_xlfn.IFNA(VLOOKUP(INDIRECT("G"&amp;ROW()),minfo!$A:$M,COLUMN()-8,0),"")</f>
        <v>《命运呼叫转移》电影主题曲</v>
      </c>
      <c r="S601" s="4" t="str">
        <f ca="1">_xlfn.IFNA(VLOOKUP(INDIRECT("G"&amp;ROW()),minfo!$A:$M,COLUMN()-8,0),"")</f>
        <v>我很忙</v>
      </c>
      <c r="T601" s="4">
        <f ca="1">_xlfn.IFNA(VLOOKUP(INDIRECT("G"&amp;ROW()),minfo!$A:$M,COLUMN()-8,0),"")</f>
        <v>394249952</v>
      </c>
      <c r="U601" s="4">
        <f ca="1">_xlfn.IFNA(VLOOKUP(INDIRECT("G"&amp;ROW()),minfo!$A:$M,COLUMN()-8,0),"")</f>
        <v>0</v>
      </c>
    </row>
    <row r="602" spans="1:21" ht="15.75" customHeight="1">
      <c r="A602" s="15">
        <v>601</v>
      </c>
      <c r="B602" s="4" t="s">
        <v>4179</v>
      </c>
      <c r="C602" s="4">
        <v>602</v>
      </c>
      <c r="D602" s="4">
        <v>12</v>
      </c>
      <c r="E602" s="4" t="s">
        <v>1600</v>
      </c>
      <c r="F602" s="16">
        <v>45217</v>
      </c>
      <c r="G602" s="5" t="s">
        <v>1599</v>
      </c>
      <c r="H602" s="5" t="s">
        <v>4168</v>
      </c>
      <c r="I602" s="24" t="str">
        <f>HYPERLINK("https://www.bilibili.com/video/BV1ie411v7a2?p=12", "BV1ie411v7a2?p=12")</f>
        <v>BV1ie411v7a2?p=12</v>
      </c>
      <c r="J602" s="4" t="str">
        <f ca="1">_xlfn.IFNA(VLOOKUP(INDIRECT("G"&amp;ROW()),minfo!$A:$M,COLUMN()-8,0),"")</f>
        <v>荷塘月色</v>
      </c>
      <c r="K602" s="4" t="str">
        <f ca="1">_xlfn.IFNA(VLOOKUP(INDIRECT("G"&amp;ROW()),minfo!$A:$M,COLUMN()-8,0),"")</f>
        <v>凤凰传奇</v>
      </c>
      <c r="L602" s="4">
        <f ca="1">_xlfn.IFNA(VLOOKUP(INDIRECT("G"&amp;ROW()),minfo!$A:$M,COLUMN()-8,0),"")</f>
        <v>0</v>
      </c>
      <c r="M602" s="4">
        <f ca="1">_xlfn.IFNA(VLOOKUP(INDIRECT("G"&amp;ROW()),minfo!$A:$M,COLUMN()-8,0),"")</f>
        <v>0</v>
      </c>
      <c r="N602" s="4">
        <f ca="1">_xlfn.IFNA(VLOOKUP(INDIRECT("G"&amp;ROW()),minfo!$A:$M,COLUMN()-8,0),"")</f>
        <v>0</v>
      </c>
      <c r="O602" s="4" t="str">
        <f ca="1">_xlfn.IFNA(VLOOKUP(INDIRECT("G"&amp;ROW()),minfo!$A:$M,COLUMN()-8,0),"")</f>
        <v>https://i0.hdslb.com/bfs/station_src/music_metadata/d8121fddfba1b184fb6f13d250135f61.jpg</v>
      </c>
      <c r="P602" s="4" t="str">
        <f ca="1">_xlfn.IFNA(VLOOKUP(INDIRECT("G"&amp;ROW()),minfo!$A:$M,COLUMN()-8,0),"")</f>
        <v>http://i0.hdslb.com/bfs/station_src/music_metadata/f192236c377883b515d7b32f3dc4b59d</v>
      </c>
      <c r="Q602" s="4">
        <f ca="1">_xlfn.IFNA(VLOOKUP(INDIRECT("G"&amp;ROW()),minfo!$A:$M,COLUMN()-8,0),"")</f>
        <v>1457</v>
      </c>
      <c r="R602" s="4">
        <f ca="1">_xlfn.IFNA(VLOOKUP(INDIRECT("G"&amp;ROW()),minfo!$A:$M,COLUMN()-8,0),"")</f>
        <v>0</v>
      </c>
      <c r="S602" s="4" t="str">
        <f ca="1">_xlfn.IFNA(VLOOKUP(INDIRECT("G"&amp;ROW()),minfo!$A:$M,COLUMN()-8,0),"")</f>
        <v>我从草原来</v>
      </c>
      <c r="T602" s="4">
        <f ca="1">_xlfn.IFNA(VLOOKUP(INDIRECT("G"&amp;ROW()),minfo!$A:$M,COLUMN()-8,0),"")</f>
        <v>219930613</v>
      </c>
      <c r="U602" s="4">
        <f ca="1">_xlfn.IFNA(VLOOKUP(INDIRECT("G"&amp;ROW()),minfo!$A:$M,COLUMN()-8,0),"")</f>
        <v>0</v>
      </c>
    </row>
    <row r="603" spans="1:21" ht="15.75" customHeight="1">
      <c r="A603" s="15">
        <v>602</v>
      </c>
      <c r="B603" s="4" t="s">
        <v>4180</v>
      </c>
      <c r="C603" s="4">
        <v>603</v>
      </c>
      <c r="D603" s="4">
        <v>13</v>
      </c>
      <c r="E603" s="4" t="s">
        <v>1499</v>
      </c>
      <c r="F603" s="16">
        <v>45217</v>
      </c>
      <c r="G603" s="5" t="s">
        <v>1498</v>
      </c>
      <c r="H603" s="5" t="s">
        <v>4168</v>
      </c>
      <c r="I603" s="24" t="str">
        <f>HYPERLINK("https://www.bilibili.com/video/BV1ie411v7a2?p=13", "BV1ie411v7a2?p=13")</f>
        <v>BV1ie411v7a2?p=13</v>
      </c>
      <c r="J603" s="4" t="str">
        <f ca="1">_xlfn.IFNA(VLOOKUP(INDIRECT("G"&amp;ROW()),minfo!$A:$M,COLUMN()-8,0),"")</f>
        <v>想自由</v>
      </c>
      <c r="K603" s="4" t="str">
        <f ca="1">_xlfn.IFNA(VLOOKUP(INDIRECT("G"&amp;ROW()),minfo!$A:$M,COLUMN()-8,0),"")</f>
        <v>林宥嘉</v>
      </c>
      <c r="L603" s="4">
        <f ca="1">_xlfn.IFNA(VLOOKUP(INDIRECT("G"&amp;ROW()),minfo!$A:$M,COLUMN()-8,0),"")</f>
        <v>0</v>
      </c>
      <c r="M603" s="4">
        <f ca="1">_xlfn.IFNA(VLOOKUP(INDIRECT("G"&amp;ROW()),minfo!$A:$M,COLUMN()-8,0),"")</f>
        <v>0</v>
      </c>
      <c r="N603" s="4">
        <f ca="1">_xlfn.IFNA(VLOOKUP(INDIRECT("G"&amp;ROW()),minfo!$A:$M,COLUMN()-8,0),"")</f>
        <v>0</v>
      </c>
      <c r="O603" s="4" t="str">
        <f ca="1">_xlfn.IFNA(VLOOKUP(INDIRECT("G"&amp;ROW()),minfo!$A:$M,COLUMN()-8,0),"")</f>
        <v>https://i0.hdslb.com/bfs/station_src/music_metadata/80c48cde65ddbc496d663ac30e1ea657.jpg</v>
      </c>
      <c r="P603" s="4" t="str">
        <f ca="1">_xlfn.IFNA(VLOOKUP(INDIRECT("G"&amp;ROW()),minfo!$A:$M,COLUMN()-8,0),"")</f>
        <v>http://i0.hdslb.com/bfs/station_src/music_metadata/cea95dbba745359d59323685a1866bce</v>
      </c>
      <c r="Q603" s="4">
        <f ca="1">_xlfn.IFNA(VLOOKUP(INDIRECT("G"&amp;ROW()),minfo!$A:$M,COLUMN()-8,0),"")</f>
        <v>729</v>
      </c>
      <c r="R603" s="4">
        <f ca="1">_xlfn.IFNA(VLOOKUP(INDIRECT("G"&amp;ROW()),minfo!$A:$M,COLUMN()-8,0),"")</f>
        <v>0</v>
      </c>
      <c r="S603" s="4" t="str">
        <f ca="1">_xlfn.IFNA(VLOOKUP(INDIRECT("G"&amp;ROW()),minfo!$A:$M,COLUMN()-8,0),"")</f>
        <v>美妙生活</v>
      </c>
      <c r="T603" s="4">
        <f ca="1">_xlfn.IFNA(VLOOKUP(INDIRECT("G"&amp;ROW()),minfo!$A:$M,COLUMN()-8,0),"")</f>
        <v>114457691</v>
      </c>
      <c r="U603" s="4">
        <f ca="1">_xlfn.IFNA(VLOOKUP(INDIRECT("G"&amp;ROW()),minfo!$A:$M,COLUMN()-8,0),"")</f>
        <v>0</v>
      </c>
    </row>
    <row r="604" spans="1:21" ht="15.75" customHeight="1">
      <c r="A604" s="15">
        <v>603</v>
      </c>
      <c r="B604" s="4" t="s">
        <v>4181</v>
      </c>
      <c r="C604" s="4">
        <v>604</v>
      </c>
      <c r="D604" s="4">
        <v>14</v>
      </c>
      <c r="E604" s="4" t="s">
        <v>655</v>
      </c>
      <c r="F604" s="16">
        <v>45217</v>
      </c>
      <c r="G604" s="5" t="s">
        <v>654</v>
      </c>
      <c r="H604" s="5" t="s">
        <v>4168</v>
      </c>
      <c r="I604" s="24" t="str">
        <f>HYPERLINK("https://www.bilibili.com/video/BV1ie411v7a2?p=14", "BV1ie411v7a2?p=14")</f>
        <v>BV1ie411v7a2?p=14</v>
      </c>
      <c r="J604" s="4" t="str">
        <f ca="1">_xlfn.IFNA(VLOOKUP(INDIRECT("G"&amp;ROW()),minfo!$A:$M,COLUMN()-8,0),"")</f>
        <v>路过人间</v>
      </c>
      <c r="K604" s="4" t="str">
        <f ca="1">_xlfn.IFNA(VLOOKUP(INDIRECT("G"&amp;ROW()),minfo!$A:$M,COLUMN()-8,0),"")</f>
        <v>郁可唯</v>
      </c>
      <c r="L604" s="4">
        <f ca="1">_xlfn.IFNA(VLOOKUP(INDIRECT("G"&amp;ROW()),minfo!$A:$M,COLUMN()-8,0),"")</f>
        <v>0</v>
      </c>
      <c r="M604" s="4">
        <f ca="1">_xlfn.IFNA(VLOOKUP(INDIRECT("G"&amp;ROW()),minfo!$A:$M,COLUMN()-8,0),"")</f>
        <v>17966</v>
      </c>
      <c r="N604" s="4">
        <f ca="1">_xlfn.IFNA(VLOOKUP(INDIRECT("G"&amp;ROW()),minfo!$A:$M,COLUMN()-8,0),"")</f>
        <v>8458</v>
      </c>
      <c r="O604" s="4" t="str">
        <f ca="1">_xlfn.IFNA(VLOOKUP(INDIRECT("G"&amp;ROW()),minfo!$A:$M,COLUMN()-8,0),"")</f>
        <v>http://i0.hdslb.com/bfs/station_src/music_metadata/570f6a193a95780dfeae2a4dfe0cb932.jpg</v>
      </c>
      <c r="P604" s="4" t="str">
        <f ca="1">_xlfn.IFNA(VLOOKUP(INDIRECT("G"&amp;ROW()),minfo!$A:$M,COLUMN()-8,0),"")</f>
        <v>http://i0.hdslb.com/bfs/station_src/music_metadata/0386d6bc66823747cb1d61d511d20a21</v>
      </c>
      <c r="Q604" s="4">
        <f ca="1">_xlfn.IFNA(VLOOKUP(INDIRECT("G"&amp;ROW()),minfo!$A:$M,COLUMN()-8,0),"")</f>
        <v>1296</v>
      </c>
      <c r="R604" s="4">
        <f ca="1">_xlfn.IFNA(VLOOKUP(INDIRECT("G"&amp;ROW()),minfo!$A:$M,COLUMN()-8,0),"")</f>
        <v>0</v>
      </c>
      <c r="S604" s="4" t="str">
        <f ca="1">_xlfn.IFNA(VLOOKUP(INDIRECT("G"&amp;ROW()),minfo!$A:$M,COLUMN()-8,0),"")</f>
        <v>路过人间</v>
      </c>
      <c r="T604" s="4">
        <f ca="1">_xlfn.IFNA(VLOOKUP(INDIRECT("G"&amp;ROW()),minfo!$A:$M,COLUMN()-8,0),"")</f>
        <v>218547878</v>
      </c>
      <c r="U604" s="4" t="str">
        <f ca="1">_xlfn.IFNA(VLOOKUP(INDIRECT("G"&amp;ROW()),minfo!$A:$M,COLUMN()-8,0),"")</f>
        <v>音乐榜最高NO.10</v>
      </c>
    </row>
    <row r="605" spans="1:21" ht="15.75" customHeight="1">
      <c r="A605" s="15">
        <v>604</v>
      </c>
      <c r="B605" s="4" t="s">
        <v>4182</v>
      </c>
      <c r="C605" s="4">
        <v>605</v>
      </c>
      <c r="D605" s="4">
        <v>15</v>
      </c>
      <c r="E605" s="4" t="s">
        <v>14</v>
      </c>
      <c r="F605" s="16">
        <v>45219</v>
      </c>
      <c r="G605" s="5" t="s">
        <v>13</v>
      </c>
      <c r="H605" s="5" t="s">
        <v>4168</v>
      </c>
      <c r="I605" s="24" t="str">
        <f>HYPERLINK("https://www.bilibili.com/video/BV1ie411v7a2?p=15", "BV1ie411v7a2?p=15")</f>
        <v>BV1ie411v7a2?p=15</v>
      </c>
      <c r="J605" s="4" t="str">
        <f ca="1">_xlfn.IFNA(VLOOKUP(INDIRECT("G"&amp;ROW()),minfo!$A:$M,COLUMN()-8,0),"")</f>
        <v>瓦解</v>
      </c>
      <c r="K605" s="4" t="str">
        <f ca="1">_xlfn.IFNA(VLOOKUP(INDIRECT("G"&amp;ROW()),minfo!$A:$M,COLUMN()-8,0),"")</f>
        <v>南拳妈妈</v>
      </c>
      <c r="L605" s="4">
        <f ca="1">_xlfn.IFNA(VLOOKUP(INDIRECT("G"&amp;ROW()),minfo!$A:$M,COLUMN()-8,0),"")</f>
        <v>0</v>
      </c>
      <c r="M605" s="4">
        <f ca="1">_xlfn.IFNA(VLOOKUP(INDIRECT("G"&amp;ROW()),minfo!$A:$M,COLUMN()-8,0),"")</f>
        <v>0</v>
      </c>
      <c r="N605" s="4">
        <f ca="1">_xlfn.IFNA(VLOOKUP(INDIRECT("G"&amp;ROW()),minfo!$A:$M,COLUMN()-8,0),"")</f>
        <v>0</v>
      </c>
      <c r="O605" s="4" t="str">
        <f ca="1">_xlfn.IFNA(VLOOKUP(INDIRECT("G"&amp;ROW()),minfo!$A:$M,COLUMN()-8,0),"")</f>
        <v>https://i0.hdslb.com/bfs/station_src/music_metadata/284aedba73bbb46dd43548a108598c32.jpg</v>
      </c>
      <c r="P605" s="4" t="str">
        <f ca="1">_xlfn.IFNA(VLOOKUP(INDIRECT("G"&amp;ROW()),minfo!$A:$M,COLUMN()-8,0),"")</f>
        <v>http://i0.hdslb.com/bfs/station_src/music_metadata/4d7bef88af4faa856325802b023ef85e</v>
      </c>
      <c r="Q605" s="4">
        <f ca="1">_xlfn.IFNA(VLOOKUP(INDIRECT("G"&amp;ROW()),minfo!$A:$M,COLUMN()-8,0),"")</f>
        <v>129</v>
      </c>
      <c r="R605" s="4">
        <f ca="1">_xlfn.IFNA(VLOOKUP(INDIRECT("G"&amp;ROW()),minfo!$A:$M,COLUMN()-8,0),"")</f>
        <v>0</v>
      </c>
      <c r="S605" s="4" t="str">
        <f ca="1">_xlfn.IFNA(VLOOKUP(INDIRECT("G"&amp;ROW()),minfo!$A:$M,COLUMN()-8,0),"")</f>
        <v>南拳妈妈的夏天</v>
      </c>
      <c r="T605" s="4">
        <f ca="1">_xlfn.IFNA(VLOOKUP(INDIRECT("G"&amp;ROW()),minfo!$A:$M,COLUMN()-8,0),"")</f>
        <v>122109069</v>
      </c>
      <c r="U605" s="4">
        <f ca="1">_xlfn.IFNA(VLOOKUP(INDIRECT("G"&amp;ROW()),minfo!$A:$M,COLUMN()-8,0),"")</f>
        <v>0</v>
      </c>
    </row>
    <row r="606" spans="1:21" ht="15.75" customHeight="1">
      <c r="A606" s="15">
        <v>605</v>
      </c>
      <c r="B606" s="4" t="s">
        <v>4183</v>
      </c>
      <c r="C606" s="4">
        <v>606</v>
      </c>
      <c r="D606" s="4">
        <v>16</v>
      </c>
      <c r="E606" s="4" t="s">
        <v>289</v>
      </c>
      <c r="F606" s="16">
        <v>45219</v>
      </c>
      <c r="G606" s="5" t="s">
        <v>288</v>
      </c>
      <c r="H606" s="5" t="s">
        <v>4168</v>
      </c>
      <c r="I606" s="24" t="str">
        <f>HYPERLINK("https://www.bilibili.com/video/BV1ie411v7a2?p=16", "BV1ie411v7a2?p=16")</f>
        <v>BV1ie411v7a2?p=16</v>
      </c>
      <c r="J606" s="4" t="str">
        <f ca="1">_xlfn.IFNA(VLOOKUP(INDIRECT("G"&amp;ROW()),minfo!$A:$M,COLUMN()-8,0),"")</f>
        <v>明明就</v>
      </c>
      <c r="K606" s="4" t="str">
        <f ca="1">_xlfn.IFNA(VLOOKUP(INDIRECT("G"&amp;ROW()),minfo!$A:$M,COLUMN()-8,0),"")</f>
        <v>周杰伦</v>
      </c>
      <c r="L606" s="4">
        <f ca="1">_xlfn.IFNA(VLOOKUP(INDIRECT("G"&amp;ROW()),minfo!$A:$M,COLUMN()-8,0),"")</f>
        <v>0</v>
      </c>
      <c r="M606" s="4">
        <f ca="1">_xlfn.IFNA(VLOOKUP(INDIRECT("G"&amp;ROW()),minfo!$A:$M,COLUMN()-8,0),"")</f>
        <v>0</v>
      </c>
      <c r="N606" s="4">
        <f ca="1">_xlfn.IFNA(VLOOKUP(INDIRECT("G"&amp;ROW()),minfo!$A:$M,COLUMN()-8,0),"")</f>
        <v>0</v>
      </c>
      <c r="O606" s="4" t="str">
        <f ca="1">_xlfn.IFNA(VLOOKUP(INDIRECT("G"&amp;ROW()),minfo!$A:$M,COLUMN()-8,0),"")</f>
        <v>https://i0.hdslb.com/bfs/station_src/music_metadata/b98a05427f027651ca3c0c8cbab055fe.jpg</v>
      </c>
      <c r="P606" s="4" t="str">
        <f ca="1">_xlfn.IFNA(VLOOKUP(INDIRECT("G"&amp;ROW()),minfo!$A:$M,COLUMN()-8,0),"")</f>
        <v>copyright-crawler/music/task-lyric/65093974f03c35ab34fd5795.txt</v>
      </c>
      <c r="Q606" s="4">
        <f ca="1">_xlfn.IFNA(VLOOKUP(INDIRECT("G"&amp;ROW()),minfo!$A:$M,COLUMN()-8,0),"")</f>
        <v>3451</v>
      </c>
      <c r="R606" s="4" t="str">
        <f ca="1">_xlfn.IFNA(VLOOKUP(INDIRECT("G"&amp;ROW()),minfo!$A:$M,COLUMN()-8,0),"")</f>
        <v>明明就</v>
      </c>
      <c r="S606" s="4" t="str">
        <f ca="1">_xlfn.IFNA(VLOOKUP(INDIRECT("G"&amp;ROW()),minfo!$A:$M,COLUMN()-8,0),"")</f>
        <v>十二新作</v>
      </c>
      <c r="T606" s="4">
        <f ca="1">_xlfn.IFNA(VLOOKUP(INDIRECT("G"&amp;ROW()),minfo!$A:$M,COLUMN()-8,0),"")</f>
        <v>424774252</v>
      </c>
      <c r="U606" s="4" t="str">
        <f ca="1">_xlfn.IFNA(VLOOKUP(INDIRECT("G"&amp;ROW()),minfo!$A:$M,COLUMN()-8,0),"")</f>
        <v>音乐榜最高NO.18</v>
      </c>
    </row>
    <row r="607" spans="1:21" ht="15.75" customHeight="1">
      <c r="A607" s="15">
        <v>606</v>
      </c>
      <c r="B607" s="4" t="s">
        <v>4184</v>
      </c>
      <c r="C607" s="4">
        <v>607</v>
      </c>
      <c r="D607" s="4">
        <v>17</v>
      </c>
      <c r="E607" s="4" t="s">
        <v>1606</v>
      </c>
      <c r="F607" s="16">
        <v>45219</v>
      </c>
      <c r="G607" s="5" t="s">
        <v>1605</v>
      </c>
      <c r="H607" s="5" t="s">
        <v>4168</v>
      </c>
      <c r="I607" s="24" t="str">
        <f>HYPERLINK("https://www.bilibili.com/video/BV1ie411v7a2?p=17", "BV1ie411v7a2?p=17")</f>
        <v>BV1ie411v7a2?p=17</v>
      </c>
      <c r="J607" s="4" t="str">
        <f ca="1">_xlfn.IFNA(VLOOKUP(INDIRECT("G"&amp;ROW()),minfo!$A:$M,COLUMN()-8,0),"")</f>
        <v>不流泪的机场</v>
      </c>
      <c r="K607" s="4" t="str">
        <f ca="1">_xlfn.IFNA(VLOOKUP(INDIRECT("G"&amp;ROW()),minfo!$A:$M,COLUMN()-8,0),"")</f>
        <v>林俊杰</v>
      </c>
      <c r="L607" s="4">
        <f ca="1">_xlfn.IFNA(VLOOKUP(INDIRECT("G"&amp;ROW()),minfo!$A:$M,COLUMN()-8,0),"")</f>
        <v>0</v>
      </c>
      <c r="M607" s="4">
        <f ca="1">_xlfn.IFNA(VLOOKUP(INDIRECT("G"&amp;ROW()),minfo!$A:$M,COLUMN()-8,0),"")</f>
        <v>0</v>
      </c>
      <c r="N607" s="4">
        <f ca="1">_xlfn.IFNA(VLOOKUP(INDIRECT("G"&amp;ROW()),minfo!$A:$M,COLUMN()-8,0),"")</f>
        <v>0</v>
      </c>
      <c r="O607" s="4" t="str">
        <f ca="1">_xlfn.IFNA(VLOOKUP(INDIRECT("G"&amp;ROW()),minfo!$A:$M,COLUMN()-8,0),"")</f>
        <v>https://i0.hdslb.com/bfs/station_src/music_metadata/121f852527e28e197f6b87efaf113c46.jpg</v>
      </c>
      <c r="P607" s="4" t="str">
        <f ca="1">_xlfn.IFNA(VLOOKUP(INDIRECT("G"&amp;ROW()),minfo!$A:$M,COLUMN()-8,0),"")</f>
        <v>https://i0.hdslb.com/bfs/station_src/music_metadata/4a4685475601415a638d5cdd5d58cb40.txt</v>
      </c>
      <c r="Q607" s="4">
        <f ca="1">_xlfn.IFNA(VLOOKUP(INDIRECT("G"&amp;ROW()),minfo!$A:$M,COLUMN()-8,0),"")</f>
        <v>28</v>
      </c>
      <c r="R607" s="4">
        <f ca="1">_xlfn.IFNA(VLOOKUP(INDIRECT("G"&amp;ROW()),minfo!$A:$M,COLUMN()-8,0),"")</f>
        <v>0</v>
      </c>
      <c r="S607" s="4" t="str">
        <f ca="1">_xlfn.IFNA(VLOOKUP(INDIRECT("G"&amp;ROW()),minfo!$A:$M,COLUMN()-8,0),"")</f>
        <v>西界</v>
      </c>
      <c r="T607" s="4">
        <f ca="1">_xlfn.IFNA(VLOOKUP(INDIRECT("G"&amp;ROW()),minfo!$A:$M,COLUMN()-8,0),"")</f>
        <v>28452133</v>
      </c>
      <c r="U607" s="4">
        <f ca="1">_xlfn.IFNA(VLOOKUP(INDIRECT("G"&amp;ROW()),minfo!$A:$M,COLUMN()-8,0),"")</f>
        <v>0</v>
      </c>
    </row>
    <row r="608" spans="1:21" ht="15.75" customHeight="1">
      <c r="A608" s="15">
        <v>607</v>
      </c>
      <c r="B608" s="4" t="s">
        <v>4185</v>
      </c>
      <c r="C608" s="4">
        <v>608</v>
      </c>
      <c r="D608" s="4">
        <v>18</v>
      </c>
      <c r="E608" s="4" t="s">
        <v>946</v>
      </c>
      <c r="F608" s="16">
        <v>45219</v>
      </c>
      <c r="G608" s="5" t="s">
        <v>945</v>
      </c>
      <c r="H608" s="5" t="s">
        <v>4168</v>
      </c>
      <c r="I608" s="24" t="str">
        <f>HYPERLINK("https://www.bilibili.com/video/BV1ie411v7a2?p=18", "BV1ie411v7a2?p=18")</f>
        <v>BV1ie411v7a2?p=18</v>
      </c>
      <c r="J608" s="4" t="str">
        <f ca="1">_xlfn.IFNA(VLOOKUP(INDIRECT("G"&amp;ROW()),minfo!$A:$M,COLUMN()-8,0),"")</f>
        <v>半岛铁盒</v>
      </c>
      <c r="K608" s="4" t="str">
        <f ca="1">_xlfn.IFNA(VLOOKUP(INDIRECT("G"&amp;ROW()),minfo!$A:$M,COLUMN()-8,0),"")</f>
        <v>周杰伦</v>
      </c>
      <c r="L608" s="4">
        <f ca="1">_xlfn.IFNA(VLOOKUP(INDIRECT("G"&amp;ROW()),minfo!$A:$M,COLUMN()-8,0),"")</f>
        <v>0</v>
      </c>
      <c r="M608" s="4">
        <f ca="1">_xlfn.IFNA(VLOOKUP(INDIRECT("G"&amp;ROW()),minfo!$A:$M,COLUMN()-8,0),"")</f>
        <v>0</v>
      </c>
      <c r="N608" s="4">
        <f ca="1">_xlfn.IFNA(VLOOKUP(INDIRECT("G"&amp;ROW()),minfo!$A:$M,COLUMN()-8,0),"")</f>
        <v>0</v>
      </c>
      <c r="O608" s="4" t="str">
        <f ca="1">_xlfn.IFNA(VLOOKUP(INDIRECT("G"&amp;ROW()),minfo!$A:$M,COLUMN()-8,0),"")</f>
        <v>https://i0.hdslb.com/bfs/station_src/music_metadata/969db89b7df27aa5580e7e0a53957368.jpg</v>
      </c>
      <c r="P608" s="4">
        <f ca="1">_xlfn.IFNA(VLOOKUP(INDIRECT("G"&amp;ROW()),minfo!$A:$M,COLUMN()-8,0),"")</f>
        <v>0</v>
      </c>
      <c r="Q608" s="4">
        <f ca="1">_xlfn.IFNA(VLOOKUP(INDIRECT("G"&amp;ROW()),minfo!$A:$M,COLUMN()-8,0),"")</f>
        <v>6537</v>
      </c>
      <c r="R608" s="4">
        <f ca="1">_xlfn.IFNA(VLOOKUP(INDIRECT("G"&amp;ROW()),minfo!$A:$M,COLUMN()-8,0),"")</f>
        <v>0</v>
      </c>
      <c r="S608" s="4" t="str">
        <f ca="1">_xlfn.IFNA(VLOOKUP(INDIRECT("G"&amp;ROW()),minfo!$A:$M,COLUMN()-8,0),"")</f>
        <v>八度空间</v>
      </c>
      <c r="T608" s="4">
        <f ca="1">_xlfn.IFNA(VLOOKUP(INDIRECT("G"&amp;ROW()),minfo!$A:$M,COLUMN()-8,0),"")</f>
        <v>569248560</v>
      </c>
      <c r="U608" s="4">
        <f ca="1">_xlfn.IFNA(VLOOKUP(INDIRECT("G"&amp;ROW()),minfo!$A:$M,COLUMN()-8,0),"")</f>
        <v>0</v>
      </c>
    </row>
    <row r="609" spans="1:21" ht="15.75" customHeight="1">
      <c r="A609" s="15">
        <v>608</v>
      </c>
      <c r="B609" s="4" t="s">
        <v>4186</v>
      </c>
      <c r="C609" s="4">
        <v>609</v>
      </c>
      <c r="D609" s="4">
        <v>19</v>
      </c>
      <c r="E609" s="4" t="s">
        <v>633</v>
      </c>
      <c r="F609" s="16">
        <v>45219</v>
      </c>
      <c r="G609" s="5" t="s">
        <v>632</v>
      </c>
      <c r="H609" s="5" t="s">
        <v>4168</v>
      </c>
      <c r="I609" s="24" t="str">
        <f>HYPERLINK("https://www.bilibili.com/video/BV1ie411v7a2?p=19", "BV1ie411v7a2?p=19")</f>
        <v>BV1ie411v7a2?p=19</v>
      </c>
      <c r="J609" s="4" t="str">
        <f ca="1">_xlfn.IFNA(VLOOKUP(INDIRECT("G"&amp;ROW()),minfo!$A:$M,COLUMN()-8,0),"")</f>
        <v>菊花台</v>
      </c>
      <c r="K609" s="4" t="str">
        <f ca="1">_xlfn.IFNA(VLOOKUP(INDIRECT("G"&amp;ROW()),minfo!$A:$M,COLUMN()-8,0),"")</f>
        <v>周杰伦</v>
      </c>
      <c r="L609" s="4">
        <f ca="1">_xlfn.IFNA(VLOOKUP(INDIRECT("G"&amp;ROW()),minfo!$A:$M,COLUMN()-8,0),"")</f>
        <v>0</v>
      </c>
      <c r="M609" s="4">
        <f ca="1">_xlfn.IFNA(VLOOKUP(INDIRECT("G"&amp;ROW()),minfo!$A:$M,COLUMN()-8,0),"")</f>
        <v>2979</v>
      </c>
      <c r="N609" s="4">
        <f ca="1">_xlfn.IFNA(VLOOKUP(INDIRECT("G"&amp;ROW()),minfo!$A:$M,COLUMN()-8,0),"")</f>
        <v>36</v>
      </c>
      <c r="O609" s="4" t="str">
        <f ca="1">_xlfn.IFNA(VLOOKUP(INDIRECT("G"&amp;ROW()),minfo!$A:$M,COLUMN()-8,0),"")</f>
        <v>https://i0.hdslb.com/bfs/station_src/music_metadata/20d128e1483e9a2518cb37688cbed34d.jpg</v>
      </c>
      <c r="P609" s="4" t="str">
        <f ca="1">_xlfn.IFNA(VLOOKUP(INDIRECT("G"&amp;ROW()),minfo!$A:$M,COLUMN()-8,0),"")</f>
        <v>copyright-crawler/music/task-lyric/623f921e903bdc3e606d8940.txt</v>
      </c>
      <c r="Q609" s="4">
        <f ca="1">_xlfn.IFNA(VLOOKUP(INDIRECT("G"&amp;ROW()),minfo!$A:$M,COLUMN()-8,0),"")</f>
        <v>976</v>
      </c>
      <c r="R609" s="4" t="str">
        <f ca="1">_xlfn.IFNA(VLOOKUP(INDIRECT("G"&amp;ROW()),minfo!$A:$M,COLUMN()-8,0),"")</f>
        <v>菊花台</v>
      </c>
      <c r="S609" s="4" t="str">
        <f ca="1">_xlfn.IFNA(VLOOKUP(INDIRECT("G"&amp;ROW()),minfo!$A:$M,COLUMN()-8,0),"")</f>
        <v>依然范特西</v>
      </c>
      <c r="T609" s="4">
        <f ca="1">_xlfn.IFNA(VLOOKUP(INDIRECT("G"&amp;ROW()),minfo!$A:$M,COLUMN()-8,0),"")</f>
        <v>335567107</v>
      </c>
      <c r="U609" s="4" t="str">
        <f ca="1">_xlfn.IFNA(VLOOKUP(INDIRECT("G"&amp;ROW()),minfo!$A:$M,COLUMN()-8,0),"")</f>
        <v>音乐榜最高NO.14</v>
      </c>
    </row>
    <row r="610" spans="1:21" ht="15.75" customHeight="1">
      <c r="A610" s="15">
        <v>609</v>
      </c>
      <c r="B610" s="4" t="s">
        <v>4187</v>
      </c>
      <c r="C610" s="4">
        <v>610</v>
      </c>
      <c r="D610" s="4">
        <v>20</v>
      </c>
      <c r="E610" s="4" t="s">
        <v>869</v>
      </c>
      <c r="F610" s="16">
        <v>45219</v>
      </c>
      <c r="G610" s="5" t="s">
        <v>868</v>
      </c>
      <c r="H610" s="5" t="s">
        <v>4168</v>
      </c>
      <c r="I610" s="24" t="str">
        <f>HYPERLINK("https://www.bilibili.com/video/BV1ie411v7a2?p=20", "BV1ie411v7a2?p=20")</f>
        <v>BV1ie411v7a2?p=20</v>
      </c>
      <c r="J610" s="4" t="str">
        <f ca="1">_xlfn.IFNA(VLOOKUP(INDIRECT("G"&amp;ROW()),minfo!$A:$M,COLUMN()-8,0),"")</f>
        <v>青花瓷</v>
      </c>
      <c r="K610" s="4" t="str">
        <f ca="1">_xlfn.IFNA(VLOOKUP(INDIRECT("G"&amp;ROW()),minfo!$A:$M,COLUMN()-8,0),"")</f>
        <v>周杰伦</v>
      </c>
      <c r="L610" s="4">
        <f ca="1">_xlfn.IFNA(VLOOKUP(INDIRECT("G"&amp;ROW()),minfo!$A:$M,COLUMN()-8,0),"")</f>
        <v>0</v>
      </c>
      <c r="M610" s="4">
        <f ca="1">_xlfn.IFNA(VLOOKUP(INDIRECT("G"&amp;ROW()),minfo!$A:$M,COLUMN()-8,0),"")</f>
        <v>0</v>
      </c>
      <c r="N610" s="4">
        <f ca="1">_xlfn.IFNA(VLOOKUP(INDIRECT("G"&amp;ROW()),minfo!$A:$M,COLUMN()-8,0),"")</f>
        <v>0</v>
      </c>
      <c r="O610" s="4" t="str">
        <f ca="1">_xlfn.IFNA(VLOOKUP(INDIRECT("G"&amp;ROW()),minfo!$A:$M,COLUMN()-8,0),"")</f>
        <v>https://i0.hdslb.com/bfs/station_src/music_metadata/41873834221338c2a2ad6bf64a0d923b.jpg</v>
      </c>
      <c r="P610" s="4">
        <f ca="1">_xlfn.IFNA(VLOOKUP(INDIRECT("G"&amp;ROW()),minfo!$A:$M,COLUMN()-8,0),"")</f>
        <v>0</v>
      </c>
      <c r="Q610" s="4">
        <f ca="1">_xlfn.IFNA(VLOOKUP(INDIRECT("G"&amp;ROW()),minfo!$A:$M,COLUMN()-8,0),"")</f>
        <v>9226</v>
      </c>
      <c r="R610" s="4">
        <f ca="1">_xlfn.IFNA(VLOOKUP(INDIRECT("G"&amp;ROW()),minfo!$A:$M,COLUMN()-8,0),"")</f>
        <v>0</v>
      </c>
      <c r="S610" s="4" t="str">
        <f ca="1">_xlfn.IFNA(VLOOKUP(INDIRECT("G"&amp;ROW()),minfo!$A:$M,COLUMN()-8,0),"")</f>
        <v>我很忙</v>
      </c>
      <c r="T610" s="4">
        <f ca="1">_xlfn.IFNA(VLOOKUP(INDIRECT("G"&amp;ROW()),minfo!$A:$M,COLUMN()-8,0),"")</f>
        <v>1341173223</v>
      </c>
      <c r="U610" s="4" t="str">
        <f ca="1">_xlfn.IFNA(VLOOKUP(INDIRECT("G"&amp;ROW()),minfo!$A:$M,COLUMN()-8,0),"")</f>
        <v>音乐榜最高NO.8</v>
      </c>
    </row>
    <row r="611" spans="1:21" ht="15.75" customHeight="1">
      <c r="A611" s="15">
        <v>610</v>
      </c>
      <c r="B611" s="4" t="s">
        <v>4188</v>
      </c>
      <c r="C611" s="4">
        <v>611</v>
      </c>
      <c r="D611" s="4">
        <v>21</v>
      </c>
      <c r="E611" s="4" t="s">
        <v>370</v>
      </c>
      <c r="F611" s="16">
        <v>45219</v>
      </c>
      <c r="G611" s="5" t="s">
        <v>369</v>
      </c>
      <c r="H611" s="5" t="s">
        <v>4168</v>
      </c>
      <c r="I611" s="24" t="str">
        <f>HYPERLINK("https://www.bilibili.com/video/BV1ie411v7a2?p=21", "BV1ie411v7a2?p=21")</f>
        <v>BV1ie411v7a2?p=21</v>
      </c>
      <c r="J611" s="4" t="str">
        <f ca="1">_xlfn.IFNA(VLOOKUP(INDIRECT("G"&amp;ROW()),minfo!$A:$M,COLUMN()-8,0),"")</f>
        <v>星晴</v>
      </c>
      <c r="K611" s="4" t="str">
        <f ca="1">_xlfn.IFNA(VLOOKUP(INDIRECT("G"&amp;ROW()),minfo!$A:$M,COLUMN()-8,0),"")</f>
        <v>周杰伦</v>
      </c>
      <c r="L611" s="4">
        <f ca="1">_xlfn.IFNA(VLOOKUP(INDIRECT("G"&amp;ROW()),minfo!$A:$M,COLUMN()-8,0),"")</f>
        <v>0</v>
      </c>
      <c r="M611" s="4">
        <f ca="1">_xlfn.IFNA(VLOOKUP(INDIRECT("G"&amp;ROW()),minfo!$A:$M,COLUMN()-8,0),"")</f>
        <v>0</v>
      </c>
      <c r="N611" s="4">
        <f ca="1">_xlfn.IFNA(VLOOKUP(INDIRECT("G"&amp;ROW()),minfo!$A:$M,COLUMN()-8,0),"")</f>
        <v>0</v>
      </c>
      <c r="O611" s="4" t="str">
        <f ca="1">_xlfn.IFNA(VLOOKUP(INDIRECT("G"&amp;ROW()),minfo!$A:$M,COLUMN()-8,0),"")</f>
        <v>http://i0.hdslb.com/bfs/station_src/music_metadata/6c5a2e49b22b5017b16436b34ffa8ff4.jpg</v>
      </c>
      <c r="P611" s="4" t="str">
        <f ca="1">_xlfn.IFNA(VLOOKUP(INDIRECT("G"&amp;ROW()),minfo!$A:$M,COLUMN()-8,0),"")</f>
        <v>http://i0.hdslb.com/bfs/station_src/music_metadata/51698719dd553d61e269f2d4bcc88e0c</v>
      </c>
      <c r="Q611" s="4">
        <f ca="1">_xlfn.IFNA(VLOOKUP(INDIRECT("G"&amp;ROW()),minfo!$A:$M,COLUMN()-8,0),"")</f>
        <v>1203</v>
      </c>
      <c r="R611" s="4">
        <f ca="1">_xlfn.IFNA(VLOOKUP(INDIRECT("G"&amp;ROW()),minfo!$A:$M,COLUMN()-8,0),"")</f>
        <v>0</v>
      </c>
      <c r="S611" s="4" t="str">
        <f ca="1">_xlfn.IFNA(VLOOKUP(INDIRECT("G"&amp;ROW()),minfo!$A:$M,COLUMN()-8,0),"")</f>
        <v>Jay</v>
      </c>
      <c r="T611" s="4">
        <f ca="1">_xlfn.IFNA(VLOOKUP(INDIRECT("G"&amp;ROW()),minfo!$A:$M,COLUMN()-8,0),"")</f>
        <v>318249236</v>
      </c>
      <c r="U611" s="4">
        <f ca="1">_xlfn.IFNA(VLOOKUP(INDIRECT("G"&amp;ROW()),minfo!$A:$M,COLUMN()-8,0),"")</f>
        <v>0</v>
      </c>
    </row>
    <row r="612" spans="1:21" ht="15.75" customHeight="1">
      <c r="A612" s="15">
        <v>611</v>
      </c>
      <c r="B612" s="4" t="s">
        <v>4189</v>
      </c>
      <c r="C612" s="4">
        <v>612</v>
      </c>
      <c r="D612" s="4">
        <v>22</v>
      </c>
      <c r="E612" s="4" t="s">
        <v>1611</v>
      </c>
      <c r="F612" s="16">
        <v>45221</v>
      </c>
      <c r="G612" s="5" t="s">
        <v>1610</v>
      </c>
      <c r="H612" s="5" t="s">
        <v>4168</v>
      </c>
      <c r="I612" s="24" t="str">
        <f>HYPERLINK("https://www.bilibili.com/video/BV1ie411v7a2?p=22", "BV1ie411v7a2?p=22")</f>
        <v>BV1ie411v7a2?p=22</v>
      </c>
      <c r="J612" s="4" t="str">
        <f ca="1">_xlfn.IFNA(VLOOKUP(INDIRECT("G"&amp;ROW()),minfo!$A:$M,COLUMN()-8,0),"")</f>
        <v>儿歌</v>
      </c>
      <c r="K612" s="4" t="str">
        <f ca="1">_xlfn.IFNA(VLOOKUP(INDIRECT("G"&amp;ROW()),minfo!$A:$M,COLUMN()-8,0),"")</f>
        <v>徐佳莹</v>
      </c>
      <c r="L612" s="4">
        <f ca="1">_xlfn.IFNA(VLOOKUP(INDIRECT("G"&amp;ROW()),minfo!$A:$M,COLUMN()-8,0),"")</f>
        <v>0</v>
      </c>
      <c r="M612" s="4">
        <f ca="1">_xlfn.IFNA(VLOOKUP(INDIRECT("G"&amp;ROW()),minfo!$A:$M,COLUMN()-8,0),"")</f>
        <v>0</v>
      </c>
      <c r="N612" s="4">
        <f ca="1">_xlfn.IFNA(VLOOKUP(INDIRECT("G"&amp;ROW()),minfo!$A:$M,COLUMN()-8,0),"")</f>
        <v>0</v>
      </c>
      <c r="O612" s="4" t="str">
        <f ca="1">_xlfn.IFNA(VLOOKUP(INDIRECT("G"&amp;ROW()),minfo!$A:$M,COLUMN()-8,0),"")</f>
        <v>https://i0.hdslb.com/bfs/station_src/music_metadata/cd2982079df591c952cc0412190310d8.jpg</v>
      </c>
      <c r="P612" s="4">
        <f ca="1">_xlfn.IFNA(VLOOKUP(INDIRECT("G"&amp;ROW()),minfo!$A:$M,COLUMN()-8,0),"")</f>
        <v>0</v>
      </c>
      <c r="Q612" s="4">
        <f ca="1">_xlfn.IFNA(VLOOKUP(INDIRECT("G"&amp;ROW()),minfo!$A:$M,COLUMN()-8,0),"")</f>
        <v>0</v>
      </c>
      <c r="R612" s="4" t="str">
        <f ca="1">_xlfn.IFNA(VLOOKUP(INDIRECT("G"&amp;ROW()),minfo!$A:$M,COLUMN()-8,0),"")</f>
        <v>儿歌(Live)</v>
      </c>
      <c r="S612" s="4" t="str">
        <f ca="1">_xlfn.IFNA(VLOOKUP(INDIRECT("G"&amp;ROW()),minfo!$A:$M,COLUMN()-8,0),"")</f>
        <v>徐佳莹是日救星演唱会Live</v>
      </c>
      <c r="T612" s="4">
        <f ca="1">_xlfn.IFNA(VLOOKUP(INDIRECT("G"&amp;ROW()),minfo!$A:$M,COLUMN()-8,0),"")</f>
        <v>811754</v>
      </c>
      <c r="U612" s="4">
        <f ca="1">_xlfn.IFNA(VLOOKUP(INDIRECT("G"&amp;ROW()),minfo!$A:$M,COLUMN()-8,0),"")</f>
        <v>0</v>
      </c>
    </row>
    <row r="613" spans="1:21" ht="15.75" customHeight="1">
      <c r="A613" s="15">
        <v>612</v>
      </c>
      <c r="B613" s="4" t="s">
        <v>4190</v>
      </c>
      <c r="C613" s="4">
        <v>613</v>
      </c>
      <c r="D613" s="4">
        <v>23</v>
      </c>
      <c r="E613" s="4" t="s">
        <v>1478</v>
      </c>
      <c r="F613" s="16">
        <v>45221</v>
      </c>
      <c r="G613" s="5" t="s">
        <v>1477</v>
      </c>
      <c r="H613" s="5" t="s">
        <v>4168</v>
      </c>
      <c r="I613" s="24" t="str">
        <f>HYPERLINK("https://www.bilibili.com/video/BV1ie411v7a2?p=23", "BV1ie411v7a2?p=23")</f>
        <v>BV1ie411v7a2?p=23</v>
      </c>
      <c r="J613" s="4" t="str">
        <f ca="1">_xlfn.IFNA(VLOOKUP(INDIRECT("G"&amp;ROW()),minfo!$A:$M,COLUMN()-8,0),"")</f>
        <v>想你时风起</v>
      </c>
      <c r="K613" s="4" t="str">
        <f ca="1">_xlfn.IFNA(VLOOKUP(INDIRECT("G"&amp;ROW()),minfo!$A:$M,COLUMN()-8,0),"")</f>
        <v>单依纯</v>
      </c>
      <c r="L613" s="4">
        <f ca="1">_xlfn.IFNA(VLOOKUP(INDIRECT("G"&amp;ROW()),minfo!$A:$M,COLUMN()-8,0),"")</f>
        <v>0</v>
      </c>
      <c r="M613" s="4">
        <f ca="1">_xlfn.IFNA(VLOOKUP(INDIRECT("G"&amp;ROW()),minfo!$A:$M,COLUMN()-8,0),"")</f>
        <v>0</v>
      </c>
      <c r="N613" s="4">
        <f ca="1">_xlfn.IFNA(VLOOKUP(INDIRECT("G"&amp;ROW()),minfo!$A:$M,COLUMN()-8,0),"")</f>
        <v>0</v>
      </c>
      <c r="O613" s="4" t="str">
        <f ca="1">_xlfn.IFNA(VLOOKUP(INDIRECT("G"&amp;ROW()),minfo!$A:$M,COLUMN()-8,0),"")</f>
        <v>http://i0.hdslb.com/bfs/station_src/music_metadata/690d5f026cf42acdf74154d42a9e4aec.jpg</v>
      </c>
      <c r="P613" s="4">
        <f ca="1">_xlfn.IFNA(VLOOKUP(INDIRECT("G"&amp;ROW()),minfo!$A:$M,COLUMN()-8,0),"")</f>
        <v>0</v>
      </c>
      <c r="Q613" s="4">
        <f ca="1">_xlfn.IFNA(VLOOKUP(INDIRECT("G"&amp;ROW()),minfo!$A:$M,COLUMN()-8,0),"")</f>
        <v>710</v>
      </c>
      <c r="R613" s="4">
        <f ca="1">_xlfn.IFNA(VLOOKUP(INDIRECT("G"&amp;ROW()),minfo!$A:$M,COLUMN()-8,0),"")</f>
        <v>0</v>
      </c>
      <c r="S613" s="4" t="str">
        <f ca="1">_xlfn.IFNA(VLOOKUP(INDIRECT("G"&amp;ROW()),minfo!$A:$M,COLUMN()-8,0),"")</f>
        <v>想你时风起</v>
      </c>
      <c r="T613" s="4">
        <f ca="1">_xlfn.IFNA(VLOOKUP(INDIRECT("G"&amp;ROW()),minfo!$A:$M,COLUMN()-8,0),"")</f>
        <v>48566163</v>
      </c>
      <c r="U613" s="4">
        <f ca="1">_xlfn.IFNA(VLOOKUP(INDIRECT("G"&amp;ROW()),minfo!$A:$M,COLUMN()-8,0),"")</f>
        <v>0</v>
      </c>
    </row>
    <row r="614" spans="1:21" ht="15.75" customHeight="1">
      <c r="A614" s="15">
        <v>613</v>
      </c>
      <c r="B614" s="4" t="s">
        <v>4191</v>
      </c>
      <c r="C614" s="4">
        <v>614</v>
      </c>
      <c r="D614" s="4">
        <v>24</v>
      </c>
      <c r="E614" s="4" t="s">
        <v>1616</v>
      </c>
      <c r="F614" s="16">
        <v>45221</v>
      </c>
      <c r="G614" s="5" t="s">
        <v>1615</v>
      </c>
      <c r="H614" s="5" t="s">
        <v>4168</v>
      </c>
      <c r="I614" s="24" t="str">
        <f>HYPERLINK("https://www.bilibili.com/video/BV1ie411v7a2?p=24", "BV1ie411v7a2?p=24")</f>
        <v>BV1ie411v7a2?p=24</v>
      </c>
      <c r="J614" s="4" t="str">
        <f ca="1">_xlfn.IFNA(VLOOKUP(INDIRECT("G"&amp;ROW()),minfo!$A:$M,COLUMN()-8,0),"")</f>
        <v>雨后日记</v>
      </c>
      <c r="K614" s="4" t="str">
        <f ca="1">_xlfn.IFNA(VLOOKUP(INDIRECT("G"&amp;ROW()),minfo!$A:$M,COLUMN()-8,0),"")</f>
        <v>单依纯</v>
      </c>
      <c r="L614" s="4">
        <f ca="1">_xlfn.IFNA(VLOOKUP(INDIRECT("G"&amp;ROW()),minfo!$A:$M,COLUMN()-8,0),"")</f>
        <v>0</v>
      </c>
      <c r="M614" s="4">
        <f ca="1">_xlfn.IFNA(VLOOKUP(INDIRECT("G"&amp;ROW()),minfo!$A:$M,COLUMN()-8,0),"")</f>
        <v>0</v>
      </c>
      <c r="N614" s="4">
        <f ca="1">_xlfn.IFNA(VLOOKUP(INDIRECT("G"&amp;ROW()),minfo!$A:$M,COLUMN()-8,0),"")</f>
        <v>0</v>
      </c>
      <c r="O614" s="4" t="str">
        <f ca="1">_xlfn.IFNA(VLOOKUP(INDIRECT("G"&amp;ROW()),minfo!$A:$M,COLUMN()-8,0),"")</f>
        <v>http://i0.hdslb.com/bfs/station_src/music_metadata/3afd0ffaed0e7606577cabb03408bdd1.jpg</v>
      </c>
      <c r="P614" s="4">
        <f ca="1">_xlfn.IFNA(VLOOKUP(INDIRECT("G"&amp;ROW()),minfo!$A:$M,COLUMN()-8,0),"")</f>
        <v>0</v>
      </c>
      <c r="Q614" s="4">
        <f ca="1">_xlfn.IFNA(VLOOKUP(INDIRECT("G"&amp;ROW()),minfo!$A:$M,COLUMN()-8,0),"")</f>
        <v>15</v>
      </c>
      <c r="R614" s="4">
        <f ca="1">_xlfn.IFNA(VLOOKUP(INDIRECT("G"&amp;ROW()),minfo!$A:$M,COLUMN()-8,0),"")</f>
        <v>0</v>
      </c>
      <c r="S614" s="4" t="str">
        <f ca="1">_xlfn.IFNA(VLOOKUP(INDIRECT("G"&amp;ROW()),minfo!$A:$M,COLUMN()-8,0),"")</f>
        <v>勇敢额度</v>
      </c>
      <c r="T614" s="4">
        <f ca="1">_xlfn.IFNA(VLOOKUP(INDIRECT("G"&amp;ROW()),minfo!$A:$M,COLUMN()-8,0),"")</f>
        <v>5496354</v>
      </c>
      <c r="U614" s="4">
        <f ca="1">_xlfn.IFNA(VLOOKUP(INDIRECT("G"&amp;ROW()),minfo!$A:$M,COLUMN()-8,0),"")</f>
        <v>0</v>
      </c>
    </row>
    <row r="615" spans="1:21" ht="15.75" customHeight="1">
      <c r="A615" s="15">
        <v>614</v>
      </c>
      <c r="B615" s="4" t="s">
        <v>4192</v>
      </c>
      <c r="C615" s="4">
        <v>615</v>
      </c>
      <c r="D615" s="4">
        <v>25</v>
      </c>
      <c r="E615" s="4" t="s">
        <v>259</v>
      </c>
      <c r="F615" s="16">
        <v>45221</v>
      </c>
      <c r="G615" s="5" t="s">
        <v>258</v>
      </c>
      <c r="H615" s="5" t="s">
        <v>4168</v>
      </c>
      <c r="I615" s="24" t="str">
        <f>HYPERLINK("https://www.bilibili.com/video/BV1ie411v7a2?p=25", "BV1ie411v7a2?p=25")</f>
        <v>BV1ie411v7a2?p=25</v>
      </c>
      <c r="J615" s="4" t="str">
        <f ca="1">_xlfn.IFNA(VLOOKUP(INDIRECT("G"&amp;ROW()),minfo!$A:$M,COLUMN()-8,0),"")</f>
        <v>枫</v>
      </c>
      <c r="K615" s="4" t="str">
        <f ca="1">_xlfn.IFNA(VLOOKUP(INDIRECT("G"&amp;ROW()),minfo!$A:$M,COLUMN()-8,0),"")</f>
        <v>周杰伦</v>
      </c>
      <c r="L615" s="4">
        <f ca="1">_xlfn.IFNA(VLOOKUP(INDIRECT("G"&amp;ROW()),minfo!$A:$M,COLUMN()-8,0),"")</f>
        <v>0</v>
      </c>
      <c r="M615" s="4">
        <f ca="1">_xlfn.IFNA(VLOOKUP(INDIRECT("G"&amp;ROW()),minfo!$A:$M,COLUMN()-8,0),"")</f>
        <v>0</v>
      </c>
      <c r="N615" s="4">
        <f ca="1">_xlfn.IFNA(VLOOKUP(INDIRECT("G"&amp;ROW()),minfo!$A:$M,COLUMN()-8,0),"")</f>
        <v>0</v>
      </c>
      <c r="O615" s="4" t="str">
        <f ca="1">_xlfn.IFNA(VLOOKUP(INDIRECT("G"&amp;ROW()),minfo!$A:$M,COLUMN()-8,0),"")</f>
        <v>https://i0.hdslb.com/bfs/station_src/music_metadata/fb82b0fb2908b09d88ba13ef0db91863.jpg</v>
      </c>
      <c r="P615" s="4" t="str">
        <f ca="1">_xlfn.IFNA(VLOOKUP(INDIRECT("G"&amp;ROW()),minfo!$A:$M,COLUMN()-8,0),"")</f>
        <v>http://i0.hdslb.com/bfs/station_src/music_metadata/9b1e7a89ea3eead8b8c6b32cdb30abd9</v>
      </c>
      <c r="Q615" s="4">
        <f ca="1">_xlfn.IFNA(VLOOKUP(INDIRECT("G"&amp;ROW()),minfo!$A:$M,COLUMN()-8,0),"")</f>
        <v>6002</v>
      </c>
      <c r="R615" s="4">
        <f ca="1">_xlfn.IFNA(VLOOKUP(INDIRECT("G"&amp;ROW()),minfo!$A:$M,COLUMN()-8,0),"")</f>
        <v>0</v>
      </c>
      <c r="S615" s="4" t="str">
        <f ca="1">_xlfn.IFNA(VLOOKUP(INDIRECT("G"&amp;ROW()),minfo!$A:$M,COLUMN()-8,0),"")</f>
        <v>十一月的萧邦</v>
      </c>
      <c r="T615" s="4">
        <f ca="1">_xlfn.IFNA(VLOOKUP(INDIRECT("G"&amp;ROW()),minfo!$A:$M,COLUMN()-8,0),"")</f>
        <v>560749777</v>
      </c>
      <c r="U615" s="4">
        <f ca="1">_xlfn.IFNA(VLOOKUP(INDIRECT("G"&amp;ROW()),minfo!$A:$M,COLUMN()-8,0),"")</f>
        <v>0</v>
      </c>
    </row>
    <row r="616" spans="1:21" ht="15.75" customHeight="1">
      <c r="A616" s="15">
        <v>615</v>
      </c>
      <c r="B616" s="4" t="s">
        <v>4193</v>
      </c>
      <c r="C616" s="4">
        <v>616</v>
      </c>
      <c r="D616" s="4">
        <v>26</v>
      </c>
      <c r="E616" s="4" t="s">
        <v>1036</v>
      </c>
      <c r="F616" s="16">
        <v>45221</v>
      </c>
      <c r="G616" s="5" t="s">
        <v>1035</v>
      </c>
      <c r="H616" s="5" t="s">
        <v>4168</v>
      </c>
      <c r="I616" s="24" t="str">
        <f>HYPERLINK("https://www.bilibili.com/video/BV1ie411v7a2?p=26", "BV1ie411v7a2?p=26")</f>
        <v>BV1ie411v7a2?p=26</v>
      </c>
      <c r="J616" s="4" t="str">
        <f ca="1">_xlfn.IFNA(VLOOKUP(INDIRECT("G"&amp;ROW()),minfo!$A:$M,COLUMN()-8,0),"")</f>
        <v>分裂</v>
      </c>
      <c r="K616" s="4" t="str">
        <f ca="1">_xlfn.IFNA(VLOOKUP(INDIRECT("G"&amp;ROW()),minfo!$A:$M,COLUMN()-8,0),"")</f>
        <v>周杰伦</v>
      </c>
      <c r="L616" s="4">
        <f ca="1">_xlfn.IFNA(VLOOKUP(INDIRECT("G"&amp;ROW()),minfo!$A:$M,COLUMN()-8,0),"")</f>
        <v>0</v>
      </c>
      <c r="M616" s="4">
        <f ca="1">_xlfn.IFNA(VLOOKUP(INDIRECT("G"&amp;ROW()),minfo!$A:$M,COLUMN()-8,0),"")</f>
        <v>0</v>
      </c>
      <c r="N616" s="4">
        <f ca="1">_xlfn.IFNA(VLOOKUP(INDIRECT("G"&amp;ROW()),minfo!$A:$M,COLUMN()-8,0),"")</f>
        <v>0</v>
      </c>
      <c r="O616" s="4" t="str">
        <f ca="1">_xlfn.IFNA(VLOOKUP(INDIRECT("G"&amp;ROW()),minfo!$A:$M,COLUMN()-8,0),"")</f>
        <v>https://i0.hdslb.com/bfs/station_src/music_metadata/e0c93dd692e11b8a05a773b5a91db658.jpg</v>
      </c>
      <c r="P616" s="4" t="str">
        <f ca="1">_xlfn.IFNA(VLOOKUP(INDIRECT("G"&amp;ROW()),minfo!$A:$M,COLUMN()-8,0),"")</f>
        <v>copyright-crawler/music/task-lyric/62344913670859274c1e4f20.txt</v>
      </c>
      <c r="Q616" s="4">
        <f ca="1">_xlfn.IFNA(VLOOKUP(INDIRECT("G"&amp;ROW()),minfo!$A:$M,COLUMN()-8,0),"")</f>
        <v>599</v>
      </c>
      <c r="R616" s="4" t="str">
        <f ca="1">_xlfn.IFNA(VLOOKUP(INDIRECT("G"&amp;ROW()),minfo!$A:$M,COLUMN()-8,0),"")</f>
        <v>分裂</v>
      </c>
      <c r="S616" s="4" t="str">
        <f ca="1">_xlfn.IFNA(VLOOKUP(INDIRECT("G"&amp;ROW()),minfo!$A:$M,COLUMN()-8,0),"")</f>
        <v>八度空间</v>
      </c>
      <c r="T616" s="4">
        <f ca="1">_xlfn.IFNA(VLOOKUP(INDIRECT("G"&amp;ROW()),minfo!$A:$M,COLUMN()-8,0),"")</f>
        <v>198909539</v>
      </c>
      <c r="U616" s="4">
        <f ca="1">_xlfn.IFNA(VLOOKUP(INDIRECT("G"&amp;ROW()),minfo!$A:$M,COLUMN()-8,0),"")</f>
        <v>0</v>
      </c>
    </row>
    <row r="617" spans="1:21" ht="15.75" customHeight="1">
      <c r="A617" s="15">
        <v>616</v>
      </c>
      <c r="B617" s="4" t="s">
        <v>4194</v>
      </c>
      <c r="C617" s="4">
        <v>617</v>
      </c>
      <c r="D617" s="4">
        <v>27</v>
      </c>
      <c r="E617" s="4" t="s">
        <v>3551</v>
      </c>
      <c r="F617" s="16">
        <v>45223</v>
      </c>
      <c r="G617" s="5" t="s">
        <v>186</v>
      </c>
      <c r="H617" s="5" t="s">
        <v>4168</v>
      </c>
      <c r="I617" s="24" t="str">
        <f>HYPERLINK("https://www.bilibili.com/video/BV1ie411v7a2?p=27", "BV1ie411v7a2?p=27")</f>
        <v>BV1ie411v7a2?p=27</v>
      </c>
      <c r="J617" s="4" t="str">
        <f ca="1">_xlfn.IFNA(VLOOKUP(INDIRECT("G"&amp;ROW()),minfo!$A:$M,COLUMN()-8,0),"")</f>
        <v>Rubia</v>
      </c>
      <c r="K617" s="4" t="str">
        <f ca="1">_xlfn.IFNA(VLOOKUP(INDIRECT("G"&amp;ROW()),minfo!$A:$M,COLUMN()-8,0),"")</f>
        <v>周深</v>
      </c>
      <c r="L617" s="4">
        <f ca="1">_xlfn.IFNA(VLOOKUP(INDIRECT("G"&amp;ROW()),minfo!$A:$M,COLUMN()-8,0),"")</f>
        <v>0</v>
      </c>
      <c r="M617" s="4">
        <f ca="1">_xlfn.IFNA(VLOOKUP(INDIRECT("G"&amp;ROW()),minfo!$A:$M,COLUMN()-8,0),"")</f>
        <v>516030</v>
      </c>
      <c r="N617" s="4">
        <f ca="1">_xlfn.IFNA(VLOOKUP(INDIRECT("G"&amp;ROW()),minfo!$A:$M,COLUMN()-8,0),"")</f>
        <v>96155</v>
      </c>
      <c r="O617" s="4" t="str">
        <f ca="1">_xlfn.IFNA(VLOOKUP(INDIRECT("G"&amp;ROW()),minfo!$A:$M,COLUMN()-8,0),"")</f>
        <v>https://i0.hdslb.com/bfs/station_src/music_metadata/58bc0047ef309717106ab37f9f0eaaef.jpg</v>
      </c>
      <c r="P617" s="4" t="str">
        <f ca="1">_xlfn.IFNA(VLOOKUP(INDIRECT("G"&amp;ROW()),minfo!$A:$M,COLUMN()-8,0),"")</f>
        <v>http://i0.hdslb.com/bfs/station_src/music_metadata/004573c098a52ded7995aead78b01386</v>
      </c>
      <c r="Q617" s="4">
        <f ca="1">_xlfn.IFNA(VLOOKUP(INDIRECT("G"&amp;ROW()),minfo!$A:$M,COLUMN()-8,0),"")</f>
        <v>4410</v>
      </c>
      <c r="R617" s="4">
        <f ca="1">_xlfn.IFNA(VLOOKUP(INDIRECT("G"&amp;ROW()),minfo!$A:$M,COLUMN()-8,0),"")</f>
        <v>0</v>
      </c>
      <c r="S617" s="4" t="str">
        <f ca="1">_xlfn.IFNA(VLOOKUP(INDIRECT("G"&amp;ROW()),minfo!$A:$M,COLUMN()-8,0),"")</f>
        <v>Rubia</v>
      </c>
      <c r="T617" s="4">
        <f ca="1">_xlfn.IFNA(VLOOKUP(INDIRECT("G"&amp;ROW()),minfo!$A:$M,COLUMN()-8,0),"")</f>
        <v>217211932</v>
      </c>
      <c r="U617" s="4">
        <f ca="1">_xlfn.IFNA(VLOOKUP(INDIRECT("G"&amp;ROW()),minfo!$A:$M,COLUMN()-8,0),"")</f>
        <v>0</v>
      </c>
    </row>
    <row r="618" spans="1:21" ht="15.75" customHeight="1">
      <c r="A618" s="15">
        <v>617</v>
      </c>
      <c r="B618" s="4" t="s">
        <v>4195</v>
      </c>
      <c r="C618" s="4">
        <v>618</v>
      </c>
      <c r="D618" s="4">
        <v>28</v>
      </c>
      <c r="E618" s="4" t="s">
        <v>4196</v>
      </c>
      <c r="F618" s="16">
        <v>45223</v>
      </c>
      <c r="G618" s="5" t="s">
        <v>864</v>
      </c>
      <c r="H618" s="5" t="s">
        <v>4168</v>
      </c>
      <c r="I618" s="24" t="str">
        <f>HYPERLINK("https://www.bilibili.com/video/BV1ie411v7a2?p=28", "BV1ie411v7a2?p=28")</f>
        <v>BV1ie411v7a2?p=28</v>
      </c>
      <c r="J618" s="4" t="str">
        <f ca="1">_xlfn.IFNA(VLOOKUP(INDIRECT("G"&amp;ROW()),minfo!$A:$M,COLUMN()-8,0),"")</f>
        <v>乌梅子酱</v>
      </c>
      <c r="K618" s="4" t="str">
        <f ca="1">_xlfn.IFNA(VLOOKUP(INDIRECT("G"&amp;ROW()),minfo!$A:$M,COLUMN()-8,0),"")</f>
        <v>李荣浩</v>
      </c>
      <c r="L618" s="4">
        <f ca="1">_xlfn.IFNA(VLOOKUP(INDIRECT("G"&amp;ROW()),minfo!$A:$M,COLUMN()-8,0),"")</f>
        <v>0</v>
      </c>
      <c r="M618" s="4">
        <f ca="1">_xlfn.IFNA(VLOOKUP(INDIRECT("G"&amp;ROW()),minfo!$A:$M,COLUMN()-8,0),"")</f>
        <v>0</v>
      </c>
      <c r="N618" s="4">
        <f ca="1">_xlfn.IFNA(VLOOKUP(INDIRECT("G"&amp;ROW()),minfo!$A:$M,COLUMN()-8,0),"")</f>
        <v>0</v>
      </c>
      <c r="O618" s="4" t="str">
        <f ca="1">_xlfn.IFNA(VLOOKUP(INDIRECT("G"&amp;ROW()),minfo!$A:$M,COLUMN()-8,0),"")</f>
        <v>https://i0.hdslb.com/bfs/station_src/music_metadata/9ca5c7e277da8afb806c6e32ced62a88.jpg</v>
      </c>
      <c r="P618" s="4" t="str">
        <f ca="1">_xlfn.IFNA(VLOOKUP(INDIRECT("G"&amp;ROW()),minfo!$A:$M,COLUMN()-8,0),"")</f>
        <v>copyright-crawler/music/lyric/86e5dbf825b8cc46f04240eae52987ff/86e5dbf825b8cc46f04240eae52987ff.txt</v>
      </c>
      <c r="Q618" s="4">
        <f ca="1">_xlfn.IFNA(VLOOKUP(INDIRECT("G"&amp;ROW()),minfo!$A:$M,COLUMN()-8,0),"")</f>
        <v>6745</v>
      </c>
      <c r="R618" s="4">
        <f ca="1">_xlfn.IFNA(VLOOKUP(INDIRECT("G"&amp;ROW()),minfo!$A:$M,COLUMN()-8,0),"")</f>
        <v>0</v>
      </c>
      <c r="S618" s="4" t="str">
        <f ca="1">_xlfn.IFNA(VLOOKUP(INDIRECT("G"&amp;ROW()),minfo!$A:$M,COLUMN()-8,0),"")</f>
        <v>乌梅子酱</v>
      </c>
      <c r="T618" s="4">
        <f ca="1">_xlfn.IFNA(VLOOKUP(INDIRECT("G"&amp;ROW()),minfo!$A:$M,COLUMN()-8,0),"")</f>
        <v>215251902</v>
      </c>
      <c r="U618" s="4" t="str">
        <f ca="1">_xlfn.IFNA(VLOOKUP(INDIRECT("G"&amp;ROW()),minfo!$A:$M,COLUMN()-8,0),"")</f>
        <v>音乐榜最高NO.1</v>
      </c>
    </row>
    <row r="619" spans="1:21" ht="15.75" customHeight="1">
      <c r="A619" s="15">
        <v>618</v>
      </c>
      <c r="B619" s="4" t="s">
        <v>4197</v>
      </c>
      <c r="C619" s="4">
        <v>619</v>
      </c>
      <c r="D619" s="4">
        <v>29</v>
      </c>
      <c r="E619" s="4" t="s">
        <v>145</v>
      </c>
      <c r="F619" s="16">
        <v>45223</v>
      </c>
      <c r="G619" s="5" t="s">
        <v>145</v>
      </c>
      <c r="H619" s="5" t="s">
        <v>4168</v>
      </c>
      <c r="I619" s="24" t="str">
        <f>HYPERLINK("https://www.bilibili.com/video/BV1ie411v7a2?p=29", "BV1ie411v7a2?p=29")</f>
        <v>BV1ie411v7a2?p=29</v>
      </c>
      <c r="J619" s="4" t="str">
        <f ca="1">_xlfn.IFNA(VLOOKUP(INDIRECT("G"&amp;ROW()),minfo!$A:$M,COLUMN()-8,0),"")</f>
        <v>钢铁之翼</v>
      </c>
      <c r="K619" s="4" t="str">
        <f ca="1">_xlfn.IFNA(VLOOKUP(INDIRECT("G"&amp;ROW()),minfo!$A:$M,COLUMN()-8,0),"")</f>
        <v>韩红</v>
      </c>
      <c r="L619" s="4">
        <f ca="1">_xlfn.IFNA(VLOOKUP(INDIRECT("G"&amp;ROW()),minfo!$A:$M,COLUMN()-8,0),"")</f>
        <v>0</v>
      </c>
      <c r="M619" s="4">
        <f ca="1">_xlfn.IFNA(VLOOKUP(INDIRECT("G"&amp;ROW()),minfo!$A:$M,COLUMN()-8,0),"")</f>
        <v>0</v>
      </c>
      <c r="N619" s="4">
        <f ca="1">_xlfn.IFNA(VLOOKUP(INDIRECT("G"&amp;ROW()),minfo!$A:$M,COLUMN()-8,0),"")</f>
        <v>0</v>
      </c>
      <c r="O619" s="4">
        <f ca="1">_xlfn.IFNA(VLOOKUP(INDIRECT("G"&amp;ROW()),minfo!$A:$M,COLUMN()-8,0),"")</f>
        <v>0</v>
      </c>
      <c r="P619" s="4">
        <f ca="1">_xlfn.IFNA(VLOOKUP(INDIRECT("G"&amp;ROW()),minfo!$A:$M,COLUMN()-8,0),"")</f>
        <v>0</v>
      </c>
      <c r="Q619" s="4">
        <f ca="1">_xlfn.IFNA(VLOOKUP(INDIRECT("G"&amp;ROW()),minfo!$A:$M,COLUMN()-8,0),"")</f>
        <v>0</v>
      </c>
      <c r="R619" s="4">
        <f ca="1">_xlfn.IFNA(VLOOKUP(INDIRECT("G"&amp;ROW()),minfo!$A:$M,COLUMN()-8,0),"")</f>
        <v>0</v>
      </c>
      <c r="S619" s="4">
        <f ca="1">_xlfn.IFNA(VLOOKUP(INDIRECT("G"&amp;ROW()),minfo!$A:$M,COLUMN()-8,0),"")</f>
        <v>0</v>
      </c>
      <c r="T619" s="4">
        <f ca="1">_xlfn.IFNA(VLOOKUP(INDIRECT("G"&amp;ROW()),minfo!$A:$M,COLUMN()-8,0),"")</f>
        <v>0</v>
      </c>
      <c r="U619" s="4">
        <f ca="1">_xlfn.IFNA(VLOOKUP(INDIRECT("G"&amp;ROW()),minfo!$A:$M,COLUMN()-8,0),"")</f>
        <v>0</v>
      </c>
    </row>
    <row r="620" spans="1:21" ht="15.75" customHeight="1">
      <c r="A620" s="15">
        <v>619</v>
      </c>
      <c r="B620" s="4" t="s">
        <v>4198</v>
      </c>
      <c r="C620" s="4">
        <v>620</v>
      </c>
      <c r="D620" s="4">
        <v>30</v>
      </c>
      <c r="E620" s="4" t="s">
        <v>904</v>
      </c>
      <c r="F620" s="16">
        <v>45223</v>
      </c>
      <c r="G620" s="5" t="s">
        <v>903</v>
      </c>
      <c r="H620" s="5" t="s">
        <v>4168</v>
      </c>
      <c r="I620" s="24" t="str">
        <f>HYPERLINK("https://www.bilibili.com/video/BV1ie411v7a2?p=30", "BV1ie411v7a2?p=30")</f>
        <v>BV1ie411v7a2?p=30</v>
      </c>
      <c r="J620" s="4" t="str">
        <f ca="1">_xlfn.IFNA(VLOOKUP(INDIRECT("G"&amp;ROW()),minfo!$A:$M,COLUMN()-8,0),"")</f>
        <v>轨迹</v>
      </c>
      <c r="K620" s="4" t="str">
        <f ca="1">_xlfn.IFNA(VLOOKUP(INDIRECT("G"&amp;ROW()),minfo!$A:$M,COLUMN()-8,0),"")</f>
        <v>周杰伦</v>
      </c>
      <c r="L620" s="4">
        <f ca="1">_xlfn.IFNA(VLOOKUP(INDIRECT("G"&amp;ROW()),minfo!$A:$M,COLUMN()-8,0),"")</f>
        <v>0</v>
      </c>
      <c r="M620" s="4">
        <f ca="1">_xlfn.IFNA(VLOOKUP(INDIRECT("G"&amp;ROW()),minfo!$A:$M,COLUMN()-8,0),"")</f>
        <v>0</v>
      </c>
      <c r="N620" s="4">
        <f ca="1">_xlfn.IFNA(VLOOKUP(INDIRECT("G"&amp;ROW()),minfo!$A:$M,COLUMN()-8,0),"")</f>
        <v>0</v>
      </c>
      <c r="O620" s="4" t="str">
        <f ca="1">_xlfn.IFNA(VLOOKUP(INDIRECT("G"&amp;ROW()),minfo!$A:$M,COLUMN()-8,0),"")</f>
        <v>https://i0.hdslb.com/bfs/station_src/music_metadata/439418765b962c30a2db33196128f32b.jpg</v>
      </c>
      <c r="P620" s="4" t="str">
        <f ca="1">_xlfn.IFNA(VLOOKUP(INDIRECT("G"&amp;ROW()),minfo!$A:$M,COLUMN()-8,0),"")</f>
        <v>copyright-crawler/music/task-lyric/6267f46a504b4c0665fd7bfd.txt</v>
      </c>
      <c r="Q620" s="4">
        <f ca="1">_xlfn.IFNA(VLOOKUP(INDIRECT("G"&amp;ROW()),minfo!$A:$M,COLUMN()-8,0),"")</f>
        <v>2850</v>
      </c>
      <c r="R620" s="4" t="str">
        <f ca="1">_xlfn.IFNA(VLOOKUP(INDIRECT("G"&amp;ROW()),minfo!$A:$M,COLUMN()-8,0),"")</f>
        <v>轨迹</v>
      </c>
      <c r="S620" s="4" t="str">
        <f ca="1">_xlfn.IFNA(VLOOKUP(INDIRECT("G"&amp;ROW()),minfo!$A:$M,COLUMN()-8,0),"")</f>
        <v>寻找周杰伦</v>
      </c>
      <c r="T620" s="4">
        <f ca="1">_xlfn.IFNA(VLOOKUP(INDIRECT("G"&amp;ROW()),minfo!$A:$M,COLUMN()-8,0),"")</f>
        <v>416774055</v>
      </c>
      <c r="U620" s="4">
        <f ca="1">_xlfn.IFNA(VLOOKUP(INDIRECT("G"&amp;ROW()),minfo!$A:$M,COLUMN()-8,0),"")</f>
        <v>0</v>
      </c>
    </row>
    <row r="621" spans="1:21" ht="15.75" customHeight="1">
      <c r="A621" s="15">
        <v>620</v>
      </c>
      <c r="B621" s="4" t="s">
        <v>4199</v>
      </c>
      <c r="C621" s="4">
        <v>621</v>
      </c>
      <c r="D621" s="4">
        <v>31</v>
      </c>
      <c r="E621" s="4" t="s">
        <v>1305</v>
      </c>
      <c r="F621" s="16">
        <v>45223</v>
      </c>
      <c r="G621" s="5" t="s">
        <v>1304</v>
      </c>
      <c r="H621" s="5" t="s">
        <v>4168</v>
      </c>
      <c r="I621" s="24" t="str">
        <f>HYPERLINK("https://www.bilibili.com/video/BV1ie411v7a2?p=31", "BV1ie411v7a2?p=31")</f>
        <v>BV1ie411v7a2?p=31</v>
      </c>
      <c r="J621" s="4" t="str">
        <f ca="1">_xlfn.IFNA(VLOOKUP(INDIRECT("G"&amp;ROW()),minfo!$A:$M,COLUMN()-8,0),"")</f>
        <v>萱草花</v>
      </c>
      <c r="K621" s="4" t="str">
        <f ca="1">_xlfn.IFNA(VLOOKUP(INDIRECT("G"&amp;ROW()),minfo!$A:$M,COLUMN()-8,0),"")</f>
        <v>张小斐</v>
      </c>
      <c r="L621" s="4">
        <f ca="1">_xlfn.IFNA(VLOOKUP(INDIRECT("G"&amp;ROW()),minfo!$A:$M,COLUMN()-8,0),"")</f>
        <v>0</v>
      </c>
      <c r="M621" s="4">
        <f ca="1">_xlfn.IFNA(VLOOKUP(INDIRECT("G"&amp;ROW()),minfo!$A:$M,COLUMN()-8,0),"")</f>
        <v>0</v>
      </c>
      <c r="N621" s="4">
        <f ca="1">_xlfn.IFNA(VLOOKUP(INDIRECT("G"&amp;ROW()),minfo!$A:$M,COLUMN()-8,0),"")</f>
        <v>0</v>
      </c>
      <c r="O621" s="4" t="str">
        <f ca="1">_xlfn.IFNA(VLOOKUP(INDIRECT("G"&amp;ROW()),minfo!$A:$M,COLUMN()-8,0),"")</f>
        <v>http://i0.hdslb.com/bfs/station_src/music_metadata/8a229082f89f61dabf4714b7ca60f646.jpg</v>
      </c>
      <c r="P621" s="4" t="str">
        <f ca="1">_xlfn.IFNA(VLOOKUP(INDIRECT("G"&amp;ROW()),minfo!$A:$M,COLUMN()-8,0),"")</f>
        <v>http://i0.hdslb.com/bfs/station_src/music_metadata/717c439a71569e00fd804d305ca74fdd</v>
      </c>
      <c r="Q621" s="4">
        <f ca="1">_xlfn.IFNA(VLOOKUP(INDIRECT("G"&amp;ROW()),minfo!$A:$M,COLUMN()-8,0),"")</f>
        <v>1718</v>
      </c>
      <c r="R621" s="4" t="str">
        <f ca="1">_xlfn.IFNA(VLOOKUP(INDIRECT("G"&amp;ROW()),minfo!$A:$M,COLUMN()-8,0),"")</f>
        <v>《你好，李焕英》电影主题曲</v>
      </c>
      <c r="S621" s="4" t="str">
        <f ca="1">_xlfn.IFNA(VLOOKUP(INDIRECT("G"&amp;ROW()),minfo!$A:$M,COLUMN()-8,0),"")</f>
        <v>你好，李焕英 电影原声大碟</v>
      </c>
      <c r="T621" s="4">
        <f ca="1">_xlfn.IFNA(VLOOKUP(INDIRECT("G"&amp;ROW()),minfo!$A:$M,COLUMN()-8,0),"")</f>
        <v>544027498</v>
      </c>
      <c r="U621" s="4">
        <f ca="1">_xlfn.IFNA(VLOOKUP(INDIRECT("G"&amp;ROW()),minfo!$A:$M,COLUMN()-8,0),"")</f>
        <v>0</v>
      </c>
    </row>
    <row r="622" spans="1:21" ht="15.75" customHeight="1">
      <c r="A622" s="15">
        <v>621</v>
      </c>
      <c r="B622" s="4" t="s">
        <v>4200</v>
      </c>
      <c r="C622" s="4">
        <v>622</v>
      </c>
      <c r="D622" s="4">
        <v>32</v>
      </c>
      <c r="E622" s="4" t="s">
        <v>1415</v>
      </c>
      <c r="F622" s="16">
        <v>45224</v>
      </c>
      <c r="G622" s="5" t="s">
        <v>1414</v>
      </c>
      <c r="H622" s="5" t="s">
        <v>4168</v>
      </c>
      <c r="I622" s="24" t="str">
        <f>HYPERLINK("https://www.bilibili.com/video/BV1ie411v7a2?p=32", "BV1ie411v7a2?p=32")</f>
        <v>BV1ie411v7a2?p=32</v>
      </c>
      <c r="J622" s="4" t="str">
        <f ca="1">_xlfn.IFNA(VLOOKUP(INDIRECT("G"&amp;ROW()),minfo!$A:$M,COLUMN()-8,0),"")</f>
        <v>二十二</v>
      </c>
      <c r="K622" s="4" t="str">
        <f ca="1">_xlfn.IFNA(VLOOKUP(INDIRECT("G"&amp;ROW()),minfo!$A:$M,COLUMN()-8,0),"")</f>
        <v>陶喆</v>
      </c>
      <c r="L622" s="4">
        <f ca="1">_xlfn.IFNA(VLOOKUP(INDIRECT("G"&amp;ROW()),minfo!$A:$M,COLUMN()-8,0),"")</f>
        <v>0</v>
      </c>
      <c r="M622" s="4">
        <f ca="1">_xlfn.IFNA(VLOOKUP(INDIRECT("G"&amp;ROW()),minfo!$A:$M,COLUMN()-8,0),"")</f>
        <v>0</v>
      </c>
      <c r="N622" s="4">
        <f ca="1">_xlfn.IFNA(VLOOKUP(INDIRECT("G"&amp;ROW()),minfo!$A:$M,COLUMN()-8,0),"")</f>
        <v>0</v>
      </c>
      <c r="O622" s="4" t="str">
        <f ca="1">_xlfn.IFNA(VLOOKUP(INDIRECT("G"&amp;ROW()),minfo!$A:$M,COLUMN()-8,0),"")</f>
        <v>http://i0.hdslb.com/bfs/station_src/music_metadata/e89d0b6bb51b52049a17aa607ecd7e8d.jpg</v>
      </c>
      <c r="P622" s="4" t="str">
        <f ca="1">_xlfn.IFNA(VLOOKUP(INDIRECT("G"&amp;ROW()),minfo!$A:$M,COLUMN()-8,0),"")</f>
        <v>http://i0.hdslb.com/bfs/station_src/music_metadata/47f341ee2acc202b90520bd34837ebc4</v>
      </c>
      <c r="Q622" s="4">
        <f ca="1">_xlfn.IFNA(VLOOKUP(INDIRECT("G"&amp;ROW()),minfo!$A:$M,COLUMN()-8,0),"")</f>
        <v>343</v>
      </c>
      <c r="R622" s="4">
        <f ca="1">_xlfn.IFNA(VLOOKUP(INDIRECT("G"&amp;ROW()),minfo!$A:$M,COLUMN()-8,0),"")</f>
        <v>0</v>
      </c>
      <c r="S622" s="4" t="str">
        <f ca="1">_xlfn.IFNA(VLOOKUP(INDIRECT("G"&amp;ROW()),minfo!$A:$M,COLUMN()-8,0),"")</f>
        <v>黑色柳丁</v>
      </c>
      <c r="T622" s="4">
        <f ca="1">_xlfn.IFNA(VLOOKUP(INDIRECT("G"&amp;ROW()),minfo!$A:$M,COLUMN()-8,0),"")</f>
        <v>50077794</v>
      </c>
      <c r="U622" s="4">
        <f ca="1">_xlfn.IFNA(VLOOKUP(INDIRECT("G"&amp;ROW()),minfo!$A:$M,COLUMN()-8,0),"")</f>
        <v>0</v>
      </c>
    </row>
    <row r="623" spans="1:21" ht="15.75" customHeight="1">
      <c r="A623" s="15">
        <v>622</v>
      </c>
      <c r="B623" s="4" t="s">
        <v>4201</v>
      </c>
      <c r="C623" s="4">
        <v>623</v>
      </c>
      <c r="D623" s="4">
        <v>33</v>
      </c>
      <c r="E623" s="4" t="s">
        <v>3551</v>
      </c>
      <c r="F623" s="16">
        <v>45228</v>
      </c>
      <c r="G623" s="5" t="s">
        <v>186</v>
      </c>
      <c r="H623" s="5" t="s">
        <v>4168</v>
      </c>
      <c r="I623" s="24" t="str">
        <f>HYPERLINK("https://www.bilibili.com/video/BV1ie411v7a2?p=33", "BV1ie411v7a2?p=33")</f>
        <v>BV1ie411v7a2?p=33</v>
      </c>
      <c r="J623" s="4" t="str">
        <f ca="1">_xlfn.IFNA(VLOOKUP(INDIRECT("G"&amp;ROW()),minfo!$A:$M,COLUMN()-8,0),"")</f>
        <v>Rubia</v>
      </c>
      <c r="K623" s="4" t="str">
        <f ca="1">_xlfn.IFNA(VLOOKUP(INDIRECT("G"&amp;ROW()),minfo!$A:$M,COLUMN()-8,0),"")</f>
        <v>周深</v>
      </c>
      <c r="L623" s="4">
        <f ca="1">_xlfn.IFNA(VLOOKUP(INDIRECT("G"&amp;ROW()),minfo!$A:$M,COLUMN()-8,0),"")</f>
        <v>0</v>
      </c>
      <c r="M623" s="4">
        <f ca="1">_xlfn.IFNA(VLOOKUP(INDIRECT("G"&amp;ROW()),minfo!$A:$M,COLUMN()-8,0),"")</f>
        <v>516030</v>
      </c>
      <c r="N623" s="4">
        <f ca="1">_xlfn.IFNA(VLOOKUP(INDIRECT("G"&amp;ROW()),minfo!$A:$M,COLUMN()-8,0),"")</f>
        <v>96155</v>
      </c>
      <c r="O623" s="4" t="str">
        <f ca="1">_xlfn.IFNA(VLOOKUP(INDIRECT("G"&amp;ROW()),minfo!$A:$M,COLUMN()-8,0),"")</f>
        <v>https://i0.hdslb.com/bfs/station_src/music_metadata/58bc0047ef309717106ab37f9f0eaaef.jpg</v>
      </c>
      <c r="P623" s="4" t="str">
        <f ca="1">_xlfn.IFNA(VLOOKUP(INDIRECT("G"&amp;ROW()),minfo!$A:$M,COLUMN()-8,0),"")</f>
        <v>http://i0.hdslb.com/bfs/station_src/music_metadata/004573c098a52ded7995aead78b01386</v>
      </c>
      <c r="Q623" s="4">
        <f ca="1">_xlfn.IFNA(VLOOKUP(INDIRECT("G"&amp;ROW()),minfo!$A:$M,COLUMN()-8,0),"")</f>
        <v>4410</v>
      </c>
      <c r="R623" s="4">
        <f ca="1">_xlfn.IFNA(VLOOKUP(INDIRECT("G"&amp;ROW()),minfo!$A:$M,COLUMN()-8,0),"")</f>
        <v>0</v>
      </c>
      <c r="S623" s="4" t="str">
        <f ca="1">_xlfn.IFNA(VLOOKUP(INDIRECT("G"&amp;ROW()),minfo!$A:$M,COLUMN()-8,0),"")</f>
        <v>Rubia</v>
      </c>
      <c r="T623" s="4">
        <f ca="1">_xlfn.IFNA(VLOOKUP(INDIRECT("G"&amp;ROW()),minfo!$A:$M,COLUMN()-8,0),"")</f>
        <v>217211932</v>
      </c>
      <c r="U623" s="4">
        <f ca="1">_xlfn.IFNA(VLOOKUP(INDIRECT("G"&amp;ROW()),minfo!$A:$M,COLUMN()-8,0),"")</f>
        <v>0</v>
      </c>
    </row>
    <row r="624" spans="1:21" ht="15.75" customHeight="1">
      <c r="A624" s="15">
        <v>623</v>
      </c>
      <c r="B624" s="4" t="s">
        <v>4202</v>
      </c>
      <c r="C624" s="4">
        <v>624</v>
      </c>
      <c r="D624" s="4">
        <v>34</v>
      </c>
      <c r="E624" s="4" t="s">
        <v>289</v>
      </c>
      <c r="F624" s="16">
        <v>45228</v>
      </c>
      <c r="G624" s="5" t="s">
        <v>288</v>
      </c>
      <c r="H624" s="5" t="s">
        <v>4168</v>
      </c>
      <c r="I624" s="24" t="str">
        <f>HYPERLINK("https://www.bilibili.com/video/BV1ie411v7a2?p=34", "BV1ie411v7a2?p=34")</f>
        <v>BV1ie411v7a2?p=34</v>
      </c>
      <c r="J624" s="4" t="str">
        <f ca="1">_xlfn.IFNA(VLOOKUP(INDIRECT("G"&amp;ROW()),minfo!$A:$M,COLUMN()-8,0),"")</f>
        <v>明明就</v>
      </c>
      <c r="K624" s="4" t="str">
        <f ca="1">_xlfn.IFNA(VLOOKUP(INDIRECT("G"&amp;ROW()),minfo!$A:$M,COLUMN()-8,0),"")</f>
        <v>周杰伦</v>
      </c>
      <c r="L624" s="4">
        <f ca="1">_xlfn.IFNA(VLOOKUP(INDIRECT("G"&amp;ROW()),minfo!$A:$M,COLUMN()-8,0),"")</f>
        <v>0</v>
      </c>
      <c r="M624" s="4">
        <f ca="1">_xlfn.IFNA(VLOOKUP(INDIRECT("G"&amp;ROW()),minfo!$A:$M,COLUMN()-8,0),"")</f>
        <v>0</v>
      </c>
      <c r="N624" s="4">
        <f ca="1">_xlfn.IFNA(VLOOKUP(INDIRECT("G"&amp;ROW()),minfo!$A:$M,COLUMN()-8,0),"")</f>
        <v>0</v>
      </c>
      <c r="O624" s="4" t="str">
        <f ca="1">_xlfn.IFNA(VLOOKUP(INDIRECT("G"&amp;ROW()),minfo!$A:$M,COLUMN()-8,0),"")</f>
        <v>https://i0.hdslb.com/bfs/station_src/music_metadata/b98a05427f027651ca3c0c8cbab055fe.jpg</v>
      </c>
      <c r="P624" s="4" t="str">
        <f ca="1">_xlfn.IFNA(VLOOKUP(INDIRECT("G"&amp;ROW()),minfo!$A:$M,COLUMN()-8,0),"")</f>
        <v>copyright-crawler/music/task-lyric/65093974f03c35ab34fd5795.txt</v>
      </c>
      <c r="Q624" s="4">
        <f ca="1">_xlfn.IFNA(VLOOKUP(INDIRECT("G"&amp;ROW()),minfo!$A:$M,COLUMN()-8,0),"")</f>
        <v>3451</v>
      </c>
      <c r="R624" s="4" t="str">
        <f ca="1">_xlfn.IFNA(VLOOKUP(INDIRECT("G"&amp;ROW()),minfo!$A:$M,COLUMN()-8,0),"")</f>
        <v>明明就</v>
      </c>
      <c r="S624" s="4" t="str">
        <f ca="1">_xlfn.IFNA(VLOOKUP(INDIRECT("G"&amp;ROW()),minfo!$A:$M,COLUMN()-8,0),"")</f>
        <v>十二新作</v>
      </c>
      <c r="T624" s="4">
        <f ca="1">_xlfn.IFNA(VLOOKUP(INDIRECT("G"&amp;ROW()),minfo!$A:$M,COLUMN()-8,0),"")</f>
        <v>424774252</v>
      </c>
      <c r="U624" s="4" t="str">
        <f ca="1">_xlfn.IFNA(VLOOKUP(INDIRECT("G"&amp;ROW()),minfo!$A:$M,COLUMN()-8,0),"")</f>
        <v>音乐榜最高NO.18</v>
      </c>
    </row>
    <row r="625" spans="1:21" ht="15.75" customHeight="1">
      <c r="A625" s="15">
        <v>624</v>
      </c>
      <c r="B625" s="4" t="s">
        <v>4203</v>
      </c>
      <c r="C625" s="4">
        <v>625</v>
      </c>
      <c r="D625" s="4">
        <v>35</v>
      </c>
      <c r="E625" s="4" t="s">
        <v>1340</v>
      </c>
      <c r="F625" s="16">
        <v>45229</v>
      </c>
      <c r="G625" s="5" t="s">
        <v>1339</v>
      </c>
      <c r="H625" s="5" t="s">
        <v>4168</v>
      </c>
      <c r="I625" s="24" t="str">
        <f>HYPERLINK("https://www.bilibili.com/video/BV1ie411v7a2?p=35", "BV1ie411v7a2?p=35")</f>
        <v>BV1ie411v7a2?p=35</v>
      </c>
      <c r="J625" s="4" t="str">
        <f ca="1">_xlfn.IFNA(VLOOKUP(INDIRECT("G"&amp;ROW()),minfo!$A:$M,COLUMN()-8,0),"")</f>
        <v>天天</v>
      </c>
      <c r="K625" s="4" t="str">
        <f ca="1">_xlfn.IFNA(VLOOKUP(INDIRECT("G"&amp;ROW()),minfo!$A:$M,COLUMN()-8,0),"")</f>
        <v>陶喆</v>
      </c>
      <c r="L625" s="4">
        <f ca="1">_xlfn.IFNA(VLOOKUP(INDIRECT("G"&amp;ROW()),minfo!$A:$M,COLUMN()-8,0),"")</f>
        <v>0</v>
      </c>
      <c r="M625" s="4">
        <f ca="1">_xlfn.IFNA(VLOOKUP(INDIRECT("G"&amp;ROW()),minfo!$A:$M,COLUMN()-8,0),"")</f>
        <v>0</v>
      </c>
      <c r="N625" s="4">
        <f ca="1">_xlfn.IFNA(VLOOKUP(INDIRECT("G"&amp;ROW()),minfo!$A:$M,COLUMN()-8,0),"")</f>
        <v>0</v>
      </c>
      <c r="O625" s="4" t="str">
        <f ca="1">_xlfn.IFNA(VLOOKUP(INDIRECT("G"&amp;ROW()),minfo!$A:$M,COLUMN()-8,0),"")</f>
        <v>http://i0.hdslb.com/bfs/station_src/music_metadata/ff6417302beb4146f79dbd4e37c6d317.jpg</v>
      </c>
      <c r="P625" s="4" t="str">
        <f ca="1">_xlfn.IFNA(VLOOKUP(INDIRECT("G"&amp;ROW()),minfo!$A:$M,COLUMN()-8,0),"")</f>
        <v>http://i0.hdslb.com/bfs/station_src/music_metadata/c93605bfcadefe74f0d5b1a5b6a8db05</v>
      </c>
      <c r="Q625" s="4">
        <f ca="1">_xlfn.IFNA(VLOOKUP(INDIRECT("G"&amp;ROW()),minfo!$A:$M,COLUMN()-8,0),"")</f>
        <v>535</v>
      </c>
      <c r="R625" s="4">
        <f ca="1">_xlfn.IFNA(VLOOKUP(INDIRECT("G"&amp;ROW()),minfo!$A:$M,COLUMN()-8,0),"")</f>
        <v>0</v>
      </c>
      <c r="S625" s="4" t="str">
        <f ca="1">_xlfn.IFNA(VLOOKUP(INDIRECT("G"&amp;ROW()),minfo!$A:$M,COLUMN()-8,0),"")</f>
        <v>I'm OK</v>
      </c>
      <c r="T625" s="4">
        <f ca="1">_xlfn.IFNA(VLOOKUP(INDIRECT("G"&amp;ROW()),minfo!$A:$M,COLUMN()-8,0),"")</f>
        <v>82012532</v>
      </c>
      <c r="U625" s="4">
        <f ca="1">_xlfn.IFNA(VLOOKUP(INDIRECT("G"&amp;ROW()),minfo!$A:$M,COLUMN()-8,0),"")</f>
        <v>0</v>
      </c>
    </row>
    <row r="626" spans="1:21" ht="15.75" customHeight="1">
      <c r="A626" s="15">
        <v>625</v>
      </c>
      <c r="B626" s="4" t="s">
        <v>4204</v>
      </c>
      <c r="C626" s="4">
        <v>626</v>
      </c>
      <c r="D626" s="4">
        <v>36</v>
      </c>
      <c r="E626" s="4" t="s">
        <v>904</v>
      </c>
      <c r="F626" s="16">
        <v>45229</v>
      </c>
      <c r="G626" s="5" t="s">
        <v>903</v>
      </c>
      <c r="H626" s="5" t="s">
        <v>4168</v>
      </c>
      <c r="I626" s="24" t="str">
        <f>HYPERLINK("https://www.bilibili.com/video/BV1ie411v7a2?p=36", "BV1ie411v7a2?p=36")</f>
        <v>BV1ie411v7a2?p=36</v>
      </c>
      <c r="J626" s="4" t="str">
        <f ca="1">_xlfn.IFNA(VLOOKUP(INDIRECT("G"&amp;ROW()),minfo!$A:$M,COLUMN()-8,0),"")</f>
        <v>轨迹</v>
      </c>
      <c r="K626" s="4" t="str">
        <f ca="1">_xlfn.IFNA(VLOOKUP(INDIRECT("G"&amp;ROW()),minfo!$A:$M,COLUMN()-8,0),"")</f>
        <v>周杰伦</v>
      </c>
      <c r="L626" s="4">
        <f ca="1">_xlfn.IFNA(VLOOKUP(INDIRECT("G"&amp;ROW()),minfo!$A:$M,COLUMN()-8,0),"")</f>
        <v>0</v>
      </c>
      <c r="M626" s="4">
        <f ca="1">_xlfn.IFNA(VLOOKUP(INDIRECT("G"&amp;ROW()),minfo!$A:$M,COLUMN()-8,0),"")</f>
        <v>0</v>
      </c>
      <c r="N626" s="4">
        <f ca="1">_xlfn.IFNA(VLOOKUP(INDIRECT("G"&amp;ROW()),minfo!$A:$M,COLUMN()-8,0),"")</f>
        <v>0</v>
      </c>
      <c r="O626" s="4" t="str">
        <f ca="1">_xlfn.IFNA(VLOOKUP(INDIRECT("G"&amp;ROW()),minfo!$A:$M,COLUMN()-8,0),"")</f>
        <v>https://i0.hdslb.com/bfs/station_src/music_metadata/439418765b962c30a2db33196128f32b.jpg</v>
      </c>
      <c r="P626" s="4" t="str">
        <f ca="1">_xlfn.IFNA(VLOOKUP(INDIRECT("G"&amp;ROW()),minfo!$A:$M,COLUMN()-8,0),"")</f>
        <v>copyright-crawler/music/task-lyric/6267f46a504b4c0665fd7bfd.txt</v>
      </c>
      <c r="Q626" s="4">
        <f ca="1">_xlfn.IFNA(VLOOKUP(INDIRECT("G"&amp;ROW()),minfo!$A:$M,COLUMN()-8,0),"")</f>
        <v>2850</v>
      </c>
      <c r="R626" s="4" t="str">
        <f ca="1">_xlfn.IFNA(VLOOKUP(INDIRECT("G"&amp;ROW()),minfo!$A:$M,COLUMN()-8,0),"")</f>
        <v>轨迹</v>
      </c>
      <c r="S626" s="4" t="str">
        <f ca="1">_xlfn.IFNA(VLOOKUP(INDIRECT("G"&amp;ROW()),minfo!$A:$M,COLUMN()-8,0),"")</f>
        <v>寻找周杰伦</v>
      </c>
      <c r="T626" s="4">
        <f ca="1">_xlfn.IFNA(VLOOKUP(INDIRECT("G"&amp;ROW()),minfo!$A:$M,COLUMN()-8,0),"")</f>
        <v>416774055</v>
      </c>
      <c r="U626" s="4">
        <f ca="1">_xlfn.IFNA(VLOOKUP(INDIRECT("G"&amp;ROW()),minfo!$A:$M,COLUMN()-8,0),"")</f>
        <v>0</v>
      </c>
    </row>
    <row r="627" spans="1:21" ht="15.75" customHeight="1">
      <c r="A627" s="15">
        <v>626</v>
      </c>
      <c r="B627" s="4" t="s">
        <v>4205</v>
      </c>
      <c r="C627" s="4">
        <v>627</v>
      </c>
      <c r="D627" s="4">
        <v>37</v>
      </c>
      <c r="E627" s="4" t="s">
        <v>1620</v>
      </c>
      <c r="F627" s="16">
        <v>45231</v>
      </c>
      <c r="G627" s="5" t="s">
        <v>1619</v>
      </c>
      <c r="H627" s="5" t="s">
        <v>4168</v>
      </c>
      <c r="I627" s="24" t="str">
        <f>HYPERLINK("https://www.bilibili.com/video/BV1ie411v7a2?p=37", "BV1ie411v7a2?p=37")</f>
        <v>BV1ie411v7a2?p=37</v>
      </c>
      <c r="J627" s="4" t="str">
        <f ca="1">_xlfn.IFNA(VLOOKUP(INDIRECT("G"&amp;ROW()),minfo!$A:$M,COLUMN()-8,0),"")</f>
        <v>一路向北</v>
      </c>
      <c r="K627" s="4" t="str">
        <f ca="1">_xlfn.IFNA(VLOOKUP(INDIRECT("G"&amp;ROW()),minfo!$A:$M,COLUMN()-8,0),"")</f>
        <v>周杰伦</v>
      </c>
      <c r="L627" s="4">
        <f ca="1">_xlfn.IFNA(VLOOKUP(INDIRECT("G"&amp;ROW()),minfo!$A:$M,COLUMN()-8,0),"")</f>
        <v>0</v>
      </c>
      <c r="M627" s="4">
        <f ca="1">_xlfn.IFNA(VLOOKUP(INDIRECT("G"&amp;ROW()),minfo!$A:$M,COLUMN()-8,0),"")</f>
        <v>0</v>
      </c>
      <c r="N627" s="4">
        <f ca="1">_xlfn.IFNA(VLOOKUP(INDIRECT("G"&amp;ROW()),minfo!$A:$M,COLUMN()-8,0),"")</f>
        <v>0</v>
      </c>
      <c r="O627" s="4" t="str">
        <f ca="1">_xlfn.IFNA(VLOOKUP(INDIRECT("G"&amp;ROW()),minfo!$A:$M,COLUMN()-8,0),"")</f>
        <v>http://i0.hdslb.com/bfs/station_src/music_metadata/30a9548e104c69c0a6e0747f590b41a2.jpg</v>
      </c>
      <c r="P627" s="4" t="str">
        <f ca="1">_xlfn.IFNA(VLOOKUP(INDIRECT("G"&amp;ROW()),minfo!$A:$M,COLUMN()-8,0),"")</f>
        <v>http://i0.hdslb.com/bfs/station_src/music_metadata/3d9312fb4b7cde3cd376d37c031dfe74</v>
      </c>
      <c r="Q627" s="4">
        <f ca="1">_xlfn.IFNA(VLOOKUP(INDIRECT("G"&amp;ROW()),minfo!$A:$M,COLUMN()-8,0),"")</f>
        <v>9903</v>
      </c>
      <c r="R627" s="4" t="str">
        <f ca="1">_xlfn.IFNA(VLOOKUP(INDIRECT("G"&amp;ROW()),minfo!$A:$M,COLUMN()-8,0),"")</f>
        <v>《头文字D》电影插曲</v>
      </c>
      <c r="S627" s="4" t="str">
        <f ca="1">_xlfn.IFNA(VLOOKUP(INDIRECT("G"&amp;ROW()),minfo!$A:$M,COLUMN()-8,0),"")</f>
        <v>J III MP3 Player</v>
      </c>
      <c r="T627" s="4">
        <f ca="1">_xlfn.IFNA(VLOOKUP(INDIRECT("G"&amp;ROW()),minfo!$A:$M,COLUMN()-8,0),"")</f>
        <v>948949344</v>
      </c>
      <c r="U627" s="4" t="str">
        <f ca="1">_xlfn.IFNA(VLOOKUP(INDIRECT("G"&amp;ROW()),minfo!$A:$M,COLUMN()-8,0),"")</f>
        <v>音乐榜最高NO.16</v>
      </c>
    </row>
    <row r="628" spans="1:21" ht="15.75" customHeight="1">
      <c r="A628" s="15">
        <v>627</v>
      </c>
      <c r="B628" s="4" t="s">
        <v>4206</v>
      </c>
      <c r="C628" s="4">
        <v>628</v>
      </c>
      <c r="D628" s="4">
        <v>38</v>
      </c>
      <c r="E628" s="4" t="s">
        <v>1014</v>
      </c>
      <c r="F628" s="16">
        <v>45231</v>
      </c>
      <c r="G628" s="5" t="s">
        <v>1013</v>
      </c>
      <c r="H628" s="5" t="s">
        <v>4168</v>
      </c>
      <c r="I628" s="24" t="str">
        <f>HYPERLINK("https://www.bilibili.com/video/BV1ie411v7a2?p=38", "BV1ie411v7a2?p=38")</f>
        <v>BV1ie411v7a2?p=38</v>
      </c>
      <c r="J628" s="4" t="str">
        <f ca="1">_xlfn.IFNA(VLOOKUP(INDIRECT("G"&amp;ROW()),minfo!$A:$M,COLUMN()-8,0),"")</f>
        <v>退后</v>
      </c>
      <c r="K628" s="4" t="str">
        <f ca="1">_xlfn.IFNA(VLOOKUP(INDIRECT("G"&amp;ROW()),minfo!$A:$M,COLUMN()-8,0),"")</f>
        <v>周杰伦</v>
      </c>
      <c r="L628" s="4">
        <f ca="1">_xlfn.IFNA(VLOOKUP(INDIRECT("G"&amp;ROW()),minfo!$A:$M,COLUMN()-8,0),"")</f>
        <v>0</v>
      </c>
      <c r="M628" s="4">
        <f ca="1">_xlfn.IFNA(VLOOKUP(INDIRECT("G"&amp;ROW()),minfo!$A:$M,COLUMN()-8,0),"")</f>
        <v>0</v>
      </c>
      <c r="N628" s="4">
        <f ca="1">_xlfn.IFNA(VLOOKUP(INDIRECT("G"&amp;ROW()),minfo!$A:$M,COLUMN()-8,0),"")</f>
        <v>0</v>
      </c>
      <c r="O628" s="4" t="str">
        <f ca="1">_xlfn.IFNA(VLOOKUP(INDIRECT("G"&amp;ROW()),minfo!$A:$M,COLUMN()-8,0),"")</f>
        <v>https://i0.hdslb.com/bfs/station_src/music_metadata/f15e73f798d4a0f5f331d77b333ef1a8.jpg</v>
      </c>
      <c r="P628" s="4" t="str">
        <f ca="1">_xlfn.IFNA(VLOOKUP(INDIRECT("G"&amp;ROW()),minfo!$A:$M,COLUMN()-8,0),"")</f>
        <v>copyright-crawler/music/task-lyric/650e62defad724c0d01134a0.txt</v>
      </c>
      <c r="Q628" s="4">
        <f ca="1">_xlfn.IFNA(VLOOKUP(INDIRECT("G"&amp;ROW()),minfo!$A:$M,COLUMN()-8,0),"")</f>
        <v>1135</v>
      </c>
      <c r="R628" s="4" t="str">
        <f ca="1">_xlfn.IFNA(VLOOKUP(INDIRECT("G"&amp;ROW()),minfo!$A:$M,COLUMN()-8,0),"")</f>
        <v>退后</v>
      </c>
      <c r="S628" s="4" t="str">
        <f ca="1">_xlfn.IFNA(VLOOKUP(INDIRECT("G"&amp;ROW()),minfo!$A:$M,COLUMN()-8,0),"")</f>
        <v>依然范特西</v>
      </c>
      <c r="T628" s="4">
        <f ca="1">_xlfn.IFNA(VLOOKUP(INDIRECT("G"&amp;ROW()),minfo!$A:$M,COLUMN()-8,0),"")</f>
        <v>327291034</v>
      </c>
      <c r="U628" s="4" t="str">
        <f ca="1">_xlfn.IFNA(VLOOKUP(INDIRECT("G"&amp;ROW()),minfo!$A:$M,COLUMN()-8,0),"")</f>
        <v>音乐榜最高NO.19</v>
      </c>
    </row>
    <row r="629" spans="1:21" ht="15.75" customHeight="1">
      <c r="A629" s="15">
        <v>628</v>
      </c>
      <c r="B629" s="4" t="s">
        <v>4207</v>
      </c>
      <c r="C629" s="4">
        <v>629</v>
      </c>
      <c r="D629" s="4">
        <v>39</v>
      </c>
      <c r="E629" s="4" t="s">
        <v>1626</v>
      </c>
      <c r="F629" s="16">
        <v>45231</v>
      </c>
      <c r="G629" s="5" t="s">
        <v>1625</v>
      </c>
      <c r="H629" s="5" t="s">
        <v>4168</v>
      </c>
      <c r="I629" s="24" t="str">
        <f>HYPERLINK("https://www.bilibili.com/video/BV1ie411v7a2?p=39", "BV1ie411v7a2?p=39")</f>
        <v>BV1ie411v7a2?p=39</v>
      </c>
      <c r="J629" s="4" t="str">
        <f ca="1">_xlfn.IFNA(VLOOKUP(INDIRECT("G"&amp;ROW()),minfo!$A:$M,COLUMN()-8,0),"")</f>
        <v>胡桃夹子</v>
      </c>
      <c r="K629" s="4" t="str">
        <f ca="1">_xlfn.IFNA(VLOOKUP(INDIRECT("G"&amp;ROW()),minfo!$A:$M,COLUMN()-8,0),"")</f>
        <v>张碧晨</v>
      </c>
      <c r="L629" s="4">
        <f ca="1">_xlfn.IFNA(VLOOKUP(INDIRECT("G"&amp;ROW()),minfo!$A:$M,COLUMN()-8,0),"")</f>
        <v>0</v>
      </c>
      <c r="M629" s="4">
        <f ca="1">_xlfn.IFNA(VLOOKUP(INDIRECT("G"&amp;ROW()),minfo!$A:$M,COLUMN()-8,0),"")</f>
        <v>0</v>
      </c>
      <c r="N629" s="4">
        <f ca="1">_xlfn.IFNA(VLOOKUP(INDIRECT("G"&amp;ROW()),minfo!$A:$M,COLUMN()-8,0),"")</f>
        <v>0</v>
      </c>
      <c r="O629" s="4" t="str">
        <f ca="1">_xlfn.IFNA(VLOOKUP(INDIRECT("G"&amp;ROW()),minfo!$A:$M,COLUMN()-8,0),"")</f>
        <v>https://i0.hdslb.com/bfs/station_src/music_metadata/08b6c6308b2c1cf59367111a3273728c.jpg</v>
      </c>
      <c r="P629" s="4" t="str">
        <f ca="1">_xlfn.IFNA(VLOOKUP(INDIRECT("G"&amp;ROW()),minfo!$A:$M,COLUMN()-8,0),"")</f>
        <v>http://i0.hdslb.com/bfs/station_src/music_metadata/0cef69ab24d021bdbe707a67ed2d53f4</v>
      </c>
      <c r="Q629" s="4">
        <f ca="1">_xlfn.IFNA(VLOOKUP(INDIRECT("G"&amp;ROW()),minfo!$A:$M,COLUMN()-8,0),"")</f>
        <v>26</v>
      </c>
      <c r="R629" s="4" t="str">
        <f ca="1">_xlfn.IFNA(VLOOKUP(INDIRECT("G"&amp;ROW()),minfo!$A:$M,COLUMN()-8,0),"")</f>
        <v>《健忘村》电影宣传曲</v>
      </c>
      <c r="S629" s="4" t="str">
        <f ca="1">_xlfn.IFNA(VLOOKUP(INDIRECT("G"&amp;ROW()),minfo!$A:$M,COLUMN()-8,0),"")</f>
        <v>开往早晨的午夜</v>
      </c>
      <c r="T629" s="4">
        <f ca="1">_xlfn.IFNA(VLOOKUP(INDIRECT("G"&amp;ROW()),minfo!$A:$M,COLUMN()-8,0),"")</f>
        <v>19335728</v>
      </c>
      <c r="U629" s="4">
        <f ca="1">_xlfn.IFNA(VLOOKUP(INDIRECT("G"&amp;ROW()),minfo!$A:$M,COLUMN()-8,0),"")</f>
        <v>0</v>
      </c>
    </row>
    <row r="630" spans="1:21" ht="15.75" customHeight="1">
      <c r="A630" s="15">
        <v>629</v>
      </c>
      <c r="B630" s="4" t="s">
        <v>4208</v>
      </c>
      <c r="C630" s="4">
        <v>630</v>
      </c>
      <c r="D630" s="4">
        <v>40</v>
      </c>
      <c r="E630" s="4" t="s">
        <v>4209</v>
      </c>
      <c r="F630" s="16">
        <v>45231</v>
      </c>
      <c r="G630" s="5" t="s">
        <v>1631</v>
      </c>
      <c r="H630" s="5" t="s">
        <v>4168</v>
      </c>
      <c r="I630" s="24" t="str">
        <f>HYPERLINK("https://www.bilibili.com/video/BV1ie411v7a2?p=40", "BV1ie411v7a2?p=40")</f>
        <v>BV1ie411v7a2?p=40</v>
      </c>
      <c r="J630" s="4" t="str">
        <f ca="1">_xlfn.IFNA(VLOOKUP(INDIRECT("G"&amp;ROW()),minfo!$A:$M,COLUMN()-8,0),"")</f>
        <v>Forever Young</v>
      </c>
      <c r="K630" s="4" t="str">
        <f ca="1">_xlfn.IFNA(VLOOKUP(INDIRECT("G"&amp;ROW()),minfo!$A:$M,COLUMN()-8,0),"")</f>
        <v>艾怡良</v>
      </c>
      <c r="L630" s="4">
        <f ca="1">_xlfn.IFNA(VLOOKUP(INDIRECT("G"&amp;ROW()),minfo!$A:$M,COLUMN()-8,0),"")</f>
        <v>0</v>
      </c>
      <c r="M630" s="4">
        <f ca="1">_xlfn.IFNA(VLOOKUP(INDIRECT("G"&amp;ROW()),minfo!$A:$M,COLUMN()-8,0),"")</f>
        <v>1121</v>
      </c>
      <c r="N630" s="4">
        <f ca="1">_xlfn.IFNA(VLOOKUP(INDIRECT("G"&amp;ROW()),minfo!$A:$M,COLUMN()-8,0),"")</f>
        <v>108</v>
      </c>
      <c r="O630" s="4" t="str">
        <f ca="1">_xlfn.IFNA(VLOOKUP(INDIRECT("G"&amp;ROW()),minfo!$A:$M,COLUMN()-8,0),"")</f>
        <v>https://i0.hdslb.com/bfs/station_src/music_metadata/dbe0a5c483acdf75be3b3411a94a3f6e.jpg</v>
      </c>
      <c r="P630" s="4" t="str">
        <f ca="1">_xlfn.IFNA(VLOOKUP(INDIRECT("G"&amp;ROW()),minfo!$A:$M,COLUMN()-8,0),"")</f>
        <v>https://i0.hdslb.com/bfs/station_src/music_metadata/0eecea8bad0d6a372d617485427bcadb.txt</v>
      </c>
      <c r="Q630" s="4">
        <f ca="1">_xlfn.IFNA(VLOOKUP(INDIRECT("G"&amp;ROW()),minfo!$A:$M,COLUMN()-8,0),"")</f>
        <v>243</v>
      </c>
      <c r="R630" s="4">
        <f ca="1">_xlfn.IFNA(VLOOKUP(INDIRECT("G"&amp;ROW()),minfo!$A:$M,COLUMN()-8,0),"")</f>
        <v>0</v>
      </c>
      <c r="S630" s="4" t="str">
        <f ca="1">_xlfn.IFNA(VLOOKUP(INDIRECT("G"&amp;ROW()),minfo!$A:$M,COLUMN()-8,0),"")</f>
        <v>Forever Young</v>
      </c>
      <c r="T630" s="4">
        <f ca="1">_xlfn.IFNA(VLOOKUP(INDIRECT("G"&amp;ROW()),minfo!$A:$M,COLUMN()-8,0),"")</f>
        <v>21666407</v>
      </c>
      <c r="U630" s="4">
        <f ca="1">_xlfn.IFNA(VLOOKUP(INDIRECT("G"&amp;ROW()),minfo!$A:$M,COLUMN()-8,0),"")</f>
        <v>0</v>
      </c>
    </row>
    <row r="631" spans="1:21" ht="15.75" customHeight="1">
      <c r="A631" s="15">
        <v>630</v>
      </c>
      <c r="B631" s="4" t="s">
        <v>4210</v>
      </c>
      <c r="C631" s="4">
        <v>631</v>
      </c>
      <c r="D631" s="4">
        <v>41</v>
      </c>
      <c r="E631" s="4" t="s">
        <v>1637</v>
      </c>
      <c r="F631" s="16">
        <v>45231</v>
      </c>
      <c r="G631" s="5" t="s">
        <v>1636</v>
      </c>
      <c r="H631" s="5" t="s">
        <v>4168</v>
      </c>
      <c r="I631" s="24" t="str">
        <f>HYPERLINK("https://www.bilibili.com/video/BV1ie411v7a2?p=41", "BV1ie411v7a2?p=41")</f>
        <v>BV1ie411v7a2?p=41</v>
      </c>
      <c r="J631" s="4" t="str">
        <f ca="1">_xlfn.IFNA(VLOOKUP(INDIRECT("G"&amp;ROW()),minfo!$A:$M,COLUMN()-8,0),"")</f>
        <v>一吻之间</v>
      </c>
      <c r="K631" s="4" t="str">
        <f ca="1">_xlfn.IFNA(VLOOKUP(INDIRECT("G"&amp;ROW()),minfo!$A:$M,COLUMN()-8,0),"")</f>
        <v>张碧晨</v>
      </c>
      <c r="L631" s="4">
        <f ca="1">_xlfn.IFNA(VLOOKUP(INDIRECT("G"&amp;ROW()),minfo!$A:$M,COLUMN()-8,0),"")</f>
        <v>0</v>
      </c>
      <c r="M631" s="4">
        <f ca="1">_xlfn.IFNA(VLOOKUP(INDIRECT("G"&amp;ROW()),minfo!$A:$M,COLUMN()-8,0),"")</f>
        <v>0</v>
      </c>
      <c r="N631" s="4">
        <f ca="1">_xlfn.IFNA(VLOOKUP(INDIRECT("G"&amp;ROW()),minfo!$A:$M,COLUMN()-8,0),"")</f>
        <v>0</v>
      </c>
      <c r="O631" s="4" t="str">
        <f ca="1">_xlfn.IFNA(VLOOKUP(INDIRECT("G"&amp;ROW()),minfo!$A:$M,COLUMN()-8,0),"")</f>
        <v>https://i0.hdslb.com/bfs/station_src/music_metadata/a3d43ce9eb78ab875eed490b32b4a29c.jpg</v>
      </c>
      <c r="P631" s="4" t="str">
        <f ca="1">_xlfn.IFNA(VLOOKUP(INDIRECT("G"&amp;ROW()),minfo!$A:$M,COLUMN()-8,0),"")</f>
        <v>https://i0.hdslb.com/bfs/station_src/music_metadata/72848db79c86b2616cfc18f059965ad3.txt</v>
      </c>
      <c r="Q631" s="4">
        <f ca="1">_xlfn.IFNA(VLOOKUP(INDIRECT("G"&amp;ROW()),minfo!$A:$M,COLUMN()-8,0),"")</f>
        <v>2</v>
      </c>
      <c r="R631" s="4" t="str">
        <f ca="1">_xlfn.IFNA(VLOOKUP(INDIRECT("G"&amp;ROW()),minfo!$A:$M,COLUMN()-8,0),"")</f>
        <v>《青年医生》电视剧插曲</v>
      </c>
      <c r="S631" s="4" t="str">
        <f ca="1">_xlfn.IFNA(VLOOKUP(INDIRECT("G"&amp;ROW()),minfo!$A:$M,COLUMN()-8,0),"")</f>
        <v>青年医生 电视剧原声带</v>
      </c>
      <c r="T631" s="4">
        <f ca="1">_xlfn.IFNA(VLOOKUP(INDIRECT("G"&amp;ROW()),minfo!$A:$M,COLUMN()-8,0),"")</f>
        <v>3055477</v>
      </c>
      <c r="U631" s="4">
        <f ca="1">_xlfn.IFNA(VLOOKUP(INDIRECT("G"&amp;ROW()),minfo!$A:$M,COLUMN()-8,0),"")</f>
        <v>0</v>
      </c>
    </row>
    <row r="632" spans="1:21" ht="15.75" customHeight="1">
      <c r="A632" s="15">
        <v>631</v>
      </c>
      <c r="B632" s="4" t="s">
        <v>4211</v>
      </c>
      <c r="C632" s="4">
        <v>632</v>
      </c>
      <c r="D632" s="4">
        <v>42</v>
      </c>
      <c r="E632" s="4" t="s">
        <v>1643</v>
      </c>
      <c r="F632" s="16">
        <v>45231</v>
      </c>
      <c r="G632" s="5" t="s">
        <v>1642</v>
      </c>
      <c r="H632" s="5" t="s">
        <v>4168</v>
      </c>
      <c r="I632" s="24" t="str">
        <f>HYPERLINK("https://www.bilibili.com/video/BV1ie411v7a2?p=42", "BV1ie411v7a2?p=42")</f>
        <v>BV1ie411v7a2?p=42</v>
      </c>
      <c r="J632" s="4" t="str">
        <f ca="1">_xlfn.IFNA(VLOOKUP(INDIRECT("G"&amp;ROW()),minfo!$A:$M,COLUMN()-8,0),"")</f>
        <v>那个男人</v>
      </c>
      <c r="K632" s="4" t="str">
        <f ca="1">_xlfn.IFNA(VLOOKUP(INDIRECT("G"&amp;ROW()),minfo!$A:$M,COLUMN()-8,0),"")</f>
        <v>宇西</v>
      </c>
      <c r="L632" s="4">
        <f ca="1">_xlfn.IFNA(VLOOKUP(INDIRECT("G"&amp;ROW()),minfo!$A:$M,COLUMN()-8,0),"")</f>
        <v>0</v>
      </c>
      <c r="M632" s="4">
        <f ca="1">_xlfn.IFNA(VLOOKUP(INDIRECT("G"&amp;ROW()),minfo!$A:$M,COLUMN()-8,0),"")</f>
        <v>0</v>
      </c>
      <c r="N632" s="4">
        <f ca="1">_xlfn.IFNA(VLOOKUP(INDIRECT("G"&amp;ROW()),minfo!$A:$M,COLUMN()-8,0),"")</f>
        <v>0</v>
      </c>
      <c r="O632" s="4" t="str">
        <f ca="1">_xlfn.IFNA(VLOOKUP(INDIRECT("G"&amp;ROW()),minfo!$A:$M,COLUMN()-8,0),"")</f>
        <v>https://i0.hdslb.com/bfs/station_src/music_metadata/3fab084ba971f9c9224f8c63526f1532.jpg</v>
      </c>
      <c r="P632" s="4" t="str">
        <f ca="1">_xlfn.IFNA(VLOOKUP(INDIRECT("G"&amp;ROW()),minfo!$A:$M,COLUMN()-8,0),"")</f>
        <v>https://i0.hdslb.com/bfs/station_src/music_metadata/eafe79096ff5c49f2beba9b29d313fee.txt</v>
      </c>
      <c r="Q632" s="4">
        <f ca="1">_xlfn.IFNA(VLOOKUP(INDIRECT("G"&amp;ROW()),minfo!$A:$M,COLUMN()-8,0),"")</f>
        <v>0</v>
      </c>
      <c r="R632" s="4">
        <f ca="1">_xlfn.IFNA(VLOOKUP(INDIRECT("G"&amp;ROW()),minfo!$A:$M,COLUMN()-8,0),"")</f>
        <v>0</v>
      </c>
      <c r="S632" s="4" t="str">
        <f ca="1">_xlfn.IFNA(VLOOKUP(INDIRECT("G"&amp;ROW()),minfo!$A:$M,COLUMN()-8,0),"")</f>
        <v>那个男人（Cover）</v>
      </c>
      <c r="T632" s="4">
        <f ca="1">_xlfn.IFNA(VLOOKUP(INDIRECT("G"&amp;ROW()),minfo!$A:$M,COLUMN()-8,0),"")</f>
        <v>2177494</v>
      </c>
      <c r="U632" s="4">
        <f ca="1">_xlfn.IFNA(VLOOKUP(INDIRECT("G"&amp;ROW()),minfo!$A:$M,COLUMN()-8,0),"")</f>
        <v>0</v>
      </c>
    </row>
    <row r="633" spans="1:21" ht="15.75" customHeight="1">
      <c r="A633" s="15">
        <v>632</v>
      </c>
      <c r="B633" s="4" t="s">
        <v>4212</v>
      </c>
      <c r="C633" s="4">
        <v>633</v>
      </c>
      <c r="D633" s="4">
        <v>43</v>
      </c>
      <c r="E633" s="4" t="s">
        <v>1649</v>
      </c>
      <c r="F633" s="16">
        <v>45231</v>
      </c>
      <c r="G633" s="5" t="s">
        <v>1648</v>
      </c>
      <c r="H633" s="5" t="s">
        <v>4168</v>
      </c>
      <c r="I633" s="24" t="str">
        <f>HYPERLINK("https://www.bilibili.com/video/BV1ie411v7a2?p=43", "BV1ie411v7a2?p=43")</f>
        <v>BV1ie411v7a2?p=43</v>
      </c>
      <c r="J633" s="4" t="str">
        <f ca="1">_xlfn.IFNA(VLOOKUP(INDIRECT("G"&amp;ROW()),minfo!$A:$M,COLUMN()-8,0),"")</f>
        <v>白芍花开</v>
      </c>
      <c r="K633" s="4" t="str">
        <f ca="1">_xlfn.IFNA(VLOOKUP(INDIRECT("G"&amp;ROW()),minfo!$A:$M,COLUMN()-8,0),"")</f>
        <v>张碧晨</v>
      </c>
      <c r="L633" s="4">
        <f ca="1">_xlfn.IFNA(VLOOKUP(INDIRECT("G"&amp;ROW()),minfo!$A:$M,COLUMN()-8,0),"")</f>
        <v>0</v>
      </c>
      <c r="M633" s="4">
        <f ca="1">_xlfn.IFNA(VLOOKUP(INDIRECT("G"&amp;ROW()),minfo!$A:$M,COLUMN()-8,0),"")</f>
        <v>0</v>
      </c>
      <c r="N633" s="4">
        <f ca="1">_xlfn.IFNA(VLOOKUP(INDIRECT("G"&amp;ROW()),minfo!$A:$M,COLUMN()-8,0),"")</f>
        <v>0</v>
      </c>
      <c r="O633" s="4" t="str">
        <f ca="1">_xlfn.IFNA(VLOOKUP(INDIRECT("G"&amp;ROW()),minfo!$A:$M,COLUMN()-8,0),"")</f>
        <v>https://i0.hdslb.com/bfs/station_src/music_metadata/60c38822d75385bc7f7246251764a48e.jpg</v>
      </c>
      <c r="P633" s="4">
        <f ca="1">_xlfn.IFNA(VLOOKUP(INDIRECT("G"&amp;ROW()),minfo!$A:$M,COLUMN()-8,0),"")</f>
        <v>0</v>
      </c>
      <c r="Q633" s="4">
        <f ca="1">_xlfn.IFNA(VLOOKUP(INDIRECT("G"&amp;ROW()),minfo!$A:$M,COLUMN()-8,0),"")</f>
        <v>3</v>
      </c>
      <c r="R633" s="4" t="str">
        <f ca="1">_xlfn.IFNA(VLOOKUP(INDIRECT("G"&amp;ROW()),minfo!$A:$M,COLUMN()-8,0),"")</f>
        <v>白芍花开</v>
      </c>
      <c r="S633" s="4" t="str">
        <f ca="1">_xlfn.IFNA(VLOOKUP(INDIRECT("G"&amp;ROW()),minfo!$A:$M,COLUMN()-8,0),"")</f>
        <v>2015羽西品牌广告曲</v>
      </c>
      <c r="T633" s="4">
        <f ca="1">_xlfn.IFNA(VLOOKUP(INDIRECT("G"&amp;ROW()),minfo!$A:$M,COLUMN()-8,0),"")</f>
        <v>1807396</v>
      </c>
      <c r="U633" s="4">
        <f ca="1">_xlfn.IFNA(VLOOKUP(INDIRECT("G"&amp;ROW()),minfo!$A:$M,COLUMN()-8,0),"")</f>
        <v>0</v>
      </c>
    </row>
    <row r="634" spans="1:21" ht="15.75" customHeight="1">
      <c r="A634" s="15">
        <v>633</v>
      </c>
      <c r="B634" s="4" t="s">
        <v>4213</v>
      </c>
      <c r="C634" s="4">
        <v>634</v>
      </c>
      <c r="D634" s="4">
        <v>44</v>
      </c>
      <c r="E634" s="4" t="s">
        <v>1553</v>
      </c>
      <c r="F634" s="16">
        <v>45231</v>
      </c>
      <c r="G634" s="5" t="s">
        <v>1552</v>
      </c>
      <c r="H634" s="5" t="s">
        <v>4168</v>
      </c>
      <c r="I634" s="24" t="str">
        <f>HYPERLINK("https://www.bilibili.com/video/BV1ie411v7a2?p=44", "BV1ie411v7a2?p=44")</f>
        <v>BV1ie411v7a2?p=44</v>
      </c>
      <c r="J634" s="4" t="str">
        <f ca="1">_xlfn.IFNA(VLOOKUP(INDIRECT("G"&amp;ROW()),minfo!$A:$M,COLUMN()-8,0),"")</f>
        <v>光亮</v>
      </c>
      <c r="K634" s="4" t="str">
        <f ca="1">_xlfn.IFNA(VLOOKUP(INDIRECT("G"&amp;ROW()),minfo!$A:$M,COLUMN()-8,0),"")</f>
        <v>周深</v>
      </c>
      <c r="L634" s="4">
        <f ca="1">_xlfn.IFNA(VLOOKUP(INDIRECT("G"&amp;ROW()),minfo!$A:$M,COLUMN()-8,0),"")</f>
        <v>0</v>
      </c>
      <c r="M634" s="4">
        <f ca="1">_xlfn.IFNA(VLOOKUP(INDIRECT("G"&amp;ROW()),minfo!$A:$M,COLUMN()-8,0),"")</f>
        <v>50129</v>
      </c>
      <c r="N634" s="4">
        <f ca="1">_xlfn.IFNA(VLOOKUP(INDIRECT("G"&amp;ROW()),minfo!$A:$M,COLUMN()-8,0),"")</f>
        <v>14164</v>
      </c>
      <c r="O634" s="4" t="str">
        <f ca="1">_xlfn.IFNA(VLOOKUP(INDIRECT("G"&amp;ROW()),minfo!$A:$M,COLUMN()-8,0),"")</f>
        <v>https://i0.hdslb.com/bfs/station_src/music_metadata/432327254cfcfcbb06e70cd8958eec15.jpg</v>
      </c>
      <c r="P634" s="4" t="str">
        <f ca="1">_xlfn.IFNA(VLOOKUP(INDIRECT("G"&amp;ROW()),minfo!$A:$M,COLUMN()-8,0),"")</f>
        <v>https://i0.hdslb.com/bfs/station_src/music_metadata/bc80794f31f422159366c112e2245a93.txt</v>
      </c>
      <c r="Q634" s="4">
        <f ca="1">_xlfn.IFNA(VLOOKUP(INDIRECT("G"&amp;ROW()),minfo!$A:$M,COLUMN()-8,0),"")</f>
        <v>637</v>
      </c>
      <c r="R634" s="4" t="str">
        <f ca="1">_xlfn.IFNA(VLOOKUP(INDIRECT("G"&amp;ROW()),minfo!$A:$M,COLUMN()-8,0),"")</f>
        <v>《紫禁城》大型纪录片主题歌</v>
      </c>
      <c r="S634" s="4" t="str">
        <f ca="1">_xlfn.IFNA(VLOOKUP(INDIRECT("G"&amp;ROW()),minfo!$A:$M,COLUMN()-8,0),"")</f>
        <v>大型纪录片《紫禁城》主题歌音乐专辑</v>
      </c>
      <c r="T634" s="4">
        <f ca="1">_xlfn.IFNA(VLOOKUP(INDIRECT("G"&amp;ROW()),minfo!$A:$M,COLUMN()-8,0),"")</f>
        <v>165524997</v>
      </c>
      <c r="U634" s="4" t="str">
        <f ca="1">_xlfn.IFNA(VLOOKUP(INDIRECT("G"&amp;ROW()),minfo!$A:$M,COLUMN()-8,0),"")</f>
        <v>音乐榜最高NO.9</v>
      </c>
    </row>
    <row r="635" spans="1:21" ht="15.75" customHeight="1">
      <c r="A635" s="15">
        <v>634</v>
      </c>
      <c r="B635" s="4" t="s">
        <v>4214</v>
      </c>
      <c r="C635" s="4">
        <v>635</v>
      </c>
      <c r="D635" s="4">
        <v>45</v>
      </c>
      <c r="E635" s="4" t="s">
        <v>1616</v>
      </c>
      <c r="F635" s="16">
        <v>45233</v>
      </c>
      <c r="G635" s="5" t="s">
        <v>1615</v>
      </c>
      <c r="H635" s="5" t="s">
        <v>4168</v>
      </c>
      <c r="I635" s="24" t="str">
        <f>HYPERLINK("https://www.bilibili.com/video/BV1ie411v7a2?p=45", "BV1ie411v7a2?p=45")</f>
        <v>BV1ie411v7a2?p=45</v>
      </c>
      <c r="J635" s="4" t="str">
        <f ca="1">_xlfn.IFNA(VLOOKUP(INDIRECT("G"&amp;ROW()),minfo!$A:$M,COLUMN()-8,0),"")</f>
        <v>雨后日记</v>
      </c>
      <c r="K635" s="4" t="str">
        <f ca="1">_xlfn.IFNA(VLOOKUP(INDIRECT("G"&amp;ROW()),minfo!$A:$M,COLUMN()-8,0),"")</f>
        <v>单依纯</v>
      </c>
      <c r="L635" s="4">
        <f ca="1">_xlfn.IFNA(VLOOKUP(INDIRECT("G"&amp;ROW()),minfo!$A:$M,COLUMN()-8,0),"")</f>
        <v>0</v>
      </c>
      <c r="M635" s="4">
        <f ca="1">_xlfn.IFNA(VLOOKUP(INDIRECT("G"&amp;ROW()),minfo!$A:$M,COLUMN()-8,0),"")</f>
        <v>0</v>
      </c>
      <c r="N635" s="4">
        <f ca="1">_xlfn.IFNA(VLOOKUP(INDIRECT("G"&amp;ROW()),minfo!$A:$M,COLUMN()-8,0),"")</f>
        <v>0</v>
      </c>
      <c r="O635" s="4" t="str">
        <f ca="1">_xlfn.IFNA(VLOOKUP(INDIRECT("G"&amp;ROW()),minfo!$A:$M,COLUMN()-8,0),"")</f>
        <v>http://i0.hdslb.com/bfs/station_src/music_metadata/3afd0ffaed0e7606577cabb03408bdd1.jpg</v>
      </c>
      <c r="P635" s="4">
        <f ca="1">_xlfn.IFNA(VLOOKUP(INDIRECT("G"&amp;ROW()),minfo!$A:$M,COLUMN()-8,0),"")</f>
        <v>0</v>
      </c>
      <c r="Q635" s="4">
        <f ca="1">_xlfn.IFNA(VLOOKUP(INDIRECT("G"&amp;ROW()),minfo!$A:$M,COLUMN()-8,0),"")</f>
        <v>15</v>
      </c>
      <c r="R635" s="4">
        <f ca="1">_xlfn.IFNA(VLOOKUP(INDIRECT("G"&amp;ROW()),minfo!$A:$M,COLUMN()-8,0),"")</f>
        <v>0</v>
      </c>
      <c r="S635" s="4" t="str">
        <f ca="1">_xlfn.IFNA(VLOOKUP(INDIRECT("G"&amp;ROW()),minfo!$A:$M,COLUMN()-8,0),"")</f>
        <v>勇敢额度</v>
      </c>
      <c r="T635" s="4">
        <f ca="1">_xlfn.IFNA(VLOOKUP(INDIRECT("G"&amp;ROW()),minfo!$A:$M,COLUMN()-8,0),"")</f>
        <v>5496354</v>
      </c>
      <c r="U635" s="4">
        <f ca="1">_xlfn.IFNA(VLOOKUP(INDIRECT("G"&amp;ROW()),minfo!$A:$M,COLUMN()-8,0),"")</f>
        <v>0</v>
      </c>
    </row>
    <row r="636" spans="1:21" ht="15.75" customHeight="1">
      <c r="A636" s="15">
        <v>635</v>
      </c>
      <c r="B636" s="4" t="s">
        <v>4215</v>
      </c>
      <c r="C636" s="4">
        <v>636</v>
      </c>
      <c r="D636" s="4">
        <v>46</v>
      </c>
      <c r="E636" s="4" t="s">
        <v>488</v>
      </c>
      <c r="F636" s="16">
        <v>45233</v>
      </c>
      <c r="G636" s="5" t="s">
        <v>487</v>
      </c>
      <c r="H636" s="5" t="s">
        <v>4168</v>
      </c>
      <c r="I636" s="24" t="str">
        <f>HYPERLINK("https://www.bilibili.com/video/BV1ie411v7a2?p=46", "BV1ie411v7a2?p=46")</f>
        <v>BV1ie411v7a2?p=46</v>
      </c>
      <c r="J636" s="4" t="str">
        <f ca="1">_xlfn.IFNA(VLOOKUP(INDIRECT("G"&amp;ROW()),minfo!$A:$M,COLUMN()-8,0),"")</f>
        <v>如此</v>
      </c>
      <c r="K636" s="4" t="str">
        <f ca="1">_xlfn.IFNA(VLOOKUP(INDIRECT("G"&amp;ROW()),minfo!$A:$M,COLUMN()-8,0),"")</f>
        <v>单依纯</v>
      </c>
      <c r="L636" s="4">
        <f ca="1">_xlfn.IFNA(VLOOKUP(INDIRECT("G"&amp;ROW()),minfo!$A:$M,COLUMN()-8,0),"")</f>
        <v>0</v>
      </c>
      <c r="M636" s="4">
        <f ca="1">_xlfn.IFNA(VLOOKUP(INDIRECT("G"&amp;ROW()),minfo!$A:$M,COLUMN()-8,0),"")</f>
        <v>0</v>
      </c>
      <c r="N636" s="4">
        <f ca="1">_xlfn.IFNA(VLOOKUP(INDIRECT("G"&amp;ROW()),minfo!$A:$M,COLUMN()-8,0),"")</f>
        <v>0</v>
      </c>
      <c r="O636" s="4" t="str">
        <f ca="1">_xlfn.IFNA(VLOOKUP(INDIRECT("G"&amp;ROW()),minfo!$A:$M,COLUMN()-8,0),"")</f>
        <v>https://i0.hdslb.com/bfs/station_src/music_metadata/02e014c37d605c9c48efcef4cb1658b5.jpg</v>
      </c>
      <c r="P636" s="4">
        <f ca="1">_xlfn.IFNA(VLOOKUP(INDIRECT("G"&amp;ROW()),minfo!$A:$M,COLUMN()-8,0),"")</f>
        <v>0</v>
      </c>
      <c r="Q636" s="4">
        <f ca="1">_xlfn.IFNA(VLOOKUP(INDIRECT("G"&amp;ROW()),minfo!$A:$M,COLUMN()-8,0),"")</f>
        <v>32</v>
      </c>
      <c r="R636" s="4">
        <f ca="1">_xlfn.IFNA(VLOOKUP(INDIRECT("G"&amp;ROW()),minfo!$A:$M,COLUMN()-8,0),"")</f>
        <v>0</v>
      </c>
      <c r="S636" s="4" t="str">
        <f ca="1">_xlfn.IFNA(VLOOKUP(INDIRECT("G"&amp;ROW()),minfo!$A:$M,COLUMN()-8,0),"")</f>
        <v>2020中国好声音 第10期</v>
      </c>
      <c r="T636" s="4">
        <f ca="1">_xlfn.IFNA(VLOOKUP(INDIRECT("G"&amp;ROW()),minfo!$A:$M,COLUMN()-8,0),"")</f>
        <v>13362616</v>
      </c>
      <c r="U636" s="4">
        <f ca="1">_xlfn.IFNA(VLOOKUP(INDIRECT("G"&amp;ROW()),minfo!$A:$M,COLUMN()-8,0),"")</f>
        <v>0</v>
      </c>
    </row>
    <row r="637" spans="1:21" ht="15.75" customHeight="1">
      <c r="A637" s="15">
        <v>636</v>
      </c>
      <c r="B637" s="4" t="s">
        <v>4216</v>
      </c>
      <c r="C637" s="4">
        <v>637</v>
      </c>
      <c r="D637" s="4">
        <v>47</v>
      </c>
      <c r="E637" s="4" t="s">
        <v>30</v>
      </c>
      <c r="F637" s="16">
        <v>45233</v>
      </c>
      <c r="G637" s="5" t="s">
        <v>29</v>
      </c>
      <c r="H637" s="5" t="s">
        <v>4168</v>
      </c>
      <c r="I637" s="24" t="str">
        <f>HYPERLINK("https://www.bilibili.com/video/BV1ie411v7a2?p=47", "BV1ie411v7a2?p=47")</f>
        <v>BV1ie411v7a2?p=47</v>
      </c>
      <c r="J637" s="4" t="str">
        <f ca="1">_xlfn.IFNA(VLOOKUP(INDIRECT("G"&amp;ROW()),minfo!$A:$M,COLUMN()-8,0),"")</f>
        <v>下雨天</v>
      </c>
      <c r="K637" s="4" t="str">
        <f ca="1">_xlfn.IFNA(VLOOKUP(INDIRECT("G"&amp;ROW()),minfo!$A:$M,COLUMN()-8,0),"")</f>
        <v>南拳妈妈</v>
      </c>
      <c r="L637" s="4">
        <f ca="1">_xlfn.IFNA(VLOOKUP(INDIRECT("G"&amp;ROW()),minfo!$A:$M,COLUMN()-8,0),"")</f>
        <v>0</v>
      </c>
      <c r="M637" s="4">
        <f ca="1">_xlfn.IFNA(VLOOKUP(INDIRECT("G"&amp;ROW()),minfo!$A:$M,COLUMN()-8,0),"")</f>
        <v>0</v>
      </c>
      <c r="N637" s="4">
        <f ca="1">_xlfn.IFNA(VLOOKUP(INDIRECT("G"&amp;ROW()),minfo!$A:$M,COLUMN()-8,0),"")</f>
        <v>0</v>
      </c>
      <c r="O637" s="4" t="str">
        <f ca="1">_xlfn.IFNA(VLOOKUP(INDIRECT("G"&amp;ROW()),minfo!$A:$M,COLUMN()-8,0),"")</f>
        <v>http://i0.hdslb.com/bfs/station_src/music_metadata/11894af49c3a6335acdcff5503de93ca.jpg</v>
      </c>
      <c r="P637" s="4" t="str">
        <f ca="1">_xlfn.IFNA(VLOOKUP(INDIRECT("G"&amp;ROW()),minfo!$A:$M,COLUMN()-8,0),"")</f>
        <v>http://i0.hdslb.com/bfs/station_src/music_metadata/7562376c6e398641a1432bf3281bc565</v>
      </c>
      <c r="Q637" s="4">
        <f ca="1">_xlfn.IFNA(VLOOKUP(INDIRECT("G"&amp;ROW()),minfo!$A:$M,COLUMN()-8,0),"")</f>
        <v>1858</v>
      </c>
      <c r="R637" s="4">
        <f ca="1">_xlfn.IFNA(VLOOKUP(INDIRECT("G"&amp;ROW()),minfo!$A:$M,COLUMN()-8,0),"")</f>
        <v>0</v>
      </c>
      <c r="S637" s="4" t="str">
        <f ca="1">_xlfn.IFNA(VLOOKUP(INDIRECT("G"&amp;ROW()),minfo!$A:$M,COLUMN()-8,0),"")</f>
        <v>优の良曲 南搞小孩</v>
      </c>
      <c r="T637" s="4">
        <f ca="1">_xlfn.IFNA(VLOOKUP(INDIRECT("G"&amp;ROW()),minfo!$A:$M,COLUMN()-8,0),"")</f>
        <v>282780877</v>
      </c>
      <c r="U637" s="4" t="str">
        <f ca="1">_xlfn.IFNA(VLOOKUP(INDIRECT("G"&amp;ROW()),minfo!$A:$M,COLUMN()-8,0),"")</f>
        <v>音乐榜最高NO.14</v>
      </c>
    </row>
    <row r="638" spans="1:21" ht="15.75" customHeight="1">
      <c r="A638" s="15">
        <v>637</v>
      </c>
      <c r="B638" s="4" t="s">
        <v>4217</v>
      </c>
      <c r="C638" s="4">
        <v>638</v>
      </c>
      <c r="D638" s="4">
        <v>48</v>
      </c>
      <c r="E638" s="4" t="s">
        <v>980</v>
      </c>
      <c r="F638" s="16">
        <v>45233</v>
      </c>
      <c r="G638" s="5" t="s">
        <v>979</v>
      </c>
      <c r="H638" s="5" t="s">
        <v>4168</v>
      </c>
      <c r="I638" s="24" t="str">
        <f>HYPERLINK("https://www.bilibili.com/video/BV1ie411v7a2?p=48", "BV1ie411v7a2?p=48")</f>
        <v>BV1ie411v7a2?p=48</v>
      </c>
      <c r="J638" s="4" t="str">
        <f ca="1">_xlfn.IFNA(VLOOKUP(INDIRECT("G"&amp;ROW()),minfo!$A:$M,COLUMN()-8,0),"")</f>
        <v>寻一个天荒地老的地方</v>
      </c>
      <c r="K638" s="4" t="str">
        <f ca="1">_xlfn.IFNA(VLOOKUP(INDIRECT("G"&amp;ROW()),minfo!$A:$M,COLUMN()-8,0),"")</f>
        <v>单依纯</v>
      </c>
      <c r="L638" s="4">
        <f ca="1">_xlfn.IFNA(VLOOKUP(INDIRECT("G"&amp;ROW()),minfo!$A:$M,COLUMN()-8,0),"")</f>
        <v>0</v>
      </c>
      <c r="M638" s="4">
        <f ca="1">_xlfn.IFNA(VLOOKUP(INDIRECT("G"&amp;ROW()),minfo!$A:$M,COLUMN()-8,0),"")</f>
        <v>0</v>
      </c>
      <c r="N638" s="4">
        <f ca="1">_xlfn.IFNA(VLOOKUP(INDIRECT("G"&amp;ROW()),minfo!$A:$M,COLUMN()-8,0),"")</f>
        <v>0</v>
      </c>
      <c r="O638" s="4" t="str">
        <f ca="1">_xlfn.IFNA(VLOOKUP(INDIRECT("G"&amp;ROW()),minfo!$A:$M,COLUMN()-8,0),"")</f>
        <v>https://i0.hdslb.com/bfs/station_src/music_metadata/1baf91b2d2f204c468162a37d5dc6011.jpg</v>
      </c>
      <c r="P638" s="4" t="str">
        <f ca="1">_xlfn.IFNA(VLOOKUP(INDIRECT("G"&amp;ROW()),minfo!$A:$M,COLUMN()-8,0),"")</f>
        <v>https://i0.hdslb.com/bfs/station_src/music_metadata/e080f50db39ef189fa94151d5b77dc5d.txt</v>
      </c>
      <c r="Q638" s="4">
        <f ca="1">_xlfn.IFNA(VLOOKUP(INDIRECT("G"&amp;ROW()),minfo!$A:$M,COLUMN()-8,0),"")</f>
        <v>3</v>
      </c>
      <c r="R638" s="4">
        <f ca="1">_xlfn.IFNA(VLOOKUP(INDIRECT("G"&amp;ROW()),minfo!$A:$M,COLUMN()-8,0),"")</f>
        <v>0</v>
      </c>
      <c r="S638" s="4" t="str">
        <f ca="1">_xlfn.IFNA(VLOOKUP(INDIRECT("G"&amp;ROW()),minfo!$A:$M,COLUMN()-8,0),"")</f>
        <v>2020中国好声音 第8期</v>
      </c>
      <c r="T638" s="4">
        <f ca="1">_xlfn.IFNA(VLOOKUP(INDIRECT("G"&amp;ROW()),minfo!$A:$M,COLUMN()-8,0),"")</f>
        <v>1875423</v>
      </c>
      <c r="U638" s="4">
        <f ca="1">_xlfn.IFNA(VLOOKUP(INDIRECT("G"&amp;ROW()),minfo!$A:$M,COLUMN()-8,0),"")</f>
        <v>0</v>
      </c>
    </row>
    <row r="639" spans="1:21" ht="15.75" customHeight="1">
      <c r="A639" s="15">
        <v>638</v>
      </c>
      <c r="B639" s="4" t="s">
        <v>4218</v>
      </c>
      <c r="C639" s="4">
        <v>639</v>
      </c>
      <c r="D639" s="4">
        <v>49</v>
      </c>
      <c r="E639" s="4" t="s">
        <v>1478</v>
      </c>
      <c r="F639" s="16">
        <v>45233</v>
      </c>
      <c r="G639" s="5" t="s">
        <v>1477</v>
      </c>
      <c r="H639" s="5" t="s">
        <v>4168</v>
      </c>
      <c r="I639" s="24" t="str">
        <f>HYPERLINK("https://www.bilibili.com/video/BV1ie411v7a2?p=49", "BV1ie411v7a2?p=49")</f>
        <v>BV1ie411v7a2?p=49</v>
      </c>
      <c r="J639" s="4" t="str">
        <f ca="1">_xlfn.IFNA(VLOOKUP(INDIRECT("G"&amp;ROW()),minfo!$A:$M,COLUMN()-8,0),"")</f>
        <v>想你时风起</v>
      </c>
      <c r="K639" s="4" t="str">
        <f ca="1">_xlfn.IFNA(VLOOKUP(INDIRECT("G"&amp;ROW()),minfo!$A:$M,COLUMN()-8,0),"")</f>
        <v>单依纯</v>
      </c>
      <c r="L639" s="4">
        <f ca="1">_xlfn.IFNA(VLOOKUP(INDIRECT("G"&amp;ROW()),minfo!$A:$M,COLUMN()-8,0),"")</f>
        <v>0</v>
      </c>
      <c r="M639" s="4">
        <f ca="1">_xlfn.IFNA(VLOOKUP(INDIRECT("G"&amp;ROW()),minfo!$A:$M,COLUMN()-8,0),"")</f>
        <v>0</v>
      </c>
      <c r="N639" s="4">
        <f ca="1">_xlfn.IFNA(VLOOKUP(INDIRECT("G"&amp;ROW()),minfo!$A:$M,COLUMN()-8,0),"")</f>
        <v>0</v>
      </c>
      <c r="O639" s="4" t="str">
        <f ca="1">_xlfn.IFNA(VLOOKUP(INDIRECT("G"&amp;ROW()),minfo!$A:$M,COLUMN()-8,0),"")</f>
        <v>http://i0.hdslb.com/bfs/station_src/music_metadata/690d5f026cf42acdf74154d42a9e4aec.jpg</v>
      </c>
      <c r="P639" s="4">
        <f ca="1">_xlfn.IFNA(VLOOKUP(INDIRECT("G"&amp;ROW()),minfo!$A:$M,COLUMN()-8,0),"")</f>
        <v>0</v>
      </c>
      <c r="Q639" s="4">
        <f ca="1">_xlfn.IFNA(VLOOKUP(INDIRECT("G"&amp;ROW()),minfo!$A:$M,COLUMN()-8,0),"")</f>
        <v>710</v>
      </c>
      <c r="R639" s="4">
        <f ca="1">_xlfn.IFNA(VLOOKUP(INDIRECT("G"&amp;ROW()),minfo!$A:$M,COLUMN()-8,0),"")</f>
        <v>0</v>
      </c>
      <c r="S639" s="4" t="str">
        <f ca="1">_xlfn.IFNA(VLOOKUP(INDIRECT("G"&amp;ROW()),minfo!$A:$M,COLUMN()-8,0),"")</f>
        <v>想你时风起</v>
      </c>
      <c r="T639" s="4">
        <f ca="1">_xlfn.IFNA(VLOOKUP(INDIRECT("G"&amp;ROW()),minfo!$A:$M,COLUMN()-8,0),"")</f>
        <v>48566163</v>
      </c>
      <c r="U639" s="4">
        <f ca="1">_xlfn.IFNA(VLOOKUP(INDIRECT("G"&amp;ROW()),minfo!$A:$M,COLUMN()-8,0),"")</f>
        <v>0</v>
      </c>
    </row>
    <row r="640" spans="1:21" ht="15.75" customHeight="1">
      <c r="A640" s="15">
        <v>639</v>
      </c>
      <c r="B640" s="4" t="s">
        <v>4219</v>
      </c>
      <c r="C640" s="4">
        <v>640</v>
      </c>
      <c r="D640" s="4">
        <v>50</v>
      </c>
      <c r="E640" s="4" t="s">
        <v>1048</v>
      </c>
      <c r="F640" s="16">
        <v>45242</v>
      </c>
      <c r="G640" s="5" t="s">
        <v>1047</v>
      </c>
      <c r="H640" s="5" t="s">
        <v>4168</v>
      </c>
      <c r="I640" s="24" t="str">
        <f>HYPERLINK("https://www.bilibili.com/video/BV1ie411v7a2?p=50", "BV1ie411v7a2?p=50")</f>
        <v>BV1ie411v7a2?p=50</v>
      </c>
      <c r="J640" s="4" t="str">
        <f ca="1">_xlfn.IFNA(VLOOKUP(INDIRECT("G"&amp;ROW()),minfo!$A:$M,COLUMN()-8,0),"")</f>
        <v>雨下一整晚</v>
      </c>
      <c r="K640" s="4" t="str">
        <f ca="1">_xlfn.IFNA(VLOOKUP(INDIRECT("G"&amp;ROW()),minfo!$A:$M,COLUMN()-8,0),"")</f>
        <v>周杰伦</v>
      </c>
      <c r="L640" s="4">
        <f ca="1">_xlfn.IFNA(VLOOKUP(INDIRECT("G"&amp;ROW()),minfo!$A:$M,COLUMN()-8,0),"")</f>
        <v>0</v>
      </c>
      <c r="M640" s="4">
        <f ca="1">_xlfn.IFNA(VLOOKUP(INDIRECT("G"&amp;ROW()),minfo!$A:$M,COLUMN()-8,0),"")</f>
        <v>0</v>
      </c>
      <c r="N640" s="4">
        <f ca="1">_xlfn.IFNA(VLOOKUP(INDIRECT("G"&amp;ROW()),minfo!$A:$M,COLUMN()-8,0),"")</f>
        <v>0</v>
      </c>
      <c r="O640" s="4" t="str">
        <f ca="1">_xlfn.IFNA(VLOOKUP(INDIRECT("G"&amp;ROW()),minfo!$A:$M,COLUMN()-8,0),"")</f>
        <v>https://i0.hdslb.com/bfs/station_src/music_metadata/740bcd3058e7aa98df27f1f0a32b0f4b.jpg</v>
      </c>
      <c r="P640" s="4" t="str">
        <f ca="1">_xlfn.IFNA(VLOOKUP(INDIRECT("G"&amp;ROW()),minfo!$A:$M,COLUMN()-8,0),"")</f>
        <v>copyright-crawler/music/task-lyric/654daafbfad724c0d03b496f.txt</v>
      </c>
      <c r="Q640" s="4">
        <f ca="1">_xlfn.IFNA(VLOOKUP(INDIRECT("G"&amp;ROW()),minfo!$A:$M,COLUMN()-8,0),"")</f>
        <v>2220</v>
      </c>
      <c r="R640" s="4" t="str">
        <f ca="1">_xlfn.IFNA(VLOOKUP(INDIRECT("G"&amp;ROW()),minfo!$A:$M,COLUMN()-8,0),"")</f>
        <v>雨下一整晚</v>
      </c>
      <c r="S640" s="4" t="str">
        <f ca="1">_xlfn.IFNA(VLOOKUP(INDIRECT("G"&amp;ROW()),minfo!$A:$M,COLUMN()-8,0),"")</f>
        <v>跨时代</v>
      </c>
      <c r="T640" s="4">
        <f ca="1">_xlfn.IFNA(VLOOKUP(INDIRECT("G"&amp;ROW()),minfo!$A:$M,COLUMN()-8,0),"")</f>
        <v>288931916</v>
      </c>
      <c r="U640" s="4">
        <f ca="1">_xlfn.IFNA(VLOOKUP(INDIRECT("G"&amp;ROW()),minfo!$A:$M,COLUMN()-8,0),"")</f>
        <v>0</v>
      </c>
    </row>
    <row r="641" spans="1:21" ht="15.75" customHeight="1">
      <c r="A641" s="15">
        <v>640</v>
      </c>
      <c r="B641" s="4" t="s">
        <v>4220</v>
      </c>
      <c r="C641" s="4">
        <v>641</v>
      </c>
      <c r="D641" s="4">
        <v>51</v>
      </c>
      <c r="E641" s="4" t="s">
        <v>1653</v>
      </c>
      <c r="F641" s="16">
        <v>45242</v>
      </c>
      <c r="G641" s="5" t="s">
        <v>1652</v>
      </c>
      <c r="H641" s="5" t="s">
        <v>4168</v>
      </c>
      <c r="I641" s="24" t="str">
        <f>HYPERLINK("https://www.bilibili.com/video/BV1ie411v7a2?p=51", "BV1ie411v7a2?p=51")</f>
        <v>BV1ie411v7a2?p=51</v>
      </c>
      <c r="J641" s="4" t="str">
        <f ca="1">_xlfn.IFNA(VLOOKUP(INDIRECT("G"&amp;ROW()),minfo!$A:$M,COLUMN()-8,0),"")</f>
        <v>不为谁而作的歌</v>
      </c>
      <c r="K641" s="4" t="str">
        <f ca="1">_xlfn.IFNA(VLOOKUP(INDIRECT("G"&amp;ROW()),minfo!$A:$M,COLUMN()-8,0),"")</f>
        <v>林俊杰</v>
      </c>
      <c r="L641" s="4">
        <f ca="1">_xlfn.IFNA(VLOOKUP(INDIRECT("G"&amp;ROW()),minfo!$A:$M,COLUMN()-8,0),"")</f>
        <v>0</v>
      </c>
      <c r="M641" s="4">
        <f ca="1">_xlfn.IFNA(VLOOKUP(INDIRECT("G"&amp;ROW()),minfo!$A:$M,COLUMN()-8,0),"")</f>
        <v>0</v>
      </c>
      <c r="N641" s="4">
        <f ca="1">_xlfn.IFNA(VLOOKUP(INDIRECT("G"&amp;ROW()),minfo!$A:$M,COLUMN()-8,0),"")</f>
        <v>0</v>
      </c>
      <c r="O641" s="4" t="str">
        <f ca="1">_xlfn.IFNA(VLOOKUP(INDIRECT("G"&amp;ROW()),minfo!$A:$M,COLUMN()-8,0),"")</f>
        <v>https://i0.hdslb.com/bfs/station_src/music_metadata/ef02a89c1ac2118e61c5d6311110cfd8.jpg</v>
      </c>
      <c r="P641" s="4" t="str">
        <f ca="1">_xlfn.IFNA(VLOOKUP(INDIRECT("G"&amp;ROW()),minfo!$A:$M,COLUMN()-8,0),"")</f>
        <v>https://i0.hdslb.com/bfs/station_src/music_metadata/12f5f595b70ca92e5cee389d2e4d9107.txt</v>
      </c>
      <c r="Q641" s="4">
        <f ca="1">_xlfn.IFNA(VLOOKUP(INDIRECT("G"&amp;ROW()),minfo!$A:$M,COLUMN()-8,0),"")</f>
        <v>791</v>
      </c>
      <c r="R641" s="4">
        <f ca="1">_xlfn.IFNA(VLOOKUP(INDIRECT("G"&amp;ROW()),minfo!$A:$M,COLUMN()-8,0),"")</f>
        <v>0</v>
      </c>
      <c r="S641" s="4" t="str">
        <f ca="1">_xlfn.IFNA(VLOOKUP(INDIRECT("G"&amp;ROW()),minfo!$A:$M,COLUMN()-8,0),"")</f>
        <v>江苏卫视“2016幸福聚荔”跨年演唱会</v>
      </c>
      <c r="T641" s="4">
        <f ca="1">_xlfn.IFNA(VLOOKUP(INDIRECT("G"&amp;ROW()),minfo!$A:$M,COLUMN()-8,0),"")</f>
        <v>312647783</v>
      </c>
      <c r="U641" s="4">
        <f ca="1">_xlfn.IFNA(VLOOKUP(INDIRECT("G"&amp;ROW()),minfo!$A:$M,COLUMN()-8,0),"")</f>
        <v>0</v>
      </c>
    </row>
    <row r="642" spans="1:21" ht="15.75" customHeight="1">
      <c r="A642" s="15">
        <v>641</v>
      </c>
      <c r="B642" s="4" t="s">
        <v>4221</v>
      </c>
      <c r="C642" s="4">
        <v>642</v>
      </c>
      <c r="D642" s="4">
        <v>52</v>
      </c>
      <c r="E642" s="4" t="s">
        <v>1509</v>
      </c>
      <c r="F642" s="16">
        <v>45242</v>
      </c>
      <c r="G642" s="5" t="s">
        <v>1508</v>
      </c>
      <c r="H642" s="5" t="s">
        <v>4168</v>
      </c>
      <c r="I642" s="24" t="str">
        <f>HYPERLINK("https://www.bilibili.com/video/BV1ie411v7a2?p=52", "BV1ie411v7a2?p=52")</f>
        <v>BV1ie411v7a2?p=52</v>
      </c>
      <c r="J642" s="4" t="str">
        <f ca="1">_xlfn.IFNA(VLOOKUP(INDIRECT("G"&amp;ROW()),minfo!$A:$M,COLUMN()-8,0),"")</f>
        <v>她说</v>
      </c>
      <c r="K642" s="4" t="str">
        <f ca="1">_xlfn.IFNA(VLOOKUP(INDIRECT("G"&amp;ROW()),minfo!$A:$M,COLUMN()-8,0),"")</f>
        <v>林俊杰</v>
      </c>
      <c r="L642" s="4">
        <f ca="1">_xlfn.IFNA(VLOOKUP(INDIRECT("G"&amp;ROW()),minfo!$A:$M,COLUMN()-8,0),"")</f>
        <v>0</v>
      </c>
      <c r="M642" s="4">
        <f ca="1">_xlfn.IFNA(VLOOKUP(INDIRECT("G"&amp;ROW()),minfo!$A:$M,COLUMN()-8,0),"")</f>
        <v>0</v>
      </c>
      <c r="N642" s="4">
        <f ca="1">_xlfn.IFNA(VLOOKUP(INDIRECT("G"&amp;ROW()),minfo!$A:$M,COLUMN()-8,0),"")</f>
        <v>0</v>
      </c>
      <c r="O642" s="4" t="str">
        <f ca="1">_xlfn.IFNA(VLOOKUP(INDIRECT("G"&amp;ROW()),minfo!$A:$M,COLUMN()-8,0),"")</f>
        <v>https://i0.hdslb.com/bfs/station_src/music_metadata/8b4e431d99f3a01b4d163c0902a4b5fd.jpg</v>
      </c>
      <c r="P642" s="4" t="str">
        <f ca="1">_xlfn.IFNA(VLOOKUP(INDIRECT("G"&amp;ROW()),minfo!$A:$M,COLUMN()-8,0),"")</f>
        <v>http://i0.hdslb.com/bfs/station_src/music_metadata/1b91609d6012828328ba59d53f73b326</v>
      </c>
      <c r="Q642" s="4">
        <f ca="1">_xlfn.IFNA(VLOOKUP(INDIRECT("G"&amp;ROW()),minfo!$A:$M,COLUMN()-8,0),"")</f>
        <v>675</v>
      </c>
      <c r="R642" s="4">
        <f ca="1">_xlfn.IFNA(VLOOKUP(INDIRECT("G"&amp;ROW()),minfo!$A:$M,COLUMN()-8,0),"")</f>
        <v>0</v>
      </c>
      <c r="S642" s="4" t="str">
        <f ca="1">_xlfn.IFNA(VLOOKUP(INDIRECT("G"&amp;ROW()),minfo!$A:$M,COLUMN()-8,0),"")</f>
        <v>她说 概念自选辑</v>
      </c>
      <c r="T642" s="4">
        <f ca="1">_xlfn.IFNA(VLOOKUP(INDIRECT("G"&amp;ROW()),minfo!$A:$M,COLUMN()-8,0),"")</f>
        <v>252890047</v>
      </c>
      <c r="U642" s="4">
        <f ca="1">_xlfn.IFNA(VLOOKUP(INDIRECT("G"&amp;ROW()),minfo!$A:$M,COLUMN()-8,0),"")</f>
        <v>0</v>
      </c>
    </row>
    <row r="643" spans="1:21" ht="15.75" customHeight="1">
      <c r="A643" s="15">
        <v>642</v>
      </c>
      <c r="B643" s="4" t="s">
        <v>4222</v>
      </c>
      <c r="C643" s="4">
        <v>643</v>
      </c>
      <c r="D643" s="4">
        <v>53</v>
      </c>
      <c r="E643" s="4" t="s">
        <v>1658</v>
      </c>
      <c r="F643" s="16">
        <v>45242</v>
      </c>
      <c r="G643" s="5" t="s">
        <v>1657</v>
      </c>
      <c r="H643" s="5" t="s">
        <v>4168</v>
      </c>
      <c r="I643" s="24" t="str">
        <f>HYPERLINK("https://www.bilibili.com/video/BV1ie411v7a2?p=53", "BV1ie411v7a2?p=53")</f>
        <v>BV1ie411v7a2?p=53</v>
      </c>
      <c r="J643" s="4" t="str">
        <f ca="1">_xlfn.IFNA(VLOOKUP(INDIRECT("G"&amp;ROW()),minfo!$A:$M,COLUMN()-8,0),"")</f>
        <v>一千年以后</v>
      </c>
      <c r="K643" s="4" t="str">
        <f ca="1">_xlfn.IFNA(VLOOKUP(INDIRECT("G"&amp;ROW()),minfo!$A:$M,COLUMN()-8,0),"")</f>
        <v>林俊杰</v>
      </c>
      <c r="L643" s="4">
        <f ca="1">_xlfn.IFNA(VLOOKUP(INDIRECT("G"&amp;ROW()),minfo!$A:$M,COLUMN()-8,0),"")</f>
        <v>0</v>
      </c>
      <c r="M643" s="4">
        <f ca="1">_xlfn.IFNA(VLOOKUP(INDIRECT("G"&amp;ROW()),minfo!$A:$M,COLUMN()-8,0),"")</f>
        <v>0</v>
      </c>
      <c r="N643" s="4">
        <f ca="1">_xlfn.IFNA(VLOOKUP(INDIRECT("G"&amp;ROW()),minfo!$A:$M,COLUMN()-8,0),"")</f>
        <v>0</v>
      </c>
      <c r="O643" s="4" t="str">
        <f ca="1">_xlfn.IFNA(VLOOKUP(INDIRECT("G"&amp;ROW()),minfo!$A:$M,COLUMN()-8,0),"")</f>
        <v>https://i0.hdslb.com/bfs/station_src/music_metadata/54b42be7ad4fe7e8ee215dbd158a2959.jpg</v>
      </c>
      <c r="P643" s="4" t="str">
        <f ca="1">_xlfn.IFNA(VLOOKUP(INDIRECT("G"&amp;ROW()),minfo!$A:$M,COLUMN()-8,0),"")</f>
        <v>https://i0.hdslb.com/bfs/station_src/music_metadata/53145e62b4c828bee8955473c1f3343e.txt</v>
      </c>
      <c r="Q643" s="4">
        <f ca="1">_xlfn.IFNA(VLOOKUP(INDIRECT("G"&amp;ROW()),minfo!$A:$M,COLUMN()-8,0),"")</f>
        <v>190</v>
      </c>
      <c r="R643" s="4" t="str">
        <f ca="1">_xlfn.IFNA(VLOOKUP(INDIRECT("G"&amp;ROW()),minfo!$A:$M,COLUMN()-8,0),"")</f>
        <v>《海的誓言》电视剧片尾曲</v>
      </c>
      <c r="S643" s="4" t="str">
        <f ca="1">_xlfn.IFNA(VLOOKUP(INDIRECT("G"&amp;ROW()),minfo!$A:$M,COLUMN()-8,0),"")</f>
        <v>编号89757</v>
      </c>
      <c r="T643" s="4">
        <f ca="1">_xlfn.IFNA(VLOOKUP(INDIRECT("G"&amp;ROW()),minfo!$A:$M,COLUMN()-8,0),"")</f>
        <v>105496599</v>
      </c>
      <c r="U643" s="4">
        <f ca="1">_xlfn.IFNA(VLOOKUP(INDIRECT("G"&amp;ROW()),minfo!$A:$M,COLUMN()-8,0),"")</f>
        <v>0</v>
      </c>
    </row>
    <row r="644" spans="1:21" ht="15.75" customHeight="1">
      <c r="A644" s="15">
        <v>643</v>
      </c>
      <c r="B644" s="4" t="s">
        <v>4223</v>
      </c>
      <c r="C644" s="4">
        <v>644</v>
      </c>
      <c r="D644" s="4">
        <v>54</v>
      </c>
      <c r="E644" s="4" t="s">
        <v>1606</v>
      </c>
      <c r="F644" s="16">
        <v>45242</v>
      </c>
      <c r="G644" s="5" t="s">
        <v>1605</v>
      </c>
      <c r="H644" s="5" t="s">
        <v>4168</v>
      </c>
      <c r="I644" s="24" t="str">
        <f>HYPERLINK("https://www.bilibili.com/video/BV1ie411v7a2?p=54", "BV1ie411v7a2?p=54")</f>
        <v>BV1ie411v7a2?p=54</v>
      </c>
      <c r="J644" s="4" t="str">
        <f ca="1">_xlfn.IFNA(VLOOKUP(INDIRECT("G"&amp;ROW()),minfo!$A:$M,COLUMN()-8,0),"")</f>
        <v>不流泪的机场</v>
      </c>
      <c r="K644" s="4" t="str">
        <f ca="1">_xlfn.IFNA(VLOOKUP(INDIRECT("G"&amp;ROW()),minfo!$A:$M,COLUMN()-8,0),"")</f>
        <v>林俊杰</v>
      </c>
      <c r="L644" s="4">
        <f ca="1">_xlfn.IFNA(VLOOKUP(INDIRECT("G"&amp;ROW()),minfo!$A:$M,COLUMN()-8,0),"")</f>
        <v>0</v>
      </c>
      <c r="M644" s="4">
        <f ca="1">_xlfn.IFNA(VLOOKUP(INDIRECT("G"&amp;ROW()),minfo!$A:$M,COLUMN()-8,0),"")</f>
        <v>0</v>
      </c>
      <c r="N644" s="4">
        <f ca="1">_xlfn.IFNA(VLOOKUP(INDIRECT("G"&amp;ROW()),minfo!$A:$M,COLUMN()-8,0),"")</f>
        <v>0</v>
      </c>
      <c r="O644" s="4" t="str">
        <f ca="1">_xlfn.IFNA(VLOOKUP(INDIRECT("G"&amp;ROW()),minfo!$A:$M,COLUMN()-8,0),"")</f>
        <v>https://i0.hdslb.com/bfs/station_src/music_metadata/121f852527e28e197f6b87efaf113c46.jpg</v>
      </c>
      <c r="P644" s="4" t="str">
        <f ca="1">_xlfn.IFNA(VLOOKUP(INDIRECT("G"&amp;ROW()),minfo!$A:$M,COLUMN()-8,0),"")</f>
        <v>https://i0.hdslb.com/bfs/station_src/music_metadata/4a4685475601415a638d5cdd5d58cb40.txt</v>
      </c>
      <c r="Q644" s="4">
        <f ca="1">_xlfn.IFNA(VLOOKUP(INDIRECT("G"&amp;ROW()),minfo!$A:$M,COLUMN()-8,0),"")</f>
        <v>28</v>
      </c>
      <c r="R644" s="4">
        <f ca="1">_xlfn.IFNA(VLOOKUP(INDIRECT("G"&amp;ROW()),minfo!$A:$M,COLUMN()-8,0),"")</f>
        <v>0</v>
      </c>
      <c r="S644" s="4" t="str">
        <f ca="1">_xlfn.IFNA(VLOOKUP(INDIRECT("G"&amp;ROW()),minfo!$A:$M,COLUMN()-8,0),"")</f>
        <v>西界</v>
      </c>
      <c r="T644" s="4">
        <f ca="1">_xlfn.IFNA(VLOOKUP(INDIRECT("G"&amp;ROW()),minfo!$A:$M,COLUMN()-8,0),"")</f>
        <v>28452133</v>
      </c>
      <c r="U644" s="4">
        <f ca="1">_xlfn.IFNA(VLOOKUP(INDIRECT("G"&amp;ROW()),minfo!$A:$M,COLUMN()-8,0),"")</f>
        <v>0</v>
      </c>
    </row>
    <row r="645" spans="1:21" ht="15.75" customHeight="1">
      <c r="A645" s="15">
        <v>644</v>
      </c>
      <c r="B645" s="4" t="s">
        <v>4224</v>
      </c>
      <c r="C645" s="4">
        <v>645</v>
      </c>
      <c r="D645" s="4">
        <v>55</v>
      </c>
      <c r="E645" s="4" t="s">
        <v>1664</v>
      </c>
      <c r="F645" s="16">
        <v>45244</v>
      </c>
      <c r="G645" s="5" t="s">
        <v>1663</v>
      </c>
      <c r="H645" s="5" t="s">
        <v>4168</v>
      </c>
      <c r="I645" s="24" t="str">
        <f>HYPERLINK("https://www.bilibili.com/video/BV1ie411v7a2?p=55", "BV1ie411v7a2?p=55")</f>
        <v>BV1ie411v7a2?p=55</v>
      </c>
      <c r="J645" s="4" t="str">
        <f ca="1">_xlfn.IFNA(VLOOKUP(INDIRECT("G"&amp;ROW()),minfo!$A:$M,COLUMN()-8,0),"")</f>
        <v>南屏晚钟</v>
      </c>
      <c r="K645" s="4" t="str">
        <f ca="1">_xlfn.IFNA(VLOOKUP(INDIRECT("G"&amp;ROW()),minfo!$A:$M,COLUMN()-8,0),"")</f>
        <v>崔萍</v>
      </c>
      <c r="L645" s="4">
        <f ca="1">_xlfn.IFNA(VLOOKUP(INDIRECT("G"&amp;ROW()),minfo!$A:$M,COLUMN()-8,0),"")</f>
        <v>0</v>
      </c>
      <c r="M645" s="4">
        <f ca="1">_xlfn.IFNA(VLOOKUP(INDIRECT("G"&amp;ROW()),minfo!$A:$M,COLUMN()-8,0),"")</f>
        <v>0</v>
      </c>
      <c r="N645" s="4">
        <f ca="1">_xlfn.IFNA(VLOOKUP(INDIRECT("G"&amp;ROW()),minfo!$A:$M,COLUMN()-8,0),"")</f>
        <v>0</v>
      </c>
      <c r="O645" s="4" t="str">
        <f ca="1">_xlfn.IFNA(VLOOKUP(INDIRECT("G"&amp;ROW()),minfo!$A:$M,COLUMN()-8,0),"")</f>
        <v>http://i0.hdslb.com/bfs/station_src/music_metadata/14bf17cdfef211b92d7e4d09cb08674a.jpg</v>
      </c>
      <c r="P645" s="4" t="str">
        <f ca="1">_xlfn.IFNA(VLOOKUP(INDIRECT("G"&amp;ROW()),minfo!$A:$M,COLUMN()-8,0),"")</f>
        <v>http://i0.hdslb.com/bfs/station_src/music_metadata/346be9c19c40273de8535c51182e4577</v>
      </c>
      <c r="Q645" s="4">
        <f ca="1">_xlfn.IFNA(VLOOKUP(INDIRECT("G"&amp;ROW()),minfo!$A:$M,COLUMN()-8,0),"")</f>
        <v>246</v>
      </c>
      <c r="R645" s="4">
        <f ca="1">_xlfn.IFNA(VLOOKUP(INDIRECT("G"&amp;ROW()),minfo!$A:$M,COLUMN()-8,0),"")</f>
        <v>0</v>
      </c>
      <c r="S645" s="4">
        <f ca="1">_xlfn.IFNA(VLOOKUP(INDIRECT("G"&amp;ROW()),minfo!$A:$M,COLUMN()-8,0),"")</f>
        <v>0</v>
      </c>
      <c r="T645" s="4">
        <f ca="1">_xlfn.IFNA(VLOOKUP(INDIRECT("G"&amp;ROW()),minfo!$A:$M,COLUMN()-8,0),"")</f>
        <v>37205613</v>
      </c>
      <c r="U645" s="4">
        <f ca="1">_xlfn.IFNA(VLOOKUP(INDIRECT("G"&amp;ROW()),minfo!$A:$M,COLUMN()-8,0),"")</f>
        <v>0</v>
      </c>
    </row>
    <row r="646" spans="1:21" ht="15.75" customHeight="1">
      <c r="A646" s="15">
        <v>645</v>
      </c>
      <c r="B646" s="4" t="s">
        <v>4225</v>
      </c>
      <c r="C646" s="4">
        <v>646</v>
      </c>
      <c r="D646" s="4">
        <v>56</v>
      </c>
      <c r="E646" s="4" t="s">
        <v>1669</v>
      </c>
      <c r="F646" s="16">
        <v>45244</v>
      </c>
      <c r="G646" s="5" t="s">
        <v>1668</v>
      </c>
      <c r="H646" s="5" t="s">
        <v>4168</v>
      </c>
      <c r="I646" s="24" t="str">
        <f>HYPERLINK("https://www.bilibili.com/video/BV1ie411v7a2?p=56", "BV1ie411v7a2?p=56")</f>
        <v>BV1ie411v7a2?p=56</v>
      </c>
      <c r="J646" s="4" t="str">
        <f ca="1">_xlfn.IFNA(VLOOKUP(INDIRECT("G"&amp;ROW()),minfo!$A:$M,COLUMN()-8,0),"")</f>
        <v>涛声依旧</v>
      </c>
      <c r="K646" s="4" t="str">
        <f ca="1">_xlfn.IFNA(VLOOKUP(INDIRECT("G"&amp;ROW()),minfo!$A:$M,COLUMN()-8,0),"")</f>
        <v>Classical Artists</v>
      </c>
      <c r="L646" s="4">
        <f ca="1">_xlfn.IFNA(VLOOKUP(INDIRECT("G"&amp;ROW()),minfo!$A:$M,COLUMN()-8,0),"")</f>
        <v>0</v>
      </c>
      <c r="M646" s="4">
        <f ca="1">_xlfn.IFNA(VLOOKUP(INDIRECT("G"&amp;ROW()),minfo!$A:$M,COLUMN()-8,0),"")</f>
        <v>0</v>
      </c>
      <c r="N646" s="4">
        <f ca="1">_xlfn.IFNA(VLOOKUP(INDIRECT("G"&amp;ROW()),minfo!$A:$M,COLUMN()-8,0),"")</f>
        <v>0</v>
      </c>
      <c r="O646" s="4" t="str">
        <f ca="1">_xlfn.IFNA(VLOOKUP(INDIRECT("G"&amp;ROW()),minfo!$A:$M,COLUMN()-8,0),"")</f>
        <v>http://i0.hdslb.com/bfs/station_src/music_metadata/1a6e5823217e3de354522a5a8b743f04.jpg</v>
      </c>
      <c r="P646" s="4" t="str">
        <f ca="1">_xlfn.IFNA(VLOOKUP(INDIRECT("G"&amp;ROW()),minfo!$A:$M,COLUMN()-8,0),"")</f>
        <v>https://i0.hdslb.com/bfs/station_src/music_metadata/333cb36f3f623c6b657702740b4955bb.txt</v>
      </c>
      <c r="Q646" s="4">
        <f ca="1">_xlfn.IFNA(VLOOKUP(INDIRECT("G"&amp;ROW()),minfo!$A:$M,COLUMN()-8,0),"")</f>
        <v>20</v>
      </c>
      <c r="R646" s="4">
        <f ca="1">_xlfn.IFNA(VLOOKUP(INDIRECT("G"&amp;ROW()),minfo!$A:$M,COLUMN()-8,0),"")</f>
        <v>0</v>
      </c>
      <c r="S646" s="4">
        <f ca="1">_xlfn.IFNA(VLOOKUP(INDIRECT("G"&amp;ROW()),minfo!$A:$M,COLUMN()-8,0),"")</f>
        <v>0</v>
      </c>
      <c r="T646" s="4">
        <f ca="1">_xlfn.IFNA(VLOOKUP(INDIRECT("G"&amp;ROW()),minfo!$A:$M,COLUMN()-8,0),"")</f>
        <v>27149482</v>
      </c>
      <c r="U646" s="4">
        <f ca="1">_xlfn.IFNA(VLOOKUP(INDIRECT("G"&amp;ROW()),minfo!$A:$M,COLUMN()-8,0),"")</f>
        <v>0</v>
      </c>
    </row>
    <row r="647" spans="1:21" ht="15.75" customHeight="1">
      <c r="A647" s="15">
        <v>646</v>
      </c>
      <c r="B647" s="4" t="s">
        <v>4226</v>
      </c>
      <c r="C647" s="4">
        <v>647</v>
      </c>
      <c r="D647" s="4">
        <v>57</v>
      </c>
      <c r="E647" s="4" t="s">
        <v>1674</v>
      </c>
      <c r="F647" s="16">
        <v>45244</v>
      </c>
      <c r="G647" s="5" t="s">
        <v>1673</v>
      </c>
      <c r="H647" s="5" t="s">
        <v>4168</v>
      </c>
      <c r="I647" s="24" t="str">
        <f>HYPERLINK("https://www.bilibili.com/video/BV1ie411v7a2?p=57", "BV1ie411v7a2?p=57")</f>
        <v>BV1ie411v7a2?p=57</v>
      </c>
      <c r="J647" s="4" t="str">
        <f ca="1">_xlfn.IFNA(VLOOKUP(INDIRECT("G"&amp;ROW()),minfo!$A:$M,COLUMN()-8,0),"")</f>
        <v>欢颜</v>
      </c>
      <c r="K647" s="4" t="str">
        <f ca="1">_xlfn.IFNA(VLOOKUP(INDIRECT("G"&amp;ROW()),minfo!$A:$M,COLUMN()-8,0),"")</f>
        <v>齐豫</v>
      </c>
      <c r="L647" s="4">
        <f ca="1">_xlfn.IFNA(VLOOKUP(INDIRECT("G"&amp;ROW()),minfo!$A:$M,COLUMN()-8,0),"")</f>
        <v>0</v>
      </c>
      <c r="M647" s="4">
        <f ca="1">_xlfn.IFNA(VLOOKUP(INDIRECT("G"&amp;ROW()),minfo!$A:$M,COLUMN()-8,0),"")</f>
        <v>0</v>
      </c>
      <c r="N647" s="4">
        <f ca="1">_xlfn.IFNA(VLOOKUP(INDIRECT("G"&amp;ROW()),minfo!$A:$M,COLUMN()-8,0),"")</f>
        <v>0</v>
      </c>
      <c r="O647" s="4" t="str">
        <f ca="1">_xlfn.IFNA(VLOOKUP(INDIRECT("G"&amp;ROW()),minfo!$A:$M,COLUMN()-8,0),"")</f>
        <v>http://i0.hdslb.com/bfs/station_src/music_metadata/7114bb0804a5318e76eca9a2dc151a50.jpg</v>
      </c>
      <c r="P647" s="4" t="str">
        <f ca="1">_xlfn.IFNA(VLOOKUP(INDIRECT("G"&amp;ROW()),minfo!$A:$M,COLUMN()-8,0),"")</f>
        <v>http://i0.hdslb.com/bfs/station_src/music_metadata/4a33698ccbac0728d62917cf12908980</v>
      </c>
      <c r="Q647" s="4">
        <f ca="1">_xlfn.IFNA(VLOOKUP(INDIRECT("G"&amp;ROW()),minfo!$A:$M,COLUMN()-8,0),"")</f>
        <v>22</v>
      </c>
      <c r="R647" s="4">
        <f ca="1">_xlfn.IFNA(VLOOKUP(INDIRECT("G"&amp;ROW()),minfo!$A:$M,COLUMN()-8,0),"")</f>
        <v>0</v>
      </c>
      <c r="S647" s="4" t="str">
        <f ca="1">_xlfn.IFNA(VLOOKUP(INDIRECT("G"&amp;ROW()),minfo!$A:$M,COLUMN()-8,0),"")</f>
        <v>滚石香港黄金十年 齐豫精选</v>
      </c>
      <c r="T647" s="4">
        <f ca="1">_xlfn.IFNA(VLOOKUP(INDIRECT("G"&amp;ROW()),minfo!$A:$M,COLUMN()-8,0),"")</f>
        <v>34220213</v>
      </c>
      <c r="U647" s="4">
        <f ca="1">_xlfn.IFNA(VLOOKUP(INDIRECT("G"&amp;ROW()),minfo!$A:$M,COLUMN()-8,0),"")</f>
        <v>0</v>
      </c>
    </row>
    <row r="648" spans="1:21" ht="15.75" customHeight="1">
      <c r="A648" s="15">
        <v>647</v>
      </c>
      <c r="B648" s="4" t="s">
        <v>4227</v>
      </c>
      <c r="C648" s="4">
        <v>648</v>
      </c>
      <c r="D648" s="4">
        <v>58</v>
      </c>
      <c r="E648" s="4" t="s">
        <v>894</v>
      </c>
      <c r="F648" s="16">
        <v>45244</v>
      </c>
      <c r="G648" s="5" t="s">
        <v>893</v>
      </c>
      <c r="H648" s="5" t="s">
        <v>4168</v>
      </c>
      <c r="I648" s="24" t="str">
        <f>HYPERLINK("https://www.bilibili.com/video/BV1ie411v7a2?p=58", "BV1ie411v7a2?p=58")</f>
        <v>BV1ie411v7a2?p=58</v>
      </c>
      <c r="J648" s="4" t="str">
        <f ca="1">_xlfn.IFNA(VLOOKUP(INDIRECT("G"&amp;ROW()),minfo!$A:$M,COLUMN()-8,0),"")</f>
        <v>星河叹</v>
      </c>
      <c r="K648" s="4" t="str">
        <f ca="1">_xlfn.IFNA(VLOOKUP(INDIRECT("G"&amp;ROW()),minfo!$A:$M,COLUMN()-8,0),"")</f>
        <v>黄龄</v>
      </c>
      <c r="L648" s="4">
        <f ca="1">_xlfn.IFNA(VLOOKUP(INDIRECT("G"&amp;ROW()),minfo!$A:$M,COLUMN()-8,0),"")</f>
        <v>0</v>
      </c>
      <c r="M648" s="4">
        <f ca="1">_xlfn.IFNA(VLOOKUP(INDIRECT("G"&amp;ROW()),minfo!$A:$M,COLUMN()-8,0),"")</f>
        <v>0</v>
      </c>
      <c r="N648" s="4">
        <f ca="1">_xlfn.IFNA(VLOOKUP(INDIRECT("G"&amp;ROW()),minfo!$A:$M,COLUMN()-8,0),"")</f>
        <v>0</v>
      </c>
      <c r="O648" s="4" t="str">
        <f ca="1">_xlfn.IFNA(VLOOKUP(INDIRECT("G"&amp;ROW()),minfo!$A:$M,COLUMN()-8,0),"")</f>
        <v>https://i0.hdslb.com/bfs/station_src/music_metadata/f3e960ffbb9dd3ffa3c10d67471b7cde.jpg</v>
      </c>
      <c r="P648" s="4" t="str">
        <f ca="1">_xlfn.IFNA(VLOOKUP(INDIRECT("G"&amp;ROW()),minfo!$A:$M,COLUMN()-8,0),"")</f>
        <v>http://i0.hdslb.com/bfs/station_src/music_metadata/6360e90a7e0e9e0a5a8afded3b15d213</v>
      </c>
      <c r="Q648" s="4">
        <f ca="1">_xlfn.IFNA(VLOOKUP(INDIRECT("G"&amp;ROW()),minfo!$A:$M,COLUMN()-8,0),"")</f>
        <v>3174</v>
      </c>
      <c r="R648" s="4" t="str">
        <f ca="1">_xlfn.IFNA(VLOOKUP(INDIRECT("G"&amp;ROW()),minfo!$A:$M,COLUMN()-8,0),"")</f>
        <v>《星汉灿烂》电视剧女主人物曲</v>
      </c>
      <c r="S648" s="4" t="str">
        <f ca="1">_xlfn.IFNA(VLOOKUP(INDIRECT("G"&amp;ROW()),minfo!$A:$M,COLUMN()-8,0),"")</f>
        <v>星河叹</v>
      </c>
      <c r="T648" s="4">
        <f ca="1">_xlfn.IFNA(VLOOKUP(INDIRECT("G"&amp;ROW()),minfo!$A:$M,COLUMN()-8,0),"")</f>
        <v>152096732</v>
      </c>
      <c r="U648" s="4">
        <f ca="1">_xlfn.IFNA(VLOOKUP(INDIRECT("G"&amp;ROW()),minfo!$A:$M,COLUMN()-8,0),"")</f>
        <v>0</v>
      </c>
    </row>
    <row r="649" spans="1:21" ht="15.75" customHeight="1">
      <c r="A649" s="15">
        <v>648</v>
      </c>
      <c r="B649" s="4" t="s">
        <v>4228</v>
      </c>
      <c r="C649" s="4">
        <v>649</v>
      </c>
      <c r="D649" s="4">
        <v>59</v>
      </c>
      <c r="E649" s="4" t="s">
        <v>597</v>
      </c>
      <c r="F649" s="16">
        <v>45244</v>
      </c>
      <c r="G649" s="5" t="s">
        <v>596</v>
      </c>
      <c r="H649" s="5" t="s">
        <v>4168</v>
      </c>
      <c r="I649" s="24" t="str">
        <f>HYPERLINK("https://www.bilibili.com/video/BV1ie411v7a2?p=59", "BV1ie411v7a2?p=59")</f>
        <v>BV1ie411v7a2?p=59</v>
      </c>
      <c r="J649" s="4" t="str">
        <f ca="1">_xlfn.IFNA(VLOOKUP(INDIRECT("G"&amp;ROW()),minfo!$A:$M,COLUMN()-8,0),"")</f>
        <v>十万毫升泪水</v>
      </c>
      <c r="K649" s="4" t="str">
        <f ca="1">_xlfn.IFNA(VLOOKUP(INDIRECT("G"&amp;ROW()),minfo!$A:$M,COLUMN()-8,0),"")</f>
        <v>蔡健雅</v>
      </c>
      <c r="L649" s="4">
        <f ca="1">_xlfn.IFNA(VLOOKUP(INDIRECT("G"&amp;ROW()),minfo!$A:$M,COLUMN()-8,0),"")</f>
        <v>0</v>
      </c>
      <c r="M649" s="4">
        <f ca="1">_xlfn.IFNA(VLOOKUP(INDIRECT("G"&amp;ROW()),minfo!$A:$M,COLUMN()-8,0),"")</f>
        <v>0</v>
      </c>
      <c r="N649" s="4">
        <f ca="1">_xlfn.IFNA(VLOOKUP(INDIRECT("G"&amp;ROW()),minfo!$A:$M,COLUMN()-8,0),"")</f>
        <v>0</v>
      </c>
      <c r="O649" s="4" t="str">
        <f ca="1">_xlfn.IFNA(VLOOKUP(INDIRECT("G"&amp;ROW()),minfo!$A:$M,COLUMN()-8,0),"")</f>
        <v>https://i0.hdslb.com/bfs/station_src/music_metadata/43003db948184238a261743b3e985d11.jpg</v>
      </c>
      <c r="P649" s="4" t="str">
        <f ca="1">_xlfn.IFNA(VLOOKUP(INDIRECT("G"&amp;ROW()),minfo!$A:$M,COLUMN()-8,0),"")</f>
        <v>https://i0.hdslb.com/bfs/station_src/music_metadata/b460bce037ba5523f9fe4dceb112d960.txt</v>
      </c>
      <c r="Q649" s="4">
        <f ca="1">_xlfn.IFNA(VLOOKUP(INDIRECT("G"&amp;ROW()),minfo!$A:$M,COLUMN()-8,0),"")</f>
        <v>6</v>
      </c>
      <c r="R649" s="4" t="str">
        <f ca="1">_xlfn.IFNA(VLOOKUP(INDIRECT("G"&amp;ROW()),minfo!$A:$M,COLUMN()-8,0),"")</f>
        <v>电影《爱在午夜希腊时》中文宣传曲</v>
      </c>
      <c r="S649" s="4" t="str">
        <f ca="1">_xlfn.IFNA(VLOOKUP(INDIRECT("G"&amp;ROW()),minfo!$A:$M,COLUMN()-8,0),"")</f>
        <v>十万毫升泪水</v>
      </c>
      <c r="T649" s="4">
        <f ca="1">_xlfn.IFNA(VLOOKUP(INDIRECT("G"&amp;ROW()),minfo!$A:$M,COLUMN()-8,0),"")</f>
        <v>7862640</v>
      </c>
      <c r="U649" s="4">
        <f ca="1">_xlfn.IFNA(VLOOKUP(INDIRECT("G"&amp;ROW()),minfo!$A:$M,COLUMN()-8,0),"")</f>
        <v>0</v>
      </c>
    </row>
    <row r="650" spans="1:21" ht="15.75" customHeight="1">
      <c r="A650" s="15">
        <v>649</v>
      </c>
      <c r="B650" s="4" t="s">
        <v>4229</v>
      </c>
      <c r="C650" s="4">
        <v>650</v>
      </c>
      <c r="D650" s="4">
        <v>60</v>
      </c>
      <c r="E650" s="4" t="s">
        <v>1474</v>
      </c>
      <c r="F650" s="16">
        <v>45244</v>
      </c>
      <c r="G650" s="5" t="s">
        <v>1473</v>
      </c>
      <c r="H650" s="5" t="s">
        <v>4168</v>
      </c>
      <c r="I650" s="24" t="str">
        <f>HYPERLINK("https://www.bilibili.com/video/BV1ie411v7a2?p=60", "BV1ie411v7a2?p=60")</f>
        <v>BV1ie411v7a2?p=60</v>
      </c>
      <c r="J650" s="4" t="str">
        <f ca="1">_xlfn.IFNA(VLOOKUP(INDIRECT("G"&amp;ROW()),minfo!$A:$M,COLUMN()-8,0),"")</f>
        <v>Love U U</v>
      </c>
      <c r="K650" s="4" t="str">
        <f ca="1">_xlfn.IFNA(VLOOKUP(INDIRECT("G"&amp;ROW()),minfo!$A:$M,COLUMN()-8,0),"")</f>
        <v>林俊杰</v>
      </c>
      <c r="L650" s="4">
        <f ca="1">_xlfn.IFNA(VLOOKUP(INDIRECT("G"&amp;ROW()),minfo!$A:$M,COLUMN()-8,0),"")</f>
        <v>0</v>
      </c>
      <c r="M650" s="4">
        <f ca="1">_xlfn.IFNA(VLOOKUP(INDIRECT("G"&amp;ROW()),minfo!$A:$M,COLUMN()-8,0),"")</f>
        <v>0</v>
      </c>
      <c r="N650" s="4">
        <f ca="1">_xlfn.IFNA(VLOOKUP(INDIRECT("G"&amp;ROW()),minfo!$A:$M,COLUMN()-8,0),"")</f>
        <v>0</v>
      </c>
      <c r="O650" s="4" t="str">
        <f ca="1">_xlfn.IFNA(VLOOKUP(INDIRECT("G"&amp;ROW()),minfo!$A:$M,COLUMN()-8,0),"")</f>
        <v>https://i0.hdslb.com/bfs/station_src/music_metadata/683874c8b50e8963e73219e464a05a2f.jpg</v>
      </c>
      <c r="P650" s="4" t="str">
        <f ca="1">_xlfn.IFNA(VLOOKUP(INDIRECT("G"&amp;ROW()),minfo!$A:$M,COLUMN()-8,0),"")</f>
        <v>https://i0.hdslb.com/bfs/station_src/music_metadata/b121a6651c2b3ba2042afd8f79c17ee5.txt</v>
      </c>
      <c r="Q650" s="4">
        <f ca="1">_xlfn.IFNA(VLOOKUP(INDIRECT("G"&amp;ROW()),minfo!$A:$M,COLUMN()-8,0),"")</f>
        <v>25</v>
      </c>
      <c r="R650" s="4">
        <f ca="1">_xlfn.IFNA(VLOOKUP(INDIRECT("G"&amp;ROW()),minfo!$A:$M,COLUMN()-8,0),"")</f>
        <v>0</v>
      </c>
      <c r="S650" s="4" t="str">
        <f ca="1">_xlfn.IFNA(VLOOKUP(INDIRECT("G"&amp;ROW()),minfo!$A:$M,COLUMN()-8,0),"")</f>
        <v>学不会</v>
      </c>
      <c r="T650" s="4">
        <f ca="1">_xlfn.IFNA(VLOOKUP(INDIRECT("G"&amp;ROW()),minfo!$A:$M,COLUMN()-8,0),"")</f>
        <v>18991884</v>
      </c>
      <c r="U650" s="4">
        <f ca="1">_xlfn.IFNA(VLOOKUP(INDIRECT("G"&amp;ROW()),minfo!$A:$M,COLUMN()-8,0),"")</f>
        <v>0</v>
      </c>
    </row>
    <row r="651" spans="1:21" ht="15.75" customHeight="1">
      <c r="A651" s="15">
        <v>650</v>
      </c>
      <c r="B651" s="4" t="s">
        <v>4230</v>
      </c>
      <c r="C651" s="4">
        <v>651</v>
      </c>
      <c r="D651" s="4">
        <v>61</v>
      </c>
      <c r="E651" s="4" t="s">
        <v>625</v>
      </c>
      <c r="F651" s="16">
        <v>45244</v>
      </c>
      <c r="G651" s="5" t="s">
        <v>624</v>
      </c>
      <c r="H651" s="5" t="s">
        <v>4168</v>
      </c>
      <c r="I651" s="24" t="str">
        <f>HYPERLINK("https://www.bilibili.com/video/BV1ie411v7a2?p=61", "BV1ie411v7a2?p=61")</f>
        <v>BV1ie411v7a2?p=61</v>
      </c>
      <c r="J651" s="4" t="str">
        <f ca="1">_xlfn.IFNA(VLOOKUP(INDIRECT("G"&amp;ROW()),minfo!$A:$M,COLUMN()-8,0),"")</f>
        <v>起风了</v>
      </c>
      <c r="K651" s="4" t="str">
        <f ca="1">_xlfn.IFNA(VLOOKUP(INDIRECT("G"&amp;ROW()),minfo!$A:$M,COLUMN()-8,0),"")</f>
        <v>买辣椒也用券</v>
      </c>
      <c r="L651" s="4">
        <f ca="1">_xlfn.IFNA(VLOOKUP(INDIRECT("G"&amp;ROW()),minfo!$A:$M,COLUMN()-8,0),"")</f>
        <v>0</v>
      </c>
      <c r="M651" s="4">
        <f ca="1">_xlfn.IFNA(VLOOKUP(INDIRECT("G"&amp;ROW()),minfo!$A:$M,COLUMN()-8,0),"")</f>
        <v>0</v>
      </c>
      <c r="N651" s="4">
        <f ca="1">_xlfn.IFNA(VLOOKUP(INDIRECT("G"&amp;ROW()),minfo!$A:$M,COLUMN()-8,0),"")</f>
        <v>0</v>
      </c>
      <c r="O651" s="4" t="str">
        <f ca="1">_xlfn.IFNA(VLOOKUP(INDIRECT("G"&amp;ROW()),minfo!$A:$M,COLUMN()-8,0),"")</f>
        <v>http://i0.hdslb.com/bfs/station_src/music_metadata/4341df7b05060da3fa257852d02fd62e.jpg</v>
      </c>
      <c r="P651" s="4" t="str">
        <f ca="1">_xlfn.IFNA(VLOOKUP(INDIRECT("G"&amp;ROW()),minfo!$A:$M,COLUMN()-8,0),"")</f>
        <v>http://i0.hdslb.com/bfs/station_src/music_metadata/1575d5c9be369d87a8c2c118c3176b49</v>
      </c>
      <c r="Q651" s="4">
        <f ca="1">_xlfn.IFNA(VLOOKUP(INDIRECT("G"&amp;ROW()),minfo!$A:$M,COLUMN()-8,0),"")</f>
        <v>24523</v>
      </c>
      <c r="R651" s="4" t="str">
        <f ca="1">_xlfn.IFNA(VLOOKUP(INDIRECT("G"&amp;ROW()),minfo!$A:$M,COLUMN()-8,0),"")</f>
        <v>原曲：《ヤキモチ》—高桥优</v>
      </c>
      <c r="S651" s="4" t="str">
        <f ca="1">_xlfn.IFNA(VLOOKUP(INDIRECT("G"&amp;ROW()),minfo!$A:$M,COLUMN()-8,0),"")</f>
        <v xml:space="preserve"> 起风了 (旧版)</v>
      </c>
      <c r="T651" s="4">
        <f ca="1">_xlfn.IFNA(VLOOKUP(INDIRECT("G"&amp;ROW()),minfo!$A:$M,COLUMN()-8,0),"")</f>
        <v>7050600351</v>
      </c>
      <c r="U651" s="4" t="str">
        <f ca="1">_xlfn.IFNA(VLOOKUP(INDIRECT("G"&amp;ROW()),minfo!$A:$M,COLUMN()-8,0),"")</f>
        <v>音乐榜最高NO.6</v>
      </c>
    </row>
    <row r="652" spans="1:21" ht="15.75" customHeight="1">
      <c r="A652" s="15">
        <v>651</v>
      </c>
      <c r="B652" s="4" t="s">
        <v>4231</v>
      </c>
      <c r="C652" s="4">
        <v>652</v>
      </c>
      <c r="D652" s="4">
        <v>62</v>
      </c>
      <c r="E652" s="4" t="s">
        <v>879</v>
      </c>
      <c r="F652" s="16">
        <v>45245</v>
      </c>
      <c r="G652" s="5" t="s">
        <v>878</v>
      </c>
      <c r="H652" s="5" t="s">
        <v>4168</v>
      </c>
      <c r="I652" s="24" t="str">
        <f>HYPERLINK("https://www.bilibili.com/video/BV1ie411v7a2?p=62", "BV1ie411v7a2?p=62")</f>
        <v>BV1ie411v7a2?p=62</v>
      </c>
      <c r="J652" s="4" t="str">
        <f ca="1">_xlfn.IFNA(VLOOKUP(INDIRECT("G"&amp;ROW()),minfo!$A:$M,COLUMN()-8,0),"")</f>
        <v>发如雪</v>
      </c>
      <c r="K652" s="4" t="str">
        <f ca="1">_xlfn.IFNA(VLOOKUP(INDIRECT("G"&amp;ROW()),minfo!$A:$M,COLUMN()-8,0),"")</f>
        <v>周杰伦</v>
      </c>
      <c r="L652" s="4">
        <f ca="1">_xlfn.IFNA(VLOOKUP(INDIRECT("G"&amp;ROW()),minfo!$A:$M,COLUMN()-8,0),"")</f>
        <v>0</v>
      </c>
      <c r="M652" s="4">
        <f ca="1">_xlfn.IFNA(VLOOKUP(INDIRECT("G"&amp;ROW()),minfo!$A:$M,COLUMN()-8,0),"")</f>
        <v>0</v>
      </c>
      <c r="N652" s="4">
        <f ca="1">_xlfn.IFNA(VLOOKUP(INDIRECT("G"&amp;ROW()),minfo!$A:$M,COLUMN()-8,0),"")</f>
        <v>0</v>
      </c>
      <c r="O652" s="4" t="str">
        <f ca="1">_xlfn.IFNA(VLOOKUP(INDIRECT("G"&amp;ROW()),minfo!$A:$M,COLUMN()-8,0),"")</f>
        <v>https://i0.hdslb.com/bfs/station_src/music_metadata/4f19787695e451c7ec6f082affe19c57.jpg</v>
      </c>
      <c r="P652" s="4" t="str">
        <f ca="1">_xlfn.IFNA(VLOOKUP(INDIRECT("G"&amp;ROW()),minfo!$A:$M,COLUMN()-8,0),"")</f>
        <v>http://i0.hdslb.com/bfs/station_src/music_metadata/e48762ee9e6f3b4048f790c705f187cd</v>
      </c>
      <c r="Q652" s="4">
        <f ca="1">_xlfn.IFNA(VLOOKUP(INDIRECT("G"&amp;ROW()),minfo!$A:$M,COLUMN()-8,0),"")</f>
        <v>5236</v>
      </c>
      <c r="R652" s="4">
        <f ca="1">_xlfn.IFNA(VLOOKUP(INDIRECT("G"&amp;ROW()),minfo!$A:$M,COLUMN()-8,0),"")</f>
        <v>0</v>
      </c>
      <c r="S652" s="4" t="str">
        <f ca="1">_xlfn.IFNA(VLOOKUP(INDIRECT("G"&amp;ROW()),minfo!$A:$M,COLUMN()-8,0),"")</f>
        <v>十一月的萧邦</v>
      </c>
      <c r="T652" s="4">
        <f ca="1">_xlfn.IFNA(VLOOKUP(INDIRECT("G"&amp;ROW()),minfo!$A:$M,COLUMN()-8,0),"")</f>
        <v>561545897</v>
      </c>
      <c r="U652" s="4">
        <f ca="1">_xlfn.IFNA(VLOOKUP(INDIRECT("G"&amp;ROW()),minfo!$A:$M,COLUMN()-8,0),"")</f>
        <v>0</v>
      </c>
    </row>
    <row r="653" spans="1:21" ht="15.75" customHeight="1">
      <c r="A653" s="15">
        <v>652</v>
      </c>
      <c r="B653" s="4" t="s">
        <v>4232</v>
      </c>
      <c r="C653" s="4">
        <v>653</v>
      </c>
      <c r="D653" s="4">
        <v>63</v>
      </c>
      <c r="E653" s="4" t="s">
        <v>462</v>
      </c>
      <c r="F653" s="16">
        <v>45245</v>
      </c>
      <c r="G653" s="5" t="s">
        <v>461</v>
      </c>
      <c r="H653" s="5" t="s">
        <v>4168</v>
      </c>
      <c r="I653" s="24" t="str">
        <f>HYPERLINK("https://www.bilibili.com/video/BV1ie411v7a2?p=63", "BV1ie411v7a2?p=63")</f>
        <v>BV1ie411v7a2?p=63</v>
      </c>
      <c r="J653" s="4" t="str">
        <f ca="1">_xlfn.IFNA(VLOOKUP(INDIRECT("G"&amp;ROW()),minfo!$A:$M,COLUMN()-8,0),"")</f>
        <v>人是_</v>
      </c>
      <c r="K653" s="4" t="str">
        <f ca="1">_xlfn.IFNA(VLOOKUP(INDIRECT("G"&amp;ROW()),minfo!$A:$M,COLUMN()-8,0),"")</f>
        <v>周深</v>
      </c>
      <c r="L653" s="4">
        <f ca="1">_xlfn.IFNA(VLOOKUP(INDIRECT("G"&amp;ROW()),minfo!$A:$M,COLUMN()-8,0),"")</f>
        <v>0</v>
      </c>
      <c r="M653" s="4">
        <f ca="1">_xlfn.IFNA(VLOOKUP(INDIRECT("G"&amp;ROW()),minfo!$A:$M,COLUMN()-8,0),"")</f>
        <v>315938</v>
      </c>
      <c r="N653" s="4">
        <f ca="1">_xlfn.IFNA(VLOOKUP(INDIRECT("G"&amp;ROW()),minfo!$A:$M,COLUMN()-8,0),"")</f>
        <v>67117</v>
      </c>
      <c r="O653" s="4" t="str">
        <f ca="1">_xlfn.IFNA(VLOOKUP(INDIRECT("G"&amp;ROW()),minfo!$A:$M,COLUMN()-8,0),"")</f>
        <v>https://i0.hdslb.com/bfs/station_src/music_metadata/cbc6b9595b8d8ddf3be5a4600fe4ee1f.jpg</v>
      </c>
      <c r="P653" s="4">
        <f ca="1">_xlfn.IFNA(VLOOKUP(INDIRECT("G"&amp;ROW()),minfo!$A:$M,COLUMN()-8,0),"")</f>
        <v>0</v>
      </c>
      <c r="Q653" s="4">
        <f ca="1">_xlfn.IFNA(VLOOKUP(INDIRECT("G"&amp;ROW()),minfo!$A:$M,COLUMN()-8,0),"")</f>
        <v>831</v>
      </c>
      <c r="R653" s="4">
        <f ca="1">_xlfn.IFNA(VLOOKUP(INDIRECT("G"&amp;ROW()),minfo!$A:$M,COLUMN()-8,0),"")</f>
        <v>0</v>
      </c>
      <c r="S653" s="4" t="str">
        <f ca="1">_xlfn.IFNA(VLOOKUP(INDIRECT("G"&amp;ROW()),minfo!$A:$M,COLUMN()-8,0),"")</f>
        <v>人是_</v>
      </c>
      <c r="T653" s="4">
        <f ca="1">_xlfn.IFNA(VLOOKUP(INDIRECT("G"&amp;ROW()),minfo!$A:$M,COLUMN()-8,0),"")</f>
        <v>80359568</v>
      </c>
      <c r="U653" s="4" t="str">
        <f ca="1">_xlfn.IFNA(VLOOKUP(INDIRECT("G"&amp;ROW()),minfo!$A:$M,COLUMN()-8,0),"")</f>
        <v>音乐榜最高NO.8</v>
      </c>
    </row>
    <row r="654" spans="1:21" ht="15.75" customHeight="1">
      <c r="A654" s="15">
        <v>653</v>
      </c>
      <c r="B654" s="4" t="s">
        <v>4233</v>
      </c>
      <c r="C654" s="4">
        <v>654</v>
      </c>
      <c r="D654" s="4">
        <v>64</v>
      </c>
      <c r="E654" s="4" t="s">
        <v>1553</v>
      </c>
      <c r="F654" s="16">
        <v>45245</v>
      </c>
      <c r="G654" s="5" t="s">
        <v>1552</v>
      </c>
      <c r="H654" s="5" t="s">
        <v>4168</v>
      </c>
      <c r="I654" s="24" t="str">
        <f>HYPERLINK("https://www.bilibili.com/video/BV1ie411v7a2?p=64", "BV1ie411v7a2?p=64")</f>
        <v>BV1ie411v7a2?p=64</v>
      </c>
      <c r="J654" s="4" t="str">
        <f ca="1">_xlfn.IFNA(VLOOKUP(INDIRECT("G"&amp;ROW()),minfo!$A:$M,COLUMN()-8,0),"")</f>
        <v>光亮</v>
      </c>
      <c r="K654" s="4" t="str">
        <f ca="1">_xlfn.IFNA(VLOOKUP(INDIRECT("G"&amp;ROW()),minfo!$A:$M,COLUMN()-8,0),"")</f>
        <v>周深</v>
      </c>
      <c r="L654" s="4">
        <f ca="1">_xlfn.IFNA(VLOOKUP(INDIRECT("G"&amp;ROW()),minfo!$A:$M,COLUMN()-8,0),"")</f>
        <v>0</v>
      </c>
      <c r="M654" s="4">
        <f ca="1">_xlfn.IFNA(VLOOKUP(INDIRECT("G"&amp;ROW()),minfo!$A:$M,COLUMN()-8,0),"")</f>
        <v>50129</v>
      </c>
      <c r="N654" s="4">
        <f ca="1">_xlfn.IFNA(VLOOKUP(INDIRECT("G"&amp;ROW()),minfo!$A:$M,COLUMN()-8,0),"")</f>
        <v>14164</v>
      </c>
      <c r="O654" s="4" t="str">
        <f ca="1">_xlfn.IFNA(VLOOKUP(INDIRECT("G"&amp;ROW()),minfo!$A:$M,COLUMN()-8,0),"")</f>
        <v>https://i0.hdslb.com/bfs/station_src/music_metadata/432327254cfcfcbb06e70cd8958eec15.jpg</v>
      </c>
      <c r="P654" s="4" t="str">
        <f ca="1">_xlfn.IFNA(VLOOKUP(INDIRECT("G"&amp;ROW()),minfo!$A:$M,COLUMN()-8,0),"")</f>
        <v>https://i0.hdslb.com/bfs/station_src/music_metadata/bc80794f31f422159366c112e2245a93.txt</v>
      </c>
      <c r="Q654" s="4">
        <f ca="1">_xlfn.IFNA(VLOOKUP(INDIRECT("G"&amp;ROW()),minfo!$A:$M,COLUMN()-8,0),"")</f>
        <v>637</v>
      </c>
      <c r="R654" s="4" t="str">
        <f ca="1">_xlfn.IFNA(VLOOKUP(INDIRECT("G"&amp;ROW()),minfo!$A:$M,COLUMN()-8,0),"")</f>
        <v>《紫禁城》大型纪录片主题歌</v>
      </c>
      <c r="S654" s="4" t="str">
        <f ca="1">_xlfn.IFNA(VLOOKUP(INDIRECT("G"&amp;ROW()),minfo!$A:$M,COLUMN()-8,0),"")</f>
        <v>大型纪录片《紫禁城》主题歌音乐专辑</v>
      </c>
      <c r="T654" s="4">
        <f ca="1">_xlfn.IFNA(VLOOKUP(INDIRECT("G"&amp;ROW()),minfo!$A:$M,COLUMN()-8,0),"")</f>
        <v>165524997</v>
      </c>
      <c r="U654" s="4" t="str">
        <f ca="1">_xlfn.IFNA(VLOOKUP(INDIRECT("G"&amp;ROW()),minfo!$A:$M,COLUMN()-8,0),"")</f>
        <v>音乐榜最高NO.9</v>
      </c>
    </row>
    <row r="655" spans="1:21" ht="15.75" customHeight="1">
      <c r="A655" s="15">
        <v>654</v>
      </c>
      <c r="B655" s="4" t="s">
        <v>4234</v>
      </c>
      <c r="C655" s="4">
        <v>655</v>
      </c>
      <c r="D655" s="4">
        <v>65</v>
      </c>
      <c r="E655" s="4" t="s">
        <v>883</v>
      </c>
      <c r="F655" s="16">
        <v>45245</v>
      </c>
      <c r="G655" s="5" t="s">
        <v>882</v>
      </c>
      <c r="H655" s="5" t="s">
        <v>4168</v>
      </c>
      <c r="I655" s="24" t="str">
        <f>HYPERLINK("https://www.bilibili.com/video/BV1ie411v7a2?p=65", "BV1ie411v7a2?p=65")</f>
        <v>BV1ie411v7a2?p=65</v>
      </c>
      <c r="J655" s="4" t="str">
        <f ca="1">_xlfn.IFNA(VLOOKUP(INDIRECT("G"&amp;ROW()),minfo!$A:$M,COLUMN()-8,0),"")</f>
        <v>大眠</v>
      </c>
      <c r="K655" s="4" t="str">
        <f ca="1">_xlfn.IFNA(VLOOKUP(INDIRECT("G"&amp;ROW()),minfo!$A:$M,COLUMN()-8,0),"")</f>
        <v>王心凌</v>
      </c>
      <c r="L655" s="4">
        <f ca="1">_xlfn.IFNA(VLOOKUP(INDIRECT("G"&amp;ROW()),minfo!$A:$M,COLUMN()-8,0),"")</f>
        <v>0</v>
      </c>
      <c r="M655" s="4">
        <f ca="1">_xlfn.IFNA(VLOOKUP(INDIRECT("G"&amp;ROW()),minfo!$A:$M,COLUMN()-8,0),"")</f>
        <v>0</v>
      </c>
      <c r="N655" s="4">
        <f ca="1">_xlfn.IFNA(VLOOKUP(INDIRECT("G"&amp;ROW()),minfo!$A:$M,COLUMN()-8,0),"")</f>
        <v>0</v>
      </c>
      <c r="O655" s="4" t="str">
        <f ca="1">_xlfn.IFNA(VLOOKUP(INDIRECT("G"&amp;ROW()),minfo!$A:$M,COLUMN()-8,0),"")</f>
        <v>https://i0.hdslb.com/bfs/station_src/music_metadata/af5d28f2df8d5c17a196bebcb46c7319.jpg</v>
      </c>
      <c r="P655" s="4" t="str">
        <f ca="1">_xlfn.IFNA(VLOOKUP(INDIRECT("G"&amp;ROW()),minfo!$A:$M,COLUMN()-8,0),"")</f>
        <v>http://i0.hdslb.com/bfs/station_src/music_metadata/f1798c26021de0c1e651d2f042b7cf9b</v>
      </c>
      <c r="Q655" s="4">
        <f ca="1">_xlfn.IFNA(VLOOKUP(INDIRECT("G"&amp;ROW()),minfo!$A:$M,COLUMN()-8,0),"")</f>
        <v>1078</v>
      </c>
      <c r="R655" s="4">
        <f ca="1">_xlfn.IFNA(VLOOKUP(INDIRECT("G"&amp;ROW()),minfo!$A:$M,COLUMN()-8,0),"")</f>
        <v>0</v>
      </c>
      <c r="S655" s="4" t="str">
        <f ca="1">_xlfn.IFNA(VLOOKUP(INDIRECT("G"&amp;ROW()),minfo!$A:$M,COLUMN()-8,0),"")</f>
        <v>CYNDILOVES2SING 爱。心凌</v>
      </c>
      <c r="T655" s="4">
        <f ca="1">_xlfn.IFNA(VLOOKUP(INDIRECT("G"&amp;ROW()),minfo!$A:$M,COLUMN()-8,0),"")</f>
        <v>152298390</v>
      </c>
      <c r="U655" s="4">
        <f ca="1">_xlfn.IFNA(VLOOKUP(INDIRECT("G"&amp;ROW()),minfo!$A:$M,COLUMN()-8,0),"")</f>
        <v>0</v>
      </c>
    </row>
    <row r="656" spans="1:21" ht="15.75" customHeight="1">
      <c r="A656" s="15">
        <v>655</v>
      </c>
      <c r="B656" s="4" t="s">
        <v>4235</v>
      </c>
      <c r="C656" s="4">
        <v>656</v>
      </c>
      <c r="D656" s="4">
        <v>66</v>
      </c>
      <c r="E656" s="4" t="s">
        <v>918</v>
      </c>
      <c r="F656" s="16">
        <v>45245</v>
      </c>
      <c r="G656" s="5" t="s">
        <v>917</v>
      </c>
      <c r="H656" s="5" t="s">
        <v>4168</v>
      </c>
      <c r="I656" s="24" t="str">
        <f>HYPERLINK("https://www.bilibili.com/video/BV1ie411v7a2?p=66", "BV1ie411v7a2?p=66")</f>
        <v>BV1ie411v7a2?p=66</v>
      </c>
      <c r="J656" s="4" t="str">
        <f ca="1">_xlfn.IFNA(VLOOKUP(INDIRECT("G"&amp;ROW()),minfo!$A:$M,COLUMN()-8,0),"")</f>
        <v>暗号</v>
      </c>
      <c r="K656" s="4" t="str">
        <f ca="1">_xlfn.IFNA(VLOOKUP(INDIRECT("G"&amp;ROW()),minfo!$A:$M,COLUMN()-8,0),"")</f>
        <v>周杰伦</v>
      </c>
      <c r="L656" s="4">
        <f ca="1">_xlfn.IFNA(VLOOKUP(INDIRECT("G"&amp;ROW()),minfo!$A:$M,COLUMN()-8,0),"")</f>
        <v>0</v>
      </c>
      <c r="M656" s="4">
        <f ca="1">_xlfn.IFNA(VLOOKUP(INDIRECT("G"&amp;ROW()),minfo!$A:$M,COLUMN()-8,0),"")</f>
        <v>0</v>
      </c>
      <c r="N656" s="4">
        <f ca="1">_xlfn.IFNA(VLOOKUP(INDIRECT("G"&amp;ROW()),minfo!$A:$M,COLUMN()-8,0),"")</f>
        <v>0</v>
      </c>
      <c r="O656" s="4" t="str">
        <f ca="1">_xlfn.IFNA(VLOOKUP(INDIRECT("G"&amp;ROW()),minfo!$A:$M,COLUMN()-8,0),"")</f>
        <v>https://i0.hdslb.com/bfs/station_src/music_metadata/836d7078552d6143b4a27f54a2a62598.jpg</v>
      </c>
      <c r="P656" s="4">
        <f ca="1">_xlfn.IFNA(VLOOKUP(INDIRECT("G"&amp;ROW()),minfo!$A:$M,COLUMN()-8,0),"")</f>
        <v>0</v>
      </c>
      <c r="Q656" s="4">
        <f ca="1">_xlfn.IFNA(VLOOKUP(INDIRECT("G"&amp;ROW()),minfo!$A:$M,COLUMN()-8,0),"")</f>
        <v>8346</v>
      </c>
      <c r="R656" s="4">
        <f ca="1">_xlfn.IFNA(VLOOKUP(INDIRECT("G"&amp;ROW()),minfo!$A:$M,COLUMN()-8,0),"")</f>
        <v>0</v>
      </c>
      <c r="S656" s="4" t="str">
        <f ca="1">_xlfn.IFNA(VLOOKUP(INDIRECT("G"&amp;ROW()),minfo!$A:$M,COLUMN()-8,0),"")</f>
        <v>八度空间</v>
      </c>
      <c r="T656" s="4">
        <f ca="1">_xlfn.IFNA(VLOOKUP(INDIRECT("G"&amp;ROW()),minfo!$A:$M,COLUMN()-8,0),"")</f>
        <v>445692889</v>
      </c>
      <c r="U656" s="4">
        <f ca="1">_xlfn.IFNA(VLOOKUP(INDIRECT("G"&amp;ROW()),minfo!$A:$M,COLUMN()-8,0),"")</f>
        <v>0</v>
      </c>
    </row>
    <row r="657" spans="1:21" ht="15.75" customHeight="1">
      <c r="A657" s="15">
        <v>656</v>
      </c>
      <c r="B657" s="4" t="s">
        <v>4236</v>
      </c>
      <c r="C657" s="4">
        <v>657</v>
      </c>
      <c r="D657" s="4">
        <v>67</v>
      </c>
      <c r="E657" s="4" t="s">
        <v>1680</v>
      </c>
      <c r="F657" s="16">
        <v>45245</v>
      </c>
      <c r="G657" s="5" t="s">
        <v>1679</v>
      </c>
      <c r="H657" s="5" t="s">
        <v>4168</v>
      </c>
      <c r="I657" s="24" t="str">
        <f>HYPERLINK("https://www.bilibili.com/video/BV1ie411v7a2?p=67", "BV1ie411v7a2?p=67")</f>
        <v>BV1ie411v7a2?p=67</v>
      </c>
      <c r="J657" s="4" t="str">
        <f ca="1">_xlfn.IFNA(VLOOKUP(INDIRECT("G"&amp;ROW()),minfo!$A:$M,COLUMN()-8,0),"")</f>
        <v>问花</v>
      </c>
      <c r="K657" s="4" t="str">
        <f ca="1">_xlfn.IFNA(VLOOKUP(INDIRECT("G"&amp;ROW()),minfo!$A:$M,COLUMN()-8,0),"")</f>
        <v>周深</v>
      </c>
      <c r="L657" s="4">
        <f ca="1">_xlfn.IFNA(VLOOKUP(INDIRECT("G"&amp;ROW()),minfo!$A:$M,COLUMN()-8,0),"")</f>
        <v>0</v>
      </c>
      <c r="M657" s="4">
        <f ca="1">_xlfn.IFNA(VLOOKUP(INDIRECT("G"&amp;ROW()),minfo!$A:$M,COLUMN()-8,0),"")</f>
        <v>0</v>
      </c>
      <c r="N657" s="4">
        <f ca="1">_xlfn.IFNA(VLOOKUP(INDIRECT("G"&amp;ROW()),minfo!$A:$M,COLUMN()-8,0),"")</f>
        <v>0</v>
      </c>
      <c r="O657" s="4" t="str">
        <f ca="1">_xlfn.IFNA(VLOOKUP(INDIRECT("G"&amp;ROW()),minfo!$A:$M,COLUMN()-8,0),"")</f>
        <v>https://i0.hdslb.com/bfs/station_src/music_metadata/d938903a270ebcbf6ae98416465ff752.jpg</v>
      </c>
      <c r="P657" s="4" t="str">
        <f ca="1">_xlfn.IFNA(VLOOKUP(INDIRECT("G"&amp;ROW()),minfo!$A:$M,COLUMN()-8,0),"")</f>
        <v>http://i0.hdslb.com/bfs/station_src/music_metadata/19399052b0da837868fe46152a610a13</v>
      </c>
      <c r="Q657" s="4">
        <f ca="1">_xlfn.IFNA(VLOOKUP(INDIRECT("G"&amp;ROW()),minfo!$A:$M,COLUMN()-8,0),"")</f>
        <v>104</v>
      </c>
      <c r="R657" s="4" t="str">
        <f ca="1">_xlfn.IFNA(VLOOKUP(INDIRECT("G"&amp;ROW()),minfo!$A:$M,COLUMN()-8,0),"")</f>
        <v>《白蛇2：青蛇劫起》电影主题曲</v>
      </c>
      <c r="S657" s="4" t="str">
        <f ca="1">_xlfn.IFNA(VLOOKUP(INDIRECT("G"&amp;ROW()),minfo!$A:$M,COLUMN()-8,0),"")</f>
        <v>白蛇2：青蛇劫起 电影原声带</v>
      </c>
      <c r="T657" s="4">
        <f ca="1">_xlfn.IFNA(VLOOKUP(INDIRECT("G"&amp;ROW()),minfo!$A:$M,COLUMN()-8,0),"")</f>
        <v>19283438</v>
      </c>
      <c r="U657" s="4">
        <f ca="1">_xlfn.IFNA(VLOOKUP(INDIRECT("G"&amp;ROW()),minfo!$A:$M,COLUMN()-8,0),"")</f>
        <v>0</v>
      </c>
    </row>
    <row r="658" spans="1:21" ht="15.75" customHeight="1">
      <c r="A658" s="15">
        <v>657</v>
      </c>
      <c r="B658" s="4" t="s">
        <v>4237</v>
      </c>
      <c r="C658" s="4">
        <v>658</v>
      </c>
      <c r="D658" s="4">
        <v>68</v>
      </c>
      <c r="E658" s="4" t="s">
        <v>1686</v>
      </c>
      <c r="F658" s="16">
        <v>45245</v>
      </c>
      <c r="G658" s="5" t="s">
        <v>1685</v>
      </c>
      <c r="H658" s="5" t="s">
        <v>4168</v>
      </c>
      <c r="I658" s="24" t="str">
        <f>HYPERLINK("https://www.bilibili.com/video/BV1ie411v7a2?p=68", "BV1ie411v7a2?p=68")</f>
        <v>BV1ie411v7a2?p=68</v>
      </c>
      <c r="J658" s="4" t="str">
        <f ca="1">_xlfn.IFNA(VLOOKUP(INDIRECT("G"&amp;ROW()),minfo!$A:$M,COLUMN()-8,0),"")</f>
        <v>也许明天</v>
      </c>
      <c r="K658" s="4" t="str">
        <f ca="1">_xlfn.IFNA(VLOOKUP(INDIRECT("G"&amp;ROW()),minfo!$A:$M,COLUMN()-8,0),"")</f>
        <v>张惠妹</v>
      </c>
      <c r="L658" s="4">
        <f ca="1">_xlfn.IFNA(VLOOKUP(INDIRECT("G"&amp;ROW()),minfo!$A:$M,COLUMN()-8,0),"")</f>
        <v>0</v>
      </c>
      <c r="M658" s="4">
        <f ca="1">_xlfn.IFNA(VLOOKUP(INDIRECT("G"&amp;ROW()),minfo!$A:$M,COLUMN()-8,0),"")</f>
        <v>0</v>
      </c>
      <c r="N658" s="4">
        <f ca="1">_xlfn.IFNA(VLOOKUP(INDIRECT("G"&amp;ROW()),minfo!$A:$M,COLUMN()-8,0),"")</f>
        <v>0</v>
      </c>
      <c r="O658" s="4" t="str">
        <f ca="1">_xlfn.IFNA(VLOOKUP(INDIRECT("G"&amp;ROW()),minfo!$A:$M,COLUMN()-8,0),"")</f>
        <v>https://i0.hdslb.com/bfs/station_src/music_metadata/cb5bd5c1a3d9f8006a1645245f3e31a0.jpg</v>
      </c>
      <c r="P658" s="4" t="str">
        <f ca="1">_xlfn.IFNA(VLOOKUP(INDIRECT("G"&amp;ROW()),minfo!$A:$M,COLUMN()-8,0),"")</f>
        <v>https://i0.hdslb.com/bfs/station_src/music_metadata/dc512ddcd1a2ce380ed76d0906a511fa.txt</v>
      </c>
      <c r="Q658" s="4">
        <f ca="1">_xlfn.IFNA(VLOOKUP(INDIRECT("G"&amp;ROW()),minfo!$A:$M,COLUMN()-8,0),"")</f>
        <v>4</v>
      </c>
      <c r="R658" s="4">
        <f ca="1">_xlfn.IFNA(VLOOKUP(INDIRECT("G"&amp;ROW()),minfo!$A:$M,COLUMN()-8,0),"")</f>
        <v>0</v>
      </c>
      <c r="S658" s="4" t="str">
        <f ca="1">_xlfn.IFNA(VLOOKUP(INDIRECT("G"&amp;ROW()),minfo!$A:$M,COLUMN()-8,0),"")</f>
        <v>爱的力量 10年情歌最精选</v>
      </c>
      <c r="T658" s="4">
        <f ca="1">_xlfn.IFNA(VLOOKUP(INDIRECT("G"&amp;ROW()),minfo!$A:$M,COLUMN()-8,0),"")</f>
        <v>23313180</v>
      </c>
      <c r="U658" s="4">
        <f ca="1">_xlfn.IFNA(VLOOKUP(INDIRECT("G"&amp;ROW()),minfo!$A:$M,COLUMN()-8,0),"")</f>
        <v>0</v>
      </c>
    </row>
    <row r="659" spans="1:21" ht="15.75" customHeight="1">
      <c r="A659" s="15">
        <v>658</v>
      </c>
      <c r="B659" s="4" t="s">
        <v>4238</v>
      </c>
      <c r="C659" s="4">
        <v>659</v>
      </c>
      <c r="D659" s="4">
        <v>69</v>
      </c>
      <c r="E659" s="4" t="s">
        <v>409</v>
      </c>
      <c r="F659" s="16">
        <v>45247</v>
      </c>
      <c r="G659" s="5" t="s">
        <v>408</v>
      </c>
      <c r="H659" s="5" t="s">
        <v>4168</v>
      </c>
      <c r="I659" s="24" t="str">
        <f>HYPERLINK("https://www.bilibili.com/video/BV1ie411v7a2?p=69", "BV1ie411v7a2?p=69")</f>
        <v>BV1ie411v7a2?p=69</v>
      </c>
      <c r="J659" s="4" t="str">
        <f ca="1">_xlfn.IFNA(VLOOKUP(INDIRECT("G"&amp;ROW()),minfo!$A:$M,COLUMN()-8,0),"")</f>
        <v>呼吸决定</v>
      </c>
      <c r="K659" s="4" t="str">
        <f ca="1">_xlfn.IFNA(VLOOKUP(INDIRECT("G"&amp;ROW()),minfo!$A:$M,COLUMN()-8,0),"")</f>
        <v>Fine乐团</v>
      </c>
      <c r="L659" s="4">
        <f ca="1">_xlfn.IFNA(VLOOKUP(INDIRECT("G"&amp;ROW()),minfo!$A:$M,COLUMN()-8,0),"")</f>
        <v>0</v>
      </c>
      <c r="M659" s="4">
        <f ca="1">_xlfn.IFNA(VLOOKUP(INDIRECT("G"&amp;ROW()),minfo!$A:$M,COLUMN()-8,0),"")</f>
        <v>0</v>
      </c>
      <c r="N659" s="4">
        <f ca="1">_xlfn.IFNA(VLOOKUP(INDIRECT("G"&amp;ROW()),minfo!$A:$M,COLUMN()-8,0),"")</f>
        <v>0</v>
      </c>
      <c r="O659" s="4" t="str">
        <f ca="1">_xlfn.IFNA(VLOOKUP(INDIRECT("G"&amp;ROW()),minfo!$A:$M,COLUMN()-8,0),"")</f>
        <v>http://i0.hdslb.com/bfs/station_src/music_metadata/de6c3020bce1962dc02b42568606781f.jpg</v>
      </c>
      <c r="P659" s="4" t="str">
        <f ca="1">_xlfn.IFNA(VLOOKUP(INDIRECT("G"&amp;ROW()),minfo!$A:$M,COLUMN()-8,0),"")</f>
        <v>http://i0.hdslb.com/bfs/station_src/music_metadata/9dfd516512eb23be6e624848db3bed57</v>
      </c>
      <c r="Q659" s="4">
        <f ca="1">_xlfn.IFNA(VLOOKUP(INDIRECT("G"&amp;ROW()),minfo!$A:$M,COLUMN()-8,0),"")</f>
        <v>838</v>
      </c>
      <c r="R659" s="4">
        <f ca="1">_xlfn.IFNA(VLOOKUP(INDIRECT("G"&amp;ROW()),minfo!$A:$M,COLUMN()-8,0),"")</f>
        <v>0</v>
      </c>
      <c r="S659" s="4">
        <f ca="1">_xlfn.IFNA(VLOOKUP(INDIRECT("G"&amp;ROW()),minfo!$A:$M,COLUMN()-8,0),"")</f>
        <v>0</v>
      </c>
      <c r="T659" s="4">
        <f ca="1">_xlfn.IFNA(VLOOKUP(INDIRECT("G"&amp;ROW()),minfo!$A:$M,COLUMN()-8,0),"")</f>
        <v>100019249</v>
      </c>
      <c r="U659" s="4">
        <f ca="1">_xlfn.IFNA(VLOOKUP(INDIRECT("G"&amp;ROW()),minfo!$A:$M,COLUMN()-8,0),"")</f>
        <v>0</v>
      </c>
    </row>
    <row r="660" spans="1:21" ht="15.75" customHeight="1">
      <c r="A660" s="15">
        <v>659</v>
      </c>
      <c r="B660" s="4" t="s">
        <v>4239</v>
      </c>
      <c r="C660" s="4">
        <v>660</v>
      </c>
      <c r="D660" s="4">
        <v>70</v>
      </c>
      <c r="E660" s="4" t="s">
        <v>678</v>
      </c>
      <c r="F660" s="16">
        <v>45247</v>
      </c>
      <c r="G660" s="5" t="s">
        <v>677</v>
      </c>
      <c r="H660" s="5" t="s">
        <v>4168</v>
      </c>
      <c r="I660" s="24" t="str">
        <f>HYPERLINK("https://www.bilibili.com/video/BV1ie411v7a2?p=70", "BV1ie411v7a2?p=70")</f>
        <v>BV1ie411v7a2?p=70</v>
      </c>
      <c r="J660" s="4" t="str">
        <f ca="1">_xlfn.IFNA(VLOOKUP(INDIRECT("G"&amp;ROW()),minfo!$A:$M,COLUMN()-8,0),"")</f>
        <v>将故事写成我们</v>
      </c>
      <c r="K660" s="4" t="str">
        <f ca="1">_xlfn.IFNA(VLOOKUP(INDIRECT("G"&amp;ROW()),minfo!$A:$M,COLUMN()-8,0),"")</f>
        <v>林俊杰</v>
      </c>
      <c r="L660" s="4">
        <f ca="1">_xlfn.IFNA(VLOOKUP(INDIRECT("G"&amp;ROW()),minfo!$A:$M,COLUMN()-8,0),"")</f>
        <v>0</v>
      </c>
      <c r="M660" s="4">
        <f ca="1">_xlfn.IFNA(VLOOKUP(INDIRECT("G"&amp;ROW()),minfo!$A:$M,COLUMN()-8,0),"")</f>
        <v>1032</v>
      </c>
      <c r="N660" s="4">
        <f ca="1">_xlfn.IFNA(VLOOKUP(INDIRECT("G"&amp;ROW()),minfo!$A:$M,COLUMN()-8,0),"")</f>
        <v>165</v>
      </c>
      <c r="O660" s="4" t="str">
        <f ca="1">_xlfn.IFNA(VLOOKUP(INDIRECT("G"&amp;ROW()),minfo!$A:$M,COLUMN()-8,0),"")</f>
        <v>http://i0.hdslb.com/bfs/station_src/music_metadata/63fe00af138c363552e6aff10baba93e.jpg</v>
      </c>
      <c r="P660" s="4" t="str">
        <f ca="1">_xlfn.IFNA(VLOOKUP(INDIRECT("G"&amp;ROW()),minfo!$A:$M,COLUMN()-8,0),"")</f>
        <v>http://i0.hdslb.com/bfs/station_src/music_metadata/2c6ada3c80c79f0dd8b56da48df1f4ad</v>
      </c>
      <c r="Q660" s="4">
        <f ca="1">_xlfn.IFNA(VLOOKUP(INDIRECT("G"&amp;ROW()),minfo!$A:$M,COLUMN()-8,0),"")</f>
        <v>138</v>
      </c>
      <c r="R660" s="4">
        <f ca="1">_xlfn.IFNA(VLOOKUP(INDIRECT("G"&amp;ROW()),minfo!$A:$M,COLUMN()-8,0),"")</f>
        <v>0</v>
      </c>
      <c r="S660" s="4" t="str">
        <f ca="1">_xlfn.IFNA(VLOOKUP(INDIRECT("G"&amp;ROW()),minfo!$A:$M,COLUMN()-8,0),"")</f>
        <v>将故事写成我们</v>
      </c>
      <c r="T660" s="4">
        <f ca="1">_xlfn.IFNA(VLOOKUP(INDIRECT("G"&amp;ROW()),minfo!$A:$M,COLUMN()-8,0),"")</f>
        <v>64920351</v>
      </c>
      <c r="U660" s="4">
        <f ca="1">_xlfn.IFNA(VLOOKUP(INDIRECT("G"&amp;ROW()),minfo!$A:$M,COLUMN()-8,0),"")</f>
        <v>0</v>
      </c>
    </row>
    <row r="661" spans="1:21" ht="15.75" customHeight="1">
      <c r="A661" s="15">
        <v>660</v>
      </c>
      <c r="B661" s="4" t="s">
        <v>4240</v>
      </c>
      <c r="C661" s="4">
        <v>661</v>
      </c>
      <c r="D661" s="4">
        <v>71</v>
      </c>
      <c r="E661" s="4" t="s">
        <v>1216</v>
      </c>
      <c r="F661" s="16">
        <v>45247</v>
      </c>
      <c r="G661" s="5" t="s">
        <v>1215</v>
      </c>
      <c r="H661" s="5" t="s">
        <v>4168</v>
      </c>
      <c r="I661" s="24" t="str">
        <f>HYPERLINK("https://www.bilibili.com/video/BV1ie411v7a2?p=71", "BV1ie411v7a2?p=71")</f>
        <v>BV1ie411v7a2?p=71</v>
      </c>
      <c r="J661" s="4" t="str">
        <f ca="1">_xlfn.IFNA(VLOOKUP(INDIRECT("G"&amp;ROW()),minfo!$A:$M,COLUMN()-8,0),"")</f>
        <v>记念</v>
      </c>
      <c r="K661" s="4" t="str">
        <f ca="1">_xlfn.IFNA(VLOOKUP(INDIRECT("G"&amp;ROW()),minfo!$A:$M,COLUMN()-8,0),"")</f>
        <v>雷雨心</v>
      </c>
      <c r="L661" s="4">
        <f ca="1">_xlfn.IFNA(VLOOKUP(INDIRECT("G"&amp;ROW()),minfo!$A:$M,COLUMN()-8,0),"")</f>
        <v>0</v>
      </c>
      <c r="M661" s="4">
        <f ca="1">_xlfn.IFNA(VLOOKUP(INDIRECT("G"&amp;ROW()),minfo!$A:$M,COLUMN()-8,0),"")</f>
        <v>0</v>
      </c>
      <c r="N661" s="4">
        <f ca="1">_xlfn.IFNA(VLOOKUP(INDIRECT("G"&amp;ROW()),minfo!$A:$M,COLUMN()-8,0),"")</f>
        <v>0</v>
      </c>
      <c r="O661" s="4" t="str">
        <f ca="1">_xlfn.IFNA(VLOOKUP(INDIRECT("G"&amp;ROW()),minfo!$A:$M,COLUMN()-8,0),"")</f>
        <v>https://i0.hdslb.com/bfs/station_src/music_metadata/c08c2683a436e2bfa6a0d5ee7d5c2d0f.jpg</v>
      </c>
      <c r="P661" s="4" t="str">
        <f ca="1">_xlfn.IFNA(VLOOKUP(INDIRECT("G"&amp;ROW()),minfo!$A:$M,COLUMN()-8,0),"")</f>
        <v>https://i0.hdslb.com/bfs/station_src/music_metadata/d2d618c34e10f2e1fef9760cbfebb47c.txt</v>
      </c>
      <c r="Q661" s="4">
        <f ca="1">_xlfn.IFNA(VLOOKUP(INDIRECT("G"&amp;ROW()),minfo!$A:$M,COLUMN()-8,0),"")</f>
        <v>4</v>
      </c>
      <c r="R661" s="4" t="str">
        <f ca="1">_xlfn.IFNA(VLOOKUP(INDIRECT("G"&amp;ROW()),minfo!$A:$M,COLUMN()-8,0),"")</f>
        <v>《玻璃之脑》电影中文版主题曲</v>
      </c>
      <c r="S661" s="4" t="str">
        <f ca="1">_xlfn.IFNA(VLOOKUP(INDIRECT("G"&amp;ROW()),minfo!$A:$M,COLUMN()-8,0),"")</f>
        <v>记念</v>
      </c>
      <c r="T661" s="4">
        <f ca="1">_xlfn.IFNA(VLOOKUP(INDIRECT("G"&amp;ROW()),minfo!$A:$M,COLUMN()-8,0),"")</f>
        <v>5997802</v>
      </c>
      <c r="U661" s="4">
        <f ca="1">_xlfn.IFNA(VLOOKUP(INDIRECT("G"&amp;ROW()),minfo!$A:$M,COLUMN()-8,0),"")</f>
        <v>0</v>
      </c>
    </row>
    <row r="662" spans="1:21" ht="15.75" customHeight="1">
      <c r="A662" s="15">
        <v>661</v>
      </c>
      <c r="B662" s="4" t="s">
        <v>4241</v>
      </c>
      <c r="C662" s="4">
        <v>662</v>
      </c>
      <c r="D662" s="4">
        <v>72</v>
      </c>
      <c r="E662" s="4" t="s">
        <v>1078</v>
      </c>
      <c r="F662" s="16">
        <v>45248</v>
      </c>
      <c r="G662" s="5" t="s">
        <v>1077</v>
      </c>
      <c r="H662" s="5" t="s">
        <v>4168</v>
      </c>
      <c r="I662" s="24" t="str">
        <f>HYPERLINK("https://www.bilibili.com/video/BV1ie411v7a2?p=72", "BV1ie411v7a2?p=72")</f>
        <v>BV1ie411v7a2?p=72</v>
      </c>
      <c r="J662" s="4" t="str">
        <f ca="1">_xlfn.IFNA(VLOOKUP(INDIRECT("G"&amp;ROW()),minfo!$A:$M,COLUMN()-8,0),"")</f>
        <v>最长的电影</v>
      </c>
      <c r="K662" s="4" t="str">
        <f ca="1">_xlfn.IFNA(VLOOKUP(INDIRECT("G"&amp;ROW()),minfo!$A:$M,COLUMN()-8,0),"")</f>
        <v>周杰伦</v>
      </c>
      <c r="L662" s="4">
        <f ca="1">_xlfn.IFNA(VLOOKUP(INDIRECT("G"&amp;ROW()),minfo!$A:$M,COLUMN()-8,0),"")</f>
        <v>0</v>
      </c>
      <c r="M662" s="4">
        <f ca="1">_xlfn.IFNA(VLOOKUP(INDIRECT("G"&amp;ROW()),minfo!$A:$M,COLUMN()-8,0),"")</f>
        <v>0</v>
      </c>
      <c r="N662" s="4">
        <f ca="1">_xlfn.IFNA(VLOOKUP(INDIRECT("G"&amp;ROW()),minfo!$A:$M,COLUMN()-8,0),"")</f>
        <v>0</v>
      </c>
      <c r="O662" s="4" t="str">
        <f ca="1">_xlfn.IFNA(VLOOKUP(INDIRECT("G"&amp;ROW()),minfo!$A:$M,COLUMN()-8,0),"")</f>
        <v>https://i0.hdslb.com/bfs/station_src/music_metadata/7eaa1a96d6dc901ac8d38b532ba49f47.jpg</v>
      </c>
      <c r="P662" s="4" t="str">
        <f ca="1">_xlfn.IFNA(VLOOKUP(INDIRECT("G"&amp;ROW()),minfo!$A:$M,COLUMN()-8,0),"")</f>
        <v>http://i0.hdslb.com/bfs/station_src/music_metadata/62e80a61723a09aff7da0f2c4f4612c9</v>
      </c>
      <c r="Q662" s="4">
        <f ca="1">_xlfn.IFNA(VLOOKUP(INDIRECT("G"&amp;ROW()),minfo!$A:$M,COLUMN()-8,0),"")</f>
        <v>2026</v>
      </c>
      <c r="R662" s="4">
        <f ca="1">_xlfn.IFNA(VLOOKUP(INDIRECT("G"&amp;ROW()),minfo!$A:$M,COLUMN()-8,0),"")</f>
        <v>0</v>
      </c>
      <c r="S662" s="4" t="str">
        <f ca="1">_xlfn.IFNA(VLOOKUP(INDIRECT("G"&amp;ROW()),minfo!$A:$M,COLUMN()-8,0),"")</f>
        <v>我很忙</v>
      </c>
      <c r="T662" s="4">
        <f ca="1">_xlfn.IFNA(VLOOKUP(INDIRECT("G"&amp;ROW()),minfo!$A:$M,COLUMN()-8,0),"")</f>
        <v>437092203</v>
      </c>
      <c r="U662" s="4">
        <f ca="1">_xlfn.IFNA(VLOOKUP(INDIRECT("G"&amp;ROW()),minfo!$A:$M,COLUMN()-8,0),"")</f>
        <v>0</v>
      </c>
    </row>
    <row r="663" spans="1:21" ht="15.75" customHeight="1">
      <c r="A663" s="15">
        <v>662</v>
      </c>
      <c r="B663" s="4" t="s">
        <v>4242</v>
      </c>
      <c r="C663" s="4">
        <v>663</v>
      </c>
      <c r="D663" s="4">
        <v>73</v>
      </c>
      <c r="E663" s="4" t="s">
        <v>81</v>
      </c>
      <c r="F663" s="16">
        <v>45248</v>
      </c>
      <c r="G663" s="5" t="s">
        <v>1690</v>
      </c>
      <c r="H663" s="5" t="s">
        <v>4168</v>
      </c>
      <c r="I663" s="24" t="str">
        <f>HYPERLINK("https://www.bilibili.com/video/BV1ie411v7a2?p=73", "BV1ie411v7a2?p=73")</f>
        <v>BV1ie411v7a2?p=73</v>
      </c>
      <c r="J663" s="4" t="str">
        <f ca="1">_xlfn.IFNA(VLOOKUP(INDIRECT("G"&amp;ROW()),minfo!$A:$M,COLUMN()-8,0),"")</f>
        <v>从前的月光</v>
      </c>
      <c r="K663" s="4" t="str">
        <f ca="1">_xlfn.IFNA(VLOOKUP(INDIRECT("G"&amp;ROW()),minfo!$A:$M,COLUMN()-8,0),"")</f>
        <v>说说Crystal</v>
      </c>
      <c r="L663" s="4">
        <f ca="1">_xlfn.IFNA(VLOOKUP(INDIRECT("G"&amp;ROW()),minfo!$A:$M,COLUMN()-8,0),"")</f>
        <v>0</v>
      </c>
      <c r="M663" s="4">
        <f ca="1">_xlfn.IFNA(VLOOKUP(INDIRECT("G"&amp;ROW()),minfo!$A:$M,COLUMN()-8,0),"")</f>
        <v>0</v>
      </c>
      <c r="N663" s="4">
        <f ca="1">_xlfn.IFNA(VLOOKUP(INDIRECT("G"&amp;ROW()),minfo!$A:$M,COLUMN()-8,0),"")</f>
        <v>0</v>
      </c>
      <c r="O663" s="4" t="str">
        <f ca="1">_xlfn.IFNA(VLOOKUP(INDIRECT("G"&amp;ROW()),minfo!$A:$M,COLUMN()-8,0),"")</f>
        <v>https://i0.hdslb.com/bfs/station_src/music_metadata/d3381c4f9efa75a9a131a7c91b7a4a4a.jpg</v>
      </c>
      <c r="P663" s="4">
        <f ca="1">_xlfn.IFNA(VLOOKUP(INDIRECT("G"&amp;ROW()),minfo!$A:$M,COLUMN()-8,0),"")</f>
        <v>0</v>
      </c>
      <c r="Q663" s="4">
        <f ca="1">_xlfn.IFNA(VLOOKUP(INDIRECT("G"&amp;ROW()),minfo!$A:$M,COLUMN()-8,0),"")</f>
        <v>0</v>
      </c>
      <c r="R663" s="4">
        <f ca="1">_xlfn.IFNA(VLOOKUP(INDIRECT("G"&amp;ROW()),minfo!$A:$M,COLUMN()-8,0),"")</f>
        <v>0</v>
      </c>
      <c r="S663" s="4" t="str">
        <f ca="1">_xlfn.IFNA(VLOOKUP(INDIRECT("G"&amp;ROW()),minfo!$A:$M,COLUMN()-8,0),"")</f>
        <v>从前的月光</v>
      </c>
      <c r="T663" s="4">
        <f ca="1">_xlfn.IFNA(VLOOKUP(INDIRECT("G"&amp;ROW()),minfo!$A:$M,COLUMN()-8,0),"")</f>
        <v>152535</v>
      </c>
      <c r="U663" s="4">
        <f ca="1">_xlfn.IFNA(VLOOKUP(INDIRECT("G"&amp;ROW()),minfo!$A:$M,COLUMN()-8,0),"")</f>
        <v>0</v>
      </c>
    </row>
    <row r="664" spans="1:21" ht="15.75" customHeight="1">
      <c r="A664" s="15">
        <v>663</v>
      </c>
      <c r="B664" s="4" t="s">
        <v>4243</v>
      </c>
      <c r="C664" s="4">
        <v>664</v>
      </c>
      <c r="D664" s="4">
        <v>74</v>
      </c>
      <c r="E664" s="4" t="s">
        <v>83</v>
      </c>
      <c r="F664" s="16">
        <v>45248</v>
      </c>
      <c r="G664" s="5" t="s">
        <v>1692</v>
      </c>
      <c r="H664" s="5" t="s">
        <v>4168</v>
      </c>
      <c r="I664" s="24" t="str">
        <f>HYPERLINK("https://www.bilibili.com/video/BV1ie411v7a2?p=74", "BV1ie411v7a2?p=74")</f>
        <v>BV1ie411v7a2?p=74</v>
      </c>
      <c r="J664" s="4" t="str">
        <f ca="1">_xlfn.IFNA(VLOOKUP(INDIRECT("G"&amp;ROW()),minfo!$A:$M,COLUMN()-8,0),"")</f>
        <v>蜃楼之下</v>
      </c>
      <c r="K664" s="4" t="str">
        <f ca="1">_xlfn.IFNA(VLOOKUP(INDIRECT("G"&amp;ROW()),minfo!$A:$M,COLUMN()-8,0),"")</f>
        <v>说说Crystal</v>
      </c>
      <c r="L664" s="4">
        <f ca="1">_xlfn.IFNA(VLOOKUP(INDIRECT("G"&amp;ROW()),minfo!$A:$M,COLUMN()-8,0),"")</f>
        <v>0</v>
      </c>
      <c r="M664" s="4">
        <f ca="1">_xlfn.IFNA(VLOOKUP(INDIRECT("G"&amp;ROW()),minfo!$A:$M,COLUMN()-8,0),"")</f>
        <v>0</v>
      </c>
      <c r="N664" s="4">
        <f ca="1">_xlfn.IFNA(VLOOKUP(INDIRECT("G"&amp;ROW()),minfo!$A:$M,COLUMN()-8,0),"")</f>
        <v>0</v>
      </c>
      <c r="O664" s="4" t="str">
        <f ca="1">_xlfn.IFNA(VLOOKUP(INDIRECT("G"&amp;ROW()),minfo!$A:$M,COLUMN()-8,0),"")</f>
        <v>https://i0.hdslb.com/bfs/station_src/music_metadata/4e2fa6c3be188c96f2fcbacdcd7c32b9.jpg</v>
      </c>
      <c r="P664" s="4" t="str">
        <f ca="1">_xlfn.IFNA(VLOOKUP(INDIRECT("G"&amp;ROW()),minfo!$A:$M,COLUMN()-8,0),"")</f>
        <v>https://i0.hdslb.com/bfs/station_src/music_metadata/5fb02cb51d8da687f91eef8353e8054f.txt</v>
      </c>
      <c r="Q664" s="4">
        <f ca="1">_xlfn.IFNA(VLOOKUP(INDIRECT("G"&amp;ROW()),minfo!$A:$M,COLUMN()-8,0),"")</f>
        <v>0</v>
      </c>
      <c r="R664" s="4" t="str">
        <f ca="1">_xlfn.IFNA(VLOOKUP(INDIRECT("G"&amp;ROW()),minfo!$A:$M,COLUMN()-8,0),"")</f>
        <v>《红荒》片头曲</v>
      </c>
      <c r="S664" s="4" t="str">
        <f ca="1">_xlfn.IFNA(VLOOKUP(INDIRECT("G"&amp;ROW()),minfo!$A:$M,COLUMN()-8,0),"")</f>
        <v>红荒 动画原声带</v>
      </c>
      <c r="T664" s="4">
        <f ca="1">_xlfn.IFNA(VLOOKUP(INDIRECT("G"&amp;ROW()),minfo!$A:$M,COLUMN()-8,0),"")</f>
        <v>403200</v>
      </c>
      <c r="U664" s="4">
        <f ca="1">_xlfn.IFNA(VLOOKUP(INDIRECT("G"&amp;ROW()),minfo!$A:$M,COLUMN()-8,0),"")</f>
        <v>0</v>
      </c>
    </row>
    <row r="665" spans="1:21" ht="15.75" customHeight="1">
      <c r="A665" s="15">
        <v>664</v>
      </c>
      <c r="B665" s="4" t="s">
        <v>4244</v>
      </c>
      <c r="C665" s="4">
        <v>665</v>
      </c>
      <c r="D665" s="4">
        <v>75</v>
      </c>
      <c r="E665" s="4" t="s">
        <v>103</v>
      </c>
      <c r="F665" s="16">
        <v>45248</v>
      </c>
      <c r="G665" s="5" t="s">
        <v>1302</v>
      </c>
      <c r="H665" s="5" t="s">
        <v>4168</v>
      </c>
      <c r="I665" s="24" t="str">
        <f>HYPERLINK("https://www.bilibili.com/video/BV1ie411v7a2?p=75", "BV1ie411v7a2?p=75")</f>
        <v>BV1ie411v7a2?p=75</v>
      </c>
      <c r="J665" s="4" t="str">
        <f ca="1">_xlfn.IFNA(VLOOKUP(INDIRECT("G"&amp;ROW()),minfo!$A:$M,COLUMN()-8,0),"")</f>
        <v>不与人说</v>
      </c>
      <c r="K665" s="4" t="str">
        <f ca="1">_xlfn.IFNA(VLOOKUP(INDIRECT("G"&amp;ROW()),minfo!$A:$M,COLUMN()-8,0),"")</f>
        <v>说说Crystal</v>
      </c>
      <c r="L665" s="4">
        <f ca="1">_xlfn.IFNA(VLOOKUP(INDIRECT("G"&amp;ROW()),minfo!$A:$M,COLUMN()-8,0),"")</f>
        <v>0</v>
      </c>
      <c r="M665" s="4">
        <f ca="1">_xlfn.IFNA(VLOOKUP(INDIRECT("G"&amp;ROW()),minfo!$A:$M,COLUMN()-8,0),"")</f>
        <v>0</v>
      </c>
      <c r="N665" s="4">
        <f ca="1">_xlfn.IFNA(VLOOKUP(INDIRECT("G"&amp;ROW()),minfo!$A:$M,COLUMN()-8,0),"")</f>
        <v>0</v>
      </c>
      <c r="O665" s="4" t="str">
        <f ca="1">_xlfn.IFNA(VLOOKUP(INDIRECT("G"&amp;ROW()),minfo!$A:$M,COLUMN()-8,0),"")</f>
        <v>https://i0.hdslb.com/bfs/station_src/music_metadata/bdd3f00d8b08a3cddf8bce42db5ff25a.jpg</v>
      </c>
      <c r="P665" s="4">
        <f ca="1">_xlfn.IFNA(VLOOKUP(INDIRECT("G"&amp;ROW()),minfo!$A:$M,COLUMN()-8,0),"")</f>
        <v>0</v>
      </c>
      <c r="Q665" s="4">
        <f ca="1">_xlfn.IFNA(VLOOKUP(INDIRECT("G"&amp;ROW()),minfo!$A:$M,COLUMN()-8,0),"")</f>
        <v>0</v>
      </c>
      <c r="R665" s="4">
        <f ca="1">_xlfn.IFNA(VLOOKUP(INDIRECT("G"&amp;ROW()),minfo!$A:$M,COLUMN()-8,0),"")</f>
        <v>0</v>
      </c>
      <c r="S665" s="4" t="str">
        <f ca="1">_xlfn.IFNA(VLOOKUP(INDIRECT("G"&amp;ROW()),minfo!$A:$M,COLUMN()-8,0),"")</f>
        <v>不与人说</v>
      </c>
      <c r="T665" s="4">
        <f ca="1">_xlfn.IFNA(VLOOKUP(INDIRECT("G"&amp;ROW()),minfo!$A:$M,COLUMN()-8,0),"")</f>
        <v>64479</v>
      </c>
      <c r="U665" s="4">
        <f ca="1">_xlfn.IFNA(VLOOKUP(INDIRECT("G"&amp;ROW()),minfo!$A:$M,COLUMN()-8,0),"")</f>
        <v>0</v>
      </c>
    </row>
    <row r="666" spans="1:21" ht="15.75" customHeight="1">
      <c r="A666" s="15">
        <v>665</v>
      </c>
      <c r="B666" s="4" t="s">
        <v>4245</v>
      </c>
      <c r="C666" s="4">
        <v>666</v>
      </c>
      <c r="D666" s="4">
        <v>76</v>
      </c>
      <c r="E666" s="4" t="s">
        <v>59</v>
      </c>
      <c r="F666" s="16">
        <v>45248</v>
      </c>
      <c r="G666" s="5" t="s">
        <v>59</v>
      </c>
      <c r="H666" s="5" t="s">
        <v>4168</v>
      </c>
      <c r="I666" s="24" t="str">
        <f>HYPERLINK("https://www.bilibili.com/video/BV1ie411v7a2?p=76", "BV1ie411v7a2?p=76")</f>
        <v>BV1ie411v7a2?p=76</v>
      </c>
      <c r="J666" s="4" t="str">
        <f ca="1">_xlfn.IFNA(VLOOKUP(INDIRECT("G"&amp;ROW()),minfo!$A:$M,COLUMN()-8,0),"")</f>
        <v>长夜杯空</v>
      </c>
      <c r="K666" s="4" t="str">
        <f ca="1">_xlfn.IFNA(VLOOKUP(INDIRECT("G"&amp;ROW()),minfo!$A:$M,COLUMN()-8,0),"")</f>
        <v>说说Crystal</v>
      </c>
      <c r="L666" s="4" t="str">
        <f ca="1">_xlfn.IFNA(VLOOKUP(INDIRECT("G"&amp;ROW()),minfo!$A:$M,COLUMN()-8,0),"")</f>
        <v>BV1KX4y1q7ea</v>
      </c>
      <c r="M666" s="4">
        <f ca="1">_xlfn.IFNA(VLOOKUP(INDIRECT("G"&amp;ROW()),minfo!$A:$M,COLUMN()-8,0),"")</f>
        <v>0</v>
      </c>
      <c r="N666" s="4">
        <f ca="1">_xlfn.IFNA(VLOOKUP(INDIRECT("G"&amp;ROW()),minfo!$A:$M,COLUMN()-8,0),"")</f>
        <v>0</v>
      </c>
      <c r="O666" s="4">
        <f ca="1">_xlfn.IFNA(VLOOKUP(INDIRECT("G"&amp;ROW()),minfo!$A:$M,COLUMN()-8,0),"")</f>
        <v>0</v>
      </c>
      <c r="P666" s="4">
        <f ca="1">_xlfn.IFNA(VLOOKUP(INDIRECT("G"&amp;ROW()),minfo!$A:$M,COLUMN()-8,0),"")</f>
        <v>0</v>
      </c>
      <c r="Q666" s="4">
        <f ca="1">_xlfn.IFNA(VLOOKUP(INDIRECT("G"&amp;ROW()),minfo!$A:$M,COLUMN()-8,0),"")</f>
        <v>0</v>
      </c>
      <c r="R666" s="4">
        <f ca="1">_xlfn.IFNA(VLOOKUP(INDIRECT("G"&amp;ROW()),minfo!$A:$M,COLUMN()-8,0),"")</f>
        <v>0</v>
      </c>
      <c r="S666" s="4">
        <f ca="1">_xlfn.IFNA(VLOOKUP(INDIRECT("G"&amp;ROW()),minfo!$A:$M,COLUMN()-8,0),"")</f>
        <v>0</v>
      </c>
      <c r="T666" s="4">
        <f ca="1">_xlfn.IFNA(VLOOKUP(INDIRECT("G"&amp;ROW()),minfo!$A:$M,COLUMN()-8,0),"")</f>
        <v>0</v>
      </c>
      <c r="U666" s="4">
        <f ca="1">_xlfn.IFNA(VLOOKUP(INDIRECT("G"&amp;ROW()),minfo!$A:$M,COLUMN()-8,0),"")</f>
        <v>0</v>
      </c>
    </row>
    <row r="667" spans="1:21" ht="15.75" customHeight="1">
      <c r="A667" s="15">
        <v>666</v>
      </c>
      <c r="B667" s="4" t="s">
        <v>4246</v>
      </c>
      <c r="C667" s="4">
        <v>667</v>
      </c>
      <c r="D667" s="4">
        <v>77</v>
      </c>
      <c r="E667" s="4" t="s">
        <v>904</v>
      </c>
      <c r="F667" s="16">
        <v>45248</v>
      </c>
      <c r="G667" s="5" t="s">
        <v>903</v>
      </c>
      <c r="H667" s="5" t="s">
        <v>4168</v>
      </c>
      <c r="I667" s="24" t="str">
        <f>HYPERLINK("https://www.bilibili.com/video/BV1ie411v7a2?p=77", "BV1ie411v7a2?p=77")</f>
        <v>BV1ie411v7a2?p=77</v>
      </c>
      <c r="J667" s="4" t="str">
        <f ca="1">_xlfn.IFNA(VLOOKUP(INDIRECT("G"&amp;ROW()),minfo!$A:$M,COLUMN()-8,0),"")</f>
        <v>轨迹</v>
      </c>
      <c r="K667" s="4" t="str">
        <f ca="1">_xlfn.IFNA(VLOOKUP(INDIRECT("G"&amp;ROW()),minfo!$A:$M,COLUMN()-8,0),"")</f>
        <v>周杰伦</v>
      </c>
      <c r="L667" s="4">
        <f ca="1">_xlfn.IFNA(VLOOKUP(INDIRECT("G"&amp;ROW()),minfo!$A:$M,COLUMN()-8,0),"")</f>
        <v>0</v>
      </c>
      <c r="M667" s="4">
        <f ca="1">_xlfn.IFNA(VLOOKUP(INDIRECT("G"&amp;ROW()),minfo!$A:$M,COLUMN()-8,0),"")</f>
        <v>0</v>
      </c>
      <c r="N667" s="4">
        <f ca="1">_xlfn.IFNA(VLOOKUP(INDIRECT("G"&amp;ROW()),minfo!$A:$M,COLUMN()-8,0),"")</f>
        <v>0</v>
      </c>
      <c r="O667" s="4" t="str">
        <f ca="1">_xlfn.IFNA(VLOOKUP(INDIRECT("G"&amp;ROW()),minfo!$A:$M,COLUMN()-8,0),"")</f>
        <v>https://i0.hdslb.com/bfs/station_src/music_metadata/439418765b962c30a2db33196128f32b.jpg</v>
      </c>
      <c r="P667" s="4" t="str">
        <f ca="1">_xlfn.IFNA(VLOOKUP(INDIRECT("G"&amp;ROW()),minfo!$A:$M,COLUMN()-8,0),"")</f>
        <v>copyright-crawler/music/task-lyric/6267f46a504b4c0665fd7bfd.txt</v>
      </c>
      <c r="Q667" s="4">
        <f ca="1">_xlfn.IFNA(VLOOKUP(INDIRECT("G"&amp;ROW()),minfo!$A:$M,COLUMN()-8,0),"")</f>
        <v>2850</v>
      </c>
      <c r="R667" s="4" t="str">
        <f ca="1">_xlfn.IFNA(VLOOKUP(INDIRECT("G"&amp;ROW()),minfo!$A:$M,COLUMN()-8,0),"")</f>
        <v>轨迹</v>
      </c>
      <c r="S667" s="4" t="str">
        <f ca="1">_xlfn.IFNA(VLOOKUP(INDIRECT("G"&amp;ROW()),minfo!$A:$M,COLUMN()-8,0),"")</f>
        <v>寻找周杰伦</v>
      </c>
      <c r="T667" s="4">
        <f ca="1">_xlfn.IFNA(VLOOKUP(INDIRECT("G"&amp;ROW()),minfo!$A:$M,COLUMN()-8,0),"")</f>
        <v>416774055</v>
      </c>
      <c r="U667" s="4">
        <f ca="1">_xlfn.IFNA(VLOOKUP(INDIRECT("G"&amp;ROW()),minfo!$A:$M,COLUMN()-8,0),"")</f>
        <v>0</v>
      </c>
    </row>
    <row r="668" spans="1:21" ht="15.75" customHeight="1">
      <c r="A668" s="15">
        <v>667</v>
      </c>
      <c r="B668" s="4" t="s">
        <v>4247</v>
      </c>
      <c r="C668" s="4">
        <v>668</v>
      </c>
      <c r="D668" s="4">
        <v>78</v>
      </c>
      <c r="E668" s="4" t="s">
        <v>1180</v>
      </c>
      <c r="F668" s="16">
        <v>45248</v>
      </c>
      <c r="G668" s="5" t="s">
        <v>1179</v>
      </c>
      <c r="H668" s="5" t="s">
        <v>4168</v>
      </c>
      <c r="I668" s="24" t="str">
        <f>HYPERLINK("https://www.bilibili.com/video/BV1ie411v7a2?p=78", "BV1ie411v7a2?p=78")</f>
        <v>BV1ie411v7a2?p=78</v>
      </c>
      <c r="J668" s="4" t="str">
        <f ca="1">_xlfn.IFNA(VLOOKUP(INDIRECT("G"&amp;ROW()),minfo!$A:$M,COLUMN()-8,0),"")</f>
        <v>真实</v>
      </c>
      <c r="K668" s="4" t="str">
        <f ca="1">_xlfn.IFNA(VLOOKUP(INDIRECT("G"&amp;ROW()),minfo!$A:$M,COLUMN()-8,0),"")</f>
        <v>张惠妹</v>
      </c>
      <c r="L668" s="4">
        <f ca="1">_xlfn.IFNA(VLOOKUP(INDIRECT("G"&amp;ROW()),minfo!$A:$M,COLUMN()-8,0),"")</f>
        <v>0</v>
      </c>
      <c r="M668" s="4">
        <f ca="1">_xlfn.IFNA(VLOOKUP(INDIRECT("G"&amp;ROW()),minfo!$A:$M,COLUMN()-8,0),"")</f>
        <v>0</v>
      </c>
      <c r="N668" s="4">
        <f ca="1">_xlfn.IFNA(VLOOKUP(INDIRECT("G"&amp;ROW()),minfo!$A:$M,COLUMN()-8,0),"")</f>
        <v>0</v>
      </c>
      <c r="O668" s="4" t="str">
        <f ca="1">_xlfn.IFNA(VLOOKUP(INDIRECT("G"&amp;ROW()),minfo!$A:$M,COLUMN()-8,0),"")</f>
        <v>https://i0.hdslb.com/bfs/station_src/music_metadata/9f4eabc9a46c0571d7f7f67bb2ebab60.jpg</v>
      </c>
      <c r="P668" s="4" t="str">
        <f ca="1">_xlfn.IFNA(VLOOKUP(INDIRECT("G"&amp;ROW()),minfo!$A:$M,COLUMN()-8,0),"")</f>
        <v>https://i0.hdslb.com/bfs/station_src/music_metadata/bfc8e2894c10a612c011fcc912b0f45d.txt</v>
      </c>
      <c r="Q668" s="4">
        <f ca="1">_xlfn.IFNA(VLOOKUP(INDIRECT("G"&amp;ROW()),minfo!$A:$M,COLUMN()-8,0),"")</f>
        <v>17</v>
      </c>
      <c r="R668" s="4">
        <f ca="1">_xlfn.IFNA(VLOOKUP(INDIRECT("G"&amp;ROW()),minfo!$A:$M,COLUMN()-8,0),"")</f>
        <v>0</v>
      </c>
      <c r="S668" s="4" t="str">
        <f ca="1">_xlfn.IFNA(VLOOKUP(INDIRECT("G"&amp;ROW()),minfo!$A:$M,COLUMN()-8,0),"")</f>
        <v>真实</v>
      </c>
      <c r="T668" s="4">
        <f ca="1">_xlfn.IFNA(VLOOKUP(INDIRECT("G"&amp;ROW()),minfo!$A:$M,COLUMN()-8,0),"")</f>
        <v>6260891</v>
      </c>
      <c r="U668" s="4">
        <f ca="1">_xlfn.IFNA(VLOOKUP(INDIRECT("G"&amp;ROW()),minfo!$A:$M,COLUMN()-8,0),"")</f>
        <v>0</v>
      </c>
    </row>
    <row r="669" spans="1:21" ht="15.75" customHeight="1">
      <c r="A669" s="15">
        <v>668</v>
      </c>
      <c r="B669" s="4" t="s">
        <v>4248</v>
      </c>
      <c r="C669" s="4">
        <v>669</v>
      </c>
      <c r="D669" s="4">
        <v>79</v>
      </c>
      <c r="E669" s="4" t="s">
        <v>967</v>
      </c>
      <c r="F669" s="16">
        <v>45249</v>
      </c>
      <c r="G669" s="5" t="s">
        <v>966</v>
      </c>
      <c r="H669" s="5" t="s">
        <v>4168</v>
      </c>
      <c r="I669" s="24" t="str">
        <f>HYPERLINK("https://www.bilibili.com/video/BV1ie411v7a2?p=79", "BV1ie411v7a2?p=79")</f>
        <v>BV1ie411v7a2?p=79</v>
      </c>
      <c r="J669" s="4" t="str">
        <f ca="1">_xlfn.IFNA(VLOOKUP(INDIRECT("G"&amp;ROW()),minfo!$A:$M,COLUMN()-8,0),"")</f>
        <v>小雨</v>
      </c>
      <c r="K669" s="4" t="str">
        <f ca="1">_xlfn.IFNA(VLOOKUP(INDIRECT("G"&amp;ROW()),minfo!$A:$M,COLUMN()-8,0),"")</f>
        <v>黄龄</v>
      </c>
      <c r="L669" s="4">
        <f ca="1">_xlfn.IFNA(VLOOKUP(INDIRECT("G"&amp;ROW()),minfo!$A:$M,COLUMN()-8,0),"")</f>
        <v>0</v>
      </c>
      <c r="M669" s="4">
        <f ca="1">_xlfn.IFNA(VLOOKUP(INDIRECT("G"&amp;ROW()),minfo!$A:$M,COLUMN()-8,0),"")</f>
        <v>0</v>
      </c>
      <c r="N669" s="4">
        <f ca="1">_xlfn.IFNA(VLOOKUP(INDIRECT("G"&amp;ROW()),minfo!$A:$M,COLUMN()-8,0),"")</f>
        <v>0</v>
      </c>
      <c r="O669" s="4" t="str">
        <f ca="1">_xlfn.IFNA(VLOOKUP(INDIRECT("G"&amp;ROW()),minfo!$A:$M,COLUMN()-8,0),"")</f>
        <v>https://i0.hdslb.com/bfs/station_src/music_metadata/607346922702f1ba7302d87db0ecdbf1.jpg</v>
      </c>
      <c r="P669" s="4" t="str">
        <f ca="1">_xlfn.IFNA(VLOOKUP(INDIRECT("G"&amp;ROW()),minfo!$A:$M,COLUMN()-8,0),"")</f>
        <v>https://i0.hdslb.com/bfs/station_src/music_metadata/245fdd0b68a8f71caa554e8f05ea1b6c.txt</v>
      </c>
      <c r="Q669" s="4">
        <f ca="1">_xlfn.IFNA(VLOOKUP(INDIRECT("G"&amp;ROW()),minfo!$A:$M,COLUMN()-8,0),"")</f>
        <v>2250</v>
      </c>
      <c r="R669" s="4">
        <f ca="1">_xlfn.IFNA(VLOOKUP(INDIRECT("G"&amp;ROW()),minfo!$A:$M,COLUMN()-8,0),"")</f>
        <v>0</v>
      </c>
      <c r="S669" s="4" t="str">
        <f ca="1">_xlfn.IFNA(VLOOKUP(INDIRECT("G"&amp;ROW()),minfo!$A:$M,COLUMN()-8,0),"")</f>
        <v>小雨</v>
      </c>
      <c r="T669" s="4">
        <f ca="1">_xlfn.IFNA(VLOOKUP(INDIRECT("G"&amp;ROW()),minfo!$A:$M,COLUMN()-8,0),"")</f>
        <v>63947645</v>
      </c>
      <c r="U669" s="4">
        <f ca="1">_xlfn.IFNA(VLOOKUP(INDIRECT("G"&amp;ROW()),minfo!$A:$M,COLUMN()-8,0),"")</f>
        <v>0</v>
      </c>
    </row>
    <row r="670" spans="1:21" ht="15.75" customHeight="1">
      <c r="A670" s="15">
        <v>669</v>
      </c>
      <c r="B670" s="4" t="s">
        <v>4249</v>
      </c>
      <c r="C670" s="4">
        <v>670</v>
      </c>
      <c r="D670" s="4">
        <v>80</v>
      </c>
      <c r="E670" s="4" t="s">
        <v>967</v>
      </c>
      <c r="F670" s="16">
        <v>45249</v>
      </c>
      <c r="G670" s="5" t="s">
        <v>966</v>
      </c>
      <c r="H670" s="5" t="s">
        <v>4168</v>
      </c>
      <c r="I670" s="24" t="str">
        <f>HYPERLINK("https://www.bilibili.com/video/BV1ie411v7a2?p=80", "BV1ie411v7a2?p=80")</f>
        <v>BV1ie411v7a2?p=80</v>
      </c>
      <c r="J670" s="4" t="str">
        <f ca="1">_xlfn.IFNA(VLOOKUP(INDIRECT("G"&amp;ROW()),minfo!$A:$M,COLUMN()-8,0),"")</f>
        <v>小雨</v>
      </c>
      <c r="K670" s="4" t="str">
        <f ca="1">_xlfn.IFNA(VLOOKUP(INDIRECT("G"&amp;ROW()),minfo!$A:$M,COLUMN()-8,0),"")</f>
        <v>黄龄</v>
      </c>
      <c r="L670" s="4">
        <f ca="1">_xlfn.IFNA(VLOOKUP(INDIRECT("G"&amp;ROW()),minfo!$A:$M,COLUMN()-8,0),"")</f>
        <v>0</v>
      </c>
      <c r="M670" s="4">
        <f ca="1">_xlfn.IFNA(VLOOKUP(INDIRECT("G"&amp;ROW()),minfo!$A:$M,COLUMN()-8,0),"")</f>
        <v>0</v>
      </c>
      <c r="N670" s="4">
        <f ca="1">_xlfn.IFNA(VLOOKUP(INDIRECT("G"&amp;ROW()),minfo!$A:$M,COLUMN()-8,0),"")</f>
        <v>0</v>
      </c>
      <c r="O670" s="4" t="str">
        <f ca="1">_xlfn.IFNA(VLOOKUP(INDIRECT("G"&amp;ROW()),minfo!$A:$M,COLUMN()-8,0),"")</f>
        <v>https://i0.hdslb.com/bfs/station_src/music_metadata/607346922702f1ba7302d87db0ecdbf1.jpg</v>
      </c>
      <c r="P670" s="4" t="str">
        <f ca="1">_xlfn.IFNA(VLOOKUP(INDIRECT("G"&amp;ROW()),minfo!$A:$M,COLUMN()-8,0),"")</f>
        <v>https://i0.hdslb.com/bfs/station_src/music_metadata/245fdd0b68a8f71caa554e8f05ea1b6c.txt</v>
      </c>
      <c r="Q670" s="4">
        <f ca="1">_xlfn.IFNA(VLOOKUP(INDIRECT("G"&amp;ROW()),minfo!$A:$M,COLUMN()-8,0),"")</f>
        <v>2250</v>
      </c>
      <c r="R670" s="4">
        <f ca="1">_xlfn.IFNA(VLOOKUP(INDIRECT("G"&amp;ROW()),minfo!$A:$M,COLUMN()-8,0),"")</f>
        <v>0</v>
      </c>
      <c r="S670" s="4" t="str">
        <f ca="1">_xlfn.IFNA(VLOOKUP(INDIRECT("G"&amp;ROW()),minfo!$A:$M,COLUMN()-8,0),"")</f>
        <v>小雨</v>
      </c>
      <c r="T670" s="4">
        <f ca="1">_xlfn.IFNA(VLOOKUP(INDIRECT("G"&amp;ROW()),minfo!$A:$M,COLUMN()-8,0),"")</f>
        <v>63947645</v>
      </c>
      <c r="U670" s="4">
        <f ca="1">_xlfn.IFNA(VLOOKUP(INDIRECT("G"&amp;ROW()),minfo!$A:$M,COLUMN()-8,0),"")</f>
        <v>0</v>
      </c>
    </row>
    <row r="671" spans="1:21" ht="15.75" customHeight="1">
      <c r="A671" s="15">
        <v>670</v>
      </c>
      <c r="B671" s="4" t="s">
        <v>4250</v>
      </c>
      <c r="C671" s="4">
        <v>671</v>
      </c>
      <c r="D671" s="4">
        <v>81</v>
      </c>
      <c r="E671" s="4" t="s">
        <v>1698</v>
      </c>
      <c r="F671" s="16">
        <v>45249</v>
      </c>
      <c r="G671" s="5" t="s">
        <v>1697</v>
      </c>
      <c r="H671" s="5" t="s">
        <v>4168</v>
      </c>
      <c r="I671" s="24" t="str">
        <f>HYPERLINK("https://www.bilibili.com/video/BV1ie411v7a2?p=81", "BV1ie411v7a2?p=81")</f>
        <v>BV1ie411v7a2?p=81</v>
      </c>
      <c r="J671" s="4" t="str">
        <f ca="1">_xlfn.IFNA(VLOOKUP(INDIRECT("G"&amp;ROW()),minfo!$A:$M,COLUMN()-8,0),"")</f>
        <v>再遇见</v>
      </c>
      <c r="K671" s="4" t="str">
        <f ca="1">_xlfn.IFNA(VLOOKUP(INDIRECT("G"&amp;ROW()),minfo!$A:$M,COLUMN()-8,0),"")</f>
        <v>苏打绿</v>
      </c>
      <c r="L671" s="4">
        <f ca="1">_xlfn.IFNA(VLOOKUP(INDIRECT("G"&amp;ROW()),minfo!$A:$M,COLUMN()-8,0),"")</f>
        <v>0</v>
      </c>
      <c r="M671" s="4">
        <f ca="1">_xlfn.IFNA(VLOOKUP(INDIRECT("G"&amp;ROW()),minfo!$A:$M,COLUMN()-8,0),"")</f>
        <v>0</v>
      </c>
      <c r="N671" s="4">
        <f ca="1">_xlfn.IFNA(VLOOKUP(INDIRECT("G"&amp;ROW()),minfo!$A:$M,COLUMN()-8,0),"")</f>
        <v>0</v>
      </c>
      <c r="O671" s="4" t="str">
        <f ca="1">_xlfn.IFNA(VLOOKUP(INDIRECT("G"&amp;ROW()),minfo!$A:$M,COLUMN()-8,0),"")</f>
        <v>https://i0.hdslb.com/bfs/station_src/music_metadata/a9b3cc3d098eca9c8e1558943ba693dc.jpg</v>
      </c>
      <c r="P671" s="4" t="str">
        <f ca="1">_xlfn.IFNA(VLOOKUP(INDIRECT("G"&amp;ROW()),minfo!$A:$M,COLUMN()-8,0),"")</f>
        <v>https://i0.hdslb.com/bfs/station_src/music_metadata/cfe2c0a134e1f366de1194f09697b3b7.txt</v>
      </c>
      <c r="Q671" s="4">
        <f ca="1">_xlfn.IFNA(VLOOKUP(INDIRECT("G"&amp;ROW()),minfo!$A:$M,COLUMN()-8,0),"")</f>
        <v>32</v>
      </c>
      <c r="R671" s="4">
        <f ca="1">_xlfn.IFNA(VLOOKUP(INDIRECT("G"&amp;ROW()),minfo!$A:$M,COLUMN()-8,0),"")</f>
        <v>0</v>
      </c>
      <c r="S671" s="4" t="str">
        <f ca="1">_xlfn.IFNA(VLOOKUP(INDIRECT("G"&amp;ROW()),minfo!$A:$M,COLUMN()-8,0),"")</f>
        <v>中国音乐电视</v>
      </c>
      <c r="T671" s="4">
        <f ca="1">_xlfn.IFNA(VLOOKUP(INDIRECT("G"&amp;ROW()),minfo!$A:$M,COLUMN()-8,0),"")</f>
        <v>8068421</v>
      </c>
      <c r="U671" s="4">
        <f ca="1">_xlfn.IFNA(VLOOKUP(INDIRECT("G"&amp;ROW()),minfo!$A:$M,COLUMN()-8,0),"")</f>
        <v>0</v>
      </c>
    </row>
    <row r="672" spans="1:21" ht="15.75" customHeight="1">
      <c r="A672" s="15">
        <v>671</v>
      </c>
      <c r="B672" s="4" t="s">
        <v>4251</v>
      </c>
      <c r="C672" s="4">
        <v>672</v>
      </c>
      <c r="D672" s="4">
        <v>82</v>
      </c>
      <c r="E672" s="4" t="s">
        <v>934</v>
      </c>
      <c r="F672" s="16">
        <v>45249</v>
      </c>
      <c r="G672" s="5" t="s">
        <v>933</v>
      </c>
      <c r="H672" s="5" t="s">
        <v>4168</v>
      </c>
      <c r="I672" s="24" t="str">
        <f>HYPERLINK("https://www.bilibili.com/video/BV1ie411v7a2?p=82", "BV1ie411v7a2?p=82")</f>
        <v>BV1ie411v7a2?p=82</v>
      </c>
      <c r="J672" s="4" t="str">
        <f ca="1">_xlfn.IFNA(VLOOKUP(INDIRECT("G"&amp;ROW()),minfo!$A:$M,COLUMN()-8,0),"")</f>
        <v>敕勒歌</v>
      </c>
      <c r="K672" s="4" t="str">
        <f ca="1">_xlfn.IFNA(VLOOKUP(INDIRECT("G"&amp;ROW()),minfo!$A:$M,COLUMN()-8,0),"")</f>
        <v>谭维维</v>
      </c>
      <c r="L672" s="4">
        <f ca="1">_xlfn.IFNA(VLOOKUP(INDIRECT("G"&amp;ROW()),minfo!$A:$M,COLUMN()-8,0),"")</f>
        <v>0</v>
      </c>
      <c r="M672" s="4">
        <f ca="1">_xlfn.IFNA(VLOOKUP(INDIRECT("G"&amp;ROW()),minfo!$A:$M,COLUMN()-8,0),"")</f>
        <v>0</v>
      </c>
      <c r="N672" s="4">
        <f ca="1">_xlfn.IFNA(VLOOKUP(INDIRECT("G"&amp;ROW()),minfo!$A:$M,COLUMN()-8,0),"")</f>
        <v>0</v>
      </c>
      <c r="O672" s="4" t="str">
        <f ca="1">_xlfn.IFNA(VLOOKUP(INDIRECT("G"&amp;ROW()),minfo!$A:$M,COLUMN()-8,0),"")</f>
        <v>https://i0.hdslb.com/bfs/station_src/music_metadata/4633e67685206de0672cc528709e3e2f.jpg</v>
      </c>
      <c r="P672" s="4" t="str">
        <f ca="1">_xlfn.IFNA(VLOOKUP(INDIRECT("G"&amp;ROW()),minfo!$A:$M,COLUMN()-8,0),"")</f>
        <v>https://i0.hdslb.com/bfs/station_src/music_metadata/dff7d3073b6cc36766c38942f1f4cf16.txt</v>
      </c>
      <c r="Q672" s="4">
        <f ca="1">_xlfn.IFNA(VLOOKUP(INDIRECT("G"&amp;ROW()),minfo!$A:$M,COLUMN()-8,0),"")</f>
        <v>382</v>
      </c>
      <c r="R672" s="4">
        <f ca="1">_xlfn.IFNA(VLOOKUP(INDIRECT("G"&amp;ROW()),minfo!$A:$M,COLUMN()-8,0),"")</f>
        <v>0</v>
      </c>
      <c r="S672" s="4" t="str">
        <f ca="1">_xlfn.IFNA(VLOOKUP(INDIRECT("G"&amp;ROW()),minfo!$A:$M,COLUMN()-8,0),"")</f>
        <v>经典咏流传第二季 第六期</v>
      </c>
      <c r="T672" s="4">
        <f ca="1">_xlfn.IFNA(VLOOKUP(INDIRECT("G"&amp;ROW()),minfo!$A:$M,COLUMN()-8,0),"")</f>
        <v>19549830</v>
      </c>
      <c r="U672" s="4">
        <f ca="1">_xlfn.IFNA(VLOOKUP(INDIRECT("G"&amp;ROW()),minfo!$A:$M,COLUMN()-8,0),"")</f>
        <v>0</v>
      </c>
    </row>
    <row r="673" spans="1:21" ht="15.75" customHeight="1">
      <c r="A673" s="15">
        <v>672</v>
      </c>
      <c r="B673" s="4" t="s">
        <v>4252</v>
      </c>
      <c r="C673" s="4">
        <v>673</v>
      </c>
      <c r="D673" s="4">
        <v>83</v>
      </c>
      <c r="E673" s="4" t="s">
        <v>536</v>
      </c>
      <c r="F673" s="16">
        <v>45249</v>
      </c>
      <c r="G673" s="5" t="s">
        <v>535</v>
      </c>
      <c r="H673" s="5" t="s">
        <v>4168</v>
      </c>
      <c r="I673" s="24" t="str">
        <f>HYPERLINK("https://www.bilibili.com/video/BV1ie411v7a2?p=83", "BV1ie411v7a2?p=83")</f>
        <v>BV1ie411v7a2?p=83</v>
      </c>
      <c r="J673" s="4" t="str">
        <f ca="1">_xlfn.IFNA(VLOOKUP(INDIRECT("G"&amp;ROW()),minfo!$A:$M,COLUMN()-8,0),"")</f>
        <v>红颜如霜</v>
      </c>
      <c r="K673" s="4" t="str">
        <f ca="1">_xlfn.IFNA(VLOOKUP(INDIRECT("G"&amp;ROW()),minfo!$A:$M,COLUMN()-8,0),"")</f>
        <v>周杰伦</v>
      </c>
      <c r="L673" s="4">
        <f ca="1">_xlfn.IFNA(VLOOKUP(INDIRECT("G"&amp;ROW()),minfo!$A:$M,COLUMN()-8,0),"")</f>
        <v>0</v>
      </c>
      <c r="M673" s="4">
        <f ca="1">_xlfn.IFNA(VLOOKUP(INDIRECT("G"&amp;ROW()),minfo!$A:$M,COLUMN()-8,0),"")</f>
        <v>179425</v>
      </c>
      <c r="N673" s="4">
        <f ca="1">_xlfn.IFNA(VLOOKUP(INDIRECT("G"&amp;ROW()),minfo!$A:$M,COLUMN()-8,0),"")</f>
        <v>61254</v>
      </c>
      <c r="O673" s="4" t="str">
        <f ca="1">_xlfn.IFNA(VLOOKUP(INDIRECT("G"&amp;ROW()),minfo!$A:$M,COLUMN()-8,0),"")</f>
        <v>https://i0.hdslb.com/bfs/station_src/music_metadata/b0bbef33041121e4c8107f9d82ff0e60.jpg</v>
      </c>
      <c r="P673" s="4">
        <f ca="1">_xlfn.IFNA(VLOOKUP(INDIRECT("G"&amp;ROW()),minfo!$A:$M,COLUMN()-8,0),"")</f>
        <v>0</v>
      </c>
      <c r="Q673" s="4">
        <f ca="1">_xlfn.IFNA(VLOOKUP(INDIRECT("G"&amp;ROW()),minfo!$A:$M,COLUMN()-8,0),"")</f>
        <v>17510</v>
      </c>
      <c r="R673" s="4">
        <f ca="1">_xlfn.IFNA(VLOOKUP(INDIRECT("G"&amp;ROW()),minfo!$A:$M,COLUMN()-8,0),"")</f>
        <v>0</v>
      </c>
      <c r="S673" s="4" t="str">
        <f ca="1">_xlfn.IFNA(VLOOKUP(INDIRECT("G"&amp;ROW()),minfo!$A:$M,COLUMN()-8,0),"")</f>
        <v>最伟大的作品</v>
      </c>
      <c r="T673" s="4">
        <f ca="1">_xlfn.IFNA(VLOOKUP(INDIRECT("G"&amp;ROW()),minfo!$A:$M,COLUMN()-8,0),"")</f>
        <v>237302125</v>
      </c>
      <c r="U673" s="4" t="str">
        <f ca="1">_xlfn.IFNA(VLOOKUP(INDIRECT("G"&amp;ROW()),minfo!$A:$M,COLUMN()-8,0),"")</f>
        <v>音乐榜最高NO.2</v>
      </c>
    </row>
    <row r="674" spans="1:21" ht="15.75" customHeight="1">
      <c r="A674" s="15">
        <v>673</v>
      </c>
      <c r="B674" s="4" t="s">
        <v>4253</v>
      </c>
      <c r="C674" s="4">
        <v>674</v>
      </c>
      <c r="D674" s="4">
        <v>84</v>
      </c>
      <c r="E674" s="4" t="s">
        <v>1703</v>
      </c>
      <c r="F674" s="16">
        <v>45255</v>
      </c>
      <c r="G674" s="5" t="s">
        <v>1702</v>
      </c>
      <c r="H674" s="5" t="s">
        <v>4168</v>
      </c>
      <c r="I674" s="24" t="str">
        <f>HYPERLINK("https://www.bilibili.com/video/BV1ie411v7a2?p=84", "BV1ie411v7a2?p=84")</f>
        <v>BV1ie411v7a2?p=84</v>
      </c>
      <c r="J674" s="4" t="str">
        <f ca="1">_xlfn.IFNA(VLOOKUP(INDIRECT("G"&amp;ROW()),minfo!$A:$M,COLUMN()-8,0),"")</f>
        <v>无人知晓</v>
      </c>
      <c r="K674" s="4" t="str">
        <f ca="1">_xlfn.IFNA(VLOOKUP(INDIRECT("G"&amp;ROW()),minfo!$A:$M,COLUMN()-8,0),"")</f>
        <v>吴萌,谢馨哲,田馥甄,葛大为</v>
      </c>
      <c r="L674" s="4">
        <f ca="1">_xlfn.IFNA(VLOOKUP(INDIRECT("G"&amp;ROW()),minfo!$A:$M,COLUMN()-8,0),"")</f>
        <v>0</v>
      </c>
      <c r="M674" s="4">
        <f ca="1">_xlfn.IFNA(VLOOKUP(INDIRECT("G"&amp;ROW()),minfo!$A:$M,COLUMN()-8,0),"")</f>
        <v>0</v>
      </c>
      <c r="N674" s="4">
        <f ca="1">_xlfn.IFNA(VLOOKUP(INDIRECT("G"&amp;ROW()),minfo!$A:$M,COLUMN()-8,0),"")</f>
        <v>0</v>
      </c>
      <c r="O674" s="4" t="str">
        <f ca="1">_xlfn.IFNA(VLOOKUP(INDIRECT("G"&amp;ROW()),minfo!$A:$M,COLUMN()-8,0),"")</f>
        <v>https://i0.hdslb.com/bfs/station_src/music_metadata/704d1b1de81203cb3373876c09643308.jpg</v>
      </c>
      <c r="P674" s="4" t="str">
        <f ca="1">_xlfn.IFNA(VLOOKUP(INDIRECT("G"&amp;ROW()),minfo!$A:$M,COLUMN()-8,0),"")</f>
        <v>http://i0.hdslb.com/bfs/station_src/music_metadata/93f8007479900becc71f2f06effb6990</v>
      </c>
      <c r="Q674" s="4">
        <f ca="1">_xlfn.IFNA(VLOOKUP(INDIRECT("G"&amp;ROW()),minfo!$A:$M,COLUMN()-8,0),"")</f>
        <v>68</v>
      </c>
      <c r="R674" s="4" t="str">
        <f ca="1">_xlfn.IFNA(VLOOKUP(INDIRECT("G"&amp;ROW()),minfo!$A:$M,COLUMN()-8,0),"")</f>
        <v>" 吴萌""]</v>
      </c>
      <c r="S674" s="4" t="str">
        <f ca="1">_xlfn.IFNA(VLOOKUP(INDIRECT("G"&amp;ROW()),minfo!$A:$M,COLUMN()-8,0),"")</f>
        <v>无人知晓</v>
      </c>
      <c r="T674" s="4">
        <f ca="1">_xlfn.IFNA(VLOOKUP(INDIRECT("G"&amp;ROW()),minfo!$A:$M,COLUMN()-8,0),"")</f>
        <v>7299841</v>
      </c>
      <c r="U674" s="4">
        <f ca="1">_xlfn.IFNA(VLOOKUP(INDIRECT("G"&amp;ROW()),minfo!$A:$M,COLUMN()-8,0),"")</f>
        <v>0</v>
      </c>
    </row>
    <row r="675" spans="1:21" ht="15.75" customHeight="1">
      <c r="A675" s="15">
        <v>674</v>
      </c>
      <c r="B675" s="4" t="s">
        <v>4254</v>
      </c>
      <c r="C675" s="4">
        <v>675</v>
      </c>
      <c r="D675" s="4">
        <v>85</v>
      </c>
      <c r="E675" s="4" t="s">
        <v>523</v>
      </c>
      <c r="F675" s="16">
        <v>45255</v>
      </c>
      <c r="G675" s="5" t="s">
        <v>522</v>
      </c>
      <c r="H675" s="5" t="s">
        <v>4168</v>
      </c>
      <c r="I675" s="24" t="str">
        <f>HYPERLINK("https://www.bilibili.com/video/BV1ie411v7a2?p=85", "BV1ie411v7a2?p=85")</f>
        <v>BV1ie411v7a2?p=85</v>
      </c>
      <c r="J675" s="4" t="str">
        <f ca="1">_xlfn.IFNA(VLOOKUP(INDIRECT("G"&amp;ROW()),minfo!$A:$M,COLUMN()-8,0),"")</f>
        <v>不醉不会</v>
      </c>
      <c r="K675" s="4" t="str">
        <f ca="1">_xlfn.IFNA(VLOOKUP(INDIRECT("G"&amp;ROW()),minfo!$A:$M,COLUMN()-8,0),"")</f>
        <v>田馥甄</v>
      </c>
      <c r="L675" s="4">
        <f ca="1">_xlfn.IFNA(VLOOKUP(INDIRECT("G"&amp;ROW()),minfo!$A:$M,COLUMN()-8,0),"")</f>
        <v>0</v>
      </c>
      <c r="M675" s="4">
        <f ca="1">_xlfn.IFNA(VLOOKUP(INDIRECT("G"&amp;ROW()),minfo!$A:$M,COLUMN()-8,0),"")</f>
        <v>0</v>
      </c>
      <c r="N675" s="4">
        <f ca="1">_xlfn.IFNA(VLOOKUP(INDIRECT("G"&amp;ROW()),minfo!$A:$M,COLUMN()-8,0),"")</f>
        <v>0</v>
      </c>
      <c r="O675" s="4" t="str">
        <f ca="1">_xlfn.IFNA(VLOOKUP(INDIRECT("G"&amp;ROW()),minfo!$A:$M,COLUMN()-8,0),"")</f>
        <v>https://i0.hdslb.com/bfs/station_src/music_metadata/89dd3a7fe31b05442c9ebecb6692d9c6.jpg</v>
      </c>
      <c r="P675" s="4" t="str">
        <f ca="1">_xlfn.IFNA(VLOOKUP(INDIRECT("G"&amp;ROW()),minfo!$A:$M,COLUMN()-8,0),"")</f>
        <v>http://i0.hdslb.com/bfs/station_src/music_metadata/e538f424a7bb1b824c88467288129a7b</v>
      </c>
      <c r="Q675" s="4">
        <f ca="1">_xlfn.IFNA(VLOOKUP(INDIRECT("G"&amp;ROW()),minfo!$A:$M,COLUMN()-8,0),"")</f>
        <v>46</v>
      </c>
      <c r="R675" s="4" t="str">
        <f ca="1">_xlfn.IFNA(VLOOKUP(INDIRECT("G"&amp;ROW()),minfo!$A:$M,COLUMN()-8,0),"")</f>
        <v>《没有名字的甜点店》电视剧主题曲</v>
      </c>
      <c r="S675" s="4" t="str">
        <f ca="1">_xlfn.IFNA(VLOOKUP(INDIRECT("G"&amp;ROW()),minfo!$A:$M,COLUMN()-8,0),"")</f>
        <v>渺小</v>
      </c>
      <c r="T675" s="4">
        <f ca="1">_xlfn.IFNA(VLOOKUP(INDIRECT("G"&amp;ROW()),minfo!$A:$M,COLUMN()-8,0),"")</f>
        <v>22119844</v>
      </c>
      <c r="U675" s="4">
        <f ca="1">_xlfn.IFNA(VLOOKUP(INDIRECT("G"&amp;ROW()),minfo!$A:$M,COLUMN()-8,0),"")</f>
        <v>0</v>
      </c>
    </row>
    <row r="676" spans="1:21" ht="15.75" customHeight="1">
      <c r="A676" s="15">
        <v>675</v>
      </c>
      <c r="B676" s="4" t="s">
        <v>4255</v>
      </c>
      <c r="C676" s="4">
        <v>676</v>
      </c>
      <c r="D676" s="4">
        <v>86</v>
      </c>
      <c r="E676" s="4" t="s">
        <v>1709</v>
      </c>
      <c r="F676" s="16">
        <v>45255</v>
      </c>
      <c r="G676" s="5" t="s">
        <v>1708</v>
      </c>
      <c r="H676" s="5" t="s">
        <v>4168</v>
      </c>
      <c r="I676" s="24" t="str">
        <f>HYPERLINK("https://www.bilibili.com/video/BV1ie411v7a2?p=86", "BV1ie411v7a2?p=86")</f>
        <v>BV1ie411v7a2?p=86</v>
      </c>
      <c r="J676" s="4" t="str">
        <f ca="1">_xlfn.IFNA(VLOOKUP(INDIRECT("G"&amp;ROW()),minfo!$A:$M,COLUMN()-8,0),"")</f>
        <v>大喜</v>
      </c>
      <c r="K676" s="4" t="str">
        <f ca="1">_xlfn.IFNA(VLOOKUP(INDIRECT("G"&amp;ROW()),minfo!$A:$M,COLUMN()-8,0),"")</f>
        <v>泠鸢yousa,音阙诗听</v>
      </c>
      <c r="L676" s="4">
        <f ca="1">_xlfn.IFNA(VLOOKUP(INDIRECT("G"&amp;ROW()),minfo!$A:$M,COLUMN()-8,0),"")</f>
        <v>0</v>
      </c>
      <c r="M676" s="4">
        <f ca="1">_xlfn.IFNA(VLOOKUP(INDIRECT("G"&amp;ROW()),minfo!$A:$M,COLUMN()-8,0),"")</f>
        <v>0</v>
      </c>
      <c r="N676" s="4">
        <f ca="1">_xlfn.IFNA(VLOOKUP(INDIRECT("G"&amp;ROW()),minfo!$A:$M,COLUMN()-8,0),"")</f>
        <v>0</v>
      </c>
      <c r="O676" s="4" t="str">
        <f ca="1">_xlfn.IFNA(VLOOKUP(INDIRECT("G"&amp;ROW()),minfo!$A:$M,COLUMN()-8,0),"")</f>
        <v>https://i0.hdslb.com/bfs/station_src/music_metadata/30c73b33490a6b57649ad73f14ad5e30.jpg</v>
      </c>
      <c r="P676" s="4" t="str">
        <f ca="1">_xlfn.IFNA(VLOOKUP(INDIRECT("G"&amp;ROW()),minfo!$A:$M,COLUMN()-8,0),"")</f>
        <v>https://i0.hdslb.com/bfs/station_src/music_metadata/15b15946bc1af052bdf4142bd6202fad.txt</v>
      </c>
      <c r="Q676" s="4">
        <f ca="1">_xlfn.IFNA(VLOOKUP(INDIRECT("G"&amp;ROW()),minfo!$A:$M,COLUMN()-8,0),"")</f>
        <v>3393</v>
      </c>
      <c r="R676" s="4">
        <f ca="1">_xlfn.IFNA(VLOOKUP(INDIRECT("G"&amp;ROW()),minfo!$A:$M,COLUMN()-8,0),"")</f>
        <v>0</v>
      </c>
      <c r="S676" s="4" t="str">
        <f ca="1">_xlfn.IFNA(VLOOKUP(INDIRECT("G"&amp;ROW()),minfo!$A:$M,COLUMN()-8,0),"")</f>
        <v>大喜</v>
      </c>
      <c r="T676" s="4">
        <f ca="1">_xlfn.IFNA(VLOOKUP(INDIRECT("G"&amp;ROW()),minfo!$A:$M,COLUMN()-8,0),"")</f>
        <v>211699205</v>
      </c>
      <c r="U676" s="4">
        <f ca="1">_xlfn.IFNA(VLOOKUP(INDIRECT("G"&amp;ROW()),minfo!$A:$M,COLUMN()-8,0),"")</f>
        <v>0</v>
      </c>
    </row>
    <row r="677" spans="1:21" ht="15.75" customHeight="1">
      <c r="A677" s="15">
        <v>676</v>
      </c>
      <c r="B677" s="4" t="s">
        <v>4256</v>
      </c>
      <c r="C677" s="4">
        <v>677</v>
      </c>
      <c r="D677" s="4">
        <v>87</v>
      </c>
      <c r="E677" s="4" t="s">
        <v>1553</v>
      </c>
      <c r="F677" s="16">
        <v>45255</v>
      </c>
      <c r="G677" s="5" t="s">
        <v>1552</v>
      </c>
      <c r="H677" s="5" t="s">
        <v>4168</v>
      </c>
      <c r="I677" s="24" t="str">
        <f>HYPERLINK("https://www.bilibili.com/video/BV1ie411v7a2?p=87", "BV1ie411v7a2?p=87")</f>
        <v>BV1ie411v7a2?p=87</v>
      </c>
      <c r="J677" s="4" t="str">
        <f ca="1">_xlfn.IFNA(VLOOKUP(INDIRECT("G"&amp;ROW()),minfo!$A:$M,COLUMN()-8,0),"")</f>
        <v>光亮</v>
      </c>
      <c r="K677" s="4" t="str">
        <f ca="1">_xlfn.IFNA(VLOOKUP(INDIRECT("G"&amp;ROW()),minfo!$A:$M,COLUMN()-8,0),"")</f>
        <v>周深</v>
      </c>
      <c r="L677" s="4">
        <f ca="1">_xlfn.IFNA(VLOOKUP(INDIRECT("G"&amp;ROW()),minfo!$A:$M,COLUMN()-8,0),"")</f>
        <v>0</v>
      </c>
      <c r="M677" s="4">
        <f ca="1">_xlfn.IFNA(VLOOKUP(INDIRECT("G"&amp;ROW()),minfo!$A:$M,COLUMN()-8,0),"")</f>
        <v>50129</v>
      </c>
      <c r="N677" s="4">
        <f ca="1">_xlfn.IFNA(VLOOKUP(INDIRECT("G"&amp;ROW()),minfo!$A:$M,COLUMN()-8,0),"")</f>
        <v>14164</v>
      </c>
      <c r="O677" s="4" t="str">
        <f ca="1">_xlfn.IFNA(VLOOKUP(INDIRECT("G"&amp;ROW()),minfo!$A:$M,COLUMN()-8,0),"")</f>
        <v>https://i0.hdslb.com/bfs/station_src/music_metadata/432327254cfcfcbb06e70cd8958eec15.jpg</v>
      </c>
      <c r="P677" s="4" t="str">
        <f ca="1">_xlfn.IFNA(VLOOKUP(INDIRECT("G"&amp;ROW()),minfo!$A:$M,COLUMN()-8,0),"")</f>
        <v>https://i0.hdslb.com/bfs/station_src/music_metadata/bc80794f31f422159366c112e2245a93.txt</v>
      </c>
      <c r="Q677" s="4">
        <f ca="1">_xlfn.IFNA(VLOOKUP(INDIRECT("G"&amp;ROW()),minfo!$A:$M,COLUMN()-8,0),"")</f>
        <v>637</v>
      </c>
      <c r="R677" s="4" t="str">
        <f ca="1">_xlfn.IFNA(VLOOKUP(INDIRECT("G"&amp;ROW()),minfo!$A:$M,COLUMN()-8,0),"")</f>
        <v>《紫禁城》大型纪录片主题歌</v>
      </c>
      <c r="S677" s="4" t="str">
        <f ca="1">_xlfn.IFNA(VLOOKUP(INDIRECT("G"&amp;ROW()),minfo!$A:$M,COLUMN()-8,0),"")</f>
        <v>大型纪录片《紫禁城》主题歌音乐专辑</v>
      </c>
      <c r="T677" s="4">
        <f ca="1">_xlfn.IFNA(VLOOKUP(INDIRECT("G"&amp;ROW()),minfo!$A:$M,COLUMN()-8,0),"")</f>
        <v>165524997</v>
      </c>
      <c r="U677" s="4" t="str">
        <f ca="1">_xlfn.IFNA(VLOOKUP(INDIRECT("G"&amp;ROW()),minfo!$A:$M,COLUMN()-8,0),"")</f>
        <v>音乐榜最高NO.9</v>
      </c>
    </row>
    <row r="678" spans="1:21" ht="15.75" customHeight="1">
      <c r="A678" s="15">
        <v>677</v>
      </c>
      <c r="B678" s="4" t="s">
        <v>4257</v>
      </c>
      <c r="C678" s="4">
        <v>678</v>
      </c>
      <c r="D678" s="4">
        <v>88</v>
      </c>
      <c r="E678" s="4" t="s">
        <v>1576</v>
      </c>
      <c r="F678" s="16">
        <v>45255</v>
      </c>
      <c r="G678" s="5" t="s">
        <v>1575</v>
      </c>
      <c r="H678" s="5" t="s">
        <v>4168</v>
      </c>
      <c r="I678" s="24" t="str">
        <f>HYPERLINK("https://www.bilibili.com/video/BV1ie411v7a2?p=88", "BV1ie411v7a2?p=88")</f>
        <v>BV1ie411v7a2?p=88</v>
      </c>
      <c r="J678" s="4" t="str">
        <f ca="1">_xlfn.IFNA(VLOOKUP(INDIRECT("G"&amp;ROW()),minfo!$A:$M,COLUMN()-8,0),"")</f>
        <v>但愿人长久</v>
      </c>
      <c r="K678" s="4" t="str">
        <f ca="1">_xlfn.IFNA(VLOOKUP(INDIRECT("G"&amp;ROW()),minfo!$A:$M,COLUMN()-8,0),"")</f>
        <v>邓丽君</v>
      </c>
      <c r="L678" s="4">
        <f ca="1">_xlfn.IFNA(VLOOKUP(INDIRECT("G"&amp;ROW()),minfo!$A:$M,COLUMN()-8,0),"")</f>
        <v>0</v>
      </c>
      <c r="M678" s="4">
        <f ca="1">_xlfn.IFNA(VLOOKUP(INDIRECT("G"&amp;ROW()),minfo!$A:$M,COLUMN()-8,0),"")</f>
        <v>0</v>
      </c>
      <c r="N678" s="4">
        <f ca="1">_xlfn.IFNA(VLOOKUP(INDIRECT("G"&amp;ROW()),minfo!$A:$M,COLUMN()-8,0),"")</f>
        <v>0</v>
      </c>
      <c r="O678" s="4" t="str">
        <f ca="1">_xlfn.IFNA(VLOOKUP(INDIRECT("G"&amp;ROW()),minfo!$A:$M,COLUMN()-8,0),"")</f>
        <v>https://i0.hdslb.com/bfs/station_src/music_metadata/7fb7940860e18a3fa0b05d6850c81206.jpg</v>
      </c>
      <c r="P678" s="4" t="str">
        <f ca="1">_xlfn.IFNA(VLOOKUP(INDIRECT("G"&amp;ROW()),minfo!$A:$M,COLUMN()-8,0),"")</f>
        <v>http://i0.hdslb.com/bfs/station_src/music_metadata/ee3c6651e88071b7a1db572cbc6ce075</v>
      </c>
      <c r="Q678" s="4">
        <f ca="1">_xlfn.IFNA(VLOOKUP(INDIRECT("G"&amp;ROW()),minfo!$A:$M,COLUMN()-8,0),"")</f>
        <v>372</v>
      </c>
      <c r="R678" s="4">
        <f ca="1">_xlfn.IFNA(VLOOKUP(INDIRECT("G"&amp;ROW()),minfo!$A:$M,COLUMN()-8,0),"")</f>
        <v>0</v>
      </c>
      <c r="S678" s="4" t="str">
        <f ca="1">_xlfn.IFNA(VLOOKUP(INDIRECT("G"&amp;ROW()),minfo!$A:$M,COLUMN()-8,0),"")</f>
        <v>夜上海 国语老歌 第九辑</v>
      </c>
      <c r="T678" s="4">
        <f ca="1">_xlfn.IFNA(VLOOKUP(INDIRECT("G"&amp;ROW()),minfo!$A:$M,COLUMN()-8,0),"")</f>
        <v>91130644</v>
      </c>
      <c r="U678" s="4">
        <f ca="1">_xlfn.IFNA(VLOOKUP(INDIRECT("G"&amp;ROW()),minfo!$A:$M,COLUMN()-8,0),"")</f>
        <v>0</v>
      </c>
    </row>
    <row r="679" spans="1:21" ht="15.75" customHeight="1">
      <c r="A679" s="15">
        <v>678</v>
      </c>
      <c r="B679" s="4" t="s">
        <v>4258</v>
      </c>
      <c r="C679" s="4">
        <v>679</v>
      </c>
      <c r="D679" s="4">
        <v>89</v>
      </c>
      <c r="E679" s="4" t="s">
        <v>61</v>
      </c>
      <c r="F679" s="16">
        <v>45255</v>
      </c>
      <c r="G679" s="5" t="s">
        <v>61</v>
      </c>
      <c r="H679" s="5" t="s">
        <v>4168</v>
      </c>
      <c r="I679" s="24" t="str">
        <f>HYPERLINK("https://www.bilibili.com/video/BV1ie411v7a2?p=89", "BV1ie411v7a2?p=89")</f>
        <v>BV1ie411v7a2?p=89</v>
      </c>
      <c r="J679" s="4" t="str">
        <f ca="1">_xlfn.IFNA(VLOOKUP(INDIRECT("G"&amp;ROW()),minfo!$A:$M,COLUMN()-8,0),"")</f>
        <v>桃華</v>
      </c>
      <c r="K679" s="4" t="str">
        <f ca="1">_xlfn.IFNA(VLOOKUP(INDIRECT("G"&amp;ROW()),minfo!$A:$M,COLUMN()-8,0),"")</f>
        <v>说说Crystal</v>
      </c>
      <c r="L679" s="4" t="str">
        <f ca="1">_xlfn.IFNA(VLOOKUP(INDIRECT("G"&amp;ROW()),minfo!$A:$M,COLUMN()-8,0),"")</f>
        <v>BV14z4y1H7Jn</v>
      </c>
      <c r="M679" s="4">
        <f ca="1">_xlfn.IFNA(VLOOKUP(INDIRECT("G"&amp;ROW()),minfo!$A:$M,COLUMN()-8,0),"")</f>
        <v>0</v>
      </c>
      <c r="N679" s="4">
        <f ca="1">_xlfn.IFNA(VLOOKUP(INDIRECT("G"&amp;ROW()),minfo!$A:$M,COLUMN()-8,0),"")</f>
        <v>0</v>
      </c>
      <c r="O679" s="4">
        <f ca="1">_xlfn.IFNA(VLOOKUP(INDIRECT("G"&amp;ROW()),minfo!$A:$M,COLUMN()-8,0),"")</f>
        <v>0</v>
      </c>
      <c r="P679" s="4">
        <f ca="1">_xlfn.IFNA(VLOOKUP(INDIRECT("G"&amp;ROW()),minfo!$A:$M,COLUMN()-8,0),"")</f>
        <v>0</v>
      </c>
      <c r="Q679" s="4">
        <f ca="1">_xlfn.IFNA(VLOOKUP(INDIRECT("G"&amp;ROW()),minfo!$A:$M,COLUMN()-8,0),"")</f>
        <v>0</v>
      </c>
      <c r="R679" s="4">
        <f ca="1">_xlfn.IFNA(VLOOKUP(INDIRECT("G"&amp;ROW()),minfo!$A:$M,COLUMN()-8,0),"")</f>
        <v>0</v>
      </c>
      <c r="S679" s="4">
        <f ca="1">_xlfn.IFNA(VLOOKUP(INDIRECT("G"&amp;ROW()),minfo!$A:$M,COLUMN()-8,0),"")</f>
        <v>0</v>
      </c>
      <c r="T679" s="4">
        <f ca="1">_xlfn.IFNA(VLOOKUP(INDIRECT("G"&amp;ROW()),minfo!$A:$M,COLUMN()-8,0),"")</f>
        <v>0</v>
      </c>
      <c r="U679" s="4">
        <f ca="1">_xlfn.IFNA(VLOOKUP(INDIRECT("G"&amp;ROW()),minfo!$A:$M,COLUMN()-8,0),"")</f>
        <v>0</v>
      </c>
    </row>
    <row r="680" spans="1:21" ht="15.75" customHeight="1">
      <c r="A680" s="15">
        <v>679</v>
      </c>
      <c r="B680" s="4" t="s">
        <v>4259</v>
      </c>
      <c r="C680" s="4">
        <v>680</v>
      </c>
      <c r="D680" s="4">
        <v>90</v>
      </c>
      <c r="E680" s="4" t="s">
        <v>93</v>
      </c>
      <c r="F680" s="16">
        <v>45255</v>
      </c>
      <c r="G680" s="5" t="s">
        <v>273</v>
      </c>
      <c r="H680" s="5" t="s">
        <v>4168</v>
      </c>
      <c r="I680" s="24" t="str">
        <f>HYPERLINK("https://www.bilibili.com/video/BV1ie411v7a2?p=90", "BV1ie411v7a2?p=90")</f>
        <v>BV1ie411v7a2?p=90</v>
      </c>
      <c r="J680" s="4" t="str">
        <f ca="1">_xlfn.IFNA(VLOOKUP(INDIRECT("G"&amp;ROW()),minfo!$A:$M,COLUMN()-8,0),"")</f>
        <v>罗敷</v>
      </c>
      <c r="K680" s="4" t="str">
        <f ca="1">_xlfn.IFNA(VLOOKUP(INDIRECT("G"&amp;ROW()),minfo!$A:$M,COLUMN()-8,0),"")</f>
        <v>说说Crystal</v>
      </c>
      <c r="L680" s="4">
        <f ca="1">_xlfn.IFNA(VLOOKUP(INDIRECT("G"&amp;ROW()),minfo!$A:$M,COLUMN()-8,0),"")</f>
        <v>0</v>
      </c>
      <c r="M680" s="4">
        <f ca="1">_xlfn.IFNA(VLOOKUP(INDIRECT("G"&amp;ROW()),minfo!$A:$M,COLUMN()-8,0),"")</f>
        <v>0</v>
      </c>
      <c r="N680" s="4">
        <f ca="1">_xlfn.IFNA(VLOOKUP(INDIRECT("G"&amp;ROW()),minfo!$A:$M,COLUMN()-8,0),"")</f>
        <v>0</v>
      </c>
      <c r="O680" s="4" t="str">
        <f ca="1">_xlfn.IFNA(VLOOKUP(INDIRECT("G"&amp;ROW()),minfo!$A:$M,COLUMN()-8,0),"")</f>
        <v>https://i0.hdslb.com/bfs/station_src/music_metadata/1b7b9e3e2c4c793577a84986cdadb2cc.jpg</v>
      </c>
      <c r="P680" s="4">
        <f ca="1">_xlfn.IFNA(VLOOKUP(INDIRECT("G"&amp;ROW()),minfo!$A:$M,COLUMN()-8,0),"")</f>
        <v>0</v>
      </c>
      <c r="Q680" s="4">
        <f ca="1">_xlfn.IFNA(VLOOKUP(INDIRECT("G"&amp;ROW()),minfo!$A:$M,COLUMN()-8,0),"")</f>
        <v>0</v>
      </c>
      <c r="R680" s="4">
        <f ca="1">_xlfn.IFNA(VLOOKUP(INDIRECT("G"&amp;ROW()),minfo!$A:$M,COLUMN()-8,0),"")</f>
        <v>0</v>
      </c>
      <c r="S680" s="4" t="str">
        <f ca="1">_xlfn.IFNA(VLOOKUP(INDIRECT("G"&amp;ROW()),minfo!$A:$M,COLUMN()-8,0),"")</f>
        <v>【说说·原创】这一曲只倾心于你 |《罗敷》</v>
      </c>
      <c r="T680" s="4">
        <f ca="1">_xlfn.IFNA(VLOOKUP(INDIRECT("G"&amp;ROW()),minfo!$A:$M,COLUMN()-8,0),"")</f>
        <v>323164</v>
      </c>
      <c r="U680" s="4">
        <f ca="1">_xlfn.IFNA(VLOOKUP(INDIRECT("G"&amp;ROW()),minfo!$A:$M,COLUMN()-8,0),"")</f>
        <v>0</v>
      </c>
    </row>
    <row r="681" spans="1:21" ht="15.75" customHeight="1">
      <c r="A681" s="15">
        <v>680</v>
      </c>
      <c r="B681" s="4" t="s">
        <v>4260</v>
      </c>
      <c r="C681" s="4">
        <v>681</v>
      </c>
      <c r="D681" s="4">
        <v>91</v>
      </c>
      <c r="E681" s="4" t="s">
        <v>1714</v>
      </c>
      <c r="F681" s="16">
        <v>45255</v>
      </c>
      <c r="G681" s="5" t="s">
        <v>1713</v>
      </c>
      <c r="H681" s="5" t="s">
        <v>4168</v>
      </c>
      <c r="I681" s="24" t="str">
        <f>HYPERLINK("https://www.bilibili.com/video/BV1ie411v7a2?p=91", "BV1ie411v7a2?p=91")</f>
        <v>BV1ie411v7a2?p=91</v>
      </c>
      <c r="J681" s="4" t="str">
        <f ca="1">_xlfn.IFNA(VLOOKUP(INDIRECT("G"&amp;ROW()),minfo!$A:$M,COLUMN()-8,0),"")</f>
        <v>背对背拥抱</v>
      </c>
      <c r="K681" s="4" t="str">
        <f ca="1">_xlfn.IFNA(VLOOKUP(INDIRECT("G"&amp;ROW()),minfo!$A:$M,COLUMN()-8,0),"")</f>
        <v>林俊杰</v>
      </c>
      <c r="L681" s="4">
        <f ca="1">_xlfn.IFNA(VLOOKUP(INDIRECT("G"&amp;ROW()),minfo!$A:$M,COLUMN()-8,0),"")</f>
        <v>0</v>
      </c>
      <c r="M681" s="4">
        <f ca="1">_xlfn.IFNA(VLOOKUP(INDIRECT("G"&amp;ROW()),minfo!$A:$M,COLUMN()-8,0),"")</f>
        <v>35</v>
      </c>
      <c r="N681" s="4">
        <f ca="1">_xlfn.IFNA(VLOOKUP(INDIRECT("G"&amp;ROW()),minfo!$A:$M,COLUMN()-8,0),"")</f>
        <v>4</v>
      </c>
      <c r="O681" s="4" t="str">
        <f ca="1">_xlfn.IFNA(VLOOKUP(INDIRECT("G"&amp;ROW()),minfo!$A:$M,COLUMN()-8,0),"")</f>
        <v>https://i0.hdslb.com/bfs/station_src/music_metadata/924769c21d602b7dc9ce70fb6d242c2c.jpg</v>
      </c>
      <c r="P681" s="4" t="str">
        <f ca="1">_xlfn.IFNA(VLOOKUP(INDIRECT("G"&amp;ROW()),minfo!$A:$M,COLUMN()-8,0),"")</f>
        <v>http://i0.hdslb.com/bfs/station_src/music_metadata/f0b49e4e56b1d666fa473bc3e1befeff</v>
      </c>
      <c r="Q681" s="4">
        <f ca="1">_xlfn.IFNA(VLOOKUP(INDIRECT("G"&amp;ROW()),minfo!$A:$M,COLUMN()-8,0),"")</f>
        <v>214</v>
      </c>
      <c r="R681" s="4">
        <f ca="1">_xlfn.IFNA(VLOOKUP(INDIRECT("G"&amp;ROW()),minfo!$A:$M,COLUMN()-8,0),"")</f>
        <v>0</v>
      </c>
      <c r="S681" s="4" t="str">
        <f ca="1">_xlfn.IFNA(VLOOKUP(INDIRECT("G"&amp;ROW()),minfo!$A:$M,COLUMN()-8,0),"")</f>
        <v>100天</v>
      </c>
      <c r="T681" s="4">
        <f ca="1">_xlfn.IFNA(VLOOKUP(INDIRECT("G"&amp;ROW()),minfo!$A:$M,COLUMN()-8,0),"")</f>
        <v>217880128</v>
      </c>
      <c r="U681" s="4">
        <f ca="1">_xlfn.IFNA(VLOOKUP(INDIRECT("G"&amp;ROW()),minfo!$A:$M,COLUMN()-8,0),"")</f>
        <v>0</v>
      </c>
    </row>
    <row r="682" spans="1:21" ht="15.75" customHeight="1">
      <c r="A682" s="15">
        <v>681</v>
      </c>
      <c r="B682" s="4" t="s">
        <v>4261</v>
      </c>
      <c r="C682" s="4">
        <v>682</v>
      </c>
      <c r="D682" s="4">
        <v>92</v>
      </c>
      <c r="E682" s="4" t="s">
        <v>1719</v>
      </c>
      <c r="F682" s="16">
        <v>45255</v>
      </c>
      <c r="G682" s="5" t="s">
        <v>1718</v>
      </c>
      <c r="H682" s="5" t="s">
        <v>4168</v>
      </c>
      <c r="I682" s="24" t="str">
        <f>HYPERLINK("https://www.bilibili.com/video/BV1ie411v7a2?p=92", "BV1ie411v7a2?p=92")</f>
        <v>BV1ie411v7a2?p=92</v>
      </c>
      <c r="J682" s="4" t="str">
        <f ca="1">_xlfn.IFNA(VLOOKUP(INDIRECT("G"&amp;ROW()),minfo!$A:$M,COLUMN()-8,0),"")</f>
        <v>达尔文</v>
      </c>
      <c r="K682" s="4" t="str">
        <f ca="1">_xlfn.IFNA(VLOOKUP(INDIRECT("G"&amp;ROW()),minfo!$A:$M,COLUMN()-8,0),"")</f>
        <v>蔡健雅</v>
      </c>
      <c r="L682" s="4">
        <f ca="1">_xlfn.IFNA(VLOOKUP(INDIRECT("G"&amp;ROW()),minfo!$A:$M,COLUMN()-8,0),"")</f>
        <v>0</v>
      </c>
      <c r="M682" s="4">
        <f ca="1">_xlfn.IFNA(VLOOKUP(INDIRECT("G"&amp;ROW()),minfo!$A:$M,COLUMN()-8,0),"")</f>
        <v>61</v>
      </c>
      <c r="N682" s="4">
        <f ca="1">_xlfn.IFNA(VLOOKUP(INDIRECT("G"&amp;ROW()),minfo!$A:$M,COLUMN()-8,0),"")</f>
        <v>23</v>
      </c>
      <c r="O682" s="4" t="str">
        <f ca="1">_xlfn.IFNA(VLOOKUP(INDIRECT("G"&amp;ROW()),minfo!$A:$M,COLUMN()-8,0),"")</f>
        <v>http://i2.hdslb.com/bfs/archive/0d88147503c1678b5c14f01bf912438f0e18189c.jpg</v>
      </c>
      <c r="P682" s="4">
        <f ca="1">_xlfn.IFNA(VLOOKUP(INDIRECT("G"&amp;ROW()),minfo!$A:$M,COLUMN()-8,0),"")</f>
        <v>0</v>
      </c>
      <c r="Q682" s="4">
        <f ca="1">_xlfn.IFNA(VLOOKUP(INDIRECT("G"&amp;ROW()),minfo!$A:$M,COLUMN()-8,0),"")</f>
        <v>275</v>
      </c>
      <c r="R682" s="4" t="str">
        <f ca="1">_xlfn.IFNA(VLOOKUP(INDIRECT("G"&amp;ROW()),minfo!$A:$M,COLUMN()-8,0),"")</f>
        <v>达尔文</v>
      </c>
      <c r="S682" s="4" t="str">
        <f ca="1">_xlfn.IFNA(VLOOKUP(INDIRECT("G"&amp;ROW()),minfo!$A:$M,COLUMN()-8,0),"")</f>
        <v>达尔文</v>
      </c>
      <c r="T682" s="4">
        <f ca="1">_xlfn.IFNA(VLOOKUP(INDIRECT("G"&amp;ROW()),minfo!$A:$M,COLUMN()-8,0),"")</f>
        <v>108423038</v>
      </c>
      <c r="U682" s="4">
        <f ca="1">_xlfn.IFNA(VLOOKUP(INDIRECT("G"&amp;ROW()),minfo!$A:$M,COLUMN()-8,0),"")</f>
        <v>0</v>
      </c>
    </row>
    <row r="683" spans="1:21" ht="15.75" customHeight="1">
      <c r="A683" s="15">
        <v>682</v>
      </c>
      <c r="B683" s="4" t="s">
        <v>4262</v>
      </c>
      <c r="C683" s="4">
        <v>683</v>
      </c>
      <c r="D683" s="4">
        <v>93</v>
      </c>
      <c r="E683" s="4" t="s">
        <v>591</v>
      </c>
      <c r="F683" s="16">
        <v>45256</v>
      </c>
      <c r="G683" s="5" t="s">
        <v>590</v>
      </c>
      <c r="H683" s="5" t="s">
        <v>4168</v>
      </c>
      <c r="I683" s="24" t="str">
        <f>HYPERLINK("https://www.bilibili.com/video/BV1ie411v7a2?p=93", "BV1ie411v7a2?p=93")</f>
        <v>BV1ie411v7a2?p=93</v>
      </c>
      <c r="J683" s="4" t="str">
        <f ca="1">_xlfn.IFNA(VLOOKUP(INDIRECT("G"&amp;ROW()),minfo!$A:$M,COLUMN()-8,0),"")</f>
        <v>别找我麻烦</v>
      </c>
      <c r="K683" s="4" t="str">
        <f ca="1">_xlfn.IFNA(VLOOKUP(INDIRECT("G"&amp;ROW()),minfo!$A:$M,COLUMN()-8,0),"")</f>
        <v>蔡健雅</v>
      </c>
      <c r="L683" s="4">
        <f ca="1">_xlfn.IFNA(VLOOKUP(INDIRECT("G"&amp;ROW()),minfo!$A:$M,COLUMN()-8,0),"")</f>
        <v>0</v>
      </c>
      <c r="M683" s="4">
        <f ca="1">_xlfn.IFNA(VLOOKUP(INDIRECT("G"&amp;ROW()),minfo!$A:$M,COLUMN()-8,0),"")</f>
        <v>0</v>
      </c>
      <c r="N683" s="4">
        <f ca="1">_xlfn.IFNA(VLOOKUP(INDIRECT("G"&amp;ROW()),minfo!$A:$M,COLUMN()-8,0),"")</f>
        <v>0</v>
      </c>
      <c r="O683" s="4" t="str">
        <f ca="1">_xlfn.IFNA(VLOOKUP(INDIRECT("G"&amp;ROW()),minfo!$A:$M,COLUMN()-8,0),"")</f>
        <v>https://i0.hdslb.com/bfs/station_src/music_metadata/dc437f3f836d4d4da370db110f3d5b32.jpg</v>
      </c>
      <c r="P683" s="4" t="str">
        <f ca="1">_xlfn.IFNA(VLOOKUP(INDIRECT("G"&amp;ROW()),minfo!$A:$M,COLUMN()-8,0),"")</f>
        <v>https://i0.hdslb.com/bfs/station_src/music_metadata/2602aa09e28c74ea2fefea262e80b0b3.txt</v>
      </c>
      <c r="Q683" s="4">
        <f ca="1">_xlfn.IFNA(VLOOKUP(INDIRECT("G"&amp;ROW()),minfo!$A:$M,COLUMN()-8,0),"")</f>
        <v>142</v>
      </c>
      <c r="R683" s="4">
        <f ca="1">_xlfn.IFNA(VLOOKUP(INDIRECT("G"&amp;ROW()),minfo!$A:$M,COLUMN()-8,0),"")</f>
        <v>0</v>
      </c>
      <c r="S683" s="4" t="str">
        <f ca="1">_xlfn.IFNA(VLOOKUP(INDIRECT("G"&amp;ROW()),minfo!$A:$M,COLUMN()-8,0),"")</f>
        <v>说到爱</v>
      </c>
      <c r="T683" s="4">
        <f ca="1">_xlfn.IFNA(VLOOKUP(INDIRECT("G"&amp;ROW()),minfo!$A:$M,COLUMN()-8,0),"")</f>
        <v>66377472</v>
      </c>
      <c r="U683" s="4">
        <f ca="1">_xlfn.IFNA(VLOOKUP(INDIRECT("G"&amp;ROW()),minfo!$A:$M,COLUMN()-8,0),"")</f>
        <v>0</v>
      </c>
    </row>
    <row r="684" spans="1:21" ht="15.75" customHeight="1">
      <c r="A684" s="15">
        <v>683</v>
      </c>
      <c r="B684" s="4" t="s">
        <v>4263</v>
      </c>
      <c r="C684" s="4">
        <v>684</v>
      </c>
      <c r="D684" s="4">
        <v>94</v>
      </c>
      <c r="E684" s="4" t="s">
        <v>1620</v>
      </c>
      <c r="F684" s="16">
        <v>45256</v>
      </c>
      <c r="G684" s="5" t="s">
        <v>1619</v>
      </c>
      <c r="H684" s="5" t="s">
        <v>4168</v>
      </c>
      <c r="I684" s="24" t="str">
        <f>HYPERLINK("https://www.bilibili.com/video/BV1ie411v7a2?p=94", "BV1ie411v7a2?p=94")</f>
        <v>BV1ie411v7a2?p=94</v>
      </c>
      <c r="J684" s="4" t="str">
        <f ca="1">_xlfn.IFNA(VLOOKUP(INDIRECT("G"&amp;ROW()),minfo!$A:$M,COLUMN()-8,0),"")</f>
        <v>一路向北</v>
      </c>
      <c r="K684" s="4" t="str">
        <f ca="1">_xlfn.IFNA(VLOOKUP(INDIRECT("G"&amp;ROW()),minfo!$A:$M,COLUMN()-8,0),"")</f>
        <v>周杰伦</v>
      </c>
      <c r="L684" s="4">
        <f ca="1">_xlfn.IFNA(VLOOKUP(INDIRECT("G"&amp;ROW()),minfo!$A:$M,COLUMN()-8,0),"")</f>
        <v>0</v>
      </c>
      <c r="M684" s="4">
        <f ca="1">_xlfn.IFNA(VLOOKUP(INDIRECT("G"&amp;ROW()),minfo!$A:$M,COLUMN()-8,0),"")</f>
        <v>0</v>
      </c>
      <c r="N684" s="4">
        <f ca="1">_xlfn.IFNA(VLOOKUP(INDIRECT("G"&amp;ROW()),minfo!$A:$M,COLUMN()-8,0),"")</f>
        <v>0</v>
      </c>
      <c r="O684" s="4" t="str">
        <f ca="1">_xlfn.IFNA(VLOOKUP(INDIRECT("G"&amp;ROW()),minfo!$A:$M,COLUMN()-8,0),"")</f>
        <v>http://i0.hdslb.com/bfs/station_src/music_metadata/30a9548e104c69c0a6e0747f590b41a2.jpg</v>
      </c>
      <c r="P684" s="4" t="str">
        <f ca="1">_xlfn.IFNA(VLOOKUP(INDIRECT("G"&amp;ROW()),minfo!$A:$M,COLUMN()-8,0),"")</f>
        <v>http://i0.hdslb.com/bfs/station_src/music_metadata/3d9312fb4b7cde3cd376d37c031dfe74</v>
      </c>
      <c r="Q684" s="4">
        <f ca="1">_xlfn.IFNA(VLOOKUP(INDIRECT("G"&amp;ROW()),minfo!$A:$M,COLUMN()-8,0),"")</f>
        <v>9903</v>
      </c>
      <c r="R684" s="4" t="str">
        <f ca="1">_xlfn.IFNA(VLOOKUP(INDIRECT("G"&amp;ROW()),minfo!$A:$M,COLUMN()-8,0),"")</f>
        <v>《头文字D》电影插曲</v>
      </c>
      <c r="S684" s="4" t="str">
        <f ca="1">_xlfn.IFNA(VLOOKUP(INDIRECT("G"&amp;ROW()),minfo!$A:$M,COLUMN()-8,0),"")</f>
        <v>J III MP3 Player</v>
      </c>
      <c r="T684" s="4">
        <f ca="1">_xlfn.IFNA(VLOOKUP(INDIRECT("G"&amp;ROW()),minfo!$A:$M,COLUMN()-8,0),"")</f>
        <v>948949344</v>
      </c>
      <c r="U684" s="4" t="str">
        <f ca="1">_xlfn.IFNA(VLOOKUP(INDIRECT("G"&amp;ROW()),minfo!$A:$M,COLUMN()-8,0),"")</f>
        <v>音乐榜最高NO.16</v>
      </c>
    </row>
    <row r="685" spans="1:21" ht="15.75" customHeight="1">
      <c r="A685" s="15">
        <v>684</v>
      </c>
      <c r="B685" s="4" t="s">
        <v>4264</v>
      </c>
      <c r="C685" s="4">
        <v>685</v>
      </c>
      <c r="D685" s="4">
        <v>95</v>
      </c>
      <c r="E685" s="4" t="s">
        <v>1722</v>
      </c>
      <c r="F685" s="16">
        <v>45256</v>
      </c>
      <c r="G685" s="5" t="s">
        <v>1721</v>
      </c>
      <c r="H685" s="5" t="s">
        <v>4168</v>
      </c>
      <c r="I685" s="24" t="str">
        <f>HYPERLINK("https://www.bilibili.com/video/BV1ie411v7a2?p=95", "BV1ie411v7a2?p=95")</f>
        <v>BV1ie411v7a2?p=95</v>
      </c>
      <c r="J685" s="4" t="str">
        <f ca="1">_xlfn.IFNA(VLOOKUP(INDIRECT("G"&amp;ROW()),minfo!$A:$M,COLUMN()-8,0),"")</f>
        <v>红色高跟鞋</v>
      </c>
      <c r="K685" s="4" t="str">
        <f ca="1">_xlfn.IFNA(VLOOKUP(INDIRECT("G"&amp;ROW()),minfo!$A:$M,COLUMN()-8,0),"")</f>
        <v>蔡健雅</v>
      </c>
      <c r="L685" s="4">
        <f ca="1">_xlfn.IFNA(VLOOKUP(INDIRECT("G"&amp;ROW()),minfo!$A:$M,COLUMN()-8,0),"")</f>
        <v>0</v>
      </c>
      <c r="M685" s="4">
        <f ca="1">_xlfn.IFNA(VLOOKUP(INDIRECT("G"&amp;ROW()),minfo!$A:$M,COLUMN()-8,0),"")</f>
        <v>508</v>
      </c>
      <c r="N685" s="4">
        <f ca="1">_xlfn.IFNA(VLOOKUP(INDIRECT("G"&amp;ROW()),minfo!$A:$M,COLUMN()-8,0),"")</f>
        <v>63</v>
      </c>
      <c r="O685" s="4" t="str">
        <f ca="1">_xlfn.IFNA(VLOOKUP(INDIRECT("G"&amp;ROW()),minfo!$A:$M,COLUMN()-8,0),"")</f>
        <v>https://i0.hdslb.com/bfs/station_src/music_metadata/2753cd4dea9c633ae63f18c3595d4d4f.jpg</v>
      </c>
      <c r="P685" s="4" t="str">
        <f ca="1">_xlfn.IFNA(VLOOKUP(INDIRECT("G"&amp;ROW()),minfo!$A:$M,COLUMN()-8,0),"")</f>
        <v>http://i0.hdslb.com/bfs/station_src/music_metadata/b37a04cb80e78f80d4ff0e1e02023ef4</v>
      </c>
      <c r="Q685" s="4">
        <f ca="1">_xlfn.IFNA(VLOOKUP(INDIRECT("G"&amp;ROW()),minfo!$A:$M,COLUMN()-8,0),"")</f>
        <v>2348</v>
      </c>
      <c r="R685" s="4" t="str">
        <f ca="1">_xlfn.IFNA(VLOOKUP(INDIRECT("G"&amp;ROW()),minfo!$A:$M,COLUMN()-8,0),"")</f>
        <v>《爱情左右》电影主题曲</v>
      </c>
      <c r="S685" s="4" t="str">
        <f ca="1">_xlfn.IFNA(VLOOKUP(INDIRECT("G"&amp;ROW()),minfo!$A:$M,COLUMN()-8,0),"")</f>
        <v>若你碰到他</v>
      </c>
      <c r="T685" s="4">
        <f ca="1">_xlfn.IFNA(VLOOKUP(INDIRECT("G"&amp;ROW()),minfo!$A:$M,COLUMN()-8,0),"")</f>
        <v>1361006319</v>
      </c>
      <c r="U685" s="4" t="str">
        <f ca="1">_xlfn.IFNA(VLOOKUP(INDIRECT("G"&amp;ROW()),minfo!$A:$M,COLUMN()-8,0),"")</f>
        <v>音乐榜最高NO.12</v>
      </c>
    </row>
    <row r="686" spans="1:21" ht="15.75" customHeight="1">
      <c r="A686" s="15">
        <v>685</v>
      </c>
      <c r="B686" s="4" t="s">
        <v>4265</v>
      </c>
      <c r="C686" s="4">
        <v>686</v>
      </c>
      <c r="D686" s="4">
        <v>96</v>
      </c>
      <c r="E686" s="4" t="s">
        <v>14</v>
      </c>
      <c r="F686" s="16">
        <v>45257</v>
      </c>
      <c r="G686" s="5" t="s">
        <v>13</v>
      </c>
      <c r="H686" s="5" t="s">
        <v>4168</v>
      </c>
      <c r="I686" s="24" t="str">
        <f>HYPERLINK("https://www.bilibili.com/video/BV1ie411v7a2?p=96", "BV1ie411v7a2?p=96")</f>
        <v>BV1ie411v7a2?p=96</v>
      </c>
      <c r="J686" s="4" t="str">
        <f ca="1">_xlfn.IFNA(VLOOKUP(INDIRECT("G"&amp;ROW()),minfo!$A:$M,COLUMN()-8,0),"")</f>
        <v>瓦解</v>
      </c>
      <c r="K686" s="4" t="str">
        <f ca="1">_xlfn.IFNA(VLOOKUP(INDIRECT("G"&amp;ROW()),minfo!$A:$M,COLUMN()-8,0),"")</f>
        <v>南拳妈妈</v>
      </c>
      <c r="L686" s="4">
        <f ca="1">_xlfn.IFNA(VLOOKUP(INDIRECT("G"&amp;ROW()),minfo!$A:$M,COLUMN()-8,0),"")</f>
        <v>0</v>
      </c>
      <c r="M686" s="4">
        <f ca="1">_xlfn.IFNA(VLOOKUP(INDIRECT("G"&amp;ROW()),minfo!$A:$M,COLUMN()-8,0),"")</f>
        <v>0</v>
      </c>
      <c r="N686" s="4">
        <f ca="1">_xlfn.IFNA(VLOOKUP(INDIRECT("G"&amp;ROW()),minfo!$A:$M,COLUMN()-8,0),"")</f>
        <v>0</v>
      </c>
      <c r="O686" s="4" t="str">
        <f ca="1">_xlfn.IFNA(VLOOKUP(INDIRECT("G"&amp;ROW()),minfo!$A:$M,COLUMN()-8,0),"")</f>
        <v>https://i0.hdslb.com/bfs/station_src/music_metadata/284aedba73bbb46dd43548a108598c32.jpg</v>
      </c>
      <c r="P686" s="4" t="str">
        <f ca="1">_xlfn.IFNA(VLOOKUP(INDIRECT("G"&amp;ROW()),minfo!$A:$M,COLUMN()-8,0),"")</f>
        <v>http://i0.hdslb.com/bfs/station_src/music_metadata/4d7bef88af4faa856325802b023ef85e</v>
      </c>
      <c r="Q686" s="4">
        <f ca="1">_xlfn.IFNA(VLOOKUP(INDIRECT("G"&amp;ROW()),minfo!$A:$M,COLUMN()-8,0),"")</f>
        <v>129</v>
      </c>
      <c r="R686" s="4">
        <f ca="1">_xlfn.IFNA(VLOOKUP(INDIRECT("G"&amp;ROW()),minfo!$A:$M,COLUMN()-8,0),"")</f>
        <v>0</v>
      </c>
      <c r="S686" s="4" t="str">
        <f ca="1">_xlfn.IFNA(VLOOKUP(INDIRECT("G"&amp;ROW()),minfo!$A:$M,COLUMN()-8,0),"")</f>
        <v>南拳妈妈的夏天</v>
      </c>
      <c r="T686" s="4">
        <f ca="1">_xlfn.IFNA(VLOOKUP(INDIRECT("G"&amp;ROW()),minfo!$A:$M,COLUMN()-8,0),"")</f>
        <v>122109069</v>
      </c>
      <c r="U686" s="4">
        <f ca="1">_xlfn.IFNA(VLOOKUP(INDIRECT("G"&amp;ROW()),minfo!$A:$M,COLUMN()-8,0),"")</f>
        <v>0</v>
      </c>
    </row>
    <row r="687" spans="1:21" ht="15.75" customHeight="1">
      <c r="A687" s="15">
        <v>686</v>
      </c>
      <c r="B687" s="4" t="s">
        <v>4266</v>
      </c>
      <c r="C687" s="4">
        <v>687</v>
      </c>
      <c r="D687" s="4">
        <v>97</v>
      </c>
      <c r="E687" s="4" t="s">
        <v>1727</v>
      </c>
      <c r="F687" s="16">
        <v>45259</v>
      </c>
      <c r="G687" s="5" t="s">
        <v>1726</v>
      </c>
      <c r="H687" s="5" t="s">
        <v>4168</v>
      </c>
      <c r="I687" s="24" t="str">
        <f>HYPERLINK("https://www.bilibili.com/video/BV1ie411v7a2?p=97", "BV1ie411v7a2?p=97")</f>
        <v>BV1ie411v7a2?p=97</v>
      </c>
      <c r="J687" s="4" t="str">
        <f ca="1">_xlfn.IFNA(VLOOKUP(INDIRECT("G"&amp;ROW()),minfo!$A:$M,COLUMN()-8,0),"")</f>
        <v>第一天</v>
      </c>
      <c r="K687" s="4" t="str">
        <f ca="1">_xlfn.IFNA(VLOOKUP(INDIRECT("G"&amp;ROW()),minfo!$A:$M,COLUMN()-8,0),"")</f>
        <v>孙燕姿</v>
      </c>
      <c r="L687" s="4">
        <f ca="1">_xlfn.IFNA(VLOOKUP(INDIRECT("G"&amp;ROW()),minfo!$A:$M,COLUMN()-8,0),"")</f>
        <v>0</v>
      </c>
      <c r="M687" s="4">
        <f ca="1">_xlfn.IFNA(VLOOKUP(INDIRECT("G"&amp;ROW()),minfo!$A:$M,COLUMN()-8,0),"")</f>
        <v>0</v>
      </c>
      <c r="N687" s="4">
        <f ca="1">_xlfn.IFNA(VLOOKUP(INDIRECT("G"&amp;ROW()),minfo!$A:$M,COLUMN()-8,0),"")</f>
        <v>0</v>
      </c>
      <c r="O687" s="4" t="str">
        <f ca="1">_xlfn.IFNA(VLOOKUP(INDIRECT("G"&amp;ROW()),minfo!$A:$M,COLUMN()-8,0),"")</f>
        <v>http://i0.hdslb.com/bfs/station_src/music_metadata/c3ad2f387edffa8113342e5c64c3a928.jpg</v>
      </c>
      <c r="P687" s="4" t="str">
        <f ca="1">_xlfn.IFNA(VLOOKUP(INDIRECT("G"&amp;ROW()),minfo!$A:$M,COLUMN()-8,0),"")</f>
        <v>http://i0.hdslb.com/bfs/station_src/music_metadata/40a9d78ac0d6f7f768f26f795b2174d9</v>
      </c>
      <c r="Q687" s="4">
        <f ca="1">_xlfn.IFNA(VLOOKUP(INDIRECT("G"&amp;ROW()),minfo!$A:$M,COLUMN()-8,0),"")</f>
        <v>877</v>
      </c>
      <c r="R687" s="4">
        <f ca="1">_xlfn.IFNA(VLOOKUP(INDIRECT("G"&amp;ROW()),minfo!$A:$M,COLUMN()-8,0),"")</f>
        <v>0</v>
      </c>
      <c r="S687" s="4" t="str">
        <f ca="1">_xlfn.IFNA(VLOOKUP(INDIRECT("G"&amp;ROW()),minfo!$A:$M,COLUMN()-8,0),"")</f>
        <v>完美的一天</v>
      </c>
      <c r="T687" s="4">
        <f ca="1">_xlfn.IFNA(VLOOKUP(INDIRECT("G"&amp;ROW()),minfo!$A:$M,COLUMN()-8,0),"")</f>
        <v>436354509</v>
      </c>
      <c r="U687" s="4">
        <f ca="1">_xlfn.IFNA(VLOOKUP(INDIRECT("G"&amp;ROW()),minfo!$A:$M,COLUMN()-8,0),"")</f>
        <v>0</v>
      </c>
    </row>
    <row r="688" spans="1:21" ht="15.75" customHeight="1">
      <c r="A688" s="15">
        <v>687</v>
      </c>
      <c r="B688" s="4" t="s">
        <v>4267</v>
      </c>
      <c r="C688" s="4">
        <v>688</v>
      </c>
      <c r="D688" s="4">
        <v>98</v>
      </c>
      <c r="E688" s="4" t="s">
        <v>1478</v>
      </c>
      <c r="F688" s="16">
        <v>45259</v>
      </c>
      <c r="G688" s="5" t="s">
        <v>1477</v>
      </c>
      <c r="H688" s="5" t="s">
        <v>4168</v>
      </c>
      <c r="I688" s="24" t="str">
        <f>HYPERLINK("https://www.bilibili.com/video/BV1ie411v7a2?p=98", "BV1ie411v7a2?p=98")</f>
        <v>BV1ie411v7a2?p=98</v>
      </c>
      <c r="J688" s="4" t="str">
        <f ca="1">_xlfn.IFNA(VLOOKUP(INDIRECT("G"&amp;ROW()),minfo!$A:$M,COLUMN()-8,0),"")</f>
        <v>想你时风起</v>
      </c>
      <c r="K688" s="4" t="str">
        <f ca="1">_xlfn.IFNA(VLOOKUP(INDIRECT("G"&amp;ROW()),minfo!$A:$M,COLUMN()-8,0),"")</f>
        <v>单依纯</v>
      </c>
      <c r="L688" s="4">
        <f ca="1">_xlfn.IFNA(VLOOKUP(INDIRECT("G"&amp;ROW()),minfo!$A:$M,COLUMN()-8,0),"")</f>
        <v>0</v>
      </c>
      <c r="M688" s="4">
        <f ca="1">_xlfn.IFNA(VLOOKUP(INDIRECT("G"&amp;ROW()),minfo!$A:$M,COLUMN()-8,0),"")</f>
        <v>0</v>
      </c>
      <c r="N688" s="4">
        <f ca="1">_xlfn.IFNA(VLOOKUP(INDIRECT("G"&amp;ROW()),minfo!$A:$M,COLUMN()-8,0),"")</f>
        <v>0</v>
      </c>
      <c r="O688" s="4" t="str">
        <f ca="1">_xlfn.IFNA(VLOOKUP(INDIRECT("G"&amp;ROW()),minfo!$A:$M,COLUMN()-8,0),"")</f>
        <v>http://i0.hdslb.com/bfs/station_src/music_metadata/690d5f026cf42acdf74154d42a9e4aec.jpg</v>
      </c>
      <c r="P688" s="4">
        <f ca="1">_xlfn.IFNA(VLOOKUP(INDIRECT("G"&amp;ROW()),minfo!$A:$M,COLUMN()-8,0),"")</f>
        <v>0</v>
      </c>
      <c r="Q688" s="4">
        <f ca="1">_xlfn.IFNA(VLOOKUP(INDIRECT("G"&amp;ROW()),minfo!$A:$M,COLUMN()-8,0),"")</f>
        <v>710</v>
      </c>
      <c r="R688" s="4">
        <f ca="1">_xlfn.IFNA(VLOOKUP(INDIRECT("G"&amp;ROW()),minfo!$A:$M,COLUMN()-8,0),"")</f>
        <v>0</v>
      </c>
      <c r="S688" s="4" t="str">
        <f ca="1">_xlfn.IFNA(VLOOKUP(INDIRECT("G"&amp;ROW()),minfo!$A:$M,COLUMN()-8,0),"")</f>
        <v>想你时风起</v>
      </c>
      <c r="T688" s="4">
        <f ca="1">_xlfn.IFNA(VLOOKUP(INDIRECT("G"&amp;ROW()),minfo!$A:$M,COLUMN()-8,0),"")</f>
        <v>48566163</v>
      </c>
      <c r="U688" s="4">
        <f ca="1">_xlfn.IFNA(VLOOKUP(INDIRECT("G"&amp;ROW()),minfo!$A:$M,COLUMN()-8,0),"")</f>
        <v>0</v>
      </c>
    </row>
    <row r="689" spans="1:21" ht="15.75" customHeight="1">
      <c r="A689" s="15">
        <v>688</v>
      </c>
      <c r="B689" s="4" t="s">
        <v>4268</v>
      </c>
      <c r="C689" s="4">
        <v>689</v>
      </c>
      <c r="D689" s="4">
        <v>99</v>
      </c>
      <c r="E689" s="4" t="s">
        <v>1732</v>
      </c>
      <c r="F689" s="16">
        <v>45259</v>
      </c>
      <c r="G689" s="5" t="s">
        <v>1731</v>
      </c>
      <c r="H689" s="5" t="s">
        <v>4168</v>
      </c>
      <c r="I689" s="24" t="str">
        <f>HYPERLINK("https://www.bilibili.com/video/BV1ie411v7a2?p=99", "BV1ie411v7a2?p=99")</f>
        <v>BV1ie411v7a2?p=99</v>
      </c>
      <c r="J689" s="4" t="str">
        <f ca="1">_xlfn.IFNA(VLOOKUP(INDIRECT("G"&amp;ROW()),minfo!$A:$M,COLUMN()-8,0),"")</f>
        <v>时间煮雨</v>
      </c>
      <c r="K689" s="4" t="str">
        <f ca="1">_xlfn.IFNA(VLOOKUP(INDIRECT("G"&amp;ROW()),minfo!$A:$M,COLUMN()-8,0),"")</f>
        <v>郁可唯</v>
      </c>
      <c r="L689" s="4">
        <f ca="1">_xlfn.IFNA(VLOOKUP(INDIRECT("G"&amp;ROW()),minfo!$A:$M,COLUMN()-8,0),"")</f>
        <v>0</v>
      </c>
      <c r="M689" s="4">
        <f ca="1">_xlfn.IFNA(VLOOKUP(INDIRECT("G"&amp;ROW()),minfo!$A:$M,COLUMN()-8,0),"")</f>
        <v>0</v>
      </c>
      <c r="N689" s="4">
        <f ca="1">_xlfn.IFNA(VLOOKUP(INDIRECT("G"&amp;ROW()),minfo!$A:$M,COLUMN()-8,0),"")</f>
        <v>0</v>
      </c>
      <c r="O689" s="4" t="str">
        <f ca="1">_xlfn.IFNA(VLOOKUP(INDIRECT("G"&amp;ROW()),minfo!$A:$M,COLUMN()-8,0),"")</f>
        <v>https://i0.hdslb.com/bfs/station_src/music_metadata/0ac85eaef8bf646e8e53f7548dd77c75.jpg</v>
      </c>
      <c r="P689" s="4" t="str">
        <f ca="1">_xlfn.IFNA(VLOOKUP(INDIRECT("G"&amp;ROW()),minfo!$A:$M,COLUMN()-8,0),"")</f>
        <v>http://i0.hdslb.com/bfs/station_src/music_metadata/aeb8a8fab19bb6ba0cc42e19268d6dc5</v>
      </c>
      <c r="Q689" s="4">
        <f ca="1">_xlfn.IFNA(VLOOKUP(INDIRECT("G"&amp;ROW()),minfo!$A:$M,COLUMN()-8,0),"")</f>
        <v>666</v>
      </c>
      <c r="R689" s="4" t="str">
        <f ca="1">_xlfn.IFNA(VLOOKUP(INDIRECT("G"&amp;ROW()),minfo!$A:$M,COLUMN()-8,0),"")</f>
        <v>电影《小时代》主题曲</v>
      </c>
      <c r="S689" s="4" t="str">
        <f ca="1">_xlfn.IFNA(VLOOKUP(INDIRECT("G"&amp;ROW()),minfo!$A:$M,COLUMN()-8,0),"")</f>
        <v>时间煮雨</v>
      </c>
      <c r="T689" s="4">
        <f ca="1">_xlfn.IFNA(VLOOKUP(INDIRECT("G"&amp;ROW()),minfo!$A:$M,COLUMN()-8,0),"")</f>
        <v>215249573</v>
      </c>
      <c r="U689" s="4">
        <f ca="1">_xlfn.IFNA(VLOOKUP(INDIRECT("G"&amp;ROW()),minfo!$A:$M,COLUMN()-8,0),"")</f>
        <v>0</v>
      </c>
    </row>
    <row r="690" spans="1:21" ht="15.75" customHeight="1">
      <c r="A690" s="15">
        <v>689</v>
      </c>
      <c r="B690" s="4" t="s">
        <v>4269</v>
      </c>
      <c r="C690" s="4">
        <v>690</v>
      </c>
      <c r="D690" s="4">
        <v>100</v>
      </c>
      <c r="E690" s="4" t="s">
        <v>1737</v>
      </c>
      <c r="F690" s="16">
        <v>45259</v>
      </c>
      <c r="G690" s="5" t="s">
        <v>1736</v>
      </c>
      <c r="H690" s="5" t="s">
        <v>4168</v>
      </c>
      <c r="I690" s="24" t="str">
        <f>HYPERLINK("https://www.bilibili.com/video/BV1ie411v7a2?p=100", "BV1ie411v7a2?p=100")</f>
        <v>BV1ie411v7a2?p=100</v>
      </c>
      <c r="J690" s="4" t="str">
        <f ca="1">_xlfn.IFNA(VLOOKUP(INDIRECT("G"&amp;ROW()),minfo!$A:$M,COLUMN()-8,0),"")</f>
        <v>我怀念的</v>
      </c>
      <c r="K690" s="4" t="str">
        <f ca="1">_xlfn.IFNA(VLOOKUP(INDIRECT("G"&amp;ROW()),minfo!$A:$M,COLUMN()-8,0),"")</f>
        <v>孙燕姿</v>
      </c>
      <c r="L690" s="4">
        <f ca="1">_xlfn.IFNA(VLOOKUP(INDIRECT("G"&amp;ROW()),minfo!$A:$M,COLUMN()-8,0),"")</f>
        <v>0</v>
      </c>
      <c r="M690" s="4">
        <f ca="1">_xlfn.IFNA(VLOOKUP(INDIRECT("G"&amp;ROW()),minfo!$A:$M,COLUMN()-8,0),"")</f>
        <v>0</v>
      </c>
      <c r="N690" s="4">
        <f ca="1">_xlfn.IFNA(VLOOKUP(INDIRECT("G"&amp;ROW()),minfo!$A:$M,COLUMN()-8,0),"")</f>
        <v>0</v>
      </c>
      <c r="O690" s="4" t="str">
        <f ca="1">_xlfn.IFNA(VLOOKUP(INDIRECT("G"&amp;ROW()),minfo!$A:$M,COLUMN()-8,0),"")</f>
        <v>https://i0.hdslb.com/bfs/station_src/music_metadata/aec63b858053100c9a0dc93fb7620374.jpg</v>
      </c>
      <c r="P690" s="4" t="str">
        <f ca="1">_xlfn.IFNA(VLOOKUP(INDIRECT("G"&amp;ROW()),minfo!$A:$M,COLUMN()-8,0),"")</f>
        <v>http://i0.hdslb.com/bfs/station_src/music_metadata/de3bcae91bbe18f4ac9ca8db16ae0300</v>
      </c>
      <c r="Q690" s="4">
        <f ca="1">_xlfn.IFNA(VLOOKUP(INDIRECT("G"&amp;ROW()),minfo!$A:$M,COLUMN()-8,0),"")</f>
        <v>1220</v>
      </c>
      <c r="R690" s="4" t="str">
        <f ca="1">_xlfn.IFNA(VLOOKUP(INDIRECT("G"&amp;ROW()),minfo!$A:$M,COLUMN()-8,0),"")</f>
        <v>《第二回合我爱你（幸运日)》电视剧主题曲</v>
      </c>
      <c r="S690" s="4" t="str">
        <f ca="1">_xlfn.IFNA(VLOOKUP(INDIRECT("G"&amp;ROW()),minfo!$A:$M,COLUMN()-8,0),"")</f>
        <v>逆光</v>
      </c>
      <c r="T690" s="4">
        <f ca="1">_xlfn.IFNA(VLOOKUP(INDIRECT("G"&amp;ROW()),minfo!$A:$M,COLUMN()-8,0),"")</f>
        <v>311749521</v>
      </c>
      <c r="U690" s="4">
        <f ca="1">_xlfn.IFNA(VLOOKUP(INDIRECT("G"&amp;ROW()),minfo!$A:$M,COLUMN()-8,0),"")</f>
        <v>0</v>
      </c>
    </row>
    <row r="691" spans="1:21" ht="15.75" customHeight="1">
      <c r="A691" s="15">
        <v>690</v>
      </c>
      <c r="B691" s="4" t="s">
        <v>4270</v>
      </c>
      <c r="C691" s="4">
        <v>691</v>
      </c>
      <c r="D691" s="4">
        <v>101</v>
      </c>
      <c r="E691" s="4" t="s">
        <v>1743</v>
      </c>
      <c r="F691" s="16">
        <v>45259</v>
      </c>
      <c r="G691" s="5" t="s">
        <v>1742</v>
      </c>
      <c r="H691" s="5" t="s">
        <v>4168</v>
      </c>
      <c r="I691" s="24" t="str">
        <f>HYPERLINK("https://www.bilibili.com/video/BV1ie411v7a2?p=101", "BV1ie411v7a2?p=101")</f>
        <v>BV1ie411v7a2?p=101</v>
      </c>
      <c r="J691" s="4" t="str">
        <f ca="1">_xlfn.IFNA(VLOOKUP(INDIRECT("G"&amp;ROW()),minfo!$A:$M,COLUMN()-8,0),"")</f>
        <v>知足</v>
      </c>
      <c r="K691" s="4" t="str">
        <f ca="1">_xlfn.IFNA(VLOOKUP(INDIRECT("G"&amp;ROW()),minfo!$A:$M,COLUMN()-8,0),"")</f>
        <v>五月天</v>
      </c>
      <c r="L691" s="4">
        <f ca="1">_xlfn.IFNA(VLOOKUP(INDIRECT("G"&amp;ROW()),minfo!$A:$M,COLUMN()-8,0),"")</f>
        <v>0</v>
      </c>
      <c r="M691" s="4">
        <f ca="1">_xlfn.IFNA(VLOOKUP(INDIRECT("G"&amp;ROW()),minfo!$A:$M,COLUMN()-8,0),"")</f>
        <v>3030</v>
      </c>
      <c r="N691" s="4">
        <f ca="1">_xlfn.IFNA(VLOOKUP(INDIRECT("G"&amp;ROW()),minfo!$A:$M,COLUMN()-8,0),"")</f>
        <v>1949</v>
      </c>
      <c r="O691" s="4" t="str">
        <f ca="1">_xlfn.IFNA(VLOOKUP(INDIRECT("G"&amp;ROW()),minfo!$A:$M,COLUMN()-8,0),"")</f>
        <v>http://i0.hdslb.com/bfs/station_src/music_metadata/dab8db4a9a448c1f836e56049070aa26.jpg</v>
      </c>
      <c r="P691" s="4" t="str">
        <f ca="1">_xlfn.IFNA(VLOOKUP(INDIRECT("G"&amp;ROW()),minfo!$A:$M,COLUMN()-8,0),"")</f>
        <v>http://i0.hdslb.com/bfs/station_src/music_metadata/b378a92a47e277d62037de8697e6967f</v>
      </c>
      <c r="Q691" s="4">
        <f ca="1">_xlfn.IFNA(VLOOKUP(INDIRECT("G"&amp;ROW()),minfo!$A:$M,COLUMN()-8,0),"")</f>
        <v>556</v>
      </c>
      <c r="R691" s="4">
        <f ca="1">_xlfn.IFNA(VLOOKUP(INDIRECT("G"&amp;ROW()),minfo!$A:$M,COLUMN()-8,0),"")</f>
        <v>0</v>
      </c>
      <c r="S691" s="4" t="str">
        <f ca="1">_xlfn.IFNA(VLOOKUP(INDIRECT("G"&amp;ROW()),minfo!$A:$M,COLUMN()-8,0),"")</f>
        <v>步步 自选作品辑 the Best of 1999-2013</v>
      </c>
      <c r="T691" s="4">
        <f ca="1">_xlfn.IFNA(VLOOKUP(INDIRECT("G"&amp;ROW()),minfo!$A:$M,COLUMN()-8,0),"")</f>
        <v>243513643</v>
      </c>
      <c r="U691" s="4">
        <f ca="1">_xlfn.IFNA(VLOOKUP(INDIRECT("G"&amp;ROW()),minfo!$A:$M,COLUMN()-8,0),"")</f>
        <v>0</v>
      </c>
    </row>
    <row r="692" spans="1:21" ht="15.75" customHeight="1">
      <c r="A692" s="15">
        <v>691</v>
      </c>
      <c r="B692" s="4" t="s">
        <v>4271</v>
      </c>
      <c r="C692" s="4">
        <v>692</v>
      </c>
      <c r="D692" s="4">
        <v>102</v>
      </c>
      <c r="E692" s="4" t="s">
        <v>1749</v>
      </c>
      <c r="F692" s="16">
        <v>45259</v>
      </c>
      <c r="G692" s="5" t="s">
        <v>1748</v>
      </c>
      <c r="H692" s="5" t="s">
        <v>4168</v>
      </c>
      <c r="I692" s="24" t="str">
        <f>HYPERLINK("https://www.bilibili.com/video/BV1ie411v7a2?p=102", "BV1ie411v7a2?p=102")</f>
        <v>BV1ie411v7a2?p=102</v>
      </c>
      <c r="J692" s="4" t="str">
        <f ca="1">_xlfn.IFNA(VLOOKUP(INDIRECT("G"&amp;ROW()),minfo!$A:$M,COLUMN()-8,0),"")</f>
        <v>自画像</v>
      </c>
      <c r="K692" s="4" t="str">
        <f ca="1">_xlfn.IFNA(VLOOKUP(INDIRECT("G"&amp;ROW()),minfo!$A:$M,COLUMN()-8,0),"")</f>
        <v>林俊杰</v>
      </c>
      <c r="L692" s="4">
        <f ca="1">_xlfn.IFNA(VLOOKUP(INDIRECT("G"&amp;ROW()),minfo!$A:$M,COLUMN()-8,0),"")</f>
        <v>0</v>
      </c>
      <c r="M692" s="4">
        <f ca="1">_xlfn.IFNA(VLOOKUP(INDIRECT("G"&amp;ROW()),minfo!$A:$M,COLUMN()-8,0),"")</f>
        <v>0</v>
      </c>
      <c r="N692" s="4">
        <f ca="1">_xlfn.IFNA(VLOOKUP(INDIRECT("G"&amp;ROW()),minfo!$A:$M,COLUMN()-8,0),"")</f>
        <v>0</v>
      </c>
      <c r="O692" s="4" t="str">
        <f ca="1">_xlfn.IFNA(VLOOKUP(INDIRECT("G"&amp;ROW()),minfo!$A:$M,COLUMN()-8,0),"")</f>
        <v>https://i0.hdslb.com/bfs/station_src/music_metadata/565900e48fba7315d176b29e34d96be5.jpg</v>
      </c>
      <c r="P692" s="4">
        <f ca="1">_xlfn.IFNA(VLOOKUP(INDIRECT("G"&amp;ROW()),minfo!$A:$M,COLUMN()-8,0),"")</f>
        <v>0</v>
      </c>
      <c r="Q692" s="4">
        <f ca="1">_xlfn.IFNA(VLOOKUP(INDIRECT("G"&amp;ROW()),minfo!$A:$M,COLUMN()-8,0),"")</f>
        <v>9</v>
      </c>
      <c r="R692" s="4">
        <f ca="1">_xlfn.IFNA(VLOOKUP(INDIRECT("G"&amp;ROW()),minfo!$A:$M,COLUMN()-8,0),"")</f>
        <v>0</v>
      </c>
      <c r="S692" s="4" t="str">
        <f ca="1">_xlfn.IFNA(VLOOKUP(INDIRECT("G"&amp;ROW()),minfo!$A:$M,COLUMN()-8,0),"")</f>
        <v>重拾_快乐</v>
      </c>
      <c r="T692" s="4">
        <f ca="1">_xlfn.IFNA(VLOOKUP(INDIRECT("G"&amp;ROW()),minfo!$A:$M,COLUMN()-8,0),"")</f>
        <v>687618</v>
      </c>
      <c r="U692" s="4">
        <f ca="1">_xlfn.IFNA(VLOOKUP(INDIRECT("G"&amp;ROW()),minfo!$A:$M,COLUMN()-8,0),"")</f>
        <v>0</v>
      </c>
    </row>
    <row r="693" spans="1:21" ht="15.75" customHeight="1">
      <c r="A693" s="15">
        <v>692</v>
      </c>
      <c r="B693" s="4" t="s">
        <v>4272</v>
      </c>
      <c r="C693" s="4">
        <v>693</v>
      </c>
      <c r="D693" s="4">
        <v>103</v>
      </c>
      <c r="E693" s="4" t="s">
        <v>1752</v>
      </c>
      <c r="F693" s="16">
        <v>45260</v>
      </c>
      <c r="G693" s="5" t="s">
        <v>1751</v>
      </c>
      <c r="H693" s="5" t="s">
        <v>4168</v>
      </c>
      <c r="I693" s="24" t="str">
        <f>HYPERLINK("https://www.bilibili.com/video/BV1ie411v7a2?p=103", "BV1ie411v7a2?p=103")</f>
        <v>BV1ie411v7a2?p=103</v>
      </c>
      <c r="J693" s="4" t="str">
        <f ca="1">_xlfn.IFNA(VLOOKUP(INDIRECT("G"&amp;ROW()),minfo!$A:$M,COLUMN()-8,0),"")</f>
        <v>第几个100天</v>
      </c>
      <c r="K693" s="4" t="str">
        <f ca="1">_xlfn.IFNA(VLOOKUP(INDIRECT("G"&amp;ROW()),minfo!$A:$M,COLUMN()-8,0),"")</f>
        <v>林俊杰</v>
      </c>
      <c r="L693" s="4">
        <f ca="1">_xlfn.IFNA(VLOOKUP(INDIRECT("G"&amp;ROW()),minfo!$A:$M,COLUMN()-8,0),"")</f>
        <v>0</v>
      </c>
      <c r="M693" s="4">
        <f ca="1">_xlfn.IFNA(VLOOKUP(INDIRECT("G"&amp;ROW()),minfo!$A:$M,COLUMN()-8,0),"")</f>
        <v>15</v>
      </c>
      <c r="N693" s="4">
        <f ca="1">_xlfn.IFNA(VLOOKUP(INDIRECT("G"&amp;ROW()),minfo!$A:$M,COLUMN()-8,0),"")</f>
        <v>5</v>
      </c>
      <c r="O693" s="4" t="str">
        <f ca="1">_xlfn.IFNA(VLOOKUP(INDIRECT("G"&amp;ROW()),minfo!$A:$M,COLUMN()-8,0),"")</f>
        <v>https://i0.hdslb.com/bfs/station_src/music_metadata/2798c86ee0ded2184ee9d070fc22086d.jpg</v>
      </c>
      <c r="P693" s="4" t="str">
        <f ca="1">_xlfn.IFNA(VLOOKUP(INDIRECT("G"&amp;ROW()),minfo!$A:$M,COLUMN()-8,0),"")</f>
        <v>https://i0.hdslb.com/bfs/station_src/music_metadata/3206fa19f3fe4bc1a2c626541809c9a8.txt</v>
      </c>
      <c r="Q693" s="4">
        <f ca="1">_xlfn.IFNA(VLOOKUP(INDIRECT("G"&amp;ROW()),minfo!$A:$M,COLUMN()-8,0),"")</f>
        <v>17</v>
      </c>
      <c r="R693" s="4">
        <f ca="1">_xlfn.IFNA(VLOOKUP(INDIRECT("G"&amp;ROW()),minfo!$A:$M,COLUMN()-8,0),"")</f>
        <v>0</v>
      </c>
      <c r="S693" s="4" t="str">
        <f ca="1">_xlfn.IFNA(VLOOKUP(INDIRECT("G"&amp;ROW()),minfo!$A:$M,COLUMN()-8,0),"")</f>
        <v>JJ林俊杰_100天</v>
      </c>
      <c r="T693" s="4">
        <f ca="1">_xlfn.IFNA(VLOOKUP(INDIRECT("G"&amp;ROW()),minfo!$A:$M,COLUMN()-8,0),"")</f>
        <v>34946039</v>
      </c>
      <c r="U693" s="4">
        <f ca="1">_xlfn.IFNA(VLOOKUP(INDIRECT("G"&amp;ROW()),minfo!$A:$M,COLUMN()-8,0),"")</f>
        <v>0</v>
      </c>
    </row>
    <row r="694" spans="1:21" ht="15.75" customHeight="1">
      <c r="A694" s="15">
        <v>693</v>
      </c>
      <c r="B694" s="4" t="s">
        <v>4273</v>
      </c>
      <c r="C694" s="4">
        <v>694</v>
      </c>
      <c r="D694" s="4">
        <v>104</v>
      </c>
      <c r="E694" s="4" t="s">
        <v>607</v>
      </c>
      <c r="F694" s="16">
        <v>45260</v>
      </c>
      <c r="G694" s="5" t="s">
        <v>606</v>
      </c>
      <c r="H694" s="5" t="s">
        <v>4168</v>
      </c>
      <c r="I694" s="24" t="str">
        <f>HYPERLINK("https://www.bilibili.com/video/BV1ie411v7a2?p=104", "BV1ie411v7a2?p=104")</f>
        <v>BV1ie411v7a2?p=104</v>
      </c>
      <c r="J694" s="4" t="str">
        <f ca="1">_xlfn.IFNA(VLOOKUP(INDIRECT("G"&amp;ROW()),minfo!$A:$M,COLUMN()-8,0),"")</f>
        <v>紫</v>
      </c>
      <c r="K694" s="4" t="str">
        <f ca="1">_xlfn.IFNA(VLOOKUP(INDIRECT("G"&amp;ROW()),minfo!$A:$M,COLUMN()-8,0),"")</f>
        <v>蔡健雅</v>
      </c>
      <c r="L694" s="4">
        <f ca="1">_xlfn.IFNA(VLOOKUP(INDIRECT("G"&amp;ROW()),minfo!$A:$M,COLUMN()-8,0),"")</f>
        <v>0</v>
      </c>
      <c r="M694" s="4">
        <f ca="1">_xlfn.IFNA(VLOOKUP(INDIRECT("G"&amp;ROW()),minfo!$A:$M,COLUMN()-8,0),"")</f>
        <v>0</v>
      </c>
      <c r="N694" s="4">
        <f ca="1">_xlfn.IFNA(VLOOKUP(INDIRECT("G"&amp;ROW()),minfo!$A:$M,COLUMN()-8,0),"")</f>
        <v>0</v>
      </c>
      <c r="O694" s="4" t="str">
        <f ca="1">_xlfn.IFNA(VLOOKUP(INDIRECT("G"&amp;ROW()),minfo!$A:$M,COLUMN()-8,0),"")</f>
        <v>https://i0.hdslb.com/bfs/station_src/music_metadata/0ee1f50e85aaa87f457222254614ff14.jpg</v>
      </c>
      <c r="P694" s="4" t="str">
        <f ca="1">_xlfn.IFNA(VLOOKUP(INDIRECT("G"&amp;ROW()),minfo!$A:$M,COLUMN()-8,0),"")</f>
        <v>http://i0.hdslb.com/bfs/station_src/music_metadata/3f01cd76b8f7163484e41682aefb646c</v>
      </c>
      <c r="Q694" s="4">
        <f ca="1">_xlfn.IFNA(VLOOKUP(INDIRECT("G"&amp;ROW()),minfo!$A:$M,COLUMN()-8,0),"")</f>
        <v>1051</v>
      </c>
      <c r="R694" s="4" t="str">
        <f ca="1">_xlfn.IFNA(VLOOKUP(INDIRECT("G"&amp;ROW()),minfo!$A:$M,COLUMN()-8,0),"")</f>
        <v>《悟空传》电影插曲</v>
      </c>
      <c r="S694" s="4" t="str">
        <f ca="1">_xlfn.IFNA(VLOOKUP(INDIRECT("G"&amp;ROW()),minfo!$A:$M,COLUMN()-8,0),"")</f>
        <v>悟空传 电影音乐原声带</v>
      </c>
      <c r="T694" s="4">
        <f ca="1">_xlfn.IFNA(VLOOKUP(INDIRECT("G"&amp;ROW()),minfo!$A:$M,COLUMN()-8,0),"")</f>
        <v>114809007</v>
      </c>
      <c r="U694" s="4">
        <f ca="1">_xlfn.IFNA(VLOOKUP(INDIRECT("G"&amp;ROW()),minfo!$A:$M,COLUMN()-8,0),"")</f>
        <v>0</v>
      </c>
    </row>
    <row r="695" spans="1:21" ht="15.75" customHeight="1">
      <c r="A695" s="15">
        <v>694</v>
      </c>
      <c r="B695" s="4" t="s">
        <v>4274</v>
      </c>
      <c r="C695" s="4">
        <v>695</v>
      </c>
      <c r="D695" s="4">
        <v>105</v>
      </c>
      <c r="E695" s="4" t="s">
        <v>4275</v>
      </c>
      <c r="F695" s="16">
        <v>45260</v>
      </c>
      <c r="G695" s="5" t="s">
        <v>1756</v>
      </c>
      <c r="H695" s="5" t="s">
        <v>4168</v>
      </c>
      <c r="I695" s="24" t="str">
        <f>HYPERLINK("https://www.bilibili.com/video/BV1ie411v7a2?p=105", "BV1ie411v7a2?p=105")</f>
        <v>BV1ie411v7a2?p=105</v>
      </c>
      <c r="J695" s="4" t="str">
        <f ca="1">_xlfn.IFNA(VLOOKUP(INDIRECT("G"&amp;ROW()),minfo!$A:$M,COLUMN()-8,0),"")</f>
        <v>美若黎明</v>
      </c>
      <c r="K695" s="4" t="str">
        <f ca="1">_xlfn.IFNA(VLOOKUP(INDIRECT("G"&amp;ROW()),minfo!$A:$M,COLUMN()-8,0),"")</f>
        <v>李健</v>
      </c>
      <c r="L695" s="4">
        <f ca="1">_xlfn.IFNA(VLOOKUP(INDIRECT("G"&amp;ROW()),minfo!$A:$M,COLUMN()-8,0),"")</f>
        <v>0</v>
      </c>
      <c r="M695" s="4">
        <f ca="1">_xlfn.IFNA(VLOOKUP(INDIRECT("G"&amp;ROW()),minfo!$A:$M,COLUMN()-8,0),"")</f>
        <v>0</v>
      </c>
      <c r="N695" s="4">
        <f ca="1">_xlfn.IFNA(VLOOKUP(INDIRECT("G"&amp;ROW()),minfo!$A:$M,COLUMN()-8,0),"")</f>
        <v>0</v>
      </c>
      <c r="O695" s="4" t="str">
        <f ca="1">_xlfn.IFNA(VLOOKUP(INDIRECT("G"&amp;ROW()),minfo!$A:$M,COLUMN()-8,0),"")</f>
        <v>https://i0.hdslb.com/bfs/station_src/music_metadata/6397ee668fb1accb7d18a203fe958d4e.jpg</v>
      </c>
      <c r="P695" s="4">
        <f ca="1">_xlfn.IFNA(VLOOKUP(INDIRECT("G"&amp;ROW()),minfo!$A:$M,COLUMN()-8,0),"")</f>
        <v>0</v>
      </c>
      <c r="Q695" s="4">
        <f ca="1">_xlfn.IFNA(VLOOKUP(INDIRECT("G"&amp;ROW()),minfo!$A:$M,COLUMN()-8,0),"")</f>
        <v>15</v>
      </c>
      <c r="R695" s="4">
        <f ca="1">_xlfn.IFNA(VLOOKUP(INDIRECT("G"&amp;ROW()),minfo!$A:$M,COLUMN()-8,0),"")</f>
        <v>0</v>
      </c>
      <c r="S695" s="4" t="str">
        <f ca="1">_xlfn.IFNA(VLOOKUP(INDIRECT("G"&amp;ROW()),minfo!$A:$M,COLUMN()-8,0),"")</f>
        <v>李健</v>
      </c>
      <c r="T695" s="4">
        <f ca="1">_xlfn.IFNA(VLOOKUP(INDIRECT("G"&amp;ROW()),minfo!$A:$M,COLUMN()-8,0),"")</f>
        <v>4758200</v>
      </c>
      <c r="U695" s="4">
        <f ca="1">_xlfn.IFNA(VLOOKUP(INDIRECT("G"&amp;ROW()),minfo!$A:$M,COLUMN()-8,0),"")</f>
        <v>0</v>
      </c>
    </row>
    <row r="696" spans="1:21" ht="15.75" customHeight="1">
      <c r="A696" s="15">
        <v>695</v>
      </c>
      <c r="B696" s="4" t="s">
        <v>4276</v>
      </c>
      <c r="C696" s="4">
        <v>696</v>
      </c>
      <c r="D696" s="4">
        <v>106</v>
      </c>
      <c r="E696" s="4" t="s">
        <v>1760</v>
      </c>
      <c r="F696" s="16">
        <v>45260</v>
      </c>
      <c r="G696" s="5" t="s">
        <v>1759</v>
      </c>
      <c r="H696" s="5" t="s">
        <v>4168</v>
      </c>
      <c r="I696" s="24" t="str">
        <f>HYPERLINK("https://www.bilibili.com/video/BV1ie411v7a2?p=106", "BV1ie411v7a2?p=106")</f>
        <v>BV1ie411v7a2?p=106</v>
      </c>
      <c r="J696" s="4" t="str">
        <f ca="1">_xlfn.IFNA(VLOOKUP(INDIRECT("G"&amp;ROW()),minfo!$A:$M,COLUMN()-8,0),"")</f>
        <v>流沙</v>
      </c>
      <c r="K696" s="4" t="str">
        <f ca="1">_xlfn.IFNA(VLOOKUP(INDIRECT("G"&amp;ROW()),minfo!$A:$M,COLUMN()-8,0),"")</f>
        <v>陶喆</v>
      </c>
      <c r="L696" s="4">
        <f ca="1">_xlfn.IFNA(VLOOKUP(INDIRECT("G"&amp;ROW()),minfo!$A:$M,COLUMN()-8,0),"")</f>
        <v>0</v>
      </c>
      <c r="M696" s="4">
        <f ca="1">_xlfn.IFNA(VLOOKUP(INDIRECT("G"&amp;ROW()),minfo!$A:$M,COLUMN()-8,0),"")</f>
        <v>118332</v>
      </c>
      <c r="N696" s="4">
        <f ca="1">_xlfn.IFNA(VLOOKUP(INDIRECT("G"&amp;ROW()),minfo!$A:$M,COLUMN()-8,0),"")</f>
        <v>39248</v>
      </c>
      <c r="O696" s="4" t="str">
        <f ca="1">_xlfn.IFNA(VLOOKUP(INDIRECT("G"&amp;ROW()),minfo!$A:$M,COLUMN()-8,0),"")</f>
        <v>https://i0.hdslb.com/bfs/station_src/music_metadata/3abb213a0a4505c94b03db6cd2a432a2.jpg</v>
      </c>
      <c r="P696" s="4" t="str">
        <f ca="1">_xlfn.IFNA(VLOOKUP(INDIRECT("G"&amp;ROW()),minfo!$A:$M,COLUMN()-8,0),"")</f>
        <v>http://i0.hdslb.com/bfs/station_src/music_metadata/a0dc9ad65068fe35854808089a4fcbf0</v>
      </c>
      <c r="Q696" s="4">
        <f ca="1">_xlfn.IFNA(VLOOKUP(INDIRECT("G"&amp;ROW()),minfo!$A:$M,COLUMN()-8,0),"")</f>
        <v>740</v>
      </c>
      <c r="R696" s="4">
        <f ca="1">_xlfn.IFNA(VLOOKUP(INDIRECT("G"&amp;ROW()),minfo!$A:$M,COLUMN()-8,0),"")</f>
        <v>0</v>
      </c>
      <c r="S696" s="4" t="str">
        <f ca="1">_xlfn.IFNA(VLOOKUP(INDIRECT("G"&amp;ROW()),minfo!$A:$M,COLUMN()-8,0),"")</f>
        <v>陶喆同名专辑</v>
      </c>
      <c r="T696" s="4">
        <f ca="1">_xlfn.IFNA(VLOOKUP(INDIRECT("G"&amp;ROW()),minfo!$A:$M,COLUMN()-8,0),"")</f>
        <v>127092149</v>
      </c>
      <c r="U696" s="4">
        <f ca="1">_xlfn.IFNA(VLOOKUP(INDIRECT("G"&amp;ROW()),minfo!$A:$M,COLUMN()-8,0),"")</f>
        <v>0</v>
      </c>
    </row>
    <row r="697" spans="1:21" ht="15.75" customHeight="1">
      <c r="A697" s="15">
        <v>696</v>
      </c>
      <c r="B697" s="4" t="s">
        <v>4277</v>
      </c>
      <c r="C697" s="4">
        <v>697</v>
      </c>
      <c r="D697" s="4">
        <v>107</v>
      </c>
      <c r="E697" s="4" t="s">
        <v>4015</v>
      </c>
      <c r="F697" s="16">
        <v>45260</v>
      </c>
      <c r="G697" s="5" t="s">
        <v>1329</v>
      </c>
      <c r="H697" s="5" t="s">
        <v>4168</v>
      </c>
      <c r="I697" s="24" t="str">
        <f>HYPERLINK("https://www.bilibili.com/video/BV1ie411v7a2?p=107", "BV1ie411v7a2?p=107")</f>
        <v>BV1ie411v7a2?p=107</v>
      </c>
      <c r="J697" s="4" t="str">
        <f ca="1">_xlfn.IFNA(VLOOKUP(INDIRECT("G"&amp;ROW()),minfo!$A:$M,COLUMN()-8,0),"")</f>
        <v>Melody</v>
      </c>
      <c r="K697" s="4" t="str">
        <f ca="1">_xlfn.IFNA(VLOOKUP(INDIRECT("G"&amp;ROW()),minfo!$A:$M,COLUMN()-8,0),"")</f>
        <v>陶喆</v>
      </c>
      <c r="L697" s="4">
        <f ca="1">_xlfn.IFNA(VLOOKUP(INDIRECT("G"&amp;ROW()),minfo!$A:$M,COLUMN()-8,0),"")</f>
        <v>0</v>
      </c>
      <c r="M697" s="4">
        <f ca="1">_xlfn.IFNA(VLOOKUP(INDIRECT("G"&amp;ROW()),minfo!$A:$M,COLUMN()-8,0),"")</f>
        <v>0</v>
      </c>
      <c r="N697" s="4">
        <f ca="1">_xlfn.IFNA(VLOOKUP(INDIRECT("G"&amp;ROW()),minfo!$A:$M,COLUMN()-8,0),"")</f>
        <v>0</v>
      </c>
      <c r="O697" s="4" t="str">
        <f ca="1">_xlfn.IFNA(VLOOKUP(INDIRECT("G"&amp;ROW()),minfo!$A:$M,COLUMN()-8,0),"")</f>
        <v>https://i0.hdslb.com/bfs/station_src/music_metadata/4f85133845e2c8b25026a678708a9376.jpg</v>
      </c>
      <c r="P697" s="4" t="str">
        <f ca="1">_xlfn.IFNA(VLOOKUP(INDIRECT("G"&amp;ROW()),minfo!$A:$M,COLUMN()-8,0),"")</f>
        <v>http://i0.hdslb.com/bfs/station_src/music_metadata/d18325416bca019d84b21a8b3f7bb651</v>
      </c>
      <c r="Q697" s="4">
        <f ca="1">_xlfn.IFNA(VLOOKUP(INDIRECT("G"&amp;ROW()),minfo!$A:$M,COLUMN()-8,0),"")</f>
        <v>1120</v>
      </c>
      <c r="R697" s="4">
        <f ca="1">_xlfn.IFNA(VLOOKUP(INDIRECT("G"&amp;ROW()),minfo!$A:$M,COLUMN()-8,0),"")</f>
        <v>0</v>
      </c>
      <c r="S697" s="4" t="str">
        <f ca="1">_xlfn.IFNA(VLOOKUP(INDIRECT("G"&amp;ROW()),minfo!$A:$M,COLUMN()-8,0),"")</f>
        <v>黑色柳丁</v>
      </c>
      <c r="T697" s="4">
        <f ca="1">_xlfn.IFNA(VLOOKUP(INDIRECT("G"&amp;ROW()),minfo!$A:$M,COLUMN()-8,0),"")</f>
        <v>113992875</v>
      </c>
      <c r="U697" s="4">
        <f ca="1">_xlfn.IFNA(VLOOKUP(INDIRECT("G"&amp;ROW()),minfo!$A:$M,COLUMN()-8,0),"")</f>
        <v>0</v>
      </c>
    </row>
    <row r="698" spans="1:21" ht="15.75" customHeight="1">
      <c r="A698" s="15">
        <v>697</v>
      </c>
      <c r="B698" s="4" t="s">
        <v>4278</v>
      </c>
      <c r="C698" s="4">
        <v>698</v>
      </c>
      <c r="D698" s="4">
        <v>108</v>
      </c>
      <c r="E698" s="4" t="s">
        <v>1765</v>
      </c>
      <c r="F698" s="16">
        <v>45260</v>
      </c>
      <c r="G698" s="5" t="s">
        <v>1764</v>
      </c>
      <c r="H698" s="5" t="s">
        <v>4168</v>
      </c>
      <c r="I698" s="24" t="str">
        <f>HYPERLINK("https://www.bilibili.com/video/BV1ie411v7a2?p=108", "BV1ie411v7a2?p=108")</f>
        <v>BV1ie411v7a2?p=108</v>
      </c>
      <c r="J698" s="4" t="str">
        <f ca="1">_xlfn.IFNA(VLOOKUP(INDIRECT("G"&amp;ROW()),minfo!$A:$M,COLUMN()-8,0),"")</f>
        <v>好好说再见</v>
      </c>
      <c r="K698" s="4" t="str">
        <f ca="1">_xlfn.IFNA(VLOOKUP(INDIRECT("G"&amp;ROW()),minfo!$A:$M,COLUMN()-8,0),"")</f>
        <v>关诗敏,陶喆</v>
      </c>
      <c r="L698" s="4">
        <f ca="1">_xlfn.IFNA(VLOOKUP(INDIRECT("G"&amp;ROW()),minfo!$A:$M,COLUMN()-8,0),"")</f>
        <v>0</v>
      </c>
      <c r="M698" s="4">
        <f ca="1">_xlfn.IFNA(VLOOKUP(INDIRECT("G"&amp;ROW()),minfo!$A:$M,COLUMN()-8,0),"")</f>
        <v>0</v>
      </c>
      <c r="N698" s="4">
        <f ca="1">_xlfn.IFNA(VLOOKUP(INDIRECT("G"&amp;ROW()),minfo!$A:$M,COLUMN()-8,0),"")</f>
        <v>0</v>
      </c>
      <c r="O698" s="4" t="str">
        <f ca="1">_xlfn.IFNA(VLOOKUP(INDIRECT("G"&amp;ROW()),minfo!$A:$M,COLUMN()-8,0),"")</f>
        <v>https://i0.hdslb.com/bfs/station_src/music_metadata/b75c95a475cd34e1b8697a8ae0fa9178.jpg</v>
      </c>
      <c r="P698" s="4">
        <f ca="1">_xlfn.IFNA(VLOOKUP(INDIRECT("G"&amp;ROW()),minfo!$A:$M,COLUMN()-8,0),"")</f>
        <v>0</v>
      </c>
      <c r="Q698" s="4">
        <f ca="1">_xlfn.IFNA(VLOOKUP(INDIRECT("G"&amp;ROW()),minfo!$A:$M,COLUMN()-8,0),"")</f>
        <v>16</v>
      </c>
      <c r="R698" s="4">
        <f ca="1">_xlfn.IFNA(VLOOKUP(INDIRECT("G"&amp;ROW()),minfo!$A:$M,COLUMN()-8,0),"")</f>
        <v>0</v>
      </c>
      <c r="S698" s="4" t="str">
        <f ca="1">_xlfn.IFNA(VLOOKUP(INDIRECT("G"&amp;ROW()),minfo!$A:$M,COLUMN()-8,0),"")</f>
        <v>再见你好吗 Hello Goodbye</v>
      </c>
      <c r="T698" s="4">
        <f ca="1">_xlfn.IFNA(VLOOKUP(INDIRECT("G"&amp;ROW()),minfo!$A:$M,COLUMN()-8,0),"")</f>
        <v>11978127</v>
      </c>
      <c r="U698" s="4">
        <f ca="1">_xlfn.IFNA(VLOOKUP(INDIRECT("G"&amp;ROW()),minfo!$A:$M,COLUMN()-8,0),"")</f>
        <v>0</v>
      </c>
    </row>
    <row r="699" spans="1:21" ht="15.75" customHeight="1">
      <c r="A699" s="15">
        <v>698</v>
      </c>
      <c r="B699" s="4" t="s">
        <v>4279</v>
      </c>
      <c r="C699" s="4">
        <v>699</v>
      </c>
      <c r="D699" s="4">
        <v>109</v>
      </c>
      <c r="E699" s="4" t="s">
        <v>1719</v>
      </c>
      <c r="F699" s="16">
        <v>45260</v>
      </c>
      <c r="G699" s="5" t="s">
        <v>1718</v>
      </c>
      <c r="H699" s="5" t="s">
        <v>4168</v>
      </c>
      <c r="I699" s="24" t="str">
        <f>HYPERLINK("https://www.bilibili.com/video/BV1ie411v7a2?p=109", "BV1ie411v7a2?p=109")</f>
        <v>BV1ie411v7a2?p=109</v>
      </c>
      <c r="J699" s="4" t="str">
        <f ca="1">_xlfn.IFNA(VLOOKUP(INDIRECT("G"&amp;ROW()),minfo!$A:$M,COLUMN()-8,0),"")</f>
        <v>达尔文</v>
      </c>
      <c r="K699" s="4" t="str">
        <f ca="1">_xlfn.IFNA(VLOOKUP(INDIRECT("G"&amp;ROW()),minfo!$A:$M,COLUMN()-8,0),"")</f>
        <v>蔡健雅</v>
      </c>
      <c r="L699" s="4">
        <f ca="1">_xlfn.IFNA(VLOOKUP(INDIRECT("G"&amp;ROW()),minfo!$A:$M,COLUMN()-8,0),"")</f>
        <v>0</v>
      </c>
      <c r="M699" s="4">
        <f ca="1">_xlfn.IFNA(VLOOKUP(INDIRECT("G"&amp;ROW()),minfo!$A:$M,COLUMN()-8,0),"")</f>
        <v>61</v>
      </c>
      <c r="N699" s="4">
        <f ca="1">_xlfn.IFNA(VLOOKUP(INDIRECT("G"&amp;ROW()),minfo!$A:$M,COLUMN()-8,0),"")</f>
        <v>23</v>
      </c>
      <c r="O699" s="4" t="str">
        <f ca="1">_xlfn.IFNA(VLOOKUP(INDIRECT("G"&amp;ROW()),minfo!$A:$M,COLUMN()-8,0),"")</f>
        <v>http://i2.hdslb.com/bfs/archive/0d88147503c1678b5c14f01bf912438f0e18189c.jpg</v>
      </c>
      <c r="P699" s="4">
        <f ca="1">_xlfn.IFNA(VLOOKUP(INDIRECT("G"&amp;ROW()),minfo!$A:$M,COLUMN()-8,0),"")</f>
        <v>0</v>
      </c>
      <c r="Q699" s="4">
        <f ca="1">_xlfn.IFNA(VLOOKUP(INDIRECT("G"&amp;ROW()),minfo!$A:$M,COLUMN()-8,0),"")</f>
        <v>275</v>
      </c>
      <c r="R699" s="4" t="str">
        <f ca="1">_xlfn.IFNA(VLOOKUP(INDIRECT("G"&amp;ROW()),minfo!$A:$M,COLUMN()-8,0),"")</f>
        <v>达尔文</v>
      </c>
      <c r="S699" s="4" t="str">
        <f ca="1">_xlfn.IFNA(VLOOKUP(INDIRECT("G"&amp;ROW()),minfo!$A:$M,COLUMN()-8,0),"")</f>
        <v>达尔文</v>
      </c>
      <c r="T699" s="4">
        <f ca="1">_xlfn.IFNA(VLOOKUP(INDIRECT("G"&amp;ROW()),minfo!$A:$M,COLUMN()-8,0),"")</f>
        <v>108423038</v>
      </c>
      <c r="U699" s="4">
        <f ca="1">_xlfn.IFNA(VLOOKUP(INDIRECT("G"&amp;ROW()),minfo!$A:$M,COLUMN()-8,0),"")</f>
        <v>0</v>
      </c>
    </row>
    <row r="700" spans="1:21" ht="15.75" customHeight="1">
      <c r="A700" s="15">
        <v>699</v>
      </c>
      <c r="B700" s="4" t="s">
        <v>4280</v>
      </c>
      <c r="C700" s="4">
        <v>700</v>
      </c>
      <c r="D700" s="4">
        <v>110</v>
      </c>
      <c r="E700" s="4" t="s">
        <v>879</v>
      </c>
      <c r="F700" s="16">
        <v>45260</v>
      </c>
      <c r="G700" s="5" t="s">
        <v>878</v>
      </c>
      <c r="H700" s="5" t="s">
        <v>4168</v>
      </c>
      <c r="I700" s="24" t="str">
        <f>HYPERLINK("https://www.bilibili.com/video/BV1ie411v7a2?p=110", "BV1ie411v7a2?p=110")</f>
        <v>BV1ie411v7a2?p=110</v>
      </c>
      <c r="J700" s="4" t="str">
        <f ca="1">_xlfn.IFNA(VLOOKUP(INDIRECT("G"&amp;ROW()),minfo!$A:$M,COLUMN()-8,0),"")</f>
        <v>发如雪</v>
      </c>
      <c r="K700" s="4" t="str">
        <f ca="1">_xlfn.IFNA(VLOOKUP(INDIRECT("G"&amp;ROW()),minfo!$A:$M,COLUMN()-8,0),"")</f>
        <v>周杰伦</v>
      </c>
      <c r="L700" s="4">
        <f ca="1">_xlfn.IFNA(VLOOKUP(INDIRECT("G"&amp;ROW()),minfo!$A:$M,COLUMN()-8,0),"")</f>
        <v>0</v>
      </c>
      <c r="M700" s="4">
        <f ca="1">_xlfn.IFNA(VLOOKUP(INDIRECT("G"&amp;ROW()),minfo!$A:$M,COLUMN()-8,0),"")</f>
        <v>0</v>
      </c>
      <c r="N700" s="4">
        <f ca="1">_xlfn.IFNA(VLOOKUP(INDIRECT("G"&amp;ROW()),minfo!$A:$M,COLUMN()-8,0),"")</f>
        <v>0</v>
      </c>
      <c r="O700" s="4" t="str">
        <f ca="1">_xlfn.IFNA(VLOOKUP(INDIRECT("G"&amp;ROW()),minfo!$A:$M,COLUMN()-8,0),"")</f>
        <v>https://i0.hdslb.com/bfs/station_src/music_metadata/4f19787695e451c7ec6f082affe19c57.jpg</v>
      </c>
      <c r="P700" s="4" t="str">
        <f ca="1">_xlfn.IFNA(VLOOKUP(INDIRECT("G"&amp;ROW()),minfo!$A:$M,COLUMN()-8,0),"")</f>
        <v>http://i0.hdslb.com/bfs/station_src/music_metadata/e48762ee9e6f3b4048f790c705f187cd</v>
      </c>
      <c r="Q700" s="4">
        <f ca="1">_xlfn.IFNA(VLOOKUP(INDIRECT("G"&amp;ROW()),minfo!$A:$M,COLUMN()-8,0),"")</f>
        <v>5236</v>
      </c>
      <c r="R700" s="4">
        <f ca="1">_xlfn.IFNA(VLOOKUP(INDIRECT("G"&amp;ROW()),minfo!$A:$M,COLUMN()-8,0),"")</f>
        <v>0</v>
      </c>
      <c r="S700" s="4" t="str">
        <f ca="1">_xlfn.IFNA(VLOOKUP(INDIRECT("G"&amp;ROW()),minfo!$A:$M,COLUMN()-8,0),"")</f>
        <v>十一月的萧邦</v>
      </c>
      <c r="T700" s="4">
        <f ca="1">_xlfn.IFNA(VLOOKUP(INDIRECT("G"&amp;ROW()),minfo!$A:$M,COLUMN()-8,0),"")</f>
        <v>561545897</v>
      </c>
      <c r="U700" s="4">
        <f ca="1">_xlfn.IFNA(VLOOKUP(INDIRECT("G"&amp;ROW()),minfo!$A:$M,COLUMN()-8,0),"")</f>
        <v>0</v>
      </c>
    </row>
    <row r="701" spans="1:21" ht="15.75" customHeight="1">
      <c r="A701" s="15">
        <v>700</v>
      </c>
      <c r="B701" s="4" t="s">
        <v>4281</v>
      </c>
      <c r="C701" s="4">
        <v>701</v>
      </c>
      <c r="D701" s="4">
        <v>111</v>
      </c>
      <c r="E701" s="4" t="s">
        <v>642</v>
      </c>
      <c r="F701" s="16">
        <v>45260</v>
      </c>
      <c r="G701" s="5" t="s">
        <v>641</v>
      </c>
      <c r="H701" s="5" t="s">
        <v>4168</v>
      </c>
      <c r="I701" s="24" t="str">
        <f>HYPERLINK("https://www.bilibili.com/video/BV1ie411v7a2?p=111", "BV1ie411v7a2?p=111")</f>
        <v>BV1ie411v7a2?p=111</v>
      </c>
      <c r="J701" s="4" t="str">
        <f ca="1">_xlfn.IFNA(VLOOKUP(INDIRECT("G"&amp;ROW()),minfo!$A:$M,COLUMN()-8,0),"")</f>
        <v>左边</v>
      </c>
      <c r="K701" s="4" t="str">
        <f ca="1">_xlfn.IFNA(VLOOKUP(INDIRECT("G"&amp;ROW()),minfo!$A:$M,COLUMN()-8,0),"")</f>
        <v>杨丞琳</v>
      </c>
      <c r="L701" s="4">
        <f ca="1">_xlfn.IFNA(VLOOKUP(INDIRECT("G"&amp;ROW()),minfo!$A:$M,COLUMN()-8,0),"")</f>
        <v>0</v>
      </c>
      <c r="M701" s="4">
        <f ca="1">_xlfn.IFNA(VLOOKUP(INDIRECT("G"&amp;ROW()),minfo!$A:$M,COLUMN()-8,0),"")</f>
        <v>0</v>
      </c>
      <c r="N701" s="4">
        <f ca="1">_xlfn.IFNA(VLOOKUP(INDIRECT("G"&amp;ROW()),minfo!$A:$M,COLUMN()-8,0),"")</f>
        <v>0</v>
      </c>
      <c r="O701" s="4" t="str">
        <f ca="1">_xlfn.IFNA(VLOOKUP(INDIRECT("G"&amp;ROW()),minfo!$A:$M,COLUMN()-8,0),"")</f>
        <v>https://i0.hdslb.com/bfs/station_src/music_metadata/0606c553b019d6955e7932dfd839f28c.jpg</v>
      </c>
      <c r="P701" s="4" t="str">
        <f ca="1">_xlfn.IFNA(VLOOKUP(INDIRECT("G"&amp;ROW()),minfo!$A:$M,COLUMN()-8,0),"")</f>
        <v>http://i0.hdslb.com/bfs/station_src/music_metadata/b2bbd1cc5e237296e0cf70a277cd471c</v>
      </c>
      <c r="Q701" s="4">
        <f ca="1">_xlfn.IFNA(VLOOKUP(INDIRECT("G"&amp;ROW()),minfo!$A:$M,COLUMN()-8,0),"")</f>
        <v>44</v>
      </c>
      <c r="R701" s="4" t="str">
        <f ca="1">_xlfn.IFNA(VLOOKUP(INDIRECT("G"&amp;ROW()),minfo!$A:$M,COLUMN()-8,0),"")</f>
        <v>电视剧《奋斗》插曲</v>
      </c>
      <c r="S701" s="4" t="str">
        <f ca="1">_xlfn.IFNA(VLOOKUP(INDIRECT("G"&amp;ROW()),minfo!$A:$M,COLUMN()-8,0),"")</f>
        <v>遇上爱</v>
      </c>
      <c r="T701" s="4">
        <f ca="1">_xlfn.IFNA(VLOOKUP(INDIRECT("G"&amp;ROW()),minfo!$A:$M,COLUMN()-8,0),"")</f>
        <v>28182657</v>
      </c>
      <c r="U701" s="4">
        <f ca="1">_xlfn.IFNA(VLOOKUP(INDIRECT("G"&amp;ROW()),minfo!$A:$M,COLUMN()-8,0),"")</f>
        <v>0</v>
      </c>
    </row>
    <row r="702" spans="1:21" ht="15.75" customHeight="1">
      <c r="A702" s="15">
        <v>701</v>
      </c>
      <c r="B702" s="4" t="s">
        <v>4282</v>
      </c>
      <c r="C702" s="4">
        <v>702</v>
      </c>
      <c r="D702" s="4">
        <v>112</v>
      </c>
      <c r="E702" s="4" t="s">
        <v>1770</v>
      </c>
      <c r="F702" s="16">
        <v>45261</v>
      </c>
      <c r="G702" s="5" t="s">
        <v>1769</v>
      </c>
      <c r="H702" s="5" t="s">
        <v>4168</v>
      </c>
      <c r="I702" s="24" t="str">
        <f>HYPERLINK("https://www.bilibili.com/video/BV1ie411v7a2?p=112", "BV1ie411v7a2?p=112")</f>
        <v>BV1ie411v7a2?p=112</v>
      </c>
      <c r="J702" s="4" t="str">
        <f ca="1">_xlfn.IFNA(VLOOKUP(INDIRECT("G"&amp;ROW()),minfo!$A:$M,COLUMN()-8,0),"")</f>
        <v>不识月</v>
      </c>
      <c r="K702" s="4" t="str">
        <f ca="1">_xlfn.IFNA(VLOOKUP(INDIRECT("G"&amp;ROW()),minfo!$A:$M,COLUMN()-8,0),"")</f>
        <v>Luna Safari,折微微,赤羽</v>
      </c>
      <c r="L702" s="4">
        <f ca="1">_xlfn.IFNA(VLOOKUP(INDIRECT("G"&amp;ROW()),minfo!$A:$M,COLUMN()-8,0),"")</f>
        <v>0</v>
      </c>
      <c r="M702" s="4">
        <f ca="1">_xlfn.IFNA(VLOOKUP(INDIRECT("G"&amp;ROW()),minfo!$A:$M,COLUMN()-8,0),"")</f>
        <v>0</v>
      </c>
      <c r="N702" s="4">
        <f ca="1">_xlfn.IFNA(VLOOKUP(INDIRECT("G"&amp;ROW()),minfo!$A:$M,COLUMN()-8,0),"")</f>
        <v>0</v>
      </c>
      <c r="O702" s="4" t="str">
        <f ca="1">_xlfn.IFNA(VLOOKUP(INDIRECT("G"&amp;ROW()),minfo!$A:$M,COLUMN()-8,0),"")</f>
        <v>http://i0.hdslb.com/bfs/station_src/music_metadata/0ba4e987c52d0430bd333a7cdc71f19f.jpg</v>
      </c>
      <c r="P702" s="4" t="str">
        <f ca="1">_xlfn.IFNA(VLOOKUP(INDIRECT("G"&amp;ROW()),minfo!$A:$M,COLUMN()-8,0),"")</f>
        <v>http://i0.hdslb.com/bfs/station_src/music_metadata/8a2c460684eb7937088ad1ba38ab015e</v>
      </c>
      <c r="Q702" s="4">
        <f ca="1">_xlfn.IFNA(VLOOKUP(INDIRECT("G"&amp;ROW()),minfo!$A:$M,COLUMN()-8,0),"")</f>
        <v>10</v>
      </c>
      <c r="R702" s="4">
        <f ca="1">_xlfn.IFNA(VLOOKUP(INDIRECT("G"&amp;ROW()),minfo!$A:$M,COLUMN()-8,0),"")</f>
        <v>0</v>
      </c>
      <c r="S702" s="4" t="str">
        <f ca="1">_xlfn.IFNA(VLOOKUP(INDIRECT("G"&amp;ROW()),minfo!$A:$M,COLUMN()-8,0),"")</f>
        <v>不识月</v>
      </c>
      <c r="T702" s="4">
        <f ca="1">_xlfn.IFNA(VLOOKUP(INDIRECT("G"&amp;ROW()),minfo!$A:$M,COLUMN()-8,0),"")</f>
        <v>3252187</v>
      </c>
      <c r="U702" s="4">
        <f ca="1">_xlfn.IFNA(VLOOKUP(INDIRECT("G"&amp;ROW()),minfo!$A:$M,COLUMN()-8,0),"")</f>
        <v>0</v>
      </c>
    </row>
    <row r="703" spans="1:21" ht="15.75" customHeight="1">
      <c r="A703" s="15">
        <v>702</v>
      </c>
      <c r="B703" s="4" t="s">
        <v>4283</v>
      </c>
      <c r="C703" s="4">
        <v>703</v>
      </c>
      <c r="D703" s="4">
        <v>113</v>
      </c>
      <c r="E703" s="4" t="s">
        <v>1775</v>
      </c>
      <c r="F703" s="16">
        <v>45261</v>
      </c>
      <c r="G703" s="5" t="s">
        <v>1774</v>
      </c>
      <c r="H703" s="5" t="s">
        <v>4168</v>
      </c>
      <c r="I703" s="24" t="str">
        <f>HYPERLINK("https://www.bilibili.com/video/BV1ie411v7a2?p=113", "BV1ie411v7a2?p=113")</f>
        <v>BV1ie411v7a2?p=113</v>
      </c>
      <c r="J703" s="4" t="str">
        <f ca="1">_xlfn.IFNA(VLOOKUP(INDIRECT("G"&amp;ROW()),minfo!$A:$M,COLUMN()-8,0),"")</f>
        <v>滚滚红尘</v>
      </c>
      <c r="K703" s="4" t="str">
        <f ca="1">_xlfn.IFNA(VLOOKUP(INDIRECT("G"&amp;ROW()),minfo!$A:$M,COLUMN()-8,0),"")</f>
        <v>陈淑桦</v>
      </c>
      <c r="L703" s="4">
        <f ca="1">_xlfn.IFNA(VLOOKUP(INDIRECT("G"&amp;ROW()),minfo!$A:$M,COLUMN()-8,0),"")</f>
        <v>0</v>
      </c>
      <c r="M703" s="4">
        <f ca="1">_xlfn.IFNA(VLOOKUP(INDIRECT("G"&amp;ROW()),minfo!$A:$M,COLUMN()-8,0),"")</f>
        <v>0</v>
      </c>
      <c r="N703" s="4">
        <f ca="1">_xlfn.IFNA(VLOOKUP(INDIRECT("G"&amp;ROW()),minfo!$A:$M,COLUMN()-8,0),"")</f>
        <v>0</v>
      </c>
      <c r="O703" s="4" t="str">
        <f ca="1">_xlfn.IFNA(VLOOKUP(INDIRECT("G"&amp;ROW()),minfo!$A:$M,COLUMN()-8,0),"")</f>
        <v>https://i0.hdslb.com/bfs/station_src/music_metadata/bbbbc76dd1b78dce9beed3497ed6e04e.jpg</v>
      </c>
      <c r="P703" s="4" t="str">
        <f ca="1">_xlfn.IFNA(VLOOKUP(INDIRECT("G"&amp;ROW()),minfo!$A:$M,COLUMN()-8,0),"")</f>
        <v>http://i0.hdslb.com/bfs/station_src/music_metadata/05c023cf13f9e78c049906f50579fc9c</v>
      </c>
      <c r="Q703" s="4">
        <f ca="1">_xlfn.IFNA(VLOOKUP(INDIRECT("G"&amp;ROW()),minfo!$A:$M,COLUMN()-8,0),"")</f>
        <v>98</v>
      </c>
      <c r="R703" s="4" t="str">
        <f ca="1">_xlfn.IFNA(VLOOKUP(INDIRECT("G"&amp;ROW()),minfo!$A:$M,COLUMN()-8,0),"")</f>
        <v>《滚滚红尘》电影主题曲</v>
      </c>
      <c r="S703" s="4" t="str">
        <f ca="1">_xlfn.IFNA(VLOOKUP(INDIRECT("G"&amp;ROW()),minfo!$A:$M,COLUMN()-8,0),"")</f>
        <v>一生守候</v>
      </c>
      <c r="T703" s="4">
        <f ca="1">_xlfn.IFNA(VLOOKUP(INDIRECT("G"&amp;ROW()),minfo!$A:$M,COLUMN()-8,0),"")</f>
        <v>30922488</v>
      </c>
      <c r="U703" s="4">
        <f ca="1">_xlfn.IFNA(VLOOKUP(INDIRECT("G"&amp;ROW()),minfo!$A:$M,COLUMN()-8,0),"")</f>
        <v>0</v>
      </c>
    </row>
    <row r="704" spans="1:21" ht="15.75" customHeight="1">
      <c r="A704" s="15">
        <v>703</v>
      </c>
      <c r="B704" s="4" t="s">
        <v>4284</v>
      </c>
      <c r="C704" s="4">
        <v>704</v>
      </c>
      <c r="D704" s="4">
        <v>114</v>
      </c>
      <c r="E704" s="4" t="s">
        <v>1782</v>
      </c>
      <c r="F704" s="16">
        <v>45261</v>
      </c>
      <c r="G704" s="5" t="s">
        <v>1781</v>
      </c>
      <c r="H704" s="5" t="s">
        <v>4168</v>
      </c>
      <c r="I704" s="24" t="str">
        <f>HYPERLINK("https://www.bilibili.com/video/BV1ie411v7a2?p=114", "BV1ie411v7a2?p=114")</f>
        <v>BV1ie411v7a2?p=114</v>
      </c>
      <c r="J704" s="4" t="str">
        <f ca="1">_xlfn.IFNA(VLOOKUP(INDIRECT("G"&amp;ROW()),minfo!$A:$M,COLUMN()-8,0),"")</f>
        <v>赤伶</v>
      </c>
      <c r="K704" s="4" t="str">
        <f ca="1">_xlfn.IFNA(VLOOKUP(INDIRECT("G"&amp;ROW()),minfo!$A:$M,COLUMN()-8,0),"")</f>
        <v>HITA</v>
      </c>
      <c r="L704" s="4">
        <f ca="1">_xlfn.IFNA(VLOOKUP(INDIRECT("G"&amp;ROW()),minfo!$A:$M,COLUMN()-8,0),"")</f>
        <v>0</v>
      </c>
      <c r="M704" s="4">
        <f ca="1">_xlfn.IFNA(VLOOKUP(INDIRECT("G"&amp;ROW()),minfo!$A:$M,COLUMN()-8,0),"")</f>
        <v>0</v>
      </c>
      <c r="N704" s="4">
        <f ca="1">_xlfn.IFNA(VLOOKUP(INDIRECT("G"&amp;ROW()),minfo!$A:$M,COLUMN()-8,0),"")</f>
        <v>0</v>
      </c>
      <c r="O704" s="4" t="str">
        <f ca="1">_xlfn.IFNA(VLOOKUP(INDIRECT("G"&amp;ROW()),minfo!$A:$M,COLUMN()-8,0),"")</f>
        <v>http://i0.hdslb.com/bfs/station_src/music_metadata/08c4bd403b6db9ea68e072d3e70dd808.jpg</v>
      </c>
      <c r="P704" s="4" t="str">
        <f ca="1">_xlfn.IFNA(VLOOKUP(INDIRECT("G"&amp;ROW()),minfo!$A:$M,COLUMN()-8,0),"")</f>
        <v>http://i0.hdslb.com/bfs/station_src/music_metadata/5f8016b9e5d6d81fdcb6ef5073c58bb8</v>
      </c>
      <c r="Q704" s="4">
        <f ca="1">_xlfn.IFNA(VLOOKUP(INDIRECT("G"&amp;ROW()),minfo!$A:$M,COLUMN()-8,0),"")</f>
        <v>4659</v>
      </c>
      <c r="R704" s="4">
        <f ca="1">_xlfn.IFNA(VLOOKUP(INDIRECT("G"&amp;ROW()),minfo!$A:$M,COLUMN()-8,0),"")</f>
        <v>0</v>
      </c>
      <c r="S704" s="4" t="str">
        <f ca="1">_xlfn.IFNA(VLOOKUP(INDIRECT("G"&amp;ROW()),minfo!$A:$M,COLUMN()-8,0),"")</f>
        <v>赤伶</v>
      </c>
      <c r="T704" s="4">
        <f ca="1">_xlfn.IFNA(VLOOKUP(INDIRECT("G"&amp;ROW()),minfo!$A:$M,COLUMN()-8,0),"")</f>
        <v>1664352916</v>
      </c>
      <c r="U704" s="4" t="str">
        <f ca="1">_xlfn.IFNA(VLOOKUP(INDIRECT("G"&amp;ROW()),minfo!$A:$M,COLUMN()-8,0),"")</f>
        <v>音乐榜最高NO.19</v>
      </c>
    </row>
    <row r="705" spans="1:21" ht="15.75" customHeight="1">
      <c r="A705" s="15">
        <v>704</v>
      </c>
      <c r="B705" s="4" t="s">
        <v>4285</v>
      </c>
      <c r="C705" s="4">
        <v>705</v>
      </c>
      <c r="D705" s="4">
        <v>115</v>
      </c>
      <c r="E705" s="4" t="s">
        <v>1782</v>
      </c>
      <c r="F705" s="16">
        <v>45261</v>
      </c>
      <c r="G705" s="5" t="s">
        <v>1781</v>
      </c>
      <c r="H705" s="5" t="s">
        <v>4168</v>
      </c>
      <c r="I705" s="24" t="str">
        <f>HYPERLINK("https://www.bilibili.com/video/BV1ie411v7a2?p=115", "BV1ie411v7a2?p=115")</f>
        <v>BV1ie411v7a2?p=115</v>
      </c>
      <c r="J705" s="4" t="str">
        <f ca="1">_xlfn.IFNA(VLOOKUP(INDIRECT("G"&amp;ROW()),minfo!$A:$M,COLUMN()-8,0),"")</f>
        <v>赤伶</v>
      </c>
      <c r="K705" s="4" t="str">
        <f ca="1">_xlfn.IFNA(VLOOKUP(INDIRECT("G"&amp;ROW()),minfo!$A:$M,COLUMN()-8,0),"")</f>
        <v>HITA</v>
      </c>
      <c r="L705" s="4">
        <f ca="1">_xlfn.IFNA(VLOOKUP(INDIRECT("G"&amp;ROW()),minfo!$A:$M,COLUMN()-8,0),"")</f>
        <v>0</v>
      </c>
      <c r="M705" s="4">
        <f ca="1">_xlfn.IFNA(VLOOKUP(INDIRECT("G"&amp;ROW()),minfo!$A:$M,COLUMN()-8,0),"")</f>
        <v>0</v>
      </c>
      <c r="N705" s="4">
        <f ca="1">_xlfn.IFNA(VLOOKUP(INDIRECT("G"&amp;ROW()),minfo!$A:$M,COLUMN()-8,0),"")</f>
        <v>0</v>
      </c>
      <c r="O705" s="4" t="str">
        <f ca="1">_xlfn.IFNA(VLOOKUP(INDIRECT("G"&amp;ROW()),minfo!$A:$M,COLUMN()-8,0),"")</f>
        <v>http://i0.hdslb.com/bfs/station_src/music_metadata/08c4bd403b6db9ea68e072d3e70dd808.jpg</v>
      </c>
      <c r="P705" s="4" t="str">
        <f ca="1">_xlfn.IFNA(VLOOKUP(INDIRECT("G"&amp;ROW()),minfo!$A:$M,COLUMN()-8,0),"")</f>
        <v>http://i0.hdslb.com/bfs/station_src/music_metadata/5f8016b9e5d6d81fdcb6ef5073c58bb8</v>
      </c>
      <c r="Q705" s="4">
        <f ca="1">_xlfn.IFNA(VLOOKUP(INDIRECT("G"&amp;ROW()),minfo!$A:$M,COLUMN()-8,0),"")</f>
        <v>4659</v>
      </c>
      <c r="R705" s="4">
        <f ca="1">_xlfn.IFNA(VLOOKUP(INDIRECT("G"&amp;ROW()),minfo!$A:$M,COLUMN()-8,0),"")</f>
        <v>0</v>
      </c>
      <c r="S705" s="4" t="str">
        <f ca="1">_xlfn.IFNA(VLOOKUP(INDIRECT("G"&amp;ROW()),minfo!$A:$M,COLUMN()-8,0),"")</f>
        <v>赤伶</v>
      </c>
      <c r="T705" s="4">
        <f ca="1">_xlfn.IFNA(VLOOKUP(INDIRECT("G"&amp;ROW()),minfo!$A:$M,COLUMN()-8,0),"")</f>
        <v>1664352916</v>
      </c>
      <c r="U705" s="4" t="str">
        <f ca="1">_xlfn.IFNA(VLOOKUP(INDIRECT("G"&amp;ROW()),minfo!$A:$M,COLUMN()-8,0),"")</f>
        <v>音乐榜最高NO.19</v>
      </c>
    </row>
    <row r="706" spans="1:21" ht="15.75" customHeight="1">
      <c r="A706" s="15">
        <v>705</v>
      </c>
      <c r="B706" s="4" t="s">
        <v>4286</v>
      </c>
      <c r="C706" s="4">
        <v>706</v>
      </c>
      <c r="D706" s="4">
        <v>116</v>
      </c>
      <c r="E706" s="4" t="s">
        <v>75</v>
      </c>
      <c r="F706" s="16">
        <v>45261</v>
      </c>
      <c r="G706" s="5" t="s">
        <v>1056</v>
      </c>
      <c r="H706" s="5" t="s">
        <v>4168</v>
      </c>
      <c r="I706" s="24" t="str">
        <f>HYPERLINK("https://www.bilibili.com/video/BV1ie411v7a2?p=116", "BV1ie411v7a2?p=116")</f>
        <v>BV1ie411v7a2?p=116</v>
      </c>
      <c r="J706" s="4" t="str">
        <f ca="1">_xlfn.IFNA(VLOOKUP(INDIRECT("G"&amp;ROW()),minfo!$A:$M,COLUMN()-8,0),"")</f>
        <v>布虎记</v>
      </c>
      <c r="K706" s="4" t="str">
        <f ca="1">_xlfn.IFNA(VLOOKUP(INDIRECT("G"&amp;ROW()),minfo!$A:$M,COLUMN()-8,0),"")</f>
        <v>洛天依,西门振</v>
      </c>
      <c r="L706" s="4">
        <f ca="1">_xlfn.IFNA(VLOOKUP(INDIRECT("G"&amp;ROW()),minfo!$A:$M,COLUMN()-8,0),"")</f>
        <v>0</v>
      </c>
      <c r="M706" s="4">
        <f ca="1">_xlfn.IFNA(VLOOKUP(INDIRECT("G"&amp;ROW()),minfo!$A:$M,COLUMN()-8,0),"")</f>
        <v>0</v>
      </c>
      <c r="N706" s="4">
        <f ca="1">_xlfn.IFNA(VLOOKUP(INDIRECT("G"&amp;ROW()),minfo!$A:$M,COLUMN()-8,0),"")</f>
        <v>0</v>
      </c>
      <c r="O706" s="4" t="str">
        <f ca="1">_xlfn.IFNA(VLOOKUP(INDIRECT("G"&amp;ROW()),minfo!$A:$M,COLUMN()-8,0),"")</f>
        <v>https://i0.hdslb.com/bfs/station_src/music_metadata/346f3d0245c598c7be9afcb1e6a727b4.jpg</v>
      </c>
      <c r="P706" s="4">
        <f ca="1">_xlfn.IFNA(VLOOKUP(INDIRECT("G"&amp;ROW()),minfo!$A:$M,COLUMN()-8,0),"")</f>
        <v>0</v>
      </c>
      <c r="Q706" s="4">
        <f ca="1">_xlfn.IFNA(VLOOKUP(INDIRECT("G"&amp;ROW()),minfo!$A:$M,COLUMN()-8,0),"")</f>
        <v>0</v>
      </c>
      <c r="R706" s="4">
        <f ca="1">_xlfn.IFNA(VLOOKUP(INDIRECT("G"&amp;ROW()),minfo!$A:$M,COLUMN()-8,0),"")</f>
        <v>0</v>
      </c>
      <c r="S706" s="4" t="str">
        <f ca="1">_xlfn.IFNA(VLOOKUP(INDIRECT("G"&amp;ROW()),minfo!$A:$M,COLUMN()-8,0),"")</f>
        <v>【2022虚拟歌手贺岁纪】布虎记</v>
      </c>
      <c r="T706" s="4">
        <f ca="1">_xlfn.IFNA(VLOOKUP(INDIRECT("G"&amp;ROW()),minfo!$A:$M,COLUMN()-8,0),"")</f>
        <v>1512793</v>
      </c>
      <c r="U706" s="4">
        <f ca="1">_xlfn.IFNA(VLOOKUP(INDIRECT("G"&amp;ROW()),minfo!$A:$M,COLUMN()-8,0),"")</f>
        <v>0</v>
      </c>
    </row>
    <row r="707" spans="1:21" ht="15.75" customHeight="1">
      <c r="A707" s="15">
        <v>706</v>
      </c>
      <c r="B707" s="4" t="s">
        <v>4287</v>
      </c>
      <c r="C707" s="4">
        <v>707</v>
      </c>
      <c r="D707" s="4">
        <v>117</v>
      </c>
      <c r="E707" s="4" t="s">
        <v>579</v>
      </c>
      <c r="F707" s="16">
        <v>45261</v>
      </c>
      <c r="G707" s="5" t="s">
        <v>578</v>
      </c>
      <c r="H707" s="5" t="s">
        <v>4168</v>
      </c>
      <c r="I707" s="24" t="str">
        <f>HYPERLINK("https://www.bilibili.com/video/BV1ie411v7a2?p=117", "BV1ie411v7a2?p=117")</f>
        <v>BV1ie411v7a2?p=117</v>
      </c>
      <c r="J707" s="4" t="str">
        <f ca="1">_xlfn.IFNA(VLOOKUP(INDIRECT("G"&amp;ROW()),minfo!$A:$M,COLUMN()-8,0),"")</f>
        <v>月光</v>
      </c>
      <c r="K707" s="4" t="str">
        <f ca="1">_xlfn.IFNA(VLOOKUP(INDIRECT("G"&amp;ROW()),minfo!$A:$M,COLUMN()-8,0),"")</f>
        <v>胡彦斌</v>
      </c>
      <c r="L707" s="4">
        <f ca="1">_xlfn.IFNA(VLOOKUP(INDIRECT("G"&amp;ROW()),minfo!$A:$M,COLUMN()-8,0),"")</f>
        <v>0</v>
      </c>
      <c r="M707" s="4">
        <f ca="1">_xlfn.IFNA(VLOOKUP(INDIRECT("G"&amp;ROW()),minfo!$A:$M,COLUMN()-8,0),"")</f>
        <v>0</v>
      </c>
      <c r="N707" s="4">
        <f ca="1">_xlfn.IFNA(VLOOKUP(INDIRECT("G"&amp;ROW()),minfo!$A:$M,COLUMN()-8,0),"")</f>
        <v>0</v>
      </c>
      <c r="O707" s="4" t="str">
        <f ca="1">_xlfn.IFNA(VLOOKUP(INDIRECT("G"&amp;ROW()),minfo!$A:$M,COLUMN()-8,0),"")</f>
        <v>https://i0.hdslb.com/bfs/station_src/music_metadata/7cc411366d037e788cb0589e4b72b353.jpg</v>
      </c>
      <c r="P707" s="4" t="str">
        <f ca="1">_xlfn.IFNA(VLOOKUP(INDIRECT("G"&amp;ROW()),minfo!$A:$M,COLUMN()-8,0),"")</f>
        <v>https://i0.hdslb.com/bfs/station_src/music_metadata/24b147c13fc9ffd4dfb30a3a88355255.txt</v>
      </c>
      <c r="Q707" s="4">
        <f ca="1">_xlfn.IFNA(VLOOKUP(INDIRECT("G"&amp;ROW()),minfo!$A:$M,COLUMN()-8,0),"")</f>
        <v>3207</v>
      </c>
      <c r="R707" s="4" t="str">
        <f ca="1">_xlfn.IFNA(VLOOKUP(INDIRECT("G"&amp;ROW()),minfo!$A:$M,COLUMN()-8,0),"")</f>
        <v>《秦时明月》动画主题曲|《秦时明月之君临天下》动画片头曲</v>
      </c>
      <c r="S707" s="4" t="str">
        <f ca="1">_xlfn.IFNA(VLOOKUP(INDIRECT("G"&amp;ROW()),minfo!$A:$M,COLUMN()-8,0),"")</f>
        <v>男人歌 (全胜铂金版)</v>
      </c>
      <c r="T707" s="4">
        <f ca="1">_xlfn.IFNA(VLOOKUP(INDIRECT("G"&amp;ROW()),minfo!$A:$M,COLUMN()-8,0),"")</f>
        <v>276993628</v>
      </c>
      <c r="U707" s="4">
        <f ca="1">_xlfn.IFNA(VLOOKUP(INDIRECT("G"&amp;ROW()),minfo!$A:$M,COLUMN()-8,0),"")</f>
        <v>0</v>
      </c>
    </row>
    <row r="708" spans="1:21" ht="15.75" customHeight="1">
      <c r="A708" s="15">
        <v>707</v>
      </c>
      <c r="B708" s="4" t="s">
        <v>4288</v>
      </c>
      <c r="C708" s="4">
        <v>708</v>
      </c>
      <c r="D708" s="4">
        <v>118</v>
      </c>
      <c r="E708" s="4" t="s">
        <v>1284</v>
      </c>
      <c r="F708" s="16">
        <v>45261</v>
      </c>
      <c r="G708" s="5" t="s">
        <v>1283</v>
      </c>
      <c r="H708" s="5" t="s">
        <v>4168</v>
      </c>
      <c r="I708" s="24" t="str">
        <f>HYPERLINK("https://www.bilibili.com/video/BV1ie411v7a2?p=118", "BV1ie411v7a2?p=118")</f>
        <v>BV1ie411v7a2?p=118</v>
      </c>
      <c r="J708" s="4" t="str">
        <f ca="1">_xlfn.IFNA(VLOOKUP(INDIRECT("G"&amp;ROW()),minfo!$A:$M,COLUMN()-8,0),"")</f>
        <v>醉赤壁</v>
      </c>
      <c r="K708" s="4" t="str">
        <f ca="1">_xlfn.IFNA(VLOOKUP(INDIRECT("G"&amp;ROW()),minfo!$A:$M,COLUMN()-8,0),"")</f>
        <v>林俊杰</v>
      </c>
      <c r="L708" s="4">
        <f ca="1">_xlfn.IFNA(VLOOKUP(INDIRECT("G"&amp;ROW()),minfo!$A:$M,COLUMN()-8,0),"")</f>
        <v>0</v>
      </c>
      <c r="M708" s="4">
        <f ca="1">_xlfn.IFNA(VLOOKUP(INDIRECT("G"&amp;ROW()),minfo!$A:$M,COLUMN()-8,0),"")</f>
        <v>0</v>
      </c>
      <c r="N708" s="4">
        <f ca="1">_xlfn.IFNA(VLOOKUP(INDIRECT("G"&amp;ROW()),minfo!$A:$M,COLUMN()-8,0),"")</f>
        <v>0</v>
      </c>
      <c r="O708" s="4" t="str">
        <f ca="1">_xlfn.IFNA(VLOOKUP(INDIRECT("G"&amp;ROW()),minfo!$A:$M,COLUMN()-8,0),"")</f>
        <v>https://i0.hdslb.com/bfs/station_src/music_metadata/7fba77ac6c1e2b9c4ee3c5edfb8fb4fe.jpg</v>
      </c>
      <c r="P708" s="4" t="str">
        <f ca="1">_xlfn.IFNA(VLOOKUP(INDIRECT("G"&amp;ROW()),minfo!$A:$M,COLUMN()-8,0),"")</f>
        <v>https://i0.hdslb.com/bfs/station_src/music_metadata/f6d8d115284de5ecdf96d995274c5783.txt</v>
      </c>
      <c r="Q708" s="4">
        <f ca="1">_xlfn.IFNA(VLOOKUP(INDIRECT("G"&amp;ROW()),minfo!$A:$M,COLUMN()-8,0),"")</f>
        <v>240</v>
      </c>
      <c r="R708" s="4">
        <f ca="1">_xlfn.IFNA(VLOOKUP(INDIRECT("G"&amp;ROW()),minfo!$A:$M,COLUMN()-8,0),"")</f>
        <v>0</v>
      </c>
      <c r="S708" s="4" t="str">
        <f ca="1">_xlfn.IFNA(VLOOKUP(INDIRECT("G"&amp;ROW()),minfo!$A:$M,COLUMN()-8,0),"")</f>
        <v>JJ陆</v>
      </c>
      <c r="T708" s="4">
        <f ca="1">_xlfn.IFNA(VLOOKUP(INDIRECT("G"&amp;ROW()),minfo!$A:$M,COLUMN()-8,0),"")</f>
        <v>177898408</v>
      </c>
      <c r="U708" s="4">
        <f ca="1">_xlfn.IFNA(VLOOKUP(INDIRECT("G"&amp;ROW()),minfo!$A:$M,COLUMN()-8,0),"")</f>
        <v>0</v>
      </c>
    </row>
    <row r="709" spans="1:21" ht="15.75" customHeight="1">
      <c r="A709" s="15">
        <v>708</v>
      </c>
      <c r="B709" s="4" t="s">
        <v>4289</v>
      </c>
      <c r="C709" s="4">
        <v>709</v>
      </c>
      <c r="D709" s="4">
        <v>119</v>
      </c>
      <c r="E709" s="4" t="s">
        <v>4290</v>
      </c>
      <c r="F709" s="16">
        <v>45261</v>
      </c>
      <c r="G709" s="5" t="s">
        <v>1047</v>
      </c>
      <c r="H709" s="5" t="s">
        <v>4168</v>
      </c>
      <c r="I709" s="24" t="str">
        <f>HYPERLINK("https://www.bilibili.com/video/BV1ie411v7a2?p=119", "BV1ie411v7a2?p=119")</f>
        <v>BV1ie411v7a2?p=119</v>
      </c>
      <c r="J709" s="4" t="str">
        <f ca="1">_xlfn.IFNA(VLOOKUP(INDIRECT("G"&amp;ROW()),minfo!$A:$M,COLUMN()-8,0),"")</f>
        <v>雨下一整晚</v>
      </c>
      <c r="K709" s="4" t="str">
        <f ca="1">_xlfn.IFNA(VLOOKUP(INDIRECT("G"&amp;ROW()),minfo!$A:$M,COLUMN()-8,0),"")</f>
        <v>周杰伦</v>
      </c>
      <c r="L709" s="4">
        <f ca="1">_xlfn.IFNA(VLOOKUP(INDIRECT("G"&amp;ROW()),minfo!$A:$M,COLUMN()-8,0),"")</f>
        <v>0</v>
      </c>
      <c r="M709" s="4">
        <f ca="1">_xlfn.IFNA(VLOOKUP(INDIRECT("G"&amp;ROW()),minfo!$A:$M,COLUMN()-8,0),"")</f>
        <v>0</v>
      </c>
      <c r="N709" s="4">
        <f ca="1">_xlfn.IFNA(VLOOKUP(INDIRECT("G"&amp;ROW()),minfo!$A:$M,COLUMN()-8,0),"")</f>
        <v>0</v>
      </c>
      <c r="O709" s="4" t="str">
        <f ca="1">_xlfn.IFNA(VLOOKUP(INDIRECT("G"&amp;ROW()),minfo!$A:$M,COLUMN()-8,0),"")</f>
        <v>https://i0.hdslb.com/bfs/station_src/music_metadata/740bcd3058e7aa98df27f1f0a32b0f4b.jpg</v>
      </c>
      <c r="P709" s="4" t="str">
        <f ca="1">_xlfn.IFNA(VLOOKUP(INDIRECT("G"&amp;ROW()),minfo!$A:$M,COLUMN()-8,0),"")</f>
        <v>copyright-crawler/music/task-lyric/654daafbfad724c0d03b496f.txt</v>
      </c>
      <c r="Q709" s="4">
        <f ca="1">_xlfn.IFNA(VLOOKUP(INDIRECT("G"&amp;ROW()),minfo!$A:$M,COLUMN()-8,0),"")</f>
        <v>2220</v>
      </c>
      <c r="R709" s="4" t="str">
        <f ca="1">_xlfn.IFNA(VLOOKUP(INDIRECT("G"&amp;ROW()),minfo!$A:$M,COLUMN()-8,0),"")</f>
        <v>雨下一整晚</v>
      </c>
      <c r="S709" s="4" t="str">
        <f ca="1">_xlfn.IFNA(VLOOKUP(INDIRECT("G"&amp;ROW()),minfo!$A:$M,COLUMN()-8,0),"")</f>
        <v>跨时代</v>
      </c>
      <c r="T709" s="4">
        <f ca="1">_xlfn.IFNA(VLOOKUP(INDIRECT("G"&amp;ROW()),minfo!$A:$M,COLUMN()-8,0),"")</f>
        <v>288931916</v>
      </c>
      <c r="U709" s="4">
        <f ca="1">_xlfn.IFNA(VLOOKUP(INDIRECT("G"&amp;ROW()),minfo!$A:$M,COLUMN()-8,0),"")</f>
        <v>0</v>
      </c>
    </row>
    <row r="710" spans="1:21" ht="15.75" customHeight="1">
      <c r="A710" s="15">
        <v>709</v>
      </c>
      <c r="B710" s="4" t="s">
        <v>4291</v>
      </c>
      <c r="C710" s="4">
        <v>710</v>
      </c>
      <c r="D710" s="4">
        <v>120</v>
      </c>
      <c r="E710" s="4" t="s">
        <v>1326</v>
      </c>
      <c r="F710" s="16">
        <v>45261</v>
      </c>
      <c r="G710" s="5" t="s">
        <v>1325</v>
      </c>
      <c r="H710" s="5" t="s">
        <v>4168</v>
      </c>
      <c r="I710" s="24" t="str">
        <f>HYPERLINK("https://www.bilibili.com/video/BV1ie411v7a2?p=120", "BV1ie411v7a2?p=120")</f>
        <v>BV1ie411v7a2?p=120</v>
      </c>
      <c r="J710" s="4" t="str">
        <f ca="1">_xlfn.IFNA(VLOOKUP(INDIRECT("G"&amp;ROW()),minfo!$A:$M,COLUMN()-8,0),"")</f>
        <v>东风破</v>
      </c>
      <c r="K710" s="4" t="str">
        <f ca="1">_xlfn.IFNA(VLOOKUP(INDIRECT("G"&amp;ROW()),minfo!$A:$M,COLUMN()-8,0),"")</f>
        <v>周杰伦</v>
      </c>
      <c r="L710" s="4">
        <f ca="1">_xlfn.IFNA(VLOOKUP(INDIRECT("G"&amp;ROW()),minfo!$A:$M,COLUMN()-8,0),"")</f>
        <v>0</v>
      </c>
      <c r="M710" s="4">
        <f ca="1">_xlfn.IFNA(VLOOKUP(INDIRECT("G"&amp;ROW()),minfo!$A:$M,COLUMN()-8,0),"")</f>
        <v>0</v>
      </c>
      <c r="N710" s="4">
        <f ca="1">_xlfn.IFNA(VLOOKUP(INDIRECT("G"&amp;ROW()),minfo!$A:$M,COLUMN()-8,0),"")</f>
        <v>0</v>
      </c>
      <c r="O710" s="4" t="str">
        <f ca="1">_xlfn.IFNA(VLOOKUP(INDIRECT("G"&amp;ROW()),minfo!$A:$M,COLUMN()-8,0),"")</f>
        <v>https://i0.hdslb.com/bfs/station_src/music_metadata/8480d5b9cca7b1a7e5af2101531478e9.jpg</v>
      </c>
      <c r="P710" s="4" t="str">
        <f ca="1">_xlfn.IFNA(VLOOKUP(INDIRECT("G"&amp;ROW()),minfo!$A:$M,COLUMN()-8,0),"")</f>
        <v>copyright-crawler/music/task-lyric/650e6317fad724c0d0113e31.txt</v>
      </c>
      <c r="Q710" s="4">
        <f ca="1">_xlfn.IFNA(VLOOKUP(INDIRECT("G"&amp;ROW()),minfo!$A:$M,COLUMN()-8,0),"")</f>
        <v>1661</v>
      </c>
      <c r="R710" s="4" t="str">
        <f ca="1">_xlfn.IFNA(VLOOKUP(INDIRECT("G"&amp;ROW()),minfo!$A:$M,COLUMN()-8,0),"")</f>
        <v>东风破</v>
      </c>
      <c r="S710" s="4" t="str">
        <f ca="1">_xlfn.IFNA(VLOOKUP(INDIRECT("G"&amp;ROW()),minfo!$A:$M,COLUMN()-8,0),"")</f>
        <v>叶惠美</v>
      </c>
      <c r="T710" s="4">
        <f ca="1">_xlfn.IFNA(VLOOKUP(INDIRECT("G"&amp;ROW()),minfo!$A:$M,COLUMN()-8,0),"")</f>
        <v>406111219</v>
      </c>
      <c r="U710" s="4">
        <f ca="1">_xlfn.IFNA(VLOOKUP(INDIRECT("G"&amp;ROW()),minfo!$A:$M,COLUMN()-8,0),"")</f>
        <v>0</v>
      </c>
    </row>
    <row r="711" spans="1:21" ht="15.75" customHeight="1">
      <c r="A711" s="15">
        <v>710</v>
      </c>
      <c r="B711" s="4" t="s">
        <v>4292</v>
      </c>
      <c r="C711" s="4">
        <v>711</v>
      </c>
      <c r="D711" s="4">
        <v>121</v>
      </c>
      <c r="E711" s="4" t="s">
        <v>3059</v>
      </c>
      <c r="F711" s="16">
        <v>45262</v>
      </c>
      <c r="G711" s="5" t="s">
        <v>3058</v>
      </c>
      <c r="H711" s="5" t="s">
        <v>4168</v>
      </c>
      <c r="I711" s="24" t="str">
        <f>HYPERLINK("https://www.bilibili.com/video/BV1ie411v7a2?p=121", "BV1ie411v7a2?p=121")</f>
        <v>BV1ie411v7a2?p=121</v>
      </c>
      <c r="J711" s="4" t="str">
        <f ca="1">_xlfn.IFNA(VLOOKUP(INDIRECT("G"&amp;ROW()),minfo!$A:$M,COLUMN()-8,0),"")</f>
        <v>沙滩</v>
      </c>
      <c r="K711" s="4" t="str">
        <f ca="1">_xlfn.IFNA(VLOOKUP(INDIRECT("G"&amp;ROW()),minfo!$A:$M,COLUMN()-8,0),"")</f>
        <v>陶喆</v>
      </c>
      <c r="L711" s="4">
        <f ca="1">_xlfn.IFNA(VLOOKUP(INDIRECT("G"&amp;ROW()),minfo!$A:$M,COLUMN()-8,0),"")</f>
        <v>0</v>
      </c>
      <c r="M711" s="4">
        <f ca="1">_xlfn.IFNA(VLOOKUP(INDIRECT("G"&amp;ROW()),minfo!$A:$M,COLUMN()-8,0),"")</f>
        <v>0</v>
      </c>
      <c r="N711" s="4">
        <f ca="1">_xlfn.IFNA(VLOOKUP(INDIRECT("G"&amp;ROW()),minfo!$A:$M,COLUMN()-8,0),"")</f>
        <v>0</v>
      </c>
      <c r="O711" s="4" t="str">
        <f ca="1">_xlfn.IFNA(VLOOKUP(INDIRECT("G"&amp;ROW()),minfo!$A:$M,COLUMN()-8,0),"")</f>
        <v>https://i0.hdslb.com/bfs/station_src/music_metadata/440274ee1a80226c82a45d51431b9c27.jpg</v>
      </c>
      <c r="P711" s="4" t="str">
        <f ca="1">_xlfn.IFNA(VLOOKUP(INDIRECT("G"&amp;ROW()),minfo!$A:$M,COLUMN()-8,0),"")</f>
        <v>http://i0.hdslb.com/bfs/station_src/music_metadata/80071fead604c315d08e5a67145c0351</v>
      </c>
      <c r="Q711" s="4">
        <f ca="1">_xlfn.IFNA(VLOOKUP(INDIRECT("G"&amp;ROW()),minfo!$A:$M,COLUMN()-8,0),"")</f>
        <v>190</v>
      </c>
      <c r="R711" s="4">
        <f ca="1">_xlfn.IFNA(VLOOKUP(INDIRECT("G"&amp;ROW()),minfo!$A:$M,COLUMN()-8,0),"")</f>
        <v>0</v>
      </c>
      <c r="S711" s="4" t="str">
        <f ca="1">_xlfn.IFNA(VLOOKUP(INDIRECT("G"&amp;ROW()),minfo!$A:$M,COLUMN()-8,0),"")</f>
        <v>陶喆同名专辑</v>
      </c>
      <c r="T711" s="4">
        <f ca="1">_xlfn.IFNA(VLOOKUP(INDIRECT("G"&amp;ROW()),minfo!$A:$M,COLUMN()-8,0),"")</f>
        <v>25846315</v>
      </c>
      <c r="U711" s="4">
        <f ca="1">_xlfn.IFNA(VLOOKUP(INDIRECT("G"&amp;ROW()),minfo!$A:$M,COLUMN()-8,0),"")</f>
        <v>0</v>
      </c>
    </row>
    <row r="712" spans="1:21" ht="15.75" customHeight="1">
      <c r="A712" s="15">
        <v>711</v>
      </c>
      <c r="B712" s="4" t="s">
        <v>4293</v>
      </c>
      <c r="C712" s="4">
        <v>712</v>
      </c>
      <c r="D712" s="4">
        <v>122</v>
      </c>
      <c r="E712" s="4" t="s">
        <v>4294</v>
      </c>
      <c r="F712" s="16">
        <v>45262</v>
      </c>
      <c r="G712" s="5" t="s">
        <v>1631</v>
      </c>
      <c r="H712" s="5" t="s">
        <v>4168</v>
      </c>
      <c r="I712" s="24" t="str">
        <f>HYPERLINK("https://www.bilibili.com/video/BV1ie411v7a2?p=122", "BV1ie411v7a2?p=122")</f>
        <v>BV1ie411v7a2?p=122</v>
      </c>
      <c r="J712" s="4" t="str">
        <f ca="1">_xlfn.IFNA(VLOOKUP(INDIRECT("G"&amp;ROW()),minfo!$A:$M,COLUMN()-8,0),"")</f>
        <v>Forever Young</v>
      </c>
      <c r="K712" s="4" t="str">
        <f ca="1">_xlfn.IFNA(VLOOKUP(INDIRECT("G"&amp;ROW()),minfo!$A:$M,COLUMN()-8,0),"")</f>
        <v>艾怡良</v>
      </c>
      <c r="L712" s="4">
        <f ca="1">_xlfn.IFNA(VLOOKUP(INDIRECT("G"&amp;ROW()),minfo!$A:$M,COLUMN()-8,0),"")</f>
        <v>0</v>
      </c>
      <c r="M712" s="4">
        <f ca="1">_xlfn.IFNA(VLOOKUP(INDIRECT("G"&amp;ROW()),minfo!$A:$M,COLUMN()-8,0),"")</f>
        <v>1121</v>
      </c>
      <c r="N712" s="4">
        <f ca="1">_xlfn.IFNA(VLOOKUP(INDIRECT("G"&amp;ROW()),minfo!$A:$M,COLUMN()-8,0),"")</f>
        <v>108</v>
      </c>
      <c r="O712" s="4" t="str">
        <f ca="1">_xlfn.IFNA(VLOOKUP(INDIRECT("G"&amp;ROW()),minfo!$A:$M,COLUMN()-8,0),"")</f>
        <v>https://i0.hdslb.com/bfs/station_src/music_metadata/dbe0a5c483acdf75be3b3411a94a3f6e.jpg</v>
      </c>
      <c r="P712" s="4" t="str">
        <f ca="1">_xlfn.IFNA(VLOOKUP(INDIRECT("G"&amp;ROW()),minfo!$A:$M,COLUMN()-8,0),"")</f>
        <v>https://i0.hdslb.com/bfs/station_src/music_metadata/0eecea8bad0d6a372d617485427bcadb.txt</v>
      </c>
      <c r="Q712" s="4">
        <f ca="1">_xlfn.IFNA(VLOOKUP(INDIRECT("G"&amp;ROW()),minfo!$A:$M,COLUMN()-8,0),"")</f>
        <v>243</v>
      </c>
      <c r="R712" s="4">
        <f ca="1">_xlfn.IFNA(VLOOKUP(INDIRECT("G"&amp;ROW()),minfo!$A:$M,COLUMN()-8,0),"")</f>
        <v>0</v>
      </c>
      <c r="S712" s="4" t="str">
        <f ca="1">_xlfn.IFNA(VLOOKUP(INDIRECT("G"&amp;ROW()),minfo!$A:$M,COLUMN()-8,0),"")</f>
        <v>Forever Young</v>
      </c>
      <c r="T712" s="4">
        <f ca="1">_xlfn.IFNA(VLOOKUP(INDIRECT("G"&amp;ROW()),minfo!$A:$M,COLUMN()-8,0),"")</f>
        <v>21666407</v>
      </c>
      <c r="U712" s="4">
        <f ca="1">_xlfn.IFNA(VLOOKUP(INDIRECT("G"&amp;ROW()),minfo!$A:$M,COLUMN()-8,0),"")</f>
        <v>0</v>
      </c>
    </row>
    <row r="713" spans="1:21" ht="15.75" customHeight="1">
      <c r="A713" s="15">
        <v>712</v>
      </c>
      <c r="B713" s="4" t="s">
        <v>4295</v>
      </c>
      <c r="C713" s="4">
        <v>713</v>
      </c>
      <c r="D713" s="4">
        <v>123</v>
      </c>
      <c r="E713" s="4" t="s">
        <v>1787</v>
      </c>
      <c r="F713" s="16">
        <v>45265</v>
      </c>
      <c r="G713" s="5" t="s">
        <v>1786</v>
      </c>
      <c r="H713" s="5" t="s">
        <v>4168</v>
      </c>
      <c r="I713" s="24" t="str">
        <f>HYPERLINK("https://www.bilibili.com/video/BV1ie411v7a2?p=123", "BV1ie411v7a2?p=123")</f>
        <v>BV1ie411v7a2?p=123</v>
      </c>
      <c r="J713" s="4" t="str">
        <f ca="1">_xlfn.IFNA(VLOOKUP(INDIRECT("G"&amp;ROW()),minfo!$A:$M,COLUMN()-8,0),"")</f>
        <v>种太阳</v>
      </c>
      <c r="K713" s="4" t="str">
        <f ca="1">_xlfn.IFNA(VLOOKUP(INDIRECT("G"&amp;ROW()),minfo!$A:$M,COLUMN()-8,0),"")</f>
        <v>新月合唱团,章中锦</v>
      </c>
      <c r="L713" s="4">
        <f ca="1">_xlfn.IFNA(VLOOKUP(INDIRECT("G"&amp;ROW()),minfo!$A:$M,COLUMN()-8,0),"")</f>
        <v>0</v>
      </c>
      <c r="M713" s="4">
        <f ca="1">_xlfn.IFNA(VLOOKUP(INDIRECT("G"&amp;ROW()),minfo!$A:$M,COLUMN()-8,0),"")</f>
        <v>0</v>
      </c>
      <c r="N713" s="4">
        <f ca="1">_xlfn.IFNA(VLOOKUP(INDIRECT("G"&amp;ROW()),minfo!$A:$M,COLUMN()-8,0),"")</f>
        <v>0</v>
      </c>
      <c r="O713" s="4" t="str">
        <f ca="1">_xlfn.IFNA(VLOOKUP(INDIRECT("G"&amp;ROW()),minfo!$A:$M,COLUMN()-8,0),"")</f>
        <v>https://i0.hdslb.com/bfs/station_src/music_metadata/83d8b86ec4a84453382c0f6ceabc572c.jpg</v>
      </c>
      <c r="P713" s="4" t="str">
        <f ca="1">_xlfn.IFNA(VLOOKUP(INDIRECT("G"&amp;ROW()),minfo!$A:$M,COLUMN()-8,0),"")</f>
        <v>https://i0.hdslb.com/bfs/station_src/music_metadata/a42ee355d3b65a7e63cf6d26431499d7.txt</v>
      </c>
      <c r="Q713" s="4">
        <f ca="1">_xlfn.IFNA(VLOOKUP(INDIRECT("G"&amp;ROW()),minfo!$A:$M,COLUMN()-8,0),"")</f>
        <v>122</v>
      </c>
      <c r="R713" s="4">
        <f ca="1">_xlfn.IFNA(VLOOKUP(INDIRECT("G"&amp;ROW()),minfo!$A:$M,COLUMN()-8,0),"")</f>
        <v>0</v>
      </c>
      <c r="S713" s="4" t="str">
        <f ca="1">_xlfn.IFNA(VLOOKUP(INDIRECT("G"&amp;ROW()),minfo!$A:$M,COLUMN()-8,0),"")</f>
        <v>中国最爱儿歌经典一</v>
      </c>
      <c r="T713" s="4">
        <f ca="1">_xlfn.IFNA(VLOOKUP(INDIRECT("G"&amp;ROW()),minfo!$A:$M,COLUMN()-8,0),"")</f>
        <v>69445700</v>
      </c>
      <c r="U713" s="4">
        <f ca="1">_xlfn.IFNA(VLOOKUP(INDIRECT("G"&amp;ROW()),minfo!$A:$M,COLUMN()-8,0),"")</f>
        <v>0</v>
      </c>
    </row>
    <row r="714" spans="1:21" ht="15.75" customHeight="1">
      <c r="A714" s="15">
        <v>713</v>
      </c>
      <c r="B714" s="4" t="s">
        <v>4296</v>
      </c>
      <c r="C714" s="4">
        <v>714</v>
      </c>
      <c r="D714" s="4">
        <v>124</v>
      </c>
      <c r="E714" s="4" t="s">
        <v>1419</v>
      </c>
      <c r="F714" s="16">
        <v>45265</v>
      </c>
      <c r="G714" s="5" t="s">
        <v>1418</v>
      </c>
      <c r="H714" s="5" t="s">
        <v>4168</v>
      </c>
      <c r="I714" s="24" t="str">
        <f>HYPERLINK("https://www.bilibili.com/video/BV1ie411v7a2?p=124", "BV1ie411v7a2?p=124")</f>
        <v>BV1ie411v7a2?p=124</v>
      </c>
      <c r="J714" s="4" t="str">
        <f ca="1">_xlfn.IFNA(VLOOKUP(INDIRECT("G"&amp;ROW()),minfo!$A:$M,COLUMN()-8,0),"")</f>
        <v>普通朋友</v>
      </c>
      <c r="K714" s="4" t="str">
        <f ca="1">_xlfn.IFNA(VLOOKUP(INDIRECT("G"&amp;ROW()),minfo!$A:$M,COLUMN()-8,0),"")</f>
        <v>娃娃,陶喆</v>
      </c>
      <c r="L714" s="4">
        <f ca="1">_xlfn.IFNA(VLOOKUP(INDIRECT("G"&amp;ROW()),minfo!$A:$M,COLUMN()-8,0),"")</f>
        <v>0</v>
      </c>
      <c r="M714" s="4">
        <f ca="1">_xlfn.IFNA(VLOOKUP(INDIRECT("G"&amp;ROW()),minfo!$A:$M,COLUMN()-8,0),"")</f>
        <v>0</v>
      </c>
      <c r="N714" s="4">
        <f ca="1">_xlfn.IFNA(VLOOKUP(INDIRECT("G"&amp;ROW()),minfo!$A:$M,COLUMN()-8,0),"")</f>
        <v>0</v>
      </c>
      <c r="O714" s="4" t="str">
        <f ca="1">_xlfn.IFNA(VLOOKUP(INDIRECT("G"&amp;ROW()),minfo!$A:$M,COLUMN()-8,0),"")</f>
        <v>http://i0.hdslb.com/bfs/station_src/music_metadata/b4de12b50832ba1f1ca69812232e19ce.jpg</v>
      </c>
      <c r="P714" s="4">
        <f ca="1">_xlfn.IFNA(VLOOKUP(INDIRECT("G"&amp;ROW()),minfo!$A:$M,COLUMN()-8,0),"")</f>
        <v>0</v>
      </c>
      <c r="Q714" s="4">
        <f ca="1">_xlfn.IFNA(VLOOKUP(INDIRECT("G"&amp;ROW()),minfo!$A:$M,COLUMN()-8,0),"")</f>
        <v>828</v>
      </c>
      <c r="R714" s="4">
        <f ca="1">_xlfn.IFNA(VLOOKUP(INDIRECT("G"&amp;ROW()),minfo!$A:$M,COLUMN()-8,0),"")</f>
        <v>0</v>
      </c>
      <c r="S714" s="4" t="str">
        <f ca="1">_xlfn.IFNA(VLOOKUP(INDIRECT("G"&amp;ROW()),minfo!$A:$M,COLUMN()-8,0),"")</f>
        <v>I'm OK</v>
      </c>
      <c r="T714" s="4">
        <f ca="1">_xlfn.IFNA(VLOOKUP(INDIRECT("G"&amp;ROW()),minfo!$A:$M,COLUMN()-8,0),"")</f>
        <v>137417227</v>
      </c>
      <c r="U714" s="4">
        <f ca="1">_xlfn.IFNA(VLOOKUP(INDIRECT("G"&amp;ROW()),minfo!$A:$M,COLUMN()-8,0),"")</f>
        <v>0</v>
      </c>
    </row>
    <row r="715" spans="1:21" ht="15.75" customHeight="1">
      <c r="A715" s="15">
        <v>714</v>
      </c>
      <c r="B715" s="4" t="s">
        <v>4297</v>
      </c>
      <c r="C715" s="4">
        <v>715</v>
      </c>
      <c r="D715" s="4">
        <v>125</v>
      </c>
      <c r="E715" s="4" t="s">
        <v>244</v>
      </c>
      <c r="F715" s="16">
        <v>45265</v>
      </c>
      <c r="G715" s="5" t="s">
        <v>243</v>
      </c>
      <c r="H715" s="5" t="s">
        <v>4168</v>
      </c>
      <c r="I715" s="24" t="str">
        <f>HYPERLINK("https://www.bilibili.com/video/BV1ie411v7a2?p=125", "BV1ie411v7a2?p=125")</f>
        <v>BV1ie411v7a2?p=125</v>
      </c>
      <c r="J715" s="4" t="str">
        <f ca="1">_xlfn.IFNA(VLOOKUP(INDIRECT("G"&amp;ROW()),minfo!$A:$M,COLUMN()-8,0),"")</f>
        <v>天若有情</v>
      </c>
      <c r="K715" s="4" t="str">
        <f ca="1">_xlfn.IFNA(VLOOKUP(INDIRECT("G"&amp;ROW()),minfo!$A:$M,COLUMN()-8,0),"")</f>
        <v>A-Lin</v>
      </c>
      <c r="L715" s="4">
        <f ca="1">_xlfn.IFNA(VLOOKUP(INDIRECT("G"&amp;ROW()),minfo!$A:$M,COLUMN()-8,0),"")</f>
        <v>0</v>
      </c>
      <c r="M715" s="4">
        <f ca="1">_xlfn.IFNA(VLOOKUP(INDIRECT("G"&amp;ROW()),minfo!$A:$M,COLUMN()-8,0),"")</f>
        <v>0</v>
      </c>
      <c r="N715" s="4">
        <f ca="1">_xlfn.IFNA(VLOOKUP(INDIRECT("G"&amp;ROW()),minfo!$A:$M,COLUMN()-8,0),"")</f>
        <v>0</v>
      </c>
      <c r="O715" s="4" t="str">
        <f ca="1">_xlfn.IFNA(VLOOKUP(INDIRECT("G"&amp;ROW()),minfo!$A:$M,COLUMN()-8,0),"")</f>
        <v>https://i0.hdslb.com/bfs/station_src/music_metadata/d7077aac44142c14752bf54adb6735dd.jpg</v>
      </c>
      <c r="P715" s="4" t="str">
        <f ca="1">_xlfn.IFNA(VLOOKUP(INDIRECT("G"&amp;ROW()),minfo!$A:$M,COLUMN()-8,0),"")</f>
        <v>http://i0.hdslb.com/bfs/station_src/music_metadata/d430629d07fd668a47cf98e2c77345f8</v>
      </c>
      <c r="Q715" s="4">
        <f ca="1">_xlfn.IFNA(VLOOKUP(INDIRECT("G"&amp;ROW()),minfo!$A:$M,COLUMN()-8,0),"")</f>
        <v>4856</v>
      </c>
      <c r="R715" s="4" t="str">
        <f ca="1">_xlfn.IFNA(VLOOKUP(INDIRECT("G"&amp;ROW()),minfo!$A:$M,COLUMN()-8,0),"")</f>
        <v>《锦绣未央》电视剧主题曲</v>
      </c>
      <c r="S715" s="4" t="str">
        <f ca="1">_xlfn.IFNA(VLOOKUP(INDIRECT("G"&amp;ROW()),minfo!$A:$M,COLUMN()-8,0),"")</f>
        <v>天若有情</v>
      </c>
      <c r="T715" s="4">
        <f ca="1">_xlfn.IFNA(VLOOKUP(INDIRECT("G"&amp;ROW()),minfo!$A:$M,COLUMN()-8,0),"")</f>
        <v>508621070</v>
      </c>
      <c r="U715" s="4">
        <f ca="1">_xlfn.IFNA(VLOOKUP(INDIRECT("G"&amp;ROW()),minfo!$A:$M,COLUMN()-8,0),"")</f>
        <v>0</v>
      </c>
    </row>
    <row r="716" spans="1:21" ht="15.75" customHeight="1">
      <c r="A716" s="15">
        <v>715</v>
      </c>
      <c r="B716" s="4" t="s">
        <v>4298</v>
      </c>
      <c r="C716" s="4">
        <v>716</v>
      </c>
      <c r="D716" s="4">
        <v>126</v>
      </c>
      <c r="E716" s="4" t="s">
        <v>137</v>
      </c>
      <c r="F716" s="16">
        <v>45265</v>
      </c>
      <c r="G716" s="5" t="s">
        <v>137</v>
      </c>
      <c r="H716" s="5" t="s">
        <v>4168</v>
      </c>
      <c r="I716" s="24" t="str">
        <f>HYPERLINK("https://www.bilibili.com/video/BV1ie411v7a2?p=126", "BV1ie411v7a2?p=126")</f>
        <v>BV1ie411v7a2?p=126</v>
      </c>
      <c r="J716" s="4" t="str">
        <f ca="1">_xlfn.IFNA(VLOOKUP(INDIRECT("G"&amp;ROW()),minfo!$A:$M,COLUMN()-8,0),"")</f>
        <v>光束</v>
      </c>
      <c r="K716" s="4" t="str">
        <f ca="1">_xlfn.IFNA(VLOOKUP(INDIRECT("G"&amp;ROW()),minfo!$A:$M,COLUMN()-8,0),"")</f>
        <v>郁可唯,常石磊</v>
      </c>
      <c r="L716" s="4">
        <f ca="1">_xlfn.IFNA(VLOOKUP(INDIRECT("G"&amp;ROW()),minfo!$A:$M,COLUMN()-8,0),"")</f>
        <v>0</v>
      </c>
      <c r="M716" s="4">
        <f ca="1">_xlfn.IFNA(VLOOKUP(INDIRECT("G"&amp;ROW()),minfo!$A:$M,COLUMN()-8,0),"")</f>
        <v>0</v>
      </c>
      <c r="N716" s="4">
        <f ca="1">_xlfn.IFNA(VLOOKUP(INDIRECT("G"&amp;ROW()),minfo!$A:$M,COLUMN()-8,0),"")</f>
        <v>0</v>
      </c>
      <c r="O716" s="4">
        <f ca="1">_xlfn.IFNA(VLOOKUP(INDIRECT("G"&amp;ROW()),minfo!$A:$M,COLUMN()-8,0),"")</f>
        <v>0</v>
      </c>
      <c r="P716" s="4">
        <f ca="1">_xlfn.IFNA(VLOOKUP(INDIRECT("G"&amp;ROW()),minfo!$A:$M,COLUMN()-8,0),"")</f>
        <v>0</v>
      </c>
      <c r="Q716" s="4">
        <f ca="1">_xlfn.IFNA(VLOOKUP(INDIRECT("G"&amp;ROW()),minfo!$A:$M,COLUMN()-8,0),"")</f>
        <v>0</v>
      </c>
      <c r="R716" s="4">
        <f ca="1">_xlfn.IFNA(VLOOKUP(INDIRECT("G"&amp;ROW()),minfo!$A:$M,COLUMN()-8,0),"")</f>
        <v>0</v>
      </c>
      <c r="S716" s="4">
        <f ca="1">_xlfn.IFNA(VLOOKUP(INDIRECT("G"&amp;ROW()),minfo!$A:$M,COLUMN()-8,0),"")</f>
        <v>0</v>
      </c>
      <c r="T716" s="4">
        <f ca="1">_xlfn.IFNA(VLOOKUP(INDIRECT("G"&amp;ROW()),minfo!$A:$M,COLUMN()-8,0),"")</f>
        <v>0</v>
      </c>
      <c r="U716" s="4">
        <f ca="1">_xlfn.IFNA(VLOOKUP(INDIRECT("G"&amp;ROW()),minfo!$A:$M,COLUMN()-8,0),"")</f>
        <v>0</v>
      </c>
    </row>
    <row r="717" spans="1:21" ht="15.75" customHeight="1">
      <c r="A717" s="15">
        <v>716</v>
      </c>
      <c r="B717" s="4" t="s">
        <v>4299</v>
      </c>
      <c r="C717" s="4">
        <v>717</v>
      </c>
      <c r="D717" s="4">
        <v>127</v>
      </c>
      <c r="E717" s="4" t="s">
        <v>1499</v>
      </c>
      <c r="F717" s="16">
        <v>45265</v>
      </c>
      <c r="G717" s="5" t="s">
        <v>1498</v>
      </c>
      <c r="H717" s="5" t="s">
        <v>4168</v>
      </c>
      <c r="I717" s="24" t="str">
        <f>HYPERLINK("https://www.bilibili.com/video/BV1ie411v7a2?p=127", "BV1ie411v7a2?p=127")</f>
        <v>BV1ie411v7a2?p=127</v>
      </c>
      <c r="J717" s="4" t="str">
        <f ca="1">_xlfn.IFNA(VLOOKUP(INDIRECT("G"&amp;ROW()),minfo!$A:$M,COLUMN()-8,0),"")</f>
        <v>想自由</v>
      </c>
      <c r="K717" s="4" t="str">
        <f ca="1">_xlfn.IFNA(VLOOKUP(INDIRECT("G"&amp;ROW()),minfo!$A:$M,COLUMN()-8,0),"")</f>
        <v>林宥嘉</v>
      </c>
      <c r="L717" s="4">
        <f ca="1">_xlfn.IFNA(VLOOKUP(INDIRECT("G"&amp;ROW()),minfo!$A:$M,COLUMN()-8,0),"")</f>
        <v>0</v>
      </c>
      <c r="M717" s="4">
        <f ca="1">_xlfn.IFNA(VLOOKUP(INDIRECT("G"&amp;ROW()),minfo!$A:$M,COLUMN()-8,0),"")</f>
        <v>0</v>
      </c>
      <c r="N717" s="4">
        <f ca="1">_xlfn.IFNA(VLOOKUP(INDIRECT("G"&amp;ROW()),minfo!$A:$M,COLUMN()-8,0),"")</f>
        <v>0</v>
      </c>
      <c r="O717" s="4" t="str">
        <f ca="1">_xlfn.IFNA(VLOOKUP(INDIRECT("G"&amp;ROW()),minfo!$A:$M,COLUMN()-8,0),"")</f>
        <v>https://i0.hdslb.com/bfs/station_src/music_metadata/80c48cde65ddbc496d663ac30e1ea657.jpg</v>
      </c>
      <c r="P717" s="4" t="str">
        <f ca="1">_xlfn.IFNA(VLOOKUP(INDIRECT("G"&amp;ROW()),minfo!$A:$M,COLUMN()-8,0),"")</f>
        <v>http://i0.hdslb.com/bfs/station_src/music_metadata/cea95dbba745359d59323685a1866bce</v>
      </c>
      <c r="Q717" s="4">
        <f ca="1">_xlfn.IFNA(VLOOKUP(INDIRECT("G"&amp;ROW()),minfo!$A:$M,COLUMN()-8,0),"")</f>
        <v>729</v>
      </c>
      <c r="R717" s="4">
        <f ca="1">_xlfn.IFNA(VLOOKUP(INDIRECT("G"&amp;ROW()),minfo!$A:$M,COLUMN()-8,0),"")</f>
        <v>0</v>
      </c>
      <c r="S717" s="4" t="str">
        <f ca="1">_xlfn.IFNA(VLOOKUP(INDIRECT("G"&amp;ROW()),minfo!$A:$M,COLUMN()-8,0),"")</f>
        <v>美妙生活</v>
      </c>
      <c r="T717" s="4">
        <f ca="1">_xlfn.IFNA(VLOOKUP(INDIRECT("G"&amp;ROW()),minfo!$A:$M,COLUMN()-8,0),"")</f>
        <v>114457691</v>
      </c>
      <c r="U717" s="4">
        <f ca="1">_xlfn.IFNA(VLOOKUP(INDIRECT("G"&amp;ROW()),minfo!$A:$M,COLUMN()-8,0),"")</f>
        <v>0</v>
      </c>
    </row>
    <row r="718" spans="1:21" ht="15.75" customHeight="1">
      <c r="A718" s="15">
        <v>717</v>
      </c>
      <c r="B718" s="4" t="s">
        <v>4300</v>
      </c>
      <c r="C718" s="4">
        <v>718</v>
      </c>
      <c r="D718" s="4">
        <v>128</v>
      </c>
      <c r="E718" s="4" t="s">
        <v>1793</v>
      </c>
      <c r="F718" s="16">
        <v>45265</v>
      </c>
      <c r="G718" s="5" t="s">
        <v>1792</v>
      </c>
      <c r="H718" s="5" t="s">
        <v>4168</v>
      </c>
      <c r="I718" s="24" t="str">
        <f>HYPERLINK("https://www.bilibili.com/video/BV1ie411v7a2?p=128", "BV1ie411v7a2?p=128")</f>
        <v>BV1ie411v7a2?p=128</v>
      </c>
      <c r="J718" s="4" t="str">
        <f ca="1">_xlfn.IFNA(VLOOKUP(INDIRECT("G"&amp;ROW()),minfo!$A:$M,COLUMN()-8,0),"")</f>
        <v>雨爱</v>
      </c>
      <c r="K718" s="4" t="str">
        <f ca="1">_xlfn.IFNA(VLOOKUP(INDIRECT("G"&amp;ROW()),minfo!$A:$M,COLUMN()-8,0),"")</f>
        <v>杨丞琳</v>
      </c>
      <c r="L718" s="4">
        <f ca="1">_xlfn.IFNA(VLOOKUP(INDIRECT("G"&amp;ROW()),minfo!$A:$M,COLUMN()-8,0),"")</f>
        <v>0</v>
      </c>
      <c r="M718" s="4">
        <f ca="1">_xlfn.IFNA(VLOOKUP(INDIRECT("G"&amp;ROW()),minfo!$A:$M,COLUMN()-8,0),"")</f>
        <v>186</v>
      </c>
      <c r="N718" s="4">
        <f ca="1">_xlfn.IFNA(VLOOKUP(INDIRECT("G"&amp;ROW()),minfo!$A:$M,COLUMN()-8,0),"")</f>
        <v>17</v>
      </c>
      <c r="O718" s="4" t="str">
        <f ca="1">_xlfn.IFNA(VLOOKUP(INDIRECT("G"&amp;ROW()),minfo!$A:$M,COLUMN()-8,0),"")</f>
        <v>https://i0.hdslb.com/bfs/station_src/music_metadata/d2d96b39e6c888e709641d2931657784.jpg</v>
      </c>
      <c r="P718" s="4" t="str">
        <f ca="1">_xlfn.IFNA(VLOOKUP(INDIRECT("G"&amp;ROW()),minfo!$A:$M,COLUMN()-8,0),"")</f>
        <v>https://i0.hdslb.com/bfs/station_src/music_metadata/da71918707bbbcc54129293228673828.com/bfs/station_src/music_metadata/4ee2e418ba5ab8982bdcaf20967930a5</v>
      </c>
      <c r="Q718" s="4">
        <f ca="1">_xlfn.IFNA(VLOOKUP(INDIRECT("G"&amp;ROW()),minfo!$A:$M,COLUMN()-8,0),"")</f>
        <v>585</v>
      </c>
      <c r="R718" s="4" t="str">
        <f ca="1">_xlfn.IFNA(VLOOKUP(INDIRECT("G"&amp;ROW()),minfo!$A:$M,COLUMN()-8,0),"")</f>
        <v>雨爱</v>
      </c>
      <c r="S718" s="4">
        <f ca="1">_xlfn.IFNA(VLOOKUP(INDIRECT("G"&amp;ROW()),minfo!$A:$M,COLUMN()-8,0),"")</f>
        <v>0</v>
      </c>
      <c r="T718" s="4">
        <f ca="1">_xlfn.IFNA(VLOOKUP(INDIRECT("G"&amp;ROW()),minfo!$A:$M,COLUMN()-8,0),"")</f>
        <v>299586451</v>
      </c>
      <c r="U718" s="4">
        <f ca="1">_xlfn.IFNA(VLOOKUP(INDIRECT("G"&amp;ROW()),minfo!$A:$M,COLUMN()-8,0),"")</f>
        <v>0</v>
      </c>
    </row>
    <row r="719" spans="1:21" ht="15.75" customHeight="1">
      <c r="A719" s="15">
        <v>718</v>
      </c>
      <c r="B719" s="4" t="s">
        <v>4301</v>
      </c>
      <c r="C719" s="4">
        <v>719</v>
      </c>
      <c r="D719" s="4">
        <v>129</v>
      </c>
      <c r="E719" s="4" t="s">
        <v>418</v>
      </c>
      <c r="F719" s="16">
        <v>45266</v>
      </c>
      <c r="G719" s="5" t="s">
        <v>417</v>
      </c>
      <c r="H719" s="5" t="s">
        <v>4168</v>
      </c>
      <c r="I719" s="24" t="str">
        <f>HYPERLINK("https://www.bilibili.com/video/BV1ie411v7a2?p=129", "BV1ie411v7a2?p=129")</f>
        <v>BV1ie411v7a2?p=129</v>
      </c>
      <c r="J719" s="4" t="str">
        <f ca="1">_xlfn.IFNA(VLOOKUP(INDIRECT("G"&amp;ROW()),minfo!$A:$M,COLUMN()-8,0),"")</f>
        <v>甜甜的</v>
      </c>
      <c r="K719" s="4" t="str">
        <f ca="1">_xlfn.IFNA(VLOOKUP(INDIRECT("G"&amp;ROW()),minfo!$A:$M,COLUMN()-8,0),"")</f>
        <v>周杰伦</v>
      </c>
      <c r="L719" s="4">
        <f ca="1">_xlfn.IFNA(VLOOKUP(INDIRECT("G"&amp;ROW()),minfo!$A:$M,COLUMN()-8,0),"")</f>
        <v>0</v>
      </c>
      <c r="M719" s="4">
        <f ca="1">_xlfn.IFNA(VLOOKUP(INDIRECT("G"&amp;ROW()),minfo!$A:$M,COLUMN()-8,0),"")</f>
        <v>0</v>
      </c>
      <c r="N719" s="4">
        <f ca="1">_xlfn.IFNA(VLOOKUP(INDIRECT("G"&amp;ROW()),minfo!$A:$M,COLUMN()-8,0),"")</f>
        <v>0</v>
      </c>
      <c r="O719" s="4" t="str">
        <f ca="1">_xlfn.IFNA(VLOOKUP(INDIRECT("G"&amp;ROW()),minfo!$A:$M,COLUMN()-8,0),"")</f>
        <v>http://i0.hdslb.com/bfs/station_src/music_metadata/b70b267ed4b8e6627ef2fddb400bc930.jpg</v>
      </c>
      <c r="P719" s="4" t="str">
        <f ca="1">_xlfn.IFNA(VLOOKUP(INDIRECT("G"&amp;ROW()),minfo!$A:$M,COLUMN()-8,0),"")</f>
        <v>http://i0.hdslb.com/bfs/station_src/music_metadata/279ee78db41e6396428b468a8620d95b</v>
      </c>
      <c r="Q719" s="4">
        <f ca="1">_xlfn.IFNA(VLOOKUP(INDIRECT("G"&amp;ROW()),minfo!$A:$M,COLUMN()-8,0),"")</f>
        <v>1115</v>
      </c>
      <c r="R719" s="4">
        <f ca="1">_xlfn.IFNA(VLOOKUP(INDIRECT("G"&amp;ROW()),minfo!$A:$M,COLUMN()-8,0),"")</f>
        <v>0</v>
      </c>
      <c r="S719" s="4" t="str">
        <f ca="1">_xlfn.IFNA(VLOOKUP(INDIRECT("G"&amp;ROW()),minfo!$A:$M,COLUMN()-8,0),"")</f>
        <v>我很忙</v>
      </c>
      <c r="T719" s="4">
        <f ca="1">_xlfn.IFNA(VLOOKUP(INDIRECT("G"&amp;ROW()),minfo!$A:$M,COLUMN()-8,0),"")</f>
        <v>514709406</v>
      </c>
      <c r="U719" s="4">
        <f ca="1">_xlfn.IFNA(VLOOKUP(INDIRECT("G"&amp;ROW()),minfo!$A:$M,COLUMN()-8,0),"")</f>
        <v>0</v>
      </c>
    </row>
    <row r="720" spans="1:21" ht="15.75" customHeight="1">
      <c r="A720" s="15">
        <v>719</v>
      </c>
      <c r="B720" s="4" t="s">
        <v>4302</v>
      </c>
      <c r="C720" s="4">
        <v>720</v>
      </c>
      <c r="D720" s="4">
        <v>130</v>
      </c>
      <c r="E720" s="4" t="s">
        <v>1797</v>
      </c>
      <c r="F720" s="16">
        <v>45266</v>
      </c>
      <c r="G720" s="5" t="s">
        <v>1796</v>
      </c>
      <c r="H720" s="5" t="s">
        <v>4168</v>
      </c>
      <c r="I720" s="24" t="str">
        <f>HYPERLINK("https://www.bilibili.com/video/BV1ie411v7a2?p=130", "BV1ie411v7a2?p=130")</f>
        <v>BV1ie411v7a2?p=130</v>
      </c>
      <c r="J720" s="4" t="str">
        <f ca="1">_xlfn.IFNA(VLOOKUP(INDIRECT("G"&amp;ROW()),minfo!$A:$M,COLUMN()-8,0),"")</f>
        <v>痒</v>
      </c>
      <c r="K720" s="4" t="str">
        <f ca="1">_xlfn.IFNA(VLOOKUP(INDIRECT("G"&amp;ROW()),minfo!$A:$M,COLUMN()-8,0),"")</f>
        <v>黄龄</v>
      </c>
      <c r="L720" s="4">
        <f ca="1">_xlfn.IFNA(VLOOKUP(INDIRECT("G"&amp;ROW()),minfo!$A:$M,COLUMN()-8,0),"")</f>
        <v>0</v>
      </c>
      <c r="M720" s="4">
        <f ca="1">_xlfn.IFNA(VLOOKUP(INDIRECT("G"&amp;ROW()),minfo!$A:$M,COLUMN()-8,0),"")</f>
        <v>0</v>
      </c>
      <c r="N720" s="4">
        <f ca="1">_xlfn.IFNA(VLOOKUP(INDIRECT("G"&amp;ROW()),minfo!$A:$M,COLUMN()-8,0),"")</f>
        <v>0</v>
      </c>
      <c r="O720" s="4" t="str">
        <f ca="1">_xlfn.IFNA(VLOOKUP(INDIRECT("G"&amp;ROW()),minfo!$A:$M,COLUMN()-8,0),"")</f>
        <v>https://i0.hdslb.com/bfs/station_src/music_metadata/3de02305aa9c846673ac1eb2ad897de1.jpg</v>
      </c>
      <c r="P720" s="4" t="str">
        <f ca="1">_xlfn.IFNA(VLOOKUP(INDIRECT("G"&amp;ROW()),minfo!$A:$M,COLUMN()-8,0),"")</f>
        <v>http://i0.hdslb.com/bfs/station_src/music_metadata/cb354aacda7abd2b861cd28e85743d55</v>
      </c>
      <c r="Q720" s="4">
        <f ca="1">_xlfn.IFNA(VLOOKUP(INDIRECT("G"&amp;ROW()),minfo!$A:$M,COLUMN()-8,0),"")</f>
        <v>568</v>
      </c>
      <c r="R720" s="4">
        <f ca="1">_xlfn.IFNA(VLOOKUP(INDIRECT("G"&amp;ROW()),minfo!$A:$M,COLUMN()-8,0),"")</f>
        <v>0</v>
      </c>
      <c r="S720" s="4" t="str">
        <f ca="1">_xlfn.IFNA(VLOOKUP(INDIRECT("G"&amp;ROW()),minfo!$A:$M,COLUMN()-8,0),"")</f>
        <v>痒</v>
      </c>
      <c r="T720" s="4">
        <f ca="1">_xlfn.IFNA(VLOOKUP(INDIRECT("G"&amp;ROW()),minfo!$A:$M,COLUMN()-8,0),"")</f>
        <v>367183468</v>
      </c>
      <c r="U720" s="4" t="str">
        <f ca="1">_xlfn.IFNA(VLOOKUP(INDIRECT("G"&amp;ROW()),minfo!$A:$M,COLUMN()-8,0),"")</f>
        <v>音乐榜最高NO.9</v>
      </c>
    </row>
    <row r="721" spans="1:21" ht="15.75" customHeight="1">
      <c r="A721" s="15">
        <v>720</v>
      </c>
      <c r="B721" s="4" t="s">
        <v>4303</v>
      </c>
      <c r="C721" s="4">
        <v>721</v>
      </c>
      <c r="D721" s="4">
        <v>131</v>
      </c>
      <c r="E721" s="4" t="s">
        <v>1801</v>
      </c>
      <c r="F721" s="16">
        <v>45266</v>
      </c>
      <c r="G721" s="5" t="s">
        <v>1800</v>
      </c>
      <c r="H721" s="5" t="s">
        <v>4168</v>
      </c>
      <c r="I721" s="24" t="str">
        <f>HYPERLINK("https://www.bilibili.com/video/BV1ie411v7a2?p=131", "BV1ie411v7a2?p=131")</f>
        <v>BV1ie411v7a2?p=131</v>
      </c>
      <c r="J721" s="4" t="str">
        <f ca="1">_xlfn.IFNA(VLOOKUP(INDIRECT("G"&amp;ROW()),minfo!$A:$M,COLUMN()-8,0),"")</f>
        <v>氧气</v>
      </c>
      <c r="K721" s="4" t="str">
        <f ca="1">_xlfn.IFNA(VLOOKUP(INDIRECT("G"&amp;ROW()),minfo!$A:$M,COLUMN()-8,0),"")</f>
        <v>范晓萱</v>
      </c>
      <c r="L721" s="4">
        <f ca="1">_xlfn.IFNA(VLOOKUP(INDIRECT("G"&amp;ROW()),minfo!$A:$M,COLUMN()-8,0),"")</f>
        <v>0</v>
      </c>
      <c r="M721" s="4">
        <f ca="1">_xlfn.IFNA(VLOOKUP(INDIRECT("G"&amp;ROW()),minfo!$A:$M,COLUMN()-8,0),"")</f>
        <v>0</v>
      </c>
      <c r="N721" s="4">
        <f ca="1">_xlfn.IFNA(VLOOKUP(INDIRECT("G"&amp;ROW()),minfo!$A:$M,COLUMN()-8,0),"")</f>
        <v>0</v>
      </c>
      <c r="O721" s="4" t="str">
        <f ca="1">_xlfn.IFNA(VLOOKUP(INDIRECT("G"&amp;ROW()),minfo!$A:$M,COLUMN()-8,0),"")</f>
        <v>http://i0.hdslb.com/bfs/station_src/music_metadata/b7728e6e8bfaf97ad8f0c27f9dbb8003.jpg</v>
      </c>
      <c r="P721" s="4" t="str">
        <f ca="1">_xlfn.IFNA(VLOOKUP(INDIRECT("G"&amp;ROW()),minfo!$A:$M,COLUMN()-8,0),"")</f>
        <v>http://i0.hdslb.com/bfs/station_src/music_metadata/a48adbd10e6b248bcd4f7f2a5b7c6594</v>
      </c>
      <c r="Q721" s="4">
        <f ca="1">_xlfn.IFNA(VLOOKUP(INDIRECT("G"&amp;ROW()),minfo!$A:$M,COLUMN()-8,0),"")</f>
        <v>6</v>
      </c>
      <c r="R721" s="4">
        <f ca="1">_xlfn.IFNA(VLOOKUP(INDIRECT("G"&amp;ROW()),minfo!$A:$M,COLUMN()-8,0),"")</f>
        <v>0</v>
      </c>
      <c r="S721" s="4">
        <f ca="1">_xlfn.IFNA(VLOOKUP(INDIRECT("G"&amp;ROW()),minfo!$A:$M,COLUMN()-8,0),"")</f>
        <v>0</v>
      </c>
      <c r="T721" s="4">
        <f ca="1">_xlfn.IFNA(VLOOKUP(INDIRECT("G"&amp;ROW()),minfo!$A:$M,COLUMN()-8,0),"")</f>
        <v>4571226</v>
      </c>
      <c r="U721" s="4">
        <f ca="1">_xlfn.IFNA(VLOOKUP(INDIRECT("G"&amp;ROW()),minfo!$A:$M,COLUMN()-8,0),"")</f>
        <v>0</v>
      </c>
    </row>
    <row r="722" spans="1:21" ht="15.75" customHeight="1">
      <c r="A722" s="15">
        <v>721</v>
      </c>
      <c r="B722" s="4" t="s">
        <v>4304</v>
      </c>
      <c r="C722" s="4">
        <v>722</v>
      </c>
      <c r="D722" s="4">
        <v>132</v>
      </c>
      <c r="E722" s="4" t="s">
        <v>347</v>
      </c>
      <c r="F722" s="16">
        <v>45266</v>
      </c>
      <c r="G722" s="5" t="s">
        <v>346</v>
      </c>
      <c r="H722" s="5" t="s">
        <v>4168</v>
      </c>
      <c r="I722" s="24" t="str">
        <f>HYPERLINK("https://www.bilibili.com/video/BV1ie411v7a2?p=132", "BV1ie411v7a2?p=132")</f>
        <v>BV1ie411v7a2?p=132</v>
      </c>
      <c r="J722" s="4" t="str">
        <f ca="1">_xlfn.IFNA(VLOOKUP(INDIRECT("G"&amp;ROW()),minfo!$A:$M,COLUMN()-8,0),"")</f>
        <v>雨樱花</v>
      </c>
      <c r="K722" s="4" t="str">
        <f ca="1">_xlfn.IFNA(VLOOKUP(INDIRECT("G"&amp;ROW()),minfo!$A:$M,COLUMN()-8,0),"")</f>
        <v>F.I.R.飞儿乐团</v>
      </c>
      <c r="L722" s="4">
        <f ca="1">_xlfn.IFNA(VLOOKUP(INDIRECT("G"&amp;ROW()),minfo!$A:$M,COLUMN()-8,0),"")</f>
        <v>0</v>
      </c>
      <c r="M722" s="4">
        <f ca="1">_xlfn.IFNA(VLOOKUP(INDIRECT("G"&amp;ROW()),minfo!$A:$M,COLUMN()-8,0),"")</f>
        <v>0</v>
      </c>
      <c r="N722" s="4">
        <f ca="1">_xlfn.IFNA(VLOOKUP(INDIRECT("G"&amp;ROW()),minfo!$A:$M,COLUMN()-8,0),"")</f>
        <v>0</v>
      </c>
      <c r="O722" s="4" t="str">
        <f ca="1">_xlfn.IFNA(VLOOKUP(INDIRECT("G"&amp;ROW()),minfo!$A:$M,COLUMN()-8,0),"")</f>
        <v>https://i0.hdslb.com/bfs/station_src/music_metadata/00afd05b69966a9e0c7f56c6963242d8.jpg</v>
      </c>
      <c r="P722" s="4" t="str">
        <f ca="1">_xlfn.IFNA(VLOOKUP(INDIRECT("G"&amp;ROW()),minfo!$A:$M,COLUMN()-8,0),"")</f>
        <v>http://i0.hdslb.com/bfs/station_src/music_metadata/d8a209457fb9a9d83e2536a27c94344c</v>
      </c>
      <c r="Q722" s="4">
        <f ca="1">_xlfn.IFNA(VLOOKUP(INDIRECT("G"&amp;ROW()),minfo!$A:$M,COLUMN()-8,0),"")</f>
        <v>39</v>
      </c>
      <c r="R722" s="4">
        <f ca="1">_xlfn.IFNA(VLOOKUP(INDIRECT("G"&amp;ROW()),minfo!$A:$M,COLUMN()-8,0),"")</f>
        <v>0</v>
      </c>
      <c r="S722" s="4" t="str">
        <f ca="1">_xlfn.IFNA(VLOOKUP(INDIRECT("G"&amp;ROW()),minfo!$A:$M,COLUMN()-8,0),"")</f>
        <v>飞行部落</v>
      </c>
      <c r="T722" s="4">
        <f ca="1">_xlfn.IFNA(VLOOKUP(INDIRECT("G"&amp;ROW()),minfo!$A:$M,COLUMN()-8,0),"")</f>
        <v>13683214</v>
      </c>
      <c r="U722" s="4">
        <f ca="1">_xlfn.IFNA(VLOOKUP(INDIRECT("G"&amp;ROW()),minfo!$A:$M,COLUMN()-8,0),"")</f>
        <v>0</v>
      </c>
    </row>
    <row r="723" spans="1:21" ht="15.75" customHeight="1">
      <c r="A723" s="15">
        <v>722</v>
      </c>
      <c r="B723" s="4" t="s">
        <v>4305</v>
      </c>
      <c r="C723" s="4">
        <v>723</v>
      </c>
      <c r="D723" s="4">
        <v>133</v>
      </c>
      <c r="E723" s="4" t="s">
        <v>1143</v>
      </c>
      <c r="F723" s="16">
        <v>45266</v>
      </c>
      <c r="G723" s="5" t="s">
        <v>1142</v>
      </c>
      <c r="H723" s="5" t="s">
        <v>4168</v>
      </c>
      <c r="I723" s="24" t="str">
        <f>HYPERLINK("https://www.bilibili.com/video/BV1ie411v7a2?p=133", "BV1ie411v7a2?p=133")</f>
        <v>BV1ie411v7a2?p=133</v>
      </c>
      <c r="J723" s="4" t="str">
        <f ca="1">_xlfn.IFNA(VLOOKUP(INDIRECT("G"&amp;ROW()),minfo!$A:$M,COLUMN()-8,0),"")</f>
        <v>稻香</v>
      </c>
      <c r="K723" s="4" t="str">
        <f ca="1">_xlfn.IFNA(VLOOKUP(INDIRECT("G"&amp;ROW()),minfo!$A:$M,COLUMN()-8,0),"")</f>
        <v>周杰伦</v>
      </c>
      <c r="L723" s="4">
        <f ca="1">_xlfn.IFNA(VLOOKUP(INDIRECT("G"&amp;ROW()),minfo!$A:$M,COLUMN()-8,0),"")</f>
        <v>0</v>
      </c>
      <c r="M723" s="4">
        <f ca="1">_xlfn.IFNA(VLOOKUP(INDIRECT("G"&amp;ROW()),minfo!$A:$M,COLUMN()-8,0),"")</f>
        <v>82980</v>
      </c>
      <c r="N723" s="4">
        <f ca="1">_xlfn.IFNA(VLOOKUP(INDIRECT("G"&amp;ROW()),minfo!$A:$M,COLUMN()-8,0),"")</f>
        <v>5843</v>
      </c>
      <c r="O723" s="4" t="str">
        <f ca="1">_xlfn.IFNA(VLOOKUP(INDIRECT("G"&amp;ROW()),minfo!$A:$M,COLUMN()-8,0),"")</f>
        <v>https://i0.hdslb.com/bfs/station_src/music_metadata/957f8ba4e202e519f64cdd61268ee24d.jpg</v>
      </c>
      <c r="P723" s="4">
        <f ca="1">_xlfn.IFNA(VLOOKUP(INDIRECT("G"&amp;ROW()),minfo!$A:$M,COLUMN()-8,0),"")</f>
        <v>0</v>
      </c>
      <c r="Q723" s="4">
        <f ca="1">_xlfn.IFNA(VLOOKUP(INDIRECT("G"&amp;ROW()),minfo!$A:$M,COLUMN()-8,0),"")</f>
        <v>7881</v>
      </c>
      <c r="R723" s="4">
        <f ca="1">_xlfn.IFNA(VLOOKUP(INDIRECT("G"&amp;ROW()),minfo!$A:$M,COLUMN()-8,0),"")</f>
        <v>0</v>
      </c>
      <c r="S723" s="4" t="str">
        <f ca="1">_xlfn.IFNA(VLOOKUP(INDIRECT("G"&amp;ROW()),minfo!$A:$M,COLUMN()-8,0),"")</f>
        <v>魔杰座</v>
      </c>
      <c r="T723" s="4">
        <f ca="1">_xlfn.IFNA(VLOOKUP(INDIRECT("G"&amp;ROW()),minfo!$A:$M,COLUMN()-8,0),"")</f>
        <v>2525440964</v>
      </c>
      <c r="U723" s="4" t="str">
        <f ca="1">_xlfn.IFNA(VLOOKUP(INDIRECT("G"&amp;ROW()),minfo!$A:$M,COLUMN()-8,0),"")</f>
        <v>音乐榜最高NO.6</v>
      </c>
    </row>
    <row r="724" spans="1:21" ht="15.75" customHeight="1">
      <c r="A724" s="15">
        <v>723</v>
      </c>
      <c r="B724" s="4" t="s">
        <v>4306</v>
      </c>
      <c r="C724" s="4">
        <v>724</v>
      </c>
      <c r="D724" s="4">
        <v>134</v>
      </c>
      <c r="E724" s="4" t="s">
        <v>674</v>
      </c>
      <c r="F724" s="16">
        <v>45268</v>
      </c>
      <c r="G724" s="5" t="s">
        <v>673</v>
      </c>
      <c r="H724" s="5" t="s">
        <v>4168</v>
      </c>
      <c r="I724" s="24" t="str">
        <f>HYPERLINK("https://www.bilibili.com/video/BV1ie411v7a2?p=134", "BV1ie411v7a2?p=134")</f>
        <v>BV1ie411v7a2?p=134</v>
      </c>
      <c r="J724" s="4" t="str">
        <f ca="1">_xlfn.IFNA(VLOOKUP(INDIRECT("G"&amp;ROW()),minfo!$A:$M,COLUMN()-8,0),"")</f>
        <v>先生</v>
      </c>
      <c r="K724" s="4" t="str">
        <f ca="1">_xlfn.IFNA(VLOOKUP(INDIRECT("G"&amp;ROW()),minfo!$A:$M,COLUMN()-8,0),"")</f>
        <v>Pomelo安妮</v>
      </c>
      <c r="L724" s="4">
        <f ca="1">_xlfn.IFNA(VLOOKUP(INDIRECT("G"&amp;ROW()),minfo!$A:$M,COLUMN()-8,0),"")</f>
        <v>0</v>
      </c>
      <c r="M724" s="4">
        <f ca="1">_xlfn.IFNA(VLOOKUP(INDIRECT("G"&amp;ROW()),minfo!$A:$M,COLUMN()-8,0),"")</f>
        <v>54575</v>
      </c>
      <c r="N724" s="4">
        <f ca="1">_xlfn.IFNA(VLOOKUP(INDIRECT("G"&amp;ROW()),minfo!$A:$M,COLUMN()-8,0),"")</f>
        <v>8902</v>
      </c>
      <c r="O724" s="4" t="str">
        <f ca="1">_xlfn.IFNA(VLOOKUP(INDIRECT("G"&amp;ROW()),minfo!$A:$M,COLUMN()-8,0),"")</f>
        <v>http://i0.hdslb.com/bfs/station_src/music_metadata/abd9baa925b3f956c34b35698bd85e21.jpg</v>
      </c>
      <c r="P724" s="4">
        <f ca="1">_xlfn.IFNA(VLOOKUP(INDIRECT("G"&amp;ROW()),minfo!$A:$M,COLUMN()-8,0),"")</f>
        <v>0</v>
      </c>
      <c r="Q724" s="4">
        <f ca="1">_xlfn.IFNA(VLOOKUP(INDIRECT("G"&amp;ROW()),minfo!$A:$M,COLUMN()-8,0),"")</f>
        <v>22</v>
      </c>
      <c r="R724" s="4">
        <f ca="1">_xlfn.IFNA(VLOOKUP(INDIRECT("G"&amp;ROW()),minfo!$A:$M,COLUMN()-8,0),"")</f>
        <v>0</v>
      </c>
      <c r="S724" s="4" t="str">
        <f ca="1">_xlfn.IFNA(VLOOKUP(INDIRECT("G"&amp;ROW()),minfo!$A:$M,COLUMN()-8,0),"")</f>
        <v>先生</v>
      </c>
      <c r="T724" s="4">
        <f ca="1">_xlfn.IFNA(VLOOKUP(INDIRECT("G"&amp;ROW()),minfo!$A:$M,COLUMN()-8,0),"")</f>
        <v>2354363</v>
      </c>
      <c r="U724" s="4">
        <f ca="1">_xlfn.IFNA(VLOOKUP(INDIRECT("G"&amp;ROW()),minfo!$A:$M,COLUMN()-8,0),"")</f>
        <v>0</v>
      </c>
    </row>
    <row r="725" spans="1:21" ht="15.75" customHeight="1">
      <c r="A725" s="15">
        <v>724</v>
      </c>
      <c r="B725" s="4" t="s">
        <v>4307</v>
      </c>
      <c r="C725" s="4">
        <v>725</v>
      </c>
      <c r="D725" s="4">
        <v>135</v>
      </c>
      <c r="E725" s="4" t="s">
        <v>1806</v>
      </c>
      <c r="F725" s="16">
        <v>45268</v>
      </c>
      <c r="G725" s="5" t="s">
        <v>1805</v>
      </c>
      <c r="H725" s="5" t="s">
        <v>4168</v>
      </c>
      <c r="I725" s="24" t="str">
        <f>HYPERLINK("https://www.bilibili.com/video/BV1ie411v7a2?p=135", "BV1ie411v7a2?p=135")</f>
        <v>BV1ie411v7a2?p=135</v>
      </c>
      <c r="J725" s="4" t="str">
        <f ca="1">_xlfn.IFNA(VLOOKUP(INDIRECT("G"&amp;ROW()),minfo!$A:$M,COLUMN()-8,0),"")</f>
        <v>惊鸿一面</v>
      </c>
      <c r="K725" s="4" t="str">
        <f ca="1">_xlfn.IFNA(VLOOKUP(INDIRECT("G"&amp;ROW()),minfo!$A:$M,COLUMN()-8,0),"")</f>
        <v>许嵩,黄龄</v>
      </c>
      <c r="L725" s="4">
        <f ca="1">_xlfn.IFNA(VLOOKUP(INDIRECT("G"&amp;ROW()),minfo!$A:$M,COLUMN()-8,0),"")</f>
        <v>0</v>
      </c>
      <c r="M725" s="4">
        <f ca="1">_xlfn.IFNA(VLOOKUP(INDIRECT("G"&amp;ROW()),minfo!$A:$M,COLUMN()-8,0),"")</f>
        <v>874</v>
      </c>
      <c r="N725" s="4">
        <f ca="1">_xlfn.IFNA(VLOOKUP(INDIRECT("G"&amp;ROW()),minfo!$A:$M,COLUMN()-8,0),"")</f>
        <v>65</v>
      </c>
      <c r="O725" s="4" t="str">
        <f ca="1">_xlfn.IFNA(VLOOKUP(INDIRECT("G"&amp;ROW()),minfo!$A:$M,COLUMN()-8,0),"")</f>
        <v>https://i0.hdslb.com/bfs/station_src/music_metadata/86f89948690d1ba27ef1d0084a3d76b2.jpg</v>
      </c>
      <c r="P725" s="4" t="str">
        <f ca="1">_xlfn.IFNA(VLOOKUP(INDIRECT("G"&amp;ROW()),minfo!$A:$M,COLUMN()-8,0),"")</f>
        <v>http://i0.hdslb.com/bfs/station_src/music_metadata/4a846a9b75b086fb4b5a4e46ac08d200</v>
      </c>
      <c r="Q725" s="4">
        <f ca="1">_xlfn.IFNA(VLOOKUP(INDIRECT("G"&amp;ROW()),minfo!$A:$M,COLUMN()-8,0),"")</f>
        <v>459</v>
      </c>
      <c r="R725" s="4">
        <f ca="1">_xlfn.IFNA(VLOOKUP(INDIRECT("G"&amp;ROW()),minfo!$A:$M,COLUMN()-8,0),"")</f>
        <v>0</v>
      </c>
      <c r="S725" s="4" t="str">
        <f ca="1">_xlfn.IFNA(VLOOKUP(INDIRECT("G"&amp;ROW()),minfo!$A:$M,COLUMN()-8,0),"")</f>
        <v>不如吃茶去</v>
      </c>
      <c r="T725" s="4">
        <f ca="1">_xlfn.IFNA(VLOOKUP(INDIRECT("G"&amp;ROW()),minfo!$A:$M,COLUMN()-8,0),"")</f>
        <v>338924292</v>
      </c>
      <c r="U725" s="4">
        <f ca="1">_xlfn.IFNA(VLOOKUP(INDIRECT("G"&amp;ROW()),minfo!$A:$M,COLUMN()-8,0),"")</f>
        <v>0</v>
      </c>
    </row>
    <row r="726" spans="1:21" ht="15.75" customHeight="1">
      <c r="A726" s="15">
        <v>725</v>
      </c>
      <c r="B726" s="4" t="s">
        <v>4308</v>
      </c>
      <c r="C726" s="4">
        <v>726</v>
      </c>
      <c r="D726" s="4">
        <v>136</v>
      </c>
      <c r="E726" s="4" t="s">
        <v>1569</v>
      </c>
      <c r="F726" s="16">
        <v>45268</v>
      </c>
      <c r="G726" s="5" t="s">
        <v>1811</v>
      </c>
      <c r="H726" s="5" t="s">
        <v>4168</v>
      </c>
      <c r="I726" s="24" t="str">
        <f>HYPERLINK("https://www.bilibili.com/video/BV1ie411v7a2?p=136", "BV1ie411v7a2?p=136")</f>
        <v>BV1ie411v7a2?p=136</v>
      </c>
      <c r="J726" s="4" t="str">
        <f ca="1">_xlfn.IFNA(VLOOKUP(INDIRECT("G"&amp;ROW()),minfo!$A:$M,COLUMN()-8,0),"")</f>
        <v>风月</v>
      </c>
      <c r="K726" s="4" t="str">
        <f ca="1">_xlfn.IFNA(VLOOKUP(INDIRECT("G"&amp;ROW()),minfo!$A:$M,COLUMN()-8,0),"")</f>
        <v>黄龄</v>
      </c>
      <c r="L726" s="4">
        <f ca="1">_xlfn.IFNA(VLOOKUP(INDIRECT("G"&amp;ROW()),minfo!$A:$M,COLUMN()-8,0),"")</f>
        <v>0</v>
      </c>
      <c r="M726" s="4">
        <f ca="1">_xlfn.IFNA(VLOOKUP(INDIRECT("G"&amp;ROW()),minfo!$A:$M,COLUMN()-8,0),"")</f>
        <v>0</v>
      </c>
      <c r="N726" s="4">
        <f ca="1">_xlfn.IFNA(VLOOKUP(INDIRECT("G"&amp;ROW()),minfo!$A:$M,COLUMN()-8,0),"")</f>
        <v>0</v>
      </c>
      <c r="O726" s="4" t="str">
        <f ca="1">_xlfn.IFNA(VLOOKUP(INDIRECT("G"&amp;ROW()),minfo!$A:$M,COLUMN()-8,0),"")</f>
        <v>https://i0.hdslb.com/bfs/station_src/music_metadata/21ff4996fdcf771db265bbe78cdc8aff.jpg</v>
      </c>
      <c r="P726" s="4" t="str">
        <f ca="1">_xlfn.IFNA(VLOOKUP(INDIRECT("G"&amp;ROW()),minfo!$A:$M,COLUMN()-8,0),"")</f>
        <v>https://i0.hdslb.com/bfs/station_src/music_metadata/55d495a4433a7f7289d23d4f335647ce.txt</v>
      </c>
      <c r="Q726" s="4">
        <f ca="1">_xlfn.IFNA(VLOOKUP(INDIRECT("G"&amp;ROW()),minfo!$A:$M,COLUMN()-8,0),"")</f>
        <v>1</v>
      </c>
      <c r="R726" s="4">
        <f ca="1">_xlfn.IFNA(VLOOKUP(INDIRECT("G"&amp;ROW()),minfo!$A:$M,COLUMN()-8,0),"")</f>
        <v>0</v>
      </c>
      <c r="S726" s="4" t="str">
        <f ca="1">_xlfn.IFNA(VLOOKUP(INDIRECT("G"&amp;ROW()),minfo!$A:$M,COLUMN()-8,0),"")</f>
        <v>一条小团团OvO翻唱合集</v>
      </c>
      <c r="T726" s="4">
        <f ca="1">_xlfn.IFNA(VLOOKUP(INDIRECT("G"&amp;ROW()),minfo!$A:$M,COLUMN()-8,0),"")</f>
        <v>334815</v>
      </c>
      <c r="U726" s="4">
        <f ca="1">_xlfn.IFNA(VLOOKUP(INDIRECT("G"&amp;ROW()),minfo!$A:$M,COLUMN()-8,0),"")</f>
        <v>0</v>
      </c>
    </row>
    <row r="727" spans="1:21" ht="15.75" customHeight="1">
      <c r="A727" s="15">
        <v>726</v>
      </c>
      <c r="B727" s="4" t="s">
        <v>4309</v>
      </c>
      <c r="C727" s="4">
        <v>727</v>
      </c>
      <c r="D727" s="4">
        <v>137</v>
      </c>
      <c r="E727" s="4" t="s">
        <v>4310</v>
      </c>
      <c r="F727" s="16">
        <v>45268</v>
      </c>
      <c r="G727" s="5" t="s">
        <v>838</v>
      </c>
      <c r="H727" s="5" t="s">
        <v>4168</v>
      </c>
      <c r="I727" s="24" t="str">
        <f>HYPERLINK("https://www.bilibili.com/video/BV1ie411v7a2?p=137", "BV1ie411v7a2?p=137")</f>
        <v>BV1ie411v7a2?p=137</v>
      </c>
      <c r="J727" s="4" t="str">
        <f ca="1">_xlfn.IFNA(VLOOKUP(INDIRECT("G"&amp;ROW()),minfo!$A:$M,COLUMN()-8,0),"")</f>
        <v>七里香</v>
      </c>
      <c r="K727" s="4" t="str">
        <f ca="1">_xlfn.IFNA(VLOOKUP(INDIRECT("G"&amp;ROW()),minfo!$A:$M,COLUMN()-8,0),"")</f>
        <v>周杰伦</v>
      </c>
      <c r="L727" s="4">
        <f ca="1">_xlfn.IFNA(VLOOKUP(INDIRECT("G"&amp;ROW()),minfo!$A:$M,COLUMN()-8,0),"")</f>
        <v>0</v>
      </c>
      <c r="M727" s="4">
        <f ca="1">_xlfn.IFNA(VLOOKUP(INDIRECT("G"&amp;ROW()),minfo!$A:$M,COLUMN()-8,0),"")</f>
        <v>6714</v>
      </c>
      <c r="N727" s="4">
        <f ca="1">_xlfn.IFNA(VLOOKUP(INDIRECT("G"&amp;ROW()),minfo!$A:$M,COLUMN()-8,0),"")</f>
        <v>200</v>
      </c>
      <c r="O727" s="4" t="str">
        <f ca="1">_xlfn.IFNA(VLOOKUP(INDIRECT("G"&amp;ROW()),minfo!$A:$M,COLUMN()-8,0),"")</f>
        <v>https://i0.hdslb.com/bfs/station_src/music_metadata/cc542b9d467cfc48aecb420fa38f29a5.jpg</v>
      </c>
      <c r="P727" s="4">
        <f ca="1">_xlfn.IFNA(VLOOKUP(INDIRECT("G"&amp;ROW()),minfo!$A:$M,COLUMN()-8,0),"")</f>
        <v>0</v>
      </c>
      <c r="Q727" s="4">
        <f ca="1">_xlfn.IFNA(VLOOKUP(INDIRECT("G"&amp;ROW()),minfo!$A:$M,COLUMN()-8,0),"")</f>
        <v>13878</v>
      </c>
      <c r="R727" s="4">
        <f ca="1">_xlfn.IFNA(VLOOKUP(INDIRECT("G"&amp;ROW()),minfo!$A:$M,COLUMN()-8,0),"")</f>
        <v>0</v>
      </c>
      <c r="S727" s="4" t="str">
        <f ca="1">_xlfn.IFNA(VLOOKUP(INDIRECT("G"&amp;ROW()),minfo!$A:$M,COLUMN()-8,0),"")</f>
        <v>七里香</v>
      </c>
      <c r="T727" s="4">
        <f ca="1">_xlfn.IFNA(VLOOKUP(INDIRECT("G"&amp;ROW()),minfo!$A:$M,COLUMN()-8,0),"")</f>
        <v>1124988076</v>
      </c>
      <c r="U727" s="4" t="str">
        <f ca="1">_xlfn.IFNA(VLOOKUP(INDIRECT("G"&amp;ROW()),minfo!$A:$M,COLUMN()-8,0),"")</f>
        <v>音乐榜最高NO.17</v>
      </c>
    </row>
    <row r="728" spans="1:21" ht="15.75" customHeight="1">
      <c r="A728" s="15">
        <v>727</v>
      </c>
      <c r="B728" s="4" t="s">
        <v>4311</v>
      </c>
      <c r="C728" s="4">
        <v>728</v>
      </c>
      <c r="D728" s="4">
        <v>138</v>
      </c>
      <c r="E728" s="4" t="s">
        <v>1289</v>
      </c>
      <c r="F728" s="16">
        <v>45268</v>
      </c>
      <c r="G728" s="5" t="s">
        <v>1288</v>
      </c>
      <c r="H728" s="5" t="s">
        <v>4168</v>
      </c>
      <c r="I728" s="24" t="str">
        <f>HYPERLINK("https://www.bilibili.com/video/BV1ie411v7a2?p=138", "BV1ie411v7a2?p=138")</f>
        <v>BV1ie411v7a2?p=138</v>
      </c>
      <c r="J728" s="4" t="str">
        <f ca="1">_xlfn.IFNA(VLOOKUP(INDIRECT("G"&amp;ROW()),minfo!$A:$M,COLUMN()-8,0),"")</f>
        <v>孤独娱乐</v>
      </c>
      <c r="K728" s="4" t="str">
        <f ca="1">_xlfn.IFNA(VLOOKUP(INDIRECT("G"&amp;ROW()),minfo!$A:$M,COLUMN()-8,0),"")</f>
        <v>林俊杰</v>
      </c>
      <c r="L728" s="4">
        <f ca="1">_xlfn.IFNA(VLOOKUP(INDIRECT("G"&amp;ROW()),minfo!$A:$M,COLUMN()-8,0),"")</f>
        <v>0</v>
      </c>
      <c r="M728" s="4">
        <f ca="1">_xlfn.IFNA(VLOOKUP(INDIRECT("G"&amp;ROW()),minfo!$A:$M,COLUMN()-8,0),"")</f>
        <v>0</v>
      </c>
      <c r="N728" s="4">
        <f ca="1">_xlfn.IFNA(VLOOKUP(INDIRECT("G"&amp;ROW()),minfo!$A:$M,COLUMN()-8,0),"")</f>
        <v>0</v>
      </c>
      <c r="O728" s="4" t="str">
        <f ca="1">_xlfn.IFNA(VLOOKUP(INDIRECT("G"&amp;ROW()),minfo!$A:$M,COLUMN()-8,0),"")</f>
        <v>http://i0.hdslb.com/bfs/station_src/music_metadata/84561b5e1d6e1dfa852adcf51e34eb8f.jpg</v>
      </c>
      <c r="P728" s="4">
        <f ca="1">_xlfn.IFNA(VLOOKUP(INDIRECT("G"&amp;ROW()),minfo!$A:$M,COLUMN()-8,0),"")</f>
        <v>0</v>
      </c>
      <c r="Q728" s="4">
        <f ca="1">_xlfn.IFNA(VLOOKUP(INDIRECT("G"&amp;ROW()),minfo!$A:$M,COLUMN()-8,0),"")</f>
        <v>79</v>
      </c>
      <c r="R728" s="4">
        <f ca="1">_xlfn.IFNA(VLOOKUP(INDIRECT("G"&amp;ROW()),minfo!$A:$M,COLUMN()-8,0),"")</f>
        <v>0</v>
      </c>
      <c r="S728" s="4" t="str">
        <f ca="1">_xlfn.IFNA(VLOOKUP(INDIRECT("G"&amp;ROW()),minfo!$A:$M,COLUMN()-8,0),"")</f>
        <v>重拾_快乐</v>
      </c>
      <c r="T728" s="4">
        <f ca="1">_xlfn.IFNA(VLOOKUP(INDIRECT("G"&amp;ROW()),minfo!$A:$M,COLUMN()-8,0),"")</f>
        <v>19753956</v>
      </c>
      <c r="U728" s="4">
        <f ca="1">_xlfn.IFNA(VLOOKUP(INDIRECT("G"&amp;ROW()),minfo!$A:$M,COLUMN()-8,0),"")</f>
        <v>0</v>
      </c>
    </row>
    <row r="729" spans="1:21" ht="15.75" customHeight="1">
      <c r="A729" s="15">
        <v>728</v>
      </c>
      <c r="B729" s="4" t="s">
        <v>4312</v>
      </c>
      <c r="C729" s="4">
        <v>729</v>
      </c>
      <c r="D729" s="4">
        <v>139</v>
      </c>
      <c r="E729" s="4" t="s">
        <v>1816</v>
      </c>
      <c r="F729" s="16">
        <v>45269</v>
      </c>
      <c r="G729" s="5" t="s">
        <v>1815</v>
      </c>
      <c r="H729" s="5" t="s">
        <v>4168</v>
      </c>
      <c r="I729" s="24" t="str">
        <f>HYPERLINK("https://www.bilibili.com/video/BV1ie411v7a2?p=139", "BV1ie411v7a2?p=139")</f>
        <v>BV1ie411v7a2?p=139</v>
      </c>
      <c r="J729" s="4" t="str">
        <f ca="1">_xlfn.IFNA(VLOOKUP(INDIRECT("G"&amp;ROW()),minfo!$A:$M,COLUMN()-8,0),"")</f>
        <v>裹着心的光</v>
      </c>
      <c r="K729" s="4" t="str">
        <f ca="1">_xlfn.IFNA(VLOOKUP(INDIRECT("G"&amp;ROW()),minfo!$A:$M,COLUMN()-8,0),"")</f>
        <v>林俊杰</v>
      </c>
      <c r="L729" s="4">
        <f ca="1">_xlfn.IFNA(VLOOKUP(INDIRECT("G"&amp;ROW()),minfo!$A:$M,COLUMN()-8,0),"")</f>
        <v>0</v>
      </c>
      <c r="M729" s="4">
        <f ca="1">_xlfn.IFNA(VLOOKUP(INDIRECT("G"&amp;ROW()),minfo!$A:$M,COLUMN()-8,0),"")</f>
        <v>0</v>
      </c>
      <c r="N729" s="4">
        <f ca="1">_xlfn.IFNA(VLOOKUP(INDIRECT("G"&amp;ROW()),minfo!$A:$M,COLUMN()-8,0),"")</f>
        <v>0</v>
      </c>
      <c r="O729" s="4" t="str">
        <f ca="1">_xlfn.IFNA(VLOOKUP(INDIRECT("G"&amp;ROW()),minfo!$A:$M,COLUMN()-8,0),"")</f>
        <v>http://i0.hdslb.com/bfs/station_src/music_metadata/10bf9b49b80f7afe1ff063563124ad4a.jpg</v>
      </c>
      <c r="P729" s="4" t="str">
        <f ca="1">_xlfn.IFNA(VLOOKUP(INDIRECT("G"&amp;ROW()),minfo!$A:$M,COLUMN()-8,0),"")</f>
        <v>http://i0.hdslb.com/bfs/station_src/music_metadata/ead39c3359edda377926c13012b5e11d</v>
      </c>
      <c r="Q729" s="4">
        <f ca="1">_xlfn.IFNA(VLOOKUP(INDIRECT("G"&amp;ROW()),minfo!$A:$M,COLUMN()-8,0),"")</f>
        <v>2620</v>
      </c>
      <c r="R729" s="4">
        <f ca="1">_xlfn.IFNA(VLOOKUP(INDIRECT("G"&amp;ROW()),minfo!$A:$M,COLUMN()-8,0),"")</f>
        <v>0</v>
      </c>
      <c r="S729" s="4" t="str">
        <f ca="1">_xlfn.IFNA(VLOOKUP(INDIRECT("G"&amp;ROW()),minfo!$A:$M,COLUMN()-8,0),"")</f>
        <v>裹着心的光</v>
      </c>
      <c r="T729" s="4">
        <f ca="1">_xlfn.IFNA(VLOOKUP(INDIRECT("G"&amp;ROW()),minfo!$A:$M,COLUMN()-8,0),"")</f>
        <v>618344312</v>
      </c>
      <c r="U729" s="4">
        <f ca="1">_xlfn.IFNA(VLOOKUP(INDIRECT("G"&amp;ROW()),minfo!$A:$M,COLUMN()-8,0),"")</f>
        <v>0</v>
      </c>
    </row>
    <row r="730" spans="1:21" ht="15.75" customHeight="1">
      <c r="A730" s="15">
        <v>729</v>
      </c>
      <c r="B730" s="4" t="s">
        <v>4313</v>
      </c>
      <c r="C730" s="4">
        <v>730</v>
      </c>
      <c r="D730" s="4">
        <v>140</v>
      </c>
      <c r="E730" s="4" t="s">
        <v>1719</v>
      </c>
      <c r="F730" s="16">
        <v>45269</v>
      </c>
      <c r="G730" s="5" t="s">
        <v>1718</v>
      </c>
      <c r="H730" s="5" t="s">
        <v>4168</v>
      </c>
      <c r="I730" s="24" t="str">
        <f>HYPERLINK("https://www.bilibili.com/video/BV1ie411v7a2?p=140", "BV1ie411v7a2?p=140")</f>
        <v>BV1ie411v7a2?p=140</v>
      </c>
      <c r="J730" s="4" t="str">
        <f ca="1">_xlfn.IFNA(VLOOKUP(INDIRECT("G"&amp;ROW()),minfo!$A:$M,COLUMN()-8,0),"")</f>
        <v>达尔文</v>
      </c>
      <c r="K730" s="4" t="str">
        <f ca="1">_xlfn.IFNA(VLOOKUP(INDIRECT("G"&amp;ROW()),minfo!$A:$M,COLUMN()-8,0),"")</f>
        <v>蔡健雅</v>
      </c>
      <c r="L730" s="4">
        <f ca="1">_xlfn.IFNA(VLOOKUP(INDIRECT("G"&amp;ROW()),minfo!$A:$M,COLUMN()-8,0),"")</f>
        <v>0</v>
      </c>
      <c r="M730" s="4">
        <f ca="1">_xlfn.IFNA(VLOOKUP(INDIRECT("G"&amp;ROW()),minfo!$A:$M,COLUMN()-8,0),"")</f>
        <v>61</v>
      </c>
      <c r="N730" s="4">
        <f ca="1">_xlfn.IFNA(VLOOKUP(INDIRECT("G"&amp;ROW()),minfo!$A:$M,COLUMN()-8,0),"")</f>
        <v>23</v>
      </c>
      <c r="O730" s="4" t="str">
        <f ca="1">_xlfn.IFNA(VLOOKUP(INDIRECT("G"&amp;ROW()),minfo!$A:$M,COLUMN()-8,0),"")</f>
        <v>http://i2.hdslb.com/bfs/archive/0d88147503c1678b5c14f01bf912438f0e18189c.jpg</v>
      </c>
      <c r="P730" s="4">
        <f ca="1">_xlfn.IFNA(VLOOKUP(INDIRECT("G"&amp;ROW()),minfo!$A:$M,COLUMN()-8,0),"")</f>
        <v>0</v>
      </c>
      <c r="Q730" s="4">
        <f ca="1">_xlfn.IFNA(VLOOKUP(INDIRECT("G"&amp;ROW()),minfo!$A:$M,COLUMN()-8,0),"")</f>
        <v>275</v>
      </c>
      <c r="R730" s="4" t="str">
        <f ca="1">_xlfn.IFNA(VLOOKUP(INDIRECT("G"&amp;ROW()),minfo!$A:$M,COLUMN()-8,0),"")</f>
        <v>达尔文</v>
      </c>
      <c r="S730" s="4" t="str">
        <f ca="1">_xlfn.IFNA(VLOOKUP(INDIRECT("G"&amp;ROW()),minfo!$A:$M,COLUMN()-8,0),"")</f>
        <v>达尔文</v>
      </c>
      <c r="T730" s="4">
        <f ca="1">_xlfn.IFNA(VLOOKUP(INDIRECT("G"&amp;ROW()),minfo!$A:$M,COLUMN()-8,0),"")</f>
        <v>108423038</v>
      </c>
      <c r="U730" s="4">
        <f ca="1">_xlfn.IFNA(VLOOKUP(INDIRECT("G"&amp;ROW()),minfo!$A:$M,COLUMN()-8,0),"")</f>
        <v>0</v>
      </c>
    </row>
    <row r="731" spans="1:21" ht="15.75" customHeight="1">
      <c r="A731" s="15">
        <v>730</v>
      </c>
      <c r="B731" s="4" t="s">
        <v>4314</v>
      </c>
      <c r="C731" s="4">
        <v>731</v>
      </c>
      <c r="D731" s="4">
        <v>141</v>
      </c>
      <c r="E731" s="4" t="s">
        <v>1820</v>
      </c>
      <c r="F731" s="16">
        <v>45269</v>
      </c>
      <c r="G731" s="5" t="s">
        <v>1819</v>
      </c>
      <c r="H731" s="5" t="s">
        <v>4168</v>
      </c>
      <c r="I731" s="24" t="str">
        <f>HYPERLINK("https://www.bilibili.com/video/BV1ie411v7a2?p=141", "BV1ie411v7a2?p=141")</f>
        <v>BV1ie411v7a2?p=141</v>
      </c>
      <c r="J731" s="4" t="str">
        <f ca="1">_xlfn.IFNA(VLOOKUP(INDIRECT("G"&amp;ROW()),minfo!$A:$M,COLUMN()-8,0),"")</f>
        <v>愿与愁</v>
      </c>
      <c r="K731" s="4" t="str">
        <f ca="1">_xlfn.IFNA(VLOOKUP(INDIRECT("G"&amp;ROW()),minfo!$A:$M,COLUMN()-8,0),"")</f>
        <v>林俊杰</v>
      </c>
      <c r="L731" s="4">
        <f ca="1">_xlfn.IFNA(VLOOKUP(INDIRECT("G"&amp;ROW()),minfo!$A:$M,COLUMN()-8,0),"")</f>
        <v>0</v>
      </c>
      <c r="M731" s="4">
        <f ca="1">_xlfn.IFNA(VLOOKUP(INDIRECT("G"&amp;ROW()),minfo!$A:$M,COLUMN()-8,0),"")</f>
        <v>0</v>
      </c>
      <c r="N731" s="4">
        <f ca="1">_xlfn.IFNA(VLOOKUP(INDIRECT("G"&amp;ROW()),minfo!$A:$M,COLUMN()-8,0),"")</f>
        <v>0</v>
      </c>
      <c r="O731" s="4" t="str">
        <f ca="1">_xlfn.IFNA(VLOOKUP(INDIRECT("G"&amp;ROW()),minfo!$A:$M,COLUMN()-8,0),"")</f>
        <v>http://i0.hdslb.com/bfs/station_src/music_metadata/31e1ef9935ac8acbe46418fc5f53f699.jpg</v>
      </c>
      <c r="P731" s="4" t="str">
        <f ca="1">_xlfn.IFNA(VLOOKUP(INDIRECT("G"&amp;ROW()),minfo!$A:$M,COLUMN()-8,0),"")</f>
        <v>lyric/2023-04-29_2023-04-29_愿与愁.txt</v>
      </c>
      <c r="Q731" s="4">
        <f ca="1">_xlfn.IFNA(VLOOKUP(INDIRECT("G"&amp;ROW()),minfo!$A:$M,COLUMN()-8,0),"")</f>
        <v>2</v>
      </c>
      <c r="R731" s="4">
        <f ca="1">_xlfn.IFNA(VLOOKUP(INDIRECT("G"&amp;ROW()),minfo!$A:$M,COLUMN()-8,0),"")</f>
        <v>0</v>
      </c>
      <c r="S731" s="4" t="str">
        <f ca="1">_xlfn.IFNA(VLOOKUP(INDIRECT("G"&amp;ROW()),minfo!$A:$M,COLUMN()-8,0),"")</f>
        <v>重拾_快乐</v>
      </c>
      <c r="T731" s="4">
        <f ca="1">_xlfn.IFNA(VLOOKUP(INDIRECT("G"&amp;ROW()),minfo!$A:$M,COLUMN()-8,0),"")</f>
        <v>3053937</v>
      </c>
      <c r="U731" s="4">
        <f ca="1">_xlfn.IFNA(VLOOKUP(INDIRECT("G"&amp;ROW()),minfo!$A:$M,COLUMN()-8,0),"")</f>
        <v>0</v>
      </c>
    </row>
    <row r="732" spans="1:21" ht="15.75" customHeight="1">
      <c r="A732" s="15">
        <v>731</v>
      </c>
      <c r="B732" s="4" t="s">
        <v>4315</v>
      </c>
      <c r="C732" s="4">
        <v>732</v>
      </c>
      <c r="D732" s="4">
        <v>142</v>
      </c>
      <c r="E732" s="4" t="s">
        <v>1820</v>
      </c>
      <c r="F732" s="16">
        <v>45269</v>
      </c>
      <c r="G732" s="5" t="s">
        <v>1819</v>
      </c>
      <c r="H732" s="5" t="s">
        <v>4168</v>
      </c>
      <c r="I732" s="24" t="str">
        <f>HYPERLINK("https://www.bilibili.com/video/BV1ie411v7a2?p=142", "BV1ie411v7a2?p=142")</f>
        <v>BV1ie411v7a2?p=142</v>
      </c>
      <c r="J732" s="4" t="str">
        <f ca="1">_xlfn.IFNA(VLOOKUP(INDIRECT("G"&amp;ROW()),minfo!$A:$M,COLUMN()-8,0),"")</f>
        <v>愿与愁</v>
      </c>
      <c r="K732" s="4" t="str">
        <f ca="1">_xlfn.IFNA(VLOOKUP(INDIRECT("G"&amp;ROW()),minfo!$A:$M,COLUMN()-8,0),"")</f>
        <v>林俊杰</v>
      </c>
      <c r="L732" s="4">
        <f ca="1">_xlfn.IFNA(VLOOKUP(INDIRECT("G"&amp;ROW()),minfo!$A:$M,COLUMN()-8,0),"")</f>
        <v>0</v>
      </c>
      <c r="M732" s="4">
        <f ca="1">_xlfn.IFNA(VLOOKUP(INDIRECT("G"&amp;ROW()),minfo!$A:$M,COLUMN()-8,0),"")</f>
        <v>0</v>
      </c>
      <c r="N732" s="4">
        <f ca="1">_xlfn.IFNA(VLOOKUP(INDIRECT("G"&amp;ROW()),minfo!$A:$M,COLUMN()-8,0),"")</f>
        <v>0</v>
      </c>
      <c r="O732" s="4" t="str">
        <f ca="1">_xlfn.IFNA(VLOOKUP(INDIRECT("G"&amp;ROW()),minfo!$A:$M,COLUMN()-8,0),"")</f>
        <v>http://i0.hdslb.com/bfs/station_src/music_metadata/31e1ef9935ac8acbe46418fc5f53f699.jpg</v>
      </c>
      <c r="P732" s="4" t="str">
        <f ca="1">_xlfn.IFNA(VLOOKUP(INDIRECT("G"&amp;ROW()),minfo!$A:$M,COLUMN()-8,0),"")</f>
        <v>lyric/2023-04-29_2023-04-29_愿与愁.txt</v>
      </c>
      <c r="Q732" s="4">
        <f ca="1">_xlfn.IFNA(VLOOKUP(INDIRECT("G"&amp;ROW()),minfo!$A:$M,COLUMN()-8,0),"")</f>
        <v>2</v>
      </c>
      <c r="R732" s="4">
        <f ca="1">_xlfn.IFNA(VLOOKUP(INDIRECT("G"&amp;ROW()),minfo!$A:$M,COLUMN()-8,0),"")</f>
        <v>0</v>
      </c>
      <c r="S732" s="4" t="str">
        <f ca="1">_xlfn.IFNA(VLOOKUP(INDIRECT("G"&amp;ROW()),minfo!$A:$M,COLUMN()-8,0),"")</f>
        <v>重拾_快乐</v>
      </c>
      <c r="T732" s="4">
        <f ca="1">_xlfn.IFNA(VLOOKUP(INDIRECT("G"&amp;ROW()),minfo!$A:$M,COLUMN()-8,0),"")</f>
        <v>3053937</v>
      </c>
      <c r="U732" s="4">
        <f ca="1">_xlfn.IFNA(VLOOKUP(INDIRECT("G"&amp;ROW()),minfo!$A:$M,COLUMN()-8,0),"")</f>
        <v>0</v>
      </c>
    </row>
    <row r="733" spans="1:21" ht="15.75" customHeight="1">
      <c r="A733" s="15">
        <v>732</v>
      </c>
      <c r="B733" s="4" t="s">
        <v>4316</v>
      </c>
      <c r="C733" s="4">
        <v>733</v>
      </c>
      <c r="D733" s="4">
        <v>143</v>
      </c>
      <c r="E733" s="4" t="s">
        <v>1010</v>
      </c>
      <c r="F733" s="16">
        <v>45271</v>
      </c>
      <c r="G733" s="5" t="s">
        <v>1009</v>
      </c>
      <c r="H733" s="5" t="s">
        <v>4168</v>
      </c>
      <c r="I733" s="24" t="str">
        <f>HYPERLINK("https://www.bilibili.com/video/BV1ie411v7a2?p=143", "BV1ie411v7a2?p=143")</f>
        <v>BV1ie411v7a2?p=143</v>
      </c>
      <c r="J733" s="4" t="str">
        <f ca="1">_xlfn.IFNA(VLOOKUP(INDIRECT("G"&amp;ROW()),minfo!$A:$M,COLUMN()-8,0),"")</f>
        <v>黑色毛衣</v>
      </c>
      <c r="K733" s="4" t="str">
        <f ca="1">_xlfn.IFNA(VLOOKUP(INDIRECT("G"&amp;ROW()),minfo!$A:$M,COLUMN()-8,0),"")</f>
        <v>周杰伦</v>
      </c>
      <c r="L733" s="4">
        <f ca="1">_xlfn.IFNA(VLOOKUP(INDIRECT("G"&amp;ROW()),minfo!$A:$M,COLUMN()-8,0),"")</f>
        <v>0</v>
      </c>
      <c r="M733" s="4">
        <f ca="1">_xlfn.IFNA(VLOOKUP(INDIRECT("G"&amp;ROW()),minfo!$A:$M,COLUMN()-8,0),"")</f>
        <v>0</v>
      </c>
      <c r="N733" s="4">
        <f ca="1">_xlfn.IFNA(VLOOKUP(INDIRECT("G"&amp;ROW()),minfo!$A:$M,COLUMN()-8,0),"")</f>
        <v>0</v>
      </c>
      <c r="O733" s="4" t="str">
        <f ca="1">_xlfn.IFNA(VLOOKUP(INDIRECT("G"&amp;ROW()),minfo!$A:$M,COLUMN()-8,0),"")</f>
        <v>https://i0.hdslb.com/bfs/station_src/music_metadata/d177abbc80cfe554a91bcd9e69d8da51.jpg</v>
      </c>
      <c r="P733" s="4" t="str">
        <f ca="1">_xlfn.IFNA(VLOOKUP(INDIRECT("G"&amp;ROW()),minfo!$A:$M,COLUMN()-8,0),"")</f>
        <v>http://i0.hdslb.com/bfs/station_src/music_metadata/87ffce3db53d0d821f19079333c6109c</v>
      </c>
      <c r="Q733" s="4">
        <f ca="1">_xlfn.IFNA(VLOOKUP(INDIRECT("G"&amp;ROW()),minfo!$A:$M,COLUMN()-8,0),"")</f>
        <v>900</v>
      </c>
      <c r="R733" s="4">
        <f ca="1">_xlfn.IFNA(VLOOKUP(INDIRECT("G"&amp;ROW()),minfo!$A:$M,COLUMN()-8,0),"")</f>
        <v>0</v>
      </c>
      <c r="S733" s="4" t="str">
        <f ca="1">_xlfn.IFNA(VLOOKUP(INDIRECT("G"&amp;ROW()),minfo!$A:$M,COLUMN()-8,0),"")</f>
        <v>十一月的萧邦</v>
      </c>
      <c r="T733" s="4">
        <f ca="1">_xlfn.IFNA(VLOOKUP(INDIRECT("G"&amp;ROW()),minfo!$A:$M,COLUMN()-8,0),"")</f>
        <v>294942325</v>
      </c>
      <c r="U733" s="4">
        <f ca="1">_xlfn.IFNA(VLOOKUP(INDIRECT("G"&amp;ROW()),minfo!$A:$M,COLUMN()-8,0),"")</f>
        <v>0</v>
      </c>
    </row>
    <row r="734" spans="1:21" ht="15.75" customHeight="1">
      <c r="A734" s="15">
        <v>733</v>
      </c>
      <c r="B734" s="4" t="s">
        <v>4317</v>
      </c>
      <c r="C734" s="4">
        <v>734</v>
      </c>
      <c r="D734" s="4">
        <v>144</v>
      </c>
      <c r="E734" s="4" t="s">
        <v>1824</v>
      </c>
      <c r="F734" s="16">
        <v>45271</v>
      </c>
      <c r="G734" s="5" t="s">
        <v>1823</v>
      </c>
      <c r="H734" s="5" t="s">
        <v>4168</v>
      </c>
      <c r="I734" s="24" t="str">
        <f>HYPERLINK("https://www.bilibili.com/video/BV1ie411v7a2?p=144", "BV1ie411v7a2?p=144")</f>
        <v>BV1ie411v7a2?p=144</v>
      </c>
      <c r="J734" s="4" t="str">
        <f ca="1">_xlfn.IFNA(VLOOKUP(INDIRECT("G"&amp;ROW()),minfo!$A:$M,COLUMN()-8,0),"")</f>
        <v>月</v>
      </c>
      <c r="K734" s="4" t="str">
        <f ca="1">_xlfn.IFNA(VLOOKUP(INDIRECT("G"&amp;ROW()),minfo!$A:$M,COLUMN()-8,0),"")</f>
        <v>郁可唯</v>
      </c>
      <c r="L734" s="4">
        <f ca="1">_xlfn.IFNA(VLOOKUP(INDIRECT("G"&amp;ROW()),minfo!$A:$M,COLUMN()-8,0),"")</f>
        <v>0</v>
      </c>
      <c r="M734" s="4">
        <f ca="1">_xlfn.IFNA(VLOOKUP(INDIRECT("G"&amp;ROW()),minfo!$A:$M,COLUMN()-8,0),"")</f>
        <v>0</v>
      </c>
      <c r="N734" s="4">
        <f ca="1">_xlfn.IFNA(VLOOKUP(INDIRECT("G"&amp;ROW()),minfo!$A:$M,COLUMN()-8,0),"")</f>
        <v>0</v>
      </c>
      <c r="O734" s="4" t="str">
        <f ca="1">_xlfn.IFNA(VLOOKUP(INDIRECT("G"&amp;ROW()),minfo!$A:$M,COLUMN()-8,0),"")</f>
        <v>https://i0.hdslb.com/bfs/station_src/music_metadata/18366082543cccb9ea83dadd477d221d.jpg</v>
      </c>
      <c r="P734" s="4" t="str">
        <f ca="1">_xlfn.IFNA(VLOOKUP(INDIRECT("G"&amp;ROW()),minfo!$A:$M,COLUMN()-8,0),"")</f>
        <v>https://i0.hdslb.com/bfs/station_src/music_metadata/31530dd411904e556b2dcad90552b3b7.txt</v>
      </c>
      <c r="Q734" s="4">
        <f ca="1">_xlfn.IFNA(VLOOKUP(INDIRECT("G"&amp;ROW()),minfo!$A:$M,COLUMN()-8,0),"")</f>
        <v>159</v>
      </c>
      <c r="R734" s="4">
        <f ca="1">_xlfn.IFNA(VLOOKUP(INDIRECT("G"&amp;ROW()),minfo!$A:$M,COLUMN()-8,0),"")</f>
        <v>0</v>
      </c>
      <c r="S734" s="4" t="str">
        <f ca="1">_xlfn.IFNA(VLOOKUP(INDIRECT("G"&amp;ROW()),minfo!$A:$M,COLUMN()-8,0),"")</f>
        <v>月</v>
      </c>
      <c r="T734" s="4">
        <f ca="1">_xlfn.IFNA(VLOOKUP(INDIRECT("G"&amp;ROW()),minfo!$A:$M,COLUMN()-8,0),"")</f>
        <v>38638268</v>
      </c>
      <c r="U734" s="4">
        <f ca="1">_xlfn.IFNA(VLOOKUP(INDIRECT("G"&amp;ROW()),minfo!$A:$M,COLUMN()-8,0),"")</f>
        <v>0</v>
      </c>
    </row>
    <row r="735" spans="1:21" ht="15.75" customHeight="1">
      <c r="A735" s="15">
        <v>734</v>
      </c>
      <c r="B735" s="4" t="s">
        <v>4318</v>
      </c>
      <c r="C735" s="4">
        <v>735</v>
      </c>
      <c r="D735" s="4">
        <v>145</v>
      </c>
      <c r="E735" s="4" t="s">
        <v>1088</v>
      </c>
      <c r="F735" s="16">
        <v>45271</v>
      </c>
      <c r="G735" s="5" t="s">
        <v>1087</v>
      </c>
      <c r="H735" s="5" t="s">
        <v>4168</v>
      </c>
      <c r="I735" s="24" t="str">
        <f>HYPERLINK("https://www.bilibili.com/video/BV1ie411v7a2?p=145", "BV1ie411v7a2?p=145")</f>
        <v>BV1ie411v7a2?p=145</v>
      </c>
      <c r="J735" s="4" t="str">
        <f ca="1">_xlfn.IFNA(VLOOKUP(INDIRECT("G"&amp;ROW()),minfo!$A:$M,COLUMN()-8,0),"")</f>
        <v>落在胸口的星星</v>
      </c>
      <c r="K735" s="4" t="str">
        <f ca="1">_xlfn.IFNA(VLOOKUP(INDIRECT("G"&amp;ROW()),minfo!$A:$M,COLUMN()-8,0),"")</f>
        <v>郁可唯</v>
      </c>
      <c r="L735" s="4">
        <f ca="1">_xlfn.IFNA(VLOOKUP(INDIRECT("G"&amp;ROW()),minfo!$A:$M,COLUMN()-8,0),"")</f>
        <v>0</v>
      </c>
      <c r="M735" s="4">
        <f ca="1">_xlfn.IFNA(VLOOKUP(INDIRECT("G"&amp;ROW()),minfo!$A:$M,COLUMN()-8,0),"")</f>
        <v>0</v>
      </c>
      <c r="N735" s="4">
        <f ca="1">_xlfn.IFNA(VLOOKUP(INDIRECT("G"&amp;ROW()),minfo!$A:$M,COLUMN()-8,0),"")</f>
        <v>0</v>
      </c>
      <c r="O735" s="4" t="str">
        <f ca="1">_xlfn.IFNA(VLOOKUP(INDIRECT("G"&amp;ROW()),minfo!$A:$M,COLUMN()-8,0),"")</f>
        <v>https://i0.hdslb.com/bfs/station_src/music_metadata/50c77e28db4c8227c00d9a071a65db1e.jpg</v>
      </c>
      <c r="P735" s="4" t="str">
        <f ca="1">_xlfn.IFNA(VLOOKUP(INDIRECT("G"&amp;ROW()),minfo!$A:$M,COLUMN()-8,0),"")</f>
        <v>https://i0.hdslb.com/bfs/station_src/music_metadata/709099508f630786ca5d062cce060acd.txt</v>
      </c>
      <c r="Q735" s="4">
        <f ca="1">_xlfn.IFNA(VLOOKUP(INDIRECT("G"&amp;ROW()),minfo!$A:$M,COLUMN()-8,0),"")</f>
        <v>0</v>
      </c>
      <c r="R735" s="4" t="str">
        <f ca="1">_xlfn.IFNA(VLOOKUP(INDIRECT("G"&amp;ROW()),minfo!$A:$M,COLUMN()-8,0),"")</f>
        <v>《美容针》电影主题曲</v>
      </c>
      <c r="S735" s="4" t="str">
        <f ca="1">_xlfn.IFNA(VLOOKUP(INDIRECT("G"&amp;ROW()),minfo!$A:$M,COLUMN()-8,0),"")</f>
        <v>落在胸口的星星</v>
      </c>
      <c r="T735" s="4">
        <f ca="1">_xlfn.IFNA(VLOOKUP(INDIRECT("G"&amp;ROW()),minfo!$A:$M,COLUMN()-8,0),"")</f>
        <v>2086840</v>
      </c>
      <c r="U735" s="4">
        <f ca="1">_xlfn.IFNA(VLOOKUP(INDIRECT("G"&amp;ROW()),minfo!$A:$M,COLUMN()-8,0),"")</f>
        <v>0</v>
      </c>
    </row>
    <row r="736" spans="1:21" ht="15.75" customHeight="1">
      <c r="A736" s="15">
        <v>735</v>
      </c>
      <c r="B736" s="4" t="s">
        <v>4319</v>
      </c>
      <c r="C736" s="4">
        <v>736</v>
      </c>
      <c r="D736" s="4">
        <v>146</v>
      </c>
      <c r="E736" s="4" t="s">
        <v>918</v>
      </c>
      <c r="F736" s="16">
        <v>45271</v>
      </c>
      <c r="G736" s="5" t="s">
        <v>917</v>
      </c>
      <c r="H736" s="5" t="s">
        <v>4168</v>
      </c>
      <c r="I736" s="24" t="str">
        <f>HYPERLINK("https://www.bilibili.com/video/BV1ie411v7a2?p=146", "BV1ie411v7a2?p=146")</f>
        <v>BV1ie411v7a2?p=146</v>
      </c>
      <c r="J736" s="4" t="str">
        <f ca="1">_xlfn.IFNA(VLOOKUP(INDIRECT("G"&amp;ROW()),minfo!$A:$M,COLUMN()-8,0),"")</f>
        <v>暗号</v>
      </c>
      <c r="K736" s="4" t="str">
        <f ca="1">_xlfn.IFNA(VLOOKUP(INDIRECT("G"&amp;ROW()),minfo!$A:$M,COLUMN()-8,0),"")</f>
        <v>周杰伦</v>
      </c>
      <c r="L736" s="4">
        <f ca="1">_xlfn.IFNA(VLOOKUP(INDIRECT("G"&amp;ROW()),minfo!$A:$M,COLUMN()-8,0),"")</f>
        <v>0</v>
      </c>
      <c r="M736" s="4">
        <f ca="1">_xlfn.IFNA(VLOOKUP(INDIRECT("G"&amp;ROW()),minfo!$A:$M,COLUMN()-8,0),"")</f>
        <v>0</v>
      </c>
      <c r="N736" s="4">
        <f ca="1">_xlfn.IFNA(VLOOKUP(INDIRECT("G"&amp;ROW()),minfo!$A:$M,COLUMN()-8,0),"")</f>
        <v>0</v>
      </c>
      <c r="O736" s="4" t="str">
        <f ca="1">_xlfn.IFNA(VLOOKUP(INDIRECT("G"&amp;ROW()),minfo!$A:$M,COLUMN()-8,0),"")</f>
        <v>https://i0.hdslb.com/bfs/station_src/music_metadata/836d7078552d6143b4a27f54a2a62598.jpg</v>
      </c>
      <c r="P736" s="4">
        <f ca="1">_xlfn.IFNA(VLOOKUP(INDIRECT("G"&amp;ROW()),minfo!$A:$M,COLUMN()-8,0),"")</f>
        <v>0</v>
      </c>
      <c r="Q736" s="4">
        <f ca="1">_xlfn.IFNA(VLOOKUP(INDIRECT("G"&amp;ROW()),minfo!$A:$M,COLUMN()-8,0),"")</f>
        <v>8346</v>
      </c>
      <c r="R736" s="4">
        <f ca="1">_xlfn.IFNA(VLOOKUP(INDIRECT("G"&amp;ROW()),minfo!$A:$M,COLUMN()-8,0),"")</f>
        <v>0</v>
      </c>
      <c r="S736" s="4" t="str">
        <f ca="1">_xlfn.IFNA(VLOOKUP(INDIRECT("G"&amp;ROW()),minfo!$A:$M,COLUMN()-8,0),"")</f>
        <v>八度空间</v>
      </c>
      <c r="T736" s="4">
        <f ca="1">_xlfn.IFNA(VLOOKUP(INDIRECT("G"&amp;ROW()),minfo!$A:$M,COLUMN()-8,0),"")</f>
        <v>445692889</v>
      </c>
      <c r="U736" s="4">
        <f ca="1">_xlfn.IFNA(VLOOKUP(INDIRECT("G"&amp;ROW()),minfo!$A:$M,COLUMN()-8,0),"")</f>
        <v>0</v>
      </c>
    </row>
    <row r="737" spans="1:21" ht="15.75" customHeight="1">
      <c r="A737" s="15">
        <v>736</v>
      </c>
      <c r="B737" s="4" t="s">
        <v>4320</v>
      </c>
      <c r="C737" s="4">
        <v>737</v>
      </c>
      <c r="D737" s="4">
        <v>147</v>
      </c>
      <c r="E737" s="4" t="s">
        <v>934</v>
      </c>
      <c r="F737" s="16">
        <v>45271</v>
      </c>
      <c r="G737" s="5" t="s">
        <v>933</v>
      </c>
      <c r="H737" s="5" t="s">
        <v>4168</v>
      </c>
      <c r="I737" s="24" t="str">
        <f>HYPERLINK("https://www.bilibili.com/video/BV1ie411v7a2?p=147", "BV1ie411v7a2?p=147")</f>
        <v>BV1ie411v7a2?p=147</v>
      </c>
      <c r="J737" s="4" t="str">
        <f ca="1">_xlfn.IFNA(VLOOKUP(INDIRECT("G"&amp;ROW()),minfo!$A:$M,COLUMN()-8,0),"")</f>
        <v>敕勒歌</v>
      </c>
      <c r="K737" s="4" t="str">
        <f ca="1">_xlfn.IFNA(VLOOKUP(INDIRECT("G"&amp;ROW()),minfo!$A:$M,COLUMN()-8,0),"")</f>
        <v>谭维维</v>
      </c>
      <c r="L737" s="4">
        <f ca="1">_xlfn.IFNA(VLOOKUP(INDIRECT("G"&amp;ROW()),minfo!$A:$M,COLUMN()-8,0),"")</f>
        <v>0</v>
      </c>
      <c r="M737" s="4">
        <f ca="1">_xlfn.IFNA(VLOOKUP(INDIRECT("G"&amp;ROW()),minfo!$A:$M,COLUMN()-8,0),"")</f>
        <v>0</v>
      </c>
      <c r="N737" s="4">
        <f ca="1">_xlfn.IFNA(VLOOKUP(INDIRECT("G"&amp;ROW()),minfo!$A:$M,COLUMN()-8,0),"")</f>
        <v>0</v>
      </c>
      <c r="O737" s="4" t="str">
        <f ca="1">_xlfn.IFNA(VLOOKUP(INDIRECT("G"&amp;ROW()),minfo!$A:$M,COLUMN()-8,0),"")</f>
        <v>https://i0.hdslb.com/bfs/station_src/music_metadata/4633e67685206de0672cc528709e3e2f.jpg</v>
      </c>
      <c r="P737" s="4" t="str">
        <f ca="1">_xlfn.IFNA(VLOOKUP(INDIRECT("G"&amp;ROW()),minfo!$A:$M,COLUMN()-8,0),"")</f>
        <v>https://i0.hdslb.com/bfs/station_src/music_metadata/dff7d3073b6cc36766c38942f1f4cf16.txt</v>
      </c>
      <c r="Q737" s="4">
        <f ca="1">_xlfn.IFNA(VLOOKUP(INDIRECT("G"&amp;ROW()),minfo!$A:$M,COLUMN()-8,0),"")</f>
        <v>382</v>
      </c>
      <c r="R737" s="4">
        <f ca="1">_xlfn.IFNA(VLOOKUP(INDIRECT("G"&amp;ROW()),minfo!$A:$M,COLUMN()-8,0),"")</f>
        <v>0</v>
      </c>
      <c r="S737" s="4" t="str">
        <f ca="1">_xlfn.IFNA(VLOOKUP(INDIRECT("G"&amp;ROW()),minfo!$A:$M,COLUMN()-8,0),"")</f>
        <v>经典咏流传第二季 第六期</v>
      </c>
      <c r="T737" s="4">
        <f ca="1">_xlfn.IFNA(VLOOKUP(INDIRECT("G"&amp;ROW()),minfo!$A:$M,COLUMN()-8,0),"")</f>
        <v>19549830</v>
      </c>
      <c r="U737" s="4">
        <f ca="1">_xlfn.IFNA(VLOOKUP(INDIRECT("G"&amp;ROW()),minfo!$A:$M,COLUMN()-8,0),"")</f>
        <v>0</v>
      </c>
    </row>
    <row r="738" spans="1:21" ht="15.75" customHeight="1">
      <c r="A738" s="15">
        <v>737</v>
      </c>
      <c r="B738" s="4" t="s">
        <v>4321</v>
      </c>
      <c r="C738" s="4">
        <v>738</v>
      </c>
      <c r="D738" s="4">
        <v>148</v>
      </c>
      <c r="E738" s="4" t="s">
        <v>105</v>
      </c>
      <c r="F738" s="16">
        <v>45272</v>
      </c>
      <c r="G738" s="5" t="s">
        <v>1827</v>
      </c>
      <c r="H738" s="5" t="s">
        <v>4168</v>
      </c>
      <c r="I738" s="24" t="str">
        <f>HYPERLINK("https://www.bilibili.com/video/BV1ie411v7a2?p=148", "BV1ie411v7a2?p=148")</f>
        <v>BV1ie411v7a2?p=148</v>
      </c>
      <c r="J738" s="4" t="str">
        <f ca="1">_xlfn.IFNA(VLOOKUP(INDIRECT("G"&amp;ROW()),minfo!$A:$M,COLUMN()-8,0),"")</f>
        <v>花月妖</v>
      </c>
      <c r="K738" s="4" t="str">
        <f ca="1">_xlfn.IFNA(VLOOKUP(INDIRECT("G"&amp;ROW()),minfo!$A:$M,COLUMN()-8,0),"")</f>
        <v>说说Crystal</v>
      </c>
      <c r="L738" s="4">
        <f ca="1">_xlfn.IFNA(VLOOKUP(INDIRECT("G"&amp;ROW()),minfo!$A:$M,COLUMN()-8,0),"")</f>
        <v>0</v>
      </c>
      <c r="M738" s="4">
        <f ca="1">_xlfn.IFNA(VLOOKUP(INDIRECT("G"&amp;ROW()),minfo!$A:$M,COLUMN()-8,0),"")</f>
        <v>0</v>
      </c>
      <c r="N738" s="4">
        <f ca="1">_xlfn.IFNA(VLOOKUP(INDIRECT("G"&amp;ROW()),minfo!$A:$M,COLUMN()-8,0),"")</f>
        <v>0</v>
      </c>
      <c r="O738" s="4" t="str">
        <f ca="1">_xlfn.IFNA(VLOOKUP(INDIRECT("G"&amp;ROW()),minfo!$A:$M,COLUMN()-8,0),"")</f>
        <v>https://i0.hdslb.com/bfs/station_src/music_metadata/55cdb41a446e5a3e7e554b5961143bc7.jpg</v>
      </c>
      <c r="P738" s="4" t="str">
        <f ca="1">_xlfn.IFNA(VLOOKUP(INDIRECT("G"&amp;ROW()),minfo!$A:$M,COLUMN()-8,0),"")</f>
        <v>https://i0.hdslb.com/bfs/station_src/music_metadata/0c97bbbbf51bc8b21fe5875c0bf27b57.txt</v>
      </c>
      <c r="Q738" s="4">
        <f ca="1">_xlfn.IFNA(VLOOKUP(INDIRECT("G"&amp;ROW()),minfo!$A:$M,COLUMN()-8,0),"")</f>
        <v>8</v>
      </c>
      <c r="R738" s="4">
        <f ca="1">_xlfn.IFNA(VLOOKUP(INDIRECT("G"&amp;ROW()),minfo!$A:$M,COLUMN()-8,0),"")</f>
        <v>0</v>
      </c>
      <c r="S738" s="4" t="str">
        <f ca="1">_xlfn.IFNA(VLOOKUP(INDIRECT("G"&amp;ROW()),minfo!$A:$M,COLUMN()-8,0),"")</f>
        <v>花月妖</v>
      </c>
      <c r="T738" s="4">
        <f ca="1">_xlfn.IFNA(VLOOKUP(INDIRECT("G"&amp;ROW()),minfo!$A:$M,COLUMN()-8,0),"")</f>
        <v>1163456</v>
      </c>
      <c r="U738" s="4">
        <f ca="1">_xlfn.IFNA(VLOOKUP(INDIRECT("G"&amp;ROW()),minfo!$A:$M,COLUMN()-8,0),"")</f>
        <v>0</v>
      </c>
    </row>
    <row r="739" spans="1:21" ht="15.75" customHeight="1">
      <c r="A739" s="15">
        <v>738</v>
      </c>
      <c r="B739" s="4" t="s">
        <v>4322</v>
      </c>
      <c r="C739" s="4">
        <v>739</v>
      </c>
      <c r="D739" s="4">
        <v>149</v>
      </c>
      <c r="E739" s="4" t="s">
        <v>79</v>
      </c>
      <c r="F739" s="16">
        <v>45272</v>
      </c>
      <c r="G739" s="5" t="s">
        <v>1830</v>
      </c>
      <c r="H739" s="5" t="s">
        <v>4168</v>
      </c>
      <c r="I739" s="24" t="str">
        <f>HYPERLINK("https://www.bilibili.com/video/BV1ie411v7a2?p=149", "BV1ie411v7a2?p=149")</f>
        <v>BV1ie411v7a2?p=149</v>
      </c>
      <c r="J739" s="4" t="str">
        <f ca="1">_xlfn.IFNA(VLOOKUP(INDIRECT("G"&amp;ROW()),minfo!$A:$M,COLUMN()-8,0),"")</f>
        <v>至宝</v>
      </c>
      <c r="K739" s="4" t="str">
        <f ca="1">_xlfn.IFNA(VLOOKUP(INDIRECT("G"&amp;ROW()),minfo!$A:$M,COLUMN()-8,0),"")</f>
        <v>说说Crystal</v>
      </c>
      <c r="L739" s="4">
        <f ca="1">_xlfn.IFNA(VLOOKUP(INDIRECT("G"&amp;ROW()),minfo!$A:$M,COLUMN()-8,0),"")</f>
        <v>0</v>
      </c>
      <c r="M739" s="4">
        <f ca="1">_xlfn.IFNA(VLOOKUP(INDIRECT("G"&amp;ROW()),minfo!$A:$M,COLUMN()-8,0),"")</f>
        <v>0</v>
      </c>
      <c r="N739" s="4">
        <f ca="1">_xlfn.IFNA(VLOOKUP(INDIRECT("G"&amp;ROW()),minfo!$A:$M,COLUMN()-8,0),"")</f>
        <v>0</v>
      </c>
      <c r="O739" s="4" t="str">
        <f ca="1">_xlfn.IFNA(VLOOKUP(INDIRECT("G"&amp;ROW()),minfo!$A:$M,COLUMN()-8,0),"")</f>
        <v>https://i0.hdslb.com/bfs/station_src/music_metadata/4df255c0a6804ee3d0862ac78121d975.jpg</v>
      </c>
      <c r="P739" s="4">
        <f ca="1">_xlfn.IFNA(VLOOKUP(INDIRECT("G"&amp;ROW()),minfo!$A:$M,COLUMN()-8,0),"")</f>
        <v>0</v>
      </c>
      <c r="Q739" s="4">
        <f ca="1">_xlfn.IFNA(VLOOKUP(INDIRECT("G"&amp;ROW()),minfo!$A:$M,COLUMN()-8,0),"")</f>
        <v>0</v>
      </c>
      <c r="R739" s="4">
        <f ca="1">_xlfn.IFNA(VLOOKUP(INDIRECT("G"&amp;ROW()),minfo!$A:$M,COLUMN()-8,0),"")</f>
        <v>0</v>
      </c>
      <c r="S739" s="4" t="str">
        <f ca="1">_xlfn.IFNA(VLOOKUP(INDIRECT("G"&amp;ROW()),minfo!$A:$M,COLUMN()-8,0),"")</f>
        <v>【说说Crystal·原创】《至宝》民族唱法中国风【甘泽谣系列】</v>
      </c>
      <c r="T739" s="4">
        <f ca="1">_xlfn.IFNA(VLOOKUP(INDIRECT("G"&amp;ROW()),minfo!$A:$M,COLUMN()-8,0),"")</f>
        <v>263541</v>
      </c>
      <c r="U739" s="4">
        <f ca="1">_xlfn.IFNA(VLOOKUP(INDIRECT("G"&amp;ROW()),minfo!$A:$M,COLUMN()-8,0),"")</f>
        <v>0</v>
      </c>
    </row>
    <row r="740" spans="1:21" ht="15.75" customHeight="1">
      <c r="A740" s="15">
        <v>739</v>
      </c>
      <c r="B740" s="4" t="s">
        <v>4323</v>
      </c>
      <c r="C740" s="4">
        <v>740</v>
      </c>
      <c r="D740" s="4">
        <v>150</v>
      </c>
      <c r="E740" s="4" t="s">
        <v>445</v>
      </c>
      <c r="F740" s="16">
        <v>45278</v>
      </c>
      <c r="G740" s="5" t="s">
        <v>444</v>
      </c>
      <c r="H740" s="5" t="s">
        <v>4168</v>
      </c>
      <c r="I740" s="24" t="str">
        <f>HYPERLINK("https://www.bilibili.com/video/BV1ie411v7a2?p=150", "BV1ie411v7a2?p=150")</f>
        <v>BV1ie411v7a2?p=150</v>
      </c>
      <c r="J740" s="4" t="str">
        <f ca="1">_xlfn.IFNA(VLOOKUP(INDIRECT("G"&amp;ROW()),minfo!$A:$M,COLUMN()-8,0),"")</f>
        <v>残酷月光</v>
      </c>
      <c r="K740" s="4" t="str">
        <f ca="1">_xlfn.IFNA(VLOOKUP(INDIRECT("G"&amp;ROW()),minfo!$A:$M,COLUMN()-8,0),"")</f>
        <v>林宥嘉</v>
      </c>
      <c r="L740" s="4">
        <f ca="1">_xlfn.IFNA(VLOOKUP(INDIRECT("G"&amp;ROW()),minfo!$A:$M,COLUMN()-8,0),"")</f>
        <v>0</v>
      </c>
      <c r="M740" s="4">
        <f ca="1">_xlfn.IFNA(VLOOKUP(INDIRECT("G"&amp;ROW()),minfo!$A:$M,COLUMN()-8,0),"")</f>
        <v>0</v>
      </c>
      <c r="N740" s="4">
        <f ca="1">_xlfn.IFNA(VLOOKUP(INDIRECT("G"&amp;ROW()),minfo!$A:$M,COLUMN()-8,0),"")</f>
        <v>0</v>
      </c>
      <c r="O740" s="4" t="str">
        <f ca="1">_xlfn.IFNA(VLOOKUP(INDIRECT("G"&amp;ROW()),minfo!$A:$M,COLUMN()-8,0),"")</f>
        <v>https://i0.hdslb.com/bfs/station_src/music_metadata/ce9ac424f4b7f0eefa82ac853ca376b9.jpg</v>
      </c>
      <c r="P740" s="4" t="str">
        <f ca="1">_xlfn.IFNA(VLOOKUP(INDIRECT("G"&amp;ROW()),minfo!$A:$M,COLUMN()-8,0),"")</f>
        <v>http://i0.hdslb.com/bfs/station_src/music_metadata/7ac56c3c98e60f9cff717672bce72537</v>
      </c>
      <c r="Q740" s="4">
        <f ca="1">_xlfn.IFNA(VLOOKUP(INDIRECT("G"&amp;ROW()),minfo!$A:$M,COLUMN()-8,0),"")</f>
        <v>181</v>
      </c>
      <c r="R740" s="4">
        <f ca="1">_xlfn.IFNA(VLOOKUP(INDIRECT("G"&amp;ROW()),minfo!$A:$M,COLUMN()-8,0),"")</f>
        <v>0</v>
      </c>
      <c r="S740" s="4" t="str">
        <f ca="1">_xlfn.IFNA(VLOOKUP(INDIRECT("G"&amp;ROW()),minfo!$A:$M,COLUMN()-8,0),"")</f>
        <v>神秘嘉宾</v>
      </c>
      <c r="T740" s="4">
        <f ca="1">_xlfn.IFNA(VLOOKUP(INDIRECT("G"&amp;ROW()),minfo!$A:$M,COLUMN()-8,0),"")</f>
        <v>44513923</v>
      </c>
      <c r="U740" s="4">
        <f ca="1">_xlfn.IFNA(VLOOKUP(INDIRECT("G"&amp;ROW()),minfo!$A:$M,COLUMN()-8,0),"")</f>
        <v>0</v>
      </c>
    </row>
    <row r="741" spans="1:21" ht="15.75" customHeight="1">
      <c r="A741" s="15">
        <v>740</v>
      </c>
      <c r="B741" s="4" t="s">
        <v>4324</v>
      </c>
      <c r="C741" s="4">
        <v>741</v>
      </c>
      <c r="D741" s="4">
        <v>151</v>
      </c>
      <c r="E741" s="4" t="s">
        <v>909</v>
      </c>
      <c r="F741" s="16">
        <v>45278</v>
      </c>
      <c r="G741" s="5" t="s">
        <v>908</v>
      </c>
      <c r="H741" s="5" t="s">
        <v>4168</v>
      </c>
      <c r="I741" s="24" t="str">
        <f>HYPERLINK("https://www.bilibili.com/video/BV1ie411v7a2?p=151", "BV1ie411v7a2?p=151")</f>
        <v>BV1ie411v7a2?p=151</v>
      </c>
      <c r="J741" s="4" t="str">
        <f ca="1">_xlfn.IFNA(VLOOKUP(INDIRECT("G"&amp;ROW()),minfo!$A:$M,COLUMN()-8,0),"")</f>
        <v>再见深海</v>
      </c>
      <c r="K741" s="4" t="str">
        <f ca="1">_xlfn.IFNA(VLOOKUP(INDIRECT("G"&amp;ROW()),minfo!$A:$M,COLUMN()-8,0),"")</f>
        <v>唐汉霄</v>
      </c>
      <c r="L741" s="4">
        <f ca="1">_xlfn.IFNA(VLOOKUP(INDIRECT("G"&amp;ROW()),minfo!$A:$M,COLUMN()-8,0),"")</f>
        <v>0</v>
      </c>
      <c r="M741" s="4">
        <f ca="1">_xlfn.IFNA(VLOOKUP(INDIRECT("G"&amp;ROW()),minfo!$A:$M,COLUMN()-8,0),"")</f>
        <v>36024</v>
      </c>
      <c r="N741" s="4">
        <f ca="1">_xlfn.IFNA(VLOOKUP(INDIRECT("G"&amp;ROW()),minfo!$A:$M,COLUMN()-8,0),"")</f>
        <v>5360</v>
      </c>
      <c r="O741" s="4" t="str">
        <f ca="1">_xlfn.IFNA(VLOOKUP(INDIRECT("G"&amp;ROW()),minfo!$A:$M,COLUMN()-8,0),"")</f>
        <v>http://i0.hdslb.com/bfs/station_src/music_metadata/125614d52d7873a21f10529ee87cc3dd.jpg</v>
      </c>
      <c r="P741" s="4">
        <f ca="1">_xlfn.IFNA(VLOOKUP(INDIRECT("G"&amp;ROW()),minfo!$A:$M,COLUMN()-8,0),"")</f>
        <v>0</v>
      </c>
      <c r="Q741" s="4">
        <f ca="1">_xlfn.IFNA(VLOOKUP(INDIRECT("G"&amp;ROW()),minfo!$A:$M,COLUMN()-8,0),"")</f>
        <v>1337</v>
      </c>
      <c r="R741" s="4">
        <f ca="1">_xlfn.IFNA(VLOOKUP(INDIRECT("G"&amp;ROW()),minfo!$A:$M,COLUMN()-8,0),"")</f>
        <v>0</v>
      </c>
      <c r="S741" s="4" t="str">
        <f ca="1">_xlfn.IFNA(VLOOKUP(INDIRECT("G"&amp;ROW()),minfo!$A:$M,COLUMN()-8,0),"")</f>
        <v>再见深海(微亮的瞬间)</v>
      </c>
      <c r="T741" s="4">
        <f ca="1">_xlfn.IFNA(VLOOKUP(INDIRECT("G"&amp;ROW()),minfo!$A:$M,COLUMN()-8,0),"")</f>
        <v>106771637</v>
      </c>
      <c r="U741" s="4" t="str">
        <f ca="1">_xlfn.IFNA(VLOOKUP(INDIRECT("G"&amp;ROW()),minfo!$A:$M,COLUMN()-8,0),"")</f>
        <v>音乐榜最高NO.18</v>
      </c>
    </row>
    <row r="742" spans="1:21" ht="15.75" customHeight="1">
      <c r="A742" s="15">
        <v>741</v>
      </c>
      <c r="B742" s="4" t="s">
        <v>4325</v>
      </c>
      <c r="C742" s="4">
        <v>742</v>
      </c>
      <c r="D742" s="4">
        <v>152</v>
      </c>
      <c r="E742" s="4" t="s">
        <v>1495</v>
      </c>
      <c r="F742" s="16">
        <v>45278</v>
      </c>
      <c r="G742" s="5" t="s">
        <v>1494</v>
      </c>
      <c r="H742" s="5" t="s">
        <v>4168</v>
      </c>
      <c r="I742" s="24" t="str">
        <f>HYPERLINK("https://www.bilibili.com/video/BV1ie411v7a2?p=152", "BV1ie411v7a2?p=152")</f>
        <v>BV1ie411v7a2?p=152</v>
      </c>
      <c r="J742" s="4" t="str">
        <f ca="1">_xlfn.IFNA(VLOOKUP(INDIRECT("G"&amp;ROW()),minfo!$A:$M,COLUMN()-8,0),"")</f>
        <v>兜圈</v>
      </c>
      <c r="K742" s="4" t="str">
        <f ca="1">_xlfn.IFNA(VLOOKUP(INDIRECT("G"&amp;ROW()),minfo!$A:$M,COLUMN()-8,0),"")</f>
        <v>林宥嘉</v>
      </c>
      <c r="L742" s="4">
        <f ca="1">_xlfn.IFNA(VLOOKUP(INDIRECT("G"&amp;ROW()),minfo!$A:$M,COLUMN()-8,0),"")</f>
        <v>0</v>
      </c>
      <c r="M742" s="4">
        <f ca="1">_xlfn.IFNA(VLOOKUP(INDIRECT("G"&amp;ROW()),minfo!$A:$M,COLUMN()-8,0),"")</f>
        <v>0</v>
      </c>
      <c r="N742" s="4">
        <f ca="1">_xlfn.IFNA(VLOOKUP(INDIRECT("G"&amp;ROW()),minfo!$A:$M,COLUMN()-8,0),"")</f>
        <v>0</v>
      </c>
      <c r="O742" s="4" t="str">
        <f ca="1">_xlfn.IFNA(VLOOKUP(INDIRECT("G"&amp;ROW()),minfo!$A:$M,COLUMN()-8,0),"")</f>
        <v>http://i0.hdslb.com/bfs/station_src/music_metadata/e4aaa8aab2c28fc2fde797d960647814.jpg</v>
      </c>
      <c r="P742" s="4" t="str">
        <f ca="1">_xlfn.IFNA(VLOOKUP(INDIRECT("G"&amp;ROW()),minfo!$A:$M,COLUMN()-8,0),"")</f>
        <v>http://i0.hdslb.com/bfs/station_src/music_metadata/287cc610c4bd3e3ef13de5df8dde7c02</v>
      </c>
      <c r="Q742" s="4">
        <f ca="1">_xlfn.IFNA(VLOOKUP(INDIRECT("G"&amp;ROW()),minfo!$A:$M,COLUMN()-8,0),"")</f>
        <v>421</v>
      </c>
      <c r="R742" s="4">
        <f ca="1">_xlfn.IFNA(VLOOKUP(INDIRECT("G"&amp;ROW()),minfo!$A:$M,COLUMN()-8,0),"")</f>
        <v>0</v>
      </c>
      <c r="S742" s="4">
        <f ca="1">_xlfn.IFNA(VLOOKUP(INDIRECT("G"&amp;ROW()),minfo!$A:$M,COLUMN()-8,0),"")</f>
        <v>0</v>
      </c>
      <c r="T742" s="4">
        <f ca="1">_xlfn.IFNA(VLOOKUP(INDIRECT("G"&amp;ROW()),minfo!$A:$M,COLUMN()-8,0),"")</f>
        <v>29390728</v>
      </c>
      <c r="U742" s="4">
        <f ca="1">_xlfn.IFNA(VLOOKUP(INDIRECT("G"&amp;ROW()),minfo!$A:$M,COLUMN()-8,0),"")</f>
        <v>0</v>
      </c>
    </row>
    <row r="743" spans="1:21" ht="15.75" customHeight="1">
      <c r="A743" s="15">
        <v>742</v>
      </c>
      <c r="B743" s="4" t="s">
        <v>4326</v>
      </c>
      <c r="C743" s="4">
        <v>743</v>
      </c>
      <c r="D743" s="4">
        <v>153</v>
      </c>
      <c r="E743" s="4" t="s">
        <v>180</v>
      </c>
      <c r="F743" s="16">
        <v>45278</v>
      </c>
      <c r="G743" s="5" t="s">
        <v>179</v>
      </c>
      <c r="H743" s="5" t="s">
        <v>4168</v>
      </c>
      <c r="I743" s="24" t="str">
        <f>HYPERLINK("https://www.bilibili.com/video/BV1ie411v7a2?p=153", "BV1ie411v7a2?p=153")</f>
        <v>BV1ie411v7a2?p=153</v>
      </c>
      <c r="J743" s="4" t="str">
        <f ca="1">_xlfn.IFNA(VLOOKUP(INDIRECT("G"&amp;ROW()),minfo!$A:$M,COLUMN()-8,0),"")</f>
        <v>雪落下的声音</v>
      </c>
      <c r="K743" s="4" t="str">
        <f ca="1">_xlfn.IFNA(VLOOKUP(INDIRECT("G"&amp;ROW()),minfo!$A:$M,COLUMN()-8,0),"")</f>
        <v>陆虎</v>
      </c>
      <c r="L743" s="4">
        <f ca="1">_xlfn.IFNA(VLOOKUP(INDIRECT("G"&amp;ROW()),minfo!$A:$M,COLUMN()-8,0),"")</f>
        <v>0</v>
      </c>
      <c r="M743" s="4">
        <f ca="1">_xlfn.IFNA(VLOOKUP(INDIRECT("G"&amp;ROW()),minfo!$A:$M,COLUMN()-8,0),"")</f>
        <v>0</v>
      </c>
      <c r="N743" s="4">
        <f ca="1">_xlfn.IFNA(VLOOKUP(INDIRECT("G"&amp;ROW()),minfo!$A:$M,COLUMN()-8,0),"")</f>
        <v>0</v>
      </c>
      <c r="O743" s="4" t="str">
        <f ca="1">_xlfn.IFNA(VLOOKUP(INDIRECT("G"&amp;ROW()),minfo!$A:$M,COLUMN()-8,0),"")</f>
        <v>http://i0.hdslb.com/bfs/station_src/music_metadata/f4572c77b0f3a173236700166377c6c1.jpg</v>
      </c>
      <c r="P743" s="4" t="str">
        <f ca="1">_xlfn.IFNA(VLOOKUP(INDIRECT("G"&amp;ROW()),minfo!$A:$M,COLUMN()-8,0),"")</f>
        <v>http://i0.hdslb.com/bfs/station_src/music_metadata/0ede01b76f5911ecd8df09f7308038d9</v>
      </c>
      <c r="Q743" s="4">
        <f ca="1">_xlfn.IFNA(VLOOKUP(INDIRECT("G"&amp;ROW()),minfo!$A:$M,COLUMN()-8,0),"")</f>
        <v>1394</v>
      </c>
      <c r="R743" s="4" t="str">
        <f ca="1">_xlfn.IFNA(VLOOKUP(INDIRECT("G"&amp;ROW()),minfo!$A:$M,COLUMN()-8,0),"")</f>
        <v>《延禧攻略》电视剧片尾曲</v>
      </c>
      <c r="S743" s="4" t="str">
        <f ca="1">_xlfn.IFNA(VLOOKUP(INDIRECT("G"&amp;ROW()),minfo!$A:$M,COLUMN()-8,0),"")</f>
        <v>延禧攻略OST</v>
      </c>
      <c r="T743" s="4">
        <f ca="1">_xlfn.IFNA(VLOOKUP(INDIRECT("G"&amp;ROW()),minfo!$A:$M,COLUMN()-8,0),"")</f>
        <v>365899290</v>
      </c>
      <c r="U743" s="4">
        <f ca="1">_xlfn.IFNA(VLOOKUP(INDIRECT("G"&amp;ROW()),minfo!$A:$M,COLUMN()-8,0),"")</f>
        <v>0</v>
      </c>
    </row>
    <row r="744" spans="1:21" ht="15.75" customHeight="1">
      <c r="A744" s="15">
        <v>743</v>
      </c>
      <c r="B744" s="4" t="s">
        <v>4327</v>
      </c>
      <c r="C744" s="4">
        <v>744</v>
      </c>
      <c r="D744" s="4">
        <v>154</v>
      </c>
      <c r="E744" s="4" t="s">
        <v>1834</v>
      </c>
      <c r="F744" s="16">
        <v>45278</v>
      </c>
      <c r="G744" s="5" t="s">
        <v>1833</v>
      </c>
      <c r="H744" s="5" t="s">
        <v>4168</v>
      </c>
      <c r="I744" s="24" t="str">
        <f>HYPERLINK("https://www.bilibili.com/video/BV1ie411v7a2?p=154", "BV1ie411v7a2?p=154")</f>
        <v>BV1ie411v7a2?p=154</v>
      </c>
      <c r="J744" s="4" t="str">
        <f ca="1">_xlfn.IFNA(VLOOKUP(INDIRECT("G"&amp;ROW()),minfo!$A:$M,COLUMN()-8,0),"")</f>
        <v>好久不见</v>
      </c>
      <c r="K744" s="4" t="str">
        <f ca="1">_xlfn.IFNA(VLOOKUP(INDIRECT("G"&amp;ROW()),minfo!$A:$M,COLUMN()-8,0),"")</f>
        <v>陈奕迅</v>
      </c>
      <c r="L744" s="4">
        <f ca="1">_xlfn.IFNA(VLOOKUP(INDIRECT("G"&amp;ROW()),minfo!$A:$M,COLUMN()-8,0),"")</f>
        <v>0</v>
      </c>
      <c r="M744" s="4">
        <f ca="1">_xlfn.IFNA(VLOOKUP(INDIRECT("G"&amp;ROW()),minfo!$A:$M,COLUMN()-8,0),"")</f>
        <v>0</v>
      </c>
      <c r="N744" s="4">
        <f ca="1">_xlfn.IFNA(VLOOKUP(INDIRECT("G"&amp;ROW()),minfo!$A:$M,COLUMN()-8,0),"")</f>
        <v>0</v>
      </c>
      <c r="O744" s="4" t="str">
        <f ca="1">_xlfn.IFNA(VLOOKUP(INDIRECT("G"&amp;ROW()),minfo!$A:$M,COLUMN()-8,0),"")</f>
        <v>http://i0.hdslb.com/bfs/station_src/music_metadata/88d27fa622749c05378197f26416a668.jpg</v>
      </c>
      <c r="P744" s="4" t="str">
        <f ca="1">_xlfn.IFNA(VLOOKUP(INDIRECT("G"&amp;ROW()),minfo!$A:$M,COLUMN()-8,0),"")</f>
        <v>http://i0.hdslb.com/bfs/station_src/music_metadata/df74b6beacc1517c61c7e5b9886f9e6c</v>
      </c>
      <c r="Q744" s="4">
        <f ca="1">_xlfn.IFNA(VLOOKUP(INDIRECT("G"&amp;ROW()),minfo!$A:$M,COLUMN()-8,0),"")</f>
        <v>642</v>
      </c>
      <c r="R744" s="4">
        <f ca="1">_xlfn.IFNA(VLOOKUP(INDIRECT("G"&amp;ROW()),minfo!$A:$M,COLUMN()-8,0),"")</f>
        <v>0</v>
      </c>
      <c r="S744" s="4" t="str">
        <f ca="1">_xlfn.IFNA(VLOOKUP(INDIRECT("G"&amp;ROW()),minfo!$A:$M,COLUMN()-8,0),"")</f>
        <v>认了吧</v>
      </c>
      <c r="T744" s="4">
        <f ca="1">_xlfn.IFNA(VLOOKUP(INDIRECT("G"&amp;ROW()),minfo!$A:$M,COLUMN()-8,0),"")</f>
        <v>197318709</v>
      </c>
      <c r="U744" s="4">
        <f ca="1">_xlfn.IFNA(VLOOKUP(INDIRECT("G"&amp;ROW()),minfo!$A:$M,COLUMN()-8,0),"")</f>
        <v>0</v>
      </c>
    </row>
    <row r="745" spans="1:21" ht="15.75" customHeight="1">
      <c r="A745" s="15">
        <v>744</v>
      </c>
      <c r="B745" s="4" t="s">
        <v>4328</v>
      </c>
      <c r="C745" s="4">
        <v>745</v>
      </c>
      <c r="D745" s="4">
        <v>155</v>
      </c>
      <c r="E745" s="4" t="s">
        <v>4329</v>
      </c>
      <c r="F745" s="16">
        <v>45278</v>
      </c>
      <c r="G745" s="5" t="s">
        <v>1837</v>
      </c>
      <c r="H745" s="5" t="s">
        <v>4168</v>
      </c>
      <c r="I745" s="24" t="str">
        <f>HYPERLINK("https://www.bilibili.com/video/BV1ie411v7a2?p=155", "BV1ie411v7a2?p=155")</f>
        <v>BV1ie411v7a2?p=155</v>
      </c>
      <c r="J745" s="4" t="str">
        <f ca="1">_xlfn.IFNA(VLOOKUP(INDIRECT("G"&amp;ROW()),minfo!$A:$M,COLUMN()-8,0),"")</f>
        <v>飘雪-雪の華</v>
      </c>
      <c r="K745" s="4" t="str">
        <f ca="1">_xlfn.IFNA(VLOOKUP(INDIRECT("G"&amp;ROW()),minfo!$A:$M,COLUMN()-8,0),"")</f>
        <v>陈慧娴</v>
      </c>
      <c r="L745" s="4">
        <f ca="1">_xlfn.IFNA(VLOOKUP(INDIRECT("G"&amp;ROW()),minfo!$A:$M,COLUMN()-8,0),"")</f>
        <v>0</v>
      </c>
      <c r="M745" s="4">
        <f ca="1">_xlfn.IFNA(VLOOKUP(INDIRECT("G"&amp;ROW()),minfo!$A:$M,COLUMN()-8,0),"")</f>
        <v>0</v>
      </c>
      <c r="N745" s="4">
        <f ca="1">_xlfn.IFNA(VLOOKUP(INDIRECT("G"&amp;ROW()),minfo!$A:$M,COLUMN()-8,0),"")</f>
        <v>0</v>
      </c>
      <c r="O745" s="4" t="str">
        <f ca="1">_xlfn.IFNA(VLOOKUP(INDIRECT("G"&amp;ROW()),minfo!$A:$M,COLUMN()-8,0),"")</f>
        <v>https://i0.hdslb.com/bfs/station_src/music_metadata/75bf081013bcbb2e63cb5c6871e79d67.jpg</v>
      </c>
      <c r="P745" s="4" t="str">
        <f ca="1">_xlfn.IFNA(VLOOKUP(INDIRECT("G"&amp;ROW()),minfo!$A:$M,COLUMN()-8,0),"")</f>
        <v>http://i0.hdslb.com/bfs/station_src/music_metadata/44281aaea8f0663d8ae45d5c6f2567ca</v>
      </c>
      <c r="Q745" s="4">
        <f ca="1">_xlfn.IFNA(VLOOKUP(INDIRECT("G"&amp;ROW()),minfo!$A:$M,COLUMN()-8,0),"")</f>
        <v>313</v>
      </c>
      <c r="R745" s="4" t="str">
        <f ca="1">_xlfn.IFNA(VLOOKUP(INDIRECT("G"&amp;ROW()),minfo!$A:$M,COLUMN()-8,0),"")</f>
        <v>《少女佳禾》电影插曲</v>
      </c>
      <c r="S745" s="4" t="str">
        <f ca="1">_xlfn.IFNA(VLOOKUP(INDIRECT("G"&amp;ROW()),minfo!$A:$M,COLUMN()-8,0),"")</f>
        <v>归来吧</v>
      </c>
      <c r="T745" s="4">
        <f ca="1">_xlfn.IFNA(VLOOKUP(INDIRECT("G"&amp;ROW()),minfo!$A:$M,COLUMN()-8,0),"")</f>
        <v>63845647</v>
      </c>
      <c r="U745" s="4">
        <f ca="1">_xlfn.IFNA(VLOOKUP(INDIRECT("G"&amp;ROW()),minfo!$A:$M,COLUMN()-8,0),"")</f>
        <v>0</v>
      </c>
    </row>
    <row r="746" spans="1:21" ht="15.75" customHeight="1">
      <c r="A746" s="15">
        <v>745</v>
      </c>
      <c r="B746" s="4" t="s">
        <v>4330</v>
      </c>
      <c r="C746" s="4">
        <v>746</v>
      </c>
      <c r="D746" s="4">
        <v>156</v>
      </c>
      <c r="E746" s="4" t="s">
        <v>1845</v>
      </c>
      <c r="F746" s="16">
        <v>45278</v>
      </c>
      <c r="G746" s="5" t="s">
        <v>1844</v>
      </c>
      <c r="H746" s="5" t="s">
        <v>4168</v>
      </c>
      <c r="I746" s="24" t="str">
        <f>HYPERLINK("https://www.bilibili.com/video/BV1ie411v7a2?p=156", "BV1ie411v7a2?p=156")</f>
        <v>BV1ie411v7a2?p=156</v>
      </c>
      <c r="J746" s="4" t="str">
        <f ca="1">_xlfn.IFNA(VLOOKUP(INDIRECT("G"&amp;ROW()),minfo!$A:$M,COLUMN()-8,0),"")</f>
        <v>暖暖</v>
      </c>
      <c r="K746" s="4" t="str">
        <f ca="1">_xlfn.IFNA(VLOOKUP(INDIRECT("G"&amp;ROW()),minfo!$A:$M,COLUMN()-8,0),"")</f>
        <v>梁静茹</v>
      </c>
      <c r="L746" s="4">
        <f ca="1">_xlfn.IFNA(VLOOKUP(INDIRECT("G"&amp;ROW()),minfo!$A:$M,COLUMN()-8,0),"")</f>
        <v>0</v>
      </c>
      <c r="M746" s="4">
        <f ca="1">_xlfn.IFNA(VLOOKUP(INDIRECT("G"&amp;ROW()),minfo!$A:$M,COLUMN()-8,0),"")</f>
        <v>0</v>
      </c>
      <c r="N746" s="4">
        <f ca="1">_xlfn.IFNA(VLOOKUP(INDIRECT("G"&amp;ROW()),minfo!$A:$M,COLUMN()-8,0),"")</f>
        <v>0</v>
      </c>
      <c r="O746" s="4" t="str">
        <f ca="1">_xlfn.IFNA(VLOOKUP(INDIRECT("G"&amp;ROW()),minfo!$A:$M,COLUMN()-8,0),"")</f>
        <v>http://i0.hdslb.com/bfs/station_src/music_metadata/fa9db500952a7e4f9a2805e8f3533bbf.jpg</v>
      </c>
      <c r="P746" s="4" t="str">
        <f ca="1">_xlfn.IFNA(VLOOKUP(INDIRECT("G"&amp;ROW()),minfo!$A:$M,COLUMN()-8,0),"")</f>
        <v>http://i0.hdslb.com/bfs/station_src/music_metadata/db39d5b13ad72836680f5b4de35faa0c</v>
      </c>
      <c r="Q746" s="4">
        <f ca="1">_xlfn.IFNA(VLOOKUP(INDIRECT("G"&amp;ROW()),minfo!$A:$M,COLUMN()-8,0),"")</f>
        <v>6677</v>
      </c>
      <c r="R746" s="4">
        <f ca="1">_xlfn.IFNA(VLOOKUP(INDIRECT("G"&amp;ROW()),minfo!$A:$M,COLUMN()-8,0),"")</f>
        <v>0</v>
      </c>
      <c r="S746" s="4" t="str">
        <f ca="1">_xlfn.IFNA(VLOOKUP(INDIRECT("G"&amp;ROW()),minfo!$A:$M,COLUMN()-8,0),"")</f>
        <v>亲亲</v>
      </c>
      <c r="T746" s="4">
        <f ca="1">_xlfn.IFNA(VLOOKUP(INDIRECT("G"&amp;ROW()),minfo!$A:$M,COLUMN()-8,0),"")</f>
        <v>833926032</v>
      </c>
      <c r="U746" s="4">
        <f ca="1">_xlfn.IFNA(VLOOKUP(INDIRECT("G"&amp;ROW()),minfo!$A:$M,COLUMN()-8,0),"")</f>
        <v>0</v>
      </c>
    </row>
    <row r="747" spans="1:21" ht="15.75" customHeight="1">
      <c r="A747" s="15">
        <v>746</v>
      </c>
      <c r="B747" s="4" t="s">
        <v>4331</v>
      </c>
      <c r="C747" s="4">
        <v>747</v>
      </c>
      <c r="D747" s="4">
        <v>157</v>
      </c>
      <c r="E747" s="4" t="s">
        <v>1289</v>
      </c>
      <c r="F747" s="16">
        <v>45278</v>
      </c>
      <c r="G747" s="5" t="s">
        <v>1288</v>
      </c>
      <c r="H747" s="5" t="s">
        <v>4168</v>
      </c>
      <c r="I747" s="24" t="str">
        <f>HYPERLINK("https://www.bilibili.com/video/BV1ie411v7a2?p=157", "BV1ie411v7a2?p=157")</f>
        <v>BV1ie411v7a2?p=157</v>
      </c>
      <c r="J747" s="4" t="str">
        <f ca="1">_xlfn.IFNA(VLOOKUP(INDIRECT("G"&amp;ROW()),minfo!$A:$M,COLUMN()-8,0),"")</f>
        <v>孤独娱乐</v>
      </c>
      <c r="K747" s="4" t="str">
        <f ca="1">_xlfn.IFNA(VLOOKUP(INDIRECT("G"&amp;ROW()),minfo!$A:$M,COLUMN()-8,0),"")</f>
        <v>林俊杰</v>
      </c>
      <c r="L747" s="4">
        <f ca="1">_xlfn.IFNA(VLOOKUP(INDIRECT("G"&amp;ROW()),minfo!$A:$M,COLUMN()-8,0),"")</f>
        <v>0</v>
      </c>
      <c r="M747" s="4">
        <f ca="1">_xlfn.IFNA(VLOOKUP(INDIRECT("G"&amp;ROW()),minfo!$A:$M,COLUMN()-8,0),"")</f>
        <v>0</v>
      </c>
      <c r="N747" s="4">
        <f ca="1">_xlfn.IFNA(VLOOKUP(INDIRECT("G"&amp;ROW()),minfo!$A:$M,COLUMN()-8,0),"")</f>
        <v>0</v>
      </c>
      <c r="O747" s="4" t="str">
        <f ca="1">_xlfn.IFNA(VLOOKUP(INDIRECT("G"&amp;ROW()),minfo!$A:$M,COLUMN()-8,0),"")</f>
        <v>http://i0.hdslb.com/bfs/station_src/music_metadata/84561b5e1d6e1dfa852adcf51e34eb8f.jpg</v>
      </c>
      <c r="P747" s="4">
        <f ca="1">_xlfn.IFNA(VLOOKUP(INDIRECT("G"&amp;ROW()),minfo!$A:$M,COLUMN()-8,0),"")</f>
        <v>0</v>
      </c>
      <c r="Q747" s="4">
        <f ca="1">_xlfn.IFNA(VLOOKUP(INDIRECT("G"&amp;ROW()),minfo!$A:$M,COLUMN()-8,0),"")</f>
        <v>79</v>
      </c>
      <c r="R747" s="4">
        <f ca="1">_xlfn.IFNA(VLOOKUP(INDIRECT("G"&amp;ROW()),minfo!$A:$M,COLUMN()-8,0),"")</f>
        <v>0</v>
      </c>
      <c r="S747" s="4" t="str">
        <f ca="1">_xlfn.IFNA(VLOOKUP(INDIRECT("G"&amp;ROW()),minfo!$A:$M,COLUMN()-8,0),"")</f>
        <v>重拾_快乐</v>
      </c>
      <c r="T747" s="4">
        <f ca="1">_xlfn.IFNA(VLOOKUP(INDIRECT("G"&amp;ROW()),minfo!$A:$M,COLUMN()-8,0),"")</f>
        <v>19753956</v>
      </c>
      <c r="U747" s="4">
        <f ca="1">_xlfn.IFNA(VLOOKUP(INDIRECT("G"&amp;ROW()),minfo!$A:$M,COLUMN()-8,0),"")</f>
        <v>0</v>
      </c>
    </row>
    <row r="748" spans="1:21" ht="15.75" customHeight="1">
      <c r="A748" s="15">
        <v>747</v>
      </c>
      <c r="B748" s="4" t="s">
        <v>4332</v>
      </c>
      <c r="C748" s="4">
        <v>748</v>
      </c>
      <c r="D748" s="4">
        <v>158</v>
      </c>
      <c r="E748" s="4" t="s">
        <v>638</v>
      </c>
      <c r="F748" s="16">
        <v>45278</v>
      </c>
      <c r="G748" s="5" t="s">
        <v>637</v>
      </c>
      <c r="H748" s="5" t="s">
        <v>4168</v>
      </c>
      <c r="I748" s="24" t="str">
        <f>HYPERLINK("https://www.bilibili.com/video/BV1ie411v7a2?p=158", "BV1ie411v7a2?p=158")</f>
        <v>BV1ie411v7a2?p=158</v>
      </c>
      <c r="J748" s="4" t="str">
        <f ca="1">_xlfn.IFNA(VLOOKUP(INDIRECT("G"&amp;ROW()),minfo!$A:$M,COLUMN()-8,0),"")</f>
        <v>搁浅</v>
      </c>
      <c r="K748" s="4" t="str">
        <f ca="1">_xlfn.IFNA(VLOOKUP(INDIRECT("G"&amp;ROW()),minfo!$A:$M,COLUMN()-8,0),"")</f>
        <v>周杰伦</v>
      </c>
      <c r="L748" s="4">
        <f ca="1">_xlfn.IFNA(VLOOKUP(INDIRECT("G"&amp;ROW()),minfo!$A:$M,COLUMN()-8,0),"")</f>
        <v>0</v>
      </c>
      <c r="M748" s="4">
        <f ca="1">_xlfn.IFNA(VLOOKUP(INDIRECT("G"&amp;ROW()),minfo!$A:$M,COLUMN()-8,0),"")</f>
        <v>0</v>
      </c>
      <c r="N748" s="4">
        <f ca="1">_xlfn.IFNA(VLOOKUP(INDIRECT("G"&amp;ROW()),minfo!$A:$M,COLUMN()-8,0),"")</f>
        <v>0</v>
      </c>
      <c r="O748" s="4" t="str">
        <f ca="1">_xlfn.IFNA(VLOOKUP(INDIRECT("G"&amp;ROW()),minfo!$A:$M,COLUMN()-8,0),"")</f>
        <v>https://i0.hdslb.com/bfs/station_src/music_metadata/5ea93d49aa366e4340787bbc3d63de25.jpg</v>
      </c>
      <c r="P748" s="4">
        <f ca="1">_xlfn.IFNA(VLOOKUP(INDIRECT("G"&amp;ROW()),minfo!$A:$M,COLUMN()-8,0),"")</f>
        <v>0</v>
      </c>
      <c r="Q748" s="4">
        <f ca="1">_xlfn.IFNA(VLOOKUP(INDIRECT("G"&amp;ROW()),minfo!$A:$M,COLUMN()-8,0),"")</f>
        <v>4120</v>
      </c>
      <c r="R748" s="4">
        <f ca="1">_xlfn.IFNA(VLOOKUP(INDIRECT("G"&amp;ROW()),minfo!$A:$M,COLUMN()-8,0),"")</f>
        <v>0</v>
      </c>
      <c r="S748" s="4" t="str">
        <f ca="1">_xlfn.IFNA(VLOOKUP(INDIRECT("G"&amp;ROW()),minfo!$A:$M,COLUMN()-8,0),"")</f>
        <v>七里香</v>
      </c>
      <c r="T748" s="4">
        <f ca="1">_xlfn.IFNA(VLOOKUP(INDIRECT("G"&amp;ROW()),minfo!$A:$M,COLUMN()-8,0),"")</f>
        <v>593603418</v>
      </c>
      <c r="U748" s="4">
        <f ca="1">_xlfn.IFNA(VLOOKUP(INDIRECT("G"&amp;ROW()),minfo!$A:$M,COLUMN()-8,0),"")</f>
        <v>0</v>
      </c>
    </row>
    <row r="749" spans="1:21" ht="15.75" customHeight="1">
      <c r="A749" s="15">
        <v>748</v>
      </c>
      <c r="B749" s="4" t="s">
        <v>4333</v>
      </c>
      <c r="C749" s="4">
        <v>749</v>
      </c>
      <c r="D749" s="4">
        <v>159</v>
      </c>
      <c r="E749" s="4" t="s">
        <v>879</v>
      </c>
      <c r="F749" s="16">
        <v>45278</v>
      </c>
      <c r="G749" s="5" t="s">
        <v>878</v>
      </c>
      <c r="H749" s="5" t="s">
        <v>4168</v>
      </c>
      <c r="I749" s="24" t="str">
        <f>HYPERLINK("https://www.bilibili.com/video/BV1ie411v7a2?p=159", "BV1ie411v7a2?p=159")</f>
        <v>BV1ie411v7a2?p=159</v>
      </c>
      <c r="J749" s="4" t="str">
        <f ca="1">_xlfn.IFNA(VLOOKUP(INDIRECT("G"&amp;ROW()),minfo!$A:$M,COLUMN()-8,0),"")</f>
        <v>发如雪</v>
      </c>
      <c r="K749" s="4" t="str">
        <f ca="1">_xlfn.IFNA(VLOOKUP(INDIRECT("G"&amp;ROW()),minfo!$A:$M,COLUMN()-8,0),"")</f>
        <v>周杰伦</v>
      </c>
      <c r="L749" s="4">
        <f ca="1">_xlfn.IFNA(VLOOKUP(INDIRECT("G"&amp;ROW()),minfo!$A:$M,COLUMN()-8,0),"")</f>
        <v>0</v>
      </c>
      <c r="M749" s="4">
        <f ca="1">_xlfn.IFNA(VLOOKUP(INDIRECT("G"&amp;ROW()),minfo!$A:$M,COLUMN()-8,0),"")</f>
        <v>0</v>
      </c>
      <c r="N749" s="4">
        <f ca="1">_xlfn.IFNA(VLOOKUP(INDIRECT("G"&amp;ROW()),minfo!$A:$M,COLUMN()-8,0),"")</f>
        <v>0</v>
      </c>
      <c r="O749" s="4" t="str">
        <f ca="1">_xlfn.IFNA(VLOOKUP(INDIRECT("G"&amp;ROW()),minfo!$A:$M,COLUMN()-8,0),"")</f>
        <v>https://i0.hdslb.com/bfs/station_src/music_metadata/4f19787695e451c7ec6f082affe19c57.jpg</v>
      </c>
      <c r="P749" s="4" t="str">
        <f ca="1">_xlfn.IFNA(VLOOKUP(INDIRECT("G"&amp;ROW()),minfo!$A:$M,COLUMN()-8,0),"")</f>
        <v>http://i0.hdslb.com/bfs/station_src/music_metadata/e48762ee9e6f3b4048f790c705f187cd</v>
      </c>
      <c r="Q749" s="4">
        <f ca="1">_xlfn.IFNA(VLOOKUP(INDIRECT("G"&amp;ROW()),minfo!$A:$M,COLUMN()-8,0),"")</f>
        <v>5236</v>
      </c>
      <c r="R749" s="4">
        <f ca="1">_xlfn.IFNA(VLOOKUP(INDIRECT("G"&amp;ROW()),minfo!$A:$M,COLUMN()-8,0),"")</f>
        <v>0</v>
      </c>
      <c r="S749" s="4" t="str">
        <f ca="1">_xlfn.IFNA(VLOOKUP(INDIRECT("G"&amp;ROW()),minfo!$A:$M,COLUMN()-8,0),"")</f>
        <v>十一月的萧邦</v>
      </c>
      <c r="T749" s="4">
        <f ca="1">_xlfn.IFNA(VLOOKUP(INDIRECT("G"&amp;ROW()),minfo!$A:$M,COLUMN()-8,0),"")</f>
        <v>561545897</v>
      </c>
      <c r="U749" s="4">
        <f ca="1">_xlfn.IFNA(VLOOKUP(INDIRECT("G"&amp;ROW()),minfo!$A:$M,COLUMN()-8,0),"")</f>
        <v>0</v>
      </c>
    </row>
    <row r="750" spans="1:21" ht="15.75" customHeight="1">
      <c r="A750" s="15">
        <v>749</v>
      </c>
      <c r="B750" s="4" t="s">
        <v>4334</v>
      </c>
      <c r="C750" s="4">
        <v>750</v>
      </c>
      <c r="D750" s="4">
        <v>160</v>
      </c>
      <c r="E750" s="4" t="s">
        <v>1850</v>
      </c>
      <c r="F750" s="16">
        <v>45278</v>
      </c>
      <c r="G750" s="5" t="s">
        <v>1849</v>
      </c>
      <c r="H750" s="5" t="s">
        <v>4168</v>
      </c>
      <c r="I750" s="24" t="str">
        <f>HYPERLINK("https://www.bilibili.com/video/BV1ie411v7a2?p=160", "BV1ie411v7a2?p=160")</f>
        <v>BV1ie411v7a2?p=160</v>
      </c>
      <c r="J750" s="4" t="str">
        <f ca="1">_xlfn.IFNA(VLOOKUP(INDIRECT("G"&amp;ROW()),minfo!$A:$M,COLUMN()-8,0),"")</f>
        <v>我不配</v>
      </c>
      <c r="K750" s="4" t="str">
        <f ca="1">_xlfn.IFNA(VLOOKUP(INDIRECT("G"&amp;ROW()),minfo!$A:$M,COLUMN()-8,0),"")</f>
        <v>周杰伦</v>
      </c>
      <c r="L750" s="4">
        <f ca="1">_xlfn.IFNA(VLOOKUP(INDIRECT("G"&amp;ROW()),minfo!$A:$M,COLUMN()-8,0),"")</f>
        <v>0</v>
      </c>
      <c r="M750" s="4">
        <f ca="1">_xlfn.IFNA(VLOOKUP(INDIRECT("G"&amp;ROW()),minfo!$A:$M,COLUMN()-8,0),"")</f>
        <v>0</v>
      </c>
      <c r="N750" s="4">
        <f ca="1">_xlfn.IFNA(VLOOKUP(INDIRECT("G"&amp;ROW()),minfo!$A:$M,COLUMN()-8,0),"")</f>
        <v>0</v>
      </c>
      <c r="O750" s="4" t="str">
        <f ca="1">_xlfn.IFNA(VLOOKUP(INDIRECT("G"&amp;ROW()),minfo!$A:$M,COLUMN()-8,0),"")</f>
        <v>https://i0.hdslb.com/bfs/station_src/music_metadata/a5214bbe0d47f79316edd71a862fc8a5.jpg</v>
      </c>
      <c r="P750" s="4">
        <f ca="1">_xlfn.IFNA(VLOOKUP(INDIRECT("G"&amp;ROW()),minfo!$A:$M,COLUMN()-8,0),"")</f>
        <v>0</v>
      </c>
      <c r="Q750" s="4">
        <f ca="1">_xlfn.IFNA(VLOOKUP(INDIRECT("G"&amp;ROW()),minfo!$A:$M,COLUMN()-8,0),"")</f>
        <v>2206</v>
      </c>
      <c r="R750" s="4">
        <f ca="1">_xlfn.IFNA(VLOOKUP(INDIRECT("G"&amp;ROW()),minfo!$A:$M,COLUMN()-8,0),"")</f>
        <v>0</v>
      </c>
      <c r="S750" s="4" t="str">
        <f ca="1">_xlfn.IFNA(VLOOKUP(INDIRECT("G"&amp;ROW()),minfo!$A:$M,COLUMN()-8,0),"")</f>
        <v>我很忙</v>
      </c>
      <c r="T750" s="4">
        <f ca="1">_xlfn.IFNA(VLOOKUP(INDIRECT("G"&amp;ROW()),minfo!$A:$M,COLUMN()-8,0),"")</f>
        <v>358806634</v>
      </c>
      <c r="U750" s="4">
        <f ca="1">_xlfn.IFNA(VLOOKUP(INDIRECT("G"&amp;ROW()),minfo!$A:$M,COLUMN()-8,0),"")</f>
        <v>0</v>
      </c>
    </row>
    <row r="751" spans="1:21" ht="15.75" customHeight="1">
      <c r="A751" s="15">
        <v>750</v>
      </c>
      <c r="B751" s="4" t="s">
        <v>4335</v>
      </c>
      <c r="C751" s="4">
        <v>751</v>
      </c>
      <c r="D751" s="4">
        <v>161</v>
      </c>
      <c r="E751" s="4" t="s">
        <v>820</v>
      </c>
      <c r="F751" s="16">
        <v>45280</v>
      </c>
      <c r="G751" s="5" t="s">
        <v>819</v>
      </c>
      <c r="H751" s="5" t="s">
        <v>4168</v>
      </c>
      <c r="I751" s="24" t="str">
        <f>HYPERLINK("https://www.bilibili.com/video/BV1ie411v7a2?p=161", "BV1ie411v7a2?p=161")</f>
        <v>BV1ie411v7a2?p=161</v>
      </c>
      <c r="J751" s="4" t="str">
        <f ca="1">_xlfn.IFNA(VLOOKUP(INDIRECT("G"&amp;ROW()),minfo!$A:$M,COLUMN()-8,0),"")</f>
        <v>桃花诺</v>
      </c>
      <c r="K751" s="4" t="str">
        <f ca="1">_xlfn.IFNA(VLOOKUP(INDIRECT("G"&amp;ROW()),minfo!$A:$M,COLUMN()-8,0),"")</f>
        <v>G.E.M.邓紫棋</v>
      </c>
      <c r="L751" s="4">
        <f ca="1">_xlfn.IFNA(VLOOKUP(INDIRECT("G"&amp;ROW()),minfo!$A:$M,COLUMN()-8,0),"")</f>
        <v>0</v>
      </c>
      <c r="M751" s="4">
        <f ca="1">_xlfn.IFNA(VLOOKUP(INDIRECT("G"&amp;ROW()),minfo!$A:$M,COLUMN()-8,0),"")</f>
        <v>0</v>
      </c>
      <c r="N751" s="4">
        <f ca="1">_xlfn.IFNA(VLOOKUP(INDIRECT("G"&amp;ROW()),minfo!$A:$M,COLUMN()-8,0),"")</f>
        <v>0</v>
      </c>
      <c r="O751" s="4" t="str">
        <f ca="1">_xlfn.IFNA(VLOOKUP(INDIRECT("G"&amp;ROW()),minfo!$A:$M,COLUMN()-8,0),"")</f>
        <v>https://i0.hdslb.com/bfs/station_src/music_metadata/6bae981f8da9ae3dbca588bcb85bcd39.jpg</v>
      </c>
      <c r="P751" s="4" t="str">
        <f ca="1">_xlfn.IFNA(VLOOKUP(INDIRECT("G"&amp;ROW()),minfo!$A:$M,COLUMN()-8,0),"")</f>
        <v>http://i0.hdslb.com/bfs/station_src/music_metadata/6b3b9bf58de18a94decf4fedf7355d72</v>
      </c>
      <c r="Q751" s="4">
        <f ca="1">_xlfn.IFNA(VLOOKUP(INDIRECT("G"&amp;ROW()),minfo!$A:$M,COLUMN()-8,0),"")</f>
        <v>3108</v>
      </c>
      <c r="R751" s="4" t="str">
        <f ca="1">_xlfn.IFNA(VLOOKUP(INDIRECT("G"&amp;ROW()),minfo!$A:$M,COLUMN()-8,0),"")</f>
        <v>《上古情歌》电视剧片尾曲</v>
      </c>
      <c r="S751" s="4" t="str">
        <f ca="1">_xlfn.IFNA(VLOOKUP(INDIRECT("G"&amp;ROW()),minfo!$A:$M,COLUMN()-8,0),"")</f>
        <v>上古情歌 电视剧原声带</v>
      </c>
      <c r="T751" s="4">
        <f ca="1">_xlfn.IFNA(VLOOKUP(INDIRECT("G"&amp;ROW()),minfo!$A:$M,COLUMN()-8,0),"")</f>
        <v>860841206</v>
      </c>
      <c r="U751" s="4" t="str">
        <f ca="1">_xlfn.IFNA(VLOOKUP(INDIRECT("G"&amp;ROW()),minfo!$A:$M,COLUMN()-8,0),"")</f>
        <v>音乐榜最高NO.12</v>
      </c>
    </row>
    <row r="752" spans="1:21" ht="15.75" customHeight="1">
      <c r="A752" s="15">
        <v>751</v>
      </c>
      <c r="B752" s="4" t="s">
        <v>4336</v>
      </c>
      <c r="C752" s="4">
        <v>752</v>
      </c>
      <c r="D752" s="4">
        <v>162</v>
      </c>
      <c r="E752" s="4" t="s">
        <v>1653</v>
      </c>
      <c r="F752" s="16">
        <v>45280</v>
      </c>
      <c r="G752" s="5" t="s">
        <v>1652</v>
      </c>
      <c r="H752" s="5" t="s">
        <v>4168</v>
      </c>
      <c r="I752" s="24" t="str">
        <f>HYPERLINK("https://www.bilibili.com/video/BV1ie411v7a2?p=162", "BV1ie411v7a2?p=162")</f>
        <v>BV1ie411v7a2?p=162</v>
      </c>
      <c r="J752" s="4" t="str">
        <f ca="1">_xlfn.IFNA(VLOOKUP(INDIRECT("G"&amp;ROW()),minfo!$A:$M,COLUMN()-8,0),"")</f>
        <v>不为谁而作的歌</v>
      </c>
      <c r="K752" s="4" t="str">
        <f ca="1">_xlfn.IFNA(VLOOKUP(INDIRECT("G"&amp;ROW()),minfo!$A:$M,COLUMN()-8,0),"")</f>
        <v>林俊杰</v>
      </c>
      <c r="L752" s="4">
        <f ca="1">_xlfn.IFNA(VLOOKUP(INDIRECT("G"&amp;ROW()),minfo!$A:$M,COLUMN()-8,0),"")</f>
        <v>0</v>
      </c>
      <c r="M752" s="4">
        <f ca="1">_xlfn.IFNA(VLOOKUP(INDIRECT("G"&amp;ROW()),minfo!$A:$M,COLUMN()-8,0),"")</f>
        <v>0</v>
      </c>
      <c r="N752" s="4">
        <f ca="1">_xlfn.IFNA(VLOOKUP(INDIRECT("G"&amp;ROW()),minfo!$A:$M,COLUMN()-8,0),"")</f>
        <v>0</v>
      </c>
      <c r="O752" s="4" t="str">
        <f ca="1">_xlfn.IFNA(VLOOKUP(INDIRECT("G"&amp;ROW()),minfo!$A:$M,COLUMN()-8,0),"")</f>
        <v>https://i0.hdslb.com/bfs/station_src/music_metadata/ef02a89c1ac2118e61c5d6311110cfd8.jpg</v>
      </c>
      <c r="P752" s="4" t="str">
        <f ca="1">_xlfn.IFNA(VLOOKUP(INDIRECT("G"&amp;ROW()),minfo!$A:$M,COLUMN()-8,0),"")</f>
        <v>https://i0.hdslb.com/bfs/station_src/music_metadata/12f5f595b70ca92e5cee389d2e4d9107.txt</v>
      </c>
      <c r="Q752" s="4">
        <f ca="1">_xlfn.IFNA(VLOOKUP(INDIRECT("G"&amp;ROW()),minfo!$A:$M,COLUMN()-8,0),"")</f>
        <v>791</v>
      </c>
      <c r="R752" s="4">
        <f ca="1">_xlfn.IFNA(VLOOKUP(INDIRECT("G"&amp;ROW()),minfo!$A:$M,COLUMN()-8,0),"")</f>
        <v>0</v>
      </c>
      <c r="S752" s="4" t="str">
        <f ca="1">_xlfn.IFNA(VLOOKUP(INDIRECT("G"&amp;ROW()),minfo!$A:$M,COLUMN()-8,0),"")</f>
        <v>江苏卫视“2016幸福聚荔”跨年演唱会</v>
      </c>
      <c r="T752" s="4">
        <f ca="1">_xlfn.IFNA(VLOOKUP(INDIRECT("G"&amp;ROW()),minfo!$A:$M,COLUMN()-8,0),"")</f>
        <v>312647783</v>
      </c>
      <c r="U752" s="4">
        <f ca="1">_xlfn.IFNA(VLOOKUP(INDIRECT("G"&amp;ROW()),minfo!$A:$M,COLUMN()-8,0),"")</f>
        <v>0</v>
      </c>
    </row>
    <row r="753" spans="1:21" ht="15.75" customHeight="1">
      <c r="A753" s="15">
        <v>752</v>
      </c>
      <c r="B753" s="4" t="s">
        <v>4337</v>
      </c>
      <c r="C753" s="4">
        <v>753</v>
      </c>
      <c r="D753" s="4">
        <v>163</v>
      </c>
      <c r="E753" s="4" t="s">
        <v>786</v>
      </c>
      <c r="F753" s="16">
        <v>45280</v>
      </c>
      <c r="G753" s="5" t="s">
        <v>785</v>
      </c>
      <c r="H753" s="5" t="s">
        <v>4168</v>
      </c>
      <c r="I753" s="24" t="str">
        <f>HYPERLINK("https://www.bilibili.com/video/BV1ie411v7a2?p=163", "BV1ie411v7a2?p=163")</f>
        <v>BV1ie411v7a2?p=163</v>
      </c>
      <c r="J753" s="4" t="str">
        <f ca="1">_xlfn.IFNA(VLOOKUP(INDIRECT("G"&amp;ROW()),minfo!$A:$M,COLUMN()-8,0),"")</f>
        <v>浪漫血液</v>
      </c>
      <c r="K753" s="4" t="str">
        <f ca="1">_xlfn.IFNA(VLOOKUP(INDIRECT("G"&amp;ROW()),minfo!$A:$M,COLUMN()-8,0),"")</f>
        <v>林俊杰</v>
      </c>
      <c r="L753" s="4">
        <f ca="1">_xlfn.IFNA(VLOOKUP(INDIRECT("G"&amp;ROW()),minfo!$A:$M,COLUMN()-8,0),"")</f>
        <v>0</v>
      </c>
      <c r="M753" s="4">
        <f ca="1">_xlfn.IFNA(VLOOKUP(INDIRECT("G"&amp;ROW()),minfo!$A:$M,COLUMN()-8,0),"")</f>
        <v>0</v>
      </c>
      <c r="N753" s="4">
        <f ca="1">_xlfn.IFNA(VLOOKUP(INDIRECT("G"&amp;ROW()),minfo!$A:$M,COLUMN()-8,0),"")</f>
        <v>0</v>
      </c>
      <c r="O753" s="4" t="str">
        <f ca="1">_xlfn.IFNA(VLOOKUP(INDIRECT("G"&amp;ROW()),minfo!$A:$M,COLUMN()-8,0),"")</f>
        <v>https://i0.hdslb.com/bfs/station_src/music_metadata/df4cb70c4afd251b03add35ca9a9908e.jpg</v>
      </c>
      <c r="P753" s="4" t="str">
        <f ca="1">_xlfn.IFNA(VLOOKUP(INDIRECT("G"&amp;ROW()),minfo!$A:$M,COLUMN()-8,0),"")</f>
        <v>http://i0.hdslb.com/bfs/station_src/music_metadata/1681acdfafc8cdc08a44ca96f53471a4</v>
      </c>
      <c r="Q753" s="4">
        <f ca="1">_xlfn.IFNA(VLOOKUP(INDIRECT("G"&amp;ROW()),minfo!$A:$M,COLUMN()-8,0),"")</f>
        <v>1583</v>
      </c>
      <c r="R753" s="4">
        <f ca="1">_xlfn.IFNA(VLOOKUP(INDIRECT("G"&amp;ROW()),minfo!$A:$M,COLUMN()-8,0),"")</f>
        <v>0</v>
      </c>
      <c r="S753" s="4" t="str">
        <f ca="1">_xlfn.IFNA(VLOOKUP(INDIRECT("G"&amp;ROW()),minfo!$A:$M,COLUMN()-8,0),"")</f>
        <v>新地球</v>
      </c>
      <c r="T753" s="4">
        <f ca="1">_xlfn.IFNA(VLOOKUP(INDIRECT("G"&amp;ROW()),minfo!$A:$M,COLUMN()-8,0),"")</f>
        <v>140930479</v>
      </c>
      <c r="U753" s="4">
        <f ca="1">_xlfn.IFNA(VLOOKUP(INDIRECT("G"&amp;ROW()),minfo!$A:$M,COLUMN()-8,0),"")</f>
        <v>0</v>
      </c>
    </row>
    <row r="754" spans="1:21" ht="15.75" customHeight="1">
      <c r="A754" s="15">
        <v>753</v>
      </c>
      <c r="B754" s="4" t="s">
        <v>4338</v>
      </c>
      <c r="C754" s="4">
        <v>754</v>
      </c>
      <c r="D754" s="4">
        <v>164</v>
      </c>
      <c r="E754" s="4" t="s">
        <v>786</v>
      </c>
      <c r="F754" s="16">
        <v>45280</v>
      </c>
      <c r="G754" s="5" t="s">
        <v>785</v>
      </c>
      <c r="H754" s="5" t="s">
        <v>4168</v>
      </c>
      <c r="I754" s="24" t="str">
        <f>HYPERLINK("https://www.bilibili.com/video/BV1ie411v7a2?p=164", "BV1ie411v7a2?p=164")</f>
        <v>BV1ie411v7a2?p=164</v>
      </c>
      <c r="J754" s="4" t="str">
        <f ca="1">_xlfn.IFNA(VLOOKUP(INDIRECT("G"&amp;ROW()),minfo!$A:$M,COLUMN()-8,0),"")</f>
        <v>浪漫血液</v>
      </c>
      <c r="K754" s="4" t="str">
        <f ca="1">_xlfn.IFNA(VLOOKUP(INDIRECT("G"&amp;ROW()),minfo!$A:$M,COLUMN()-8,0),"")</f>
        <v>林俊杰</v>
      </c>
      <c r="L754" s="4">
        <f ca="1">_xlfn.IFNA(VLOOKUP(INDIRECT("G"&amp;ROW()),minfo!$A:$M,COLUMN()-8,0),"")</f>
        <v>0</v>
      </c>
      <c r="M754" s="4">
        <f ca="1">_xlfn.IFNA(VLOOKUP(INDIRECT("G"&amp;ROW()),minfo!$A:$M,COLUMN()-8,0),"")</f>
        <v>0</v>
      </c>
      <c r="N754" s="4">
        <f ca="1">_xlfn.IFNA(VLOOKUP(INDIRECT("G"&amp;ROW()),minfo!$A:$M,COLUMN()-8,0),"")</f>
        <v>0</v>
      </c>
      <c r="O754" s="4" t="str">
        <f ca="1">_xlfn.IFNA(VLOOKUP(INDIRECT("G"&amp;ROW()),minfo!$A:$M,COLUMN()-8,0),"")</f>
        <v>https://i0.hdslb.com/bfs/station_src/music_metadata/df4cb70c4afd251b03add35ca9a9908e.jpg</v>
      </c>
      <c r="P754" s="4" t="str">
        <f ca="1">_xlfn.IFNA(VLOOKUP(INDIRECT("G"&amp;ROW()),minfo!$A:$M,COLUMN()-8,0),"")</f>
        <v>http://i0.hdslb.com/bfs/station_src/music_metadata/1681acdfafc8cdc08a44ca96f53471a4</v>
      </c>
      <c r="Q754" s="4">
        <f ca="1">_xlfn.IFNA(VLOOKUP(INDIRECT("G"&amp;ROW()),minfo!$A:$M,COLUMN()-8,0),"")</f>
        <v>1583</v>
      </c>
      <c r="R754" s="4">
        <f ca="1">_xlfn.IFNA(VLOOKUP(INDIRECT("G"&amp;ROW()),minfo!$A:$M,COLUMN()-8,0),"")</f>
        <v>0</v>
      </c>
      <c r="S754" s="4" t="str">
        <f ca="1">_xlfn.IFNA(VLOOKUP(INDIRECT("G"&amp;ROW()),minfo!$A:$M,COLUMN()-8,0),"")</f>
        <v>新地球</v>
      </c>
      <c r="T754" s="4">
        <f ca="1">_xlfn.IFNA(VLOOKUP(INDIRECT("G"&amp;ROW()),minfo!$A:$M,COLUMN()-8,0),"")</f>
        <v>140930479</v>
      </c>
      <c r="U754" s="4">
        <f ca="1">_xlfn.IFNA(VLOOKUP(INDIRECT("G"&amp;ROW()),minfo!$A:$M,COLUMN()-8,0),"")</f>
        <v>0</v>
      </c>
    </row>
    <row r="755" spans="1:21" ht="15.75" customHeight="1">
      <c r="A755" s="15">
        <v>754</v>
      </c>
      <c r="B755" s="4" t="s">
        <v>4339</v>
      </c>
      <c r="C755" s="4">
        <v>755</v>
      </c>
      <c r="D755" s="4">
        <v>165</v>
      </c>
      <c r="E755" s="4" t="s">
        <v>380</v>
      </c>
      <c r="F755" s="16">
        <v>45282</v>
      </c>
      <c r="G755" s="5" t="s">
        <v>379</v>
      </c>
      <c r="H755" s="5" t="s">
        <v>4168</v>
      </c>
      <c r="I755" s="24" t="str">
        <f>HYPERLINK("https://www.bilibili.com/video/BV1ie411v7a2?p=165", "BV1ie411v7a2?p=165")</f>
        <v>BV1ie411v7a2?p=165</v>
      </c>
      <c r="J755" s="4" t="str">
        <f ca="1">_xlfn.IFNA(VLOOKUP(INDIRECT("G"&amp;ROW()),minfo!$A:$M,COLUMN()-8,0),"")</f>
        <v>等你下课</v>
      </c>
      <c r="K755" s="4" t="str">
        <f ca="1">_xlfn.IFNA(VLOOKUP(INDIRECT("G"&amp;ROW()),minfo!$A:$M,COLUMN()-8,0),"")</f>
        <v>周杰伦</v>
      </c>
      <c r="L755" s="4">
        <f ca="1">_xlfn.IFNA(VLOOKUP(INDIRECT("G"&amp;ROW()),minfo!$A:$M,COLUMN()-8,0),"")</f>
        <v>0</v>
      </c>
      <c r="M755" s="4">
        <f ca="1">_xlfn.IFNA(VLOOKUP(INDIRECT("G"&amp;ROW()),minfo!$A:$M,COLUMN()-8,0),"")</f>
        <v>80914</v>
      </c>
      <c r="N755" s="4">
        <f ca="1">_xlfn.IFNA(VLOOKUP(INDIRECT("G"&amp;ROW()),minfo!$A:$M,COLUMN()-8,0),"")</f>
        <v>13096</v>
      </c>
      <c r="O755" s="4" t="str">
        <f ca="1">_xlfn.IFNA(VLOOKUP(INDIRECT("G"&amp;ROW()),minfo!$A:$M,COLUMN()-8,0),"")</f>
        <v>https://i0.hdslb.com/bfs/station_src/music_metadata/daceac43659e7f7f6326c1570b657381.jpg</v>
      </c>
      <c r="P755" s="4" t="str">
        <f ca="1">_xlfn.IFNA(VLOOKUP(INDIRECT("G"&amp;ROW()),minfo!$A:$M,COLUMN()-8,0),"")</f>
        <v>http://i0.hdslb.com/bfs/station_src/music_metadata/1b827e689cae1db38482c44b47c8737a</v>
      </c>
      <c r="Q755" s="4">
        <f ca="1">_xlfn.IFNA(VLOOKUP(INDIRECT("G"&amp;ROW()),minfo!$A:$M,COLUMN()-8,0),"")</f>
        <v>2038</v>
      </c>
      <c r="R755" s="4">
        <f ca="1">_xlfn.IFNA(VLOOKUP(INDIRECT("G"&amp;ROW()),minfo!$A:$M,COLUMN()-8,0),"")</f>
        <v>0</v>
      </c>
      <c r="S755" s="4" t="str">
        <f ca="1">_xlfn.IFNA(VLOOKUP(INDIRECT("G"&amp;ROW()),minfo!$A:$M,COLUMN()-8,0),"")</f>
        <v>等你下课</v>
      </c>
      <c r="T755" s="4">
        <f ca="1">_xlfn.IFNA(VLOOKUP(INDIRECT("G"&amp;ROW()),minfo!$A:$M,COLUMN()-8,0),"")</f>
        <v>419569575</v>
      </c>
      <c r="U755" s="4">
        <f ca="1">_xlfn.IFNA(VLOOKUP(INDIRECT("G"&amp;ROW()),minfo!$A:$M,COLUMN()-8,0),"")</f>
        <v>0</v>
      </c>
    </row>
    <row r="756" spans="1:21" ht="15.75" customHeight="1">
      <c r="A756" s="15">
        <v>755</v>
      </c>
      <c r="B756" s="4" t="s">
        <v>4340</v>
      </c>
      <c r="C756" s="4">
        <v>756</v>
      </c>
      <c r="D756" s="4">
        <v>166</v>
      </c>
      <c r="E756" s="4" t="s">
        <v>1853</v>
      </c>
      <c r="F756" s="16">
        <v>45282</v>
      </c>
      <c r="G756" s="5" t="s">
        <v>1852</v>
      </c>
      <c r="H756" s="5" t="s">
        <v>4168</v>
      </c>
      <c r="I756" s="24" t="str">
        <f>HYPERLINK("https://www.bilibili.com/video/BV1ie411v7a2?p=166", "BV1ie411v7a2?p=166")</f>
        <v>BV1ie411v7a2?p=166</v>
      </c>
      <c r="J756" s="4" t="str">
        <f ca="1">_xlfn.IFNA(VLOOKUP(INDIRECT("G"&amp;ROW()),minfo!$A:$M,COLUMN()-8,0),"")</f>
        <v>煎熬</v>
      </c>
      <c r="K756" s="4" t="str">
        <f ca="1">_xlfn.IFNA(VLOOKUP(INDIRECT("G"&amp;ROW()),minfo!$A:$M,COLUMN()-8,0),"")</f>
        <v>李佳薇</v>
      </c>
      <c r="L756" s="4">
        <f ca="1">_xlfn.IFNA(VLOOKUP(INDIRECT("G"&amp;ROW()),minfo!$A:$M,COLUMN()-8,0),"")</f>
        <v>0</v>
      </c>
      <c r="M756" s="4">
        <f ca="1">_xlfn.IFNA(VLOOKUP(INDIRECT("G"&amp;ROW()),minfo!$A:$M,COLUMN()-8,0),"")</f>
        <v>0</v>
      </c>
      <c r="N756" s="4">
        <f ca="1">_xlfn.IFNA(VLOOKUP(INDIRECT("G"&amp;ROW()),minfo!$A:$M,COLUMN()-8,0),"")</f>
        <v>0</v>
      </c>
      <c r="O756" s="4" t="str">
        <f ca="1">_xlfn.IFNA(VLOOKUP(INDIRECT("G"&amp;ROW()),minfo!$A:$M,COLUMN()-8,0),"")</f>
        <v>https://i0.hdslb.com/bfs/station_src/music_metadata/392896194db7b1c3645448301e7145bd.jpg</v>
      </c>
      <c r="P756" s="4" t="str">
        <f ca="1">_xlfn.IFNA(VLOOKUP(INDIRECT("G"&amp;ROW()),minfo!$A:$M,COLUMN()-8,0),"")</f>
        <v>http://i0.hdslb.com/bfs/station_src/music_metadata/08d904e76245632fb8aa600eff409bb7</v>
      </c>
      <c r="Q756" s="4">
        <f ca="1">_xlfn.IFNA(VLOOKUP(INDIRECT("G"&amp;ROW()),minfo!$A:$M,COLUMN()-8,0),"")</f>
        <v>166</v>
      </c>
      <c r="R756" s="4">
        <f ca="1">_xlfn.IFNA(VLOOKUP(INDIRECT("G"&amp;ROW()),minfo!$A:$M,COLUMN()-8,0),"")</f>
        <v>0</v>
      </c>
      <c r="S756" s="4">
        <f ca="1">_xlfn.IFNA(VLOOKUP(INDIRECT("G"&amp;ROW()),minfo!$A:$M,COLUMN()-8,0),"")</f>
        <v>0</v>
      </c>
      <c r="T756" s="4">
        <f ca="1">_xlfn.IFNA(VLOOKUP(INDIRECT("G"&amp;ROW()),minfo!$A:$M,COLUMN()-8,0),"")</f>
        <v>141841699</v>
      </c>
      <c r="U756" s="4">
        <f ca="1">_xlfn.IFNA(VLOOKUP(INDIRECT("G"&amp;ROW()),minfo!$A:$M,COLUMN()-8,0),"")</f>
        <v>0</v>
      </c>
    </row>
    <row r="757" spans="1:21" ht="15.75" customHeight="1">
      <c r="A757" s="15">
        <v>756</v>
      </c>
      <c r="B757" s="4" t="s">
        <v>4341</v>
      </c>
      <c r="C757" s="4">
        <v>757</v>
      </c>
      <c r="D757" s="4">
        <v>167</v>
      </c>
      <c r="E757" s="4" t="s">
        <v>1858</v>
      </c>
      <c r="F757" s="16">
        <v>45282</v>
      </c>
      <c r="G757" s="5" t="s">
        <v>1857</v>
      </c>
      <c r="H757" s="5" t="s">
        <v>4168</v>
      </c>
      <c r="I757" s="24" t="str">
        <f>HYPERLINK("https://www.bilibili.com/video/BV1ie411v7a2?p=167", "BV1ie411v7a2?p=167")</f>
        <v>BV1ie411v7a2?p=167</v>
      </c>
      <c r="J757" s="4" t="str">
        <f ca="1">_xlfn.IFNA(VLOOKUP(INDIRECT("G"&amp;ROW()),minfo!$A:$M,COLUMN()-8,0),"")</f>
        <v>茉莉雨</v>
      </c>
      <c r="K757" s="4" t="str">
        <f ca="1">_xlfn.IFNA(VLOOKUP(INDIRECT("G"&amp;ROW()),minfo!$A:$M,COLUMN()-8,0),"")</f>
        <v>林俊杰</v>
      </c>
      <c r="L757" s="4">
        <f ca="1">_xlfn.IFNA(VLOOKUP(INDIRECT("G"&amp;ROW()),minfo!$A:$M,COLUMN()-8,0),"")</f>
        <v>0</v>
      </c>
      <c r="M757" s="4">
        <f ca="1">_xlfn.IFNA(VLOOKUP(INDIRECT("G"&amp;ROW()),minfo!$A:$M,COLUMN()-8,0),"")</f>
        <v>0</v>
      </c>
      <c r="N757" s="4">
        <f ca="1">_xlfn.IFNA(VLOOKUP(INDIRECT("G"&amp;ROW()),minfo!$A:$M,COLUMN()-8,0),"")</f>
        <v>0</v>
      </c>
      <c r="O757" s="4" t="str">
        <f ca="1">_xlfn.IFNA(VLOOKUP(INDIRECT("G"&amp;ROW()),minfo!$A:$M,COLUMN()-8,0),"")</f>
        <v>https://i0.hdslb.com/bfs/station_src/music_metadata/c0c395d0757c371b76c37bb98d3c24e7.jpg</v>
      </c>
      <c r="P757" s="4" t="str">
        <f ca="1">_xlfn.IFNA(VLOOKUP(INDIRECT("G"&amp;ROW()),minfo!$A:$M,COLUMN()-8,0),"")</f>
        <v>https://i0.hdslb.com/bfs/station_src/music_metadata/d45f6c1adb54696b8ea71a2b8e4f0c55.txt</v>
      </c>
      <c r="Q757" s="4">
        <f ca="1">_xlfn.IFNA(VLOOKUP(INDIRECT("G"&amp;ROW()),minfo!$A:$M,COLUMN()-8,0),"")</f>
        <v>114</v>
      </c>
      <c r="R757" s="4">
        <f ca="1">_xlfn.IFNA(VLOOKUP(INDIRECT("G"&amp;ROW()),minfo!$A:$M,COLUMN()-8,0),"")</f>
        <v>0</v>
      </c>
      <c r="S757" s="4" t="str">
        <f ca="1">_xlfn.IFNA(VLOOKUP(INDIRECT("G"&amp;ROW()),minfo!$A:$M,COLUMN()-8,0),"")</f>
        <v>新地球</v>
      </c>
      <c r="T757" s="4">
        <f ca="1">_xlfn.IFNA(VLOOKUP(INDIRECT("G"&amp;ROW()),minfo!$A:$M,COLUMN()-8,0),"")</f>
        <v>23763965</v>
      </c>
      <c r="U757" s="4">
        <f ca="1">_xlfn.IFNA(VLOOKUP(INDIRECT("G"&amp;ROW()),minfo!$A:$M,COLUMN()-8,0),"")</f>
        <v>0</v>
      </c>
    </row>
    <row r="758" spans="1:21" ht="15.75" customHeight="1">
      <c r="A758" s="15">
        <v>757</v>
      </c>
      <c r="B758" s="4" t="s">
        <v>4342</v>
      </c>
      <c r="C758" s="4">
        <v>758</v>
      </c>
      <c r="D758" s="4">
        <v>168</v>
      </c>
      <c r="E758" s="4" t="s">
        <v>1862</v>
      </c>
      <c r="F758" s="16">
        <v>45282</v>
      </c>
      <c r="G758" s="5" t="s">
        <v>1861</v>
      </c>
      <c r="H758" s="5" t="s">
        <v>4168</v>
      </c>
      <c r="I758" s="24" t="str">
        <f>HYPERLINK("https://www.bilibili.com/video/BV1ie411v7a2?p=168", "BV1ie411v7a2?p=168")</f>
        <v>BV1ie411v7a2?p=168</v>
      </c>
      <c r="J758" s="4" t="str">
        <f ca="1">_xlfn.IFNA(VLOOKUP(INDIRECT("G"&amp;ROW()),minfo!$A:$M,COLUMN()-8,0),"")</f>
        <v>输了你赢了世界又如何</v>
      </c>
      <c r="K758" s="4" t="str">
        <f ca="1">_xlfn.IFNA(VLOOKUP(INDIRECT("G"&amp;ROW()),minfo!$A:$M,COLUMN()-8,0),"")</f>
        <v>林俊杰</v>
      </c>
      <c r="L758" s="4">
        <f ca="1">_xlfn.IFNA(VLOOKUP(INDIRECT("G"&amp;ROW()),minfo!$A:$M,COLUMN()-8,0),"")</f>
        <v>0</v>
      </c>
      <c r="M758" s="4">
        <f ca="1">_xlfn.IFNA(VLOOKUP(INDIRECT("G"&amp;ROW()),minfo!$A:$M,COLUMN()-8,0),"")</f>
        <v>0</v>
      </c>
      <c r="N758" s="4">
        <f ca="1">_xlfn.IFNA(VLOOKUP(INDIRECT("G"&amp;ROW()),minfo!$A:$M,COLUMN()-8,0),"")</f>
        <v>0</v>
      </c>
      <c r="O758" s="4" t="str">
        <f ca="1">_xlfn.IFNA(VLOOKUP(INDIRECT("G"&amp;ROW()),minfo!$A:$M,COLUMN()-8,0),"")</f>
        <v>https://i0.hdslb.com/bfs/station_src/music_metadata/6b8be923d21fc565dc6fed2079562ac3.jpg</v>
      </c>
      <c r="P758" s="4" t="str">
        <f ca="1">_xlfn.IFNA(VLOOKUP(INDIRECT("G"&amp;ROW()),minfo!$A:$M,COLUMN()-8,0),"")</f>
        <v>http://i0.hdslb.com/bfs/station_src/music_metadata/0e8d0dec382a722e97b0f4f190e761b7</v>
      </c>
      <c r="Q758" s="4">
        <f ca="1">_xlfn.IFNA(VLOOKUP(INDIRECT("G"&amp;ROW()),minfo!$A:$M,COLUMN()-8,0),"")</f>
        <v>255</v>
      </c>
      <c r="R758" s="4">
        <f ca="1">_xlfn.IFNA(VLOOKUP(INDIRECT("G"&amp;ROW()),minfo!$A:$M,COLUMN()-8,0),"")</f>
        <v>0</v>
      </c>
      <c r="S758" s="4" t="str">
        <f ca="1">_xlfn.IFNA(VLOOKUP(INDIRECT("G"&amp;ROW()),minfo!$A:$M,COLUMN()-8,0),"")</f>
        <v>梦想的声音第二季 第4期</v>
      </c>
      <c r="T758" s="4">
        <f ca="1">_xlfn.IFNA(VLOOKUP(INDIRECT("G"&amp;ROW()),minfo!$A:$M,COLUMN()-8,0),"")</f>
        <v>96639417</v>
      </c>
      <c r="U758" s="4">
        <f ca="1">_xlfn.IFNA(VLOOKUP(INDIRECT("G"&amp;ROW()),minfo!$A:$M,COLUMN()-8,0),"")</f>
        <v>0</v>
      </c>
    </row>
    <row r="759" spans="1:21" ht="15.75" customHeight="1">
      <c r="A759" s="15">
        <v>758</v>
      </c>
      <c r="B759" s="4" t="s">
        <v>4343</v>
      </c>
      <c r="C759" s="4">
        <v>759</v>
      </c>
      <c r="D759" s="4">
        <v>169</v>
      </c>
      <c r="E759" s="4" t="s">
        <v>989</v>
      </c>
      <c r="F759" s="16">
        <v>45282</v>
      </c>
      <c r="G759" s="5" t="s">
        <v>988</v>
      </c>
      <c r="H759" s="5" t="s">
        <v>4168</v>
      </c>
      <c r="I759" s="24" t="str">
        <f>HYPERLINK("https://www.bilibili.com/video/BV1ie411v7a2?p=169", "BV1ie411v7a2?p=169")</f>
        <v>BV1ie411v7a2?p=169</v>
      </c>
      <c r="J759" s="4" t="str">
        <f ca="1">_xlfn.IFNA(VLOOKUP(INDIRECT("G"&amp;ROW()),minfo!$A:$M,COLUMN()-8,0),"")</f>
        <v>我落泪情绪零碎</v>
      </c>
      <c r="K759" s="4" t="str">
        <f ca="1">_xlfn.IFNA(VLOOKUP(INDIRECT("G"&amp;ROW()),minfo!$A:$M,COLUMN()-8,0),"")</f>
        <v>周杰伦</v>
      </c>
      <c r="L759" s="4">
        <f ca="1">_xlfn.IFNA(VLOOKUP(INDIRECT("G"&amp;ROW()),minfo!$A:$M,COLUMN()-8,0),"")</f>
        <v>0</v>
      </c>
      <c r="M759" s="4">
        <f ca="1">_xlfn.IFNA(VLOOKUP(INDIRECT("G"&amp;ROW()),minfo!$A:$M,COLUMN()-8,0),"")</f>
        <v>0</v>
      </c>
      <c r="N759" s="4">
        <f ca="1">_xlfn.IFNA(VLOOKUP(INDIRECT("G"&amp;ROW()),minfo!$A:$M,COLUMN()-8,0),"")</f>
        <v>0</v>
      </c>
      <c r="O759" s="4" t="str">
        <f ca="1">_xlfn.IFNA(VLOOKUP(INDIRECT("G"&amp;ROW()),minfo!$A:$M,COLUMN()-8,0),"")</f>
        <v>https://i0.hdslb.com/bfs/station_src/music_metadata/c090e975b37d51a19f23549ae9b7344d.jpg</v>
      </c>
      <c r="P759" s="4" t="str">
        <f ca="1">_xlfn.IFNA(VLOOKUP(INDIRECT("G"&amp;ROW()),minfo!$A:$M,COLUMN()-8,0),"")</f>
        <v>http://i0.hdslb.com/bfs/station_src/music_metadata/84edd7241faa035334b93a365b512d07</v>
      </c>
      <c r="Q759" s="4">
        <f ca="1">_xlfn.IFNA(VLOOKUP(INDIRECT("G"&amp;ROW()),minfo!$A:$M,COLUMN()-8,0),"")</f>
        <v>6076</v>
      </c>
      <c r="R759" s="4">
        <f ca="1">_xlfn.IFNA(VLOOKUP(INDIRECT("G"&amp;ROW()),minfo!$A:$M,COLUMN()-8,0),"")</f>
        <v>0</v>
      </c>
      <c r="S759" s="4" t="str">
        <f ca="1">_xlfn.IFNA(VLOOKUP(INDIRECT("G"&amp;ROW()),minfo!$A:$M,COLUMN()-8,0),"")</f>
        <v>跨时代</v>
      </c>
      <c r="T759" s="4">
        <f ca="1">_xlfn.IFNA(VLOOKUP(INDIRECT("G"&amp;ROW()),minfo!$A:$M,COLUMN()-8,0),"")</f>
        <v>448639596</v>
      </c>
      <c r="U759" s="4">
        <f ca="1">_xlfn.IFNA(VLOOKUP(INDIRECT("G"&amp;ROW()),minfo!$A:$M,COLUMN()-8,0),"")</f>
        <v>0</v>
      </c>
    </row>
    <row r="760" spans="1:21" ht="15.75" customHeight="1">
      <c r="A760" s="15">
        <v>759</v>
      </c>
      <c r="B760" s="4" t="s">
        <v>4344</v>
      </c>
      <c r="C760" s="4">
        <v>760</v>
      </c>
      <c r="D760" s="4">
        <v>170</v>
      </c>
      <c r="E760" s="4" t="s">
        <v>1616</v>
      </c>
      <c r="F760" s="16">
        <v>45282</v>
      </c>
      <c r="G760" s="5" t="s">
        <v>1615</v>
      </c>
      <c r="H760" s="5" t="s">
        <v>4168</v>
      </c>
      <c r="I760" s="24" t="str">
        <f>HYPERLINK("https://www.bilibili.com/video/BV1ie411v7a2?p=170", "BV1ie411v7a2?p=170")</f>
        <v>BV1ie411v7a2?p=170</v>
      </c>
      <c r="J760" s="4" t="str">
        <f ca="1">_xlfn.IFNA(VLOOKUP(INDIRECT("G"&amp;ROW()),minfo!$A:$M,COLUMN()-8,0),"")</f>
        <v>雨后日记</v>
      </c>
      <c r="K760" s="4" t="str">
        <f ca="1">_xlfn.IFNA(VLOOKUP(INDIRECT("G"&amp;ROW()),minfo!$A:$M,COLUMN()-8,0),"")</f>
        <v>单依纯</v>
      </c>
      <c r="L760" s="4">
        <f ca="1">_xlfn.IFNA(VLOOKUP(INDIRECT("G"&amp;ROW()),minfo!$A:$M,COLUMN()-8,0),"")</f>
        <v>0</v>
      </c>
      <c r="M760" s="4">
        <f ca="1">_xlfn.IFNA(VLOOKUP(INDIRECT("G"&amp;ROW()),minfo!$A:$M,COLUMN()-8,0),"")</f>
        <v>0</v>
      </c>
      <c r="N760" s="4">
        <f ca="1">_xlfn.IFNA(VLOOKUP(INDIRECT("G"&amp;ROW()),minfo!$A:$M,COLUMN()-8,0),"")</f>
        <v>0</v>
      </c>
      <c r="O760" s="4" t="str">
        <f ca="1">_xlfn.IFNA(VLOOKUP(INDIRECT("G"&amp;ROW()),minfo!$A:$M,COLUMN()-8,0),"")</f>
        <v>http://i0.hdslb.com/bfs/station_src/music_metadata/3afd0ffaed0e7606577cabb03408bdd1.jpg</v>
      </c>
      <c r="P760" s="4">
        <f ca="1">_xlfn.IFNA(VLOOKUP(INDIRECT("G"&amp;ROW()),minfo!$A:$M,COLUMN()-8,0),"")</f>
        <v>0</v>
      </c>
      <c r="Q760" s="4">
        <f ca="1">_xlfn.IFNA(VLOOKUP(INDIRECT("G"&amp;ROW()),minfo!$A:$M,COLUMN()-8,0),"")</f>
        <v>15</v>
      </c>
      <c r="R760" s="4">
        <f ca="1">_xlfn.IFNA(VLOOKUP(INDIRECT("G"&amp;ROW()),minfo!$A:$M,COLUMN()-8,0),"")</f>
        <v>0</v>
      </c>
      <c r="S760" s="4" t="str">
        <f ca="1">_xlfn.IFNA(VLOOKUP(INDIRECT("G"&amp;ROW()),minfo!$A:$M,COLUMN()-8,0),"")</f>
        <v>勇敢额度</v>
      </c>
      <c r="T760" s="4">
        <f ca="1">_xlfn.IFNA(VLOOKUP(INDIRECT("G"&amp;ROW()),minfo!$A:$M,COLUMN()-8,0),"")</f>
        <v>5496354</v>
      </c>
      <c r="U760" s="4">
        <f ca="1">_xlfn.IFNA(VLOOKUP(INDIRECT("G"&amp;ROW()),minfo!$A:$M,COLUMN()-8,0),"")</f>
        <v>0</v>
      </c>
    </row>
    <row r="761" spans="1:21" ht="15.75" customHeight="1">
      <c r="A761" s="15">
        <v>760</v>
      </c>
      <c r="B761" s="4" t="s">
        <v>4345</v>
      </c>
      <c r="C761" s="4">
        <v>761</v>
      </c>
      <c r="D761" s="4">
        <v>171</v>
      </c>
      <c r="E761" s="4" t="s">
        <v>1279</v>
      </c>
      <c r="F761" s="16">
        <v>45283</v>
      </c>
      <c r="G761" s="5" t="s">
        <v>1278</v>
      </c>
      <c r="H761" s="5" t="s">
        <v>4168</v>
      </c>
      <c r="I761" s="24" t="str">
        <f>HYPERLINK("https://www.bilibili.com/video/BV1ie411v7a2?p=171", "BV1ie411v7a2?p=171")</f>
        <v>BV1ie411v7a2?p=171</v>
      </c>
      <c r="J761" s="4" t="str">
        <f ca="1">_xlfn.IFNA(VLOOKUP(INDIRECT("G"&amp;ROW()),minfo!$A:$M,COLUMN()-8,0),"")</f>
        <v>敢</v>
      </c>
      <c r="K761" s="4" t="str">
        <f ca="1">_xlfn.IFNA(VLOOKUP(INDIRECT("G"&amp;ROW()),minfo!$A:$M,COLUMN()-8,0),"")</f>
        <v>黄龄</v>
      </c>
      <c r="L761" s="4">
        <f ca="1">_xlfn.IFNA(VLOOKUP(INDIRECT("G"&amp;ROW()),minfo!$A:$M,COLUMN()-8,0),"")</f>
        <v>0</v>
      </c>
      <c r="M761" s="4">
        <f ca="1">_xlfn.IFNA(VLOOKUP(INDIRECT("G"&amp;ROW()),minfo!$A:$M,COLUMN()-8,0),"")</f>
        <v>0</v>
      </c>
      <c r="N761" s="4">
        <f ca="1">_xlfn.IFNA(VLOOKUP(INDIRECT("G"&amp;ROW()),minfo!$A:$M,COLUMN()-8,0),"")</f>
        <v>0</v>
      </c>
      <c r="O761" s="4" t="str">
        <f ca="1">_xlfn.IFNA(VLOOKUP(INDIRECT("G"&amp;ROW()),minfo!$A:$M,COLUMN()-8,0),"")</f>
        <v>https://i0.hdslb.com/bfs/station_src/music_metadata/3be9d43d15661acaaf62abaf2eb6f23c.jpg</v>
      </c>
      <c r="P761" s="4" t="str">
        <f ca="1">_xlfn.IFNA(VLOOKUP(INDIRECT("G"&amp;ROW()),minfo!$A:$M,COLUMN()-8,0),"")</f>
        <v>https://i0.hdslb.com/bfs/station_src/music_metadata/fc8ac7f65dd494154a668870380550e2.txt</v>
      </c>
      <c r="Q761" s="4">
        <f ca="1">_xlfn.IFNA(VLOOKUP(INDIRECT("G"&amp;ROW()),minfo!$A:$M,COLUMN()-8,0),"")</f>
        <v>3</v>
      </c>
      <c r="R761" s="4" t="str">
        <f ca="1">_xlfn.IFNA(VLOOKUP(INDIRECT("G"&amp;ROW()),minfo!$A:$M,COLUMN()-8,0),"")</f>
        <v>《紫禁城》大型纪录片主题歌</v>
      </c>
      <c r="S761" s="4" t="str">
        <f ca="1">_xlfn.IFNA(VLOOKUP(INDIRECT("G"&amp;ROW()),minfo!$A:$M,COLUMN()-8,0),"")</f>
        <v>敢</v>
      </c>
      <c r="T761" s="4">
        <f ca="1">_xlfn.IFNA(VLOOKUP(INDIRECT("G"&amp;ROW()),minfo!$A:$M,COLUMN()-8,0),"")</f>
        <v>4976715</v>
      </c>
      <c r="U761" s="4">
        <f ca="1">_xlfn.IFNA(VLOOKUP(INDIRECT("G"&amp;ROW()),minfo!$A:$M,COLUMN()-8,0),"")</f>
        <v>0</v>
      </c>
    </row>
    <row r="762" spans="1:21" ht="15.75" customHeight="1">
      <c r="A762" s="15">
        <v>761</v>
      </c>
      <c r="B762" s="4" t="s">
        <v>4346</v>
      </c>
      <c r="C762" s="4">
        <v>762</v>
      </c>
      <c r="D762" s="4">
        <v>172</v>
      </c>
      <c r="E762" s="4" t="s">
        <v>699</v>
      </c>
      <c r="F762" s="16">
        <v>45283</v>
      </c>
      <c r="G762" s="5" t="s">
        <v>698</v>
      </c>
      <c r="H762" s="5" t="s">
        <v>4168</v>
      </c>
      <c r="I762" s="24" t="str">
        <f>HYPERLINK("https://www.bilibili.com/video/BV1ie411v7a2?p=172", "BV1ie411v7a2?p=172")</f>
        <v>BV1ie411v7a2?p=172</v>
      </c>
      <c r="J762" s="4" t="str">
        <f ca="1">_xlfn.IFNA(VLOOKUP(INDIRECT("G"&amp;ROW()),minfo!$A:$M,COLUMN()-8,0),"")</f>
        <v>凄美地</v>
      </c>
      <c r="K762" s="4" t="str">
        <f ca="1">_xlfn.IFNA(VLOOKUP(INDIRECT("G"&amp;ROW()),minfo!$A:$M,COLUMN()-8,0),"")</f>
        <v>郭顶</v>
      </c>
      <c r="L762" s="4">
        <f ca="1">_xlfn.IFNA(VLOOKUP(INDIRECT("G"&amp;ROW()),minfo!$A:$M,COLUMN()-8,0),"")</f>
        <v>0</v>
      </c>
      <c r="M762" s="4">
        <f ca="1">_xlfn.IFNA(VLOOKUP(INDIRECT("G"&amp;ROW()),minfo!$A:$M,COLUMN()-8,0),"")</f>
        <v>100657</v>
      </c>
      <c r="N762" s="4">
        <f ca="1">_xlfn.IFNA(VLOOKUP(INDIRECT("G"&amp;ROW()),minfo!$A:$M,COLUMN()-8,0),"")</f>
        <v>21121</v>
      </c>
      <c r="O762" s="4" t="str">
        <f ca="1">_xlfn.IFNA(VLOOKUP(INDIRECT("G"&amp;ROW()),minfo!$A:$M,COLUMN()-8,0),"")</f>
        <v>http://i0.hdslb.com/bfs/station_src/music_metadata/45c66fceda09e6bb1431d0bd2b04b2d9.jpg</v>
      </c>
      <c r="P762" s="4" t="str">
        <f ca="1">_xlfn.IFNA(VLOOKUP(INDIRECT("G"&amp;ROW()),minfo!$A:$M,COLUMN()-8,0),"")</f>
        <v>http://i0.hdslb.com/bfs/station_src/music_metadata/62c3f56521310cc5f6b88b48093213b2</v>
      </c>
      <c r="Q762" s="4">
        <f ca="1">_xlfn.IFNA(VLOOKUP(INDIRECT("G"&amp;ROW()),minfo!$A:$M,COLUMN()-8,0),"")</f>
        <v>18948</v>
      </c>
      <c r="R762" s="4">
        <f ca="1">_xlfn.IFNA(VLOOKUP(INDIRECT("G"&amp;ROW()),minfo!$A:$M,COLUMN()-8,0),"")</f>
        <v>0</v>
      </c>
      <c r="S762" s="4" t="str">
        <f ca="1">_xlfn.IFNA(VLOOKUP(INDIRECT("G"&amp;ROW()),minfo!$A:$M,COLUMN()-8,0),"")</f>
        <v>飞行器的执行周期</v>
      </c>
      <c r="T762" s="4">
        <f ca="1">_xlfn.IFNA(VLOOKUP(INDIRECT("G"&amp;ROW()),minfo!$A:$M,COLUMN()-8,0),"")</f>
        <v>1973644689</v>
      </c>
      <c r="U762" s="4" t="str">
        <f ca="1">_xlfn.IFNA(VLOOKUP(INDIRECT("G"&amp;ROW()),minfo!$A:$M,COLUMN()-8,0),"")</f>
        <v>音乐榜最高NO.1</v>
      </c>
    </row>
    <row r="763" spans="1:21" ht="15.75" customHeight="1">
      <c r="A763" s="15">
        <v>762</v>
      </c>
      <c r="B763" s="4" t="s">
        <v>4347</v>
      </c>
      <c r="C763" s="4">
        <v>763</v>
      </c>
      <c r="D763" s="4">
        <v>173</v>
      </c>
      <c r="E763" s="4" t="s">
        <v>232</v>
      </c>
      <c r="F763" s="16">
        <v>45283</v>
      </c>
      <c r="G763" s="5" t="s">
        <v>231</v>
      </c>
      <c r="H763" s="5" t="s">
        <v>4168</v>
      </c>
      <c r="I763" s="24" t="str">
        <f>HYPERLINK("https://www.bilibili.com/video/BV1ie411v7a2?p=173", "BV1ie411v7a2?p=173")</f>
        <v>BV1ie411v7a2?p=173</v>
      </c>
      <c r="J763" s="4" t="str">
        <f ca="1">_xlfn.IFNA(VLOOKUP(INDIRECT("G"&amp;ROW()),minfo!$A:$M,COLUMN()-8,0),"")</f>
        <v>若把你</v>
      </c>
      <c r="K763" s="4" t="str">
        <f ca="1">_xlfn.IFNA(VLOOKUP(INDIRECT("G"&amp;ROW()),minfo!$A:$M,COLUMN()-8,0),"")</f>
        <v>Kirsty刘瑾睿</v>
      </c>
      <c r="L763" s="4">
        <f ca="1">_xlfn.IFNA(VLOOKUP(INDIRECT("G"&amp;ROW()),minfo!$A:$M,COLUMN()-8,0),"")</f>
        <v>0</v>
      </c>
      <c r="M763" s="4">
        <f ca="1">_xlfn.IFNA(VLOOKUP(INDIRECT("G"&amp;ROW()),minfo!$A:$M,COLUMN()-8,0),"")</f>
        <v>43546</v>
      </c>
      <c r="N763" s="4">
        <f ca="1">_xlfn.IFNA(VLOOKUP(INDIRECT("G"&amp;ROW()),minfo!$A:$M,COLUMN()-8,0),"")</f>
        <v>6440</v>
      </c>
      <c r="O763" s="4" t="str">
        <f ca="1">_xlfn.IFNA(VLOOKUP(INDIRECT("G"&amp;ROW()),minfo!$A:$M,COLUMN()-8,0),"")</f>
        <v>http://i0.hdslb.com/bfs/station_src/music_metadata/e535448192dd1b72f950d8bf47d14597.jpg</v>
      </c>
      <c r="P763" s="4">
        <f ca="1">_xlfn.IFNA(VLOOKUP(INDIRECT("G"&amp;ROW()),minfo!$A:$M,COLUMN()-8,0),"")</f>
        <v>0</v>
      </c>
      <c r="Q763" s="4">
        <f ca="1">_xlfn.IFNA(VLOOKUP(INDIRECT("G"&amp;ROW()),minfo!$A:$M,COLUMN()-8,0),"")</f>
        <v>2370</v>
      </c>
      <c r="R763" s="4">
        <f ca="1">_xlfn.IFNA(VLOOKUP(INDIRECT("G"&amp;ROW()),minfo!$A:$M,COLUMN()-8,0),"")</f>
        <v>0</v>
      </c>
      <c r="S763" s="4" t="str">
        <f ca="1">_xlfn.IFNA(VLOOKUP(INDIRECT("G"&amp;ROW()),minfo!$A:$M,COLUMN()-8,0),"")</f>
        <v>若把你</v>
      </c>
      <c r="T763" s="4">
        <f ca="1">_xlfn.IFNA(VLOOKUP(INDIRECT("G"&amp;ROW()),minfo!$A:$M,COLUMN()-8,0),"")</f>
        <v>316650487</v>
      </c>
      <c r="U763" s="4" t="str">
        <f ca="1">_xlfn.IFNA(VLOOKUP(INDIRECT("G"&amp;ROW()),minfo!$A:$M,COLUMN()-8,0),"")</f>
        <v>音乐榜最高NO.7</v>
      </c>
    </row>
    <row r="764" spans="1:21" ht="15.75" customHeight="1">
      <c r="A764" s="15">
        <v>763</v>
      </c>
      <c r="B764" s="4" t="s">
        <v>4348</v>
      </c>
      <c r="C764" s="4">
        <v>764</v>
      </c>
      <c r="D764" s="4">
        <v>174</v>
      </c>
      <c r="E764" s="4" t="s">
        <v>1048</v>
      </c>
      <c r="F764" s="16">
        <v>45283</v>
      </c>
      <c r="G764" s="5" t="s">
        <v>1047</v>
      </c>
      <c r="H764" s="5" t="s">
        <v>4168</v>
      </c>
      <c r="I764" s="24" t="str">
        <f>HYPERLINK("https://www.bilibili.com/video/BV1ie411v7a2?p=174", "BV1ie411v7a2?p=174")</f>
        <v>BV1ie411v7a2?p=174</v>
      </c>
      <c r="J764" s="4" t="str">
        <f ca="1">_xlfn.IFNA(VLOOKUP(INDIRECT("G"&amp;ROW()),minfo!$A:$M,COLUMN()-8,0),"")</f>
        <v>雨下一整晚</v>
      </c>
      <c r="K764" s="4" t="str">
        <f ca="1">_xlfn.IFNA(VLOOKUP(INDIRECT("G"&amp;ROW()),minfo!$A:$M,COLUMN()-8,0),"")</f>
        <v>周杰伦</v>
      </c>
      <c r="L764" s="4">
        <f ca="1">_xlfn.IFNA(VLOOKUP(INDIRECT("G"&amp;ROW()),minfo!$A:$M,COLUMN()-8,0),"")</f>
        <v>0</v>
      </c>
      <c r="M764" s="4">
        <f ca="1">_xlfn.IFNA(VLOOKUP(INDIRECT("G"&amp;ROW()),minfo!$A:$M,COLUMN()-8,0),"")</f>
        <v>0</v>
      </c>
      <c r="N764" s="4">
        <f ca="1">_xlfn.IFNA(VLOOKUP(INDIRECT("G"&amp;ROW()),minfo!$A:$M,COLUMN()-8,0),"")</f>
        <v>0</v>
      </c>
      <c r="O764" s="4" t="str">
        <f ca="1">_xlfn.IFNA(VLOOKUP(INDIRECT("G"&amp;ROW()),minfo!$A:$M,COLUMN()-8,0),"")</f>
        <v>https://i0.hdslb.com/bfs/station_src/music_metadata/740bcd3058e7aa98df27f1f0a32b0f4b.jpg</v>
      </c>
      <c r="P764" s="4" t="str">
        <f ca="1">_xlfn.IFNA(VLOOKUP(INDIRECT("G"&amp;ROW()),minfo!$A:$M,COLUMN()-8,0),"")</f>
        <v>copyright-crawler/music/task-lyric/654daafbfad724c0d03b496f.txt</v>
      </c>
      <c r="Q764" s="4">
        <f ca="1">_xlfn.IFNA(VLOOKUP(INDIRECT("G"&amp;ROW()),minfo!$A:$M,COLUMN()-8,0),"")</f>
        <v>2220</v>
      </c>
      <c r="R764" s="4" t="str">
        <f ca="1">_xlfn.IFNA(VLOOKUP(INDIRECT("G"&amp;ROW()),minfo!$A:$M,COLUMN()-8,0),"")</f>
        <v>雨下一整晚</v>
      </c>
      <c r="S764" s="4" t="str">
        <f ca="1">_xlfn.IFNA(VLOOKUP(INDIRECT("G"&amp;ROW()),minfo!$A:$M,COLUMN()-8,0),"")</f>
        <v>跨时代</v>
      </c>
      <c r="T764" s="4">
        <f ca="1">_xlfn.IFNA(VLOOKUP(INDIRECT("G"&amp;ROW()),minfo!$A:$M,COLUMN()-8,0),"")</f>
        <v>288931916</v>
      </c>
      <c r="U764" s="4">
        <f ca="1">_xlfn.IFNA(VLOOKUP(INDIRECT("G"&amp;ROW()),minfo!$A:$M,COLUMN()-8,0),"")</f>
        <v>0</v>
      </c>
    </row>
    <row r="765" spans="1:21" ht="15.75" customHeight="1">
      <c r="A765" s="15">
        <v>764</v>
      </c>
      <c r="B765" s="4" t="s">
        <v>4349</v>
      </c>
      <c r="C765" s="4">
        <v>765</v>
      </c>
      <c r="D765" s="4">
        <v>175</v>
      </c>
      <c r="E765" s="4" t="s">
        <v>422</v>
      </c>
      <c r="F765" s="16">
        <v>45284</v>
      </c>
      <c r="G765" s="5" t="s">
        <v>421</v>
      </c>
      <c r="H765" s="5" t="s">
        <v>4168</v>
      </c>
      <c r="I765" s="24" t="str">
        <f>HYPERLINK("https://www.bilibili.com/video/BV1ie411v7a2?p=175", "BV1ie411v7a2?p=175")</f>
        <v>BV1ie411v7a2?p=175</v>
      </c>
      <c r="J765" s="4" t="str">
        <f ca="1">_xlfn.IFNA(VLOOKUP(INDIRECT("G"&amp;ROW()),minfo!$A:$M,COLUMN()-8,0),"")</f>
        <v>爱情废柴</v>
      </c>
      <c r="K765" s="4" t="str">
        <f ca="1">_xlfn.IFNA(VLOOKUP(INDIRECT("G"&amp;ROW()),minfo!$A:$M,COLUMN()-8,0),"")</f>
        <v>周杰伦</v>
      </c>
      <c r="L765" s="4">
        <f ca="1">_xlfn.IFNA(VLOOKUP(INDIRECT("G"&amp;ROW()),minfo!$A:$M,COLUMN()-8,0),"")</f>
        <v>0</v>
      </c>
      <c r="M765" s="4">
        <f ca="1">_xlfn.IFNA(VLOOKUP(INDIRECT("G"&amp;ROW()),minfo!$A:$M,COLUMN()-8,0),"")</f>
        <v>0</v>
      </c>
      <c r="N765" s="4">
        <f ca="1">_xlfn.IFNA(VLOOKUP(INDIRECT("G"&amp;ROW()),minfo!$A:$M,COLUMN()-8,0),"")</f>
        <v>0</v>
      </c>
      <c r="O765" s="4" t="str">
        <f ca="1">_xlfn.IFNA(VLOOKUP(INDIRECT("G"&amp;ROW()),minfo!$A:$M,COLUMN()-8,0),"")</f>
        <v>https://i0.hdslb.com/bfs/station_src/music_metadata/b27285ea13574397bca7b651a4eb0612.jpg</v>
      </c>
      <c r="P765" s="4" t="str">
        <f ca="1">_xlfn.IFNA(VLOOKUP(INDIRECT("G"&amp;ROW()),minfo!$A:$M,COLUMN()-8,0),"")</f>
        <v>copyright-crawler/music/task-lyric/640d4e7ac961e7c45dca2fe1.txt</v>
      </c>
      <c r="Q765" s="4">
        <f ca="1">_xlfn.IFNA(VLOOKUP(INDIRECT("G"&amp;ROW()),minfo!$A:$M,COLUMN()-8,0),"")</f>
        <v>984</v>
      </c>
      <c r="R765" s="4" t="str">
        <f ca="1">_xlfn.IFNA(VLOOKUP(INDIRECT("G"&amp;ROW()),minfo!$A:$M,COLUMN()-8,0),"")</f>
        <v>爱情废柴</v>
      </c>
      <c r="S765" s="4" t="str">
        <f ca="1">_xlfn.IFNA(VLOOKUP(INDIRECT("G"&amp;ROW()),minfo!$A:$M,COLUMN()-8,0),"")</f>
        <v>周杰伦的床边故事</v>
      </c>
      <c r="T765" s="4">
        <f ca="1">_xlfn.IFNA(VLOOKUP(INDIRECT("G"&amp;ROW()),minfo!$A:$M,COLUMN()-8,0),"")</f>
        <v>226606662</v>
      </c>
      <c r="U765" s="4">
        <f ca="1">_xlfn.IFNA(VLOOKUP(INDIRECT("G"&amp;ROW()),minfo!$A:$M,COLUMN()-8,0),"")</f>
        <v>0</v>
      </c>
    </row>
    <row r="766" spans="1:21" ht="15.75" customHeight="1">
      <c r="A766" s="15">
        <v>765</v>
      </c>
      <c r="B766" s="4" t="s">
        <v>4350</v>
      </c>
      <c r="C766" s="4">
        <v>766</v>
      </c>
      <c r="D766" s="4">
        <v>176</v>
      </c>
      <c r="E766" s="4" t="s">
        <v>1867</v>
      </c>
      <c r="F766" s="16">
        <v>45284</v>
      </c>
      <c r="G766" s="5" t="s">
        <v>1866</v>
      </c>
      <c r="H766" s="5" t="s">
        <v>4168</v>
      </c>
      <c r="I766" s="24" t="str">
        <f>HYPERLINK("https://www.bilibili.com/video/BV1ie411v7a2?p=176", "BV1ie411v7a2?p=176")</f>
        <v>BV1ie411v7a2?p=176</v>
      </c>
      <c r="J766" s="4" t="str">
        <f ca="1">_xlfn.IFNA(VLOOKUP(INDIRECT("G"&amp;ROW()),minfo!$A:$M,COLUMN()-8,0),"")</f>
        <v>冬眠</v>
      </c>
      <c r="K766" s="4" t="str">
        <f ca="1">_xlfn.IFNA(VLOOKUP(INDIRECT("G"&amp;ROW()),minfo!$A:$M,COLUMN()-8,0),"")</f>
        <v>司南</v>
      </c>
      <c r="L766" s="4">
        <f ca="1">_xlfn.IFNA(VLOOKUP(INDIRECT("G"&amp;ROW()),minfo!$A:$M,COLUMN()-8,0),"")</f>
        <v>0</v>
      </c>
      <c r="M766" s="4">
        <f ca="1">_xlfn.IFNA(VLOOKUP(INDIRECT("G"&amp;ROW()),minfo!$A:$M,COLUMN()-8,0),"")</f>
        <v>0</v>
      </c>
      <c r="N766" s="4">
        <f ca="1">_xlfn.IFNA(VLOOKUP(INDIRECT("G"&amp;ROW()),minfo!$A:$M,COLUMN()-8,0),"")</f>
        <v>0</v>
      </c>
      <c r="O766" s="4" t="str">
        <f ca="1">_xlfn.IFNA(VLOOKUP(INDIRECT("G"&amp;ROW()),minfo!$A:$M,COLUMN()-8,0),"")</f>
        <v>https://i0.hdslb.com/bfs/station_src/music_metadata/af7f85ba04e20b74bd2d2f9c594d0f9e.jpg</v>
      </c>
      <c r="P766" s="4" t="str">
        <f ca="1">_xlfn.IFNA(VLOOKUP(INDIRECT("G"&amp;ROW()),minfo!$A:$M,COLUMN()-8,0),"")</f>
        <v>http://i0.hdslb.com/bfs/station_src/music_metadata/0697acb207ba1205710a76aa2cdbcb72</v>
      </c>
      <c r="Q766" s="4">
        <f ca="1">_xlfn.IFNA(VLOOKUP(INDIRECT("G"&amp;ROW()),minfo!$A:$M,COLUMN()-8,0),"")</f>
        <v>1234</v>
      </c>
      <c r="R766" s="4">
        <f ca="1">_xlfn.IFNA(VLOOKUP(INDIRECT("G"&amp;ROW()),minfo!$A:$M,COLUMN()-8,0),"")</f>
        <v>0</v>
      </c>
      <c r="S766" s="4" t="str">
        <f ca="1">_xlfn.IFNA(VLOOKUP(INDIRECT("G"&amp;ROW()),minfo!$A:$M,COLUMN()-8,0),"")</f>
        <v>冬眠</v>
      </c>
      <c r="T766" s="4">
        <f ca="1">_xlfn.IFNA(VLOOKUP(INDIRECT("G"&amp;ROW()),minfo!$A:$M,COLUMN()-8,0),"")</f>
        <v>278158388</v>
      </c>
      <c r="U766" s="4">
        <f ca="1">_xlfn.IFNA(VLOOKUP(INDIRECT("G"&amp;ROW()),minfo!$A:$M,COLUMN()-8,0),"")</f>
        <v>0</v>
      </c>
    </row>
    <row r="767" spans="1:21" ht="15.75" customHeight="1">
      <c r="A767" s="15">
        <v>766</v>
      </c>
      <c r="B767" s="4" t="s">
        <v>4351</v>
      </c>
      <c r="C767" s="4">
        <v>767</v>
      </c>
      <c r="D767" s="4">
        <v>177</v>
      </c>
      <c r="E767" s="4" t="s">
        <v>879</v>
      </c>
      <c r="F767" s="16">
        <v>45284</v>
      </c>
      <c r="G767" s="5" t="s">
        <v>878</v>
      </c>
      <c r="H767" s="5" t="s">
        <v>4168</v>
      </c>
      <c r="I767" s="24" t="str">
        <f>HYPERLINK("https://www.bilibili.com/video/BV1ie411v7a2?p=177", "BV1ie411v7a2?p=177")</f>
        <v>BV1ie411v7a2?p=177</v>
      </c>
      <c r="J767" s="4" t="str">
        <f ca="1">_xlfn.IFNA(VLOOKUP(INDIRECT("G"&amp;ROW()),minfo!$A:$M,COLUMN()-8,0),"")</f>
        <v>发如雪</v>
      </c>
      <c r="K767" s="4" t="str">
        <f ca="1">_xlfn.IFNA(VLOOKUP(INDIRECT("G"&amp;ROW()),minfo!$A:$M,COLUMN()-8,0),"")</f>
        <v>周杰伦</v>
      </c>
      <c r="L767" s="4">
        <f ca="1">_xlfn.IFNA(VLOOKUP(INDIRECT("G"&amp;ROW()),minfo!$A:$M,COLUMN()-8,0),"")</f>
        <v>0</v>
      </c>
      <c r="M767" s="4">
        <f ca="1">_xlfn.IFNA(VLOOKUP(INDIRECT("G"&amp;ROW()),minfo!$A:$M,COLUMN()-8,0),"")</f>
        <v>0</v>
      </c>
      <c r="N767" s="4">
        <f ca="1">_xlfn.IFNA(VLOOKUP(INDIRECT("G"&amp;ROW()),minfo!$A:$M,COLUMN()-8,0),"")</f>
        <v>0</v>
      </c>
      <c r="O767" s="4" t="str">
        <f ca="1">_xlfn.IFNA(VLOOKUP(INDIRECT("G"&amp;ROW()),minfo!$A:$M,COLUMN()-8,0),"")</f>
        <v>https://i0.hdslb.com/bfs/station_src/music_metadata/4f19787695e451c7ec6f082affe19c57.jpg</v>
      </c>
      <c r="P767" s="4" t="str">
        <f ca="1">_xlfn.IFNA(VLOOKUP(INDIRECT("G"&amp;ROW()),minfo!$A:$M,COLUMN()-8,0),"")</f>
        <v>http://i0.hdslb.com/bfs/station_src/music_metadata/e48762ee9e6f3b4048f790c705f187cd</v>
      </c>
      <c r="Q767" s="4">
        <f ca="1">_xlfn.IFNA(VLOOKUP(INDIRECT("G"&amp;ROW()),minfo!$A:$M,COLUMN()-8,0),"")</f>
        <v>5236</v>
      </c>
      <c r="R767" s="4">
        <f ca="1">_xlfn.IFNA(VLOOKUP(INDIRECT("G"&amp;ROW()),minfo!$A:$M,COLUMN()-8,0),"")</f>
        <v>0</v>
      </c>
      <c r="S767" s="4" t="str">
        <f ca="1">_xlfn.IFNA(VLOOKUP(INDIRECT("G"&amp;ROW()),minfo!$A:$M,COLUMN()-8,0),"")</f>
        <v>十一月的萧邦</v>
      </c>
      <c r="T767" s="4">
        <f ca="1">_xlfn.IFNA(VLOOKUP(INDIRECT("G"&amp;ROW()),minfo!$A:$M,COLUMN()-8,0),"")</f>
        <v>561545897</v>
      </c>
      <c r="U767" s="4">
        <f ca="1">_xlfn.IFNA(VLOOKUP(INDIRECT("G"&amp;ROW()),minfo!$A:$M,COLUMN()-8,0),"")</f>
        <v>0</v>
      </c>
    </row>
    <row r="768" spans="1:21" ht="15.75" customHeight="1">
      <c r="A768" s="15">
        <v>767</v>
      </c>
      <c r="B768" s="4" t="s">
        <v>4352</v>
      </c>
      <c r="C768" s="4">
        <v>768</v>
      </c>
      <c r="D768" s="4">
        <v>178</v>
      </c>
      <c r="E768" s="4" t="s">
        <v>678</v>
      </c>
      <c r="F768" s="16">
        <v>45284</v>
      </c>
      <c r="G768" s="5" t="s">
        <v>677</v>
      </c>
      <c r="H768" s="5" t="s">
        <v>4168</v>
      </c>
      <c r="I768" s="24" t="str">
        <f>HYPERLINK("https://www.bilibili.com/video/BV1ie411v7a2?p=178", "BV1ie411v7a2?p=178")</f>
        <v>BV1ie411v7a2?p=178</v>
      </c>
      <c r="J768" s="4" t="str">
        <f ca="1">_xlfn.IFNA(VLOOKUP(INDIRECT("G"&amp;ROW()),minfo!$A:$M,COLUMN()-8,0),"")</f>
        <v>将故事写成我们</v>
      </c>
      <c r="K768" s="4" t="str">
        <f ca="1">_xlfn.IFNA(VLOOKUP(INDIRECT("G"&amp;ROW()),minfo!$A:$M,COLUMN()-8,0),"")</f>
        <v>林俊杰</v>
      </c>
      <c r="L768" s="4">
        <f ca="1">_xlfn.IFNA(VLOOKUP(INDIRECT("G"&amp;ROW()),minfo!$A:$M,COLUMN()-8,0),"")</f>
        <v>0</v>
      </c>
      <c r="M768" s="4">
        <f ca="1">_xlfn.IFNA(VLOOKUP(INDIRECT("G"&amp;ROW()),minfo!$A:$M,COLUMN()-8,0),"")</f>
        <v>1032</v>
      </c>
      <c r="N768" s="4">
        <f ca="1">_xlfn.IFNA(VLOOKUP(INDIRECT("G"&amp;ROW()),minfo!$A:$M,COLUMN()-8,0),"")</f>
        <v>165</v>
      </c>
      <c r="O768" s="4" t="str">
        <f ca="1">_xlfn.IFNA(VLOOKUP(INDIRECT("G"&amp;ROW()),minfo!$A:$M,COLUMN()-8,0),"")</f>
        <v>http://i0.hdslb.com/bfs/station_src/music_metadata/63fe00af138c363552e6aff10baba93e.jpg</v>
      </c>
      <c r="P768" s="4" t="str">
        <f ca="1">_xlfn.IFNA(VLOOKUP(INDIRECT("G"&amp;ROW()),minfo!$A:$M,COLUMN()-8,0),"")</f>
        <v>http://i0.hdslb.com/bfs/station_src/music_metadata/2c6ada3c80c79f0dd8b56da48df1f4ad</v>
      </c>
      <c r="Q768" s="4">
        <f ca="1">_xlfn.IFNA(VLOOKUP(INDIRECT("G"&amp;ROW()),minfo!$A:$M,COLUMN()-8,0),"")</f>
        <v>138</v>
      </c>
      <c r="R768" s="4">
        <f ca="1">_xlfn.IFNA(VLOOKUP(INDIRECT("G"&amp;ROW()),minfo!$A:$M,COLUMN()-8,0),"")</f>
        <v>0</v>
      </c>
      <c r="S768" s="4" t="str">
        <f ca="1">_xlfn.IFNA(VLOOKUP(INDIRECT("G"&amp;ROW()),minfo!$A:$M,COLUMN()-8,0),"")</f>
        <v>将故事写成我们</v>
      </c>
      <c r="T768" s="4">
        <f ca="1">_xlfn.IFNA(VLOOKUP(INDIRECT("G"&amp;ROW()),minfo!$A:$M,COLUMN()-8,0),"")</f>
        <v>64920351</v>
      </c>
      <c r="U768" s="4">
        <f ca="1">_xlfn.IFNA(VLOOKUP(INDIRECT("G"&amp;ROW()),minfo!$A:$M,COLUMN()-8,0),"")</f>
        <v>0</v>
      </c>
    </row>
    <row r="769" spans="1:21" ht="15.75" customHeight="1">
      <c r="A769" s="15">
        <v>768</v>
      </c>
      <c r="B769" s="4" t="s">
        <v>4353</v>
      </c>
      <c r="C769" s="4">
        <v>769</v>
      </c>
      <c r="D769" s="4">
        <v>179</v>
      </c>
      <c r="E769" s="4" t="s">
        <v>1871</v>
      </c>
      <c r="F769" s="16">
        <v>45284</v>
      </c>
      <c r="G769" s="5" t="s">
        <v>1870</v>
      </c>
      <c r="H769" s="5" t="s">
        <v>4168</v>
      </c>
      <c r="I769" s="24" t="str">
        <f>HYPERLINK("https://www.bilibili.com/video/BV1ie411v7a2?p=179", "BV1ie411v7a2?p=179")</f>
        <v>BV1ie411v7a2?p=179</v>
      </c>
      <c r="J769" s="4" t="str">
        <f ca="1">_xlfn.IFNA(VLOOKUP(INDIRECT("G"&amp;ROW()),minfo!$A:$M,COLUMN()-8,0),"")</f>
        <v>一剪梅</v>
      </c>
      <c r="K769" s="4" t="str">
        <f ca="1">_xlfn.IFNA(VLOOKUP(INDIRECT("G"&amp;ROW()),minfo!$A:$M,COLUMN()-8,0),"")</f>
        <v>费玉清</v>
      </c>
      <c r="L769" s="4">
        <f ca="1">_xlfn.IFNA(VLOOKUP(INDIRECT("G"&amp;ROW()),minfo!$A:$M,COLUMN()-8,0),"")</f>
        <v>0</v>
      </c>
      <c r="M769" s="4">
        <f ca="1">_xlfn.IFNA(VLOOKUP(INDIRECT("G"&amp;ROW()),minfo!$A:$M,COLUMN()-8,0),"")</f>
        <v>0</v>
      </c>
      <c r="N769" s="4">
        <f ca="1">_xlfn.IFNA(VLOOKUP(INDIRECT("G"&amp;ROW()),minfo!$A:$M,COLUMN()-8,0),"")</f>
        <v>0</v>
      </c>
      <c r="O769" s="4" t="str">
        <f ca="1">_xlfn.IFNA(VLOOKUP(INDIRECT("G"&amp;ROW()),minfo!$A:$M,COLUMN()-8,0),"")</f>
        <v>https://i0.hdslb.com/bfs/station_src/music_metadata/7833ac2095b43502a967252ec8358c54.jpg</v>
      </c>
      <c r="P769" s="4" t="str">
        <f ca="1">_xlfn.IFNA(VLOOKUP(INDIRECT("G"&amp;ROW()),minfo!$A:$M,COLUMN()-8,0),"")</f>
        <v>http://i0.hdslb.com/bfs/station_src/music_metadata/97843366a57afc1798cff4c49317f50b</v>
      </c>
      <c r="Q769" s="4">
        <f ca="1">_xlfn.IFNA(VLOOKUP(INDIRECT("G"&amp;ROW()),minfo!$A:$M,COLUMN()-8,0),"")</f>
        <v>1513</v>
      </c>
      <c r="R769" s="4">
        <f ca="1">_xlfn.IFNA(VLOOKUP(INDIRECT("G"&amp;ROW()),minfo!$A:$M,COLUMN()-8,0),"")</f>
        <v>0</v>
      </c>
      <c r="S769" s="4" t="str">
        <f ca="1">_xlfn.IFNA(VLOOKUP(INDIRECT("G"&amp;ROW()),minfo!$A:$M,COLUMN()-8,0),"")</f>
        <v>金曲精选6 一剪梅</v>
      </c>
      <c r="T769" s="4">
        <f ca="1">_xlfn.IFNA(VLOOKUP(INDIRECT("G"&amp;ROW()),minfo!$A:$M,COLUMN()-8,0),"")</f>
        <v>971283646</v>
      </c>
      <c r="U769" s="4" t="str">
        <f ca="1">_xlfn.IFNA(VLOOKUP(INDIRECT("G"&amp;ROW()),minfo!$A:$M,COLUMN()-8,0),"")</f>
        <v>音乐榜最高NO.11</v>
      </c>
    </row>
    <row r="770" spans="1:21" ht="15.75" customHeight="1">
      <c r="A770" s="15">
        <v>769</v>
      </c>
      <c r="B770" s="4" t="s">
        <v>4354</v>
      </c>
      <c r="C770" s="4">
        <v>770</v>
      </c>
      <c r="D770" s="4">
        <v>180</v>
      </c>
      <c r="E770" s="4" t="s">
        <v>1877</v>
      </c>
      <c r="F770" s="16">
        <v>45284</v>
      </c>
      <c r="G770" s="5" t="s">
        <v>1876</v>
      </c>
      <c r="H770" s="5" t="s">
        <v>4168</v>
      </c>
      <c r="I770" s="24" t="str">
        <f>HYPERLINK("https://www.bilibili.com/video/BV1ie411v7a2?p=180", "BV1ie411v7a2?p=180")</f>
        <v>BV1ie411v7a2?p=180</v>
      </c>
      <c r="J770" s="4" t="str">
        <f ca="1">_xlfn.IFNA(VLOOKUP(INDIRECT("G"&amp;ROW()),minfo!$A:$M,COLUMN()-8,0),"")</f>
        <v>一眼万年</v>
      </c>
      <c r="K770" s="4" t="str">
        <f ca="1">_xlfn.IFNA(VLOOKUP(INDIRECT("G"&amp;ROW()),minfo!$A:$M,COLUMN()-8,0),"")</f>
        <v>S.H.E</v>
      </c>
      <c r="L770" s="4">
        <f ca="1">_xlfn.IFNA(VLOOKUP(INDIRECT("G"&amp;ROW()),minfo!$A:$M,COLUMN()-8,0),"")</f>
        <v>0</v>
      </c>
      <c r="M770" s="4">
        <f ca="1">_xlfn.IFNA(VLOOKUP(INDIRECT("G"&amp;ROW()),minfo!$A:$M,COLUMN()-8,0),"")</f>
        <v>0</v>
      </c>
      <c r="N770" s="4">
        <f ca="1">_xlfn.IFNA(VLOOKUP(INDIRECT("G"&amp;ROW()),minfo!$A:$M,COLUMN()-8,0),"")</f>
        <v>0</v>
      </c>
      <c r="O770" s="4" t="str">
        <f ca="1">_xlfn.IFNA(VLOOKUP(INDIRECT("G"&amp;ROW()),minfo!$A:$M,COLUMN()-8,0),"")</f>
        <v>https://i0.hdslb.com/bfs/station_src/music_metadata/e32032e73f63aa42f29c66c4be19432f.jpg</v>
      </c>
      <c r="P770" s="4" t="str">
        <f ca="1">_xlfn.IFNA(VLOOKUP(INDIRECT("G"&amp;ROW()),minfo!$A:$M,COLUMN()-8,0),"")</f>
        <v>http://i0.hdslb.com/bfs/station_src/music_metadata/44c2cf57860f634a98364c10cf9b54f8</v>
      </c>
      <c r="Q770" s="4">
        <f ca="1">_xlfn.IFNA(VLOOKUP(INDIRECT("G"&amp;ROW()),minfo!$A:$M,COLUMN()-8,0),"")</f>
        <v>149</v>
      </c>
      <c r="R770" s="4">
        <f ca="1">_xlfn.IFNA(VLOOKUP(INDIRECT("G"&amp;ROW()),minfo!$A:$M,COLUMN()-8,0),"")</f>
        <v>0</v>
      </c>
      <c r="S770" s="4" t="str">
        <f ca="1">_xlfn.IFNA(VLOOKUP(INDIRECT("G"&amp;ROW()),minfo!$A:$M,COLUMN()-8,0),"")</f>
        <v>Forever 新歌+精选</v>
      </c>
      <c r="T770" s="4">
        <f ca="1">_xlfn.IFNA(VLOOKUP(INDIRECT("G"&amp;ROW()),minfo!$A:$M,COLUMN()-8,0),"")</f>
        <v>98709892</v>
      </c>
      <c r="U770" s="4">
        <f ca="1">_xlfn.IFNA(VLOOKUP(INDIRECT("G"&amp;ROW()),minfo!$A:$M,COLUMN()-8,0),"")</f>
        <v>0</v>
      </c>
    </row>
    <row r="771" spans="1:21" ht="15.75" customHeight="1">
      <c r="A771" s="15">
        <v>770</v>
      </c>
      <c r="B771" s="4" t="s">
        <v>4355</v>
      </c>
      <c r="C771" s="4">
        <v>771</v>
      </c>
      <c r="D771" s="4">
        <v>181</v>
      </c>
      <c r="E771" s="4" t="s">
        <v>1760</v>
      </c>
      <c r="F771" s="16">
        <v>45285</v>
      </c>
      <c r="G771" s="5" t="s">
        <v>1759</v>
      </c>
      <c r="H771" s="5" t="s">
        <v>4168</v>
      </c>
      <c r="I771" s="24" t="str">
        <f>HYPERLINK("https://www.bilibili.com/video/BV1ie411v7a2?p=181", "BV1ie411v7a2?p=181")</f>
        <v>BV1ie411v7a2?p=181</v>
      </c>
      <c r="J771" s="4" t="str">
        <f ca="1">_xlfn.IFNA(VLOOKUP(INDIRECT("G"&amp;ROW()),minfo!$A:$M,COLUMN()-8,0),"")</f>
        <v>流沙</v>
      </c>
      <c r="K771" s="4" t="str">
        <f ca="1">_xlfn.IFNA(VLOOKUP(INDIRECT("G"&amp;ROW()),minfo!$A:$M,COLUMN()-8,0),"")</f>
        <v>陶喆</v>
      </c>
      <c r="L771" s="4">
        <f ca="1">_xlfn.IFNA(VLOOKUP(INDIRECT("G"&amp;ROW()),minfo!$A:$M,COLUMN()-8,0),"")</f>
        <v>0</v>
      </c>
      <c r="M771" s="4">
        <f ca="1">_xlfn.IFNA(VLOOKUP(INDIRECT("G"&amp;ROW()),minfo!$A:$M,COLUMN()-8,0),"")</f>
        <v>118332</v>
      </c>
      <c r="N771" s="4">
        <f ca="1">_xlfn.IFNA(VLOOKUP(INDIRECT("G"&amp;ROW()),minfo!$A:$M,COLUMN()-8,0),"")</f>
        <v>39248</v>
      </c>
      <c r="O771" s="4" t="str">
        <f ca="1">_xlfn.IFNA(VLOOKUP(INDIRECT("G"&amp;ROW()),minfo!$A:$M,COLUMN()-8,0),"")</f>
        <v>https://i0.hdslb.com/bfs/station_src/music_metadata/3abb213a0a4505c94b03db6cd2a432a2.jpg</v>
      </c>
      <c r="P771" s="4" t="str">
        <f ca="1">_xlfn.IFNA(VLOOKUP(INDIRECT("G"&amp;ROW()),minfo!$A:$M,COLUMN()-8,0),"")</f>
        <v>http://i0.hdslb.com/bfs/station_src/music_metadata/a0dc9ad65068fe35854808089a4fcbf0</v>
      </c>
      <c r="Q771" s="4">
        <f ca="1">_xlfn.IFNA(VLOOKUP(INDIRECT("G"&amp;ROW()),minfo!$A:$M,COLUMN()-8,0),"")</f>
        <v>740</v>
      </c>
      <c r="R771" s="4">
        <f ca="1">_xlfn.IFNA(VLOOKUP(INDIRECT("G"&amp;ROW()),minfo!$A:$M,COLUMN()-8,0),"")</f>
        <v>0</v>
      </c>
      <c r="S771" s="4" t="str">
        <f ca="1">_xlfn.IFNA(VLOOKUP(INDIRECT("G"&amp;ROW()),minfo!$A:$M,COLUMN()-8,0),"")</f>
        <v>陶喆同名专辑</v>
      </c>
      <c r="T771" s="4">
        <f ca="1">_xlfn.IFNA(VLOOKUP(INDIRECT("G"&amp;ROW()),minfo!$A:$M,COLUMN()-8,0),"")</f>
        <v>127092149</v>
      </c>
      <c r="U771" s="4">
        <f ca="1">_xlfn.IFNA(VLOOKUP(INDIRECT("G"&amp;ROW()),minfo!$A:$M,COLUMN()-8,0),"")</f>
        <v>0</v>
      </c>
    </row>
    <row r="772" spans="1:21" ht="15.75" customHeight="1">
      <c r="A772" s="15">
        <v>771</v>
      </c>
      <c r="B772" s="4" t="s">
        <v>4356</v>
      </c>
      <c r="C772" s="4">
        <v>772</v>
      </c>
      <c r="D772" s="4">
        <v>182</v>
      </c>
      <c r="E772" s="4" t="s">
        <v>1340</v>
      </c>
      <c r="F772" s="16">
        <v>45285</v>
      </c>
      <c r="G772" s="5" t="s">
        <v>1339</v>
      </c>
      <c r="H772" s="5" t="s">
        <v>4168</v>
      </c>
      <c r="I772" s="24" t="str">
        <f>HYPERLINK("https://www.bilibili.com/video/BV1ie411v7a2?p=182", "BV1ie411v7a2?p=182")</f>
        <v>BV1ie411v7a2?p=182</v>
      </c>
      <c r="J772" s="4" t="str">
        <f ca="1">_xlfn.IFNA(VLOOKUP(INDIRECT("G"&amp;ROW()),minfo!$A:$M,COLUMN()-8,0),"")</f>
        <v>天天</v>
      </c>
      <c r="K772" s="4" t="str">
        <f ca="1">_xlfn.IFNA(VLOOKUP(INDIRECT("G"&amp;ROW()),minfo!$A:$M,COLUMN()-8,0),"")</f>
        <v>陶喆</v>
      </c>
      <c r="L772" s="4">
        <f ca="1">_xlfn.IFNA(VLOOKUP(INDIRECT("G"&amp;ROW()),minfo!$A:$M,COLUMN()-8,0),"")</f>
        <v>0</v>
      </c>
      <c r="M772" s="4">
        <f ca="1">_xlfn.IFNA(VLOOKUP(INDIRECT("G"&amp;ROW()),minfo!$A:$M,COLUMN()-8,0),"")</f>
        <v>0</v>
      </c>
      <c r="N772" s="4">
        <f ca="1">_xlfn.IFNA(VLOOKUP(INDIRECT("G"&amp;ROW()),minfo!$A:$M,COLUMN()-8,0),"")</f>
        <v>0</v>
      </c>
      <c r="O772" s="4" t="str">
        <f ca="1">_xlfn.IFNA(VLOOKUP(INDIRECT("G"&amp;ROW()),minfo!$A:$M,COLUMN()-8,0),"")</f>
        <v>http://i0.hdslb.com/bfs/station_src/music_metadata/ff6417302beb4146f79dbd4e37c6d317.jpg</v>
      </c>
      <c r="P772" s="4" t="str">
        <f ca="1">_xlfn.IFNA(VLOOKUP(INDIRECT("G"&amp;ROW()),minfo!$A:$M,COLUMN()-8,0),"")</f>
        <v>http://i0.hdslb.com/bfs/station_src/music_metadata/c93605bfcadefe74f0d5b1a5b6a8db05</v>
      </c>
      <c r="Q772" s="4">
        <f ca="1">_xlfn.IFNA(VLOOKUP(INDIRECT("G"&amp;ROW()),minfo!$A:$M,COLUMN()-8,0),"")</f>
        <v>535</v>
      </c>
      <c r="R772" s="4">
        <f ca="1">_xlfn.IFNA(VLOOKUP(INDIRECT("G"&amp;ROW()),minfo!$A:$M,COLUMN()-8,0),"")</f>
        <v>0</v>
      </c>
      <c r="S772" s="4" t="str">
        <f ca="1">_xlfn.IFNA(VLOOKUP(INDIRECT("G"&amp;ROW()),minfo!$A:$M,COLUMN()-8,0),"")</f>
        <v>I'm OK</v>
      </c>
      <c r="T772" s="4">
        <f ca="1">_xlfn.IFNA(VLOOKUP(INDIRECT("G"&amp;ROW()),minfo!$A:$M,COLUMN()-8,0),"")</f>
        <v>82012532</v>
      </c>
      <c r="U772" s="4">
        <f ca="1">_xlfn.IFNA(VLOOKUP(INDIRECT("G"&amp;ROW()),minfo!$A:$M,COLUMN()-8,0),"")</f>
        <v>0</v>
      </c>
    </row>
    <row r="773" spans="1:21" ht="15.75" customHeight="1">
      <c r="A773" s="15">
        <v>772</v>
      </c>
      <c r="B773" s="4" t="s">
        <v>4357</v>
      </c>
      <c r="C773" s="4">
        <v>773</v>
      </c>
      <c r="D773" s="4">
        <v>183</v>
      </c>
      <c r="E773" s="4" t="s">
        <v>1737</v>
      </c>
      <c r="F773" s="16">
        <v>45285</v>
      </c>
      <c r="G773" s="5" t="s">
        <v>1736</v>
      </c>
      <c r="H773" s="5" t="s">
        <v>4168</v>
      </c>
      <c r="I773" s="24" t="str">
        <f>HYPERLINK("https://www.bilibili.com/video/BV1ie411v7a2?p=183", "BV1ie411v7a2?p=183")</f>
        <v>BV1ie411v7a2?p=183</v>
      </c>
      <c r="J773" s="4" t="str">
        <f ca="1">_xlfn.IFNA(VLOOKUP(INDIRECT("G"&amp;ROW()),minfo!$A:$M,COLUMN()-8,0),"")</f>
        <v>我怀念的</v>
      </c>
      <c r="K773" s="4" t="str">
        <f ca="1">_xlfn.IFNA(VLOOKUP(INDIRECT("G"&amp;ROW()),minfo!$A:$M,COLUMN()-8,0),"")</f>
        <v>孙燕姿</v>
      </c>
      <c r="L773" s="4">
        <f ca="1">_xlfn.IFNA(VLOOKUP(INDIRECT("G"&amp;ROW()),minfo!$A:$M,COLUMN()-8,0),"")</f>
        <v>0</v>
      </c>
      <c r="M773" s="4">
        <f ca="1">_xlfn.IFNA(VLOOKUP(INDIRECT("G"&amp;ROW()),minfo!$A:$M,COLUMN()-8,0),"")</f>
        <v>0</v>
      </c>
      <c r="N773" s="4">
        <f ca="1">_xlfn.IFNA(VLOOKUP(INDIRECT("G"&amp;ROW()),minfo!$A:$M,COLUMN()-8,0),"")</f>
        <v>0</v>
      </c>
      <c r="O773" s="4" t="str">
        <f ca="1">_xlfn.IFNA(VLOOKUP(INDIRECT("G"&amp;ROW()),minfo!$A:$M,COLUMN()-8,0),"")</f>
        <v>https://i0.hdslb.com/bfs/station_src/music_metadata/aec63b858053100c9a0dc93fb7620374.jpg</v>
      </c>
      <c r="P773" s="4" t="str">
        <f ca="1">_xlfn.IFNA(VLOOKUP(INDIRECT("G"&amp;ROW()),minfo!$A:$M,COLUMN()-8,0),"")</f>
        <v>http://i0.hdslb.com/bfs/station_src/music_metadata/de3bcae91bbe18f4ac9ca8db16ae0300</v>
      </c>
      <c r="Q773" s="4">
        <f ca="1">_xlfn.IFNA(VLOOKUP(INDIRECT("G"&amp;ROW()),minfo!$A:$M,COLUMN()-8,0),"")</f>
        <v>1220</v>
      </c>
      <c r="R773" s="4" t="str">
        <f ca="1">_xlfn.IFNA(VLOOKUP(INDIRECT("G"&amp;ROW()),minfo!$A:$M,COLUMN()-8,0),"")</f>
        <v>《第二回合我爱你（幸运日)》电视剧主题曲</v>
      </c>
      <c r="S773" s="4" t="str">
        <f ca="1">_xlfn.IFNA(VLOOKUP(INDIRECT("G"&amp;ROW()),minfo!$A:$M,COLUMN()-8,0),"")</f>
        <v>逆光</v>
      </c>
      <c r="T773" s="4">
        <f ca="1">_xlfn.IFNA(VLOOKUP(INDIRECT("G"&amp;ROW()),minfo!$A:$M,COLUMN()-8,0),"")</f>
        <v>311749521</v>
      </c>
      <c r="U773" s="4">
        <f ca="1">_xlfn.IFNA(VLOOKUP(INDIRECT("G"&amp;ROW()),minfo!$A:$M,COLUMN()-8,0),"")</f>
        <v>0</v>
      </c>
    </row>
    <row r="774" spans="1:21" ht="15.75" customHeight="1">
      <c r="A774" s="15">
        <v>773</v>
      </c>
      <c r="B774" s="4" t="s">
        <v>4358</v>
      </c>
      <c r="C774" s="4">
        <v>774</v>
      </c>
      <c r="D774" s="4">
        <v>184</v>
      </c>
      <c r="E774" s="4" t="s">
        <v>4359</v>
      </c>
      <c r="F774" s="16">
        <v>45287</v>
      </c>
      <c r="G774" s="5" t="s">
        <v>1880</v>
      </c>
      <c r="H774" s="5" t="s">
        <v>4168</v>
      </c>
      <c r="I774" s="24" t="str">
        <f>HYPERLINK("https://www.bilibili.com/video/BV1ie411v7a2?p=184", "BV1ie411v7a2?p=184")</f>
        <v>BV1ie411v7a2?p=184</v>
      </c>
      <c r="J774" s="4" t="str">
        <f ca="1">_xlfn.IFNA(VLOOKUP(INDIRECT("G"&amp;ROW()),minfo!$A:$M,COLUMN()-8,0),"")</f>
        <v>idontwannabeyouanymore</v>
      </c>
      <c r="K774" s="4" t="str">
        <f ca="1">_xlfn.IFNA(VLOOKUP(INDIRECT("G"&amp;ROW()),minfo!$A:$M,COLUMN()-8,0),"")</f>
        <v>Billie Eilish</v>
      </c>
      <c r="L774" s="4">
        <f ca="1">_xlfn.IFNA(VLOOKUP(INDIRECT("G"&amp;ROW()),minfo!$A:$M,COLUMN()-8,0),"")</f>
        <v>0</v>
      </c>
      <c r="M774" s="4">
        <f ca="1">_xlfn.IFNA(VLOOKUP(INDIRECT("G"&amp;ROW()),minfo!$A:$M,COLUMN()-8,0),"")</f>
        <v>0</v>
      </c>
      <c r="N774" s="4">
        <f ca="1">_xlfn.IFNA(VLOOKUP(INDIRECT("G"&amp;ROW()),minfo!$A:$M,COLUMN()-8,0),"")</f>
        <v>0</v>
      </c>
      <c r="O774" s="4" t="str">
        <f ca="1">_xlfn.IFNA(VLOOKUP(INDIRECT("G"&amp;ROW()),minfo!$A:$M,COLUMN()-8,0),"")</f>
        <v>https://i0.hdslb.com/bfs/station_src/music_metadata/b7afec42da0b86523386b90af444ea79.jpg</v>
      </c>
      <c r="P774" s="4" t="str">
        <f ca="1">_xlfn.IFNA(VLOOKUP(INDIRECT("G"&amp;ROW()),minfo!$A:$M,COLUMN()-8,0),"")</f>
        <v>http://i0.hdslb.com/bfs/station_src/music_metadata/d9cf90a716c883e4addfbed5b3fb35ec</v>
      </c>
      <c r="Q774" s="4">
        <f ca="1">_xlfn.IFNA(VLOOKUP(INDIRECT("G"&amp;ROW()),minfo!$A:$M,COLUMN()-8,0),"")</f>
        <v>1281</v>
      </c>
      <c r="R774" s="4">
        <f ca="1">_xlfn.IFNA(VLOOKUP(INDIRECT("G"&amp;ROW()),minfo!$A:$M,COLUMN()-8,0),"")</f>
        <v>0</v>
      </c>
      <c r="S774" s="4" t="str">
        <f ca="1">_xlfn.IFNA(VLOOKUP(INDIRECT("G"&amp;ROW()),minfo!$A:$M,COLUMN()-8,0),"")</f>
        <v>dont smile at me</v>
      </c>
      <c r="T774" s="4">
        <f ca="1">_xlfn.IFNA(VLOOKUP(INDIRECT("G"&amp;ROW()),minfo!$A:$M,COLUMN()-8,0),"")</f>
        <v>53235047</v>
      </c>
      <c r="U774" s="4">
        <f ca="1">_xlfn.IFNA(VLOOKUP(INDIRECT("G"&amp;ROW()),minfo!$A:$M,COLUMN()-8,0),"")</f>
        <v>0</v>
      </c>
    </row>
    <row r="775" spans="1:21" ht="15.75" customHeight="1">
      <c r="A775" s="15">
        <v>774</v>
      </c>
      <c r="B775" s="4" t="s">
        <v>4360</v>
      </c>
      <c r="C775" s="4">
        <v>775</v>
      </c>
      <c r="D775" s="4">
        <v>185</v>
      </c>
      <c r="E775" s="4" t="s">
        <v>1719</v>
      </c>
      <c r="F775" s="16">
        <v>45287</v>
      </c>
      <c r="G775" s="5" t="s">
        <v>1718</v>
      </c>
      <c r="H775" s="5" t="s">
        <v>4168</v>
      </c>
      <c r="I775" s="24" t="str">
        <f>HYPERLINK("https://www.bilibili.com/video/BV1ie411v7a2?p=185", "BV1ie411v7a2?p=185")</f>
        <v>BV1ie411v7a2?p=185</v>
      </c>
      <c r="J775" s="4" t="str">
        <f ca="1">_xlfn.IFNA(VLOOKUP(INDIRECT("G"&amp;ROW()),minfo!$A:$M,COLUMN()-8,0),"")</f>
        <v>达尔文</v>
      </c>
      <c r="K775" s="4" t="str">
        <f ca="1">_xlfn.IFNA(VLOOKUP(INDIRECT("G"&amp;ROW()),minfo!$A:$M,COLUMN()-8,0),"")</f>
        <v>蔡健雅</v>
      </c>
      <c r="L775" s="4">
        <f ca="1">_xlfn.IFNA(VLOOKUP(INDIRECT("G"&amp;ROW()),minfo!$A:$M,COLUMN()-8,0),"")</f>
        <v>0</v>
      </c>
      <c r="M775" s="4">
        <f ca="1">_xlfn.IFNA(VLOOKUP(INDIRECT("G"&amp;ROW()),minfo!$A:$M,COLUMN()-8,0),"")</f>
        <v>61</v>
      </c>
      <c r="N775" s="4">
        <f ca="1">_xlfn.IFNA(VLOOKUP(INDIRECT("G"&amp;ROW()),minfo!$A:$M,COLUMN()-8,0),"")</f>
        <v>23</v>
      </c>
      <c r="O775" s="4" t="str">
        <f ca="1">_xlfn.IFNA(VLOOKUP(INDIRECT("G"&amp;ROW()),minfo!$A:$M,COLUMN()-8,0),"")</f>
        <v>http://i2.hdslb.com/bfs/archive/0d88147503c1678b5c14f01bf912438f0e18189c.jpg</v>
      </c>
      <c r="P775" s="4">
        <f ca="1">_xlfn.IFNA(VLOOKUP(INDIRECT("G"&amp;ROW()),minfo!$A:$M,COLUMN()-8,0),"")</f>
        <v>0</v>
      </c>
      <c r="Q775" s="4">
        <f ca="1">_xlfn.IFNA(VLOOKUP(INDIRECT("G"&amp;ROW()),minfo!$A:$M,COLUMN()-8,0),"")</f>
        <v>275</v>
      </c>
      <c r="R775" s="4" t="str">
        <f ca="1">_xlfn.IFNA(VLOOKUP(INDIRECT("G"&amp;ROW()),minfo!$A:$M,COLUMN()-8,0),"")</f>
        <v>达尔文</v>
      </c>
      <c r="S775" s="4" t="str">
        <f ca="1">_xlfn.IFNA(VLOOKUP(INDIRECT("G"&amp;ROW()),minfo!$A:$M,COLUMN()-8,0),"")</f>
        <v>达尔文</v>
      </c>
      <c r="T775" s="4">
        <f ca="1">_xlfn.IFNA(VLOOKUP(INDIRECT("G"&amp;ROW()),minfo!$A:$M,COLUMN()-8,0),"")</f>
        <v>108423038</v>
      </c>
      <c r="U775" s="4">
        <f ca="1">_xlfn.IFNA(VLOOKUP(INDIRECT("G"&amp;ROW()),minfo!$A:$M,COLUMN()-8,0),"")</f>
        <v>0</v>
      </c>
    </row>
    <row r="776" spans="1:21" ht="15.75" customHeight="1">
      <c r="A776" s="15">
        <v>775</v>
      </c>
      <c r="B776" s="4" t="s">
        <v>4361</v>
      </c>
      <c r="C776" s="4">
        <v>776</v>
      </c>
      <c r="D776" s="4">
        <v>186</v>
      </c>
      <c r="E776" s="4" t="s">
        <v>4362</v>
      </c>
      <c r="F776" s="16">
        <v>45289</v>
      </c>
      <c r="G776" s="5" t="s">
        <v>1886</v>
      </c>
      <c r="H776" s="5" t="s">
        <v>4168</v>
      </c>
      <c r="I776" s="24" t="str">
        <f>HYPERLINK("https://www.bilibili.com/video/BV1ie411v7a2?p=186", "BV1ie411v7a2?p=186")</f>
        <v>BV1ie411v7a2?p=186</v>
      </c>
      <c r="J776" s="4" t="str">
        <f ca="1">_xlfn.IFNA(VLOOKUP(INDIRECT("G"&amp;ROW()),minfo!$A:$M,COLUMN()-8,0),"")</f>
        <v>快乐手账</v>
      </c>
      <c r="K776" s="4" t="str">
        <f ca="1">_xlfn.IFNA(VLOOKUP(INDIRECT("G"&amp;ROW()),minfo!$A:$M,COLUMN()-8,0),"")</f>
        <v>初音未来</v>
      </c>
      <c r="L776" s="4">
        <f ca="1">_xlfn.IFNA(VLOOKUP(INDIRECT("G"&amp;ROW()),minfo!$A:$M,COLUMN()-8,0),"")</f>
        <v>0</v>
      </c>
      <c r="M776" s="4">
        <f ca="1">_xlfn.IFNA(VLOOKUP(INDIRECT("G"&amp;ROW()),minfo!$A:$M,COLUMN()-8,0),"")</f>
        <v>0</v>
      </c>
      <c r="N776" s="4">
        <f ca="1">_xlfn.IFNA(VLOOKUP(INDIRECT("G"&amp;ROW()),minfo!$A:$M,COLUMN()-8,0),"")</f>
        <v>0</v>
      </c>
      <c r="O776" s="4" t="str">
        <f ca="1">_xlfn.IFNA(VLOOKUP(INDIRECT("G"&amp;ROW()),minfo!$A:$M,COLUMN()-8,0),"")</f>
        <v>http://i0.hdslb.com/bfs/station_src/music_metadata/6d0fe4d5c4dc61f5d1d037d0e6855532.jpg</v>
      </c>
      <c r="P776" s="4">
        <f ca="1">_xlfn.IFNA(VLOOKUP(INDIRECT("G"&amp;ROW()),minfo!$A:$M,COLUMN()-8,0),"")</f>
        <v>0</v>
      </c>
      <c r="Q776" s="4">
        <f ca="1">_xlfn.IFNA(VLOOKUP(INDIRECT("G"&amp;ROW()),minfo!$A:$M,COLUMN()-8,0),"")</f>
        <v>42</v>
      </c>
      <c r="R776" s="4">
        <f ca="1">_xlfn.IFNA(VLOOKUP(INDIRECT("G"&amp;ROW()),minfo!$A:$M,COLUMN()-8,0),"")</f>
        <v>0</v>
      </c>
      <c r="S776" s="4" t="str">
        <f ca="1">_xlfn.IFNA(VLOOKUP(INDIRECT("G"&amp;ROW()),minfo!$A:$M,COLUMN()-8,0),"")</f>
        <v>快乐手账</v>
      </c>
      <c r="T776" s="4">
        <f ca="1">_xlfn.IFNA(VLOOKUP(INDIRECT("G"&amp;ROW()),minfo!$A:$M,COLUMN()-8,0),"")</f>
        <v>6085354</v>
      </c>
      <c r="U776" s="4">
        <f ca="1">_xlfn.IFNA(VLOOKUP(INDIRECT("G"&amp;ROW()),minfo!$A:$M,COLUMN()-8,0),"")</f>
        <v>0</v>
      </c>
    </row>
    <row r="777" spans="1:21" ht="15.75" customHeight="1">
      <c r="A777" s="15">
        <v>776</v>
      </c>
      <c r="B777" s="4" t="s">
        <v>4363</v>
      </c>
      <c r="C777" s="4">
        <v>777</v>
      </c>
      <c r="D777" s="4">
        <v>187</v>
      </c>
      <c r="E777" s="4" t="s">
        <v>289</v>
      </c>
      <c r="F777" s="16">
        <v>45289</v>
      </c>
      <c r="G777" s="5" t="s">
        <v>288</v>
      </c>
      <c r="H777" s="5" t="s">
        <v>4168</v>
      </c>
      <c r="I777" s="24" t="str">
        <f>HYPERLINK("https://www.bilibili.com/video/BV1ie411v7a2?p=187", "BV1ie411v7a2?p=187")</f>
        <v>BV1ie411v7a2?p=187</v>
      </c>
      <c r="J777" s="4" t="str">
        <f ca="1">_xlfn.IFNA(VLOOKUP(INDIRECT("G"&amp;ROW()),minfo!$A:$M,COLUMN()-8,0),"")</f>
        <v>明明就</v>
      </c>
      <c r="K777" s="4" t="str">
        <f ca="1">_xlfn.IFNA(VLOOKUP(INDIRECT("G"&amp;ROW()),minfo!$A:$M,COLUMN()-8,0),"")</f>
        <v>周杰伦</v>
      </c>
      <c r="L777" s="4">
        <f ca="1">_xlfn.IFNA(VLOOKUP(INDIRECT("G"&amp;ROW()),minfo!$A:$M,COLUMN()-8,0),"")</f>
        <v>0</v>
      </c>
      <c r="M777" s="4">
        <f ca="1">_xlfn.IFNA(VLOOKUP(INDIRECT("G"&amp;ROW()),minfo!$A:$M,COLUMN()-8,0),"")</f>
        <v>0</v>
      </c>
      <c r="N777" s="4">
        <f ca="1">_xlfn.IFNA(VLOOKUP(INDIRECT("G"&amp;ROW()),minfo!$A:$M,COLUMN()-8,0),"")</f>
        <v>0</v>
      </c>
      <c r="O777" s="4" t="str">
        <f ca="1">_xlfn.IFNA(VLOOKUP(INDIRECT("G"&amp;ROW()),minfo!$A:$M,COLUMN()-8,0),"")</f>
        <v>https://i0.hdslb.com/bfs/station_src/music_metadata/b98a05427f027651ca3c0c8cbab055fe.jpg</v>
      </c>
      <c r="P777" s="4" t="str">
        <f ca="1">_xlfn.IFNA(VLOOKUP(INDIRECT("G"&amp;ROW()),minfo!$A:$M,COLUMN()-8,0),"")</f>
        <v>copyright-crawler/music/task-lyric/65093974f03c35ab34fd5795.txt</v>
      </c>
      <c r="Q777" s="4">
        <f ca="1">_xlfn.IFNA(VLOOKUP(INDIRECT("G"&amp;ROW()),minfo!$A:$M,COLUMN()-8,0),"")</f>
        <v>3451</v>
      </c>
      <c r="R777" s="4" t="str">
        <f ca="1">_xlfn.IFNA(VLOOKUP(INDIRECT("G"&amp;ROW()),minfo!$A:$M,COLUMN()-8,0),"")</f>
        <v>明明就</v>
      </c>
      <c r="S777" s="4" t="str">
        <f ca="1">_xlfn.IFNA(VLOOKUP(INDIRECT("G"&amp;ROW()),minfo!$A:$M,COLUMN()-8,0),"")</f>
        <v>十二新作</v>
      </c>
      <c r="T777" s="4">
        <f ca="1">_xlfn.IFNA(VLOOKUP(INDIRECT("G"&amp;ROW()),minfo!$A:$M,COLUMN()-8,0),"")</f>
        <v>424774252</v>
      </c>
      <c r="U777" s="4" t="str">
        <f ca="1">_xlfn.IFNA(VLOOKUP(INDIRECT("G"&amp;ROW()),minfo!$A:$M,COLUMN()-8,0),"")</f>
        <v>音乐榜最高NO.18</v>
      </c>
    </row>
    <row r="778" spans="1:21" ht="15.75" customHeight="1">
      <c r="A778" s="15">
        <v>777</v>
      </c>
      <c r="B778" s="4" t="s">
        <v>4364</v>
      </c>
      <c r="C778" s="4">
        <v>778</v>
      </c>
      <c r="D778" s="4">
        <v>188</v>
      </c>
      <c r="E778" s="4" t="s">
        <v>1419</v>
      </c>
      <c r="F778" s="16">
        <v>45289</v>
      </c>
      <c r="G778" s="5" t="s">
        <v>1418</v>
      </c>
      <c r="H778" s="5" t="s">
        <v>4168</v>
      </c>
      <c r="I778" s="24" t="str">
        <f>HYPERLINK("https://www.bilibili.com/video/BV1ie411v7a2?p=188", "BV1ie411v7a2?p=188")</f>
        <v>BV1ie411v7a2?p=188</v>
      </c>
      <c r="J778" s="4" t="str">
        <f ca="1">_xlfn.IFNA(VLOOKUP(INDIRECT("G"&amp;ROW()),minfo!$A:$M,COLUMN()-8,0),"")</f>
        <v>普通朋友</v>
      </c>
      <c r="K778" s="4" t="str">
        <f ca="1">_xlfn.IFNA(VLOOKUP(INDIRECT("G"&amp;ROW()),minfo!$A:$M,COLUMN()-8,0),"")</f>
        <v>娃娃,陶喆</v>
      </c>
      <c r="L778" s="4">
        <f ca="1">_xlfn.IFNA(VLOOKUP(INDIRECT("G"&amp;ROW()),minfo!$A:$M,COLUMN()-8,0),"")</f>
        <v>0</v>
      </c>
      <c r="M778" s="4">
        <f ca="1">_xlfn.IFNA(VLOOKUP(INDIRECT("G"&amp;ROW()),minfo!$A:$M,COLUMN()-8,0),"")</f>
        <v>0</v>
      </c>
      <c r="N778" s="4">
        <f ca="1">_xlfn.IFNA(VLOOKUP(INDIRECT("G"&amp;ROW()),minfo!$A:$M,COLUMN()-8,0),"")</f>
        <v>0</v>
      </c>
      <c r="O778" s="4" t="str">
        <f ca="1">_xlfn.IFNA(VLOOKUP(INDIRECT("G"&amp;ROW()),minfo!$A:$M,COLUMN()-8,0),"")</f>
        <v>http://i0.hdslb.com/bfs/station_src/music_metadata/b4de12b50832ba1f1ca69812232e19ce.jpg</v>
      </c>
      <c r="P778" s="4">
        <f ca="1">_xlfn.IFNA(VLOOKUP(INDIRECT("G"&amp;ROW()),minfo!$A:$M,COLUMN()-8,0),"")</f>
        <v>0</v>
      </c>
      <c r="Q778" s="4">
        <f ca="1">_xlfn.IFNA(VLOOKUP(INDIRECT("G"&amp;ROW()),minfo!$A:$M,COLUMN()-8,0),"")</f>
        <v>828</v>
      </c>
      <c r="R778" s="4">
        <f ca="1">_xlfn.IFNA(VLOOKUP(INDIRECT("G"&amp;ROW()),minfo!$A:$M,COLUMN()-8,0),"")</f>
        <v>0</v>
      </c>
      <c r="S778" s="4" t="str">
        <f ca="1">_xlfn.IFNA(VLOOKUP(INDIRECT("G"&amp;ROW()),minfo!$A:$M,COLUMN()-8,0),"")</f>
        <v>I'm OK</v>
      </c>
      <c r="T778" s="4">
        <f ca="1">_xlfn.IFNA(VLOOKUP(INDIRECT("G"&amp;ROW()),minfo!$A:$M,COLUMN()-8,0),"")</f>
        <v>137417227</v>
      </c>
      <c r="U778" s="4">
        <f ca="1">_xlfn.IFNA(VLOOKUP(INDIRECT("G"&amp;ROW()),minfo!$A:$M,COLUMN()-8,0),"")</f>
        <v>0</v>
      </c>
    </row>
    <row r="779" spans="1:21" ht="15.75" customHeight="1">
      <c r="A779" s="15">
        <v>778</v>
      </c>
      <c r="B779" s="4" t="s">
        <v>4365</v>
      </c>
      <c r="C779" s="4">
        <v>779</v>
      </c>
      <c r="D779" s="4">
        <v>189</v>
      </c>
      <c r="E779" s="4" t="s">
        <v>4366</v>
      </c>
      <c r="F779" s="16">
        <v>45289</v>
      </c>
      <c r="G779" s="5" t="s">
        <v>1890</v>
      </c>
      <c r="H779" s="5" t="s">
        <v>4168</v>
      </c>
      <c r="I779" s="24" t="str">
        <f>HYPERLINK("https://www.bilibili.com/video/BV1ie411v7a2?p=189", "BV1ie411v7a2?p=189")</f>
        <v>BV1ie411v7a2?p=189</v>
      </c>
      <c r="J779" s="4" t="str">
        <f ca="1">_xlfn.IFNA(VLOOKUP(INDIRECT("G"&amp;ROW()),minfo!$A:$M,COLUMN()-8,0),"")</f>
        <v>爱してる</v>
      </c>
      <c r="K779" s="4" t="str">
        <f ca="1">_xlfn.IFNA(VLOOKUP(INDIRECT("G"&amp;ROW()),minfo!$A:$M,COLUMN()-8,0),"")</f>
        <v>泥鳅Niko</v>
      </c>
      <c r="L779" s="4">
        <f ca="1">_xlfn.IFNA(VLOOKUP(INDIRECT("G"&amp;ROW()),minfo!$A:$M,COLUMN()-8,0),"")</f>
        <v>0</v>
      </c>
      <c r="M779" s="4">
        <f ca="1">_xlfn.IFNA(VLOOKUP(INDIRECT("G"&amp;ROW()),minfo!$A:$M,COLUMN()-8,0),"")</f>
        <v>0</v>
      </c>
      <c r="N779" s="4">
        <f ca="1">_xlfn.IFNA(VLOOKUP(INDIRECT("G"&amp;ROW()),minfo!$A:$M,COLUMN()-8,0),"")</f>
        <v>0</v>
      </c>
      <c r="O779" s="4" t="str">
        <f ca="1">_xlfn.IFNA(VLOOKUP(INDIRECT("G"&amp;ROW()),minfo!$A:$M,COLUMN()-8,0),"")</f>
        <v>https://i0.hdslb.com/bfs/station_src/music_metadata/dbae17ef9c57a59cec0574ef7463ee79.jpg</v>
      </c>
      <c r="P779" s="4" t="str">
        <f ca="1">_xlfn.IFNA(VLOOKUP(INDIRECT("G"&amp;ROW()),minfo!$A:$M,COLUMN()-8,0),"")</f>
        <v>https://i0.hdslb.com/bfs/station_src/music_metadata/6760d0679c6b0a8ff862b6d8b04d4b99.txt</v>
      </c>
      <c r="Q779" s="4">
        <f ca="1">_xlfn.IFNA(VLOOKUP(INDIRECT("G"&amp;ROW()),minfo!$A:$M,COLUMN()-8,0),"")</f>
        <v>15</v>
      </c>
      <c r="R779" s="4">
        <f ca="1">_xlfn.IFNA(VLOOKUP(INDIRECT("G"&amp;ROW()),minfo!$A:$M,COLUMN()-8,0),"")</f>
        <v>0</v>
      </c>
      <c r="S779" s="4" t="str">
        <f ca="1">_xlfn.IFNA(VLOOKUP(INDIRECT("G"&amp;ROW()),minfo!$A:$M,COLUMN()-8,0),"")</f>
        <v>爱してる（夏目友人帐ED）</v>
      </c>
      <c r="T779" s="4">
        <f ca="1">_xlfn.IFNA(VLOOKUP(INDIRECT("G"&amp;ROW()),minfo!$A:$M,COLUMN()-8,0),"")</f>
        <v>34309022</v>
      </c>
      <c r="U779" s="4">
        <f ca="1">_xlfn.IFNA(VLOOKUP(INDIRECT("G"&amp;ROW()),minfo!$A:$M,COLUMN()-8,0),"")</f>
        <v>0</v>
      </c>
    </row>
    <row r="780" spans="1:21" ht="15.75" customHeight="1">
      <c r="A780" s="15">
        <v>779</v>
      </c>
      <c r="B780" s="4" t="s">
        <v>4367</v>
      </c>
      <c r="C780" s="4">
        <v>780</v>
      </c>
      <c r="D780" s="4">
        <v>190</v>
      </c>
      <c r="E780" s="4" t="s">
        <v>4366</v>
      </c>
      <c r="F780" s="16">
        <v>45289</v>
      </c>
      <c r="G780" s="5" t="s">
        <v>1890</v>
      </c>
      <c r="H780" s="5" t="s">
        <v>4168</v>
      </c>
      <c r="I780" s="24" t="str">
        <f>HYPERLINK("https://www.bilibili.com/video/BV1ie411v7a2?p=190", "BV1ie411v7a2?p=190")</f>
        <v>BV1ie411v7a2?p=190</v>
      </c>
      <c r="J780" s="4" t="str">
        <f ca="1">_xlfn.IFNA(VLOOKUP(INDIRECT("G"&amp;ROW()),minfo!$A:$M,COLUMN()-8,0),"")</f>
        <v>爱してる</v>
      </c>
      <c r="K780" s="4" t="str">
        <f ca="1">_xlfn.IFNA(VLOOKUP(INDIRECT("G"&amp;ROW()),minfo!$A:$M,COLUMN()-8,0),"")</f>
        <v>泥鳅Niko</v>
      </c>
      <c r="L780" s="4">
        <f ca="1">_xlfn.IFNA(VLOOKUP(INDIRECT("G"&amp;ROW()),minfo!$A:$M,COLUMN()-8,0),"")</f>
        <v>0</v>
      </c>
      <c r="M780" s="4">
        <f ca="1">_xlfn.IFNA(VLOOKUP(INDIRECT("G"&amp;ROW()),minfo!$A:$M,COLUMN()-8,0),"")</f>
        <v>0</v>
      </c>
      <c r="N780" s="4">
        <f ca="1">_xlfn.IFNA(VLOOKUP(INDIRECT("G"&amp;ROW()),minfo!$A:$M,COLUMN()-8,0),"")</f>
        <v>0</v>
      </c>
      <c r="O780" s="4" t="str">
        <f ca="1">_xlfn.IFNA(VLOOKUP(INDIRECT("G"&amp;ROW()),minfo!$A:$M,COLUMN()-8,0),"")</f>
        <v>https://i0.hdslb.com/bfs/station_src/music_metadata/dbae17ef9c57a59cec0574ef7463ee79.jpg</v>
      </c>
      <c r="P780" s="4" t="str">
        <f ca="1">_xlfn.IFNA(VLOOKUP(INDIRECT("G"&amp;ROW()),minfo!$A:$M,COLUMN()-8,0),"")</f>
        <v>https://i0.hdslb.com/bfs/station_src/music_metadata/6760d0679c6b0a8ff862b6d8b04d4b99.txt</v>
      </c>
      <c r="Q780" s="4">
        <f ca="1">_xlfn.IFNA(VLOOKUP(INDIRECT("G"&amp;ROW()),minfo!$A:$M,COLUMN()-8,0),"")</f>
        <v>15</v>
      </c>
      <c r="R780" s="4">
        <f ca="1">_xlfn.IFNA(VLOOKUP(INDIRECT("G"&amp;ROW()),minfo!$A:$M,COLUMN()-8,0),"")</f>
        <v>0</v>
      </c>
      <c r="S780" s="4" t="str">
        <f ca="1">_xlfn.IFNA(VLOOKUP(INDIRECT("G"&amp;ROW()),minfo!$A:$M,COLUMN()-8,0),"")</f>
        <v>爱してる（夏目友人帐ED）</v>
      </c>
      <c r="T780" s="4">
        <f ca="1">_xlfn.IFNA(VLOOKUP(INDIRECT("G"&amp;ROW()),minfo!$A:$M,COLUMN()-8,0),"")</f>
        <v>34309022</v>
      </c>
      <c r="U780" s="4">
        <f ca="1">_xlfn.IFNA(VLOOKUP(INDIRECT("G"&amp;ROW()),minfo!$A:$M,COLUMN()-8,0),"")</f>
        <v>0</v>
      </c>
    </row>
    <row r="781" spans="1:21" ht="15.75" customHeight="1">
      <c r="A781" s="15">
        <v>780</v>
      </c>
      <c r="B781" s="4" t="s">
        <v>4368</v>
      </c>
      <c r="C781" s="4">
        <v>781</v>
      </c>
      <c r="D781" s="4">
        <v>191</v>
      </c>
      <c r="E781" s="4" t="s">
        <v>1896</v>
      </c>
      <c r="F781" s="16">
        <v>45290</v>
      </c>
      <c r="G781" s="5" t="s">
        <v>3384</v>
      </c>
      <c r="H781" s="5" t="s">
        <v>4168</v>
      </c>
      <c r="I781" s="24" t="str">
        <f>HYPERLINK("https://www.bilibili.com/video/BV1ie411v7a2?p=191", "BV1ie411v7a2?p=191")</f>
        <v>BV1ie411v7a2?p=191</v>
      </c>
      <c r="J781" s="4" t="str">
        <f ca="1">_xlfn.IFNA(VLOOKUP(INDIRECT("G"&amp;ROW()),minfo!$A:$M,COLUMN()-8,0),"")</f>
        <v>弯弯的月亮</v>
      </c>
      <c r="K781" s="4" t="str">
        <f ca="1">_xlfn.IFNA(VLOOKUP(INDIRECT("G"&amp;ROW()),minfo!$A:$M,COLUMN()-8,0),"")</f>
        <v>陈汝佳</v>
      </c>
      <c r="L781" s="4">
        <f ca="1">_xlfn.IFNA(VLOOKUP(INDIRECT("G"&amp;ROW()),minfo!$A:$M,COLUMN()-8,0),"")</f>
        <v>0</v>
      </c>
      <c r="M781" s="4">
        <f ca="1">_xlfn.IFNA(VLOOKUP(INDIRECT("G"&amp;ROW()),minfo!$A:$M,COLUMN()-8,0),"")</f>
        <v>0</v>
      </c>
      <c r="N781" s="4">
        <f ca="1">_xlfn.IFNA(VLOOKUP(INDIRECT("G"&amp;ROW()),minfo!$A:$M,COLUMN()-8,0),"")</f>
        <v>0</v>
      </c>
      <c r="O781" s="4" t="str">
        <f ca="1">_xlfn.IFNA(VLOOKUP(INDIRECT("G"&amp;ROW()),minfo!$A:$M,COLUMN()-8,0),"")</f>
        <v>https://i0.hdslb.com/bfs/station_src/music_metadata/2cb8f0e572ebaae5be54e9d6d7b93e58.jpg</v>
      </c>
      <c r="P781" s="4">
        <f ca="1">_xlfn.IFNA(VLOOKUP(INDIRECT("G"&amp;ROW()),minfo!$A:$M,COLUMN()-8,0),"")</f>
        <v>0</v>
      </c>
      <c r="Q781" s="4">
        <f ca="1">_xlfn.IFNA(VLOOKUP(INDIRECT("G"&amp;ROW()),minfo!$A:$M,COLUMN()-8,0),"")</f>
        <v>79</v>
      </c>
      <c r="R781" s="4">
        <f ca="1">_xlfn.IFNA(VLOOKUP(INDIRECT("G"&amp;ROW()),minfo!$A:$M,COLUMN()-8,0),"")</f>
        <v>0</v>
      </c>
      <c r="S781" s="4" t="str">
        <f ca="1">_xlfn.IFNA(VLOOKUP(INDIRECT("G"&amp;ROW()),minfo!$A:$M,COLUMN()-8,0),"")</f>
        <v>新歌+成名金曲</v>
      </c>
      <c r="T781" s="4">
        <f ca="1">_xlfn.IFNA(VLOOKUP(INDIRECT("G"&amp;ROW()),minfo!$A:$M,COLUMN()-8,0),"")</f>
        <v>17451675</v>
      </c>
      <c r="U781" s="4">
        <f ca="1">_xlfn.IFNA(VLOOKUP(INDIRECT("G"&amp;ROW()),minfo!$A:$M,COLUMN()-8,0),"")</f>
        <v>0</v>
      </c>
    </row>
    <row r="782" spans="1:21" ht="15.75" customHeight="1">
      <c r="A782" s="15">
        <v>781</v>
      </c>
      <c r="B782" s="4" t="s">
        <v>4369</v>
      </c>
      <c r="C782" s="4">
        <v>782</v>
      </c>
      <c r="D782" s="4">
        <v>192</v>
      </c>
      <c r="E782" s="4" t="s">
        <v>1901</v>
      </c>
      <c r="F782" s="16">
        <v>45290</v>
      </c>
      <c r="G782" s="5" t="s">
        <v>1900</v>
      </c>
      <c r="H782" s="5" t="s">
        <v>4168</v>
      </c>
      <c r="I782" s="24" t="str">
        <f>HYPERLINK("https://www.bilibili.com/video/BV1ie411v7a2?p=192", "BV1ie411v7a2?p=192")</f>
        <v>BV1ie411v7a2?p=192</v>
      </c>
      <c r="J782" s="4" t="str">
        <f ca="1">_xlfn.IFNA(VLOOKUP(INDIRECT("G"&amp;ROW()),minfo!$A:$M,COLUMN()-8,0),"")</f>
        <v>你的眼神</v>
      </c>
      <c r="K782" s="4" t="str">
        <f ca="1">_xlfn.IFNA(VLOOKUP(INDIRECT("G"&amp;ROW()),minfo!$A:$M,COLUMN()-8,0),"")</f>
        <v>蔡琴</v>
      </c>
      <c r="L782" s="4">
        <f ca="1">_xlfn.IFNA(VLOOKUP(INDIRECT("G"&amp;ROW()),minfo!$A:$M,COLUMN()-8,0),"")</f>
        <v>0</v>
      </c>
      <c r="M782" s="4">
        <f ca="1">_xlfn.IFNA(VLOOKUP(INDIRECT("G"&amp;ROW()),minfo!$A:$M,COLUMN()-8,0),"")</f>
        <v>0</v>
      </c>
      <c r="N782" s="4">
        <f ca="1">_xlfn.IFNA(VLOOKUP(INDIRECT("G"&amp;ROW()),minfo!$A:$M,COLUMN()-8,0),"")</f>
        <v>0</v>
      </c>
      <c r="O782" s="4" t="str">
        <f ca="1">_xlfn.IFNA(VLOOKUP(INDIRECT("G"&amp;ROW()),minfo!$A:$M,COLUMN()-8,0),"")</f>
        <v>https://i0.hdslb.com/bfs/station_src/music_metadata/beb47e19024e2afcffb8918f5700b972.jpg</v>
      </c>
      <c r="P782" s="4" t="str">
        <f ca="1">_xlfn.IFNA(VLOOKUP(INDIRECT("G"&amp;ROW()),minfo!$A:$M,COLUMN()-8,0),"")</f>
        <v>http://i0.hdslb.com/bfs/station_src/music_metadata/3a55c6d3b5478a0796fd0ad3186c5798</v>
      </c>
      <c r="Q782" s="4">
        <f ca="1">_xlfn.IFNA(VLOOKUP(INDIRECT("G"&amp;ROW()),minfo!$A:$M,COLUMN()-8,0),"")</f>
        <v>293</v>
      </c>
      <c r="R782" s="4">
        <f ca="1">_xlfn.IFNA(VLOOKUP(INDIRECT("G"&amp;ROW()),minfo!$A:$M,COLUMN()-8,0),"")</f>
        <v>0</v>
      </c>
      <c r="S782" s="4" t="str">
        <f ca="1">_xlfn.IFNA(VLOOKUP(INDIRECT("G"&amp;ROW()),minfo!$A:$M,COLUMN()-8,0),"")</f>
        <v>靓声天后</v>
      </c>
      <c r="T782" s="4">
        <f ca="1">_xlfn.IFNA(VLOOKUP(INDIRECT("G"&amp;ROW()),minfo!$A:$M,COLUMN()-8,0),"")</f>
        <v>87009373</v>
      </c>
      <c r="U782" s="4">
        <f ca="1">_xlfn.IFNA(VLOOKUP(INDIRECT("G"&amp;ROW()),minfo!$A:$M,COLUMN()-8,0),"")</f>
        <v>0</v>
      </c>
    </row>
    <row r="783" spans="1:21" ht="15.75" customHeight="1">
      <c r="A783" s="15">
        <v>782</v>
      </c>
      <c r="B783" s="4" t="s">
        <v>4370</v>
      </c>
      <c r="C783" s="4">
        <v>783</v>
      </c>
      <c r="D783" s="4">
        <v>193</v>
      </c>
      <c r="E783" s="4" t="s">
        <v>1858</v>
      </c>
      <c r="F783" s="16">
        <v>45290</v>
      </c>
      <c r="G783" s="5" t="s">
        <v>1857</v>
      </c>
      <c r="H783" s="5" t="s">
        <v>4168</v>
      </c>
      <c r="I783" s="24" t="str">
        <f>HYPERLINK("https://www.bilibili.com/video/BV1ie411v7a2?p=193", "BV1ie411v7a2?p=193")</f>
        <v>BV1ie411v7a2?p=193</v>
      </c>
      <c r="J783" s="4" t="str">
        <f ca="1">_xlfn.IFNA(VLOOKUP(INDIRECT("G"&amp;ROW()),minfo!$A:$M,COLUMN()-8,0),"")</f>
        <v>茉莉雨</v>
      </c>
      <c r="K783" s="4" t="str">
        <f ca="1">_xlfn.IFNA(VLOOKUP(INDIRECT("G"&amp;ROW()),minfo!$A:$M,COLUMN()-8,0),"")</f>
        <v>林俊杰</v>
      </c>
      <c r="L783" s="4">
        <f ca="1">_xlfn.IFNA(VLOOKUP(INDIRECT("G"&amp;ROW()),minfo!$A:$M,COLUMN()-8,0),"")</f>
        <v>0</v>
      </c>
      <c r="M783" s="4">
        <f ca="1">_xlfn.IFNA(VLOOKUP(INDIRECT("G"&amp;ROW()),minfo!$A:$M,COLUMN()-8,0),"")</f>
        <v>0</v>
      </c>
      <c r="N783" s="4">
        <f ca="1">_xlfn.IFNA(VLOOKUP(INDIRECT("G"&amp;ROW()),minfo!$A:$M,COLUMN()-8,0),"")</f>
        <v>0</v>
      </c>
      <c r="O783" s="4" t="str">
        <f ca="1">_xlfn.IFNA(VLOOKUP(INDIRECT("G"&amp;ROW()),minfo!$A:$M,COLUMN()-8,0),"")</f>
        <v>https://i0.hdslb.com/bfs/station_src/music_metadata/c0c395d0757c371b76c37bb98d3c24e7.jpg</v>
      </c>
      <c r="P783" s="4" t="str">
        <f ca="1">_xlfn.IFNA(VLOOKUP(INDIRECT("G"&amp;ROW()),minfo!$A:$M,COLUMN()-8,0),"")</f>
        <v>https://i0.hdslb.com/bfs/station_src/music_metadata/d45f6c1adb54696b8ea71a2b8e4f0c55.txt</v>
      </c>
      <c r="Q783" s="4">
        <f ca="1">_xlfn.IFNA(VLOOKUP(INDIRECT("G"&amp;ROW()),minfo!$A:$M,COLUMN()-8,0),"")</f>
        <v>114</v>
      </c>
      <c r="R783" s="4">
        <f ca="1">_xlfn.IFNA(VLOOKUP(INDIRECT("G"&amp;ROW()),minfo!$A:$M,COLUMN()-8,0),"")</f>
        <v>0</v>
      </c>
      <c r="S783" s="4" t="str">
        <f ca="1">_xlfn.IFNA(VLOOKUP(INDIRECT("G"&amp;ROW()),minfo!$A:$M,COLUMN()-8,0),"")</f>
        <v>新地球</v>
      </c>
      <c r="T783" s="4">
        <f ca="1">_xlfn.IFNA(VLOOKUP(INDIRECT("G"&amp;ROW()),minfo!$A:$M,COLUMN()-8,0),"")</f>
        <v>23763965</v>
      </c>
      <c r="U783" s="4">
        <f ca="1">_xlfn.IFNA(VLOOKUP(INDIRECT("G"&amp;ROW()),minfo!$A:$M,COLUMN()-8,0),"")</f>
        <v>0</v>
      </c>
    </row>
    <row r="784" spans="1:21" ht="15.75" customHeight="1">
      <c r="A784" s="15">
        <v>783</v>
      </c>
      <c r="B784" s="4" t="s">
        <v>4371</v>
      </c>
      <c r="C784" s="4">
        <v>784</v>
      </c>
      <c r="D784" s="4">
        <v>194</v>
      </c>
      <c r="E784" s="4" t="s">
        <v>726</v>
      </c>
      <c r="F784" s="16">
        <v>45291</v>
      </c>
      <c r="G784" s="5" t="s">
        <v>1905</v>
      </c>
      <c r="H784" s="5" t="s">
        <v>4168</v>
      </c>
      <c r="I784" s="24" t="str">
        <f>HYPERLINK("https://www.bilibili.com/video/BV1ie411v7a2?p=194", "BV1ie411v7a2?p=194")</f>
        <v>BV1ie411v7a2?p=194</v>
      </c>
      <c r="J784" s="4" t="str">
        <f ca="1">_xlfn.IFNA(VLOOKUP(INDIRECT("G"&amp;ROW()),minfo!$A:$M,COLUMN()-8,0),"")</f>
        <v>茉莉花的联唱</v>
      </c>
      <c r="K784" s="4" t="str">
        <f ca="1">_xlfn.IFNA(VLOOKUP(INDIRECT("G"&amp;ROW()),minfo!$A:$M,COLUMN()-8,0),"")</f>
        <v>冯霞</v>
      </c>
      <c r="L784" s="4">
        <f ca="1">_xlfn.IFNA(VLOOKUP(INDIRECT("G"&amp;ROW()),minfo!$A:$M,COLUMN()-8,0),"")</f>
        <v>0</v>
      </c>
      <c r="M784" s="4">
        <f ca="1">_xlfn.IFNA(VLOOKUP(INDIRECT("G"&amp;ROW()),minfo!$A:$M,COLUMN()-8,0),"")</f>
        <v>0</v>
      </c>
      <c r="N784" s="4">
        <f ca="1">_xlfn.IFNA(VLOOKUP(INDIRECT("G"&amp;ROW()),minfo!$A:$M,COLUMN()-8,0),"")</f>
        <v>0</v>
      </c>
      <c r="O784" s="4" t="str">
        <f ca="1">_xlfn.IFNA(VLOOKUP(INDIRECT("G"&amp;ROW()),minfo!$A:$M,COLUMN()-8,0),"")</f>
        <v>https://i0.hdslb.com/bfs/station_src/music_metadata/67ba73bda5a0d8295aebb07749c016fb.jpg</v>
      </c>
      <c r="P784" s="4" t="str">
        <f ca="1">_xlfn.IFNA(VLOOKUP(INDIRECT("G"&amp;ROW()),minfo!$A:$M,COLUMN()-8,0),"")</f>
        <v>https://i0.hdslb.com/bfs/station_src/music_metadata/893a5a8fe56fbf528f3d8dc476b15dcf.txt</v>
      </c>
      <c r="Q784" s="4">
        <f ca="1">_xlfn.IFNA(VLOOKUP(INDIRECT("G"&amp;ROW()),minfo!$A:$M,COLUMN()-8,0),"")</f>
        <v>25</v>
      </c>
      <c r="R784" s="4">
        <f ca="1">_xlfn.IFNA(VLOOKUP(INDIRECT("G"&amp;ROW()),minfo!$A:$M,COLUMN()-8,0),"")</f>
        <v>0</v>
      </c>
      <c r="S784" s="4" t="str">
        <f ca="1">_xlfn.IFNA(VLOOKUP(INDIRECT("G"&amp;ROW()),minfo!$A:$M,COLUMN()-8,0),"")</f>
        <v>相逢霞韵</v>
      </c>
      <c r="T784" s="4">
        <f ca="1">_xlfn.IFNA(VLOOKUP(INDIRECT("G"&amp;ROW()),minfo!$A:$M,COLUMN()-8,0),"")</f>
        <v>801778</v>
      </c>
      <c r="U784" s="4">
        <f ca="1">_xlfn.IFNA(VLOOKUP(INDIRECT("G"&amp;ROW()),minfo!$A:$M,COLUMN()-8,0),"")</f>
        <v>0</v>
      </c>
    </row>
    <row r="785" spans="1:21" ht="15.75" customHeight="1">
      <c r="A785" s="15">
        <v>784</v>
      </c>
      <c r="B785" s="4" t="s">
        <v>4372</v>
      </c>
      <c r="C785" s="4">
        <v>785</v>
      </c>
      <c r="D785" s="4">
        <v>195</v>
      </c>
      <c r="E785" s="4" t="s">
        <v>1553</v>
      </c>
      <c r="F785" s="16">
        <v>45291</v>
      </c>
      <c r="G785" s="5" t="s">
        <v>1552</v>
      </c>
      <c r="H785" s="5" t="s">
        <v>4168</v>
      </c>
      <c r="I785" s="24" t="str">
        <f>HYPERLINK("https://www.bilibili.com/video/BV1ie411v7a2?p=195", "BV1ie411v7a2?p=195")</f>
        <v>BV1ie411v7a2?p=195</v>
      </c>
      <c r="J785" s="4" t="str">
        <f ca="1">_xlfn.IFNA(VLOOKUP(INDIRECT("G"&amp;ROW()),minfo!$A:$M,COLUMN()-8,0),"")</f>
        <v>光亮</v>
      </c>
      <c r="K785" s="4" t="str">
        <f ca="1">_xlfn.IFNA(VLOOKUP(INDIRECT("G"&amp;ROW()),minfo!$A:$M,COLUMN()-8,0),"")</f>
        <v>周深</v>
      </c>
      <c r="L785" s="4">
        <f ca="1">_xlfn.IFNA(VLOOKUP(INDIRECT("G"&amp;ROW()),minfo!$A:$M,COLUMN()-8,0),"")</f>
        <v>0</v>
      </c>
      <c r="M785" s="4">
        <f ca="1">_xlfn.IFNA(VLOOKUP(INDIRECT("G"&amp;ROW()),minfo!$A:$M,COLUMN()-8,0),"")</f>
        <v>50129</v>
      </c>
      <c r="N785" s="4">
        <f ca="1">_xlfn.IFNA(VLOOKUP(INDIRECT("G"&amp;ROW()),minfo!$A:$M,COLUMN()-8,0),"")</f>
        <v>14164</v>
      </c>
      <c r="O785" s="4" t="str">
        <f ca="1">_xlfn.IFNA(VLOOKUP(INDIRECT("G"&amp;ROW()),minfo!$A:$M,COLUMN()-8,0),"")</f>
        <v>https://i0.hdslb.com/bfs/station_src/music_metadata/432327254cfcfcbb06e70cd8958eec15.jpg</v>
      </c>
      <c r="P785" s="4" t="str">
        <f ca="1">_xlfn.IFNA(VLOOKUP(INDIRECT("G"&amp;ROW()),minfo!$A:$M,COLUMN()-8,0),"")</f>
        <v>https://i0.hdslb.com/bfs/station_src/music_metadata/bc80794f31f422159366c112e2245a93.txt</v>
      </c>
      <c r="Q785" s="4">
        <f ca="1">_xlfn.IFNA(VLOOKUP(INDIRECT("G"&amp;ROW()),minfo!$A:$M,COLUMN()-8,0),"")</f>
        <v>637</v>
      </c>
      <c r="R785" s="4" t="str">
        <f ca="1">_xlfn.IFNA(VLOOKUP(INDIRECT("G"&amp;ROW()),minfo!$A:$M,COLUMN()-8,0),"")</f>
        <v>《紫禁城》大型纪录片主题歌</v>
      </c>
      <c r="S785" s="4" t="str">
        <f ca="1">_xlfn.IFNA(VLOOKUP(INDIRECT("G"&amp;ROW()),minfo!$A:$M,COLUMN()-8,0),"")</f>
        <v>大型纪录片《紫禁城》主题歌音乐专辑</v>
      </c>
      <c r="T785" s="4">
        <f ca="1">_xlfn.IFNA(VLOOKUP(INDIRECT("G"&amp;ROW()),minfo!$A:$M,COLUMN()-8,0),"")</f>
        <v>165524997</v>
      </c>
      <c r="U785" s="4" t="str">
        <f ca="1">_xlfn.IFNA(VLOOKUP(INDIRECT("G"&amp;ROW()),minfo!$A:$M,COLUMN()-8,0),"")</f>
        <v>音乐榜最高NO.9</v>
      </c>
    </row>
    <row r="786" spans="1:21" ht="15.75" customHeight="1">
      <c r="A786" s="15">
        <v>785</v>
      </c>
      <c r="B786" s="4" t="s">
        <v>4373</v>
      </c>
      <c r="C786" s="4">
        <v>786</v>
      </c>
      <c r="D786" s="4">
        <v>196</v>
      </c>
      <c r="E786" s="4" t="s">
        <v>1709</v>
      </c>
      <c r="F786" s="16">
        <v>45291</v>
      </c>
      <c r="G786" s="5" t="s">
        <v>1708</v>
      </c>
      <c r="H786" s="5" t="s">
        <v>4168</v>
      </c>
      <c r="I786" s="24" t="str">
        <f>HYPERLINK("https://www.bilibili.com/video/BV1ie411v7a2?p=196", "BV1ie411v7a2?p=196")</f>
        <v>BV1ie411v7a2?p=196</v>
      </c>
      <c r="J786" s="4" t="str">
        <f ca="1">_xlfn.IFNA(VLOOKUP(INDIRECT("G"&amp;ROW()),minfo!$A:$M,COLUMN()-8,0),"")</f>
        <v>大喜</v>
      </c>
      <c r="K786" s="4" t="str">
        <f ca="1">_xlfn.IFNA(VLOOKUP(INDIRECT("G"&amp;ROW()),minfo!$A:$M,COLUMN()-8,0),"")</f>
        <v>泠鸢yousa,音阙诗听</v>
      </c>
      <c r="L786" s="4">
        <f ca="1">_xlfn.IFNA(VLOOKUP(INDIRECT("G"&amp;ROW()),minfo!$A:$M,COLUMN()-8,0),"")</f>
        <v>0</v>
      </c>
      <c r="M786" s="4">
        <f ca="1">_xlfn.IFNA(VLOOKUP(INDIRECT("G"&amp;ROW()),minfo!$A:$M,COLUMN()-8,0),"")</f>
        <v>0</v>
      </c>
      <c r="N786" s="4">
        <f ca="1">_xlfn.IFNA(VLOOKUP(INDIRECT("G"&amp;ROW()),minfo!$A:$M,COLUMN()-8,0),"")</f>
        <v>0</v>
      </c>
      <c r="O786" s="4" t="str">
        <f ca="1">_xlfn.IFNA(VLOOKUP(INDIRECT("G"&amp;ROW()),minfo!$A:$M,COLUMN()-8,0),"")</f>
        <v>https://i0.hdslb.com/bfs/station_src/music_metadata/30c73b33490a6b57649ad73f14ad5e30.jpg</v>
      </c>
      <c r="P786" s="4" t="str">
        <f ca="1">_xlfn.IFNA(VLOOKUP(INDIRECT("G"&amp;ROW()),minfo!$A:$M,COLUMN()-8,0),"")</f>
        <v>https://i0.hdslb.com/bfs/station_src/music_metadata/15b15946bc1af052bdf4142bd6202fad.txt</v>
      </c>
      <c r="Q786" s="4">
        <f ca="1">_xlfn.IFNA(VLOOKUP(INDIRECT("G"&amp;ROW()),minfo!$A:$M,COLUMN()-8,0),"")</f>
        <v>3393</v>
      </c>
      <c r="R786" s="4">
        <f ca="1">_xlfn.IFNA(VLOOKUP(INDIRECT("G"&amp;ROW()),minfo!$A:$M,COLUMN()-8,0),"")</f>
        <v>0</v>
      </c>
      <c r="S786" s="4" t="str">
        <f ca="1">_xlfn.IFNA(VLOOKUP(INDIRECT("G"&amp;ROW()),minfo!$A:$M,COLUMN()-8,0),"")</f>
        <v>大喜</v>
      </c>
      <c r="T786" s="4">
        <f ca="1">_xlfn.IFNA(VLOOKUP(INDIRECT("G"&amp;ROW()),minfo!$A:$M,COLUMN()-8,0),"")</f>
        <v>211699205</v>
      </c>
      <c r="U786" s="4">
        <f ca="1">_xlfn.IFNA(VLOOKUP(INDIRECT("G"&amp;ROW()),minfo!$A:$M,COLUMN()-8,0),"")</f>
        <v>0</v>
      </c>
    </row>
    <row r="787" spans="1:21" ht="15.75" customHeight="1">
      <c r="A787" s="15">
        <v>786</v>
      </c>
      <c r="B787" s="4" t="s">
        <v>4374</v>
      </c>
      <c r="C787" s="4">
        <v>787</v>
      </c>
      <c r="D787" s="4">
        <v>1</v>
      </c>
      <c r="E787" s="4" t="s">
        <v>1912</v>
      </c>
      <c r="F787" s="16">
        <v>44437</v>
      </c>
      <c r="G787" s="5" t="s">
        <v>1911</v>
      </c>
      <c r="H787" s="5" t="s">
        <v>4375</v>
      </c>
      <c r="I787" s="24" t="str">
        <f>HYPERLINK("https://www.bilibili.com/video/BV1pY411t7Rb?p=1", "BV1pY411t7Rb?p=1")</f>
        <v>BV1pY411t7Rb?p=1</v>
      </c>
      <c r="J787" s="4" t="str">
        <f ca="1">_xlfn.IFNA(VLOOKUP(INDIRECT("G"&amp;ROW()),minfo!$A:$M,COLUMN()-8,0),"")</f>
        <v>贝加尔湖畔</v>
      </c>
      <c r="K787" s="4" t="str">
        <f ca="1">_xlfn.IFNA(VLOOKUP(INDIRECT("G"&amp;ROW()),minfo!$A:$M,COLUMN()-8,0),"")</f>
        <v>李健</v>
      </c>
      <c r="L787" s="4">
        <f ca="1">_xlfn.IFNA(VLOOKUP(INDIRECT("G"&amp;ROW()),minfo!$A:$M,COLUMN()-8,0),"")</f>
        <v>0</v>
      </c>
      <c r="M787" s="4">
        <f ca="1">_xlfn.IFNA(VLOOKUP(INDIRECT("G"&amp;ROW()),minfo!$A:$M,COLUMN()-8,0),"")</f>
        <v>0</v>
      </c>
      <c r="N787" s="4">
        <f ca="1">_xlfn.IFNA(VLOOKUP(INDIRECT("G"&amp;ROW()),minfo!$A:$M,COLUMN()-8,0),"")</f>
        <v>0</v>
      </c>
      <c r="O787" s="4" t="str">
        <f ca="1">_xlfn.IFNA(VLOOKUP(INDIRECT("G"&amp;ROW()),minfo!$A:$M,COLUMN()-8,0),"")</f>
        <v>https://i0.hdslb.com/bfs/station_src/music_metadata/8ab2083dd90a51914d1b00e7f40d2688.jpg</v>
      </c>
      <c r="P787" s="4" t="str">
        <f ca="1">_xlfn.IFNA(VLOOKUP(INDIRECT("G"&amp;ROW()),minfo!$A:$M,COLUMN()-8,0),"")</f>
        <v>http://i0.hdslb.com/bfs/station_src/music_metadata/769ecbab206d9e5f0cf58f60a5c7fc82</v>
      </c>
      <c r="Q787" s="4">
        <f ca="1">_xlfn.IFNA(VLOOKUP(INDIRECT("G"&amp;ROW()),minfo!$A:$M,COLUMN()-8,0),"")</f>
        <v>1064</v>
      </c>
      <c r="R787" s="4" t="str">
        <f ca="1">_xlfn.IFNA(VLOOKUP(INDIRECT("G"&amp;ROW()),minfo!$A:$M,COLUMN()-8,0),"")</f>
        <v>《无心法师》电视剧片头曲</v>
      </c>
      <c r="S787" s="4" t="str">
        <f ca="1">_xlfn.IFNA(VLOOKUP(INDIRECT("G"&amp;ROW()),minfo!$A:$M,COLUMN()-8,0),"")</f>
        <v>依然</v>
      </c>
      <c r="T787" s="4">
        <f ca="1">_xlfn.IFNA(VLOOKUP(INDIRECT("G"&amp;ROW()),minfo!$A:$M,COLUMN()-8,0),"")</f>
        <v>179366306</v>
      </c>
      <c r="U787" s="4">
        <f ca="1">_xlfn.IFNA(VLOOKUP(INDIRECT("G"&amp;ROW()),minfo!$A:$M,COLUMN()-8,0),"")</f>
        <v>0</v>
      </c>
    </row>
    <row r="788" spans="1:21" ht="15.75" customHeight="1">
      <c r="A788" s="15">
        <v>787</v>
      </c>
      <c r="B788" s="4" t="s">
        <v>4376</v>
      </c>
      <c r="C788" s="4">
        <v>788</v>
      </c>
      <c r="D788" s="4">
        <v>2</v>
      </c>
      <c r="E788" s="4" t="s">
        <v>1918</v>
      </c>
      <c r="F788" s="16">
        <v>44529</v>
      </c>
      <c r="G788" s="5" t="s">
        <v>1917</v>
      </c>
      <c r="H788" s="5" t="s">
        <v>4375</v>
      </c>
      <c r="I788" s="24" t="str">
        <f>HYPERLINK("https://www.bilibili.com/video/BV1pY411t7Rb?p=2", "BV1pY411t7Rb?p=2")</f>
        <v>BV1pY411t7Rb?p=2</v>
      </c>
      <c r="J788" s="4" t="str">
        <f ca="1">_xlfn.IFNA(VLOOKUP(INDIRECT("G"&amp;ROW()),minfo!$A:$M,COLUMN()-8,0),"")</f>
        <v>灯塔</v>
      </c>
      <c r="K788" s="4" t="str">
        <f ca="1">_xlfn.IFNA(VLOOKUP(INDIRECT("G"&amp;ROW()),minfo!$A:$M,COLUMN()-8,0),"")</f>
        <v>谭维维</v>
      </c>
      <c r="L788" s="4">
        <f ca="1">_xlfn.IFNA(VLOOKUP(INDIRECT("G"&amp;ROW()),minfo!$A:$M,COLUMN()-8,0),"")</f>
        <v>0</v>
      </c>
      <c r="M788" s="4">
        <f ca="1">_xlfn.IFNA(VLOOKUP(INDIRECT("G"&amp;ROW()),minfo!$A:$M,COLUMN()-8,0),"")</f>
        <v>0</v>
      </c>
      <c r="N788" s="4">
        <f ca="1">_xlfn.IFNA(VLOOKUP(INDIRECT("G"&amp;ROW()),minfo!$A:$M,COLUMN()-8,0),"")</f>
        <v>0</v>
      </c>
      <c r="O788" s="4" t="str">
        <f ca="1">_xlfn.IFNA(VLOOKUP(INDIRECT("G"&amp;ROW()),minfo!$A:$M,COLUMN()-8,0),"")</f>
        <v>https://i0.hdslb.com/bfs/station_src/music_metadata/e88819ecbdcfeec19acbaf01ccda5971.jpg</v>
      </c>
      <c r="P788" s="4" t="str">
        <f ca="1">_xlfn.IFNA(VLOOKUP(INDIRECT("G"&amp;ROW()),minfo!$A:$M,COLUMN()-8,0),"")</f>
        <v>https://i0.hdslb.com/bfs/station_src/music_metadata/ab65a3ff0448f299db8c29263b5ed6d7.txt</v>
      </c>
      <c r="Q788" s="4">
        <f ca="1">_xlfn.IFNA(VLOOKUP(INDIRECT("G"&amp;ROW()),minfo!$A:$M,COLUMN()-8,0),"")</f>
        <v>0</v>
      </c>
      <c r="R788" s="4">
        <f ca="1">_xlfn.IFNA(VLOOKUP(INDIRECT("G"&amp;ROW()),minfo!$A:$M,COLUMN()-8,0),"")</f>
        <v>0</v>
      </c>
      <c r="S788" s="4" t="str">
        <f ca="1">_xlfn.IFNA(VLOOKUP(INDIRECT("G"&amp;ROW()),minfo!$A:$M,COLUMN()-8,0),"")</f>
        <v>我是歌手第三季 第6期</v>
      </c>
      <c r="T788" s="4">
        <f ca="1">_xlfn.IFNA(VLOOKUP(INDIRECT("G"&amp;ROW()),minfo!$A:$M,COLUMN()-8,0),"")</f>
        <v>1785293</v>
      </c>
      <c r="U788" s="4">
        <f ca="1">_xlfn.IFNA(VLOOKUP(INDIRECT("G"&amp;ROW()),minfo!$A:$M,COLUMN()-8,0),"")</f>
        <v>0</v>
      </c>
    </row>
    <row r="789" spans="1:21" ht="15.75" customHeight="1">
      <c r="A789" s="15">
        <v>788</v>
      </c>
      <c r="B789" s="4" t="s">
        <v>4377</v>
      </c>
      <c r="C789" s="4">
        <v>789</v>
      </c>
      <c r="D789" s="4">
        <v>3</v>
      </c>
      <c r="E789" s="4" t="s">
        <v>1923</v>
      </c>
      <c r="F789" s="16">
        <v>44541</v>
      </c>
      <c r="G789" s="5" t="s">
        <v>1922</v>
      </c>
      <c r="H789" s="5" t="s">
        <v>4375</v>
      </c>
      <c r="I789" s="24" t="str">
        <f>HYPERLINK("https://www.bilibili.com/video/BV1pY411t7Rb?p=3", "BV1pY411t7Rb?p=3")</f>
        <v>BV1pY411t7Rb?p=3</v>
      </c>
      <c r="J789" s="4" t="str">
        <f ca="1">_xlfn.IFNA(VLOOKUP(INDIRECT("G"&amp;ROW()),minfo!$A:$M,COLUMN()-8,0),"")</f>
        <v>在水一方</v>
      </c>
      <c r="K789" s="4" t="str">
        <f ca="1">_xlfn.IFNA(VLOOKUP(INDIRECT("G"&amp;ROW()),minfo!$A:$M,COLUMN()-8,0),"")</f>
        <v>邓丽君</v>
      </c>
      <c r="L789" s="4">
        <f ca="1">_xlfn.IFNA(VLOOKUP(INDIRECT("G"&amp;ROW()),minfo!$A:$M,COLUMN()-8,0),"")</f>
        <v>0</v>
      </c>
      <c r="M789" s="4">
        <f ca="1">_xlfn.IFNA(VLOOKUP(INDIRECT("G"&amp;ROW()),minfo!$A:$M,COLUMN()-8,0),"")</f>
        <v>0</v>
      </c>
      <c r="N789" s="4">
        <f ca="1">_xlfn.IFNA(VLOOKUP(INDIRECT("G"&amp;ROW()),minfo!$A:$M,COLUMN()-8,0),"")</f>
        <v>0</v>
      </c>
      <c r="O789" s="4" t="str">
        <f ca="1">_xlfn.IFNA(VLOOKUP(INDIRECT("G"&amp;ROW()),minfo!$A:$M,COLUMN()-8,0),"")</f>
        <v>https://i0.hdslb.com/bfs/station_src/music_metadata/175674bd7923821572887bc818ee2513.jpg</v>
      </c>
      <c r="P789" s="4" t="str">
        <f ca="1">_xlfn.IFNA(VLOOKUP(INDIRECT("G"&amp;ROW()),minfo!$A:$M,COLUMN()-8,0),"")</f>
        <v>http://i0.hdslb.com/bfs/station_src/music_metadata/5f76295c7b03d1917761b2babaf3ebff</v>
      </c>
      <c r="Q789" s="4">
        <f ca="1">_xlfn.IFNA(VLOOKUP(INDIRECT("G"&amp;ROW()),minfo!$A:$M,COLUMN()-8,0),"")</f>
        <v>777</v>
      </c>
      <c r="R789" s="4">
        <f ca="1">_xlfn.IFNA(VLOOKUP(INDIRECT("G"&amp;ROW()),minfo!$A:$M,COLUMN()-8,0),"")</f>
        <v>0</v>
      </c>
      <c r="S789" s="4" t="str">
        <f ca="1">_xlfn.IFNA(VLOOKUP(INDIRECT("G"&amp;ROW()),minfo!$A:$M,COLUMN()-8,0),"")</f>
        <v>恋君情深 永恒巨星 邓丽君 第二乐章</v>
      </c>
      <c r="T789" s="4">
        <f ca="1">_xlfn.IFNA(VLOOKUP(INDIRECT("G"&amp;ROW()),minfo!$A:$M,COLUMN()-8,0),"")</f>
        <v>131989323</v>
      </c>
      <c r="U789" s="4">
        <f ca="1">_xlfn.IFNA(VLOOKUP(INDIRECT("G"&amp;ROW()),minfo!$A:$M,COLUMN()-8,0),"")</f>
        <v>0</v>
      </c>
    </row>
    <row r="790" spans="1:21" ht="15.75" customHeight="1">
      <c r="A790" s="15">
        <v>789</v>
      </c>
      <c r="B790" s="4" t="s">
        <v>4378</v>
      </c>
      <c r="C790" s="4">
        <v>790</v>
      </c>
      <c r="D790" s="4">
        <v>4</v>
      </c>
      <c r="E790" s="4" t="s">
        <v>1371</v>
      </c>
      <c r="F790" s="16">
        <v>44564</v>
      </c>
      <c r="G790" s="5" t="s">
        <v>1370</v>
      </c>
      <c r="H790" s="5" t="s">
        <v>4375</v>
      </c>
      <c r="I790" s="24" t="str">
        <f>HYPERLINK("https://www.bilibili.com/video/BV1pY411t7Rb?p=4", "BV1pY411t7Rb?p=4")</f>
        <v>BV1pY411t7Rb?p=4</v>
      </c>
      <c r="J790" s="4" t="str">
        <f ca="1">_xlfn.IFNA(VLOOKUP(INDIRECT("G"&amp;ROW()),minfo!$A:$M,COLUMN()-8,0),"")</f>
        <v>大地飞歌</v>
      </c>
      <c r="K790" s="4" t="str">
        <f ca="1">_xlfn.IFNA(VLOOKUP(INDIRECT("G"&amp;ROW()),minfo!$A:$M,COLUMN()-8,0),"")</f>
        <v>宋祖英</v>
      </c>
      <c r="L790" s="4">
        <f ca="1">_xlfn.IFNA(VLOOKUP(INDIRECT("G"&amp;ROW()),minfo!$A:$M,COLUMN()-8,0),"")</f>
        <v>0</v>
      </c>
      <c r="M790" s="4">
        <f ca="1">_xlfn.IFNA(VLOOKUP(INDIRECT("G"&amp;ROW()),minfo!$A:$M,COLUMN()-8,0),"")</f>
        <v>0</v>
      </c>
      <c r="N790" s="4">
        <f ca="1">_xlfn.IFNA(VLOOKUP(INDIRECT("G"&amp;ROW()),minfo!$A:$M,COLUMN()-8,0),"")</f>
        <v>0</v>
      </c>
      <c r="O790" s="4" t="str">
        <f ca="1">_xlfn.IFNA(VLOOKUP(INDIRECT("G"&amp;ROW()),minfo!$A:$M,COLUMN()-8,0),"")</f>
        <v>https://i0.hdslb.com/bfs/station_src/music_metadata/b346c034f2cc826bb53de1c250ee108f.jpg</v>
      </c>
      <c r="P790" s="4" t="str">
        <f ca="1">_xlfn.IFNA(VLOOKUP(INDIRECT("G"&amp;ROW()),minfo!$A:$M,COLUMN()-8,0),"")</f>
        <v>http://i0.hdslb.com/bfs/station_src/music_metadata/6092aa62fa54d28c6b8c742cffe5b12e</v>
      </c>
      <c r="Q790" s="4">
        <f ca="1">_xlfn.IFNA(VLOOKUP(INDIRECT("G"&amp;ROW()),minfo!$A:$M,COLUMN()-8,0),"")</f>
        <v>218</v>
      </c>
      <c r="R790" s="4">
        <f ca="1">_xlfn.IFNA(VLOOKUP(INDIRECT("G"&amp;ROW()),minfo!$A:$M,COLUMN()-8,0),"")</f>
        <v>0</v>
      </c>
      <c r="S790" s="4" t="str">
        <f ca="1">_xlfn.IFNA(VLOOKUP(INDIRECT("G"&amp;ROW()),minfo!$A:$M,COLUMN()-8,0),"")</f>
        <v>节日欢歌 如意吉祥贺佳节1</v>
      </c>
      <c r="T790" s="4">
        <f ca="1">_xlfn.IFNA(VLOOKUP(INDIRECT("G"&amp;ROW()),minfo!$A:$M,COLUMN()-8,0),"")</f>
        <v>79469412</v>
      </c>
      <c r="U790" s="4">
        <f ca="1">_xlfn.IFNA(VLOOKUP(INDIRECT("G"&amp;ROW()),minfo!$A:$M,COLUMN()-8,0),"")</f>
        <v>0</v>
      </c>
    </row>
    <row r="791" spans="1:21" ht="15.75" customHeight="1">
      <c r="A791" s="15">
        <v>790</v>
      </c>
      <c r="B791" s="4" t="s">
        <v>4379</v>
      </c>
      <c r="C791" s="4">
        <v>791</v>
      </c>
      <c r="D791" s="4">
        <v>5</v>
      </c>
      <c r="E791" s="4" t="s">
        <v>1928</v>
      </c>
      <c r="F791" s="16">
        <v>44564</v>
      </c>
      <c r="G791" s="5" t="s">
        <v>1927</v>
      </c>
      <c r="H791" s="5" t="s">
        <v>4375</v>
      </c>
      <c r="I791" s="24" t="str">
        <f>HYPERLINK("https://www.bilibili.com/video/BV1pY411t7Rb?p=5", "BV1pY411t7Rb?p=5")</f>
        <v>BV1pY411t7Rb?p=5</v>
      </c>
      <c r="J791" s="4" t="str">
        <f ca="1">_xlfn.IFNA(VLOOKUP(INDIRECT("G"&amp;ROW()),minfo!$A:$M,COLUMN()-8,0),"")</f>
        <v>好日子</v>
      </c>
      <c r="K791" s="4" t="str">
        <f ca="1">_xlfn.IFNA(VLOOKUP(INDIRECT("G"&amp;ROW()),minfo!$A:$M,COLUMN()-8,0),"")</f>
        <v>宋祖英</v>
      </c>
      <c r="L791" s="4">
        <f ca="1">_xlfn.IFNA(VLOOKUP(INDIRECT("G"&amp;ROW()),minfo!$A:$M,COLUMN()-8,0),"")</f>
        <v>0</v>
      </c>
      <c r="M791" s="4">
        <f ca="1">_xlfn.IFNA(VLOOKUP(INDIRECT("G"&amp;ROW()),minfo!$A:$M,COLUMN()-8,0),"")</f>
        <v>0</v>
      </c>
      <c r="N791" s="4">
        <f ca="1">_xlfn.IFNA(VLOOKUP(INDIRECT("G"&amp;ROW()),minfo!$A:$M,COLUMN()-8,0),"")</f>
        <v>0</v>
      </c>
      <c r="O791" s="4" t="str">
        <f ca="1">_xlfn.IFNA(VLOOKUP(INDIRECT("G"&amp;ROW()),minfo!$A:$M,COLUMN()-8,0),"")</f>
        <v>http://i0.hdslb.com/bfs/station_src/music_metadata/0a0c1eb97af6a67d52bf4b7e3c1ca351.jpg</v>
      </c>
      <c r="P791" s="4" t="str">
        <f ca="1">_xlfn.IFNA(VLOOKUP(INDIRECT("G"&amp;ROW()),minfo!$A:$M,COLUMN()-8,0),"")</f>
        <v>http://i0.hdslb.com/bfs/station_src/music_metadata/03cd3bc0e689b2b77f34bc7c3c4895c1</v>
      </c>
      <c r="Q791" s="4">
        <f ca="1">_xlfn.IFNA(VLOOKUP(INDIRECT("G"&amp;ROW()),minfo!$A:$M,COLUMN()-8,0),"")</f>
        <v>930</v>
      </c>
      <c r="R791" s="4">
        <f ca="1">_xlfn.IFNA(VLOOKUP(INDIRECT("G"&amp;ROW()),minfo!$A:$M,COLUMN()-8,0),"")</f>
        <v>0</v>
      </c>
      <c r="S791" s="4" t="str">
        <f ca="1">_xlfn.IFNA(VLOOKUP(INDIRECT("G"&amp;ROW()),minfo!$A:$M,COLUMN()-8,0),"")</f>
        <v>好日子</v>
      </c>
      <c r="T791" s="4">
        <f ca="1">_xlfn.IFNA(VLOOKUP(INDIRECT("G"&amp;ROW()),minfo!$A:$M,COLUMN()-8,0),"")</f>
        <v>805636539</v>
      </c>
      <c r="U791" s="4">
        <f ca="1">_xlfn.IFNA(VLOOKUP(INDIRECT("G"&amp;ROW()),minfo!$A:$M,COLUMN()-8,0),"")</f>
        <v>0</v>
      </c>
    </row>
    <row r="792" spans="1:21" ht="15.75" customHeight="1">
      <c r="A792" s="15">
        <v>791</v>
      </c>
      <c r="B792" s="4" t="s">
        <v>4380</v>
      </c>
      <c r="C792" s="4">
        <v>792</v>
      </c>
      <c r="D792" s="4">
        <v>6</v>
      </c>
      <c r="E792" s="4" t="s">
        <v>1932</v>
      </c>
      <c r="F792" s="16">
        <v>44564</v>
      </c>
      <c r="G792" s="5" t="s">
        <v>1931</v>
      </c>
      <c r="H792" s="5" t="s">
        <v>4375</v>
      </c>
      <c r="I792" s="24" t="str">
        <f>HYPERLINK("https://www.bilibili.com/video/BV1pY411t7Rb?p=6", "BV1pY411t7Rb?p=6")</f>
        <v>BV1pY411t7Rb?p=6</v>
      </c>
      <c r="J792" s="4" t="str">
        <f ca="1">_xlfn.IFNA(VLOOKUP(INDIRECT("G"&amp;ROW()),minfo!$A:$M,COLUMN()-8,0),"")</f>
        <v>未闻花名</v>
      </c>
      <c r="K792" s="4" t="str">
        <f ca="1">_xlfn.IFNA(VLOOKUP(INDIRECT("G"&amp;ROW()),minfo!$A:$M,COLUMN()-8,0),"")</f>
        <v>沃特艾文儿,町田纪彦,周深</v>
      </c>
      <c r="L792" s="4">
        <f ca="1">_xlfn.IFNA(VLOOKUP(INDIRECT("G"&amp;ROW()),minfo!$A:$M,COLUMN()-8,0),"")</f>
        <v>0</v>
      </c>
      <c r="M792" s="4">
        <f ca="1">_xlfn.IFNA(VLOOKUP(INDIRECT("G"&amp;ROW()),minfo!$A:$M,COLUMN()-8,0),"")</f>
        <v>0</v>
      </c>
      <c r="N792" s="4">
        <f ca="1">_xlfn.IFNA(VLOOKUP(INDIRECT("G"&amp;ROW()),minfo!$A:$M,COLUMN()-8,0),"")</f>
        <v>0</v>
      </c>
      <c r="O792" s="4" t="str">
        <f ca="1">_xlfn.IFNA(VLOOKUP(INDIRECT("G"&amp;ROW()),minfo!$A:$M,COLUMN()-8,0),"")</f>
        <v>http://i0.hdslb.com/bfs/station_src/music_metadata/74ef5f7e0d4ca260f061ce88d2d6476f.jpg</v>
      </c>
      <c r="P792" s="4" t="str">
        <f ca="1">_xlfn.IFNA(VLOOKUP(INDIRECT("G"&amp;ROW()),minfo!$A:$M,COLUMN()-8,0),"")</f>
        <v>https://i0.hdslb.com/bfs/station_src/music_metadata/59550812b72e2fda09193779680f3b75.txt</v>
      </c>
      <c r="Q792" s="4">
        <f ca="1">_xlfn.IFNA(VLOOKUP(INDIRECT("G"&amp;ROW()),minfo!$A:$M,COLUMN()-8,0),"")</f>
        <v>665</v>
      </c>
      <c r="R792" s="4" t="str">
        <f ca="1">_xlfn.IFNA(VLOOKUP(INDIRECT("G"&amp;ROW()),minfo!$A:$M,COLUMN()-8,0),"")</f>
        <v>中文版《一期一会》</v>
      </c>
      <c r="S792" s="4">
        <f ca="1">_xlfn.IFNA(VLOOKUP(INDIRECT("G"&amp;ROW()),minfo!$A:$M,COLUMN()-8,0),"")</f>
        <v>0</v>
      </c>
      <c r="T792" s="4">
        <f ca="1">_xlfn.IFNA(VLOOKUP(INDIRECT("G"&amp;ROW()),minfo!$A:$M,COLUMN()-8,0),"")</f>
        <v>88649267</v>
      </c>
      <c r="U792" s="4">
        <f ca="1">_xlfn.IFNA(VLOOKUP(INDIRECT("G"&amp;ROW()),minfo!$A:$M,COLUMN()-8,0),"")</f>
        <v>0</v>
      </c>
    </row>
    <row r="793" spans="1:21" ht="15.75" customHeight="1">
      <c r="A793" s="15">
        <v>792</v>
      </c>
      <c r="B793" s="4" t="s">
        <v>4381</v>
      </c>
      <c r="C793" s="4">
        <v>793</v>
      </c>
      <c r="D793" s="4">
        <v>7</v>
      </c>
      <c r="E793" s="4" t="s">
        <v>375</v>
      </c>
      <c r="F793" s="16">
        <v>44566</v>
      </c>
      <c r="G793" s="5" t="s">
        <v>374</v>
      </c>
      <c r="H793" s="5" t="s">
        <v>4375</v>
      </c>
      <c r="I793" s="24" t="str">
        <f>HYPERLINK("https://www.bilibili.com/video/BV1pY411t7Rb?p=7", "BV1pY411t7Rb?p=7")</f>
        <v>BV1pY411t7Rb?p=7</v>
      </c>
      <c r="J793" s="4" t="str">
        <f ca="1">_xlfn.IFNA(VLOOKUP(INDIRECT("G"&amp;ROW()),minfo!$A:$M,COLUMN()-8,0),"")</f>
        <v>彩虹</v>
      </c>
      <c r="K793" s="4" t="str">
        <f ca="1">_xlfn.IFNA(VLOOKUP(INDIRECT("G"&amp;ROW()),minfo!$A:$M,COLUMN()-8,0),"")</f>
        <v>周杰伦</v>
      </c>
      <c r="L793" s="4">
        <f ca="1">_xlfn.IFNA(VLOOKUP(INDIRECT("G"&amp;ROW()),minfo!$A:$M,COLUMN()-8,0),"")</f>
        <v>0</v>
      </c>
      <c r="M793" s="4">
        <f ca="1">_xlfn.IFNA(VLOOKUP(INDIRECT("G"&amp;ROW()),minfo!$A:$M,COLUMN()-8,0),"")</f>
        <v>0</v>
      </c>
      <c r="N793" s="4">
        <f ca="1">_xlfn.IFNA(VLOOKUP(INDIRECT("G"&amp;ROW()),minfo!$A:$M,COLUMN()-8,0),"")</f>
        <v>0</v>
      </c>
      <c r="O793" s="4" t="str">
        <f ca="1">_xlfn.IFNA(VLOOKUP(INDIRECT("G"&amp;ROW()),minfo!$A:$M,COLUMN()-8,0),"")</f>
        <v>https://i0.hdslb.com/bfs/station_src/music_metadata/2b7d7250423bd10995c607eb49b4e004.jpg</v>
      </c>
      <c r="P793" s="4">
        <f ca="1">_xlfn.IFNA(VLOOKUP(INDIRECT("G"&amp;ROW()),minfo!$A:$M,COLUMN()-8,0),"")</f>
        <v>0</v>
      </c>
      <c r="Q793" s="4">
        <f ca="1">_xlfn.IFNA(VLOOKUP(INDIRECT("G"&amp;ROW()),minfo!$A:$M,COLUMN()-8,0),"")</f>
        <v>1340</v>
      </c>
      <c r="R793" s="4" t="str">
        <f ca="1">_xlfn.IFNA(VLOOKUP(INDIRECT("G"&amp;ROW()),minfo!$A:$M,COLUMN()-8,0),"")</f>
        <v>《命运呼叫转移》电影主题曲</v>
      </c>
      <c r="S793" s="4" t="str">
        <f ca="1">_xlfn.IFNA(VLOOKUP(INDIRECT("G"&amp;ROW()),minfo!$A:$M,COLUMN()-8,0),"")</f>
        <v>我很忙</v>
      </c>
      <c r="T793" s="4">
        <f ca="1">_xlfn.IFNA(VLOOKUP(INDIRECT("G"&amp;ROW()),minfo!$A:$M,COLUMN()-8,0),"")</f>
        <v>394249952</v>
      </c>
      <c r="U793" s="4">
        <f ca="1">_xlfn.IFNA(VLOOKUP(INDIRECT("G"&amp;ROW()),minfo!$A:$M,COLUMN()-8,0),"")</f>
        <v>0</v>
      </c>
    </row>
    <row r="794" spans="1:21" ht="15.75" customHeight="1">
      <c r="A794" s="15">
        <v>793</v>
      </c>
      <c r="B794" s="4" t="s">
        <v>4382</v>
      </c>
      <c r="C794" s="4">
        <v>794</v>
      </c>
      <c r="D794" s="4">
        <v>8</v>
      </c>
      <c r="E794" s="4" t="s">
        <v>1180</v>
      </c>
      <c r="F794" s="16">
        <v>44566</v>
      </c>
      <c r="G794" s="5" t="s">
        <v>1179</v>
      </c>
      <c r="H794" s="5" t="s">
        <v>4375</v>
      </c>
      <c r="I794" s="24" t="str">
        <f>HYPERLINK("https://www.bilibili.com/video/BV1pY411t7Rb?p=8", "BV1pY411t7Rb?p=8")</f>
        <v>BV1pY411t7Rb?p=8</v>
      </c>
      <c r="J794" s="4" t="str">
        <f ca="1">_xlfn.IFNA(VLOOKUP(INDIRECT("G"&amp;ROW()),minfo!$A:$M,COLUMN()-8,0),"")</f>
        <v>真实</v>
      </c>
      <c r="K794" s="4" t="str">
        <f ca="1">_xlfn.IFNA(VLOOKUP(INDIRECT("G"&amp;ROW()),minfo!$A:$M,COLUMN()-8,0),"")</f>
        <v>张惠妹</v>
      </c>
      <c r="L794" s="4">
        <f ca="1">_xlfn.IFNA(VLOOKUP(INDIRECT("G"&amp;ROW()),minfo!$A:$M,COLUMN()-8,0),"")</f>
        <v>0</v>
      </c>
      <c r="M794" s="4">
        <f ca="1">_xlfn.IFNA(VLOOKUP(INDIRECT("G"&amp;ROW()),minfo!$A:$M,COLUMN()-8,0),"")</f>
        <v>0</v>
      </c>
      <c r="N794" s="4">
        <f ca="1">_xlfn.IFNA(VLOOKUP(INDIRECT("G"&amp;ROW()),minfo!$A:$M,COLUMN()-8,0),"")</f>
        <v>0</v>
      </c>
      <c r="O794" s="4" t="str">
        <f ca="1">_xlfn.IFNA(VLOOKUP(INDIRECT("G"&amp;ROW()),minfo!$A:$M,COLUMN()-8,0),"")</f>
        <v>https://i0.hdslb.com/bfs/station_src/music_metadata/9f4eabc9a46c0571d7f7f67bb2ebab60.jpg</v>
      </c>
      <c r="P794" s="4" t="str">
        <f ca="1">_xlfn.IFNA(VLOOKUP(INDIRECT("G"&amp;ROW()),minfo!$A:$M,COLUMN()-8,0),"")</f>
        <v>https://i0.hdslb.com/bfs/station_src/music_metadata/bfc8e2894c10a612c011fcc912b0f45d.txt</v>
      </c>
      <c r="Q794" s="4">
        <f ca="1">_xlfn.IFNA(VLOOKUP(INDIRECT("G"&amp;ROW()),minfo!$A:$M,COLUMN()-8,0),"")</f>
        <v>17</v>
      </c>
      <c r="R794" s="4">
        <f ca="1">_xlfn.IFNA(VLOOKUP(INDIRECT("G"&amp;ROW()),minfo!$A:$M,COLUMN()-8,0),"")</f>
        <v>0</v>
      </c>
      <c r="S794" s="4" t="str">
        <f ca="1">_xlfn.IFNA(VLOOKUP(INDIRECT("G"&amp;ROW()),minfo!$A:$M,COLUMN()-8,0),"")</f>
        <v>真实</v>
      </c>
      <c r="T794" s="4">
        <f ca="1">_xlfn.IFNA(VLOOKUP(INDIRECT("G"&amp;ROW()),minfo!$A:$M,COLUMN()-8,0),"")</f>
        <v>6260891</v>
      </c>
      <c r="U794" s="4">
        <f ca="1">_xlfn.IFNA(VLOOKUP(INDIRECT("G"&amp;ROW()),minfo!$A:$M,COLUMN()-8,0),"")</f>
        <v>0</v>
      </c>
    </row>
    <row r="795" spans="1:21" ht="15.75" customHeight="1">
      <c r="A795" s="15">
        <v>794</v>
      </c>
      <c r="B795" s="4" t="s">
        <v>4383</v>
      </c>
      <c r="C795" s="4">
        <v>795</v>
      </c>
      <c r="D795" s="4">
        <v>9</v>
      </c>
      <c r="E795" s="4" t="s">
        <v>313</v>
      </c>
      <c r="F795" s="16">
        <v>44566</v>
      </c>
      <c r="G795" s="5" t="s">
        <v>312</v>
      </c>
      <c r="H795" s="5" t="s">
        <v>4375</v>
      </c>
      <c r="I795" s="24" t="str">
        <f>HYPERLINK("https://www.bilibili.com/video/BV1pY411t7Rb?p=9", "BV1pY411t7Rb?p=9")</f>
        <v>BV1pY411t7Rb?p=9</v>
      </c>
      <c r="J795" s="4" t="str">
        <f ca="1">_xlfn.IFNA(VLOOKUP(INDIRECT("G"&amp;ROW()),minfo!$A:$M,COLUMN()-8,0),"")</f>
        <v>鸿雁</v>
      </c>
      <c r="K795" s="4" t="str">
        <f ca="1">_xlfn.IFNA(VLOOKUP(INDIRECT("G"&amp;ROW()),minfo!$A:$M,COLUMN()-8,0),"")</f>
        <v>呼斯楞,柏菲音乐</v>
      </c>
      <c r="L795" s="4">
        <f ca="1">_xlfn.IFNA(VLOOKUP(INDIRECT("G"&amp;ROW()),minfo!$A:$M,COLUMN()-8,0),"")</f>
        <v>0</v>
      </c>
      <c r="M795" s="4">
        <f ca="1">_xlfn.IFNA(VLOOKUP(INDIRECT("G"&amp;ROW()),minfo!$A:$M,COLUMN()-8,0),"")</f>
        <v>0</v>
      </c>
      <c r="N795" s="4">
        <f ca="1">_xlfn.IFNA(VLOOKUP(INDIRECT("G"&amp;ROW()),minfo!$A:$M,COLUMN()-8,0),"")</f>
        <v>0</v>
      </c>
      <c r="O795" s="4" t="str">
        <f ca="1">_xlfn.IFNA(VLOOKUP(INDIRECT("G"&amp;ROW()),minfo!$A:$M,COLUMN()-8,0),"")</f>
        <v>https://i0.hdslb.com/bfs/station_src/music_metadata/757ef72664f713a69ffc3e10d1eaad5d.jpg</v>
      </c>
      <c r="P795" s="4" t="str">
        <f ca="1">_xlfn.IFNA(VLOOKUP(INDIRECT("G"&amp;ROW()),minfo!$A:$M,COLUMN()-8,0),"")</f>
        <v>https://i0.hdslb.com/bfs/station_src/music_metadata/1cc81a2b8e82def7add1a73a9f9486fe.txt</v>
      </c>
      <c r="Q795" s="4">
        <f ca="1">_xlfn.IFNA(VLOOKUP(INDIRECT("G"&amp;ROW()),minfo!$A:$M,COLUMN()-8,0),"")</f>
        <v>1717</v>
      </c>
      <c r="R795" s="4">
        <f ca="1">_xlfn.IFNA(VLOOKUP(INDIRECT("G"&amp;ROW()),minfo!$A:$M,COLUMN()-8,0),"")</f>
        <v>0</v>
      </c>
      <c r="S795" s="4" t="str">
        <f ca="1">_xlfn.IFNA(VLOOKUP(INDIRECT("G"&amp;ROW()),minfo!$A:$M,COLUMN()-8,0),"")</f>
        <v>非同凡响NO·3</v>
      </c>
      <c r="T795" s="4">
        <f ca="1">_xlfn.IFNA(VLOOKUP(INDIRECT("G"&amp;ROW()),minfo!$A:$M,COLUMN()-8,0),"")</f>
        <v>79378829</v>
      </c>
      <c r="U795" s="4">
        <f ca="1">_xlfn.IFNA(VLOOKUP(INDIRECT("G"&amp;ROW()),minfo!$A:$M,COLUMN()-8,0),"")</f>
        <v>0</v>
      </c>
    </row>
    <row r="796" spans="1:21" ht="15.75" customHeight="1">
      <c r="A796" s="15">
        <v>795</v>
      </c>
      <c r="B796" s="4" t="s">
        <v>4384</v>
      </c>
      <c r="C796" s="4">
        <v>796</v>
      </c>
      <c r="D796" s="4">
        <v>10</v>
      </c>
      <c r="E796" s="4" t="s">
        <v>337</v>
      </c>
      <c r="F796" s="16">
        <v>44566</v>
      </c>
      <c r="G796" s="5" t="s">
        <v>336</v>
      </c>
      <c r="H796" s="5" t="s">
        <v>4375</v>
      </c>
      <c r="I796" s="24" t="str">
        <f>HYPERLINK("https://www.bilibili.com/video/BV1pY411t7Rb?p=10", "BV1pY411t7Rb?p=10")</f>
        <v>BV1pY411t7Rb?p=10</v>
      </c>
      <c r="J796" s="4" t="str">
        <f ca="1">_xlfn.IFNA(VLOOKUP(INDIRECT("G"&amp;ROW()),minfo!$A:$M,COLUMN()-8,0),"")</f>
        <v>玛依拉变奏曲</v>
      </c>
      <c r="K796" s="4" t="str">
        <f ca="1">_xlfn.IFNA(VLOOKUP(INDIRECT("G"&amp;ROW()),minfo!$A:$M,COLUMN()-8,0),"")</f>
        <v>常思思</v>
      </c>
      <c r="L796" s="4">
        <f ca="1">_xlfn.IFNA(VLOOKUP(INDIRECT("G"&amp;ROW()),minfo!$A:$M,COLUMN()-8,0),"")</f>
        <v>0</v>
      </c>
      <c r="M796" s="4">
        <f ca="1">_xlfn.IFNA(VLOOKUP(INDIRECT("G"&amp;ROW()),minfo!$A:$M,COLUMN()-8,0),"")</f>
        <v>0</v>
      </c>
      <c r="N796" s="4">
        <f ca="1">_xlfn.IFNA(VLOOKUP(INDIRECT("G"&amp;ROW()),minfo!$A:$M,COLUMN()-8,0),"")</f>
        <v>0</v>
      </c>
      <c r="O796" s="4" t="str">
        <f ca="1">_xlfn.IFNA(VLOOKUP(INDIRECT("G"&amp;ROW()),minfo!$A:$M,COLUMN()-8,0),"")</f>
        <v>https://i0.hdslb.com/bfs/station_src/music_metadata/44ef3b674b440061a8551258b673f958.jpg</v>
      </c>
      <c r="P796" s="4" t="str">
        <f ca="1">_xlfn.IFNA(VLOOKUP(INDIRECT("G"&amp;ROW()),minfo!$A:$M,COLUMN()-8,0),"")</f>
        <v>https://i0.hdslb.com/bfs/station_src/music_metadata/0d31f0b335305bb6b2fae9ab4daacc38.txt</v>
      </c>
      <c r="Q796" s="4">
        <f ca="1">_xlfn.IFNA(VLOOKUP(INDIRECT("G"&amp;ROW()),minfo!$A:$M,COLUMN()-8,0),"")</f>
        <v>6</v>
      </c>
      <c r="R796" s="4">
        <f ca="1">_xlfn.IFNA(VLOOKUP(INDIRECT("G"&amp;ROW()),minfo!$A:$M,COLUMN()-8,0),"")</f>
        <v>0</v>
      </c>
      <c r="S796" s="4" t="str">
        <f ca="1">_xlfn.IFNA(VLOOKUP(INDIRECT("G"&amp;ROW()),minfo!$A:$M,COLUMN()-8,0),"")</f>
        <v>龙乐合集 27</v>
      </c>
      <c r="T796" s="4">
        <f ca="1">_xlfn.IFNA(VLOOKUP(INDIRECT("G"&amp;ROW()),minfo!$A:$M,COLUMN()-8,0),"")</f>
        <v>3469898</v>
      </c>
      <c r="U796" s="4">
        <f ca="1">_xlfn.IFNA(VLOOKUP(INDIRECT("G"&amp;ROW()),minfo!$A:$M,COLUMN()-8,0),"")</f>
        <v>0</v>
      </c>
    </row>
    <row r="797" spans="1:21" ht="15.75" customHeight="1">
      <c r="A797" s="15">
        <v>796</v>
      </c>
      <c r="B797" s="4" t="s">
        <v>4385</v>
      </c>
      <c r="C797" s="4">
        <v>797</v>
      </c>
      <c r="D797" s="4">
        <v>11</v>
      </c>
      <c r="E797" s="4" t="s">
        <v>1585</v>
      </c>
      <c r="F797" s="16">
        <v>44573</v>
      </c>
      <c r="G797" s="5" t="s">
        <v>1584</v>
      </c>
      <c r="H797" s="5" t="s">
        <v>4375</v>
      </c>
      <c r="I797" s="24" t="str">
        <f>HYPERLINK("https://www.bilibili.com/video/BV1pY411t7Rb?p=11", "BV1pY411t7Rb?p=11")</f>
        <v>BV1pY411t7Rb?p=11</v>
      </c>
      <c r="J797" s="4" t="str">
        <f ca="1">_xlfn.IFNA(VLOOKUP(INDIRECT("G"&amp;ROW()),minfo!$A:$M,COLUMN()-8,0),"")</f>
        <v>月牙湾</v>
      </c>
      <c r="K797" s="4" t="str">
        <f ca="1">_xlfn.IFNA(VLOOKUP(INDIRECT("G"&amp;ROW()),minfo!$A:$M,COLUMN()-8,0),"")</f>
        <v>飞儿乐队</v>
      </c>
      <c r="L797" s="4">
        <f ca="1">_xlfn.IFNA(VLOOKUP(INDIRECT("G"&amp;ROW()),minfo!$A:$M,COLUMN()-8,0),"")</f>
        <v>0</v>
      </c>
      <c r="M797" s="4">
        <f ca="1">_xlfn.IFNA(VLOOKUP(INDIRECT("G"&amp;ROW()),minfo!$A:$M,COLUMN()-8,0),"")</f>
        <v>0</v>
      </c>
      <c r="N797" s="4">
        <f ca="1">_xlfn.IFNA(VLOOKUP(INDIRECT("G"&amp;ROW()),minfo!$A:$M,COLUMN()-8,0),"")</f>
        <v>0</v>
      </c>
      <c r="O797" s="4" t="str">
        <f ca="1">_xlfn.IFNA(VLOOKUP(INDIRECT("G"&amp;ROW()),minfo!$A:$M,COLUMN()-8,0),"")</f>
        <v>https://i0.hdslb.com/bfs/station_src/music_metadata/4d030f96fbe202f9504add491a690ace.jpg</v>
      </c>
      <c r="P797" s="4" t="str">
        <f ca="1">_xlfn.IFNA(VLOOKUP(INDIRECT("G"&amp;ROW()),minfo!$A:$M,COLUMN()-8,0),"")</f>
        <v>http://i0.hdslb.com/bfs/station_src/music_metadata/b5eef77c8e09fe891a2c85dda279ee2c</v>
      </c>
      <c r="Q797" s="4">
        <f ca="1">_xlfn.IFNA(VLOOKUP(INDIRECT("G"&amp;ROW()),minfo!$A:$M,COLUMN()-8,0),"")</f>
        <v>1119</v>
      </c>
      <c r="R797" s="4">
        <f ca="1">_xlfn.IFNA(VLOOKUP(INDIRECT("G"&amp;ROW()),minfo!$A:$M,COLUMN()-8,0),"")</f>
        <v>0</v>
      </c>
      <c r="S797" s="4" t="str">
        <f ca="1">_xlfn.IFNA(VLOOKUP(INDIRECT("G"&amp;ROW()),minfo!$A:$M,COLUMN()-8,0),"")</f>
        <v>爱‧歌姬</v>
      </c>
      <c r="T797" s="4">
        <f ca="1">_xlfn.IFNA(VLOOKUP(INDIRECT("G"&amp;ROW()),minfo!$A:$M,COLUMN()-8,0),"")</f>
        <v>217542753</v>
      </c>
      <c r="U797" s="4">
        <f ca="1">_xlfn.IFNA(VLOOKUP(INDIRECT("G"&amp;ROW()),minfo!$A:$M,COLUMN()-8,0),"")</f>
        <v>0</v>
      </c>
    </row>
    <row r="798" spans="1:21" ht="15.75" customHeight="1">
      <c r="A798" s="15">
        <v>797</v>
      </c>
      <c r="B798" s="4" t="s">
        <v>4386</v>
      </c>
      <c r="C798" s="4">
        <v>798</v>
      </c>
      <c r="D798" s="4">
        <v>12</v>
      </c>
      <c r="E798" s="4" t="s">
        <v>319</v>
      </c>
      <c r="F798" s="16">
        <v>44577</v>
      </c>
      <c r="G798" s="5" t="s">
        <v>318</v>
      </c>
      <c r="H798" s="5" t="s">
        <v>4375</v>
      </c>
      <c r="I798" s="24" t="str">
        <f>HYPERLINK("https://www.bilibili.com/video/BV1pY411t7Rb?p=12", "BV1pY411t7Rb?p=12")</f>
        <v>BV1pY411t7Rb?p=12</v>
      </c>
      <c r="J798" s="4" t="str">
        <f ca="1">_xlfn.IFNA(VLOOKUP(INDIRECT("G"&amp;ROW()),minfo!$A:$M,COLUMN()-8,0),"")</f>
        <v>晴天</v>
      </c>
      <c r="K798" s="4" t="str">
        <f ca="1">_xlfn.IFNA(VLOOKUP(INDIRECT("G"&amp;ROW()),minfo!$A:$M,COLUMN()-8,0),"")</f>
        <v>周杰伦</v>
      </c>
      <c r="L798" s="4">
        <f ca="1">_xlfn.IFNA(VLOOKUP(INDIRECT("G"&amp;ROW()),minfo!$A:$M,COLUMN()-8,0),"")</f>
        <v>0</v>
      </c>
      <c r="M798" s="4">
        <f ca="1">_xlfn.IFNA(VLOOKUP(INDIRECT("G"&amp;ROW()),minfo!$A:$M,COLUMN()-8,0),"")</f>
        <v>5048</v>
      </c>
      <c r="N798" s="4">
        <f ca="1">_xlfn.IFNA(VLOOKUP(INDIRECT("G"&amp;ROW()),minfo!$A:$M,COLUMN()-8,0),"")</f>
        <v>135</v>
      </c>
      <c r="O798" s="4" t="str">
        <f ca="1">_xlfn.IFNA(VLOOKUP(INDIRECT("G"&amp;ROW()),minfo!$A:$M,COLUMN()-8,0),"")</f>
        <v>https://i0.hdslb.com/bfs/station_src/music_metadata/2efa8f0df2aff949dee33b3f46a56312.jpg</v>
      </c>
      <c r="P798" s="4">
        <f ca="1">_xlfn.IFNA(VLOOKUP(INDIRECT("G"&amp;ROW()),minfo!$A:$M,COLUMN()-8,0),"")</f>
        <v>0</v>
      </c>
      <c r="Q798" s="4">
        <f ca="1">_xlfn.IFNA(VLOOKUP(INDIRECT("G"&amp;ROW()),minfo!$A:$M,COLUMN()-8,0),"")</f>
        <v>15983</v>
      </c>
      <c r="R798" s="4">
        <f ca="1">_xlfn.IFNA(VLOOKUP(INDIRECT("G"&amp;ROW()),minfo!$A:$M,COLUMN()-8,0),"")</f>
        <v>0</v>
      </c>
      <c r="S798" s="4" t="str">
        <f ca="1">_xlfn.IFNA(VLOOKUP(INDIRECT("G"&amp;ROW()),minfo!$A:$M,COLUMN()-8,0),"")</f>
        <v>叶惠美</v>
      </c>
      <c r="T798" s="4">
        <f ca="1">_xlfn.IFNA(VLOOKUP(INDIRECT("G"&amp;ROW()),minfo!$A:$M,COLUMN()-8,0),"")</f>
        <v>1497162616</v>
      </c>
      <c r="U798" s="4" t="str">
        <f ca="1">_xlfn.IFNA(VLOOKUP(INDIRECT("G"&amp;ROW()),minfo!$A:$M,COLUMN()-8,0),"")</f>
        <v>音乐榜最高NO.8</v>
      </c>
    </row>
    <row r="799" spans="1:21" ht="15.75" customHeight="1">
      <c r="A799" s="15">
        <v>798</v>
      </c>
      <c r="B799" s="4" t="s">
        <v>4387</v>
      </c>
      <c r="C799" s="4">
        <v>799</v>
      </c>
      <c r="D799" s="4">
        <v>13</v>
      </c>
      <c r="E799" s="4" t="s">
        <v>791</v>
      </c>
      <c r="F799" s="16">
        <v>44577</v>
      </c>
      <c r="G799" s="5" t="s">
        <v>875</v>
      </c>
      <c r="H799" s="5" t="s">
        <v>4375</v>
      </c>
      <c r="I799" s="24" t="str">
        <f>HYPERLINK("https://www.bilibili.com/video/BV1pY411t7Rb?p=13", "BV1pY411t7Rb?p=13")</f>
        <v>BV1pY411t7Rb?p=13</v>
      </c>
      <c r="J799" s="4" t="str">
        <f ca="1">_xlfn.IFNA(VLOOKUP(INDIRECT("G"&amp;ROW()),minfo!$A:$M,COLUMN()-8,0),"")</f>
        <v>问情</v>
      </c>
      <c r="K799" s="4" t="str">
        <f ca="1">_xlfn.IFNA(VLOOKUP(INDIRECT("G"&amp;ROW()),minfo!$A:$M,COLUMN()-8,0),"")</f>
        <v>蔡幸娟</v>
      </c>
      <c r="L799" s="4">
        <f ca="1">_xlfn.IFNA(VLOOKUP(INDIRECT("G"&amp;ROW()),minfo!$A:$M,COLUMN()-8,0),"")</f>
        <v>0</v>
      </c>
      <c r="M799" s="4">
        <f ca="1">_xlfn.IFNA(VLOOKUP(INDIRECT("G"&amp;ROW()),minfo!$A:$M,COLUMN()-8,0),"")</f>
        <v>0</v>
      </c>
      <c r="N799" s="4">
        <f ca="1">_xlfn.IFNA(VLOOKUP(INDIRECT("G"&amp;ROW()),minfo!$A:$M,COLUMN()-8,0),"")</f>
        <v>0</v>
      </c>
      <c r="O799" s="4" t="str">
        <f ca="1">_xlfn.IFNA(VLOOKUP(INDIRECT("G"&amp;ROW()),minfo!$A:$M,COLUMN()-8,0),"")</f>
        <v>https://i0.hdslb.com/bfs/station_src/music_metadata/60c89f4499b531519e5e09314ab2d071.jpg</v>
      </c>
      <c r="P799" s="4" t="str">
        <f ca="1">_xlfn.IFNA(VLOOKUP(INDIRECT("G"&amp;ROW()),minfo!$A:$M,COLUMN()-8,0),"")</f>
        <v>https://i0.hdslb.com/bfs/station_src/music_metadata/7b2478f5aaed1401ed3c955d57aa81e8.txt</v>
      </c>
      <c r="Q799" s="4">
        <f ca="1">_xlfn.IFNA(VLOOKUP(INDIRECT("G"&amp;ROW()),minfo!$A:$M,COLUMN()-8,0),"")</f>
        <v>0</v>
      </c>
      <c r="R799" s="4">
        <f ca="1">_xlfn.IFNA(VLOOKUP(INDIRECT("G"&amp;ROW()),minfo!$A:$M,COLUMN()-8,0),"")</f>
        <v>0</v>
      </c>
      <c r="S799" s="4" t="str">
        <f ca="1">_xlfn.IFNA(VLOOKUP(INDIRECT("G"&amp;ROW()),minfo!$A:$M,COLUMN()-8,0),"")</f>
        <v>问情</v>
      </c>
      <c r="T799" s="4">
        <f ca="1">_xlfn.IFNA(VLOOKUP(INDIRECT("G"&amp;ROW()),minfo!$A:$M,COLUMN()-8,0),"")</f>
        <v>631131</v>
      </c>
      <c r="U799" s="4">
        <f ca="1">_xlfn.IFNA(VLOOKUP(INDIRECT("G"&amp;ROW()),minfo!$A:$M,COLUMN()-8,0),"")</f>
        <v>0</v>
      </c>
    </row>
    <row r="800" spans="1:21" ht="15.75" customHeight="1">
      <c r="A800" s="15">
        <v>799</v>
      </c>
      <c r="B800" s="4" t="s">
        <v>4388</v>
      </c>
      <c r="C800" s="4">
        <v>800</v>
      </c>
      <c r="D800" s="4">
        <v>14</v>
      </c>
      <c r="E800" s="4" t="s">
        <v>523</v>
      </c>
      <c r="F800" s="16">
        <v>44577</v>
      </c>
      <c r="G800" s="5" t="s">
        <v>522</v>
      </c>
      <c r="H800" s="5" t="s">
        <v>4375</v>
      </c>
      <c r="I800" s="24" t="str">
        <f>HYPERLINK("https://www.bilibili.com/video/BV1pY411t7Rb?p=14", "BV1pY411t7Rb?p=14")</f>
        <v>BV1pY411t7Rb?p=14</v>
      </c>
      <c r="J800" s="4" t="str">
        <f ca="1">_xlfn.IFNA(VLOOKUP(INDIRECT("G"&amp;ROW()),minfo!$A:$M,COLUMN()-8,0),"")</f>
        <v>不醉不会</v>
      </c>
      <c r="K800" s="4" t="str">
        <f ca="1">_xlfn.IFNA(VLOOKUP(INDIRECT("G"&amp;ROW()),minfo!$A:$M,COLUMN()-8,0),"")</f>
        <v>田馥甄</v>
      </c>
      <c r="L800" s="4">
        <f ca="1">_xlfn.IFNA(VLOOKUP(INDIRECT("G"&amp;ROW()),minfo!$A:$M,COLUMN()-8,0),"")</f>
        <v>0</v>
      </c>
      <c r="M800" s="4">
        <f ca="1">_xlfn.IFNA(VLOOKUP(INDIRECT("G"&amp;ROW()),minfo!$A:$M,COLUMN()-8,0),"")</f>
        <v>0</v>
      </c>
      <c r="N800" s="4">
        <f ca="1">_xlfn.IFNA(VLOOKUP(INDIRECT("G"&amp;ROW()),minfo!$A:$M,COLUMN()-8,0),"")</f>
        <v>0</v>
      </c>
      <c r="O800" s="4" t="str">
        <f ca="1">_xlfn.IFNA(VLOOKUP(INDIRECT("G"&amp;ROW()),minfo!$A:$M,COLUMN()-8,0),"")</f>
        <v>https://i0.hdslb.com/bfs/station_src/music_metadata/89dd3a7fe31b05442c9ebecb6692d9c6.jpg</v>
      </c>
      <c r="P800" s="4" t="str">
        <f ca="1">_xlfn.IFNA(VLOOKUP(INDIRECT("G"&amp;ROW()),minfo!$A:$M,COLUMN()-8,0),"")</f>
        <v>http://i0.hdslb.com/bfs/station_src/music_metadata/e538f424a7bb1b824c88467288129a7b</v>
      </c>
      <c r="Q800" s="4">
        <f ca="1">_xlfn.IFNA(VLOOKUP(INDIRECT("G"&amp;ROW()),minfo!$A:$M,COLUMN()-8,0),"")</f>
        <v>46</v>
      </c>
      <c r="R800" s="4" t="str">
        <f ca="1">_xlfn.IFNA(VLOOKUP(INDIRECT("G"&amp;ROW()),minfo!$A:$M,COLUMN()-8,0),"")</f>
        <v>《没有名字的甜点店》电视剧主题曲</v>
      </c>
      <c r="S800" s="4" t="str">
        <f ca="1">_xlfn.IFNA(VLOOKUP(INDIRECT("G"&amp;ROW()),minfo!$A:$M,COLUMN()-8,0),"")</f>
        <v>渺小</v>
      </c>
      <c r="T800" s="4">
        <f ca="1">_xlfn.IFNA(VLOOKUP(INDIRECT("G"&amp;ROW()),minfo!$A:$M,COLUMN()-8,0),"")</f>
        <v>22119844</v>
      </c>
      <c r="U800" s="4">
        <f ca="1">_xlfn.IFNA(VLOOKUP(INDIRECT("G"&amp;ROW()),minfo!$A:$M,COLUMN()-8,0),"")</f>
        <v>0</v>
      </c>
    </row>
    <row r="801" spans="1:21" ht="15.75" customHeight="1">
      <c r="A801" s="15">
        <v>800</v>
      </c>
      <c r="B801" s="4" t="s">
        <v>4389</v>
      </c>
      <c r="C801" s="4">
        <v>801</v>
      </c>
      <c r="D801" s="4">
        <v>15</v>
      </c>
      <c r="E801" s="4" t="s">
        <v>105</v>
      </c>
      <c r="F801" s="16">
        <v>44577</v>
      </c>
      <c r="G801" s="5" t="s">
        <v>1827</v>
      </c>
      <c r="H801" s="5" t="s">
        <v>4375</v>
      </c>
      <c r="I801" s="24" t="str">
        <f>HYPERLINK("https://www.bilibili.com/video/BV1pY411t7Rb?p=15", "BV1pY411t7Rb?p=15")</f>
        <v>BV1pY411t7Rb?p=15</v>
      </c>
      <c r="J801" s="4" t="str">
        <f ca="1">_xlfn.IFNA(VLOOKUP(INDIRECT("G"&amp;ROW()),minfo!$A:$M,COLUMN()-8,0),"")</f>
        <v>花月妖</v>
      </c>
      <c r="K801" s="4" t="str">
        <f ca="1">_xlfn.IFNA(VLOOKUP(INDIRECT("G"&amp;ROW()),minfo!$A:$M,COLUMN()-8,0),"")</f>
        <v>说说Crystal</v>
      </c>
      <c r="L801" s="4">
        <f ca="1">_xlfn.IFNA(VLOOKUP(INDIRECT("G"&amp;ROW()),minfo!$A:$M,COLUMN()-8,0),"")</f>
        <v>0</v>
      </c>
      <c r="M801" s="4">
        <f ca="1">_xlfn.IFNA(VLOOKUP(INDIRECT("G"&amp;ROW()),minfo!$A:$M,COLUMN()-8,0),"")</f>
        <v>0</v>
      </c>
      <c r="N801" s="4">
        <f ca="1">_xlfn.IFNA(VLOOKUP(INDIRECT("G"&amp;ROW()),minfo!$A:$M,COLUMN()-8,0),"")</f>
        <v>0</v>
      </c>
      <c r="O801" s="4" t="str">
        <f ca="1">_xlfn.IFNA(VLOOKUP(INDIRECT("G"&amp;ROW()),minfo!$A:$M,COLUMN()-8,0),"")</f>
        <v>https://i0.hdslb.com/bfs/station_src/music_metadata/55cdb41a446e5a3e7e554b5961143bc7.jpg</v>
      </c>
      <c r="P801" s="4" t="str">
        <f ca="1">_xlfn.IFNA(VLOOKUP(INDIRECT("G"&amp;ROW()),minfo!$A:$M,COLUMN()-8,0),"")</f>
        <v>https://i0.hdslb.com/bfs/station_src/music_metadata/0c97bbbbf51bc8b21fe5875c0bf27b57.txt</v>
      </c>
      <c r="Q801" s="4">
        <f ca="1">_xlfn.IFNA(VLOOKUP(INDIRECT("G"&amp;ROW()),minfo!$A:$M,COLUMN()-8,0),"")</f>
        <v>8</v>
      </c>
      <c r="R801" s="4">
        <f ca="1">_xlfn.IFNA(VLOOKUP(INDIRECT("G"&amp;ROW()),minfo!$A:$M,COLUMN()-8,0),"")</f>
        <v>0</v>
      </c>
      <c r="S801" s="4" t="str">
        <f ca="1">_xlfn.IFNA(VLOOKUP(INDIRECT("G"&amp;ROW()),minfo!$A:$M,COLUMN()-8,0),"")</f>
        <v>花月妖</v>
      </c>
      <c r="T801" s="4">
        <f ca="1">_xlfn.IFNA(VLOOKUP(INDIRECT("G"&amp;ROW()),minfo!$A:$M,COLUMN()-8,0),"")</f>
        <v>1163456</v>
      </c>
      <c r="U801" s="4">
        <f ca="1">_xlfn.IFNA(VLOOKUP(INDIRECT("G"&amp;ROW()),minfo!$A:$M,COLUMN()-8,0),"")</f>
        <v>0</v>
      </c>
    </row>
    <row r="802" spans="1:21" ht="15.75" customHeight="1">
      <c r="A802" s="15">
        <v>801</v>
      </c>
      <c r="B802" s="4" t="s">
        <v>4390</v>
      </c>
      <c r="C802" s="4">
        <v>802</v>
      </c>
      <c r="D802" s="4">
        <v>16</v>
      </c>
      <c r="E802" s="4" t="s">
        <v>113</v>
      </c>
      <c r="F802" s="16">
        <v>44577</v>
      </c>
      <c r="G802" s="5" t="s">
        <v>113</v>
      </c>
      <c r="H802" s="5" t="s">
        <v>4375</v>
      </c>
      <c r="I802" s="24" t="str">
        <f>HYPERLINK("https://www.bilibili.com/video/BV1pY411t7Rb?p=16", "BV1pY411t7Rb?p=16")</f>
        <v>BV1pY411t7Rb?p=16</v>
      </c>
      <c r="J802" s="4" t="str">
        <f ca="1">_xlfn.IFNA(VLOOKUP(INDIRECT("G"&amp;ROW()),minfo!$A:$M,COLUMN()-8,0),"")</f>
        <v>牡丹亭畔</v>
      </c>
      <c r="K802" s="4" t="str">
        <f ca="1">_xlfn.IFNA(VLOOKUP(INDIRECT("G"&amp;ROW()),minfo!$A:$M,COLUMN()-8,0),"")</f>
        <v>说说Crystal</v>
      </c>
      <c r="L802" s="4" t="str">
        <f ca="1">_xlfn.IFNA(VLOOKUP(INDIRECT("G"&amp;ROW()),minfo!$A:$M,COLUMN()-8,0),"")</f>
        <v>BV1CP411M7tc</v>
      </c>
      <c r="M802" s="4">
        <f ca="1">_xlfn.IFNA(VLOOKUP(INDIRECT("G"&amp;ROW()),minfo!$A:$M,COLUMN()-8,0),"")</f>
        <v>0</v>
      </c>
      <c r="N802" s="4">
        <f ca="1">_xlfn.IFNA(VLOOKUP(INDIRECT("G"&amp;ROW()),minfo!$A:$M,COLUMN()-8,0),"")</f>
        <v>0</v>
      </c>
      <c r="O802" s="4">
        <f ca="1">_xlfn.IFNA(VLOOKUP(INDIRECT("G"&amp;ROW()),minfo!$A:$M,COLUMN()-8,0),"")</f>
        <v>0</v>
      </c>
      <c r="P802" s="4">
        <f ca="1">_xlfn.IFNA(VLOOKUP(INDIRECT("G"&amp;ROW()),minfo!$A:$M,COLUMN()-8,0),"")</f>
        <v>0</v>
      </c>
      <c r="Q802" s="4">
        <f ca="1">_xlfn.IFNA(VLOOKUP(INDIRECT("G"&amp;ROW()),minfo!$A:$M,COLUMN()-8,0),"")</f>
        <v>0</v>
      </c>
      <c r="R802" s="4">
        <f ca="1">_xlfn.IFNA(VLOOKUP(INDIRECT("G"&amp;ROW()),minfo!$A:$M,COLUMN()-8,0),"")</f>
        <v>0</v>
      </c>
      <c r="S802" s="4">
        <f ca="1">_xlfn.IFNA(VLOOKUP(INDIRECT("G"&amp;ROW()),minfo!$A:$M,COLUMN()-8,0),"")</f>
        <v>0</v>
      </c>
      <c r="T802" s="4">
        <f ca="1">_xlfn.IFNA(VLOOKUP(INDIRECT("G"&amp;ROW()),minfo!$A:$M,COLUMN()-8,0),"")</f>
        <v>0</v>
      </c>
      <c r="U802" s="4">
        <f ca="1">_xlfn.IFNA(VLOOKUP(INDIRECT("G"&amp;ROW()),minfo!$A:$M,COLUMN()-8,0),"")</f>
        <v>0</v>
      </c>
    </row>
    <row r="803" spans="1:21" ht="15.75" customHeight="1">
      <c r="A803" s="15">
        <v>802</v>
      </c>
      <c r="B803" s="4" t="s">
        <v>4391</v>
      </c>
      <c r="C803" s="4">
        <v>803</v>
      </c>
      <c r="D803" s="4">
        <v>17</v>
      </c>
      <c r="E803" s="4" t="s">
        <v>85</v>
      </c>
      <c r="F803" s="16">
        <v>44577</v>
      </c>
      <c r="G803" s="5" t="s">
        <v>1937</v>
      </c>
      <c r="H803" s="5" t="s">
        <v>4375</v>
      </c>
      <c r="I803" s="24" t="str">
        <f>HYPERLINK("https://www.bilibili.com/video/BV1pY411t7Rb?p=17", "BV1pY411t7Rb?p=17")</f>
        <v>BV1pY411t7Rb?p=17</v>
      </c>
      <c r="J803" s="4" t="str">
        <f ca="1">_xlfn.IFNA(VLOOKUP(INDIRECT("G"&amp;ROW()),minfo!$A:$M,COLUMN()-8,0),"")</f>
        <v>灯花落</v>
      </c>
      <c r="K803" s="4" t="str">
        <f ca="1">_xlfn.IFNA(VLOOKUP(INDIRECT("G"&amp;ROW()),minfo!$A:$M,COLUMN()-8,0),"")</f>
        <v>说说Crystal</v>
      </c>
      <c r="L803" s="4">
        <f ca="1">_xlfn.IFNA(VLOOKUP(INDIRECT("G"&amp;ROW()),minfo!$A:$M,COLUMN()-8,0),"")</f>
        <v>0</v>
      </c>
      <c r="M803" s="4">
        <f ca="1">_xlfn.IFNA(VLOOKUP(INDIRECT("G"&amp;ROW()),minfo!$A:$M,COLUMN()-8,0),"")</f>
        <v>0</v>
      </c>
      <c r="N803" s="4">
        <f ca="1">_xlfn.IFNA(VLOOKUP(INDIRECT("G"&amp;ROW()),minfo!$A:$M,COLUMN()-8,0),"")</f>
        <v>0</v>
      </c>
      <c r="O803" s="4" t="str">
        <f ca="1">_xlfn.IFNA(VLOOKUP(INDIRECT("G"&amp;ROW()),minfo!$A:$M,COLUMN()-8,0),"")</f>
        <v>https://i0.hdslb.com/bfs/station_src/music_metadata/f014cc372efc20dcaf401338a91b51bf.jpg</v>
      </c>
      <c r="P803" s="4">
        <f ca="1">_xlfn.IFNA(VLOOKUP(INDIRECT("G"&amp;ROW()),minfo!$A:$M,COLUMN()-8,0),"")</f>
        <v>0</v>
      </c>
      <c r="Q803" s="4">
        <f ca="1">_xlfn.IFNA(VLOOKUP(INDIRECT("G"&amp;ROW()),minfo!$A:$M,COLUMN()-8,0),"")</f>
        <v>0</v>
      </c>
      <c r="R803" s="4">
        <f ca="1">_xlfn.IFNA(VLOOKUP(INDIRECT("G"&amp;ROW()),minfo!$A:$M,COLUMN()-8,0),"")</f>
        <v>0</v>
      </c>
      <c r="S803" s="4" t="str">
        <f ca="1">_xlfn.IFNA(VLOOKUP(INDIRECT("G"&amp;ROW()),minfo!$A:$M,COLUMN()-8,0),"")</f>
        <v>灯花落</v>
      </c>
      <c r="T803" s="4">
        <f ca="1">_xlfn.IFNA(VLOOKUP(INDIRECT("G"&amp;ROW()),minfo!$A:$M,COLUMN()-8,0),"")</f>
        <v>538222</v>
      </c>
      <c r="U803" s="4">
        <f ca="1">_xlfn.IFNA(VLOOKUP(INDIRECT("G"&amp;ROW()),minfo!$A:$M,COLUMN()-8,0),"")</f>
        <v>0</v>
      </c>
    </row>
    <row r="804" spans="1:21" ht="15.75" customHeight="1">
      <c r="A804" s="15">
        <v>803</v>
      </c>
      <c r="B804" s="4" t="s">
        <v>4392</v>
      </c>
      <c r="C804" s="4">
        <v>804</v>
      </c>
      <c r="D804" s="4">
        <v>18</v>
      </c>
      <c r="E804" s="4" t="s">
        <v>83</v>
      </c>
      <c r="F804" s="16">
        <v>44577</v>
      </c>
      <c r="G804" s="5" t="s">
        <v>1692</v>
      </c>
      <c r="H804" s="5" t="s">
        <v>4375</v>
      </c>
      <c r="I804" s="24" t="str">
        <f>HYPERLINK("https://www.bilibili.com/video/BV1pY411t7Rb?p=18", "BV1pY411t7Rb?p=18")</f>
        <v>BV1pY411t7Rb?p=18</v>
      </c>
      <c r="J804" s="4" t="str">
        <f ca="1">_xlfn.IFNA(VLOOKUP(INDIRECT("G"&amp;ROW()),minfo!$A:$M,COLUMN()-8,0),"")</f>
        <v>蜃楼之下</v>
      </c>
      <c r="K804" s="4" t="str">
        <f ca="1">_xlfn.IFNA(VLOOKUP(INDIRECT("G"&amp;ROW()),minfo!$A:$M,COLUMN()-8,0),"")</f>
        <v>说说Crystal</v>
      </c>
      <c r="L804" s="4">
        <f ca="1">_xlfn.IFNA(VLOOKUP(INDIRECT("G"&amp;ROW()),minfo!$A:$M,COLUMN()-8,0),"")</f>
        <v>0</v>
      </c>
      <c r="M804" s="4">
        <f ca="1">_xlfn.IFNA(VLOOKUP(INDIRECT("G"&amp;ROW()),minfo!$A:$M,COLUMN()-8,0),"")</f>
        <v>0</v>
      </c>
      <c r="N804" s="4">
        <f ca="1">_xlfn.IFNA(VLOOKUP(INDIRECT("G"&amp;ROW()),minfo!$A:$M,COLUMN()-8,0),"")</f>
        <v>0</v>
      </c>
      <c r="O804" s="4" t="str">
        <f ca="1">_xlfn.IFNA(VLOOKUP(INDIRECT("G"&amp;ROW()),minfo!$A:$M,COLUMN()-8,0),"")</f>
        <v>https://i0.hdslb.com/bfs/station_src/music_metadata/4e2fa6c3be188c96f2fcbacdcd7c32b9.jpg</v>
      </c>
      <c r="P804" s="4" t="str">
        <f ca="1">_xlfn.IFNA(VLOOKUP(INDIRECT("G"&amp;ROW()),minfo!$A:$M,COLUMN()-8,0),"")</f>
        <v>https://i0.hdslb.com/bfs/station_src/music_metadata/5fb02cb51d8da687f91eef8353e8054f.txt</v>
      </c>
      <c r="Q804" s="4">
        <f ca="1">_xlfn.IFNA(VLOOKUP(INDIRECT("G"&amp;ROW()),minfo!$A:$M,COLUMN()-8,0),"")</f>
        <v>0</v>
      </c>
      <c r="R804" s="4" t="str">
        <f ca="1">_xlfn.IFNA(VLOOKUP(INDIRECT("G"&amp;ROW()),minfo!$A:$M,COLUMN()-8,0),"")</f>
        <v>《红荒》片头曲</v>
      </c>
      <c r="S804" s="4" t="str">
        <f ca="1">_xlfn.IFNA(VLOOKUP(INDIRECT("G"&amp;ROW()),minfo!$A:$M,COLUMN()-8,0),"")</f>
        <v>红荒 动画原声带</v>
      </c>
      <c r="T804" s="4">
        <f ca="1">_xlfn.IFNA(VLOOKUP(INDIRECT("G"&amp;ROW()),minfo!$A:$M,COLUMN()-8,0),"")</f>
        <v>403200</v>
      </c>
      <c r="U804" s="4">
        <f ca="1">_xlfn.IFNA(VLOOKUP(INDIRECT("G"&amp;ROW()),minfo!$A:$M,COLUMN()-8,0),"")</f>
        <v>0</v>
      </c>
    </row>
    <row r="805" spans="1:21" ht="15.75" customHeight="1">
      <c r="A805" s="15">
        <v>804</v>
      </c>
      <c r="B805" s="4" t="s">
        <v>4393</v>
      </c>
      <c r="C805" s="4">
        <v>805</v>
      </c>
      <c r="D805" s="4">
        <v>19</v>
      </c>
      <c r="E805" s="4" t="s">
        <v>869</v>
      </c>
      <c r="F805" s="16">
        <v>44579</v>
      </c>
      <c r="G805" s="5" t="s">
        <v>868</v>
      </c>
      <c r="H805" s="5" t="s">
        <v>4375</v>
      </c>
      <c r="I805" s="24" t="str">
        <f>HYPERLINK("https://www.bilibili.com/video/BV1pY411t7Rb?p=19", "BV1pY411t7Rb?p=19")</f>
        <v>BV1pY411t7Rb?p=19</v>
      </c>
      <c r="J805" s="4" t="str">
        <f ca="1">_xlfn.IFNA(VLOOKUP(INDIRECT("G"&amp;ROW()),minfo!$A:$M,COLUMN()-8,0),"")</f>
        <v>青花瓷</v>
      </c>
      <c r="K805" s="4" t="str">
        <f ca="1">_xlfn.IFNA(VLOOKUP(INDIRECT("G"&amp;ROW()),minfo!$A:$M,COLUMN()-8,0),"")</f>
        <v>周杰伦</v>
      </c>
      <c r="L805" s="4">
        <f ca="1">_xlfn.IFNA(VLOOKUP(INDIRECT("G"&amp;ROW()),minfo!$A:$M,COLUMN()-8,0),"")</f>
        <v>0</v>
      </c>
      <c r="M805" s="4">
        <f ca="1">_xlfn.IFNA(VLOOKUP(INDIRECT("G"&amp;ROW()),minfo!$A:$M,COLUMN()-8,0),"")</f>
        <v>0</v>
      </c>
      <c r="N805" s="4">
        <f ca="1">_xlfn.IFNA(VLOOKUP(INDIRECT("G"&amp;ROW()),minfo!$A:$M,COLUMN()-8,0),"")</f>
        <v>0</v>
      </c>
      <c r="O805" s="4" t="str">
        <f ca="1">_xlfn.IFNA(VLOOKUP(INDIRECT("G"&amp;ROW()),minfo!$A:$M,COLUMN()-8,0),"")</f>
        <v>https://i0.hdslb.com/bfs/station_src/music_metadata/41873834221338c2a2ad6bf64a0d923b.jpg</v>
      </c>
      <c r="P805" s="4">
        <f ca="1">_xlfn.IFNA(VLOOKUP(INDIRECT("G"&amp;ROW()),minfo!$A:$M,COLUMN()-8,0),"")</f>
        <v>0</v>
      </c>
      <c r="Q805" s="4">
        <f ca="1">_xlfn.IFNA(VLOOKUP(INDIRECT("G"&amp;ROW()),minfo!$A:$M,COLUMN()-8,0),"")</f>
        <v>9226</v>
      </c>
      <c r="R805" s="4">
        <f ca="1">_xlfn.IFNA(VLOOKUP(INDIRECT("G"&amp;ROW()),minfo!$A:$M,COLUMN()-8,0),"")</f>
        <v>0</v>
      </c>
      <c r="S805" s="4" t="str">
        <f ca="1">_xlfn.IFNA(VLOOKUP(INDIRECT("G"&amp;ROW()),minfo!$A:$M,COLUMN()-8,0),"")</f>
        <v>我很忙</v>
      </c>
      <c r="T805" s="4">
        <f ca="1">_xlfn.IFNA(VLOOKUP(INDIRECT("G"&amp;ROW()),minfo!$A:$M,COLUMN()-8,0),"")</f>
        <v>1341173223</v>
      </c>
      <c r="U805" s="4" t="str">
        <f ca="1">_xlfn.IFNA(VLOOKUP(INDIRECT("G"&amp;ROW()),minfo!$A:$M,COLUMN()-8,0),"")</f>
        <v>音乐榜最高NO.8</v>
      </c>
    </row>
    <row r="806" spans="1:21" ht="15.75" customHeight="1">
      <c r="A806" s="15">
        <v>805</v>
      </c>
      <c r="B806" s="4" t="s">
        <v>4394</v>
      </c>
      <c r="C806" s="4">
        <v>806</v>
      </c>
      <c r="D806" s="4">
        <v>20</v>
      </c>
      <c r="E806" s="4" t="s">
        <v>1940</v>
      </c>
      <c r="F806" s="16">
        <v>44580</v>
      </c>
      <c r="G806" s="5" t="s">
        <v>1939</v>
      </c>
      <c r="H806" s="5" t="s">
        <v>4375</v>
      </c>
      <c r="I806" s="24" t="str">
        <f>HYPERLINK("https://www.bilibili.com/video/BV1pY411t7Rb?p=20", "BV1pY411t7Rb?p=20")</f>
        <v>BV1pY411t7Rb?p=20</v>
      </c>
      <c r="J806" s="4" t="str">
        <f ca="1">_xlfn.IFNA(VLOOKUP(INDIRECT("G"&amp;ROW()),minfo!$A:$M,COLUMN()-8,0),"")</f>
        <v>关雎</v>
      </c>
      <c r="K806" s="4" t="str">
        <f ca="1">_xlfn.IFNA(VLOOKUP(INDIRECT("G"&amp;ROW()),minfo!$A:$M,COLUMN()-8,0),"")</f>
        <v>宋祖英</v>
      </c>
      <c r="L806" s="4">
        <f ca="1">_xlfn.IFNA(VLOOKUP(INDIRECT("G"&amp;ROW()),minfo!$A:$M,COLUMN()-8,0),"")</f>
        <v>0</v>
      </c>
      <c r="M806" s="4">
        <f ca="1">_xlfn.IFNA(VLOOKUP(INDIRECT("G"&amp;ROW()),minfo!$A:$M,COLUMN()-8,0),"")</f>
        <v>0</v>
      </c>
      <c r="N806" s="4">
        <f ca="1">_xlfn.IFNA(VLOOKUP(INDIRECT("G"&amp;ROW()),minfo!$A:$M,COLUMN()-8,0),"")</f>
        <v>0</v>
      </c>
      <c r="O806" s="4" t="str">
        <f ca="1">_xlfn.IFNA(VLOOKUP(INDIRECT("G"&amp;ROW()),minfo!$A:$M,COLUMN()-8,0),"")</f>
        <v>https://i0.hdslb.com/bfs/station_src/music_metadata/83973eaf0bc2ec5b5f2c051fe2dea188.jpg</v>
      </c>
      <c r="P806" s="4">
        <f ca="1">_xlfn.IFNA(VLOOKUP(INDIRECT("G"&amp;ROW()),minfo!$A:$M,COLUMN()-8,0),"")</f>
        <v>0</v>
      </c>
      <c r="Q806" s="4">
        <f ca="1">_xlfn.IFNA(VLOOKUP(INDIRECT("G"&amp;ROW()),minfo!$A:$M,COLUMN()-8,0),"")</f>
        <v>4</v>
      </c>
      <c r="R806" s="4">
        <f ca="1">_xlfn.IFNA(VLOOKUP(INDIRECT("G"&amp;ROW()),minfo!$A:$M,COLUMN()-8,0),"")</f>
        <v>0</v>
      </c>
      <c r="S806" s="4" t="str">
        <f ca="1">_xlfn.IFNA(VLOOKUP(INDIRECT("G"&amp;ROW()),minfo!$A:$M,COLUMN()-8,0),"")</f>
        <v>Epics of Love</v>
      </c>
      <c r="T806" s="4">
        <f ca="1">_xlfn.IFNA(VLOOKUP(INDIRECT("G"&amp;ROW()),minfo!$A:$M,COLUMN()-8,0),"")</f>
        <v>786764</v>
      </c>
      <c r="U806" s="4">
        <f ca="1">_xlfn.IFNA(VLOOKUP(INDIRECT("G"&amp;ROW()),minfo!$A:$M,COLUMN()-8,0),"")</f>
        <v>0</v>
      </c>
    </row>
    <row r="807" spans="1:21" ht="15.75" customHeight="1">
      <c r="A807" s="15">
        <v>806</v>
      </c>
      <c r="B807" s="4" t="s">
        <v>4395</v>
      </c>
      <c r="C807" s="4">
        <v>807</v>
      </c>
      <c r="D807" s="4">
        <v>21</v>
      </c>
      <c r="E807" s="4" t="s">
        <v>1944</v>
      </c>
      <c r="F807" s="16">
        <v>44580</v>
      </c>
      <c r="G807" s="5" t="s">
        <v>1943</v>
      </c>
      <c r="H807" s="5" t="s">
        <v>4375</v>
      </c>
      <c r="I807" s="24" t="str">
        <f>HYPERLINK("https://www.bilibili.com/video/BV1pY411t7Rb?p=21", "BV1pY411t7Rb?p=21")</f>
        <v>BV1pY411t7Rb?p=21</v>
      </c>
      <c r="J807" s="4" t="str">
        <f ca="1">_xlfn.IFNA(VLOOKUP(INDIRECT("G"&amp;ROW()),minfo!$A:$M,COLUMN()-8,0),"")</f>
        <v>秋意浓</v>
      </c>
      <c r="K807" s="4" t="str">
        <f ca="1">_xlfn.IFNA(VLOOKUP(INDIRECT("G"&amp;ROW()),minfo!$A:$M,COLUMN()-8,0),"")</f>
        <v>张靓颖</v>
      </c>
      <c r="L807" s="4">
        <f ca="1">_xlfn.IFNA(VLOOKUP(INDIRECT("G"&amp;ROW()),minfo!$A:$M,COLUMN()-8,0),"")</f>
        <v>0</v>
      </c>
      <c r="M807" s="4">
        <f ca="1">_xlfn.IFNA(VLOOKUP(INDIRECT("G"&amp;ROW()),minfo!$A:$M,COLUMN()-8,0),"")</f>
        <v>0</v>
      </c>
      <c r="N807" s="4">
        <f ca="1">_xlfn.IFNA(VLOOKUP(INDIRECT("G"&amp;ROW()),minfo!$A:$M,COLUMN()-8,0),"")</f>
        <v>0</v>
      </c>
      <c r="O807" s="4" t="str">
        <f ca="1">_xlfn.IFNA(VLOOKUP(INDIRECT("G"&amp;ROW()),minfo!$A:$M,COLUMN()-8,0),"")</f>
        <v>https://i0.hdslb.com/bfs/station_src/music_metadata/394ea121b46beb843f2de75e87615cc7.jpg</v>
      </c>
      <c r="P807" s="4" t="str">
        <f ca="1">_xlfn.IFNA(VLOOKUP(INDIRECT("G"&amp;ROW()),minfo!$A:$M,COLUMN()-8,0),"")</f>
        <v>https://i0.hdslb.com/bfs/station_src/music_metadata/fefb145cd078fb494f996b0b8ce60802.txt</v>
      </c>
      <c r="Q807" s="4">
        <f ca="1">_xlfn.IFNA(VLOOKUP(INDIRECT("G"&amp;ROW()),minfo!$A:$M,COLUMN()-8,0),"")</f>
        <v>2</v>
      </c>
      <c r="R807" s="4">
        <f ca="1">_xlfn.IFNA(VLOOKUP(INDIRECT("G"&amp;ROW()),minfo!$A:$M,COLUMN()-8,0),"")</f>
        <v>0</v>
      </c>
      <c r="S807" s="4" t="str">
        <f ca="1">_xlfn.IFNA(VLOOKUP(INDIRECT("G"&amp;ROW()),minfo!$A:$M,COLUMN()-8,0),"")</f>
        <v>倾听·张靓颖</v>
      </c>
      <c r="T807" s="4">
        <f ca="1">_xlfn.IFNA(VLOOKUP(INDIRECT("G"&amp;ROW()),minfo!$A:$M,COLUMN()-8,0),"")</f>
        <v>3606375</v>
      </c>
      <c r="U807" s="4">
        <f ca="1">_xlfn.IFNA(VLOOKUP(INDIRECT("G"&amp;ROW()),minfo!$A:$M,COLUMN()-8,0),"")</f>
        <v>0</v>
      </c>
    </row>
    <row r="808" spans="1:21" ht="15.75" customHeight="1">
      <c r="A808" s="15">
        <v>807</v>
      </c>
      <c r="B808" s="4" t="s">
        <v>4396</v>
      </c>
      <c r="C808" s="4">
        <v>808</v>
      </c>
      <c r="D808" s="4">
        <v>22</v>
      </c>
      <c r="E808" s="4" t="s">
        <v>1949</v>
      </c>
      <c r="F808" s="16">
        <v>44580</v>
      </c>
      <c r="G808" s="5" t="s">
        <v>1948</v>
      </c>
      <c r="H808" s="5" t="s">
        <v>4375</v>
      </c>
      <c r="I808" s="24" t="str">
        <f>HYPERLINK("https://www.bilibili.com/video/BV1pY411t7Rb?p=22", "BV1pY411t7Rb?p=22")</f>
        <v>BV1pY411t7Rb?p=22</v>
      </c>
      <c r="J808" s="4" t="str">
        <f ca="1">_xlfn.IFNA(VLOOKUP(INDIRECT("G"&amp;ROW()),minfo!$A:$M,COLUMN()-8,0),"")</f>
        <v>蝴蝶泉边</v>
      </c>
      <c r="K808" s="4" t="str">
        <f ca="1">_xlfn.IFNA(VLOOKUP(INDIRECT("G"&amp;ROW()),minfo!$A:$M,COLUMN()-8,0),"")</f>
        <v>黄雅莉</v>
      </c>
      <c r="L808" s="4">
        <f ca="1">_xlfn.IFNA(VLOOKUP(INDIRECT("G"&amp;ROW()),minfo!$A:$M,COLUMN()-8,0),"")</f>
        <v>0</v>
      </c>
      <c r="M808" s="4">
        <f ca="1">_xlfn.IFNA(VLOOKUP(INDIRECT("G"&amp;ROW()),minfo!$A:$M,COLUMN()-8,0),"")</f>
        <v>0</v>
      </c>
      <c r="N808" s="4">
        <f ca="1">_xlfn.IFNA(VLOOKUP(INDIRECT("G"&amp;ROW()),minfo!$A:$M,COLUMN()-8,0),"")</f>
        <v>0</v>
      </c>
      <c r="O808" s="4" t="str">
        <f ca="1">_xlfn.IFNA(VLOOKUP(INDIRECT("G"&amp;ROW()),minfo!$A:$M,COLUMN()-8,0),"")</f>
        <v>http://i0.hdslb.com/bfs/station_src/music_metadata/f47d22472d328e5d9463308f26f10b0c.jpg</v>
      </c>
      <c r="P808" s="4">
        <f ca="1">_xlfn.IFNA(VLOOKUP(INDIRECT("G"&amp;ROW()),minfo!$A:$M,COLUMN()-8,0),"")</f>
        <v>0</v>
      </c>
      <c r="Q808" s="4">
        <f ca="1">_xlfn.IFNA(VLOOKUP(INDIRECT("G"&amp;ROW()),minfo!$A:$M,COLUMN()-8,0),"")</f>
        <v>0</v>
      </c>
      <c r="R808" s="4">
        <f ca="1">_xlfn.IFNA(VLOOKUP(INDIRECT("G"&amp;ROW()),minfo!$A:$M,COLUMN()-8,0),"")</f>
        <v>0</v>
      </c>
      <c r="S808" s="4" t="str">
        <f ca="1">_xlfn.IFNA(VLOOKUP(INDIRECT("G"&amp;ROW()),minfo!$A:$M,COLUMN()-8,0),"")</f>
        <v>跨界歌王第五季 第8期</v>
      </c>
      <c r="T808" s="4">
        <f ca="1">_xlfn.IFNA(VLOOKUP(INDIRECT("G"&amp;ROW()),minfo!$A:$M,COLUMN()-8,0),"")</f>
        <v>150461</v>
      </c>
      <c r="U808" s="4">
        <f ca="1">_xlfn.IFNA(VLOOKUP(INDIRECT("G"&amp;ROW()),minfo!$A:$M,COLUMN()-8,0),"")</f>
        <v>0</v>
      </c>
    </row>
    <row r="809" spans="1:21" ht="15.75" customHeight="1">
      <c r="A809" s="15">
        <v>808</v>
      </c>
      <c r="B809" s="4" t="s">
        <v>4397</v>
      </c>
      <c r="C809" s="4">
        <v>809</v>
      </c>
      <c r="D809" s="4">
        <v>23</v>
      </c>
      <c r="E809" s="4" t="s">
        <v>95</v>
      </c>
      <c r="F809" s="16">
        <v>44582</v>
      </c>
      <c r="G809" s="5" t="s">
        <v>203</v>
      </c>
      <c r="H809" s="5" t="s">
        <v>4375</v>
      </c>
      <c r="I809" s="24" t="str">
        <f>HYPERLINK("https://www.bilibili.com/video/BV1pY411t7Rb?p=23", "BV1pY411t7Rb?p=23")</f>
        <v>BV1pY411t7Rb?p=23</v>
      </c>
      <c r="J809" s="4" t="str">
        <f ca="1">_xlfn.IFNA(VLOOKUP(INDIRECT("G"&amp;ROW()),minfo!$A:$M,COLUMN()-8,0),"")</f>
        <v>不问天</v>
      </c>
      <c r="K809" s="4" t="str">
        <f ca="1">_xlfn.IFNA(VLOOKUP(INDIRECT("G"&amp;ROW()),minfo!$A:$M,COLUMN()-8,0),"")</f>
        <v>说说Crystal</v>
      </c>
      <c r="L809" s="4">
        <f ca="1">_xlfn.IFNA(VLOOKUP(INDIRECT("G"&amp;ROW()),minfo!$A:$M,COLUMN()-8,0),"")</f>
        <v>0</v>
      </c>
      <c r="M809" s="4">
        <f ca="1">_xlfn.IFNA(VLOOKUP(INDIRECT("G"&amp;ROW()),minfo!$A:$M,COLUMN()-8,0),"")</f>
        <v>0</v>
      </c>
      <c r="N809" s="4">
        <f ca="1">_xlfn.IFNA(VLOOKUP(INDIRECT("G"&amp;ROW()),minfo!$A:$M,COLUMN()-8,0),"")</f>
        <v>0</v>
      </c>
      <c r="O809" s="4" t="str">
        <f ca="1">_xlfn.IFNA(VLOOKUP(INDIRECT("G"&amp;ROW()),minfo!$A:$M,COLUMN()-8,0),"")</f>
        <v>https://i0.hdslb.com/bfs/station_src/music_metadata/ce3a0da2a7e64a49fa42a6e3db521f57.jpg</v>
      </c>
      <c r="P809" s="4" t="str">
        <f ca="1">_xlfn.IFNA(VLOOKUP(INDIRECT("G"&amp;ROW()),minfo!$A:$M,COLUMN()-8,0),"")</f>
        <v>https://i0.hdslb.com/bfs/station_src/music_metadata/02cd9198a33924449443fc704a92a25a.txt</v>
      </c>
      <c r="Q809" s="4">
        <f ca="1">_xlfn.IFNA(VLOOKUP(INDIRECT("G"&amp;ROW()),minfo!$A:$M,COLUMN()-8,0),"")</f>
        <v>149</v>
      </c>
      <c r="R809" s="4">
        <f ca="1">_xlfn.IFNA(VLOOKUP(INDIRECT("G"&amp;ROW()),minfo!$A:$M,COLUMN()-8,0),"")</f>
        <v>0</v>
      </c>
      <c r="S809" s="4" t="str">
        <f ca="1">_xlfn.IFNA(VLOOKUP(INDIRECT("G"&amp;ROW()),minfo!$A:$M,COLUMN()-8,0),"")</f>
        <v>2021哔哩哔哩拜年纪</v>
      </c>
      <c r="T809" s="4">
        <f ca="1">_xlfn.IFNA(VLOOKUP(INDIRECT("G"&amp;ROW()),minfo!$A:$M,COLUMN()-8,0),"")</f>
        <v>33137051</v>
      </c>
      <c r="U809" s="4">
        <f ca="1">_xlfn.IFNA(VLOOKUP(INDIRECT("G"&amp;ROW()),minfo!$A:$M,COLUMN()-8,0),"")</f>
        <v>0</v>
      </c>
    </row>
    <row r="810" spans="1:21" ht="15.75" customHeight="1">
      <c r="A810" s="15">
        <v>809</v>
      </c>
      <c r="B810" s="4" t="s">
        <v>4398</v>
      </c>
      <c r="C810" s="4">
        <v>810</v>
      </c>
      <c r="D810" s="4">
        <v>24</v>
      </c>
      <c r="E810" s="4" t="s">
        <v>2968</v>
      </c>
      <c r="F810" s="16">
        <v>44582</v>
      </c>
      <c r="G810" s="5" t="s">
        <v>2967</v>
      </c>
      <c r="H810" s="5" t="s">
        <v>4375</v>
      </c>
      <c r="I810" s="24" t="str">
        <f>HYPERLINK("https://www.bilibili.com/video/BV1pY411t7Rb?p=24", "BV1pY411t7Rb?p=24")</f>
        <v>BV1pY411t7Rb?p=24</v>
      </c>
      <c r="J810" s="4" t="str">
        <f ca="1">_xlfn.IFNA(VLOOKUP(INDIRECT("G"&amp;ROW()),minfo!$A:$M,COLUMN()-8,0),"")</f>
        <v>苏幕遮</v>
      </c>
      <c r="K810" s="4" t="str">
        <f ca="1">_xlfn.IFNA(VLOOKUP(INDIRECT("G"&amp;ROW()),minfo!$A:$M,COLUMN()-8,0),"")</f>
        <v>张晓棠</v>
      </c>
      <c r="L810" s="4">
        <f ca="1">_xlfn.IFNA(VLOOKUP(INDIRECT("G"&amp;ROW()),minfo!$A:$M,COLUMN()-8,0),"")</f>
        <v>0</v>
      </c>
      <c r="M810" s="4">
        <f ca="1">_xlfn.IFNA(VLOOKUP(INDIRECT("G"&amp;ROW()),minfo!$A:$M,COLUMN()-8,0),"")</f>
        <v>0</v>
      </c>
      <c r="N810" s="4">
        <f ca="1">_xlfn.IFNA(VLOOKUP(INDIRECT("G"&amp;ROW()),minfo!$A:$M,COLUMN()-8,0),"")</f>
        <v>0</v>
      </c>
      <c r="O810" s="4" t="str">
        <f ca="1">_xlfn.IFNA(VLOOKUP(INDIRECT("G"&amp;ROW()),minfo!$A:$M,COLUMN()-8,0),"")</f>
        <v>https://i0.hdslb.com/bfs/station_src/music_metadata/6d4abb378985a85772919adec194ad14.jpg</v>
      </c>
      <c r="P810" s="4" t="str">
        <f ca="1">_xlfn.IFNA(VLOOKUP(INDIRECT("G"&amp;ROW()),minfo!$A:$M,COLUMN()-8,0),"")</f>
        <v>https://i0.hdslb.com/bfs/station_src/music_metadata/9ecf2ddeccc8f5c9bd142df102c737bf.lrc</v>
      </c>
      <c r="Q810" s="4">
        <f ca="1">_xlfn.IFNA(VLOOKUP(INDIRECT("G"&amp;ROW()),minfo!$A:$M,COLUMN()-8,0),"")</f>
        <v>2045</v>
      </c>
      <c r="R810" s="4">
        <f ca="1">_xlfn.IFNA(VLOOKUP(INDIRECT("G"&amp;ROW()),minfo!$A:$M,COLUMN()-8,0),"")</f>
        <v>0</v>
      </c>
      <c r="S810" s="4" t="str">
        <f ca="1">_xlfn.IFNA(VLOOKUP(INDIRECT("G"&amp;ROW()),minfo!$A:$M,COLUMN()-8,0),"")</f>
        <v>盛世好风光</v>
      </c>
      <c r="T810" s="4">
        <f ca="1">_xlfn.IFNA(VLOOKUP(INDIRECT("G"&amp;ROW()),minfo!$A:$M,COLUMN()-8,0),"")</f>
        <v>250489326</v>
      </c>
      <c r="U810" s="4" t="str">
        <f ca="1">_xlfn.IFNA(VLOOKUP(INDIRECT("G"&amp;ROW()),minfo!$A:$M,COLUMN()-8,0),"")</f>
        <v>音乐榜最高NO.20</v>
      </c>
    </row>
    <row r="811" spans="1:21" ht="15.75" customHeight="1">
      <c r="A811" s="15">
        <v>810</v>
      </c>
      <c r="B811" s="4" t="s">
        <v>4399</v>
      </c>
      <c r="C811" s="4">
        <v>811</v>
      </c>
      <c r="D811" s="4">
        <v>25</v>
      </c>
      <c r="E811" s="4" t="s">
        <v>1959</v>
      </c>
      <c r="F811" s="16">
        <v>44582</v>
      </c>
      <c r="G811" s="5" t="s">
        <v>1958</v>
      </c>
      <c r="H811" s="5" t="s">
        <v>4375</v>
      </c>
      <c r="I811" s="24" t="str">
        <f>HYPERLINK("https://www.bilibili.com/video/BV1pY411t7Rb?p=25", "BV1pY411t7Rb?p=25")</f>
        <v>BV1pY411t7Rb?p=25</v>
      </c>
      <c r="J811" s="4" t="str">
        <f ca="1">_xlfn.IFNA(VLOOKUP(INDIRECT("G"&amp;ROW()),minfo!$A:$M,COLUMN()-8,0),"")</f>
        <v>你的微笑</v>
      </c>
      <c r="K811" s="4" t="str">
        <f ca="1">_xlfn.IFNA(VLOOKUP(INDIRECT("G"&amp;ROW()),minfo!$A:$M,COLUMN()-8,0),"")</f>
        <v>F.I.R.飞儿乐团</v>
      </c>
      <c r="L811" s="4">
        <f ca="1">_xlfn.IFNA(VLOOKUP(INDIRECT("G"&amp;ROW()),minfo!$A:$M,COLUMN()-8,0),"")</f>
        <v>0</v>
      </c>
      <c r="M811" s="4">
        <f ca="1">_xlfn.IFNA(VLOOKUP(INDIRECT("G"&amp;ROW()),minfo!$A:$M,COLUMN()-8,0),"")</f>
        <v>0</v>
      </c>
      <c r="N811" s="4">
        <f ca="1">_xlfn.IFNA(VLOOKUP(INDIRECT("G"&amp;ROW()),minfo!$A:$M,COLUMN()-8,0),"")</f>
        <v>0</v>
      </c>
      <c r="O811" s="4" t="str">
        <f ca="1">_xlfn.IFNA(VLOOKUP(INDIRECT("G"&amp;ROW()),minfo!$A:$M,COLUMN()-8,0),"")</f>
        <v>https://i0.hdslb.com/bfs/station_src/music_metadata/f00319bb8b143d280ce55dfd8031dc09.jpg</v>
      </c>
      <c r="P811" s="4" t="str">
        <f ca="1">_xlfn.IFNA(VLOOKUP(INDIRECT("G"&amp;ROW()),minfo!$A:$M,COLUMN()-8,0),"")</f>
        <v>https://i0.hdslb.com/bfs/station_src/music_metadata/69bb78ddbe2d16f0d36cba70708b94b6.txt</v>
      </c>
      <c r="Q811" s="4">
        <f ca="1">_xlfn.IFNA(VLOOKUP(INDIRECT("G"&amp;ROW()),minfo!$A:$M,COLUMN()-8,0),"")</f>
        <v>657</v>
      </c>
      <c r="R811" s="4" t="str">
        <f ca="1">_xlfn.IFNA(VLOOKUP(INDIRECT("G"&amp;ROW()),minfo!$A:$M,COLUMN()-8,0),"")</f>
        <v>《一又二分之一的夏天》电视剧插曲</v>
      </c>
      <c r="S811" s="4" t="str">
        <f ca="1">_xlfn.IFNA(VLOOKUP(INDIRECT("G"&amp;ROW()),minfo!$A:$M,COLUMN()-8,0),"")</f>
        <v>飞儿乐团</v>
      </c>
      <c r="T811" s="4">
        <f ca="1">_xlfn.IFNA(VLOOKUP(INDIRECT("G"&amp;ROW()),minfo!$A:$M,COLUMN()-8,0),"")</f>
        <v>132933484</v>
      </c>
      <c r="U811" s="4">
        <f ca="1">_xlfn.IFNA(VLOOKUP(INDIRECT("G"&amp;ROW()),minfo!$A:$M,COLUMN()-8,0),"")</f>
        <v>0</v>
      </c>
    </row>
    <row r="812" spans="1:21" ht="15.75" customHeight="1">
      <c r="A812" s="15">
        <v>811</v>
      </c>
      <c r="B812" s="4" t="s">
        <v>4400</v>
      </c>
      <c r="C812" s="4">
        <v>812</v>
      </c>
      <c r="D812" s="4">
        <v>26</v>
      </c>
      <c r="E812" s="4" t="s">
        <v>1365</v>
      </c>
      <c r="F812" s="16">
        <v>44582</v>
      </c>
      <c r="G812" s="5" t="s">
        <v>1364</v>
      </c>
      <c r="H812" s="5" t="s">
        <v>4375</v>
      </c>
      <c r="I812" s="24" t="str">
        <f>HYPERLINK("https://www.bilibili.com/video/BV1pY411t7Rb?p=26", "BV1pY411t7Rb?p=26")</f>
        <v>BV1pY411t7Rb?p=26</v>
      </c>
      <c r="J812" s="4" t="str">
        <f ca="1">_xlfn.IFNA(VLOOKUP(INDIRECT("G"&amp;ROW()),minfo!$A:$M,COLUMN()-8,0),"")</f>
        <v>芦花</v>
      </c>
      <c r="K812" s="4" t="str">
        <f ca="1">_xlfn.IFNA(VLOOKUP(INDIRECT("G"&amp;ROW()),minfo!$A:$M,COLUMN()-8,0),"")</f>
        <v>雷佳</v>
      </c>
      <c r="L812" s="4">
        <f ca="1">_xlfn.IFNA(VLOOKUP(INDIRECT("G"&amp;ROW()),minfo!$A:$M,COLUMN()-8,0),"")</f>
        <v>0</v>
      </c>
      <c r="M812" s="4">
        <f ca="1">_xlfn.IFNA(VLOOKUP(INDIRECT("G"&amp;ROW()),minfo!$A:$M,COLUMN()-8,0),"")</f>
        <v>0</v>
      </c>
      <c r="N812" s="4">
        <f ca="1">_xlfn.IFNA(VLOOKUP(INDIRECT("G"&amp;ROW()),minfo!$A:$M,COLUMN()-8,0),"")</f>
        <v>0</v>
      </c>
      <c r="O812" s="4" t="str">
        <f ca="1">_xlfn.IFNA(VLOOKUP(INDIRECT("G"&amp;ROW()),minfo!$A:$M,COLUMN()-8,0),"")</f>
        <v>https://i0.hdslb.com/bfs/station_src/music_metadata/5d10069250016b4dc0f3b44677f25d40.jpg</v>
      </c>
      <c r="P812" s="4" t="str">
        <f ca="1">_xlfn.IFNA(VLOOKUP(INDIRECT("G"&amp;ROW()),minfo!$A:$M,COLUMN()-8,0),"")</f>
        <v>https://i0.hdslb.com/bfs/station_src/music_metadata/d73271ada4973630cf18fe263ae525c3.txt</v>
      </c>
      <c r="Q812" s="4">
        <f ca="1">_xlfn.IFNA(VLOOKUP(INDIRECT("G"&amp;ROW()),minfo!$A:$M,COLUMN()-8,0),"")</f>
        <v>7</v>
      </c>
      <c r="R812" s="4">
        <f ca="1">_xlfn.IFNA(VLOOKUP(INDIRECT("G"&amp;ROW()),minfo!$A:$M,COLUMN()-8,0),"")</f>
        <v>0</v>
      </c>
      <c r="S812" s="4" t="str">
        <f ca="1">_xlfn.IFNA(VLOOKUP(INDIRECT("G"&amp;ROW()),minfo!$A:$M,COLUMN()-8,0),"")</f>
        <v>一人一首成名曲10</v>
      </c>
      <c r="T812" s="4">
        <f ca="1">_xlfn.IFNA(VLOOKUP(INDIRECT("G"&amp;ROW()),minfo!$A:$M,COLUMN()-8,0),"")</f>
        <v>2752773</v>
      </c>
      <c r="U812" s="4">
        <f ca="1">_xlfn.IFNA(VLOOKUP(INDIRECT("G"&amp;ROW()),minfo!$A:$M,COLUMN()-8,0),"")</f>
        <v>0</v>
      </c>
    </row>
    <row r="813" spans="1:21" ht="15.75" customHeight="1">
      <c r="A813" s="15">
        <v>812</v>
      </c>
      <c r="B813" s="4" t="s">
        <v>4401</v>
      </c>
      <c r="C813" s="4">
        <v>813</v>
      </c>
      <c r="D813" s="4">
        <v>27</v>
      </c>
      <c r="E813" s="4" t="s">
        <v>4402</v>
      </c>
      <c r="F813" s="16">
        <v>44584</v>
      </c>
      <c r="G813" s="5" t="s">
        <v>1964</v>
      </c>
      <c r="H813" s="5" t="s">
        <v>4375</v>
      </c>
      <c r="I813" s="24" t="str">
        <f>HYPERLINK("https://www.bilibili.com/video/BV1pY411t7Rb?p=27", "BV1pY411t7Rb?p=27")</f>
        <v>BV1pY411t7Rb?p=27</v>
      </c>
      <c r="J813" s="4" t="str">
        <f ca="1">_xlfn.IFNA(VLOOKUP(INDIRECT("G"&amp;ROW()),minfo!$A:$M,COLUMN()-8,0),"")</f>
        <v>You Raise Me up</v>
      </c>
      <c r="K813" s="4" t="str">
        <f ca="1">_xlfn.IFNA(VLOOKUP(INDIRECT("G"&amp;ROW()),minfo!$A:$M,COLUMN()-8,0),"")</f>
        <v>Michael Hirte</v>
      </c>
      <c r="L813" s="4">
        <f ca="1">_xlfn.IFNA(VLOOKUP(INDIRECT("G"&amp;ROW()),minfo!$A:$M,COLUMN()-8,0),"")</f>
        <v>0</v>
      </c>
      <c r="M813" s="4">
        <f ca="1">_xlfn.IFNA(VLOOKUP(INDIRECT("G"&amp;ROW()),minfo!$A:$M,COLUMN()-8,0),"")</f>
        <v>0</v>
      </c>
      <c r="N813" s="4">
        <f ca="1">_xlfn.IFNA(VLOOKUP(INDIRECT("G"&amp;ROW()),minfo!$A:$M,COLUMN()-8,0),"")</f>
        <v>0</v>
      </c>
      <c r="O813" s="4" t="str">
        <f ca="1">_xlfn.IFNA(VLOOKUP(INDIRECT("G"&amp;ROW()),minfo!$A:$M,COLUMN()-8,0),"")</f>
        <v>https://i0.hdslb.com/bfs/station_src/music_metadata/60ef1cefc51619930ba384bc5a091604.jpg</v>
      </c>
      <c r="P813" s="4">
        <f ca="1">_xlfn.IFNA(VLOOKUP(INDIRECT("G"&amp;ROW()),minfo!$A:$M,COLUMN()-8,0),"")</f>
        <v>0</v>
      </c>
      <c r="Q813" s="4">
        <f ca="1">_xlfn.IFNA(VLOOKUP(INDIRECT("G"&amp;ROW()),minfo!$A:$M,COLUMN()-8,0),"")</f>
        <v>31</v>
      </c>
      <c r="R813" s="4">
        <f ca="1">_xlfn.IFNA(VLOOKUP(INDIRECT("G"&amp;ROW()),minfo!$A:$M,COLUMN()-8,0),"")</f>
        <v>0</v>
      </c>
      <c r="S813" s="4" t="str">
        <f ca="1">_xlfn.IFNA(VLOOKUP(INDIRECT("G"&amp;ROW()),minfo!$A:$M,COLUMN()-8,0),"")</f>
        <v>Der Mann mit der Mundharmonika</v>
      </c>
      <c r="T813" s="4">
        <f ca="1">_xlfn.IFNA(VLOOKUP(INDIRECT("G"&amp;ROW()),minfo!$A:$M,COLUMN()-8,0),"")</f>
        <v>41691117</v>
      </c>
      <c r="U813" s="4">
        <f ca="1">_xlfn.IFNA(VLOOKUP(INDIRECT("G"&amp;ROW()),minfo!$A:$M,COLUMN()-8,0),"")</f>
        <v>0</v>
      </c>
    </row>
    <row r="814" spans="1:21" ht="15.75" customHeight="1">
      <c r="A814" s="15">
        <v>813</v>
      </c>
      <c r="B814" s="4" t="s">
        <v>4403</v>
      </c>
      <c r="C814" s="4">
        <v>814</v>
      </c>
      <c r="D814" s="4">
        <v>28</v>
      </c>
      <c r="E814" s="4" t="s">
        <v>1970</v>
      </c>
      <c r="F814" s="16">
        <v>44584</v>
      </c>
      <c r="G814" s="5" t="s">
        <v>1969</v>
      </c>
      <c r="H814" s="5" t="s">
        <v>4375</v>
      </c>
      <c r="I814" s="24" t="str">
        <f>HYPERLINK("https://www.bilibili.com/video/BV1pY411t7Rb?p=28", "BV1pY411t7Rb?p=28")</f>
        <v>BV1pY411t7Rb?p=28</v>
      </c>
      <c r="J814" s="4" t="str">
        <f ca="1">_xlfn.IFNA(VLOOKUP(INDIRECT("G"&amp;ROW()),minfo!$A:$M,COLUMN()-8,0),"")</f>
        <v>被风吹过的夏天</v>
      </c>
      <c r="K814" s="4" t="str">
        <f ca="1">_xlfn.IFNA(VLOOKUP(INDIRECT("G"&amp;ROW()),minfo!$A:$M,COLUMN()-8,0),"")</f>
        <v>林俊杰,金莎</v>
      </c>
      <c r="L814" s="4">
        <f ca="1">_xlfn.IFNA(VLOOKUP(INDIRECT("G"&amp;ROW()),minfo!$A:$M,COLUMN()-8,0),"")</f>
        <v>0</v>
      </c>
      <c r="M814" s="4">
        <f ca="1">_xlfn.IFNA(VLOOKUP(INDIRECT("G"&amp;ROW()),minfo!$A:$M,COLUMN()-8,0),"")</f>
        <v>54</v>
      </c>
      <c r="N814" s="4">
        <f ca="1">_xlfn.IFNA(VLOOKUP(INDIRECT("G"&amp;ROW()),minfo!$A:$M,COLUMN()-8,0),"")</f>
        <v>16</v>
      </c>
      <c r="O814" s="4" t="str">
        <f ca="1">_xlfn.IFNA(VLOOKUP(INDIRECT("G"&amp;ROW()),minfo!$A:$M,COLUMN()-8,0),"")</f>
        <v>https://i0.hdslb.com/bfs/station_src/music_metadata/36aad53b8e13e2b08e23fbc4cead673b.jpg</v>
      </c>
      <c r="P814" s="4" t="str">
        <f ca="1">_xlfn.IFNA(VLOOKUP(INDIRECT("G"&amp;ROW()),minfo!$A:$M,COLUMN()-8,0),"")</f>
        <v>https://i0.hdslb.com/bfs/station_src/music_metadata/b0969da6ce1fcfd50a945d48a5b6bf7c.txt</v>
      </c>
      <c r="Q814" s="4">
        <f ca="1">_xlfn.IFNA(VLOOKUP(INDIRECT("G"&amp;ROW()),minfo!$A:$M,COLUMN()-8,0),"")</f>
        <v>96</v>
      </c>
      <c r="R814" s="4" t="str">
        <f ca="1">_xlfn.IFNA(VLOOKUP(INDIRECT("G"&amp;ROW()),minfo!$A:$M,COLUMN()-8,0),"")</f>
        <v>《最佳前男友》电视剧插曲</v>
      </c>
      <c r="S814" s="4" t="str">
        <f ca="1">_xlfn.IFNA(VLOOKUP(INDIRECT("G"&amp;ROW()),minfo!$A:$M,COLUMN()-8,0),"")</f>
        <v>空气</v>
      </c>
      <c r="T814" s="4">
        <f ca="1">_xlfn.IFNA(VLOOKUP(INDIRECT("G"&amp;ROW()),minfo!$A:$M,COLUMN()-8,0),"")</f>
        <v>105856229</v>
      </c>
      <c r="U814" s="4">
        <f ca="1">_xlfn.IFNA(VLOOKUP(INDIRECT("G"&amp;ROW()),minfo!$A:$M,COLUMN()-8,0),"")</f>
        <v>0</v>
      </c>
    </row>
    <row r="815" spans="1:21" ht="15.75" customHeight="1">
      <c r="A815" s="15">
        <v>814</v>
      </c>
      <c r="B815" s="4" t="s">
        <v>4404</v>
      </c>
      <c r="C815" s="4">
        <v>815</v>
      </c>
      <c r="D815" s="4">
        <v>29</v>
      </c>
      <c r="E815" s="4" t="s">
        <v>638</v>
      </c>
      <c r="F815" s="16">
        <v>44584</v>
      </c>
      <c r="G815" s="5" t="s">
        <v>637</v>
      </c>
      <c r="H815" s="5" t="s">
        <v>4375</v>
      </c>
      <c r="I815" s="24" t="str">
        <f>HYPERLINK("https://www.bilibili.com/video/BV1pY411t7Rb?p=29", "BV1pY411t7Rb?p=29")</f>
        <v>BV1pY411t7Rb?p=29</v>
      </c>
      <c r="J815" s="4" t="str">
        <f ca="1">_xlfn.IFNA(VLOOKUP(INDIRECT("G"&amp;ROW()),minfo!$A:$M,COLUMN()-8,0),"")</f>
        <v>搁浅</v>
      </c>
      <c r="K815" s="4" t="str">
        <f ca="1">_xlfn.IFNA(VLOOKUP(INDIRECT("G"&amp;ROW()),minfo!$A:$M,COLUMN()-8,0),"")</f>
        <v>周杰伦</v>
      </c>
      <c r="L815" s="4">
        <f ca="1">_xlfn.IFNA(VLOOKUP(INDIRECT("G"&amp;ROW()),minfo!$A:$M,COLUMN()-8,0),"")</f>
        <v>0</v>
      </c>
      <c r="M815" s="4">
        <f ca="1">_xlfn.IFNA(VLOOKUP(INDIRECT("G"&amp;ROW()),minfo!$A:$M,COLUMN()-8,0),"")</f>
        <v>0</v>
      </c>
      <c r="N815" s="4">
        <f ca="1">_xlfn.IFNA(VLOOKUP(INDIRECT("G"&amp;ROW()),minfo!$A:$M,COLUMN()-8,0),"")</f>
        <v>0</v>
      </c>
      <c r="O815" s="4" t="str">
        <f ca="1">_xlfn.IFNA(VLOOKUP(INDIRECT("G"&amp;ROW()),minfo!$A:$M,COLUMN()-8,0),"")</f>
        <v>https://i0.hdslb.com/bfs/station_src/music_metadata/5ea93d49aa366e4340787bbc3d63de25.jpg</v>
      </c>
      <c r="P815" s="4">
        <f ca="1">_xlfn.IFNA(VLOOKUP(INDIRECT("G"&amp;ROW()),minfo!$A:$M,COLUMN()-8,0),"")</f>
        <v>0</v>
      </c>
      <c r="Q815" s="4">
        <f ca="1">_xlfn.IFNA(VLOOKUP(INDIRECT("G"&amp;ROW()),minfo!$A:$M,COLUMN()-8,0),"")</f>
        <v>4120</v>
      </c>
      <c r="R815" s="4">
        <f ca="1">_xlfn.IFNA(VLOOKUP(INDIRECT("G"&amp;ROW()),minfo!$A:$M,COLUMN()-8,0),"")</f>
        <v>0</v>
      </c>
      <c r="S815" s="4" t="str">
        <f ca="1">_xlfn.IFNA(VLOOKUP(INDIRECT("G"&amp;ROW()),minfo!$A:$M,COLUMN()-8,0),"")</f>
        <v>七里香</v>
      </c>
      <c r="T815" s="4">
        <f ca="1">_xlfn.IFNA(VLOOKUP(INDIRECT("G"&amp;ROW()),minfo!$A:$M,COLUMN()-8,0),"")</f>
        <v>593603418</v>
      </c>
      <c r="U815" s="4">
        <f ca="1">_xlfn.IFNA(VLOOKUP(INDIRECT("G"&amp;ROW()),minfo!$A:$M,COLUMN()-8,0),"")</f>
        <v>0</v>
      </c>
    </row>
    <row r="816" spans="1:21" ht="15.75" customHeight="1">
      <c r="A816" s="15">
        <v>815</v>
      </c>
      <c r="B816" s="4" t="s">
        <v>4405</v>
      </c>
      <c r="C816" s="4">
        <v>816</v>
      </c>
      <c r="D816" s="4">
        <v>30</v>
      </c>
      <c r="E816" s="4" t="s">
        <v>1078</v>
      </c>
      <c r="F816" s="16">
        <v>44584</v>
      </c>
      <c r="G816" s="5" t="s">
        <v>1077</v>
      </c>
      <c r="H816" s="5" t="s">
        <v>4375</v>
      </c>
      <c r="I816" s="24" t="str">
        <f>HYPERLINK("https://www.bilibili.com/video/BV1pY411t7Rb?p=30", "BV1pY411t7Rb?p=30")</f>
        <v>BV1pY411t7Rb?p=30</v>
      </c>
      <c r="J816" s="4" t="str">
        <f ca="1">_xlfn.IFNA(VLOOKUP(INDIRECT("G"&amp;ROW()),minfo!$A:$M,COLUMN()-8,0),"")</f>
        <v>最长的电影</v>
      </c>
      <c r="K816" s="4" t="str">
        <f ca="1">_xlfn.IFNA(VLOOKUP(INDIRECT("G"&amp;ROW()),minfo!$A:$M,COLUMN()-8,0),"")</f>
        <v>周杰伦</v>
      </c>
      <c r="L816" s="4">
        <f ca="1">_xlfn.IFNA(VLOOKUP(INDIRECT("G"&amp;ROW()),minfo!$A:$M,COLUMN()-8,0),"")</f>
        <v>0</v>
      </c>
      <c r="M816" s="4">
        <f ca="1">_xlfn.IFNA(VLOOKUP(INDIRECT("G"&amp;ROW()),minfo!$A:$M,COLUMN()-8,0),"")</f>
        <v>0</v>
      </c>
      <c r="N816" s="4">
        <f ca="1">_xlfn.IFNA(VLOOKUP(INDIRECT("G"&amp;ROW()),minfo!$A:$M,COLUMN()-8,0),"")</f>
        <v>0</v>
      </c>
      <c r="O816" s="4" t="str">
        <f ca="1">_xlfn.IFNA(VLOOKUP(INDIRECT("G"&amp;ROW()),minfo!$A:$M,COLUMN()-8,0),"")</f>
        <v>https://i0.hdslb.com/bfs/station_src/music_metadata/7eaa1a96d6dc901ac8d38b532ba49f47.jpg</v>
      </c>
      <c r="P816" s="4" t="str">
        <f ca="1">_xlfn.IFNA(VLOOKUP(INDIRECT("G"&amp;ROW()),minfo!$A:$M,COLUMN()-8,0),"")</f>
        <v>http://i0.hdslb.com/bfs/station_src/music_metadata/62e80a61723a09aff7da0f2c4f4612c9</v>
      </c>
      <c r="Q816" s="4">
        <f ca="1">_xlfn.IFNA(VLOOKUP(INDIRECT("G"&amp;ROW()),minfo!$A:$M,COLUMN()-8,0),"")</f>
        <v>2026</v>
      </c>
      <c r="R816" s="4">
        <f ca="1">_xlfn.IFNA(VLOOKUP(INDIRECT("G"&amp;ROW()),minfo!$A:$M,COLUMN()-8,0),"")</f>
        <v>0</v>
      </c>
      <c r="S816" s="4" t="str">
        <f ca="1">_xlfn.IFNA(VLOOKUP(INDIRECT("G"&amp;ROW()),minfo!$A:$M,COLUMN()-8,0),"")</f>
        <v>我很忙</v>
      </c>
      <c r="T816" s="4">
        <f ca="1">_xlfn.IFNA(VLOOKUP(INDIRECT("G"&amp;ROW()),minfo!$A:$M,COLUMN()-8,0),"")</f>
        <v>437092203</v>
      </c>
      <c r="U816" s="4">
        <f ca="1">_xlfn.IFNA(VLOOKUP(INDIRECT("G"&amp;ROW()),minfo!$A:$M,COLUMN()-8,0),"")</f>
        <v>0</v>
      </c>
    </row>
    <row r="817" spans="1:21" ht="15.75" customHeight="1">
      <c r="A817" s="15">
        <v>816</v>
      </c>
      <c r="B817" s="4" t="s">
        <v>4406</v>
      </c>
      <c r="C817" s="4">
        <v>817</v>
      </c>
      <c r="D817" s="4">
        <v>31</v>
      </c>
      <c r="E817" s="4" t="s">
        <v>1977</v>
      </c>
      <c r="F817" s="16">
        <v>44584</v>
      </c>
      <c r="G817" s="5" t="s">
        <v>1976</v>
      </c>
      <c r="H817" s="5" t="s">
        <v>4375</v>
      </c>
      <c r="I817" s="24" t="str">
        <f>HYPERLINK("https://www.bilibili.com/video/BV1pY411t7Rb?p=31", "BV1pY411t7Rb?p=31")</f>
        <v>BV1pY411t7Rb?p=31</v>
      </c>
      <c r="J817" s="4" t="str">
        <f ca="1">_xlfn.IFNA(VLOOKUP(INDIRECT("G"&amp;ROW()),minfo!$A:$M,COLUMN()-8,0),"")</f>
        <v>如燕</v>
      </c>
      <c r="K817" s="4" t="str">
        <f ca="1">_xlfn.IFNA(VLOOKUP(INDIRECT("G"&amp;ROW()),minfo!$A:$M,COLUMN()-8,0),"")</f>
        <v>Olivia Ong</v>
      </c>
      <c r="L817" s="4">
        <f ca="1">_xlfn.IFNA(VLOOKUP(INDIRECT("G"&amp;ROW()),minfo!$A:$M,COLUMN()-8,0),"")</f>
        <v>0</v>
      </c>
      <c r="M817" s="4">
        <f ca="1">_xlfn.IFNA(VLOOKUP(INDIRECT("G"&amp;ROW()),minfo!$A:$M,COLUMN()-8,0),"")</f>
        <v>0</v>
      </c>
      <c r="N817" s="4">
        <f ca="1">_xlfn.IFNA(VLOOKUP(INDIRECT("G"&amp;ROW()),minfo!$A:$M,COLUMN()-8,0),"")</f>
        <v>0</v>
      </c>
      <c r="O817" s="4" t="str">
        <f ca="1">_xlfn.IFNA(VLOOKUP(INDIRECT("G"&amp;ROW()),minfo!$A:$M,COLUMN()-8,0),"")</f>
        <v>https://i0.hdslb.com/bfs/station_src/music_metadata/b2733c4bd517933dcae0cba2b7fa823a.jpg</v>
      </c>
      <c r="P817" s="4" t="str">
        <f ca="1">_xlfn.IFNA(VLOOKUP(INDIRECT("G"&amp;ROW()),minfo!$A:$M,COLUMN()-8,0),"")</f>
        <v>https://i0.hdslb.com/bfs/station_src/music_metadata/ea39207bb5f0808fc26797b69111daa6.txt</v>
      </c>
      <c r="Q817" s="4">
        <f ca="1">_xlfn.IFNA(VLOOKUP(INDIRECT("G"&amp;ROW()),minfo!$A:$M,COLUMN()-8,0),"")</f>
        <v>14</v>
      </c>
      <c r="R817" s="4" t="str">
        <f ca="1">_xlfn.IFNA(VLOOKUP(INDIRECT("G"&amp;ROW()),minfo!$A:$M,COLUMN()-8,0),"")</f>
        <v>《我们的》电视剧主题曲</v>
      </c>
      <c r="S817" s="4" t="str">
        <f ca="1">_xlfn.IFNA(VLOOKUP(INDIRECT("G"&amp;ROW()),minfo!$A:$M,COLUMN()-8,0),"")</f>
        <v>我们的主题曲</v>
      </c>
      <c r="T817" s="4">
        <f ca="1">_xlfn.IFNA(VLOOKUP(INDIRECT("G"&amp;ROW()),minfo!$A:$M,COLUMN()-8,0),"")</f>
        <v>2915511</v>
      </c>
      <c r="U817" s="4">
        <f ca="1">_xlfn.IFNA(VLOOKUP(INDIRECT("G"&amp;ROW()),minfo!$A:$M,COLUMN()-8,0),"")</f>
        <v>0</v>
      </c>
    </row>
    <row r="818" spans="1:21" ht="15.75" customHeight="1">
      <c r="A818" s="15">
        <v>817</v>
      </c>
      <c r="B818" s="4" t="s">
        <v>4407</v>
      </c>
      <c r="C818" s="4">
        <v>818</v>
      </c>
      <c r="D818" s="4">
        <v>32</v>
      </c>
      <c r="E818" s="4" t="s">
        <v>150</v>
      </c>
      <c r="F818" s="16">
        <v>44590</v>
      </c>
      <c r="G818" s="5" t="s">
        <v>149</v>
      </c>
      <c r="H818" s="5" t="s">
        <v>4375</v>
      </c>
      <c r="I818" s="24" t="str">
        <f>HYPERLINK("https://www.bilibili.com/video/BV1pY411t7Rb?p=32", "BV1pY411t7Rb?p=32")</f>
        <v>BV1pY411t7Rb?p=32</v>
      </c>
      <c r="J818" s="4" t="str">
        <f ca="1">_xlfn.IFNA(VLOOKUP(INDIRECT("G"&amp;ROW()),minfo!$A:$M,COLUMN()-8,0),"")</f>
        <v>繁华唱遍</v>
      </c>
      <c r="K818" s="4" t="str">
        <f ca="1">_xlfn.IFNA(VLOOKUP(INDIRECT("G"&amp;ROW()),minfo!$A:$M,COLUMN()-8,0),"")</f>
        <v>乐正绫</v>
      </c>
      <c r="L818" s="4">
        <f ca="1">_xlfn.IFNA(VLOOKUP(INDIRECT("G"&amp;ROW()),minfo!$A:$M,COLUMN()-8,0),"")</f>
        <v>0</v>
      </c>
      <c r="M818" s="4">
        <f ca="1">_xlfn.IFNA(VLOOKUP(INDIRECT("G"&amp;ROW()),minfo!$A:$M,COLUMN()-8,0),"")</f>
        <v>277</v>
      </c>
      <c r="N818" s="4">
        <f ca="1">_xlfn.IFNA(VLOOKUP(INDIRECT("G"&amp;ROW()),minfo!$A:$M,COLUMN()-8,0),"")</f>
        <v>2</v>
      </c>
      <c r="O818" s="4">
        <f ca="1">_xlfn.IFNA(VLOOKUP(INDIRECT("G"&amp;ROW()),minfo!$A:$M,COLUMN()-8,0),"")</f>
        <v>0</v>
      </c>
      <c r="P818" s="4">
        <f ca="1">_xlfn.IFNA(VLOOKUP(INDIRECT("G"&amp;ROW()),minfo!$A:$M,COLUMN()-8,0),"")</f>
        <v>0</v>
      </c>
      <c r="Q818" s="4">
        <f ca="1">_xlfn.IFNA(VLOOKUP(INDIRECT("G"&amp;ROW()),minfo!$A:$M,COLUMN()-8,0),"")</f>
        <v>156</v>
      </c>
      <c r="R818" s="4">
        <f ca="1">_xlfn.IFNA(VLOOKUP(INDIRECT("G"&amp;ROW()),minfo!$A:$M,COLUMN()-8,0),"")</f>
        <v>0</v>
      </c>
      <c r="S818" s="4">
        <f ca="1">_xlfn.IFNA(VLOOKUP(INDIRECT("G"&amp;ROW()),minfo!$A:$M,COLUMN()-8,0),"")</f>
        <v>0</v>
      </c>
      <c r="T818" s="4">
        <f ca="1">_xlfn.IFNA(VLOOKUP(INDIRECT("G"&amp;ROW()),minfo!$A:$M,COLUMN()-8,0),"")</f>
        <v>71832236</v>
      </c>
      <c r="U818" s="4">
        <f ca="1">_xlfn.IFNA(VLOOKUP(INDIRECT("G"&amp;ROW()),minfo!$A:$M,COLUMN()-8,0),"")</f>
        <v>0</v>
      </c>
    </row>
    <row r="819" spans="1:21" ht="15.75" customHeight="1">
      <c r="A819" s="15">
        <v>818</v>
      </c>
      <c r="B819" s="4" t="s">
        <v>4408</v>
      </c>
      <c r="C819" s="4">
        <v>819</v>
      </c>
      <c r="D819" s="4">
        <v>33</v>
      </c>
      <c r="E819" s="4" t="s">
        <v>846</v>
      </c>
      <c r="F819" s="16">
        <v>44590</v>
      </c>
      <c r="G819" s="5" t="s">
        <v>845</v>
      </c>
      <c r="H819" s="5" t="s">
        <v>4375</v>
      </c>
      <c r="I819" s="24" t="str">
        <f>HYPERLINK("https://www.bilibili.com/video/BV1pY411t7Rb?p=33", "BV1pY411t7Rb?p=33")</f>
        <v>BV1pY411t7Rb?p=33</v>
      </c>
      <c r="J819" s="4" t="str">
        <f ca="1">_xlfn.IFNA(VLOOKUP(INDIRECT("G"&amp;ROW()),minfo!$A:$M,COLUMN()-8,0),"")</f>
        <v>左手指月</v>
      </c>
      <c r="K819" s="4" t="str">
        <f ca="1">_xlfn.IFNA(VLOOKUP(INDIRECT("G"&amp;ROW()),minfo!$A:$M,COLUMN()-8,0),"")</f>
        <v>萨顶顶</v>
      </c>
      <c r="L819" s="4">
        <f ca="1">_xlfn.IFNA(VLOOKUP(INDIRECT("G"&amp;ROW()),minfo!$A:$M,COLUMN()-8,0),"")</f>
        <v>0</v>
      </c>
      <c r="M819" s="4">
        <f ca="1">_xlfn.IFNA(VLOOKUP(INDIRECT("G"&amp;ROW()),minfo!$A:$M,COLUMN()-8,0),"")</f>
        <v>0</v>
      </c>
      <c r="N819" s="4">
        <f ca="1">_xlfn.IFNA(VLOOKUP(INDIRECT("G"&amp;ROW()),minfo!$A:$M,COLUMN()-8,0),"")</f>
        <v>0</v>
      </c>
      <c r="O819" s="4" t="str">
        <f ca="1">_xlfn.IFNA(VLOOKUP(INDIRECT("G"&amp;ROW()),minfo!$A:$M,COLUMN()-8,0),"")</f>
        <v>http://i0.hdslb.com/bfs/station_src/music_metadata/fe8994db7a3105222f29993a7e9a6d6e.jpg</v>
      </c>
      <c r="P819" s="4" t="str">
        <f ca="1">_xlfn.IFNA(VLOOKUP(INDIRECT("G"&amp;ROW()),minfo!$A:$M,COLUMN()-8,0),"")</f>
        <v>http://i0.hdslb.com/bfs/station_src/music_metadata/78e1f08a3ddf3473daad2f7995590a90</v>
      </c>
      <c r="Q819" s="4">
        <f ca="1">_xlfn.IFNA(VLOOKUP(INDIRECT("G"&amp;ROW()),minfo!$A:$M,COLUMN()-8,0),"")</f>
        <v>1334</v>
      </c>
      <c r="R819" s="4" t="str">
        <f ca="1">_xlfn.IFNA(VLOOKUP(INDIRECT("G"&amp;ROW()),minfo!$A:$M,COLUMN()-8,0),"")</f>
        <v>《香蜜沉沉烬如霜》电视剧片尾曲</v>
      </c>
      <c r="S819" s="4" t="str">
        <f ca="1">_xlfn.IFNA(VLOOKUP(INDIRECT("G"&amp;ROW()),minfo!$A:$M,COLUMN()-8,0),"")</f>
        <v>香蜜沉沉烬如霜 电视原声音乐专辑</v>
      </c>
      <c r="T819" s="4">
        <f ca="1">_xlfn.IFNA(VLOOKUP(INDIRECT("G"&amp;ROW()),minfo!$A:$M,COLUMN()-8,0),"")</f>
        <v>594956132</v>
      </c>
      <c r="U819" s="4" t="str">
        <f ca="1">_xlfn.IFNA(VLOOKUP(INDIRECT("G"&amp;ROW()),minfo!$A:$M,COLUMN()-8,0),"")</f>
        <v>音乐榜最高NO.16</v>
      </c>
    </row>
    <row r="820" spans="1:21" ht="15.75" customHeight="1">
      <c r="A820" s="15">
        <v>819</v>
      </c>
      <c r="B820" s="4" t="s">
        <v>4409</v>
      </c>
      <c r="C820" s="4">
        <v>820</v>
      </c>
      <c r="D820" s="4">
        <v>34</v>
      </c>
      <c r="E820" s="4" t="s">
        <v>342</v>
      </c>
      <c r="F820" s="16">
        <v>44590</v>
      </c>
      <c r="G820" s="5" t="s">
        <v>341</v>
      </c>
      <c r="H820" s="5" t="s">
        <v>4375</v>
      </c>
      <c r="I820" s="24" t="str">
        <f>HYPERLINK("https://www.bilibili.com/video/BV1pY411t7Rb?p=34", "BV1pY411t7Rb?p=34")</f>
        <v>BV1pY411t7Rb?p=34</v>
      </c>
      <c r="J820" s="4" t="str">
        <f ca="1">_xlfn.IFNA(VLOOKUP(INDIRECT("G"&amp;ROW()),minfo!$A:$M,COLUMN()-8,0),"")</f>
        <v>灯火里的中国</v>
      </c>
      <c r="K820" s="4" t="str">
        <f ca="1">_xlfn.IFNA(VLOOKUP(INDIRECT("G"&amp;ROW()),minfo!$A:$M,COLUMN()-8,0),"")</f>
        <v>张也 / 周深</v>
      </c>
      <c r="L820" s="4">
        <f ca="1">_xlfn.IFNA(VLOOKUP(INDIRECT("G"&amp;ROW()),minfo!$A:$M,COLUMN()-8,0),"")</f>
        <v>0</v>
      </c>
      <c r="M820" s="4">
        <f ca="1">_xlfn.IFNA(VLOOKUP(INDIRECT("G"&amp;ROW()),minfo!$A:$M,COLUMN()-8,0),"")</f>
        <v>0</v>
      </c>
      <c r="N820" s="4">
        <f ca="1">_xlfn.IFNA(VLOOKUP(INDIRECT("G"&amp;ROW()),minfo!$A:$M,COLUMN()-8,0),"")</f>
        <v>0</v>
      </c>
      <c r="O820" s="4" t="str">
        <f ca="1">_xlfn.IFNA(VLOOKUP(INDIRECT("G"&amp;ROW()),minfo!$A:$M,COLUMN()-8,0),"")</f>
        <v>http://i0.hdslb.com/bfs/station_src/music_metadata/0924bf85b82fa62dfcdce38ffb74da1a.jpg</v>
      </c>
      <c r="P820" s="4" t="str">
        <f ca="1">_xlfn.IFNA(VLOOKUP(INDIRECT("G"&amp;ROW()),minfo!$A:$M,COLUMN()-8,0),"")</f>
        <v>http://i0.hdslb.com/bfs/station_src/music_metadata/6398db62f5d229235035926dbc914370</v>
      </c>
      <c r="Q820" s="4">
        <f ca="1">_xlfn.IFNA(VLOOKUP(INDIRECT("G"&amp;ROW()),minfo!$A:$M,COLUMN()-8,0),"")</f>
        <v>620</v>
      </c>
      <c r="R820" s="4">
        <f ca="1">_xlfn.IFNA(VLOOKUP(INDIRECT("G"&amp;ROW()),minfo!$A:$M,COLUMN()-8,0),"")</f>
        <v>0</v>
      </c>
      <c r="S820" s="4">
        <f ca="1">_xlfn.IFNA(VLOOKUP(INDIRECT("G"&amp;ROW()),minfo!$A:$M,COLUMN()-8,0),"")</f>
        <v>0</v>
      </c>
      <c r="T820" s="4">
        <f ca="1">_xlfn.IFNA(VLOOKUP(INDIRECT("G"&amp;ROW()),minfo!$A:$M,COLUMN()-8,0),"")</f>
        <v>86381272</v>
      </c>
      <c r="U820" s="4">
        <f ca="1">_xlfn.IFNA(VLOOKUP(INDIRECT("G"&amp;ROW()),minfo!$A:$M,COLUMN()-8,0),"")</f>
        <v>0</v>
      </c>
    </row>
    <row r="821" spans="1:21" ht="15.75" customHeight="1">
      <c r="A821" s="15">
        <v>820</v>
      </c>
      <c r="B821" s="4" t="s">
        <v>4410</v>
      </c>
      <c r="C821" s="4">
        <v>821</v>
      </c>
      <c r="D821" s="4">
        <v>35</v>
      </c>
      <c r="E821" s="4" t="s">
        <v>143</v>
      </c>
      <c r="F821" s="16">
        <v>44590</v>
      </c>
      <c r="G821" s="5" t="s">
        <v>143</v>
      </c>
      <c r="H821" s="5" t="s">
        <v>4375</v>
      </c>
      <c r="I821" s="24" t="str">
        <f>HYPERLINK("https://www.bilibili.com/video/BV1pY411t7Rb?p=35", "BV1pY411t7Rb?p=35")</f>
        <v>BV1pY411t7Rb?p=35</v>
      </c>
      <c r="J821" s="4" t="str">
        <f ca="1">_xlfn.IFNA(VLOOKUP(INDIRECT("G"&amp;ROW()),minfo!$A:$M,COLUMN()-8,0),"")</f>
        <v>Nina</v>
      </c>
      <c r="K821" s="4" t="str">
        <f ca="1">_xlfn.IFNA(VLOOKUP(INDIRECT("G"&amp;ROW()),minfo!$A:$M,COLUMN()-8,0),"")</f>
        <v>G.B.帕戈莱西</v>
      </c>
      <c r="L821" s="4">
        <f ca="1">_xlfn.IFNA(VLOOKUP(INDIRECT("G"&amp;ROW()),minfo!$A:$M,COLUMN()-8,0),"")</f>
        <v>0</v>
      </c>
      <c r="M821" s="4">
        <f ca="1">_xlfn.IFNA(VLOOKUP(INDIRECT("G"&amp;ROW()),minfo!$A:$M,COLUMN()-8,0),"")</f>
        <v>0</v>
      </c>
      <c r="N821" s="4">
        <f ca="1">_xlfn.IFNA(VLOOKUP(INDIRECT("G"&amp;ROW()),minfo!$A:$M,COLUMN()-8,0),"")</f>
        <v>0</v>
      </c>
      <c r="O821" s="4">
        <f ca="1">_xlfn.IFNA(VLOOKUP(INDIRECT("G"&amp;ROW()),minfo!$A:$M,COLUMN()-8,0),"")</f>
        <v>0</v>
      </c>
      <c r="P821" s="4">
        <f ca="1">_xlfn.IFNA(VLOOKUP(INDIRECT("G"&amp;ROW()),minfo!$A:$M,COLUMN()-8,0),"")</f>
        <v>0</v>
      </c>
      <c r="Q821" s="4">
        <f ca="1">_xlfn.IFNA(VLOOKUP(INDIRECT("G"&amp;ROW()),minfo!$A:$M,COLUMN()-8,0),"")</f>
        <v>0</v>
      </c>
      <c r="R821" s="4">
        <f ca="1">_xlfn.IFNA(VLOOKUP(INDIRECT("G"&amp;ROW()),minfo!$A:$M,COLUMN()-8,0),"")</f>
        <v>0</v>
      </c>
      <c r="S821" s="4">
        <f ca="1">_xlfn.IFNA(VLOOKUP(INDIRECT("G"&amp;ROW()),minfo!$A:$M,COLUMN()-8,0),"")</f>
        <v>0</v>
      </c>
      <c r="T821" s="4">
        <f ca="1">_xlfn.IFNA(VLOOKUP(INDIRECT("G"&amp;ROW()),minfo!$A:$M,COLUMN()-8,0),"")</f>
        <v>0</v>
      </c>
      <c r="U821" s="4">
        <f ca="1">_xlfn.IFNA(VLOOKUP(INDIRECT("G"&amp;ROW()),minfo!$A:$M,COLUMN()-8,0),"")</f>
        <v>0</v>
      </c>
    </row>
    <row r="822" spans="1:21" ht="15.75" customHeight="1">
      <c r="A822" s="15">
        <v>821</v>
      </c>
      <c r="B822" s="4" t="s">
        <v>4411</v>
      </c>
      <c r="C822" s="4">
        <v>822</v>
      </c>
      <c r="D822" s="4">
        <v>36</v>
      </c>
      <c r="E822" s="4" t="s">
        <v>546</v>
      </c>
      <c r="F822" s="16">
        <v>44591</v>
      </c>
      <c r="G822" s="5" t="s">
        <v>545</v>
      </c>
      <c r="H822" s="5" t="s">
        <v>4375</v>
      </c>
      <c r="I822" s="24" t="str">
        <f>HYPERLINK("https://www.bilibili.com/video/BV1pY411t7Rb?p=36", "BV1pY411t7Rb?p=36")</f>
        <v>BV1pY411t7Rb?p=36</v>
      </c>
      <c r="J822" s="4" t="str">
        <f ca="1">_xlfn.IFNA(VLOOKUP(INDIRECT("G"&amp;ROW()),minfo!$A:$M,COLUMN()-8,0),"")</f>
        <v>阿楚姑娘</v>
      </c>
      <c r="K822" s="4" t="str">
        <f ca="1">_xlfn.IFNA(VLOOKUP(INDIRECT("G"&amp;ROW()),minfo!$A:$M,COLUMN()-8,0),"")</f>
        <v>袁娅维TIA RAY</v>
      </c>
      <c r="L822" s="4">
        <f ca="1">_xlfn.IFNA(VLOOKUP(INDIRECT("G"&amp;ROW()),minfo!$A:$M,COLUMN()-8,0),"")</f>
        <v>0</v>
      </c>
      <c r="M822" s="4">
        <f ca="1">_xlfn.IFNA(VLOOKUP(INDIRECT("G"&amp;ROW()),minfo!$A:$M,COLUMN()-8,0),"")</f>
        <v>0</v>
      </c>
      <c r="N822" s="4">
        <f ca="1">_xlfn.IFNA(VLOOKUP(INDIRECT("G"&amp;ROW()),minfo!$A:$M,COLUMN()-8,0),"")</f>
        <v>0</v>
      </c>
      <c r="O822" s="4" t="str">
        <f ca="1">_xlfn.IFNA(VLOOKUP(INDIRECT("G"&amp;ROW()),minfo!$A:$M,COLUMN()-8,0),"")</f>
        <v>http://i0.hdslb.com/bfs/station_src/music_metadata/490252348b1df68e4145357b5fc3aad5.jpg</v>
      </c>
      <c r="P822" s="4" t="str">
        <f ca="1">_xlfn.IFNA(VLOOKUP(INDIRECT("G"&amp;ROW()),minfo!$A:$M,COLUMN()-8,0),"")</f>
        <v>http://i0.hdslb.com/bfs/station_src/music_metadata/03c91235e156d3e1f46836f93beeb9f7</v>
      </c>
      <c r="Q822" s="4">
        <f ca="1">_xlfn.IFNA(VLOOKUP(INDIRECT("G"&amp;ROW()),minfo!$A:$M,COLUMN()-8,0),"")</f>
        <v>139</v>
      </c>
      <c r="R822" s="4">
        <f ca="1">_xlfn.IFNA(VLOOKUP(INDIRECT("G"&amp;ROW()),minfo!$A:$M,COLUMN()-8,0),"")</f>
        <v>0</v>
      </c>
      <c r="S822" s="4" t="str">
        <f ca="1">_xlfn.IFNA(VLOOKUP(INDIRECT("G"&amp;ROW()),minfo!$A:$M,COLUMN()-8,0),"")</f>
        <v>阿楚姑娘</v>
      </c>
      <c r="T822" s="4">
        <f ca="1">_xlfn.IFNA(VLOOKUP(INDIRECT("G"&amp;ROW()),minfo!$A:$M,COLUMN()-8,0),"")</f>
        <v>27303668</v>
      </c>
      <c r="U822" s="4">
        <f ca="1">_xlfn.IFNA(VLOOKUP(INDIRECT("G"&amp;ROW()),minfo!$A:$M,COLUMN()-8,0),"")</f>
        <v>0</v>
      </c>
    </row>
    <row r="823" spans="1:21" ht="15.75" customHeight="1">
      <c r="A823" s="15">
        <v>822</v>
      </c>
      <c r="B823" s="4" t="s">
        <v>4412</v>
      </c>
      <c r="C823" s="4">
        <v>823</v>
      </c>
      <c r="D823" s="4">
        <v>37</v>
      </c>
      <c r="E823" s="4" t="s">
        <v>620</v>
      </c>
      <c r="F823" s="16">
        <v>44591</v>
      </c>
      <c r="G823" s="5" t="s">
        <v>619</v>
      </c>
      <c r="H823" s="5" t="s">
        <v>4375</v>
      </c>
      <c r="I823" s="24" t="str">
        <f>HYPERLINK("https://www.bilibili.com/video/BV1pY411t7Rb?p=37", "BV1pY411t7Rb?p=37")</f>
        <v>BV1pY411t7Rb?p=37</v>
      </c>
      <c r="J823" s="4" t="str">
        <f ca="1">_xlfn.IFNA(VLOOKUP(INDIRECT("G"&amp;ROW()),minfo!$A:$M,COLUMN()-8,0),"")</f>
        <v>春三月</v>
      </c>
      <c r="K823" s="4" t="str">
        <f ca="1">_xlfn.IFNA(VLOOKUP(INDIRECT("G"&amp;ROW()),minfo!$A:$M,COLUMN()-8,0),"")</f>
        <v>司南</v>
      </c>
      <c r="L823" s="4">
        <f ca="1">_xlfn.IFNA(VLOOKUP(INDIRECT("G"&amp;ROW()),minfo!$A:$M,COLUMN()-8,0),"")</f>
        <v>0</v>
      </c>
      <c r="M823" s="4">
        <f ca="1">_xlfn.IFNA(VLOOKUP(INDIRECT("G"&amp;ROW()),minfo!$A:$M,COLUMN()-8,0),"")</f>
        <v>0</v>
      </c>
      <c r="N823" s="4">
        <f ca="1">_xlfn.IFNA(VLOOKUP(INDIRECT("G"&amp;ROW()),minfo!$A:$M,COLUMN()-8,0),"")</f>
        <v>0</v>
      </c>
      <c r="O823" s="4" t="str">
        <f ca="1">_xlfn.IFNA(VLOOKUP(INDIRECT("G"&amp;ROW()),minfo!$A:$M,COLUMN()-8,0),"")</f>
        <v>http://i0.hdslb.com/bfs/station_src/music_metadata/1e8f55a59589012b750c6ec41b99d497.jpg</v>
      </c>
      <c r="P823" s="4" t="str">
        <f ca="1">_xlfn.IFNA(VLOOKUP(INDIRECT("G"&amp;ROW()),minfo!$A:$M,COLUMN()-8,0),"")</f>
        <v>http://i0.hdslb.com/bfs/station_src/music_metadata/c1d8969f8a1bbd139cb0cff290fb17e7</v>
      </c>
      <c r="Q823" s="4">
        <f ca="1">_xlfn.IFNA(VLOOKUP(INDIRECT("G"&amp;ROW()),minfo!$A:$M,COLUMN()-8,0),"")</f>
        <v>1717</v>
      </c>
      <c r="R823" s="4">
        <f ca="1">_xlfn.IFNA(VLOOKUP(INDIRECT("G"&amp;ROW()),minfo!$A:$M,COLUMN()-8,0),"")</f>
        <v>0</v>
      </c>
      <c r="S823" s="4" t="str">
        <f ca="1">_xlfn.IFNA(VLOOKUP(INDIRECT("G"&amp;ROW()),minfo!$A:$M,COLUMN()-8,0),"")</f>
        <v>春三月</v>
      </c>
      <c r="T823" s="4">
        <f ca="1">_xlfn.IFNA(VLOOKUP(INDIRECT("G"&amp;ROW()),minfo!$A:$M,COLUMN()-8,0),"")</f>
        <v>176570518</v>
      </c>
      <c r="U823" s="4">
        <f ca="1">_xlfn.IFNA(VLOOKUP(INDIRECT("G"&amp;ROW()),minfo!$A:$M,COLUMN()-8,0),"")</f>
        <v>0</v>
      </c>
    </row>
    <row r="824" spans="1:21" ht="15.75" customHeight="1">
      <c r="A824" s="15">
        <v>823</v>
      </c>
      <c r="B824" s="4" t="s">
        <v>4413</v>
      </c>
      <c r="C824" s="4">
        <v>824</v>
      </c>
      <c r="D824" s="4">
        <v>38</v>
      </c>
      <c r="E824" s="4" t="s">
        <v>1107</v>
      </c>
      <c r="F824" s="16">
        <v>44591</v>
      </c>
      <c r="G824" s="5" t="s">
        <v>1106</v>
      </c>
      <c r="H824" s="5" t="s">
        <v>4375</v>
      </c>
      <c r="I824" s="24" t="str">
        <f>HYPERLINK("https://www.bilibili.com/video/BV1pY411t7Rb?p=38", "BV1pY411t7Rb?p=38")</f>
        <v>BV1pY411t7Rb?p=38</v>
      </c>
      <c r="J824" s="4" t="str">
        <f ca="1">_xlfn.IFNA(VLOOKUP(INDIRECT("G"&amp;ROW()),minfo!$A:$M,COLUMN()-8,0),"")</f>
        <v>那些你很冒险的梦</v>
      </c>
      <c r="K824" s="4" t="str">
        <f ca="1">_xlfn.IFNA(VLOOKUP(INDIRECT("G"&amp;ROW()),minfo!$A:$M,COLUMN()-8,0),"")</f>
        <v>林俊杰</v>
      </c>
      <c r="L824" s="4">
        <f ca="1">_xlfn.IFNA(VLOOKUP(INDIRECT("G"&amp;ROW()),minfo!$A:$M,COLUMN()-8,0),"")</f>
        <v>0</v>
      </c>
      <c r="M824" s="4">
        <f ca="1">_xlfn.IFNA(VLOOKUP(INDIRECT("G"&amp;ROW()),minfo!$A:$M,COLUMN()-8,0),"")</f>
        <v>0</v>
      </c>
      <c r="N824" s="4">
        <f ca="1">_xlfn.IFNA(VLOOKUP(INDIRECT("G"&amp;ROW()),minfo!$A:$M,COLUMN()-8,0),"")</f>
        <v>0</v>
      </c>
      <c r="O824" s="4" t="str">
        <f ca="1">_xlfn.IFNA(VLOOKUP(INDIRECT("G"&amp;ROW()),minfo!$A:$M,COLUMN()-8,0),"")</f>
        <v>https://i0.hdslb.com/bfs/station_src/music_metadata/06f970ae00e00f724e3ce8b49b192dcc.jpg</v>
      </c>
      <c r="P824" s="4" t="str">
        <f ca="1">_xlfn.IFNA(VLOOKUP(INDIRECT("G"&amp;ROW()),minfo!$A:$M,COLUMN()-8,0),"")</f>
        <v>http://i0.hdslb.com/bfs/station_src/music_metadata/7d9fd351995e1af5aa9ec35eed740caa</v>
      </c>
      <c r="Q824" s="4">
        <f ca="1">_xlfn.IFNA(VLOOKUP(INDIRECT("G"&amp;ROW()),minfo!$A:$M,COLUMN()-8,0),"")</f>
        <v>412</v>
      </c>
      <c r="R824" s="4">
        <f ca="1">_xlfn.IFNA(VLOOKUP(INDIRECT("G"&amp;ROW()),minfo!$A:$M,COLUMN()-8,0),"")</f>
        <v>0</v>
      </c>
      <c r="S824" s="4" t="str">
        <f ca="1">_xlfn.IFNA(VLOOKUP(INDIRECT("G"&amp;ROW()),minfo!$A:$M,COLUMN()-8,0),"")</f>
        <v>学不会</v>
      </c>
      <c r="T824" s="4">
        <f ca="1">_xlfn.IFNA(VLOOKUP(INDIRECT("G"&amp;ROW()),minfo!$A:$M,COLUMN()-8,0),"")</f>
        <v>192890831</v>
      </c>
      <c r="U824" s="4">
        <f ca="1">_xlfn.IFNA(VLOOKUP(INDIRECT("G"&amp;ROW()),minfo!$A:$M,COLUMN()-8,0),"")</f>
        <v>0</v>
      </c>
    </row>
    <row r="825" spans="1:21" ht="15.75" customHeight="1">
      <c r="A825" s="15">
        <v>824</v>
      </c>
      <c r="B825" s="4" t="s">
        <v>4414</v>
      </c>
      <c r="C825" s="4">
        <v>825</v>
      </c>
      <c r="D825" s="4">
        <v>39</v>
      </c>
      <c r="E825" s="4" t="s">
        <v>301</v>
      </c>
      <c r="F825" s="16">
        <v>44591</v>
      </c>
      <c r="G825" s="5" t="s">
        <v>300</v>
      </c>
      <c r="H825" s="5" t="s">
        <v>4375</v>
      </c>
      <c r="I825" s="24" t="str">
        <f>HYPERLINK("https://www.bilibili.com/video/BV1pY411t7Rb?p=39", "BV1pY411t7Rb?p=39")</f>
        <v>BV1pY411t7Rb?p=39</v>
      </c>
      <c r="J825" s="4" t="str">
        <f ca="1">_xlfn.IFNA(VLOOKUP(INDIRECT("G"&amp;ROW()),minfo!$A:$M,COLUMN()-8,0),"")</f>
        <v>桃花笑</v>
      </c>
      <c r="K825" s="4" t="str">
        <f ca="1">_xlfn.IFNA(VLOOKUP(INDIRECT("G"&amp;ROW()),minfo!$A:$M,COLUMN()-8,0),"")</f>
        <v>乐正绫,洛天依,言和</v>
      </c>
      <c r="L825" s="4">
        <f ca="1">_xlfn.IFNA(VLOOKUP(INDIRECT("G"&amp;ROW()),minfo!$A:$M,COLUMN()-8,0),"")</f>
        <v>0</v>
      </c>
      <c r="M825" s="4">
        <f ca="1">_xlfn.IFNA(VLOOKUP(INDIRECT("G"&amp;ROW()),minfo!$A:$M,COLUMN()-8,0),"")</f>
        <v>0</v>
      </c>
      <c r="N825" s="4">
        <f ca="1">_xlfn.IFNA(VLOOKUP(INDIRECT("G"&amp;ROW()),minfo!$A:$M,COLUMN()-8,0),"")</f>
        <v>0</v>
      </c>
      <c r="O825" s="4" t="str">
        <f ca="1">_xlfn.IFNA(VLOOKUP(INDIRECT("G"&amp;ROW()),minfo!$A:$M,COLUMN()-8,0),"")</f>
        <v>https://i0.hdslb.com/bfs/station_src/music_metadata/111f3216921740e3e7a034e11a371531.jpg</v>
      </c>
      <c r="P825" s="4" t="str">
        <f ca="1">_xlfn.IFNA(VLOOKUP(INDIRECT("G"&amp;ROW()),minfo!$A:$M,COLUMN()-8,0),"")</f>
        <v>https://i0.hdslb.com/bfs/station_src/music_metadata/cd7881a3dd16a655167d4bc7b03aa735.txt</v>
      </c>
      <c r="Q825" s="4">
        <f ca="1">_xlfn.IFNA(VLOOKUP(INDIRECT("G"&amp;ROW()),minfo!$A:$M,COLUMN()-8,0),"")</f>
        <v>3601</v>
      </c>
      <c r="R825" s="4">
        <f ca="1">_xlfn.IFNA(VLOOKUP(INDIRECT("G"&amp;ROW()),minfo!$A:$M,COLUMN()-8,0),"")</f>
        <v>0</v>
      </c>
      <c r="S825" s="4" t="str">
        <f ca="1">_xlfn.IFNA(VLOOKUP(INDIRECT("G"&amp;ROW()),minfo!$A:$M,COLUMN()-8,0),"")</f>
        <v>桃花笑</v>
      </c>
      <c r="T825" s="4">
        <f ca="1">_xlfn.IFNA(VLOOKUP(INDIRECT("G"&amp;ROW()),minfo!$A:$M,COLUMN()-8,0),"")</f>
        <v>1067845676</v>
      </c>
      <c r="U825" s="4">
        <f ca="1">_xlfn.IFNA(VLOOKUP(INDIRECT("G"&amp;ROW()),minfo!$A:$M,COLUMN()-8,0),"")</f>
        <v>0</v>
      </c>
    </row>
    <row r="826" spans="1:21" ht="15.75" customHeight="1">
      <c r="A826" s="15">
        <v>825</v>
      </c>
      <c r="B826" s="4" t="s">
        <v>4415</v>
      </c>
      <c r="C826" s="4">
        <v>826</v>
      </c>
      <c r="D826" s="4">
        <v>40</v>
      </c>
      <c r="E826" s="4" t="s">
        <v>1845</v>
      </c>
      <c r="F826" s="16">
        <v>44601</v>
      </c>
      <c r="G826" s="5" t="s">
        <v>1844</v>
      </c>
      <c r="H826" s="5" t="s">
        <v>4375</v>
      </c>
      <c r="I826" s="24" t="str">
        <f>HYPERLINK("https://www.bilibili.com/video/BV1pY411t7Rb?p=40", "BV1pY411t7Rb?p=40")</f>
        <v>BV1pY411t7Rb?p=40</v>
      </c>
      <c r="J826" s="4" t="str">
        <f ca="1">_xlfn.IFNA(VLOOKUP(INDIRECT("G"&amp;ROW()),minfo!$A:$M,COLUMN()-8,0),"")</f>
        <v>暖暖</v>
      </c>
      <c r="K826" s="4" t="str">
        <f ca="1">_xlfn.IFNA(VLOOKUP(INDIRECT("G"&amp;ROW()),minfo!$A:$M,COLUMN()-8,0),"")</f>
        <v>梁静茹</v>
      </c>
      <c r="L826" s="4">
        <f ca="1">_xlfn.IFNA(VLOOKUP(INDIRECT("G"&amp;ROW()),minfo!$A:$M,COLUMN()-8,0),"")</f>
        <v>0</v>
      </c>
      <c r="M826" s="4">
        <f ca="1">_xlfn.IFNA(VLOOKUP(INDIRECT("G"&amp;ROW()),minfo!$A:$M,COLUMN()-8,0),"")</f>
        <v>0</v>
      </c>
      <c r="N826" s="4">
        <f ca="1">_xlfn.IFNA(VLOOKUP(INDIRECT("G"&amp;ROW()),minfo!$A:$M,COLUMN()-8,0),"")</f>
        <v>0</v>
      </c>
      <c r="O826" s="4" t="str">
        <f ca="1">_xlfn.IFNA(VLOOKUP(INDIRECT("G"&amp;ROW()),minfo!$A:$M,COLUMN()-8,0),"")</f>
        <v>http://i0.hdslb.com/bfs/station_src/music_metadata/fa9db500952a7e4f9a2805e8f3533bbf.jpg</v>
      </c>
      <c r="P826" s="4" t="str">
        <f ca="1">_xlfn.IFNA(VLOOKUP(INDIRECT("G"&amp;ROW()),minfo!$A:$M,COLUMN()-8,0),"")</f>
        <v>http://i0.hdslb.com/bfs/station_src/music_metadata/db39d5b13ad72836680f5b4de35faa0c</v>
      </c>
      <c r="Q826" s="4">
        <f ca="1">_xlfn.IFNA(VLOOKUP(INDIRECT("G"&amp;ROW()),minfo!$A:$M,COLUMN()-8,0),"")</f>
        <v>6677</v>
      </c>
      <c r="R826" s="4">
        <f ca="1">_xlfn.IFNA(VLOOKUP(INDIRECT("G"&amp;ROW()),minfo!$A:$M,COLUMN()-8,0),"")</f>
        <v>0</v>
      </c>
      <c r="S826" s="4" t="str">
        <f ca="1">_xlfn.IFNA(VLOOKUP(INDIRECT("G"&amp;ROW()),minfo!$A:$M,COLUMN()-8,0),"")</f>
        <v>亲亲</v>
      </c>
      <c r="T826" s="4">
        <f ca="1">_xlfn.IFNA(VLOOKUP(INDIRECT("G"&amp;ROW()),minfo!$A:$M,COLUMN()-8,0),"")</f>
        <v>833926032</v>
      </c>
      <c r="U826" s="4">
        <f ca="1">_xlfn.IFNA(VLOOKUP(INDIRECT("G"&amp;ROW()),minfo!$A:$M,COLUMN()-8,0),"")</f>
        <v>0</v>
      </c>
    </row>
    <row r="827" spans="1:21" ht="15.75" customHeight="1">
      <c r="A827" s="15">
        <v>826</v>
      </c>
      <c r="B827" s="4" t="s">
        <v>4416</v>
      </c>
      <c r="C827" s="4">
        <v>827</v>
      </c>
      <c r="D827" s="4">
        <v>41</v>
      </c>
      <c r="E827" s="4" t="s">
        <v>1984</v>
      </c>
      <c r="F827" s="16">
        <v>44601</v>
      </c>
      <c r="G827" s="5" t="s">
        <v>1983</v>
      </c>
      <c r="H827" s="5" t="s">
        <v>4375</v>
      </c>
      <c r="I827" s="24" t="str">
        <f>HYPERLINK("https://www.bilibili.com/video/BV1pY411t7Rb?p=41", "BV1pY411t7Rb?p=41")</f>
        <v>BV1pY411t7Rb?p=41</v>
      </c>
      <c r="J827" s="4" t="str">
        <f ca="1">_xlfn.IFNA(VLOOKUP(INDIRECT("G"&amp;ROW()),minfo!$A:$M,COLUMN()-8,0),"")</f>
        <v>剪爱</v>
      </c>
      <c r="K827" s="4" t="str">
        <f ca="1">_xlfn.IFNA(VLOOKUP(INDIRECT("G"&amp;ROW()),minfo!$A:$M,COLUMN()-8,0),"")</f>
        <v>张惠妹</v>
      </c>
      <c r="L827" s="4">
        <f ca="1">_xlfn.IFNA(VLOOKUP(INDIRECT("G"&amp;ROW()),minfo!$A:$M,COLUMN()-8,0),"")</f>
        <v>0</v>
      </c>
      <c r="M827" s="4">
        <f ca="1">_xlfn.IFNA(VLOOKUP(INDIRECT("G"&amp;ROW()),minfo!$A:$M,COLUMN()-8,0),"")</f>
        <v>265</v>
      </c>
      <c r="N827" s="4">
        <f ca="1">_xlfn.IFNA(VLOOKUP(INDIRECT("G"&amp;ROW()),minfo!$A:$M,COLUMN()-8,0),"")</f>
        <v>125</v>
      </c>
      <c r="O827" s="4" t="str">
        <f ca="1">_xlfn.IFNA(VLOOKUP(INDIRECT("G"&amp;ROW()),minfo!$A:$M,COLUMN()-8,0),"")</f>
        <v>https://i0.hdslb.com/bfs/station_src/music_metadata/0455564807274799fc4f1ec547b0fe98.jpg</v>
      </c>
      <c r="P827" s="4" t="str">
        <f ca="1">_xlfn.IFNA(VLOOKUP(INDIRECT("G"&amp;ROW()),minfo!$A:$M,COLUMN()-8,0),"")</f>
        <v>http://i0.hdslb.com/bfs/station_src/music_metadata/3ef009855510cde5cdafdf7e45cebebf</v>
      </c>
      <c r="Q827" s="4">
        <f ca="1">_xlfn.IFNA(VLOOKUP(INDIRECT("G"&amp;ROW()),minfo!$A:$M,COLUMN()-8,0),"")</f>
        <v>11</v>
      </c>
      <c r="R827" s="4">
        <f ca="1">_xlfn.IFNA(VLOOKUP(INDIRECT("G"&amp;ROW()),minfo!$A:$M,COLUMN()-8,0),"")</f>
        <v>0</v>
      </c>
      <c r="S827" s="4" t="str">
        <f ca="1">_xlfn.IFNA(VLOOKUP(INDIRECT("G"&amp;ROW()),minfo!$A:$M,COLUMN()-8,0),"")</f>
        <v>1996-2002妹力最精选</v>
      </c>
      <c r="T827" s="4">
        <f ca="1">_xlfn.IFNA(VLOOKUP(INDIRECT("G"&amp;ROW()),minfo!$A:$M,COLUMN()-8,0),"")</f>
        <v>10218385</v>
      </c>
      <c r="U827" s="4">
        <f ca="1">_xlfn.IFNA(VLOOKUP(INDIRECT("G"&amp;ROW()),minfo!$A:$M,COLUMN()-8,0),"")</f>
        <v>0</v>
      </c>
    </row>
    <row r="828" spans="1:21" ht="15.75" customHeight="1">
      <c r="A828" s="15">
        <v>827</v>
      </c>
      <c r="B828" s="4" t="s">
        <v>4417</v>
      </c>
      <c r="C828" s="4">
        <v>828</v>
      </c>
      <c r="D828" s="4">
        <v>42</v>
      </c>
      <c r="E828" s="4" t="s">
        <v>1989</v>
      </c>
      <c r="F828" s="16">
        <v>44601</v>
      </c>
      <c r="G828" s="5" t="s">
        <v>1988</v>
      </c>
      <c r="H828" s="5" t="s">
        <v>4375</v>
      </c>
      <c r="I828" s="24" t="str">
        <f>HYPERLINK("https://www.bilibili.com/video/BV1pY411t7Rb?p=42", "BV1pY411t7Rb?p=42")</f>
        <v>BV1pY411t7Rb?p=42</v>
      </c>
      <c r="J828" s="4" t="str">
        <f ca="1">_xlfn.IFNA(VLOOKUP(INDIRECT("G"&amp;ROW()),minfo!$A:$M,COLUMN()-8,0),"")</f>
        <v>相亲相爱</v>
      </c>
      <c r="K828" s="4" t="str">
        <f ca="1">_xlfn.IFNA(VLOOKUP(INDIRECT("G"&amp;ROW()),minfo!$A:$M,COLUMN()-8,0),"")</f>
        <v>华语群星</v>
      </c>
      <c r="L828" s="4">
        <f ca="1">_xlfn.IFNA(VLOOKUP(INDIRECT("G"&amp;ROW()),minfo!$A:$M,COLUMN()-8,0),"")</f>
        <v>0</v>
      </c>
      <c r="M828" s="4">
        <f ca="1">_xlfn.IFNA(VLOOKUP(INDIRECT("G"&amp;ROW()),minfo!$A:$M,COLUMN()-8,0),"")</f>
        <v>0</v>
      </c>
      <c r="N828" s="4">
        <f ca="1">_xlfn.IFNA(VLOOKUP(INDIRECT("G"&amp;ROW()),minfo!$A:$M,COLUMN()-8,0),"")</f>
        <v>0</v>
      </c>
      <c r="O828" s="4" t="str">
        <f ca="1">_xlfn.IFNA(VLOOKUP(INDIRECT("G"&amp;ROW()),minfo!$A:$M,COLUMN()-8,0),"")</f>
        <v>http://i0.hdslb.com/bfs/station_src/music_metadata/0f1a44825cc4e0c396615b47ea75b050.jpg</v>
      </c>
      <c r="P828" s="4" t="str">
        <f ca="1">_xlfn.IFNA(VLOOKUP(INDIRECT("G"&amp;ROW()),minfo!$A:$M,COLUMN()-8,0),"")</f>
        <v>http://i0.hdslb.com/bfs/station_src/music_metadata/bfd96694dbf76c36e10c226ba03007e3</v>
      </c>
      <c r="Q828" s="4">
        <f ca="1">_xlfn.IFNA(VLOOKUP(INDIRECT("G"&amp;ROW()),minfo!$A:$M,COLUMN()-8,0),"")</f>
        <v>882</v>
      </c>
      <c r="R828" s="4">
        <f ca="1">_xlfn.IFNA(VLOOKUP(INDIRECT("G"&amp;ROW()),minfo!$A:$M,COLUMN()-8,0),"")</f>
        <v>0</v>
      </c>
      <c r="S828" s="4" t="str">
        <f ca="1">_xlfn.IFNA(VLOOKUP(INDIRECT("G"&amp;ROW()),minfo!$A:$M,COLUMN()-8,0),"")</f>
        <v>相亲相爱</v>
      </c>
      <c r="T828" s="4">
        <f ca="1">_xlfn.IFNA(VLOOKUP(INDIRECT("G"&amp;ROW()),minfo!$A:$M,COLUMN()-8,0),"")</f>
        <v>93183291</v>
      </c>
      <c r="U828" s="4">
        <f ca="1">_xlfn.IFNA(VLOOKUP(INDIRECT("G"&amp;ROW()),minfo!$A:$M,COLUMN()-8,0),"")</f>
        <v>0</v>
      </c>
    </row>
    <row r="829" spans="1:21" ht="15.75" customHeight="1">
      <c r="A829" s="15">
        <v>828</v>
      </c>
      <c r="B829" s="4" t="s">
        <v>4418</v>
      </c>
      <c r="C829" s="4">
        <v>829</v>
      </c>
      <c r="D829" s="4">
        <v>43</v>
      </c>
      <c r="E829" s="4" t="s">
        <v>1664</v>
      </c>
      <c r="F829" s="16">
        <v>44602</v>
      </c>
      <c r="G829" s="5" t="s">
        <v>1663</v>
      </c>
      <c r="H829" s="5" t="s">
        <v>4375</v>
      </c>
      <c r="I829" s="24" t="str">
        <f>HYPERLINK("https://www.bilibili.com/video/BV1pY411t7Rb?p=43", "BV1pY411t7Rb?p=43")</f>
        <v>BV1pY411t7Rb?p=43</v>
      </c>
      <c r="J829" s="4" t="str">
        <f ca="1">_xlfn.IFNA(VLOOKUP(INDIRECT("G"&amp;ROW()),minfo!$A:$M,COLUMN()-8,0),"")</f>
        <v>南屏晚钟</v>
      </c>
      <c r="K829" s="4" t="str">
        <f ca="1">_xlfn.IFNA(VLOOKUP(INDIRECT("G"&amp;ROW()),minfo!$A:$M,COLUMN()-8,0),"")</f>
        <v>崔萍</v>
      </c>
      <c r="L829" s="4">
        <f ca="1">_xlfn.IFNA(VLOOKUP(INDIRECT("G"&amp;ROW()),minfo!$A:$M,COLUMN()-8,0),"")</f>
        <v>0</v>
      </c>
      <c r="M829" s="4">
        <f ca="1">_xlfn.IFNA(VLOOKUP(INDIRECT("G"&amp;ROW()),minfo!$A:$M,COLUMN()-8,0),"")</f>
        <v>0</v>
      </c>
      <c r="N829" s="4">
        <f ca="1">_xlfn.IFNA(VLOOKUP(INDIRECT("G"&amp;ROW()),minfo!$A:$M,COLUMN()-8,0),"")</f>
        <v>0</v>
      </c>
      <c r="O829" s="4" t="str">
        <f ca="1">_xlfn.IFNA(VLOOKUP(INDIRECT("G"&amp;ROW()),minfo!$A:$M,COLUMN()-8,0),"")</f>
        <v>http://i0.hdslb.com/bfs/station_src/music_metadata/14bf17cdfef211b92d7e4d09cb08674a.jpg</v>
      </c>
      <c r="P829" s="4" t="str">
        <f ca="1">_xlfn.IFNA(VLOOKUP(INDIRECT("G"&amp;ROW()),minfo!$A:$M,COLUMN()-8,0),"")</f>
        <v>http://i0.hdslb.com/bfs/station_src/music_metadata/346be9c19c40273de8535c51182e4577</v>
      </c>
      <c r="Q829" s="4">
        <f ca="1">_xlfn.IFNA(VLOOKUP(INDIRECT("G"&amp;ROW()),minfo!$A:$M,COLUMN()-8,0),"")</f>
        <v>246</v>
      </c>
      <c r="R829" s="4">
        <f ca="1">_xlfn.IFNA(VLOOKUP(INDIRECT("G"&amp;ROW()),minfo!$A:$M,COLUMN()-8,0),"")</f>
        <v>0</v>
      </c>
      <c r="S829" s="4">
        <f ca="1">_xlfn.IFNA(VLOOKUP(INDIRECT("G"&amp;ROW()),minfo!$A:$M,COLUMN()-8,0),"")</f>
        <v>0</v>
      </c>
      <c r="T829" s="4">
        <f ca="1">_xlfn.IFNA(VLOOKUP(INDIRECT("G"&amp;ROW()),minfo!$A:$M,COLUMN()-8,0),"")</f>
        <v>37205613</v>
      </c>
      <c r="U829" s="4">
        <f ca="1">_xlfn.IFNA(VLOOKUP(INDIRECT("G"&amp;ROW()),minfo!$A:$M,COLUMN()-8,0),"")</f>
        <v>0</v>
      </c>
    </row>
    <row r="830" spans="1:21" ht="15.75" customHeight="1">
      <c r="A830" s="15">
        <v>829</v>
      </c>
      <c r="B830" s="4" t="s">
        <v>4419</v>
      </c>
      <c r="C830" s="4">
        <v>830</v>
      </c>
      <c r="D830" s="4">
        <v>44</v>
      </c>
      <c r="E830" s="4" t="s">
        <v>980</v>
      </c>
      <c r="F830" s="16">
        <v>44602</v>
      </c>
      <c r="G830" s="5" t="s">
        <v>979</v>
      </c>
      <c r="H830" s="5" t="s">
        <v>4375</v>
      </c>
      <c r="I830" s="24" t="str">
        <f>HYPERLINK("https://www.bilibili.com/video/BV1pY411t7Rb?p=44", "BV1pY411t7Rb?p=44")</f>
        <v>BV1pY411t7Rb?p=44</v>
      </c>
      <c r="J830" s="4" t="str">
        <f ca="1">_xlfn.IFNA(VLOOKUP(INDIRECT("G"&amp;ROW()),minfo!$A:$M,COLUMN()-8,0),"")</f>
        <v>寻一个天荒地老的地方</v>
      </c>
      <c r="K830" s="4" t="str">
        <f ca="1">_xlfn.IFNA(VLOOKUP(INDIRECT("G"&amp;ROW()),minfo!$A:$M,COLUMN()-8,0),"")</f>
        <v>单依纯</v>
      </c>
      <c r="L830" s="4">
        <f ca="1">_xlfn.IFNA(VLOOKUP(INDIRECT("G"&amp;ROW()),minfo!$A:$M,COLUMN()-8,0),"")</f>
        <v>0</v>
      </c>
      <c r="M830" s="4">
        <f ca="1">_xlfn.IFNA(VLOOKUP(INDIRECT("G"&amp;ROW()),minfo!$A:$M,COLUMN()-8,0),"")</f>
        <v>0</v>
      </c>
      <c r="N830" s="4">
        <f ca="1">_xlfn.IFNA(VLOOKUP(INDIRECT("G"&amp;ROW()),minfo!$A:$M,COLUMN()-8,0),"")</f>
        <v>0</v>
      </c>
      <c r="O830" s="4" t="str">
        <f ca="1">_xlfn.IFNA(VLOOKUP(INDIRECT("G"&amp;ROW()),minfo!$A:$M,COLUMN()-8,0),"")</f>
        <v>https://i0.hdslb.com/bfs/station_src/music_metadata/1baf91b2d2f204c468162a37d5dc6011.jpg</v>
      </c>
      <c r="P830" s="4" t="str">
        <f ca="1">_xlfn.IFNA(VLOOKUP(INDIRECT("G"&amp;ROW()),minfo!$A:$M,COLUMN()-8,0),"")</f>
        <v>https://i0.hdslb.com/bfs/station_src/music_metadata/e080f50db39ef189fa94151d5b77dc5d.txt</v>
      </c>
      <c r="Q830" s="4">
        <f ca="1">_xlfn.IFNA(VLOOKUP(INDIRECT("G"&amp;ROW()),minfo!$A:$M,COLUMN()-8,0),"")</f>
        <v>3</v>
      </c>
      <c r="R830" s="4">
        <f ca="1">_xlfn.IFNA(VLOOKUP(INDIRECT("G"&amp;ROW()),minfo!$A:$M,COLUMN()-8,0),"")</f>
        <v>0</v>
      </c>
      <c r="S830" s="4" t="str">
        <f ca="1">_xlfn.IFNA(VLOOKUP(INDIRECT("G"&amp;ROW()),minfo!$A:$M,COLUMN()-8,0),"")</f>
        <v>2020中国好声音 第8期</v>
      </c>
      <c r="T830" s="4">
        <f ca="1">_xlfn.IFNA(VLOOKUP(INDIRECT("G"&amp;ROW()),minfo!$A:$M,COLUMN()-8,0),"")</f>
        <v>1875423</v>
      </c>
      <c r="U830" s="4">
        <f ca="1">_xlfn.IFNA(VLOOKUP(INDIRECT("G"&amp;ROW()),minfo!$A:$M,COLUMN()-8,0),"")</f>
        <v>0</v>
      </c>
    </row>
    <row r="831" spans="1:21" ht="15.75" customHeight="1">
      <c r="A831" s="15">
        <v>830</v>
      </c>
      <c r="B831" s="4" t="s">
        <v>4420</v>
      </c>
      <c r="C831" s="4">
        <v>831</v>
      </c>
      <c r="D831" s="4">
        <v>45</v>
      </c>
      <c r="E831" s="4" t="s">
        <v>1653</v>
      </c>
      <c r="F831" s="16">
        <v>44602</v>
      </c>
      <c r="G831" s="5" t="s">
        <v>1652</v>
      </c>
      <c r="H831" s="5" t="s">
        <v>4375</v>
      </c>
      <c r="I831" s="24" t="str">
        <f>HYPERLINK("https://www.bilibili.com/video/BV1pY411t7Rb?p=45", "BV1pY411t7Rb?p=45")</f>
        <v>BV1pY411t7Rb?p=45</v>
      </c>
      <c r="J831" s="4" t="str">
        <f ca="1">_xlfn.IFNA(VLOOKUP(INDIRECT("G"&amp;ROW()),minfo!$A:$M,COLUMN()-8,0),"")</f>
        <v>不为谁而作的歌</v>
      </c>
      <c r="K831" s="4" t="str">
        <f ca="1">_xlfn.IFNA(VLOOKUP(INDIRECT("G"&amp;ROW()),minfo!$A:$M,COLUMN()-8,0),"")</f>
        <v>林俊杰</v>
      </c>
      <c r="L831" s="4">
        <f ca="1">_xlfn.IFNA(VLOOKUP(INDIRECT("G"&amp;ROW()),minfo!$A:$M,COLUMN()-8,0),"")</f>
        <v>0</v>
      </c>
      <c r="M831" s="4">
        <f ca="1">_xlfn.IFNA(VLOOKUP(INDIRECT("G"&amp;ROW()),minfo!$A:$M,COLUMN()-8,0),"")</f>
        <v>0</v>
      </c>
      <c r="N831" s="4">
        <f ca="1">_xlfn.IFNA(VLOOKUP(INDIRECT("G"&amp;ROW()),minfo!$A:$M,COLUMN()-8,0),"")</f>
        <v>0</v>
      </c>
      <c r="O831" s="4" t="str">
        <f ca="1">_xlfn.IFNA(VLOOKUP(INDIRECT("G"&amp;ROW()),minfo!$A:$M,COLUMN()-8,0),"")</f>
        <v>https://i0.hdslb.com/bfs/station_src/music_metadata/ef02a89c1ac2118e61c5d6311110cfd8.jpg</v>
      </c>
      <c r="P831" s="4" t="str">
        <f ca="1">_xlfn.IFNA(VLOOKUP(INDIRECT("G"&amp;ROW()),minfo!$A:$M,COLUMN()-8,0),"")</f>
        <v>https://i0.hdslb.com/bfs/station_src/music_metadata/12f5f595b70ca92e5cee389d2e4d9107.txt</v>
      </c>
      <c r="Q831" s="4">
        <f ca="1">_xlfn.IFNA(VLOOKUP(INDIRECT("G"&amp;ROW()),minfo!$A:$M,COLUMN()-8,0),"")</f>
        <v>791</v>
      </c>
      <c r="R831" s="4">
        <f ca="1">_xlfn.IFNA(VLOOKUP(INDIRECT("G"&amp;ROW()),minfo!$A:$M,COLUMN()-8,0),"")</f>
        <v>0</v>
      </c>
      <c r="S831" s="4" t="str">
        <f ca="1">_xlfn.IFNA(VLOOKUP(INDIRECT("G"&amp;ROW()),minfo!$A:$M,COLUMN()-8,0),"")</f>
        <v>江苏卫视“2016幸福聚荔”跨年演唱会</v>
      </c>
      <c r="T831" s="4">
        <f ca="1">_xlfn.IFNA(VLOOKUP(INDIRECT("G"&amp;ROW()),minfo!$A:$M,COLUMN()-8,0),"")</f>
        <v>312647783</v>
      </c>
      <c r="U831" s="4">
        <f ca="1">_xlfn.IFNA(VLOOKUP(INDIRECT("G"&amp;ROW()),minfo!$A:$M,COLUMN()-8,0),"")</f>
        <v>0</v>
      </c>
    </row>
    <row r="832" spans="1:21" ht="15.75" customHeight="1">
      <c r="A832" s="15">
        <v>831</v>
      </c>
      <c r="B832" s="4" t="s">
        <v>4421</v>
      </c>
      <c r="C832" s="4">
        <v>832</v>
      </c>
      <c r="D832" s="4">
        <v>46</v>
      </c>
      <c r="E832" s="4" t="s">
        <v>1585</v>
      </c>
      <c r="F832" s="16">
        <v>44602</v>
      </c>
      <c r="G832" s="5" t="s">
        <v>1584</v>
      </c>
      <c r="H832" s="5" t="s">
        <v>4375</v>
      </c>
      <c r="I832" s="24" t="str">
        <f>HYPERLINK("https://www.bilibili.com/video/BV1pY411t7Rb?p=46", "BV1pY411t7Rb?p=46")</f>
        <v>BV1pY411t7Rb?p=46</v>
      </c>
      <c r="J832" s="4" t="str">
        <f ca="1">_xlfn.IFNA(VLOOKUP(INDIRECT("G"&amp;ROW()),minfo!$A:$M,COLUMN()-8,0),"")</f>
        <v>月牙湾</v>
      </c>
      <c r="K832" s="4" t="str">
        <f ca="1">_xlfn.IFNA(VLOOKUP(INDIRECT("G"&amp;ROW()),minfo!$A:$M,COLUMN()-8,0),"")</f>
        <v>飞儿乐队</v>
      </c>
      <c r="L832" s="4">
        <f ca="1">_xlfn.IFNA(VLOOKUP(INDIRECT("G"&amp;ROW()),minfo!$A:$M,COLUMN()-8,0),"")</f>
        <v>0</v>
      </c>
      <c r="M832" s="4">
        <f ca="1">_xlfn.IFNA(VLOOKUP(INDIRECT("G"&amp;ROW()),minfo!$A:$M,COLUMN()-8,0),"")</f>
        <v>0</v>
      </c>
      <c r="N832" s="4">
        <f ca="1">_xlfn.IFNA(VLOOKUP(INDIRECT("G"&amp;ROW()),minfo!$A:$M,COLUMN()-8,0),"")</f>
        <v>0</v>
      </c>
      <c r="O832" s="4" t="str">
        <f ca="1">_xlfn.IFNA(VLOOKUP(INDIRECT("G"&amp;ROW()),minfo!$A:$M,COLUMN()-8,0),"")</f>
        <v>https://i0.hdslb.com/bfs/station_src/music_metadata/4d030f96fbe202f9504add491a690ace.jpg</v>
      </c>
      <c r="P832" s="4" t="str">
        <f ca="1">_xlfn.IFNA(VLOOKUP(INDIRECT("G"&amp;ROW()),minfo!$A:$M,COLUMN()-8,0),"")</f>
        <v>http://i0.hdslb.com/bfs/station_src/music_metadata/b5eef77c8e09fe891a2c85dda279ee2c</v>
      </c>
      <c r="Q832" s="4">
        <f ca="1">_xlfn.IFNA(VLOOKUP(INDIRECT("G"&amp;ROW()),minfo!$A:$M,COLUMN()-8,0),"")</f>
        <v>1119</v>
      </c>
      <c r="R832" s="4">
        <f ca="1">_xlfn.IFNA(VLOOKUP(INDIRECT("G"&amp;ROW()),minfo!$A:$M,COLUMN()-8,0),"")</f>
        <v>0</v>
      </c>
      <c r="S832" s="4" t="str">
        <f ca="1">_xlfn.IFNA(VLOOKUP(INDIRECT("G"&amp;ROW()),minfo!$A:$M,COLUMN()-8,0),"")</f>
        <v>爱‧歌姬</v>
      </c>
      <c r="T832" s="4">
        <f ca="1">_xlfn.IFNA(VLOOKUP(INDIRECT("G"&amp;ROW()),minfo!$A:$M,COLUMN()-8,0),"")</f>
        <v>217542753</v>
      </c>
      <c r="U832" s="4">
        <f ca="1">_xlfn.IFNA(VLOOKUP(INDIRECT("G"&amp;ROW()),minfo!$A:$M,COLUMN()-8,0),"")</f>
        <v>0</v>
      </c>
    </row>
    <row r="833" spans="1:21" ht="15.75" customHeight="1">
      <c r="A833" s="15">
        <v>832</v>
      </c>
      <c r="B833" s="4" t="s">
        <v>4422</v>
      </c>
      <c r="C833" s="4">
        <v>833</v>
      </c>
      <c r="D833" s="4">
        <v>47</v>
      </c>
      <c r="E833" s="4" t="s">
        <v>259</v>
      </c>
      <c r="F833" s="16">
        <v>44602</v>
      </c>
      <c r="G833" s="5" t="s">
        <v>258</v>
      </c>
      <c r="H833" s="5" t="s">
        <v>4375</v>
      </c>
      <c r="I833" s="24" t="str">
        <f>HYPERLINK("https://www.bilibili.com/video/BV1pY411t7Rb?p=47", "BV1pY411t7Rb?p=47")</f>
        <v>BV1pY411t7Rb?p=47</v>
      </c>
      <c r="J833" s="4" t="str">
        <f ca="1">_xlfn.IFNA(VLOOKUP(INDIRECT("G"&amp;ROW()),minfo!$A:$M,COLUMN()-8,0),"")</f>
        <v>枫</v>
      </c>
      <c r="K833" s="4" t="str">
        <f ca="1">_xlfn.IFNA(VLOOKUP(INDIRECT("G"&amp;ROW()),minfo!$A:$M,COLUMN()-8,0),"")</f>
        <v>周杰伦</v>
      </c>
      <c r="L833" s="4">
        <f ca="1">_xlfn.IFNA(VLOOKUP(INDIRECT("G"&amp;ROW()),minfo!$A:$M,COLUMN()-8,0),"")</f>
        <v>0</v>
      </c>
      <c r="M833" s="4">
        <f ca="1">_xlfn.IFNA(VLOOKUP(INDIRECT("G"&amp;ROW()),minfo!$A:$M,COLUMN()-8,0),"")</f>
        <v>0</v>
      </c>
      <c r="N833" s="4">
        <f ca="1">_xlfn.IFNA(VLOOKUP(INDIRECT("G"&amp;ROW()),minfo!$A:$M,COLUMN()-8,0),"")</f>
        <v>0</v>
      </c>
      <c r="O833" s="4" t="str">
        <f ca="1">_xlfn.IFNA(VLOOKUP(INDIRECT("G"&amp;ROW()),minfo!$A:$M,COLUMN()-8,0),"")</f>
        <v>https://i0.hdslb.com/bfs/station_src/music_metadata/fb82b0fb2908b09d88ba13ef0db91863.jpg</v>
      </c>
      <c r="P833" s="4" t="str">
        <f ca="1">_xlfn.IFNA(VLOOKUP(INDIRECT("G"&amp;ROW()),minfo!$A:$M,COLUMN()-8,0),"")</f>
        <v>http://i0.hdslb.com/bfs/station_src/music_metadata/9b1e7a89ea3eead8b8c6b32cdb30abd9</v>
      </c>
      <c r="Q833" s="4">
        <f ca="1">_xlfn.IFNA(VLOOKUP(INDIRECT("G"&amp;ROW()),minfo!$A:$M,COLUMN()-8,0),"")</f>
        <v>6002</v>
      </c>
      <c r="R833" s="4">
        <f ca="1">_xlfn.IFNA(VLOOKUP(INDIRECT("G"&amp;ROW()),minfo!$A:$M,COLUMN()-8,0),"")</f>
        <v>0</v>
      </c>
      <c r="S833" s="4" t="str">
        <f ca="1">_xlfn.IFNA(VLOOKUP(INDIRECT("G"&amp;ROW()),minfo!$A:$M,COLUMN()-8,0),"")</f>
        <v>十一月的萧邦</v>
      </c>
      <c r="T833" s="4">
        <f ca="1">_xlfn.IFNA(VLOOKUP(INDIRECT("G"&amp;ROW()),minfo!$A:$M,COLUMN()-8,0),"")</f>
        <v>560749777</v>
      </c>
      <c r="U833" s="4">
        <f ca="1">_xlfn.IFNA(VLOOKUP(INDIRECT("G"&amp;ROW()),minfo!$A:$M,COLUMN()-8,0),"")</f>
        <v>0</v>
      </c>
    </row>
    <row r="834" spans="1:21" ht="15.75" customHeight="1">
      <c r="A834" s="15">
        <v>833</v>
      </c>
      <c r="B834" s="4" t="s">
        <v>4423</v>
      </c>
      <c r="C834" s="4">
        <v>834</v>
      </c>
      <c r="D834" s="4">
        <v>48</v>
      </c>
      <c r="E834" s="4" t="s">
        <v>1994</v>
      </c>
      <c r="F834" s="16">
        <v>44602</v>
      </c>
      <c r="G834" s="5" t="s">
        <v>1993</v>
      </c>
      <c r="H834" s="5" t="s">
        <v>4375</v>
      </c>
      <c r="I834" s="24" t="str">
        <f>HYPERLINK("https://www.bilibili.com/video/BV1pY411t7Rb?p=48", "BV1pY411t7Rb?p=48")</f>
        <v>BV1pY411t7Rb?p=48</v>
      </c>
      <c r="J834" s="4" t="str">
        <f ca="1">_xlfn.IFNA(VLOOKUP(INDIRECT("G"&amp;ROW()),minfo!$A:$M,COLUMN()-8,0),"")</f>
        <v>樱花草</v>
      </c>
      <c r="K834" s="4" t="str">
        <f ca="1">_xlfn.IFNA(VLOOKUP(INDIRECT("G"&amp;ROW()),minfo!$A:$M,COLUMN()-8,0),"")</f>
        <v>Sweety</v>
      </c>
      <c r="L834" s="4">
        <f ca="1">_xlfn.IFNA(VLOOKUP(INDIRECT("G"&amp;ROW()),minfo!$A:$M,COLUMN()-8,0),"")</f>
        <v>0</v>
      </c>
      <c r="M834" s="4">
        <f ca="1">_xlfn.IFNA(VLOOKUP(INDIRECT("G"&amp;ROW()),minfo!$A:$M,COLUMN()-8,0),"")</f>
        <v>0</v>
      </c>
      <c r="N834" s="4">
        <f ca="1">_xlfn.IFNA(VLOOKUP(INDIRECT("G"&amp;ROW()),minfo!$A:$M,COLUMN()-8,0),"")</f>
        <v>0</v>
      </c>
      <c r="O834" s="4" t="str">
        <f ca="1">_xlfn.IFNA(VLOOKUP(INDIRECT("G"&amp;ROW()),minfo!$A:$M,COLUMN()-8,0),"")</f>
        <v>http://i0.hdslb.com/bfs/station_src/music_metadata/ea7233e0acf36cf256085ed13b6b1972.jpg</v>
      </c>
      <c r="P834" s="4" t="str">
        <f ca="1">_xlfn.IFNA(VLOOKUP(INDIRECT("G"&amp;ROW()),minfo!$A:$M,COLUMN()-8,0),"")</f>
        <v>http://i0.hdslb.com/bfs/station_src/music_metadata/238e3acf5618b47e66177c16548b3cc6</v>
      </c>
      <c r="Q834" s="4">
        <f ca="1">_xlfn.IFNA(VLOOKUP(INDIRECT("G"&amp;ROW()),minfo!$A:$M,COLUMN()-8,0),"")</f>
        <v>954</v>
      </c>
      <c r="R834" s="4" t="str">
        <f ca="1">_xlfn.IFNA(VLOOKUP(INDIRECT("G"&amp;ROW()),minfo!$A:$M,COLUMN()-8,0),"")</f>
        <v>《米可，GO！》电视剧主题曲|《星苹果乐园》电视剧插曲</v>
      </c>
      <c r="S834" s="4" t="str">
        <f ca="1">_xlfn.IFNA(VLOOKUP(INDIRECT("G"&amp;ROW()),minfo!$A:$M,COLUMN()-8,0),"")</f>
        <v>花言乔语 (精装版)</v>
      </c>
      <c r="T834" s="4">
        <f ca="1">_xlfn.IFNA(VLOOKUP(INDIRECT("G"&amp;ROW()),minfo!$A:$M,COLUMN()-8,0),"")</f>
        <v>187518496</v>
      </c>
      <c r="U834" s="4">
        <f ca="1">_xlfn.IFNA(VLOOKUP(INDIRECT("G"&amp;ROW()),minfo!$A:$M,COLUMN()-8,0),"")</f>
        <v>0</v>
      </c>
    </row>
    <row r="835" spans="1:21" ht="15.75" customHeight="1">
      <c r="A835" s="15">
        <v>834</v>
      </c>
      <c r="B835" s="4" t="s">
        <v>4424</v>
      </c>
      <c r="C835" s="4">
        <v>835</v>
      </c>
      <c r="D835" s="4">
        <v>49</v>
      </c>
      <c r="E835" s="4" t="s">
        <v>384</v>
      </c>
      <c r="F835" s="16">
        <v>44603</v>
      </c>
      <c r="G835" s="5" t="s">
        <v>383</v>
      </c>
      <c r="H835" s="5" t="s">
        <v>4375</v>
      </c>
      <c r="I835" s="24" t="str">
        <f>HYPERLINK("https://www.bilibili.com/video/BV1pY411t7Rb?p=49", "BV1pY411t7Rb?p=49")</f>
        <v>BV1pY411t7Rb?p=49</v>
      </c>
      <c r="J835" s="4" t="str">
        <f ca="1">_xlfn.IFNA(VLOOKUP(INDIRECT("G"&amp;ROW()),minfo!$A:$M,COLUMN()-8,0),"")</f>
        <v>恰好</v>
      </c>
      <c r="K835" s="4" t="str">
        <f ca="1">_xlfn.IFNA(VLOOKUP(INDIRECT("G"&amp;ROW()),minfo!$A:$M,COLUMN()-8,0),"")</f>
        <v>黄龄,李鑫一</v>
      </c>
      <c r="L835" s="4">
        <f ca="1">_xlfn.IFNA(VLOOKUP(INDIRECT("G"&amp;ROW()),minfo!$A:$M,COLUMN()-8,0),"")</f>
        <v>0</v>
      </c>
      <c r="M835" s="4">
        <f ca="1">_xlfn.IFNA(VLOOKUP(INDIRECT("G"&amp;ROW()),minfo!$A:$M,COLUMN()-8,0),"")</f>
        <v>0</v>
      </c>
      <c r="N835" s="4">
        <f ca="1">_xlfn.IFNA(VLOOKUP(INDIRECT("G"&amp;ROW()),minfo!$A:$M,COLUMN()-8,0),"")</f>
        <v>0</v>
      </c>
      <c r="O835" s="4" t="str">
        <f ca="1">_xlfn.IFNA(VLOOKUP(INDIRECT("G"&amp;ROW()),minfo!$A:$M,COLUMN()-8,0),"")</f>
        <v>https://i0.hdslb.com/bfs/station_src/music_metadata/4114b5dce4dc2e8fa6d696106a6624eb.jpg</v>
      </c>
      <c r="P835" s="4" t="str">
        <f ca="1">_xlfn.IFNA(VLOOKUP(INDIRECT("G"&amp;ROW()),minfo!$A:$M,COLUMN()-8,0),"")</f>
        <v>https://i0.hdslb.com/bfs/station_src/music_metadata/7105373054bbacbd0af01ee959bcd5e2.txt</v>
      </c>
      <c r="Q835" s="4">
        <f ca="1">_xlfn.IFNA(VLOOKUP(INDIRECT("G"&amp;ROW()),minfo!$A:$M,COLUMN()-8,0),"")</f>
        <v>0</v>
      </c>
      <c r="R835" s="4">
        <f ca="1">_xlfn.IFNA(VLOOKUP(INDIRECT("G"&amp;ROW()),minfo!$A:$M,COLUMN()-8,0),"")</f>
        <v>0</v>
      </c>
      <c r="S835" s="4" t="str">
        <f ca="1">_xlfn.IFNA(VLOOKUP(INDIRECT("G"&amp;ROW()),minfo!$A:$M,COLUMN()-8,0),"")</f>
        <v>天赐的声音第二季 第9期</v>
      </c>
      <c r="T835" s="4">
        <f ca="1">_xlfn.IFNA(VLOOKUP(INDIRECT("G"&amp;ROW()),minfo!$A:$M,COLUMN()-8,0),"")</f>
        <v>436159</v>
      </c>
      <c r="U835" s="4">
        <f ca="1">_xlfn.IFNA(VLOOKUP(INDIRECT("G"&amp;ROW()),minfo!$A:$M,COLUMN()-8,0),"")</f>
        <v>0</v>
      </c>
    </row>
    <row r="836" spans="1:21" ht="15.75" customHeight="1">
      <c r="A836" s="15">
        <v>835</v>
      </c>
      <c r="B836" s="4" t="s">
        <v>4425</v>
      </c>
      <c r="C836" s="4">
        <v>836</v>
      </c>
      <c r="D836" s="4">
        <v>50</v>
      </c>
      <c r="E836" s="4" t="s">
        <v>1737</v>
      </c>
      <c r="F836" s="16">
        <v>44603</v>
      </c>
      <c r="G836" s="5" t="s">
        <v>1736</v>
      </c>
      <c r="H836" s="5" t="s">
        <v>4375</v>
      </c>
      <c r="I836" s="24" t="str">
        <f>HYPERLINK("https://www.bilibili.com/video/BV1pY411t7Rb?p=50", "BV1pY411t7Rb?p=50")</f>
        <v>BV1pY411t7Rb?p=50</v>
      </c>
      <c r="J836" s="4" t="str">
        <f ca="1">_xlfn.IFNA(VLOOKUP(INDIRECT("G"&amp;ROW()),minfo!$A:$M,COLUMN()-8,0),"")</f>
        <v>我怀念的</v>
      </c>
      <c r="K836" s="4" t="str">
        <f ca="1">_xlfn.IFNA(VLOOKUP(INDIRECT("G"&amp;ROW()),minfo!$A:$M,COLUMN()-8,0),"")</f>
        <v>孙燕姿</v>
      </c>
      <c r="L836" s="4">
        <f ca="1">_xlfn.IFNA(VLOOKUP(INDIRECT("G"&amp;ROW()),minfo!$A:$M,COLUMN()-8,0),"")</f>
        <v>0</v>
      </c>
      <c r="M836" s="4">
        <f ca="1">_xlfn.IFNA(VLOOKUP(INDIRECT("G"&amp;ROW()),minfo!$A:$M,COLUMN()-8,0),"")</f>
        <v>0</v>
      </c>
      <c r="N836" s="4">
        <f ca="1">_xlfn.IFNA(VLOOKUP(INDIRECT("G"&amp;ROW()),minfo!$A:$M,COLUMN()-8,0),"")</f>
        <v>0</v>
      </c>
      <c r="O836" s="4" t="str">
        <f ca="1">_xlfn.IFNA(VLOOKUP(INDIRECT("G"&amp;ROW()),minfo!$A:$M,COLUMN()-8,0),"")</f>
        <v>https://i0.hdslb.com/bfs/station_src/music_metadata/aec63b858053100c9a0dc93fb7620374.jpg</v>
      </c>
      <c r="P836" s="4" t="str">
        <f ca="1">_xlfn.IFNA(VLOOKUP(INDIRECT("G"&amp;ROW()),minfo!$A:$M,COLUMN()-8,0),"")</f>
        <v>http://i0.hdslb.com/bfs/station_src/music_metadata/de3bcae91bbe18f4ac9ca8db16ae0300</v>
      </c>
      <c r="Q836" s="4">
        <f ca="1">_xlfn.IFNA(VLOOKUP(INDIRECT("G"&amp;ROW()),minfo!$A:$M,COLUMN()-8,0),"")</f>
        <v>1220</v>
      </c>
      <c r="R836" s="4" t="str">
        <f ca="1">_xlfn.IFNA(VLOOKUP(INDIRECT("G"&amp;ROW()),minfo!$A:$M,COLUMN()-8,0),"")</f>
        <v>《第二回合我爱你（幸运日)》电视剧主题曲</v>
      </c>
      <c r="S836" s="4" t="str">
        <f ca="1">_xlfn.IFNA(VLOOKUP(INDIRECT("G"&amp;ROW()),minfo!$A:$M,COLUMN()-8,0),"")</f>
        <v>逆光</v>
      </c>
      <c r="T836" s="4">
        <f ca="1">_xlfn.IFNA(VLOOKUP(INDIRECT("G"&amp;ROW()),minfo!$A:$M,COLUMN()-8,0),"")</f>
        <v>311749521</v>
      </c>
      <c r="U836" s="4">
        <f ca="1">_xlfn.IFNA(VLOOKUP(INDIRECT("G"&amp;ROW()),minfo!$A:$M,COLUMN()-8,0),"")</f>
        <v>0</v>
      </c>
    </row>
    <row r="837" spans="1:21" ht="15.75" customHeight="1">
      <c r="A837" s="15">
        <v>836</v>
      </c>
      <c r="B837" s="4" t="s">
        <v>4426</v>
      </c>
      <c r="C837" s="4">
        <v>837</v>
      </c>
      <c r="D837" s="4">
        <v>51</v>
      </c>
      <c r="E837" s="4" t="s">
        <v>75</v>
      </c>
      <c r="F837" s="16">
        <v>44604</v>
      </c>
      <c r="G837" s="5" t="s">
        <v>1056</v>
      </c>
      <c r="H837" s="5" t="s">
        <v>4375</v>
      </c>
      <c r="I837" s="24" t="str">
        <f>HYPERLINK("https://www.bilibili.com/video/BV1pY411t7Rb?p=51", "BV1pY411t7Rb?p=51")</f>
        <v>BV1pY411t7Rb?p=51</v>
      </c>
      <c r="J837" s="4" t="str">
        <f ca="1">_xlfn.IFNA(VLOOKUP(INDIRECT("G"&amp;ROW()),minfo!$A:$M,COLUMN()-8,0),"")</f>
        <v>布虎记</v>
      </c>
      <c r="K837" s="4" t="str">
        <f ca="1">_xlfn.IFNA(VLOOKUP(INDIRECT("G"&amp;ROW()),minfo!$A:$M,COLUMN()-8,0),"")</f>
        <v>洛天依,西门振</v>
      </c>
      <c r="L837" s="4">
        <f ca="1">_xlfn.IFNA(VLOOKUP(INDIRECT("G"&amp;ROW()),minfo!$A:$M,COLUMN()-8,0),"")</f>
        <v>0</v>
      </c>
      <c r="M837" s="4">
        <f ca="1">_xlfn.IFNA(VLOOKUP(INDIRECT("G"&amp;ROW()),minfo!$A:$M,COLUMN()-8,0),"")</f>
        <v>0</v>
      </c>
      <c r="N837" s="4">
        <f ca="1">_xlfn.IFNA(VLOOKUP(INDIRECT("G"&amp;ROW()),minfo!$A:$M,COLUMN()-8,0),"")</f>
        <v>0</v>
      </c>
      <c r="O837" s="4" t="str">
        <f ca="1">_xlfn.IFNA(VLOOKUP(INDIRECT("G"&amp;ROW()),minfo!$A:$M,COLUMN()-8,0),"")</f>
        <v>https://i0.hdslb.com/bfs/station_src/music_metadata/346f3d0245c598c7be9afcb1e6a727b4.jpg</v>
      </c>
      <c r="P837" s="4">
        <f ca="1">_xlfn.IFNA(VLOOKUP(INDIRECT("G"&amp;ROW()),minfo!$A:$M,COLUMN()-8,0),"")</f>
        <v>0</v>
      </c>
      <c r="Q837" s="4">
        <f ca="1">_xlfn.IFNA(VLOOKUP(INDIRECT("G"&amp;ROW()),minfo!$A:$M,COLUMN()-8,0),"")</f>
        <v>0</v>
      </c>
      <c r="R837" s="4">
        <f ca="1">_xlfn.IFNA(VLOOKUP(INDIRECT("G"&amp;ROW()),minfo!$A:$M,COLUMN()-8,0),"")</f>
        <v>0</v>
      </c>
      <c r="S837" s="4" t="str">
        <f ca="1">_xlfn.IFNA(VLOOKUP(INDIRECT("G"&amp;ROW()),minfo!$A:$M,COLUMN()-8,0),"")</f>
        <v>【2022虚拟歌手贺岁纪】布虎记</v>
      </c>
      <c r="T837" s="4">
        <f ca="1">_xlfn.IFNA(VLOOKUP(INDIRECT("G"&amp;ROW()),minfo!$A:$M,COLUMN()-8,0),"")</f>
        <v>1512793</v>
      </c>
      <c r="U837" s="4">
        <f ca="1">_xlfn.IFNA(VLOOKUP(INDIRECT("G"&amp;ROW()),minfo!$A:$M,COLUMN()-8,0),"")</f>
        <v>0</v>
      </c>
    </row>
    <row r="838" spans="1:21" ht="15.75" customHeight="1">
      <c r="A838" s="15">
        <v>837</v>
      </c>
      <c r="B838" s="4" t="s">
        <v>4427</v>
      </c>
      <c r="C838" s="4">
        <v>838</v>
      </c>
      <c r="D838" s="4">
        <v>52</v>
      </c>
      <c r="E838" s="4" t="s">
        <v>1529</v>
      </c>
      <c r="F838" s="16">
        <v>44604</v>
      </c>
      <c r="G838" s="5" t="s">
        <v>1528</v>
      </c>
      <c r="H838" s="5" t="s">
        <v>4375</v>
      </c>
      <c r="I838" s="24" t="str">
        <f>HYPERLINK("https://www.bilibili.com/video/BV1pY411t7Rb?p=52", "BV1pY411t7Rb?p=52")</f>
        <v>BV1pY411t7Rb?p=52</v>
      </c>
      <c r="J838" s="4" t="str">
        <f ca="1">_xlfn.IFNA(VLOOKUP(INDIRECT("G"&amp;ROW()),minfo!$A:$M,COLUMN()-8,0),"")</f>
        <v>大鱼</v>
      </c>
      <c r="K838" s="4" t="str">
        <f ca="1">_xlfn.IFNA(VLOOKUP(INDIRECT("G"&amp;ROW()),minfo!$A:$M,COLUMN()-8,0),"")</f>
        <v>周深</v>
      </c>
      <c r="L838" s="4">
        <f ca="1">_xlfn.IFNA(VLOOKUP(INDIRECT("G"&amp;ROW()),minfo!$A:$M,COLUMN()-8,0),"")</f>
        <v>0</v>
      </c>
      <c r="M838" s="4">
        <f ca="1">_xlfn.IFNA(VLOOKUP(INDIRECT("G"&amp;ROW()),minfo!$A:$M,COLUMN()-8,0),"")</f>
        <v>0</v>
      </c>
      <c r="N838" s="4">
        <f ca="1">_xlfn.IFNA(VLOOKUP(INDIRECT("G"&amp;ROW()),minfo!$A:$M,COLUMN()-8,0),"")</f>
        <v>0</v>
      </c>
      <c r="O838" s="4" t="str">
        <f ca="1">_xlfn.IFNA(VLOOKUP(INDIRECT("G"&amp;ROW()),minfo!$A:$M,COLUMN()-8,0),"")</f>
        <v>http://i0.hdslb.com/bfs/station_src/music_metadata/8a70d72d1642278d2951984ed21f64b8.jpg</v>
      </c>
      <c r="P838" s="4" t="str">
        <f ca="1">_xlfn.IFNA(VLOOKUP(INDIRECT("G"&amp;ROW()),minfo!$A:$M,COLUMN()-8,0),"")</f>
        <v>http://i0.hdslb.com/bfs/station_src/music_metadata/1ca26ab8b49fda9fd7daa1b9e44e8cab</v>
      </c>
      <c r="Q838" s="4">
        <f ca="1">_xlfn.IFNA(VLOOKUP(INDIRECT("G"&amp;ROW()),minfo!$A:$M,COLUMN()-8,0),"")</f>
        <v>2637</v>
      </c>
      <c r="R838" s="4" t="str">
        <f ca="1">_xlfn.IFNA(VLOOKUP(INDIRECT("G"&amp;ROW()),minfo!$A:$M,COLUMN()-8,0),"")</f>
        <v>《大鱼海棠》动画电影印象曲</v>
      </c>
      <c r="S838" s="4" t="str">
        <f ca="1">_xlfn.IFNA(VLOOKUP(INDIRECT("G"&amp;ROW()),minfo!$A:$M,COLUMN()-8,0),"")</f>
        <v>大鱼</v>
      </c>
      <c r="T838" s="4">
        <f ca="1">_xlfn.IFNA(VLOOKUP(INDIRECT("G"&amp;ROW()),minfo!$A:$M,COLUMN()-8,0),"")</f>
        <v>1065218649</v>
      </c>
      <c r="U838" s="4">
        <f ca="1">_xlfn.IFNA(VLOOKUP(INDIRECT("G"&amp;ROW()),minfo!$A:$M,COLUMN()-8,0),"")</f>
        <v>0</v>
      </c>
    </row>
    <row r="839" spans="1:21" ht="15.75" customHeight="1">
      <c r="A839" s="15">
        <v>838</v>
      </c>
      <c r="B839" s="4" t="s">
        <v>4428</v>
      </c>
      <c r="C839" s="4">
        <v>839</v>
      </c>
      <c r="D839" s="4">
        <v>53</v>
      </c>
      <c r="E839" s="4" t="s">
        <v>2001</v>
      </c>
      <c r="F839" s="16">
        <v>44606</v>
      </c>
      <c r="G839" s="5" t="s">
        <v>2000</v>
      </c>
      <c r="H839" s="5" t="s">
        <v>4375</v>
      </c>
      <c r="I839" s="24" t="str">
        <f>HYPERLINK("https://www.bilibili.com/video/BV1pY411t7Rb?p=53", "BV1pY411t7Rb?p=53")</f>
        <v>BV1pY411t7Rb?p=53</v>
      </c>
      <c r="J839" s="4" t="str">
        <f ca="1">_xlfn.IFNA(VLOOKUP(INDIRECT("G"&amp;ROW()),minfo!$A:$M,COLUMN()-8,0),"")</f>
        <v>海水正蓝</v>
      </c>
      <c r="K839" s="4" t="str">
        <f ca="1">_xlfn.IFNA(VLOOKUP(INDIRECT("G"&amp;ROW()),minfo!$A:$M,COLUMN()-8,0),"")</f>
        <v>郭美美</v>
      </c>
      <c r="L839" s="4">
        <f ca="1">_xlfn.IFNA(VLOOKUP(INDIRECT("G"&amp;ROW()),minfo!$A:$M,COLUMN()-8,0),"")</f>
        <v>0</v>
      </c>
      <c r="M839" s="4">
        <f ca="1">_xlfn.IFNA(VLOOKUP(INDIRECT("G"&amp;ROW()),minfo!$A:$M,COLUMN()-8,0),"")</f>
        <v>0</v>
      </c>
      <c r="N839" s="4">
        <f ca="1">_xlfn.IFNA(VLOOKUP(INDIRECT("G"&amp;ROW()),minfo!$A:$M,COLUMN()-8,0),"")</f>
        <v>0</v>
      </c>
      <c r="O839" s="4" t="str">
        <f ca="1">_xlfn.IFNA(VLOOKUP(INDIRECT("G"&amp;ROW()),minfo!$A:$M,COLUMN()-8,0),"")</f>
        <v>https://i0.hdslb.com/bfs/station_src/music_metadata/b606f8807d03af892eff1ad8e08c8d32.jpg</v>
      </c>
      <c r="P839" s="4" t="str">
        <f ca="1">_xlfn.IFNA(VLOOKUP(INDIRECT("G"&amp;ROW()),minfo!$A:$M,COLUMN()-8,0),"")</f>
        <v>https://i0.hdslb.com/bfs/station_src/music_metadata/7caade17bfdf90599d3260060ce49c6d.txt</v>
      </c>
      <c r="Q839" s="4">
        <f ca="1">_xlfn.IFNA(VLOOKUP(INDIRECT("G"&amp;ROW()),minfo!$A:$M,COLUMN()-8,0),"")</f>
        <v>1</v>
      </c>
      <c r="R839" s="4" t="str">
        <f ca="1">_xlfn.IFNA(VLOOKUP(INDIRECT("G"&amp;ROW()),minfo!$A:$M,COLUMN()-8,0),"")</f>
        <v>电视剧《丝丝心动》主题曲</v>
      </c>
      <c r="S839" s="4" t="str">
        <f ca="1">_xlfn.IFNA(VLOOKUP(INDIRECT("G"&amp;ROW()),minfo!$A:$M,COLUMN()-8,0),"")</f>
        <v>我是郭美美</v>
      </c>
      <c r="T839" s="4">
        <f ca="1">_xlfn.IFNA(VLOOKUP(INDIRECT("G"&amp;ROW()),minfo!$A:$M,COLUMN()-8,0),"")</f>
        <v>709617</v>
      </c>
      <c r="U839" s="4">
        <f ca="1">_xlfn.IFNA(VLOOKUP(INDIRECT("G"&amp;ROW()),minfo!$A:$M,COLUMN()-8,0),"")</f>
        <v>0</v>
      </c>
    </row>
    <row r="840" spans="1:21" ht="15.75" customHeight="1">
      <c r="A840" s="15">
        <v>839</v>
      </c>
      <c r="B840" s="4" t="s">
        <v>4429</v>
      </c>
      <c r="C840" s="4">
        <v>840</v>
      </c>
      <c r="D840" s="4">
        <v>54</v>
      </c>
      <c r="E840" s="4" t="s">
        <v>433</v>
      </c>
      <c r="F840" s="16">
        <v>44606</v>
      </c>
      <c r="G840" s="5" t="s">
        <v>432</v>
      </c>
      <c r="H840" s="5" t="s">
        <v>4375</v>
      </c>
      <c r="I840" s="24" t="str">
        <f>HYPERLINK("https://www.bilibili.com/video/BV1pY411t7Rb?p=54", "BV1pY411t7Rb?p=54")</f>
        <v>BV1pY411t7Rb?p=54</v>
      </c>
      <c r="J840" s="4" t="str">
        <f ca="1">_xlfn.IFNA(VLOOKUP(INDIRECT("G"&amp;ROW()),minfo!$A:$M,COLUMN()-8,0),"")</f>
        <v>喜欢你</v>
      </c>
      <c r="K840" s="4" t="str">
        <f ca="1">_xlfn.IFNA(VLOOKUP(INDIRECT("G"&amp;ROW()),minfo!$A:$M,COLUMN()-8,0),"")</f>
        <v>陈洁仪</v>
      </c>
      <c r="L840" s="4">
        <f ca="1">_xlfn.IFNA(VLOOKUP(INDIRECT("G"&amp;ROW()),minfo!$A:$M,COLUMN()-8,0),"")</f>
        <v>0</v>
      </c>
      <c r="M840" s="4">
        <f ca="1">_xlfn.IFNA(VLOOKUP(INDIRECT("G"&amp;ROW()),minfo!$A:$M,COLUMN()-8,0),"")</f>
        <v>0</v>
      </c>
      <c r="N840" s="4">
        <f ca="1">_xlfn.IFNA(VLOOKUP(INDIRECT("G"&amp;ROW()),minfo!$A:$M,COLUMN()-8,0),"")</f>
        <v>0</v>
      </c>
      <c r="O840" s="4" t="str">
        <f ca="1">_xlfn.IFNA(VLOOKUP(INDIRECT("G"&amp;ROW()),minfo!$A:$M,COLUMN()-8,0),"")</f>
        <v>https://i0.hdslb.com/bfs/station_src/music_metadata/657c63920e8cf9a7db4753eb939d1dce.jpg</v>
      </c>
      <c r="P840" s="4" t="str">
        <f ca="1">_xlfn.IFNA(VLOOKUP(INDIRECT("G"&amp;ROW()),minfo!$A:$M,COLUMN()-8,0),"")</f>
        <v>http://i0.hdslb.com/bfs/station_src/music_metadata/6bffe0eed99a109396ffa9741cc156c7</v>
      </c>
      <c r="Q840" s="4">
        <f ca="1">_xlfn.IFNA(VLOOKUP(INDIRECT("G"&amp;ROW()),minfo!$A:$M,COLUMN()-8,0),"")</f>
        <v>587</v>
      </c>
      <c r="R840" s="4">
        <f ca="1">_xlfn.IFNA(VLOOKUP(INDIRECT("G"&amp;ROW()),minfo!$A:$M,COLUMN()-8,0),"")</f>
        <v>0</v>
      </c>
      <c r="S840" s="4" t="str">
        <f ca="1">_xlfn.IFNA(VLOOKUP(INDIRECT("G"&amp;ROW()),minfo!$A:$M,COLUMN()-8,0),"")</f>
        <v>陈洁仪的异想世界</v>
      </c>
      <c r="T840" s="4">
        <f ca="1">_xlfn.IFNA(VLOOKUP(INDIRECT("G"&amp;ROW()),minfo!$A:$M,COLUMN()-8,0),"")</f>
        <v>163210062</v>
      </c>
      <c r="U840" s="4">
        <f ca="1">_xlfn.IFNA(VLOOKUP(INDIRECT("G"&amp;ROW()),minfo!$A:$M,COLUMN()-8,0),"")</f>
        <v>0</v>
      </c>
    </row>
    <row r="841" spans="1:21" ht="15.75" customHeight="1">
      <c r="A841" s="15">
        <v>840</v>
      </c>
      <c r="B841" s="4" t="s">
        <v>4430</v>
      </c>
      <c r="C841" s="4">
        <v>841</v>
      </c>
      <c r="D841" s="4">
        <v>55</v>
      </c>
      <c r="E841" s="4" t="s">
        <v>95</v>
      </c>
      <c r="F841" s="16">
        <v>44606</v>
      </c>
      <c r="G841" s="5" t="s">
        <v>203</v>
      </c>
      <c r="H841" s="5" t="s">
        <v>4375</v>
      </c>
      <c r="I841" s="24" t="str">
        <f>HYPERLINK("https://www.bilibili.com/video/BV1pY411t7Rb?p=55", "BV1pY411t7Rb?p=55")</f>
        <v>BV1pY411t7Rb?p=55</v>
      </c>
      <c r="J841" s="4" t="str">
        <f ca="1">_xlfn.IFNA(VLOOKUP(INDIRECT("G"&amp;ROW()),minfo!$A:$M,COLUMN()-8,0),"")</f>
        <v>不问天</v>
      </c>
      <c r="K841" s="4" t="str">
        <f ca="1">_xlfn.IFNA(VLOOKUP(INDIRECT("G"&amp;ROW()),minfo!$A:$M,COLUMN()-8,0),"")</f>
        <v>说说Crystal</v>
      </c>
      <c r="L841" s="4">
        <f ca="1">_xlfn.IFNA(VLOOKUP(INDIRECT("G"&amp;ROW()),minfo!$A:$M,COLUMN()-8,0),"")</f>
        <v>0</v>
      </c>
      <c r="M841" s="4">
        <f ca="1">_xlfn.IFNA(VLOOKUP(INDIRECT("G"&amp;ROW()),minfo!$A:$M,COLUMN()-8,0),"")</f>
        <v>0</v>
      </c>
      <c r="N841" s="4">
        <f ca="1">_xlfn.IFNA(VLOOKUP(INDIRECT("G"&amp;ROW()),minfo!$A:$M,COLUMN()-8,0),"")</f>
        <v>0</v>
      </c>
      <c r="O841" s="4" t="str">
        <f ca="1">_xlfn.IFNA(VLOOKUP(INDIRECT("G"&amp;ROW()),minfo!$A:$M,COLUMN()-8,0),"")</f>
        <v>https://i0.hdslb.com/bfs/station_src/music_metadata/ce3a0da2a7e64a49fa42a6e3db521f57.jpg</v>
      </c>
      <c r="P841" s="4" t="str">
        <f ca="1">_xlfn.IFNA(VLOOKUP(INDIRECT("G"&amp;ROW()),minfo!$A:$M,COLUMN()-8,0),"")</f>
        <v>https://i0.hdslb.com/bfs/station_src/music_metadata/02cd9198a33924449443fc704a92a25a.txt</v>
      </c>
      <c r="Q841" s="4">
        <f ca="1">_xlfn.IFNA(VLOOKUP(INDIRECT("G"&amp;ROW()),minfo!$A:$M,COLUMN()-8,0),"")</f>
        <v>149</v>
      </c>
      <c r="R841" s="4">
        <f ca="1">_xlfn.IFNA(VLOOKUP(INDIRECT("G"&amp;ROW()),minfo!$A:$M,COLUMN()-8,0),"")</f>
        <v>0</v>
      </c>
      <c r="S841" s="4" t="str">
        <f ca="1">_xlfn.IFNA(VLOOKUP(INDIRECT("G"&amp;ROW()),minfo!$A:$M,COLUMN()-8,0),"")</f>
        <v>2021哔哩哔哩拜年纪</v>
      </c>
      <c r="T841" s="4">
        <f ca="1">_xlfn.IFNA(VLOOKUP(INDIRECT("G"&amp;ROW()),minfo!$A:$M,COLUMN()-8,0),"")</f>
        <v>33137051</v>
      </c>
      <c r="U841" s="4">
        <f ca="1">_xlfn.IFNA(VLOOKUP(INDIRECT("G"&amp;ROW()),minfo!$A:$M,COLUMN()-8,0),"")</f>
        <v>0</v>
      </c>
    </row>
    <row r="842" spans="1:21" ht="15.75" customHeight="1">
      <c r="A842" s="15">
        <v>841</v>
      </c>
      <c r="B842" s="4" t="s">
        <v>4431</v>
      </c>
      <c r="C842" s="4">
        <v>842</v>
      </c>
      <c r="D842" s="4">
        <v>56</v>
      </c>
      <c r="E842" s="4" t="s">
        <v>192</v>
      </c>
      <c r="F842" s="16">
        <v>44606</v>
      </c>
      <c r="G842" s="5" t="s">
        <v>191</v>
      </c>
      <c r="H842" s="5" t="s">
        <v>4375</v>
      </c>
      <c r="I842" s="24" t="str">
        <f>HYPERLINK("https://www.bilibili.com/video/BV1pY411t7Rb?p=56", "BV1pY411t7Rb?p=56")</f>
        <v>BV1pY411t7Rb?p=56</v>
      </c>
      <c r="J842" s="4" t="str">
        <f ca="1">_xlfn.IFNA(VLOOKUP(INDIRECT("G"&amp;ROW()),minfo!$A:$M,COLUMN()-8,0),"")</f>
        <v>流年如歌</v>
      </c>
      <c r="K842" s="4" t="str">
        <f ca="1">_xlfn.IFNA(VLOOKUP(INDIRECT("G"&amp;ROW()),minfo!$A:$M,COLUMN()-8,0),"")</f>
        <v>苍穹</v>
      </c>
      <c r="L842" s="4">
        <f ca="1">_xlfn.IFNA(VLOOKUP(INDIRECT("G"&amp;ROW()),minfo!$A:$M,COLUMN()-8,0),"")</f>
        <v>0</v>
      </c>
      <c r="M842" s="4">
        <f ca="1">_xlfn.IFNA(VLOOKUP(INDIRECT("G"&amp;ROW()),minfo!$A:$M,COLUMN()-8,0),"")</f>
        <v>0</v>
      </c>
      <c r="N842" s="4">
        <f ca="1">_xlfn.IFNA(VLOOKUP(INDIRECT("G"&amp;ROW()),minfo!$A:$M,COLUMN()-8,0),"")</f>
        <v>0</v>
      </c>
      <c r="O842" s="4" t="str">
        <f ca="1">_xlfn.IFNA(VLOOKUP(INDIRECT("G"&amp;ROW()),minfo!$A:$M,COLUMN()-8,0),"")</f>
        <v>https://i0.hdslb.com/bfs/station_src/music_metadata/7d8de08a2fa9fed3e913a7cbedbd7359.jpg</v>
      </c>
      <c r="P842" s="4" t="str">
        <f ca="1">_xlfn.IFNA(VLOOKUP(INDIRECT("G"&amp;ROW()),minfo!$A:$M,COLUMN()-8,0),"")</f>
        <v>https://i0.hdslb.com/bfs/station_src/music_metadata/39fd2191a90a6dfc42574ff5b43baadb.txt</v>
      </c>
      <c r="Q842" s="4">
        <f ca="1">_xlfn.IFNA(VLOOKUP(INDIRECT("G"&amp;ROW()),minfo!$A:$M,COLUMN()-8,0),"")</f>
        <v>68</v>
      </c>
      <c r="R842" s="4">
        <f ca="1">_xlfn.IFNA(VLOOKUP(INDIRECT("G"&amp;ROW()),minfo!$A:$M,COLUMN()-8,0),"")</f>
        <v>0</v>
      </c>
      <c r="S842" s="4" t="str">
        <f ca="1">_xlfn.IFNA(VLOOKUP(INDIRECT("G"&amp;ROW()),minfo!$A:$M,COLUMN()-8,0),"")</f>
        <v>哔哩哔哩拜年纪金曲回顾</v>
      </c>
      <c r="T842" s="4">
        <f ca="1">_xlfn.IFNA(VLOOKUP(INDIRECT("G"&amp;ROW()),minfo!$A:$M,COLUMN()-8,0),"")</f>
        <v>14971574</v>
      </c>
      <c r="U842" s="4">
        <f ca="1">_xlfn.IFNA(VLOOKUP(INDIRECT("G"&amp;ROW()),minfo!$A:$M,COLUMN()-8,0),"")</f>
        <v>0</v>
      </c>
    </row>
    <row r="843" spans="1:21" ht="15.75" customHeight="1">
      <c r="A843" s="15">
        <v>842</v>
      </c>
      <c r="B843" s="4" t="s">
        <v>4432</v>
      </c>
      <c r="C843" s="4">
        <v>843</v>
      </c>
      <c r="D843" s="4">
        <v>57</v>
      </c>
      <c r="E843" s="4" t="s">
        <v>118</v>
      </c>
      <c r="F843" s="16">
        <v>44606</v>
      </c>
      <c r="G843" s="5" t="s">
        <v>925</v>
      </c>
      <c r="H843" s="5" t="s">
        <v>4375</v>
      </c>
      <c r="I843" s="24" t="str">
        <f>HYPERLINK("https://www.bilibili.com/video/BV1pY411t7Rb?p=57", "BV1pY411t7Rb?p=57")</f>
        <v>BV1pY411t7Rb?p=57</v>
      </c>
      <c r="J843" s="4" t="str">
        <f ca="1">_xlfn.IFNA(VLOOKUP(INDIRECT("G"&amp;ROW()),minfo!$A:$M,COLUMN()-8,0),"")</f>
        <v>神女劈观</v>
      </c>
      <c r="K843" s="4" t="str">
        <f ca="1">_xlfn.IFNA(VLOOKUP(INDIRECT("G"&amp;ROW()),minfo!$A:$M,COLUMN()-8,0),"")</f>
        <v>HOYO-MiX</v>
      </c>
      <c r="L843" s="4">
        <f ca="1">_xlfn.IFNA(VLOOKUP(INDIRECT("G"&amp;ROW()),minfo!$A:$M,COLUMN()-8,0),"")</f>
        <v>0</v>
      </c>
      <c r="M843" s="4">
        <f ca="1">_xlfn.IFNA(VLOOKUP(INDIRECT("G"&amp;ROW()),minfo!$A:$M,COLUMN()-8,0),"")</f>
        <v>2103209</v>
      </c>
      <c r="N843" s="4">
        <f ca="1">_xlfn.IFNA(VLOOKUP(INDIRECT("G"&amp;ROW()),minfo!$A:$M,COLUMN()-8,0),"")</f>
        <v>767801</v>
      </c>
      <c r="O843" s="4" t="str">
        <f ca="1">_xlfn.IFNA(VLOOKUP(INDIRECT("G"&amp;ROW()),minfo!$A:$M,COLUMN()-8,0),"")</f>
        <v>http://i0.hdslb.com/bfs/station_src/music_metadata/bc1d86b5ee7157af18f4695ed5ae5ebd.jpg</v>
      </c>
      <c r="P843" s="4" t="str">
        <f ca="1">_xlfn.IFNA(VLOOKUP(INDIRECT("G"&amp;ROW()),minfo!$A:$M,COLUMN()-8,0),"")</f>
        <v>http://i0.hdslb.com/bfs/station_src/music_metadata/88b56d438a01f679754b40f053092495</v>
      </c>
      <c r="Q843" s="4">
        <f ca="1">_xlfn.IFNA(VLOOKUP(INDIRECT("G"&amp;ROW()),minfo!$A:$M,COLUMN()-8,0),"")</f>
        <v>11361</v>
      </c>
      <c r="R843" s="4">
        <f ca="1">_xlfn.IFNA(VLOOKUP(INDIRECT("G"&amp;ROW()),minfo!$A:$M,COLUMN()-8,0),"")</f>
        <v>0</v>
      </c>
      <c r="S843" s="4" t="str">
        <f ca="1">_xlfn.IFNA(VLOOKUP(INDIRECT("G"&amp;ROW()),minfo!$A:$M,COLUMN()-8,0),"")</f>
        <v>「飞彩镌流年」游戏原声EP专辑</v>
      </c>
      <c r="T843" s="4">
        <f ca="1">_xlfn.IFNA(VLOOKUP(INDIRECT("G"&amp;ROW()),minfo!$A:$M,COLUMN()-8,0),"")</f>
        <v>345148142</v>
      </c>
      <c r="U843" s="4">
        <f ca="1">_xlfn.IFNA(VLOOKUP(INDIRECT("G"&amp;ROW()),minfo!$A:$M,COLUMN()-8,0),"")</f>
        <v>0</v>
      </c>
    </row>
    <row r="844" spans="1:21" ht="15.75" customHeight="1">
      <c r="A844" s="15">
        <v>843</v>
      </c>
      <c r="B844" s="4" t="s">
        <v>4433</v>
      </c>
      <c r="C844" s="4">
        <v>844</v>
      </c>
      <c r="D844" s="4">
        <v>58</v>
      </c>
      <c r="E844" s="4" t="s">
        <v>1456</v>
      </c>
      <c r="F844" s="16">
        <v>44609</v>
      </c>
      <c r="G844" s="5" t="s">
        <v>1455</v>
      </c>
      <c r="H844" s="5" t="s">
        <v>4375</v>
      </c>
      <c r="I844" s="24" t="str">
        <f>HYPERLINK("https://www.bilibili.com/video/BV1pY411t7Rb?p=58", "BV1pY411t7Rb?p=58")</f>
        <v>BV1pY411t7Rb?p=58</v>
      </c>
      <c r="J844" s="4" t="str">
        <f ca="1">_xlfn.IFNA(VLOOKUP(INDIRECT("G"&amp;ROW()),minfo!$A:$M,COLUMN()-8,0),"")</f>
        <v>小精灵</v>
      </c>
      <c r="K844" s="4" t="str">
        <f ca="1">_xlfn.IFNA(VLOOKUP(INDIRECT("G"&amp;ROW()),minfo!$A:$M,COLUMN()-8,0),"")</f>
        <v>TFBOYS</v>
      </c>
      <c r="L844" s="4">
        <f ca="1">_xlfn.IFNA(VLOOKUP(INDIRECT("G"&amp;ROW()),minfo!$A:$M,COLUMN()-8,0),"")</f>
        <v>0</v>
      </c>
      <c r="M844" s="4">
        <f ca="1">_xlfn.IFNA(VLOOKUP(INDIRECT("G"&amp;ROW()),minfo!$A:$M,COLUMN()-8,0),"")</f>
        <v>0</v>
      </c>
      <c r="N844" s="4">
        <f ca="1">_xlfn.IFNA(VLOOKUP(INDIRECT("G"&amp;ROW()),minfo!$A:$M,COLUMN()-8,0),"")</f>
        <v>0</v>
      </c>
      <c r="O844" s="4" t="str">
        <f ca="1">_xlfn.IFNA(VLOOKUP(INDIRECT("G"&amp;ROW()),minfo!$A:$M,COLUMN()-8,0),"")</f>
        <v>https://i0.hdslb.com/bfs/station_src/music_metadata/4f4e8d0557d68e38a177ab168433a8fa.jpg</v>
      </c>
      <c r="P844" s="4" t="str">
        <f ca="1">_xlfn.IFNA(VLOOKUP(INDIRECT("G"&amp;ROW()),minfo!$A:$M,COLUMN()-8,0),"")</f>
        <v>https://i0.hdslb.com/bfs/station_src/music_metadata/fc82c2697eef2777de0dac5160dc3f96.txt</v>
      </c>
      <c r="Q844" s="4">
        <f ca="1">_xlfn.IFNA(VLOOKUP(INDIRECT("G"&amp;ROW()),minfo!$A:$M,COLUMN()-8,0),"")</f>
        <v>144</v>
      </c>
      <c r="R844" s="4">
        <f ca="1">_xlfn.IFNA(VLOOKUP(INDIRECT("G"&amp;ROW()),minfo!$A:$M,COLUMN()-8,0),"")</f>
        <v>0</v>
      </c>
      <c r="S844" s="4" t="str">
        <f ca="1">_xlfn.IFNA(VLOOKUP(INDIRECT("G"&amp;ROW()),minfo!$A:$M,COLUMN()-8,0),"")</f>
        <v>我们的时光</v>
      </c>
      <c r="T844" s="4">
        <f ca="1">_xlfn.IFNA(VLOOKUP(INDIRECT("G"&amp;ROW()),minfo!$A:$M,COLUMN()-8,0),"")</f>
        <v>89378664</v>
      </c>
      <c r="U844" s="4">
        <f ca="1">_xlfn.IFNA(VLOOKUP(INDIRECT("G"&amp;ROW()),minfo!$A:$M,COLUMN()-8,0),"")</f>
        <v>0</v>
      </c>
    </row>
    <row r="845" spans="1:21" ht="15.75" customHeight="1">
      <c r="A845" s="15">
        <v>844</v>
      </c>
      <c r="B845" s="4" t="s">
        <v>4434</v>
      </c>
      <c r="C845" s="4">
        <v>845</v>
      </c>
      <c r="D845" s="4">
        <v>59</v>
      </c>
      <c r="E845" s="4" t="s">
        <v>2008</v>
      </c>
      <c r="F845" s="16">
        <v>44609</v>
      </c>
      <c r="G845" s="5" t="s">
        <v>2007</v>
      </c>
      <c r="H845" s="5" t="s">
        <v>4375</v>
      </c>
      <c r="I845" s="24" t="str">
        <f>HYPERLINK("https://www.bilibili.com/video/BV1pY411t7Rb?p=59", "BV1pY411t7Rb?p=59")</f>
        <v>BV1pY411t7Rb?p=59</v>
      </c>
      <c r="J845" s="4" t="str">
        <f ca="1">_xlfn.IFNA(VLOOKUP(INDIRECT("G"&amp;ROW()),minfo!$A:$M,COLUMN()-8,0),"")</f>
        <v>流年</v>
      </c>
      <c r="K845" s="4" t="str">
        <f ca="1">_xlfn.IFNA(VLOOKUP(INDIRECT("G"&amp;ROW()),minfo!$A:$M,COLUMN()-8,0),"")</f>
        <v>王菲</v>
      </c>
      <c r="L845" s="4">
        <f ca="1">_xlfn.IFNA(VLOOKUP(INDIRECT("G"&amp;ROW()),minfo!$A:$M,COLUMN()-8,0),"")</f>
        <v>0</v>
      </c>
      <c r="M845" s="4">
        <f ca="1">_xlfn.IFNA(VLOOKUP(INDIRECT("G"&amp;ROW()),minfo!$A:$M,COLUMN()-8,0),"")</f>
        <v>0</v>
      </c>
      <c r="N845" s="4">
        <f ca="1">_xlfn.IFNA(VLOOKUP(INDIRECT("G"&amp;ROW()),minfo!$A:$M,COLUMN()-8,0),"")</f>
        <v>0</v>
      </c>
      <c r="O845" s="4" t="str">
        <f ca="1">_xlfn.IFNA(VLOOKUP(INDIRECT("G"&amp;ROW()),minfo!$A:$M,COLUMN()-8,0),"")</f>
        <v>https://i0.hdslb.com/bfs/station_src/music_metadata/ae4551416f4fd8baa6a2daa657613bcb.jpg</v>
      </c>
      <c r="P845" s="4" t="str">
        <f ca="1">_xlfn.IFNA(VLOOKUP(INDIRECT("G"&amp;ROW()),minfo!$A:$M,COLUMN()-8,0),"")</f>
        <v>http://i0.hdslb.com/bfs/station_src/music_metadata/24572fc2edb59fadf00c8c23d76dbda6</v>
      </c>
      <c r="Q845" s="4">
        <f ca="1">_xlfn.IFNA(VLOOKUP(INDIRECT("G"&amp;ROW()),minfo!$A:$M,COLUMN()-8,0),"")</f>
        <v>65</v>
      </c>
      <c r="R845" s="4">
        <f ca="1">_xlfn.IFNA(VLOOKUP(INDIRECT("G"&amp;ROW()),minfo!$A:$M,COLUMN()-8,0),"")</f>
        <v>0</v>
      </c>
      <c r="S845" s="4" t="str">
        <f ca="1">_xlfn.IFNA(VLOOKUP(INDIRECT("G"&amp;ROW()),minfo!$A:$M,COLUMN()-8,0),"")</f>
        <v>王菲</v>
      </c>
      <c r="T845" s="4">
        <f ca="1">_xlfn.IFNA(VLOOKUP(INDIRECT("G"&amp;ROW()),minfo!$A:$M,COLUMN()-8,0),"")</f>
        <v>35937366</v>
      </c>
      <c r="U845" s="4">
        <f ca="1">_xlfn.IFNA(VLOOKUP(INDIRECT("G"&amp;ROW()),minfo!$A:$M,COLUMN()-8,0),"")</f>
        <v>0</v>
      </c>
    </row>
    <row r="846" spans="1:21" ht="15.75" customHeight="1">
      <c r="A846" s="15">
        <v>845</v>
      </c>
      <c r="B846" s="4" t="s">
        <v>4435</v>
      </c>
      <c r="C846" s="4">
        <v>846</v>
      </c>
      <c r="D846" s="4">
        <v>60</v>
      </c>
      <c r="E846" s="4" t="s">
        <v>1576</v>
      </c>
      <c r="F846" s="16">
        <v>44609</v>
      </c>
      <c r="G846" s="5" t="s">
        <v>1575</v>
      </c>
      <c r="H846" s="5" t="s">
        <v>4375</v>
      </c>
      <c r="I846" s="24" t="str">
        <f>HYPERLINK("https://www.bilibili.com/video/BV1pY411t7Rb?p=60", "BV1pY411t7Rb?p=60")</f>
        <v>BV1pY411t7Rb?p=60</v>
      </c>
      <c r="J846" s="4" t="str">
        <f ca="1">_xlfn.IFNA(VLOOKUP(INDIRECT("G"&amp;ROW()),minfo!$A:$M,COLUMN()-8,0),"")</f>
        <v>但愿人长久</v>
      </c>
      <c r="K846" s="4" t="str">
        <f ca="1">_xlfn.IFNA(VLOOKUP(INDIRECT("G"&amp;ROW()),minfo!$A:$M,COLUMN()-8,0),"")</f>
        <v>邓丽君</v>
      </c>
      <c r="L846" s="4">
        <f ca="1">_xlfn.IFNA(VLOOKUP(INDIRECT("G"&amp;ROW()),minfo!$A:$M,COLUMN()-8,0),"")</f>
        <v>0</v>
      </c>
      <c r="M846" s="4">
        <f ca="1">_xlfn.IFNA(VLOOKUP(INDIRECT("G"&amp;ROW()),minfo!$A:$M,COLUMN()-8,0),"")</f>
        <v>0</v>
      </c>
      <c r="N846" s="4">
        <f ca="1">_xlfn.IFNA(VLOOKUP(INDIRECT("G"&amp;ROW()),minfo!$A:$M,COLUMN()-8,0),"")</f>
        <v>0</v>
      </c>
      <c r="O846" s="4" t="str">
        <f ca="1">_xlfn.IFNA(VLOOKUP(INDIRECT("G"&amp;ROW()),minfo!$A:$M,COLUMN()-8,0),"")</f>
        <v>https://i0.hdslb.com/bfs/station_src/music_metadata/7fb7940860e18a3fa0b05d6850c81206.jpg</v>
      </c>
      <c r="P846" s="4" t="str">
        <f ca="1">_xlfn.IFNA(VLOOKUP(INDIRECT("G"&amp;ROW()),minfo!$A:$M,COLUMN()-8,0),"")</f>
        <v>http://i0.hdslb.com/bfs/station_src/music_metadata/ee3c6651e88071b7a1db572cbc6ce075</v>
      </c>
      <c r="Q846" s="4">
        <f ca="1">_xlfn.IFNA(VLOOKUP(INDIRECT("G"&amp;ROW()),minfo!$A:$M,COLUMN()-8,0),"")</f>
        <v>372</v>
      </c>
      <c r="R846" s="4">
        <f ca="1">_xlfn.IFNA(VLOOKUP(INDIRECT("G"&amp;ROW()),minfo!$A:$M,COLUMN()-8,0),"")</f>
        <v>0</v>
      </c>
      <c r="S846" s="4" t="str">
        <f ca="1">_xlfn.IFNA(VLOOKUP(INDIRECT("G"&amp;ROW()),minfo!$A:$M,COLUMN()-8,0),"")</f>
        <v>夜上海 国语老歌 第九辑</v>
      </c>
      <c r="T846" s="4">
        <f ca="1">_xlfn.IFNA(VLOOKUP(INDIRECT("G"&amp;ROW()),minfo!$A:$M,COLUMN()-8,0),"")</f>
        <v>91130644</v>
      </c>
      <c r="U846" s="4">
        <f ca="1">_xlfn.IFNA(VLOOKUP(INDIRECT("G"&amp;ROW()),minfo!$A:$M,COLUMN()-8,0),"")</f>
        <v>0</v>
      </c>
    </row>
    <row r="847" spans="1:21" ht="15.75" customHeight="1">
      <c r="A847" s="15">
        <v>846</v>
      </c>
      <c r="B847" s="4" t="s">
        <v>4436</v>
      </c>
      <c r="C847" s="4">
        <v>847</v>
      </c>
      <c r="D847" s="4">
        <v>61</v>
      </c>
      <c r="E847" s="4" t="s">
        <v>607</v>
      </c>
      <c r="F847" s="16">
        <v>44610</v>
      </c>
      <c r="G847" s="5" t="s">
        <v>606</v>
      </c>
      <c r="H847" s="5" t="s">
        <v>4375</v>
      </c>
      <c r="I847" s="24" t="str">
        <f>HYPERLINK("https://www.bilibili.com/video/BV1pY411t7Rb?p=61", "BV1pY411t7Rb?p=61")</f>
        <v>BV1pY411t7Rb?p=61</v>
      </c>
      <c r="J847" s="4" t="str">
        <f ca="1">_xlfn.IFNA(VLOOKUP(INDIRECT("G"&amp;ROW()),minfo!$A:$M,COLUMN()-8,0),"")</f>
        <v>紫</v>
      </c>
      <c r="K847" s="4" t="str">
        <f ca="1">_xlfn.IFNA(VLOOKUP(INDIRECT("G"&amp;ROW()),minfo!$A:$M,COLUMN()-8,0),"")</f>
        <v>蔡健雅</v>
      </c>
      <c r="L847" s="4">
        <f ca="1">_xlfn.IFNA(VLOOKUP(INDIRECT("G"&amp;ROW()),minfo!$A:$M,COLUMN()-8,0),"")</f>
        <v>0</v>
      </c>
      <c r="M847" s="4">
        <f ca="1">_xlfn.IFNA(VLOOKUP(INDIRECT("G"&amp;ROW()),minfo!$A:$M,COLUMN()-8,0),"")</f>
        <v>0</v>
      </c>
      <c r="N847" s="4">
        <f ca="1">_xlfn.IFNA(VLOOKUP(INDIRECT("G"&amp;ROW()),minfo!$A:$M,COLUMN()-8,0),"")</f>
        <v>0</v>
      </c>
      <c r="O847" s="4" t="str">
        <f ca="1">_xlfn.IFNA(VLOOKUP(INDIRECT("G"&amp;ROW()),minfo!$A:$M,COLUMN()-8,0),"")</f>
        <v>https://i0.hdslb.com/bfs/station_src/music_metadata/0ee1f50e85aaa87f457222254614ff14.jpg</v>
      </c>
      <c r="P847" s="4" t="str">
        <f ca="1">_xlfn.IFNA(VLOOKUP(INDIRECT("G"&amp;ROW()),minfo!$A:$M,COLUMN()-8,0),"")</f>
        <v>http://i0.hdslb.com/bfs/station_src/music_metadata/3f01cd76b8f7163484e41682aefb646c</v>
      </c>
      <c r="Q847" s="4">
        <f ca="1">_xlfn.IFNA(VLOOKUP(INDIRECT("G"&amp;ROW()),minfo!$A:$M,COLUMN()-8,0),"")</f>
        <v>1051</v>
      </c>
      <c r="R847" s="4" t="str">
        <f ca="1">_xlfn.IFNA(VLOOKUP(INDIRECT("G"&amp;ROW()),minfo!$A:$M,COLUMN()-8,0),"")</f>
        <v>《悟空传》电影插曲</v>
      </c>
      <c r="S847" s="4" t="str">
        <f ca="1">_xlfn.IFNA(VLOOKUP(INDIRECT("G"&amp;ROW()),minfo!$A:$M,COLUMN()-8,0),"")</f>
        <v>悟空传 电影音乐原声带</v>
      </c>
      <c r="T847" s="4">
        <f ca="1">_xlfn.IFNA(VLOOKUP(INDIRECT("G"&amp;ROW()),minfo!$A:$M,COLUMN()-8,0),"")</f>
        <v>114809007</v>
      </c>
      <c r="U847" s="4">
        <f ca="1">_xlfn.IFNA(VLOOKUP(INDIRECT("G"&amp;ROW()),minfo!$A:$M,COLUMN()-8,0),"")</f>
        <v>0</v>
      </c>
    </row>
    <row r="848" spans="1:21" ht="15.75" customHeight="1">
      <c r="A848" s="15">
        <v>847</v>
      </c>
      <c r="B848" s="4" t="s">
        <v>4437</v>
      </c>
      <c r="C848" s="4">
        <v>848</v>
      </c>
      <c r="D848" s="4">
        <v>62</v>
      </c>
      <c r="E848" s="4" t="s">
        <v>2012</v>
      </c>
      <c r="F848" s="16">
        <v>44611</v>
      </c>
      <c r="G848" s="5" t="s">
        <v>2011</v>
      </c>
      <c r="H848" s="5" t="s">
        <v>4375</v>
      </c>
      <c r="I848" s="24" t="str">
        <f>HYPERLINK("https://www.bilibili.com/video/BV1pY411t7Rb?p=62", "BV1pY411t7Rb?p=62")</f>
        <v>BV1pY411t7Rb?p=62</v>
      </c>
      <c r="J848" s="4" t="str">
        <f ca="1">_xlfn.IFNA(VLOOKUP(INDIRECT("G"&amp;ROW()),minfo!$A:$M,COLUMN()-8,0),"")</f>
        <v>知否知否</v>
      </c>
      <c r="K848" s="4" t="str">
        <f ca="1">_xlfn.IFNA(VLOOKUP(INDIRECT("G"&amp;ROW()),minfo!$A:$M,COLUMN()-8,0),"")</f>
        <v>胡夏,郁可唯</v>
      </c>
      <c r="L848" s="4">
        <f ca="1">_xlfn.IFNA(VLOOKUP(INDIRECT("G"&amp;ROW()),minfo!$A:$M,COLUMN()-8,0),"")</f>
        <v>0</v>
      </c>
      <c r="M848" s="4">
        <f ca="1">_xlfn.IFNA(VLOOKUP(INDIRECT("G"&amp;ROW()),minfo!$A:$M,COLUMN()-8,0),"")</f>
        <v>0</v>
      </c>
      <c r="N848" s="4">
        <f ca="1">_xlfn.IFNA(VLOOKUP(INDIRECT("G"&amp;ROW()),minfo!$A:$M,COLUMN()-8,0),"")</f>
        <v>0</v>
      </c>
      <c r="O848" s="4" t="str">
        <f ca="1">_xlfn.IFNA(VLOOKUP(INDIRECT("G"&amp;ROW()),minfo!$A:$M,COLUMN()-8,0),"")</f>
        <v>http://i0.hdslb.com/bfs/station_src/music_metadata/95894e72087c08133adecbe31e755eed.jpg</v>
      </c>
      <c r="P848" s="4" t="str">
        <f ca="1">_xlfn.IFNA(VLOOKUP(INDIRECT("G"&amp;ROW()),minfo!$A:$M,COLUMN()-8,0),"")</f>
        <v>http://i0.hdslb.com/bfs/station_src/music_metadata/d76c10f10df8c8eb0080ea2ccc5426f7</v>
      </c>
      <c r="Q848" s="4">
        <f ca="1">_xlfn.IFNA(VLOOKUP(INDIRECT("G"&amp;ROW()),minfo!$A:$M,COLUMN()-8,0),"")</f>
        <v>1499</v>
      </c>
      <c r="R848" s="4" t="str">
        <f ca="1">_xlfn.IFNA(VLOOKUP(INDIRECT("G"&amp;ROW()),minfo!$A:$M,COLUMN()-8,0),"")</f>
        <v>《知否知否应是绿肥红瘦》电视剧主题曲</v>
      </c>
      <c r="S848" s="4" t="str">
        <f ca="1">_xlfn.IFNA(VLOOKUP(INDIRECT("G"&amp;ROW()),minfo!$A:$M,COLUMN()-8,0),"")</f>
        <v>知否知否应是绿肥红瘦 电视剧原声带</v>
      </c>
      <c r="T848" s="4">
        <f ca="1">_xlfn.IFNA(VLOOKUP(INDIRECT("G"&amp;ROW()),minfo!$A:$M,COLUMN()-8,0),"")</f>
        <v>316782479</v>
      </c>
      <c r="U848" s="4">
        <f ca="1">_xlfn.IFNA(VLOOKUP(INDIRECT("G"&amp;ROW()),minfo!$A:$M,COLUMN()-8,0),"")</f>
        <v>0</v>
      </c>
    </row>
    <row r="849" spans="1:21" ht="15.75" customHeight="1">
      <c r="A849" s="15">
        <v>848</v>
      </c>
      <c r="B849" s="4" t="s">
        <v>4438</v>
      </c>
      <c r="C849" s="4">
        <v>849</v>
      </c>
      <c r="D849" s="4">
        <v>63</v>
      </c>
      <c r="E849" s="4" t="s">
        <v>2019</v>
      </c>
      <c r="F849" s="16">
        <v>44612</v>
      </c>
      <c r="G849" s="5" t="s">
        <v>2018</v>
      </c>
      <c r="H849" s="5" t="s">
        <v>4375</v>
      </c>
      <c r="I849" s="24" t="str">
        <f>HYPERLINK("https://www.bilibili.com/video/BV1pY411t7Rb?p=63", "BV1pY411t7Rb?p=63")</f>
        <v>BV1pY411t7Rb?p=63</v>
      </c>
      <c r="J849" s="4" t="str">
        <f ca="1">_xlfn.IFNA(VLOOKUP(INDIRECT("G"&amp;ROW()),minfo!$A:$M,COLUMN()-8,0),"")</f>
        <v>旅行的意义</v>
      </c>
      <c r="K849" s="4" t="str">
        <f ca="1">_xlfn.IFNA(VLOOKUP(INDIRECT("G"&amp;ROW()),minfo!$A:$M,COLUMN()-8,0),"")</f>
        <v>陈绮贞</v>
      </c>
      <c r="L849" s="4">
        <f ca="1">_xlfn.IFNA(VLOOKUP(INDIRECT("G"&amp;ROW()),minfo!$A:$M,COLUMN()-8,0),"")</f>
        <v>0</v>
      </c>
      <c r="M849" s="4">
        <f ca="1">_xlfn.IFNA(VLOOKUP(INDIRECT("G"&amp;ROW()),minfo!$A:$M,COLUMN()-8,0),"")</f>
        <v>0</v>
      </c>
      <c r="N849" s="4">
        <f ca="1">_xlfn.IFNA(VLOOKUP(INDIRECT("G"&amp;ROW()),minfo!$A:$M,COLUMN()-8,0),"")</f>
        <v>0</v>
      </c>
      <c r="O849" s="4" t="str">
        <f ca="1">_xlfn.IFNA(VLOOKUP(INDIRECT("G"&amp;ROW()),minfo!$A:$M,COLUMN()-8,0),"")</f>
        <v>http://i0.hdslb.com/bfs/station_src/music_metadata/2b0c2cad07b79b12d23cb24f8c50ae7b.jpg</v>
      </c>
      <c r="P849" s="4" t="str">
        <f ca="1">_xlfn.IFNA(VLOOKUP(INDIRECT("G"&amp;ROW()),minfo!$A:$M,COLUMN()-8,0),"")</f>
        <v>http://i0.hdslb.com/bfs/station_src/music_metadata/2c4df6b11c6cac09c286412f7318f1fa</v>
      </c>
      <c r="Q849" s="4">
        <f ca="1">_xlfn.IFNA(VLOOKUP(INDIRECT("G"&amp;ROW()),minfo!$A:$M,COLUMN()-8,0),"")</f>
        <v>152</v>
      </c>
      <c r="R849" s="4">
        <f ca="1">_xlfn.IFNA(VLOOKUP(INDIRECT("G"&amp;ROW()),minfo!$A:$M,COLUMN()-8,0),"")</f>
        <v>0</v>
      </c>
      <c r="S849" s="4" t="str">
        <f ca="1">_xlfn.IFNA(VLOOKUP(INDIRECT("G"&amp;ROW()),minfo!$A:$M,COLUMN()-8,0),"")</f>
        <v>旅行的意义</v>
      </c>
      <c r="T849" s="4">
        <f ca="1">_xlfn.IFNA(VLOOKUP(INDIRECT("G"&amp;ROW()),minfo!$A:$M,COLUMN()-8,0),"")</f>
        <v>63639298</v>
      </c>
      <c r="U849" s="4">
        <f ca="1">_xlfn.IFNA(VLOOKUP(INDIRECT("G"&amp;ROW()),minfo!$A:$M,COLUMN()-8,0),"")</f>
        <v>0</v>
      </c>
    </row>
    <row r="850" spans="1:21" ht="15.75" customHeight="1">
      <c r="A850" s="15">
        <v>849</v>
      </c>
      <c r="B850" s="4" t="s">
        <v>4439</v>
      </c>
      <c r="C850" s="4">
        <v>850</v>
      </c>
      <c r="D850" s="4">
        <v>64</v>
      </c>
      <c r="E850" s="4" t="s">
        <v>4440</v>
      </c>
      <c r="F850" s="16">
        <v>44614</v>
      </c>
      <c r="G850" s="5" t="s">
        <v>2023</v>
      </c>
      <c r="H850" s="5" t="s">
        <v>4375</v>
      </c>
      <c r="I850" s="24" t="str">
        <f>HYPERLINK("https://www.bilibili.com/video/BV1pY411t7Rb?p=64", "BV1pY411t7Rb?p=64")</f>
        <v>BV1pY411t7Rb?p=64</v>
      </c>
      <c r="J850" s="4" t="str">
        <f ca="1">_xlfn.IFNA(VLOOKUP(INDIRECT("G"&amp;ROW()),minfo!$A:$M,COLUMN()-8,0),"")</f>
        <v>Say So</v>
      </c>
      <c r="K850" s="4" t="str">
        <f ca="1">_xlfn.IFNA(VLOOKUP(INDIRECT("G"&amp;ROW()),minfo!$A:$M,COLUMN()-8,0),"")</f>
        <v>Doja Cat</v>
      </c>
      <c r="L850" s="4">
        <f ca="1">_xlfn.IFNA(VLOOKUP(INDIRECT("G"&amp;ROW()),minfo!$A:$M,COLUMN()-8,0),"")</f>
        <v>0</v>
      </c>
      <c r="M850" s="4">
        <f ca="1">_xlfn.IFNA(VLOOKUP(INDIRECT("G"&amp;ROW()),minfo!$A:$M,COLUMN()-8,0),"")</f>
        <v>0</v>
      </c>
      <c r="N850" s="4">
        <f ca="1">_xlfn.IFNA(VLOOKUP(INDIRECT("G"&amp;ROW()),minfo!$A:$M,COLUMN()-8,0),"")</f>
        <v>0</v>
      </c>
      <c r="O850" s="4" t="str">
        <f ca="1">_xlfn.IFNA(VLOOKUP(INDIRECT("G"&amp;ROW()),minfo!$A:$M,COLUMN()-8,0),"")</f>
        <v>https://i0.hdslb.com/bfs/station_src/music_metadata/2c4882806398a76b6dfb3bca3396647d.jpg</v>
      </c>
      <c r="P850" s="4" t="str">
        <f ca="1">_xlfn.IFNA(VLOOKUP(INDIRECT("G"&amp;ROW()),minfo!$A:$M,COLUMN()-8,0),"")</f>
        <v>http://i0.hdslb.com/bfs/station_src/music_metadata/b716b0e8c2e4e29d9db6bcc0ea0c0dd4</v>
      </c>
      <c r="Q850" s="4">
        <f ca="1">_xlfn.IFNA(VLOOKUP(INDIRECT("G"&amp;ROW()),minfo!$A:$M,COLUMN()-8,0),"")</f>
        <v>11672</v>
      </c>
      <c r="R850" s="4">
        <f ca="1">_xlfn.IFNA(VLOOKUP(INDIRECT("G"&amp;ROW()),minfo!$A:$M,COLUMN()-8,0),"")</f>
        <v>0</v>
      </c>
      <c r="S850" s="4" t="str">
        <f ca="1">_xlfn.IFNA(VLOOKUP(INDIRECT("G"&amp;ROW()),minfo!$A:$M,COLUMN()-8,0),"")</f>
        <v>Hot Pink (Explicit)</v>
      </c>
      <c r="T850" s="4">
        <f ca="1">_xlfn.IFNA(VLOOKUP(INDIRECT("G"&amp;ROW()),minfo!$A:$M,COLUMN()-8,0),"")</f>
        <v>685097488</v>
      </c>
      <c r="U850" s="4">
        <f ca="1">_xlfn.IFNA(VLOOKUP(INDIRECT("G"&amp;ROW()),minfo!$A:$M,COLUMN()-8,0),"")</f>
        <v>0</v>
      </c>
    </row>
    <row r="851" spans="1:21" ht="15.75" customHeight="1">
      <c r="A851" s="15">
        <v>850</v>
      </c>
      <c r="B851" s="4" t="s">
        <v>4441</v>
      </c>
      <c r="C851" s="4">
        <v>851</v>
      </c>
      <c r="D851" s="4">
        <v>65</v>
      </c>
      <c r="E851" s="4" t="s">
        <v>2030</v>
      </c>
      <c r="F851" s="16">
        <v>44614</v>
      </c>
      <c r="G851" s="5" t="s">
        <v>2029</v>
      </c>
      <c r="H851" s="5" t="s">
        <v>4375</v>
      </c>
      <c r="I851" s="24" t="str">
        <f>HYPERLINK("https://www.bilibili.com/video/BV1pY411t7Rb?p=65", "BV1pY411t7Rb?p=65")</f>
        <v>BV1pY411t7Rb?p=65</v>
      </c>
      <c r="J851" s="4" t="str">
        <f ca="1">_xlfn.IFNA(VLOOKUP(INDIRECT("G"&amp;ROW()),minfo!$A:$M,COLUMN()-8,0),"")</f>
        <v>你被写在我的歌里</v>
      </c>
      <c r="K851" s="4" t="str">
        <f ca="1">_xlfn.IFNA(VLOOKUP(INDIRECT("G"&amp;ROW()),minfo!$A:$M,COLUMN()-8,0),"")</f>
        <v>苏打绿,Ella陈嘉桦</v>
      </c>
      <c r="L851" s="4">
        <f ca="1">_xlfn.IFNA(VLOOKUP(INDIRECT("G"&amp;ROW()),minfo!$A:$M,COLUMN()-8,0),"")</f>
        <v>0</v>
      </c>
      <c r="M851" s="4">
        <f ca="1">_xlfn.IFNA(VLOOKUP(INDIRECT("G"&amp;ROW()),minfo!$A:$M,COLUMN()-8,0),"")</f>
        <v>0</v>
      </c>
      <c r="N851" s="4">
        <f ca="1">_xlfn.IFNA(VLOOKUP(INDIRECT("G"&amp;ROW()),minfo!$A:$M,COLUMN()-8,0),"")</f>
        <v>0</v>
      </c>
      <c r="O851" s="4" t="str">
        <f ca="1">_xlfn.IFNA(VLOOKUP(INDIRECT("G"&amp;ROW()),minfo!$A:$M,COLUMN()-8,0),"")</f>
        <v>https://i0.hdslb.com/bfs/station_src/music_metadata/0efd1d645b5569027c60d8a7e266060b.jpg</v>
      </c>
      <c r="P851" s="4" t="str">
        <f ca="1">_xlfn.IFNA(VLOOKUP(INDIRECT("G"&amp;ROW()),minfo!$A:$M,COLUMN()-8,0),"")</f>
        <v>http://i0.hdslb.com/bfs/station_src/music_metadata/c10c28818a304d5b95d6904829eb8ba7</v>
      </c>
      <c r="Q851" s="4">
        <f ca="1">_xlfn.IFNA(VLOOKUP(INDIRECT("G"&amp;ROW()),minfo!$A:$M,COLUMN()-8,0),"")</f>
        <v>131</v>
      </c>
      <c r="R851" s="4">
        <f ca="1">_xlfn.IFNA(VLOOKUP(INDIRECT("G"&amp;ROW()),minfo!$A:$M,COLUMN()-8,0),"")</f>
        <v>0</v>
      </c>
      <c r="S851" s="4" t="str">
        <f ca="1">_xlfn.IFNA(VLOOKUP(INDIRECT("G"&amp;ROW()),minfo!$A:$M,COLUMN()-8,0),"")</f>
        <v>Walk Together Live 2012台北小巨蛋演唱会</v>
      </c>
      <c r="T851" s="4">
        <f ca="1">_xlfn.IFNA(VLOOKUP(INDIRECT("G"&amp;ROW()),minfo!$A:$M,COLUMN()-8,0),"")</f>
        <v>46588974</v>
      </c>
      <c r="U851" s="4">
        <f ca="1">_xlfn.IFNA(VLOOKUP(INDIRECT("G"&amp;ROW()),minfo!$A:$M,COLUMN()-8,0),"")</f>
        <v>0</v>
      </c>
    </row>
    <row r="852" spans="1:21" ht="15.75" customHeight="1">
      <c r="A852" s="15">
        <v>851</v>
      </c>
      <c r="B852" s="4" t="s">
        <v>4442</v>
      </c>
      <c r="C852" s="4">
        <v>852</v>
      </c>
      <c r="D852" s="4">
        <v>66</v>
      </c>
      <c r="E852" s="4" t="s">
        <v>1867</v>
      </c>
      <c r="F852" s="16">
        <v>44614</v>
      </c>
      <c r="G852" s="5" t="s">
        <v>1866</v>
      </c>
      <c r="H852" s="5" t="s">
        <v>4375</v>
      </c>
      <c r="I852" s="24" t="str">
        <f>HYPERLINK("https://www.bilibili.com/video/BV1pY411t7Rb?p=66", "BV1pY411t7Rb?p=66")</f>
        <v>BV1pY411t7Rb?p=66</v>
      </c>
      <c r="J852" s="4" t="str">
        <f ca="1">_xlfn.IFNA(VLOOKUP(INDIRECT("G"&amp;ROW()),minfo!$A:$M,COLUMN()-8,0),"")</f>
        <v>冬眠</v>
      </c>
      <c r="K852" s="4" t="str">
        <f ca="1">_xlfn.IFNA(VLOOKUP(INDIRECT("G"&amp;ROW()),minfo!$A:$M,COLUMN()-8,0),"")</f>
        <v>司南</v>
      </c>
      <c r="L852" s="4">
        <f ca="1">_xlfn.IFNA(VLOOKUP(INDIRECT("G"&amp;ROW()),minfo!$A:$M,COLUMN()-8,0),"")</f>
        <v>0</v>
      </c>
      <c r="M852" s="4">
        <f ca="1">_xlfn.IFNA(VLOOKUP(INDIRECT("G"&amp;ROW()),minfo!$A:$M,COLUMN()-8,0),"")</f>
        <v>0</v>
      </c>
      <c r="N852" s="4">
        <f ca="1">_xlfn.IFNA(VLOOKUP(INDIRECT("G"&amp;ROW()),minfo!$A:$M,COLUMN()-8,0),"")</f>
        <v>0</v>
      </c>
      <c r="O852" s="4" t="str">
        <f ca="1">_xlfn.IFNA(VLOOKUP(INDIRECT("G"&amp;ROW()),minfo!$A:$M,COLUMN()-8,0),"")</f>
        <v>https://i0.hdslb.com/bfs/station_src/music_metadata/af7f85ba04e20b74bd2d2f9c594d0f9e.jpg</v>
      </c>
      <c r="P852" s="4" t="str">
        <f ca="1">_xlfn.IFNA(VLOOKUP(INDIRECT("G"&amp;ROW()),minfo!$A:$M,COLUMN()-8,0),"")</f>
        <v>http://i0.hdslb.com/bfs/station_src/music_metadata/0697acb207ba1205710a76aa2cdbcb72</v>
      </c>
      <c r="Q852" s="4">
        <f ca="1">_xlfn.IFNA(VLOOKUP(INDIRECT("G"&amp;ROW()),minfo!$A:$M,COLUMN()-8,0),"")</f>
        <v>1234</v>
      </c>
      <c r="R852" s="4">
        <f ca="1">_xlfn.IFNA(VLOOKUP(INDIRECT("G"&amp;ROW()),minfo!$A:$M,COLUMN()-8,0),"")</f>
        <v>0</v>
      </c>
      <c r="S852" s="4" t="str">
        <f ca="1">_xlfn.IFNA(VLOOKUP(INDIRECT("G"&amp;ROW()),minfo!$A:$M,COLUMN()-8,0),"")</f>
        <v>冬眠</v>
      </c>
      <c r="T852" s="4">
        <f ca="1">_xlfn.IFNA(VLOOKUP(INDIRECT("G"&amp;ROW()),minfo!$A:$M,COLUMN()-8,0),"")</f>
        <v>278158388</v>
      </c>
      <c r="U852" s="4">
        <f ca="1">_xlfn.IFNA(VLOOKUP(INDIRECT("G"&amp;ROW()),minfo!$A:$M,COLUMN()-8,0),"")</f>
        <v>0</v>
      </c>
    </row>
    <row r="853" spans="1:21" ht="15.75" customHeight="1">
      <c r="A853" s="15">
        <v>852</v>
      </c>
      <c r="B853" s="4" t="s">
        <v>4443</v>
      </c>
      <c r="C853" s="4">
        <v>853</v>
      </c>
      <c r="D853" s="4">
        <v>67</v>
      </c>
      <c r="E853" s="4" t="s">
        <v>2036</v>
      </c>
      <c r="F853" s="16">
        <v>44614</v>
      </c>
      <c r="G853" s="5" t="s">
        <v>2035</v>
      </c>
      <c r="H853" s="5" t="s">
        <v>4375</v>
      </c>
      <c r="I853" s="24" t="str">
        <f>HYPERLINK("https://www.bilibili.com/video/BV1pY411t7Rb?p=67", "BV1pY411t7Rb?p=67")</f>
        <v>BV1pY411t7Rb?p=67</v>
      </c>
      <c r="J853" s="4" t="str">
        <f ca="1">_xlfn.IFNA(VLOOKUP(INDIRECT("G"&amp;ROW()),minfo!$A:$M,COLUMN()-8,0),"")</f>
        <v>孤勇者</v>
      </c>
      <c r="K853" s="4" t="str">
        <f ca="1">_xlfn.IFNA(VLOOKUP(INDIRECT("G"&amp;ROW()),minfo!$A:$M,COLUMN()-8,0),"")</f>
        <v>陈奕迅</v>
      </c>
      <c r="L853" s="4">
        <f ca="1">_xlfn.IFNA(VLOOKUP(INDIRECT("G"&amp;ROW()),minfo!$A:$M,COLUMN()-8,0),"")</f>
        <v>0</v>
      </c>
      <c r="M853" s="4">
        <f ca="1">_xlfn.IFNA(VLOOKUP(INDIRECT("G"&amp;ROW()),minfo!$A:$M,COLUMN()-8,0),"")</f>
        <v>1948052</v>
      </c>
      <c r="N853" s="4">
        <f ca="1">_xlfn.IFNA(VLOOKUP(INDIRECT("G"&amp;ROW()),minfo!$A:$M,COLUMN()-8,0),"")</f>
        <v>295694</v>
      </c>
      <c r="O853" s="4" t="str">
        <f ca="1">_xlfn.IFNA(VLOOKUP(INDIRECT("G"&amp;ROW()),minfo!$A:$M,COLUMN()-8,0),"")</f>
        <v>https://i0.hdslb.com/bfs/station_src/music_metadata/53caab26783be0269825917e75c68c60.jpg</v>
      </c>
      <c r="P853" s="4" t="str">
        <f ca="1">_xlfn.IFNA(VLOOKUP(INDIRECT("G"&amp;ROW()),minfo!$A:$M,COLUMN()-8,0),"")</f>
        <v>http://i0.hdslb.com/bfs/station_src/music_metadata/e0953609612d1dfbccdd6909a88428a2</v>
      </c>
      <c r="Q853" s="4">
        <f ca="1">_xlfn.IFNA(VLOOKUP(INDIRECT("G"&amp;ROW()),minfo!$A:$M,COLUMN()-8,0),"")</f>
        <v>2054</v>
      </c>
      <c r="R853" s="4" t="str">
        <f ca="1">_xlfn.IFNA(VLOOKUP(INDIRECT("G"&amp;ROW()),minfo!$A:$M,COLUMN()-8,0),"")</f>
        <v>《英雄联盟：双城之战》动画剧集中文主题曲</v>
      </c>
      <c r="S853" s="4" t="str">
        <f ca="1">_xlfn.IFNA(VLOOKUP(INDIRECT("G"&amp;ROW()),minfo!$A:$M,COLUMN()-8,0),"")</f>
        <v>孤勇者</v>
      </c>
      <c r="T853" s="4">
        <f ca="1">_xlfn.IFNA(VLOOKUP(INDIRECT("G"&amp;ROW()),minfo!$A:$M,COLUMN()-8,0),"")</f>
        <v>2817053025</v>
      </c>
      <c r="U853" s="4" t="str">
        <f ca="1">_xlfn.IFNA(VLOOKUP(INDIRECT("G"&amp;ROW()),minfo!$A:$M,COLUMN()-8,0),"")</f>
        <v>音乐榜最高NO.3</v>
      </c>
    </row>
    <row r="854" spans="1:21" ht="15.75" customHeight="1">
      <c r="A854" s="15">
        <v>853</v>
      </c>
      <c r="B854" s="4" t="s">
        <v>4444</v>
      </c>
      <c r="C854" s="4">
        <v>854</v>
      </c>
      <c r="D854" s="4">
        <v>68</v>
      </c>
      <c r="E854" s="4" t="s">
        <v>93</v>
      </c>
      <c r="F854" s="16">
        <v>44614</v>
      </c>
      <c r="G854" s="5" t="s">
        <v>273</v>
      </c>
      <c r="H854" s="5" t="s">
        <v>4375</v>
      </c>
      <c r="I854" s="24" t="str">
        <f>HYPERLINK("https://www.bilibili.com/video/BV1pY411t7Rb?p=68", "BV1pY411t7Rb?p=68")</f>
        <v>BV1pY411t7Rb?p=68</v>
      </c>
      <c r="J854" s="4" t="str">
        <f ca="1">_xlfn.IFNA(VLOOKUP(INDIRECT("G"&amp;ROW()),minfo!$A:$M,COLUMN()-8,0),"")</f>
        <v>罗敷</v>
      </c>
      <c r="K854" s="4" t="str">
        <f ca="1">_xlfn.IFNA(VLOOKUP(INDIRECT("G"&amp;ROW()),minfo!$A:$M,COLUMN()-8,0),"")</f>
        <v>说说Crystal</v>
      </c>
      <c r="L854" s="4">
        <f ca="1">_xlfn.IFNA(VLOOKUP(INDIRECT("G"&amp;ROW()),minfo!$A:$M,COLUMN()-8,0),"")</f>
        <v>0</v>
      </c>
      <c r="M854" s="4">
        <f ca="1">_xlfn.IFNA(VLOOKUP(INDIRECT("G"&amp;ROW()),minfo!$A:$M,COLUMN()-8,0),"")</f>
        <v>0</v>
      </c>
      <c r="N854" s="4">
        <f ca="1">_xlfn.IFNA(VLOOKUP(INDIRECT("G"&amp;ROW()),minfo!$A:$M,COLUMN()-8,0),"")</f>
        <v>0</v>
      </c>
      <c r="O854" s="4" t="str">
        <f ca="1">_xlfn.IFNA(VLOOKUP(INDIRECT("G"&amp;ROW()),minfo!$A:$M,COLUMN()-8,0),"")</f>
        <v>https://i0.hdslb.com/bfs/station_src/music_metadata/1b7b9e3e2c4c793577a84986cdadb2cc.jpg</v>
      </c>
      <c r="P854" s="4">
        <f ca="1">_xlfn.IFNA(VLOOKUP(INDIRECT("G"&amp;ROW()),minfo!$A:$M,COLUMN()-8,0),"")</f>
        <v>0</v>
      </c>
      <c r="Q854" s="4">
        <f ca="1">_xlfn.IFNA(VLOOKUP(INDIRECT("G"&amp;ROW()),minfo!$A:$M,COLUMN()-8,0),"")</f>
        <v>0</v>
      </c>
      <c r="R854" s="4">
        <f ca="1">_xlfn.IFNA(VLOOKUP(INDIRECT("G"&amp;ROW()),minfo!$A:$M,COLUMN()-8,0),"")</f>
        <v>0</v>
      </c>
      <c r="S854" s="4" t="str">
        <f ca="1">_xlfn.IFNA(VLOOKUP(INDIRECT("G"&amp;ROW()),minfo!$A:$M,COLUMN()-8,0),"")</f>
        <v>【说说·原创】这一曲只倾心于你 |《罗敷》</v>
      </c>
      <c r="T854" s="4">
        <f ca="1">_xlfn.IFNA(VLOOKUP(INDIRECT("G"&amp;ROW()),minfo!$A:$M,COLUMN()-8,0),"")</f>
        <v>323164</v>
      </c>
      <c r="U854" s="4">
        <f ca="1">_xlfn.IFNA(VLOOKUP(INDIRECT("G"&amp;ROW()),minfo!$A:$M,COLUMN()-8,0),"")</f>
        <v>0</v>
      </c>
    </row>
    <row r="855" spans="1:21" ht="15.75" customHeight="1">
      <c r="A855" s="15">
        <v>854</v>
      </c>
      <c r="B855" s="4" t="s">
        <v>4445</v>
      </c>
      <c r="C855" s="4">
        <v>855</v>
      </c>
      <c r="D855" s="4">
        <v>69</v>
      </c>
      <c r="E855" s="4" t="s">
        <v>4446</v>
      </c>
      <c r="F855" s="16">
        <v>44614</v>
      </c>
      <c r="G855" s="5" t="s">
        <v>2041</v>
      </c>
      <c r="H855" s="5" t="s">
        <v>4375</v>
      </c>
      <c r="I855" s="24" t="str">
        <f>HYPERLINK("https://www.bilibili.com/video/BV1pY411t7Rb?p=69", "BV1pY411t7Rb?p=69")</f>
        <v>BV1pY411t7Rb?p=69</v>
      </c>
      <c r="J855" s="4" t="str">
        <f ca="1">_xlfn.IFNA(VLOOKUP(INDIRECT("G"&amp;ROW()),minfo!$A:$M,COLUMN()-8,0),"")</f>
        <v>盗墓笔记·十年人间</v>
      </c>
      <c r="K855" s="4" t="str">
        <f ca="1">_xlfn.IFNA(VLOOKUP(INDIRECT("G"&amp;ROW()),minfo!$A:$M,COLUMN()-8,0),"")</f>
        <v>李常超（Lao乾妈）</v>
      </c>
      <c r="L855" s="4">
        <f ca="1">_xlfn.IFNA(VLOOKUP(INDIRECT("G"&amp;ROW()),minfo!$A:$M,COLUMN()-8,0),"")</f>
        <v>0</v>
      </c>
      <c r="M855" s="4">
        <f ca="1">_xlfn.IFNA(VLOOKUP(INDIRECT("G"&amp;ROW()),minfo!$A:$M,COLUMN()-8,0),"")</f>
        <v>0</v>
      </c>
      <c r="N855" s="4">
        <f ca="1">_xlfn.IFNA(VLOOKUP(INDIRECT("G"&amp;ROW()),minfo!$A:$M,COLUMN()-8,0),"")</f>
        <v>0</v>
      </c>
      <c r="O855" s="4" t="str">
        <f ca="1">_xlfn.IFNA(VLOOKUP(INDIRECT("G"&amp;ROW()),minfo!$A:$M,COLUMN()-8,0),"")</f>
        <v>http://i0.hdslb.com/bfs/station_src/music_metadata/f02ef47c39ebf13d7f02fa051f0b00d3.jpg</v>
      </c>
      <c r="P855" s="4" t="str">
        <f ca="1">_xlfn.IFNA(VLOOKUP(INDIRECT("G"&amp;ROW()),minfo!$A:$M,COLUMN()-8,0),"")</f>
        <v>http://i0.hdslb.com/bfs/station_src/music_metadata/d28ace2ca785194a4bdce4eba0b1b36b</v>
      </c>
      <c r="Q855" s="4">
        <f ca="1">_xlfn.IFNA(VLOOKUP(INDIRECT("G"&amp;ROW()),minfo!$A:$M,COLUMN()-8,0),"")</f>
        <v>5878</v>
      </c>
      <c r="R855" s="4" t="str">
        <f ca="1">_xlfn.IFNA(VLOOKUP(INDIRECT("G"&amp;ROW()),minfo!$A:$M,COLUMN()-8,0),"")</f>
        <v>盗墓笔记·十年人间</v>
      </c>
      <c r="S855" s="4" t="str">
        <f ca="1">_xlfn.IFNA(VLOOKUP(INDIRECT("G"&amp;ROW()),minfo!$A:$M,COLUMN()-8,0),"")</f>
        <v>盗墓笔记·十年人间</v>
      </c>
      <c r="T855" s="4">
        <f ca="1">_xlfn.IFNA(VLOOKUP(INDIRECT("G"&amp;ROW()),minfo!$A:$M,COLUMN()-8,0),"")</f>
        <v>806381776</v>
      </c>
      <c r="U855" s="4" t="str">
        <f ca="1">_xlfn.IFNA(VLOOKUP(INDIRECT("G"&amp;ROW()),minfo!$A:$M,COLUMN()-8,0),"")</f>
        <v>音乐榜最高NO.7</v>
      </c>
    </row>
    <row r="856" spans="1:21" ht="15.75" customHeight="1">
      <c r="A856" s="15">
        <v>855</v>
      </c>
      <c r="B856" s="4" t="s">
        <v>4447</v>
      </c>
      <c r="C856" s="4">
        <v>856</v>
      </c>
      <c r="D856" s="4">
        <v>70</v>
      </c>
      <c r="E856" s="4" t="s">
        <v>1365</v>
      </c>
      <c r="F856" s="16">
        <v>44614</v>
      </c>
      <c r="G856" s="5" t="s">
        <v>1364</v>
      </c>
      <c r="H856" s="5" t="s">
        <v>4375</v>
      </c>
      <c r="I856" s="24" t="str">
        <f>HYPERLINK("https://www.bilibili.com/video/BV1pY411t7Rb?p=70", "BV1pY411t7Rb?p=70")</f>
        <v>BV1pY411t7Rb?p=70</v>
      </c>
      <c r="J856" s="4" t="str">
        <f ca="1">_xlfn.IFNA(VLOOKUP(INDIRECT("G"&amp;ROW()),minfo!$A:$M,COLUMN()-8,0),"")</f>
        <v>芦花</v>
      </c>
      <c r="K856" s="4" t="str">
        <f ca="1">_xlfn.IFNA(VLOOKUP(INDIRECT("G"&amp;ROW()),minfo!$A:$M,COLUMN()-8,0),"")</f>
        <v>雷佳</v>
      </c>
      <c r="L856" s="4">
        <f ca="1">_xlfn.IFNA(VLOOKUP(INDIRECT("G"&amp;ROW()),minfo!$A:$M,COLUMN()-8,0),"")</f>
        <v>0</v>
      </c>
      <c r="M856" s="4">
        <f ca="1">_xlfn.IFNA(VLOOKUP(INDIRECT("G"&amp;ROW()),minfo!$A:$M,COLUMN()-8,0),"")</f>
        <v>0</v>
      </c>
      <c r="N856" s="4">
        <f ca="1">_xlfn.IFNA(VLOOKUP(INDIRECT("G"&amp;ROW()),minfo!$A:$M,COLUMN()-8,0),"")</f>
        <v>0</v>
      </c>
      <c r="O856" s="4" t="str">
        <f ca="1">_xlfn.IFNA(VLOOKUP(INDIRECT("G"&amp;ROW()),minfo!$A:$M,COLUMN()-8,0),"")</f>
        <v>https://i0.hdslb.com/bfs/station_src/music_metadata/5d10069250016b4dc0f3b44677f25d40.jpg</v>
      </c>
      <c r="P856" s="4" t="str">
        <f ca="1">_xlfn.IFNA(VLOOKUP(INDIRECT("G"&amp;ROW()),minfo!$A:$M,COLUMN()-8,0),"")</f>
        <v>https://i0.hdslb.com/bfs/station_src/music_metadata/d73271ada4973630cf18fe263ae525c3.txt</v>
      </c>
      <c r="Q856" s="4">
        <f ca="1">_xlfn.IFNA(VLOOKUP(INDIRECT("G"&amp;ROW()),minfo!$A:$M,COLUMN()-8,0),"")</f>
        <v>7</v>
      </c>
      <c r="R856" s="4">
        <f ca="1">_xlfn.IFNA(VLOOKUP(INDIRECT("G"&amp;ROW()),minfo!$A:$M,COLUMN()-8,0),"")</f>
        <v>0</v>
      </c>
      <c r="S856" s="4" t="str">
        <f ca="1">_xlfn.IFNA(VLOOKUP(INDIRECT("G"&amp;ROW()),minfo!$A:$M,COLUMN()-8,0),"")</f>
        <v>一人一首成名曲10</v>
      </c>
      <c r="T856" s="4">
        <f ca="1">_xlfn.IFNA(VLOOKUP(INDIRECT("G"&amp;ROW()),minfo!$A:$M,COLUMN()-8,0),"")</f>
        <v>2752773</v>
      </c>
      <c r="U856" s="4">
        <f ca="1">_xlfn.IFNA(VLOOKUP(INDIRECT("G"&amp;ROW()),minfo!$A:$M,COLUMN()-8,0),"")</f>
        <v>0</v>
      </c>
    </row>
    <row r="857" spans="1:21" ht="15.75" customHeight="1">
      <c r="A857" s="15">
        <v>856</v>
      </c>
      <c r="B857" s="4" t="s">
        <v>4448</v>
      </c>
      <c r="C857" s="4">
        <v>857</v>
      </c>
      <c r="D857" s="4">
        <v>71</v>
      </c>
      <c r="E857" s="4" t="s">
        <v>930</v>
      </c>
      <c r="F857" s="16">
        <v>44614</v>
      </c>
      <c r="G857" s="5" t="s">
        <v>929</v>
      </c>
      <c r="H857" s="5" t="s">
        <v>4375</v>
      </c>
      <c r="I857" s="24" t="str">
        <f>HYPERLINK("https://www.bilibili.com/video/BV1pY411t7Rb?p=71", "BV1pY411t7Rb?p=71")</f>
        <v>BV1pY411t7Rb?p=71</v>
      </c>
      <c r="J857" s="4" t="str">
        <f ca="1">_xlfn.IFNA(VLOOKUP(INDIRECT("G"&amp;ROW()),minfo!$A:$M,COLUMN()-8,0),"")</f>
        <v>蝶恋花</v>
      </c>
      <c r="K857" s="4" t="str">
        <f ca="1">_xlfn.IFNA(VLOOKUP(INDIRECT("G"&amp;ROW()),minfo!$A:$M,COLUMN()-8,0),"")</f>
        <v>说说Crystal</v>
      </c>
      <c r="L857" s="4">
        <f ca="1">_xlfn.IFNA(VLOOKUP(INDIRECT("G"&amp;ROW()),minfo!$A:$M,COLUMN()-8,0),"")</f>
        <v>0</v>
      </c>
      <c r="M857" s="4">
        <f ca="1">_xlfn.IFNA(VLOOKUP(INDIRECT("G"&amp;ROW()),minfo!$A:$M,COLUMN()-8,0),"")</f>
        <v>0</v>
      </c>
      <c r="N857" s="4">
        <f ca="1">_xlfn.IFNA(VLOOKUP(INDIRECT("G"&amp;ROW()),minfo!$A:$M,COLUMN()-8,0),"")</f>
        <v>0</v>
      </c>
      <c r="O857" s="4" t="str">
        <f ca="1">_xlfn.IFNA(VLOOKUP(INDIRECT("G"&amp;ROW()),minfo!$A:$M,COLUMN()-8,0),"")</f>
        <v>https://i0.hdslb.com/bfs/station_src/music_metadata/1f79684c02756b9086386bb0054e5df4.jpg</v>
      </c>
      <c r="P857" s="4" t="str">
        <f ca="1">_xlfn.IFNA(VLOOKUP(INDIRECT("G"&amp;ROW()),minfo!$A:$M,COLUMN()-8,0),"")</f>
        <v>https://i0.hdslb.com/bfs/station_src/music_metadata/4f297640d47e7f96e96f64cfd258bb5f.txt</v>
      </c>
      <c r="Q857" s="4">
        <f ca="1">_xlfn.IFNA(VLOOKUP(INDIRECT("G"&amp;ROW()),minfo!$A:$M,COLUMN()-8,0),"")</f>
        <v>1</v>
      </c>
      <c r="R857" s="4">
        <f ca="1">_xlfn.IFNA(VLOOKUP(INDIRECT("G"&amp;ROW()),minfo!$A:$M,COLUMN()-8,0),"")</f>
        <v>0</v>
      </c>
      <c r="S857" s="4" t="str">
        <f ca="1">_xlfn.IFNA(VLOOKUP(INDIRECT("G"&amp;ROW()),minfo!$A:$M,COLUMN()-8,0),"")</f>
        <v>蝶恋花</v>
      </c>
      <c r="T857" s="4">
        <f ca="1">_xlfn.IFNA(VLOOKUP(INDIRECT("G"&amp;ROW()),minfo!$A:$M,COLUMN()-8,0),"")</f>
        <v>514547</v>
      </c>
      <c r="U857" s="4">
        <f ca="1">_xlfn.IFNA(VLOOKUP(INDIRECT("G"&amp;ROW()),minfo!$A:$M,COLUMN()-8,0),"")</f>
        <v>0</v>
      </c>
    </row>
    <row r="858" spans="1:21" ht="15.75" customHeight="1">
      <c r="A858" s="15">
        <v>857</v>
      </c>
      <c r="B858" s="4" t="s">
        <v>4449</v>
      </c>
      <c r="C858" s="4">
        <v>858</v>
      </c>
      <c r="D858" s="4">
        <v>72</v>
      </c>
      <c r="E858" s="4" t="s">
        <v>655</v>
      </c>
      <c r="F858" s="16">
        <v>44614</v>
      </c>
      <c r="G858" s="5" t="s">
        <v>654</v>
      </c>
      <c r="H858" s="5" t="s">
        <v>4375</v>
      </c>
      <c r="I858" s="24" t="str">
        <f>HYPERLINK("https://www.bilibili.com/video/BV1pY411t7Rb?p=72", "BV1pY411t7Rb?p=72")</f>
        <v>BV1pY411t7Rb?p=72</v>
      </c>
      <c r="J858" s="4" t="str">
        <f ca="1">_xlfn.IFNA(VLOOKUP(INDIRECT("G"&amp;ROW()),minfo!$A:$M,COLUMN()-8,0),"")</f>
        <v>路过人间</v>
      </c>
      <c r="K858" s="4" t="str">
        <f ca="1">_xlfn.IFNA(VLOOKUP(INDIRECT("G"&amp;ROW()),minfo!$A:$M,COLUMN()-8,0),"")</f>
        <v>郁可唯</v>
      </c>
      <c r="L858" s="4">
        <f ca="1">_xlfn.IFNA(VLOOKUP(INDIRECT("G"&amp;ROW()),minfo!$A:$M,COLUMN()-8,0),"")</f>
        <v>0</v>
      </c>
      <c r="M858" s="4">
        <f ca="1">_xlfn.IFNA(VLOOKUP(INDIRECT("G"&amp;ROW()),minfo!$A:$M,COLUMN()-8,0),"")</f>
        <v>17966</v>
      </c>
      <c r="N858" s="4">
        <f ca="1">_xlfn.IFNA(VLOOKUP(INDIRECT("G"&amp;ROW()),minfo!$A:$M,COLUMN()-8,0),"")</f>
        <v>8458</v>
      </c>
      <c r="O858" s="4" t="str">
        <f ca="1">_xlfn.IFNA(VLOOKUP(INDIRECT("G"&amp;ROW()),minfo!$A:$M,COLUMN()-8,0),"")</f>
        <v>http://i0.hdslb.com/bfs/station_src/music_metadata/570f6a193a95780dfeae2a4dfe0cb932.jpg</v>
      </c>
      <c r="P858" s="4" t="str">
        <f ca="1">_xlfn.IFNA(VLOOKUP(INDIRECT("G"&amp;ROW()),minfo!$A:$M,COLUMN()-8,0),"")</f>
        <v>http://i0.hdslb.com/bfs/station_src/music_metadata/0386d6bc66823747cb1d61d511d20a21</v>
      </c>
      <c r="Q858" s="4">
        <f ca="1">_xlfn.IFNA(VLOOKUP(INDIRECT("G"&amp;ROW()),minfo!$A:$M,COLUMN()-8,0),"")</f>
        <v>1296</v>
      </c>
      <c r="R858" s="4">
        <f ca="1">_xlfn.IFNA(VLOOKUP(INDIRECT("G"&amp;ROW()),minfo!$A:$M,COLUMN()-8,0),"")</f>
        <v>0</v>
      </c>
      <c r="S858" s="4" t="str">
        <f ca="1">_xlfn.IFNA(VLOOKUP(INDIRECT("G"&amp;ROW()),minfo!$A:$M,COLUMN()-8,0),"")</f>
        <v>路过人间</v>
      </c>
      <c r="T858" s="4">
        <f ca="1">_xlfn.IFNA(VLOOKUP(INDIRECT("G"&amp;ROW()),minfo!$A:$M,COLUMN()-8,0),"")</f>
        <v>218547878</v>
      </c>
      <c r="U858" s="4" t="str">
        <f ca="1">_xlfn.IFNA(VLOOKUP(INDIRECT("G"&amp;ROW()),minfo!$A:$M,COLUMN()-8,0),"")</f>
        <v>音乐榜最高NO.10</v>
      </c>
    </row>
    <row r="859" spans="1:21" ht="15.75" customHeight="1">
      <c r="A859" s="15">
        <v>858</v>
      </c>
      <c r="B859" s="4" t="s">
        <v>4450</v>
      </c>
      <c r="C859" s="4">
        <v>859</v>
      </c>
      <c r="D859" s="4">
        <v>73</v>
      </c>
      <c r="E859" s="4" t="s">
        <v>2047</v>
      </c>
      <c r="F859" s="16">
        <v>44614</v>
      </c>
      <c r="G859" s="5" t="s">
        <v>2046</v>
      </c>
      <c r="H859" s="5" t="s">
        <v>4375</v>
      </c>
      <c r="I859" s="24" t="str">
        <f>HYPERLINK("https://www.bilibili.com/video/BV1pY411t7Rb?p=73", "BV1pY411t7Rb?p=73")</f>
        <v>BV1pY411t7Rb?p=73</v>
      </c>
      <c r="J859" s="4" t="str">
        <f ca="1">_xlfn.IFNA(VLOOKUP(INDIRECT("G"&amp;ROW()),minfo!$A:$M,COLUMN()-8,0),"")</f>
        <v>悟空</v>
      </c>
      <c r="K859" s="4" t="str">
        <f ca="1">_xlfn.IFNA(VLOOKUP(INDIRECT("G"&amp;ROW()),minfo!$A:$M,COLUMN()-8,0),"")</f>
        <v>戴荃</v>
      </c>
      <c r="L859" s="4">
        <f ca="1">_xlfn.IFNA(VLOOKUP(INDIRECT("G"&amp;ROW()),minfo!$A:$M,COLUMN()-8,0),"")</f>
        <v>0</v>
      </c>
      <c r="M859" s="4">
        <f ca="1">_xlfn.IFNA(VLOOKUP(INDIRECT("G"&amp;ROW()),minfo!$A:$M,COLUMN()-8,0),"")</f>
        <v>0</v>
      </c>
      <c r="N859" s="4">
        <f ca="1">_xlfn.IFNA(VLOOKUP(INDIRECT("G"&amp;ROW()),minfo!$A:$M,COLUMN()-8,0),"")</f>
        <v>0</v>
      </c>
      <c r="O859" s="4" t="str">
        <f ca="1">_xlfn.IFNA(VLOOKUP(INDIRECT("G"&amp;ROW()),minfo!$A:$M,COLUMN()-8,0),"")</f>
        <v>http://i0.hdslb.com/bfs/station_src/music_metadata/30375eb81c3b7cf01d225e15045113b5.jpg</v>
      </c>
      <c r="P859" s="4" t="str">
        <f ca="1">_xlfn.IFNA(VLOOKUP(INDIRECT("G"&amp;ROW()),minfo!$A:$M,COLUMN()-8,0),"")</f>
        <v>http://i0.hdslb.com/bfs/station_src/music_metadata/354cec252d4724865b3b0d98dd25a681</v>
      </c>
      <c r="Q859" s="4">
        <f ca="1">_xlfn.IFNA(VLOOKUP(INDIRECT("G"&amp;ROW()),minfo!$A:$M,COLUMN()-8,0),"")</f>
        <v>474</v>
      </c>
      <c r="R859" s="4">
        <f ca="1">_xlfn.IFNA(VLOOKUP(INDIRECT("G"&amp;ROW()),minfo!$A:$M,COLUMN()-8,0),"")</f>
        <v>0</v>
      </c>
      <c r="S859" s="4" t="str">
        <f ca="1">_xlfn.IFNA(VLOOKUP(INDIRECT("G"&amp;ROW()),minfo!$A:$M,COLUMN()-8,0),"")</f>
        <v>悟空</v>
      </c>
      <c r="T859" s="4">
        <f ca="1">_xlfn.IFNA(VLOOKUP(INDIRECT("G"&amp;ROW()),minfo!$A:$M,COLUMN()-8,0),"")</f>
        <v>194456218</v>
      </c>
      <c r="U859" s="4" t="str">
        <f ca="1">_xlfn.IFNA(VLOOKUP(INDIRECT("G"&amp;ROW()),minfo!$A:$M,COLUMN()-8,0),"")</f>
        <v>音乐榜最高NO.7</v>
      </c>
    </row>
    <row r="860" spans="1:21" ht="15.75" customHeight="1">
      <c r="A860" s="15">
        <v>859</v>
      </c>
      <c r="B860" s="4" t="s">
        <v>4451</v>
      </c>
      <c r="C860" s="4">
        <v>860</v>
      </c>
      <c r="D860" s="4">
        <v>74</v>
      </c>
      <c r="E860" s="4" t="s">
        <v>711</v>
      </c>
      <c r="F860" s="16">
        <v>44614</v>
      </c>
      <c r="G860" s="5" t="s">
        <v>2051</v>
      </c>
      <c r="H860" s="5" t="s">
        <v>4375</v>
      </c>
      <c r="I860" s="24" t="str">
        <f>HYPERLINK("https://www.bilibili.com/video/BV1pY411t7Rb?p=74", "BV1pY411t7Rb?p=74")</f>
        <v>BV1pY411t7Rb?p=74</v>
      </c>
      <c r="J860" s="4" t="str">
        <f ca="1">_xlfn.IFNA(VLOOKUP(INDIRECT("G"&amp;ROW()),minfo!$A:$M,COLUMN()-8,0),"")</f>
        <v>阿刁</v>
      </c>
      <c r="K860" s="4" t="str">
        <f ca="1">_xlfn.IFNA(VLOOKUP(INDIRECT("G"&amp;ROW()),minfo!$A:$M,COLUMN()-8,0),"")</f>
        <v>张韶涵</v>
      </c>
      <c r="L860" s="4">
        <f ca="1">_xlfn.IFNA(VLOOKUP(INDIRECT("G"&amp;ROW()),minfo!$A:$M,COLUMN()-8,0),"")</f>
        <v>0</v>
      </c>
      <c r="M860" s="4">
        <f ca="1">_xlfn.IFNA(VLOOKUP(INDIRECT("G"&amp;ROW()),minfo!$A:$M,COLUMN()-8,0),"")</f>
        <v>0</v>
      </c>
      <c r="N860" s="4">
        <f ca="1">_xlfn.IFNA(VLOOKUP(INDIRECT("G"&amp;ROW()),minfo!$A:$M,COLUMN()-8,0),"")</f>
        <v>0</v>
      </c>
      <c r="O860" s="4" t="str">
        <f ca="1">_xlfn.IFNA(VLOOKUP(INDIRECT("G"&amp;ROW()),minfo!$A:$M,COLUMN()-8,0),"")</f>
        <v>https://i0.hdslb.com/bfs/station_src/music_metadata/6c24faf59e5fa21424cc5032ad5bcef5.jpg</v>
      </c>
      <c r="P860" s="4" t="str">
        <f ca="1">_xlfn.IFNA(VLOOKUP(INDIRECT("G"&amp;ROW()),minfo!$A:$M,COLUMN()-8,0),"")</f>
        <v>https://i0.hdslb.com/bfs/station_src/music_metadata/de8d4d08b4e50ba36afa87d4c2a63d1e.txt</v>
      </c>
      <c r="Q860" s="4">
        <f ca="1">_xlfn.IFNA(VLOOKUP(INDIRECT("G"&amp;ROW()),minfo!$A:$M,COLUMN()-8,0),"")</f>
        <v>13</v>
      </c>
      <c r="R860" s="4">
        <f ca="1">_xlfn.IFNA(VLOOKUP(INDIRECT("G"&amp;ROW()),minfo!$A:$M,COLUMN()-8,0),"")</f>
        <v>0</v>
      </c>
      <c r="S860" s="4" t="str">
        <f ca="1">_xlfn.IFNA(VLOOKUP(INDIRECT("G"&amp;ROW()),minfo!$A:$M,COLUMN()-8,0),"")</f>
        <v>阿刁（翻张韶涵版本）</v>
      </c>
      <c r="T860" s="4">
        <f ca="1">_xlfn.IFNA(VLOOKUP(INDIRECT("G"&amp;ROW()),minfo!$A:$M,COLUMN()-8,0),"")</f>
        <v>69550159</v>
      </c>
      <c r="U860" s="4">
        <f ca="1">_xlfn.IFNA(VLOOKUP(INDIRECT("G"&amp;ROW()),minfo!$A:$M,COLUMN()-8,0),"")</f>
        <v>0</v>
      </c>
    </row>
    <row r="861" spans="1:21" ht="15.75" customHeight="1">
      <c r="A861" s="15">
        <v>860</v>
      </c>
      <c r="B861" s="4" t="s">
        <v>4452</v>
      </c>
      <c r="C861" s="4">
        <v>861</v>
      </c>
      <c r="D861" s="4">
        <v>75</v>
      </c>
      <c r="E861" s="4" t="s">
        <v>1317</v>
      </c>
      <c r="F861" s="16">
        <v>44614</v>
      </c>
      <c r="G861" s="5" t="s">
        <v>1316</v>
      </c>
      <c r="H861" s="5" t="s">
        <v>4375</v>
      </c>
      <c r="I861" s="24" t="str">
        <f>HYPERLINK("https://www.bilibili.com/video/BV1pY411t7Rb?p=75", "BV1pY411t7Rb?p=75")</f>
        <v>BV1pY411t7Rb?p=75</v>
      </c>
      <c r="J861" s="4" t="str">
        <f ca="1">_xlfn.IFNA(VLOOKUP(INDIRECT("G"&amp;ROW()),minfo!$A:$M,COLUMN()-8,0),"")</f>
        <v>旅行中忘记</v>
      </c>
      <c r="K861" s="4" t="str">
        <f ca="1">_xlfn.IFNA(VLOOKUP(INDIRECT("G"&amp;ROW()),minfo!$A:$M,COLUMN()-8,0),"")</f>
        <v>袁娅维TIA RAY</v>
      </c>
      <c r="L861" s="4">
        <f ca="1">_xlfn.IFNA(VLOOKUP(INDIRECT("G"&amp;ROW()),minfo!$A:$M,COLUMN()-8,0),"")</f>
        <v>0</v>
      </c>
      <c r="M861" s="4">
        <f ca="1">_xlfn.IFNA(VLOOKUP(INDIRECT("G"&amp;ROW()),minfo!$A:$M,COLUMN()-8,0),"")</f>
        <v>0</v>
      </c>
      <c r="N861" s="4">
        <f ca="1">_xlfn.IFNA(VLOOKUP(INDIRECT("G"&amp;ROW()),minfo!$A:$M,COLUMN()-8,0),"")</f>
        <v>0</v>
      </c>
      <c r="O861" s="4" t="str">
        <f ca="1">_xlfn.IFNA(VLOOKUP(INDIRECT("G"&amp;ROW()),minfo!$A:$M,COLUMN()-8,0),"")</f>
        <v>http://i0.hdslb.com/bfs/station_src/music_metadata/5622cbdb8cb0b4dcce69097dcd3695d9.jpg</v>
      </c>
      <c r="P861" s="4">
        <f ca="1">_xlfn.IFNA(VLOOKUP(INDIRECT("G"&amp;ROW()),minfo!$A:$M,COLUMN()-8,0),"")</f>
        <v>0</v>
      </c>
      <c r="Q861" s="4">
        <f ca="1">_xlfn.IFNA(VLOOKUP(INDIRECT("G"&amp;ROW()),minfo!$A:$M,COLUMN()-8,0),"")</f>
        <v>79</v>
      </c>
      <c r="R861" s="4">
        <f ca="1">_xlfn.IFNA(VLOOKUP(INDIRECT("G"&amp;ROW()),minfo!$A:$M,COLUMN()-8,0),"")</f>
        <v>0</v>
      </c>
      <c r="S861" s="4" t="str">
        <f ca="1">_xlfn.IFNA(VLOOKUP(INDIRECT("G"&amp;ROW()),minfo!$A:$M,COLUMN()-8,0),"")</f>
        <v>旅行中忘记</v>
      </c>
      <c r="T861" s="4">
        <f ca="1">_xlfn.IFNA(VLOOKUP(INDIRECT("G"&amp;ROW()),minfo!$A:$M,COLUMN()-8,0),"")</f>
        <v>12717948</v>
      </c>
      <c r="U861" s="4">
        <f ca="1">_xlfn.IFNA(VLOOKUP(INDIRECT("G"&amp;ROW()),minfo!$A:$M,COLUMN()-8,0),"")</f>
        <v>0</v>
      </c>
    </row>
    <row r="862" spans="1:21" ht="15.75" customHeight="1">
      <c r="A862" s="15">
        <v>861</v>
      </c>
      <c r="B862" s="4" t="s">
        <v>4453</v>
      </c>
      <c r="C862" s="4">
        <v>862</v>
      </c>
      <c r="D862" s="4">
        <v>76</v>
      </c>
      <c r="E862" s="4" t="s">
        <v>1320</v>
      </c>
      <c r="F862" s="16">
        <v>44614</v>
      </c>
      <c r="G862" s="5" t="s">
        <v>1319</v>
      </c>
      <c r="H862" s="5" t="s">
        <v>4375</v>
      </c>
      <c r="I862" s="24" t="str">
        <f>HYPERLINK("https://www.bilibili.com/video/BV1pY411t7Rb?p=76", "BV1pY411t7Rb?p=76")</f>
        <v>BV1pY411t7Rb?p=76</v>
      </c>
      <c r="J862" s="4" t="str">
        <f ca="1">_xlfn.IFNA(VLOOKUP(INDIRECT("G"&amp;ROW()),minfo!$A:$M,COLUMN()-8,0),"")</f>
        <v>消失的爱人</v>
      </c>
      <c r="K862" s="4" t="str">
        <f ca="1">_xlfn.IFNA(VLOOKUP(INDIRECT("G"&amp;ROW()),minfo!$A:$M,COLUMN()-8,0),"")</f>
        <v>袁娅维TIA RAY,TME live</v>
      </c>
      <c r="L862" s="4">
        <f ca="1">_xlfn.IFNA(VLOOKUP(INDIRECT("G"&amp;ROW()),minfo!$A:$M,COLUMN()-8,0),"")</f>
        <v>0</v>
      </c>
      <c r="M862" s="4">
        <f ca="1">_xlfn.IFNA(VLOOKUP(INDIRECT("G"&amp;ROW()),minfo!$A:$M,COLUMN()-8,0),"")</f>
        <v>0</v>
      </c>
      <c r="N862" s="4">
        <f ca="1">_xlfn.IFNA(VLOOKUP(INDIRECT("G"&amp;ROW()),minfo!$A:$M,COLUMN()-8,0),"")</f>
        <v>0</v>
      </c>
      <c r="O862" s="4" t="str">
        <f ca="1">_xlfn.IFNA(VLOOKUP(INDIRECT("G"&amp;ROW()),minfo!$A:$M,COLUMN()-8,0),"")</f>
        <v>https://i0.hdslb.com/bfs/station_src/music_metadata/6043a5e617db0577a22419487fdcb3bd.jpg</v>
      </c>
      <c r="P862" s="4" t="str">
        <f ca="1">_xlfn.IFNA(VLOOKUP(INDIRECT("G"&amp;ROW()),minfo!$A:$M,COLUMN()-8,0),"")</f>
        <v>https://i0.hdslb.com/bfs/station_src/music_metadata/4517508048c6d1fc38a6fe127480cc78.txt</v>
      </c>
      <c r="Q862" s="4">
        <f ca="1">_xlfn.IFNA(VLOOKUP(INDIRECT("G"&amp;ROW()),minfo!$A:$M,COLUMN()-8,0),"")</f>
        <v>0</v>
      </c>
      <c r="R862" s="4">
        <f ca="1">_xlfn.IFNA(VLOOKUP(INDIRECT("G"&amp;ROW()),minfo!$A:$M,COLUMN()-8,0),"")</f>
        <v>0</v>
      </c>
      <c r="S862" s="4" t="str">
        <f ca="1">_xlfn.IFNA(VLOOKUP(INDIRECT("G"&amp;ROW()),minfo!$A:$M,COLUMN()-8,0),"")</f>
        <v>TME live:袁娅维"Ready For Love"线上音乐会</v>
      </c>
      <c r="T862" s="4">
        <f ca="1">_xlfn.IFNA(VLOOKUP(INDIRECT("G"&amp;ROW()),minfo!$A:$M,COLUMN()-8,0),"")</f>
        <v>216487</v>
      </c>
      <c r="U862" s="4">
        <f ca="1">_xlfn.IFNA(VLOOKUP(INDIRECT("G"&amp;ROW()),minfo!$A:$M,COLUMN()-8,0),"")</f>
        <v>0</v>
      </c>
    </row>
    <row r="863" spans="1:21" ht="15.75" customHeight="1">
      <c r="A863" s="15">
        <v>862</v>
      </c>
      <c r="B863" s="4" t="s">
        <v>4454</v>
      </c>
      <c r="C863" s="4">
        <v>863</v>
      </c>
      <c r="D863" s="4">
        <v>77</v>
      </c>
      <c r="E863" s="4" t="s">
        <v>99</v>
      </c>
      <c r="F863" s="16">
        <v>44614</v>
      </c>
      <c r="G863" s="5" t="s">
        <v>1299</v>
      </c>
      <c r="H863" s="5" t="s">
        <v>4375</v>
      </c>
      <c r="I863" s="24" t="str">
        <f>HYPERLINK("https://www.bilibili.com/video/BV1pY411t7Rb?p=77", "BV1pY411t7Rb?p=77")</f>
        <v>BV1pY411t7Rb?p=77</v>
      </c>
      <c r="J863" s="4" t="str">
        <f ca="1">_xlfn.IFNA(VLOOKUP(INDIRECT("G"&amp;ROW()),minfo!$A:$M,COLUMN()-8,0),"")</f>
        <v>标准答案</v>
      </c>
      <c r="K863" s="4" t="str">
        <f ca="1">_xlfn.IFNA(VLOOKUP(INDIRECT("G"&amp;ROW()),minfo!$A:$M,COLUMN()-8,0),"")</f>
        <v>说说Crystal</v>
      </c>
      <c r="L863" s="4">
        <f ca="1">_xlfn.IFNA(VLOOKUP(INDIRECT("G"&amp;ROW()),minfo!$A:$M,COLUMN()-8,0),"")</f>
        <v>0</v>
      </c>
      <c r="M863" s="4">
        <f ca="1">_xlfn.IFNA(VLOOKUP(INDIRECT("G"&amp;ROW()),minfo!$A:$M,COLUMN()-8,0),"")</f>
        <v>0</v>
      </c>
      <c r="N863" s="4">
        <f ca="1">_xlfn.IFNA(VLOOKUP(INDIRECT("G"&amp;ROW()),minfo!$A:$M,COLUMN()-8,0),"")</f>
        <v>0</v>
      </c>
      <c r="O863" s="4" t="str">
        <f ca="1">_xlfn.IFNA(VLOOKUP(INDIRECT("G"&amp;ROW()),minfo!$A:$M,COLUMN()-8,0),"")</f>
        <v>https://i0.hdslb.com/bfs/station_src/music_metadata/cb7c412dc5758610165454efdef23d3b.jpg</v>
      </c>
      <c r="P863" s="4" t="str">
        <f ca="1">_xlfn.IFNA(VLOOKUP(INDIRECT("G"&amp;ROW()),minfo!$A:$M,COLUMN()-8,0),"")</f>
        <v>https://i0.hdslb.com/bfs/station_src/music_metadata/3f425645ad340ed93a1345109dd50b00.txt</v>
      </c>
      <c r="Q863" s="4">
        <f ca="1">_xlfn.IFNA(VLOOKUP(INDIRECT("G"&amp;ROW()),minfo!$A:$M,COLUMN()-8,0),"")</f>
        <v>0</v>
      </c>
      <c r="R863" s="4">
        <f ca="1">_xlfn.IFNA(VLOOKUP(INDIRECT("G"&amp;ROW()),minfo!$A:$M,COLUMN()-8,0),"")</f>
        <v>0</v>
      </c>
      <c r="S863" s="4" t="str">
        <f ca="1">_xlfn.IFNA(VLOOKUP(INDIRECT("G"&amp;ROW()),minfo!$A:$M,COLUMN()-8,0),"")</f>
        <v>标准答案</v>
      </c>
      <c r="T863" s="4">
        <f ca="1">_xlfn.IFNA(VLOOKUP(INDIRECT("G"&amp;ROW()),minfo!$A:$M,COLUMN()-8,0),"")</f>
        <v>94693</v>
      </c>
      <c r="U863" s="4">
        <f ca="1">_xlfn.IFNA(VLOOKUP(INDIRECT("G"&amp;ROW()),minfo!$A:$M,COLUMN()-8,0),"")</f>
        <v>0</v>
      </c>
    </row>
    <row r="864" spans="1:21" ht="15.75" customHeight="1">
      <c r="A864" s="15">
        <v>863</v>
      </c>
      <c r="B864" s="4" t="s">
        <v>4455</v>
      </c>
      <c r="C864" s="4">
        <v>864</v>
      </c>
      <c r="D864" s="4">
        <v>78</v>
      </c>
      <c r="E864" s="4" t="s">
        <v>732</v>
      </c>
      <c r="F864" s="16">
        <v>44615</v>
      </c>
      <c r="G864" s="5" t="s">
        <v>731</v>
      </c>
      <c r="H864" s="5" t="s">
        <v>4375</v>
      </c>
      <c r="I864" s="24" t="str">
        <f>HYPERLINK("https://www.bilibili.com/video/BV1pY411t7Rb?p=78", "BV1pY411t7Rb?p=78")</f>
        <v>BV1pY411t7Rb?p=78</v>
      </c>
      <c r="J864" s="4" t="str">
        <f ca="1">_xlfn.IFNA(VLOOKUP(INDIRECT("G"&amp;ROW()),minfo!$A:$M,COLUMN()-8,0),"")</f>
        <v>园游会</v>
      </c>
      <c r="K864" s="4" t="str">
        <f ca="1">_xlfn.IFNA(VLOOKUP(INDIRECT("G"&amp;ROW()),minfo!$A:$M,COLUMN()-8,0),"")</f>
        <v>周杰伦</v>
      </c>
      <c r="L864" s="4">
        <f ca="1">_xlfn.IFNA(VLOOKUP(INDIRECT("G"&amp;ROW()),minfo!$A:$M,COLUMN()-8,0),"")</f>
        <v>0</v>
      </c>
      <c r="M864" s="4">
        <f ca="1">_xlfn.IFNA(VLOOKUP(INDIRECT("G"&amp;ROW()),minfo!$A:$M,COLUMN()-8,0),"")</f>
        <v>0</v>
      </c>
      <c r="N864" s="4">
        <f ca="1">_xlfn.IFNA(VLOOKUP(INDIRECT("G"&amp;ROW()),minfo!$A:$M,COLUMN()-8,0),"")</f>
        <v>0</v>
      </c>
      <c r="O864" s="4" t="str">
        <f ca="1">_xlfn.IFNA(VLOOKUP(INDIRECT("G"&amp;ROW()),minfo!$A:$M,COLUMN()-8,0),"")</f>
        <v>https://i0.hdslb.com/bfs/station_src/music_metadata/6e1ac13753b4f6ee9b6064e5eea74ee9.jpg</v>
      </c>
      <c r="P864" s="4">
        <f ca="1">_xlfn.IFNA(VLOOKUP(INDIRECT("G"&amp;ROW()),minfo!$A:$M,COLUMN()-8,0),"")</f>
        <v>0</v>
      </c>
      <c r="Q864" s="4">
        <f ca="1">_xlfn.IFNA(VLOOKUP(INDIRECT("G"&amp;ROW()),minfo!$A:$M,COLUMN()-8,0),"")</f>
        <v>2471</v>
      </c>
      <c r="R864" s="4">
        <f ca="1">_xlfn.IFNA(VLOOKUP(INDIRECT("G"&amp;ROW()),minfo!$A:$M,COLUMN()-8,0),"")</f>
        <v>0</v>
      </c>
      <c r="S864" s="4" t="str">
        <f ca="1">_xlfn.IFNA(VLOOKUP(INDIRECT("G"&amp;ROW()),minfo!$A:$M,COLUMN()-8,0),"")</f>
        <v>七里香</v>
      </c>
      <c r="T864" s="4">
        <f ca="1">_xlfn.IFNA(VLOOKUP(INDIRECT("G"&amp;ROW()),minfo!$A:$M,COLUMN()-8,0),"")</f>
        <v>492310935</v>
      </c>
      <c r="U864" s="4" t="str">
        <f ca="1">_xlfn.IFNA(VLOOKUP(INDIRECT("G"&amp;ROW()),minfo!$A:$M,COLUMN()-8,0),"")</f>
        <v>音乐榜最高NO.13</v>
      </c>
    </row>
    <row r="865" spans="1:21" ht="15.75" customHeight="1">
      <c r="A865" s="15">
        <v>864</v>
      </c>
      <c r="B865" s="4" t="s">
        <v>4456</v>
      </c>
      <c r="C865" s="4">
        <v>865</v>
      </c>
      <c r="D865" s="4">
        <v>79</v>
      </c>
      <c r="E865" s="4" t="s">
        <v>980</v>
      </c>
      <c r="F865" s="16">
        <v>44618</v>
      </c>
      <c r="G865" s="5" t="s">
        <v>979</v>
      </c>
      <c r="H865" s="5" t="s">
        <v>4375</v>
      </c>
      <c r="I865" s="24" t="str">
        <f>HYPERLINK("https://www.bilibili.com/video/BV1pY411t7Rb?p=79", "BV1pY411t7Rb?p=79")</f>
        <v>BV1pY411t7Rb?p=79</v>
      </c>
      <c r="J865" s="4" t="str">
        <f ca="1">_xlfn.IFNA(VLOOKUP(INDIRECT("G"&amp;ROW()),minfo!$A:$M,COLUMN()-8,0),"")</f>
        <v>寻一个天荒地老的地方</v>
      </c>
      <c r="K865" s="4" t="str">
        <f ca="1">_xlfn.IFNA(VLOOKUP(INDIRECT("G"&amp;ROW()),minfo!$A:$M,COLUMN()-8,0),"")</f>
        <v>单依纯</v>
      </c>
      <c r="L865" s="4">
        <f ca="1">_xlfn.IFNA(VLOOKUP(INDIRECT("G"&amp;ROW()),minfo!$A:$M,COLUMN()-8,0),"")</f>
        <v>0</v>
      </c>
      <c r="M865" s="4">
        <f ca="1">_xlfn.IFNA(VLOOKUP(INDIRECT("G"&amp;ROW()),minfo!$A:$M,COLUMN()-8,0),"")</f>
        <v>0</v>
      </c>
      <c r="N865" s="4">
        <f ca="1">_xlfn.IFNA(VLOOKUP(INDIRECT("G"&amp;ROW()),minfo!$A:$M,COLUMN()-8,0),"")</f>
        <v>0</v>
      </c>
      <c r="O865" s="4" t="str">
        <f ca="1">_xlfn.IFNA(VLOOKUP(INDIRECT("G"&amp;ROW()),minfo!$A:$M,COLUMN()-8,0),"")</f>
        <v>https://i0.hdslb.com/bfs/station_src/music_metadata/1baf91b2d2f204c468162a37d5dc6011.jpg</v>
      </c>
      <c r="P865" s="4" t="str">
        <f ca="1">_xlfn.IFNA(VLOOKUP(INDIRECT("G"&amp;ROW()),minfo!$A:$M,COLUMN()-8,0),"")</f>
        <v>https://i0.hdslb.com/bfs/station_src/music_metadata/e080f50db39ef189fa94151d5b77dc5d.txt</v>
      </c>
      <c r="Q865" s="4">
        <f ca="1">_xlfn.IFNA(VLOOKUP(INDIRECT("G"&amp;ROW()),minfo!$A:$M,COLUMN()-8,0),"")</f>
        <v>3</v>
      </c>
      <c r="R865" s="4">
        <f ca="1">_xlfn.IFNA(VLOOKUP(INDIRECT("G"&amp;ROW()),minfo!$A:$M,COLUMN()-8,0),"")</f>
        <v>0</v>
      </c>
      <c r="S865" s="4" t="str">
        <f ca="1">_xlfn.IFNA(VLOOKUP(INDIRECT("G"&amp;ROW()),minfo!$A:$M,COLUMN()-8,0),"")</f>
        <v>2020中国好声音 第8期</v>
      </c>
      <c r="T865" s="4">
        <f ca="1">_xlfn.IFNA(VLOOKUP(INDIRECT("G"&amp;ROW()),minfo!$A:$M,COLUMN()-8,0),"")</f>
        <v>1875423</v>
      </c>
      <c r="U865" s="4">
        <f ca="1">_xlfn.IFNA(VLOOKUP(INDIRECT("G"&amp;ROW()),minfo!$A:$M,COLUMN()-8,0),"")</f>
        <v>0</v>
      </c>
    </row>
    <row r="866" spans="1:21" ht="15.75" customHeight="1">
      <c r="A866" s="15">
        <v>865</v>
      </c>
      <c r="B866" s="4" t="s">
        <v>4457</v>
      </c>
      <c r="C866" s="4">
        <v>866</v>
      </c>
      <c r="D866" s="4">
        <v>80</v>
      </c>
      <c r="E866" s="4" t="s">
        <v>1680</v>
      </c>
      <c r="F866" s="16">
        <v>44618</v>
      </c>
      <c r="G866" s="5" t="s">
        <v>1679</v>
      </c>
      <c r="H866" s="5" t="s">
        <v>4375</v>
      </c>
      <c r="I866" s="24" t="str">
        <f>HYPERLINK("https://www.bilibili.com/video/BV1pY411t7Rb?p=80", "BV1pY411t7Rb?p=80")</f>
        <v>BV1pY411t7Rb?p=80</v>
      </c>
      <c r="J866" s="4" t="str">
        <f ca="1">_xlfn.IFNA(VLOOKUP(INDIRECT("G"&amp;ROW()),minfo!$A:$M,COLUMN()-8,0),"")</f>
        <v>问花</v>
      </c>
      <c r="K866" s="4" t="str">
        <f ca="1">_xlfn.IFNA(VLOOKUP(INDIRECT("G"&amp;ROW()),minfo!$A:$M,COLUMN()-8,0),"")</f>
        <v>周深</v>
      </c>
      <c r="L866" s="4">
        <f ca="1">_xlfn.IFNA(VLOOKUP(INDIRECT("G"&amp;ROW()),minfo!$A:$M,COLUMN()-8,0),"")</f>
        <v>0</v>
      </c>
      <c r="M866" s="4">
        <f ca="1">_xlfn.IFNA(VLOOKUP(INDIRECT("G"&amp;ROW()),minfo!$A:$M,COLUMN()-8,0),"")</f>
        <v>0</v>
      </c>
      <c r="N866" s="4">
        <f ca="1">_xlfn.IFNA(VLOOKUP(INDIRECT("G"&amp;ROW()),minfo!$A:$M,COLUMN()-8,0),"")</f>
        <v>0</v>
      </c>
      <c r="O866" s="4" t="str">
        <f ca="1">_xlfn.IFNA(VLOOKUP(INDIRECT("G"&amp;ROW()),minfo!$A:$M,COLUMN()-8,0),"")</f>
        <v>https://i0.hdslb.com/bfs/station_src/music_metadata/d938903a270ebcbf6ae98416465ff752.jpg</v>
      </c>
      <c r="P866" s="4" t="str">
        <f ca="1">_xlfn.IFNA(VLOOKUP(INDIRECT("G"&amp;ROW()),minfo!$A:$M,COLUMN()-8,0),"")</f>
        <v>http://i0.hdslb.com/bfs/station_src/music_metadata/19399052b0da837868fe46152a610a13</v>
      </c>
      <c r="Q866" s="4">
        <f ca="1">_xlfn.IFNA(VLOOKUP(INDIRECT("G"&amp;ROW()),minfo!$A:$M,COLUMN()-8,0),"")</f>
        <v>104</v>
      </c>
      <c r="R866" s="4" t="str">
        <f ca="1">_xlfn.IFNA(VLOOKUP(INDIRECT("G"&amp;ROW()),minfo!$A:$M,COLUMN()-8,0),"")</f>
        <v>《白蛇2：青蛇劫起》电影主题曲</v>
      </c>
      <c r="S866" s="4" t="str">
        <f ca="1">_xlfn.IFNA(VLOOKUP(INDIRECT("G"&amp;ROW()),minfo!$A:$M,COLUMN()-8,0),"")</f>
        <v>白蛇2：青蛇劫起 电影原声带</v>
      </c>
      <c r="T866" s="4">
        <f ca="1">_xlfn.IFNA(VLOOKUP(INDIRECT("G"&amp;ROW()),minfo!$A:$M,COLUMN()-8,0),"")</f>
        <v>19283438</v>
      </c>
      <c r="U866" s="4">
        <f ca="1">_xlfn.IFNA(VLOOKUP(INDIRECT("G"&amp;ROW()),minfo!$A:$M,COLUMN()-8,0),"")</f>
        <v>0</v>
      </c>
    </row>
    <row r="867" spans="1:21" ht="15.75" customHeight="1">
      <c r="A867" s="15">
        <v>866</v>
      </c>
      <c r="B867" s="4" t="s">
        <v>4458</v>
      </c>
      <c r="C867" s="4">
        <v>867</v>
      </c>
      <c r="D867" s="4">
        <v>81</v>
      </c>
      <c r="E867" s="4" t="s">
        <v>2056</v>
      </c>
      <c r="F867" s="16">
        <v>44618</v>
      </c>
      <c r="G867" s="5" t="s">
        <v>2055</v>
      </c>
      <c r="H867" s="5" t="s">
        <v>4375</v>
      </c>
      <c r="I867" s="24" t="str">
        <f>HYPERLINK("https://www.bilibili.com/video/BV1pY411t7Rb?p=81", "BV1pY411t7Rb?p=81")</f>
        <v>BV1pY411t7Rb?p=81</v>
      </c>
      <c r="J867" s="4" t="str">
        <f ca="1">_xlfn.IFNA(VLOOKUP(INDIRECT("G"&amp;ROW()),minfo!$A:$M,COLUMN()-8,0),"")</f>
        <v>泼墨漓江</v>
      </c>
      <c r="K867" s="4" t="str">
        <f ca="1">_xlfn.IFNA(VLOOKUP(INDIRECT("G"&amp;ROW()),minfo!$A:$M,COLUMN()-8,0),"")</f>
        <v>泠鸢yousa</v>
      </c>
      <c r="L867" s="4">
        <f ca="1">_xlfn.IFNA(VLOOKUP(INDIRECT("G"&amp;ROW()),minfo!$A:$M,COLUMN()-8,0),"")</f>
        <v>0</v>
      </c>
      <c r="M867" s="4">
        <f ca="1">_xlfn.IFNA(VLOOKUP(INDIRECT("G"&amp;ROW()),minfo!$A:$M,COLUMN()-8,0),"")</f>
        <v>0</v>
      </c>
      <c r="N867" s="4">
        <f ca="1">_xlfn.IFNA(VLOOKUP(INDIRECT("G"&amp;ROW()),minfo!$A:$M,COLUMN()-8,0),"")</f>
        <v>0</v>
      </c>
      <c r="O867" s="4" t="str">
        <f ca="1">_xlfn.IFNA(VLOOKUP(INDIRECT("G"&amp;ROW()),minfo!$A:$M,COLUMN()-8,0),"")</f>
        <v>https://i0.hdslb.com/bfs/station_src/music_metadata/d66f5d91942551f93ea268afb3f1707d.jpg</v>
      </c>
      <c r="P867" s="4" t="str">
        <f ca="1">_xlfn.IFNA(VLOOKUP(INDIRECT("G"&amp;ROW()),minfo!$A:$M,COLUMN()-8,0),"")</f>
        <v>https://i0.hdslb.com/bfs/station_src/music_metadata/fe2794c42c8d1fad9b590390dca312e5.txt</v>
      </c>
      <c r="Q867" s="4">
        <f ca="1">_xlfn.IFNA(VLOOKUP(INDIRECT("G"&amp;ROW()),minfo!$A:$M,COLUMN()-8,0),"")</f>
        <v>24</v>
      </c>
      <c r="R867" s="4">
        <f ca="1">_xlfn.IFNA(VLOOKUP(INDIRECT("G"&amp;ROW()),minfo!$A:$M,COLUMN()-8,0),"")</f>
        <v>0</v>
      </c>
      <c r="S867" s="4" t="str">
        <f ca="1">_xlfn.IFNA(VLOOKUP(INDIRECT("G"&amp;ROW()),minfo!$A:$M,COLUMN()-8,0),"")</f>
        <v>创世之音 bilibili虚拟主播演唱会节目音频</v>
      </c>
      <c r="T867" s="4">
        <f ca="1">_xlfn.IFNA(VLOOKUP(INDIRECT("G"&amp;ROW()),minfo!$A:$M,COLUMN()-8,0),"")</f>
        <v>6915969</v>
      </c>
      <c r="U867" s="4">
        <f ca="1">_xlfn.IFNA(VLOOKUP(INDIRECT("G"&amp;ROW()),minfo!$A:$M,COLUMN()-8,0),"")</f>
        <v>0</v>
      </c>
    </row>
    <row r="868" spans="1:21" ht="15.75" customHeight="1">
      <c r="A868" s="15">
        <v>867</v>
      </c>
      <c r="B868" s="4" t="s">
        <v>4459</v>
      </c>
      <c r="C868" s="4">
        <v>868</v>
      </c>
      <c r="D868" s="4">
        <v>82</v>
      </c>
      <c r="E868" s="4" t="s">
        <v>2062</v>
      </c>
      <c r="F868" s="16">
        <v>44618</v>
      </c>
      <c r="G868" s="5" t="s">
        <v>2061</v>
      </c>
      <c r="H868" s="5" t="s">
        <v>4375</v>
      </c>
      <c r="I868" s="24" t="str">
        <f>HYPERLINK("https://www.bilibili.com/video/BV1pY411t7Rb?p=82", "BV1pY411t7Rb?p=82")</f>
        <v>BV1pY411t7Rb?p=82</v>
      </c>
      <c r="J868" s="4" t="str">
        <f ca="1">_xlfn.IFNA(VLOOKUP(INDIRECT("G"&amp;ROW()),minfo!$A:$M,COLUMN()-8,0),"")</f>
        <v>横竖撇点折</v>
      </c>
      <c r="K868" s="4" t="str">
        <f ca="1">_xlfn.IFNA(VLOOKUP(INDIRECT("G"&amp;ROW()),minfo!$A:$M,COLUMN()-8,0),"")</f>
        <v>米白</v>
      </c>
      <c r="L868" s="4">
        <f ca="1">_xlfn.IFNA(VLOOKUP(INDIRECT("G"&amp;ROW()),minfo!$A:$M,COLUMN()-8,0),"")</f>
        <v>0</v>
      </c>
      <c r="M868" s="4">
        <f ca="1">_xlfn.IFNA(VLOOKUP(INDIRECT("G"&amp;ROW()),minfo!$A:$M,COLUMN()-8,0),"")</f>
        <v>0</v>
      </c>
      <c r="N868" s="4">
        <f ca="1">_xlfn.IFNA(VLOOKUP(INDIRECT("G"&amp;ROW()),minfo!$A:$M,COLUMN()-8,0),"")</f>
        <v>0</v>
      </c>
      <c r="O868" s="4" t="str">
        <f ca="1">_xlfn.IFNA(VLOOKUP(INDIRECT("G"&amp;ROW()),minfo!$A:$M,COLUMN()-8,0),"")</f>
        <v>https://i0.hdslb.com/bfs/station_src/music_metadata/aab20dc2daaec54a6e3da538b4098ad2.jpg</v>
      </c>
      <c r="P868" s="4" t="str">
        <f ca="1">_xlfn.IFNA(VLOOKUP(INDIRECT("G"&amp;ROW()),minfo!$A:$M,COLUMN()-8,0),"")</f>
        <v>https://i0.hdslb.com/bfs/station_src/music_metadata/40291633453a88ef8fe0ffb636af6a26.txt</v>
      </c>
      <c r="Q868" s="4">
        <f ca="1">_xlfn.IFNA(VLOOKUP(INDIRECT("G"&amp;ROW()),minfo!$A:$M,COLUMN()-8,0),"")</f>
        <v>496</v>
      </c>
      <c r="R868" s="4">
        <f ca="1">_xlfn.IFNA(VLOOKUP(INDIRECT("G"&amp;ROW()),minfo!$A:$M,COLUMN()-8,0),"")</f>
        <v>0</v>
      </c>
      <c r="S868" s="4" t="str">
        <f ca="1">_xlfn.IFNA(VLOOKUP(INDIRECT("G"&amp;ROW()),minfo!$A:$M,COLUMN()-8,0),"")</f>
        <v>哔哩哔哩拜年纪金曲回顾</v>
      </c>
      <c r="T868" s="4">
        <f ca="1">_xlfn.IFNA(VLOOKUP(INDIRECT("G"&amp;ROW()),minfo!$A:$M,COLUMN()-8,0),"")</f>
        <v>51986972</v>
      </c>
      <c r="U868" s="4">
        <f ca="1">_xlfn.IFNA(VLOOKUP(INDIRECT("G"&amp;ROW()),minfo!$A:$M,COLUMN()-8,0),"")</f>
        <v>0</v>
      </c>
    </row>
    <row r="869" spans="1:21" ht="15.75" customHeight="1">
      <c r="A869" s="15">
        <v>868</v>
      </c>
      <c r="B869" s="4" t="s">
        <v>4460</v>
      </c>
      <c r="C869" s="4">
        <v>869</v>
      </c>
      <c r="D869" s="4">
        <v>83</v>
      </c>
      <c r="E869" s="4" t="s">
        <v>332</v>
      </c>
      <c r="F869" s="16">
        <v>44618</v>
      </c>
      <c r="G869" s="5" t="s">
        <v>331</v>
      </c>
      <c r="H869" s="5" t="s">
        <v>4375</v>
      </c>
      <c r="I869" s="24" t="str">
        <f>HYPERLINK("https://www.bilibili.com/video/BV1pY411t7Rb?p=83", "BV1pY411t7Rb?p=83")</f>
        <v>BV1pY411t7Rb?p=83</v>
      </c>
      <c r="J869" s="4" t="str">
        <f ca="1">_xlfn.IFNA(VLOOKUP(INDIRECT("G"&amp;ROW()),minfo!$A:$M,COLUMN()-8,0),"")</f>
        <v>春天的芭蕾</v>
      </c>
      <c r="K869" s="4" t="str">
        <f ca="1">_xlfn.IFNA(VLOOKUP(INDIRECT("G"&amp;ROW()),minfo!$A:$M,COLUMN()-8,0),"")</f>
        <v>常思思</v>
      </c>
      <c r="L869" s="4">
        <f ca="1">_xlfn.IFNA(VLOOKUP(INDIRECT("G"&amp;ROW()),minfo!$A:$M,COLUMN()-8,0),"")</f>
        <v>0</v>
      </c>
      <c r="M869" s="4">
        <f ca="1">_xlfn.IFNA(VLOOKUP(INDIRECT("G"&amp;ROW()),minfo!$A:$M,COLUMN()-8,0),"")</f>
        <v>0</v>
      </c>
      <c r="N869" s="4">
        <f ca="1">_xlfn.IFNA(VLOOKUP(INDIRECT("G"&amp;ROW()),minfo!$A:$M,COLUMN()-8,0),"")</f>
        <v>0</v>
      </c>
      <c r="O869" s="4" t="str">
        <f ca="1">_xlfn.IFNA(VLOOKUP(INDIRECT("G"&amp;ROW()),minfo!$A:$M,COLUMN()-8,0),"")</f>
        <v>http://i0.hdslb.com/bfs/station_src/music_metadata/7202bafed8b495edfdc98691518442b5.jpg</v>
      </c>
      <c r="P869" s="4" t="str">
        <f ca="1">_xlfn.IFNA(VLOOKUP(INDIRECT("G"&amp;ROW()),minfo!$A:$M,COLUMN()-8,0),"")</f>
        <v>http://i0.hdslb.com/bfs/station_src/music_metadata/1faf7f1d5734fb67fc3aa5824aaf8ed2</v>
      </c>
      <c r="Q869" s="4">
        <f ca="1">_xlfn.IFNA(VLOOKUP(INDIRECT("G"&amp;ROW()),minfo!$A:$M,COLUMN()-8,0),"")</f>
        <v>173</v>
      </c>
      <c r="R869" s="4">
        <f ca="1">_xlfn.IFNA(VLOOKUP(INDIRECT("G"&amp;ROW()),minfo!$A:$M,COLUMN()-8,0),"")</f>
        <v>0</v>
      </c>
      <c r="S869" s="4">
        <f ca="1">_xlfn.IFNA(VLOOKUP(INDIRECT("G"&amp;ROW()),minfo!$A:$M,COLUMN()-8,0),"")</f>
        <v>0</v>
      </c>
      <c r="T869" s="4">
        <f ca="1">_xlfn.IFNA(VLOOKUP(INDIRECT("G"&amp;ROW()),minfo!$A:$M,COLUMN()-8,0),"")</f>
        <v>25997684</v>
      </c>
      <c r="U869" s="4">
        <f ca="1">_xlfn.IFNA(VLOOKUP(INDIRECT("G"&amp;ROW()),minfo!$A:$M,COLUMN()-8,0),"")</f>
        <v>0</v>
      </c>
    </row>
    <row r="870" spans="1:21" ht="15.75" customHeight="1">
      <c r="A870" s="15">
        <v>869</v>
      </c>
      <c r="B870" s="4" t="s">
        <v>4461</v>
      </c>
      <c r="C870" s="4">
        <v>870</v>
      </c>
      <c r="D870" s="4">
        <v>84</v>
      </c>
      <c r="E870" s="4" t="s">
        <v>319</v>
      </c>
      <c r="F870" s="16">
        <v>44620</v>
      </c>
      <c r="G870" s="5" t="s">
        <v>318</v>
      </c>
      <c r="H870" s="5" t="s">
        <v>4375</v>
      </c>
      <c r="I870" s="24" t="str">
        <f>HYPERLINK("https://www.bilibili.com/video/BV1pY411t7Rb?p=84", "BV1pY411t7Rb?p=84")</f>
        <v>BV1pY411t7Rb?p=84</v>
      </c>
      <c r="J870" s="4" t="str">
        <f ca="1">_xlfn.IFNA(VLOOKUP(INDIRECT("G"&amp;ROW()),minfo!$A:$M,COLUMN()-8,0),"")</f>
        <v>晴天</v>
      </c>
      <c r="K870" s="4" t="str">
        <f ca="1">_xlfn.IFNA(VLOOKUP(INDIRECT("G"&amp;ROW()),minfo!$A:$M,COLUMN()-8,0),"")</f>
        <v>周杰伦</v>
      </c>
      <c r="L870" s="4">
        <f ca="1">_xlfn.IFNA(VLOOKUP(INDIRECT("G"&amp;ROW()),minfo!$A:$M,COLUMN()-8,0),"")</f>
        <v>0</v>
      </c>
      <c r="M870" s="4">
        <f ca="1">_xlfn.IFNA(VLOOKUP(INDIRECT("G"&amp;ROW()),minfo!$A:$M,COLUMN()-8,0),"")</f>
        <v>5048</v>
      </c>
      <c r="N870" s="4">
        <f ca="1">_xlfn.IFNA(VLOOKUP(INDIRECT("G"&amp;ROW()),minfo!$A:$M,COLUMN()-8,0),"")</f>
        <v>135</v>
      </c>
      <c r="O870" s="4" t="str">
        <f ca="1">_xlfn.IFNA(VLOOKUP(INDIRECT("G"&amp;ROW()),minfo!$A:$M,COLUMN()-8,0),"")</f>
        <v>https://i0.hdslb.com/bfs/station_src/music_metadata/2efa8f0df2aff949dee33b3f46a56312.jpg</v>
      </c>
      <c r="P870" s="4">
        <f ca="1">_xlfn.IFNA(VLOOKUP(INDIRECT("G"&amp;ROW()),minfo!$A:$M,COLUMN()-8,0),"")</f>
        <v>0</v>
      </c>
      <c r="Q870" s="4">
        <f ca="1">_xlfn.IFNA(VLOOKUP(INDIRECT("G"&amp;ROW()),minfo!$A:$M,COLUMN()-8,0),"")</f>
        <v>15983</v>
      </c>
      <c r="R870" s="4">
        <f ca="1">_xlfn.IFNA(VLOOKUP(INDIRECT("G"&amp;ROW()),minfo!$A:$M,COLUMN()-8,0),"")</f>
        <v>0</v>
      </c>
      <c r="S870" s="4" t="str">
        <f ca="1">_xlfn.IFNA(VLOOKUP(INDIRECT("G"&amp;ROW()),minfo!$A:$M,COLUMN()-8,0),"")</f>
        <v>叶惠美</v>
      </c>
      <c r="T870" s="4">
        <f ca="1">_xlfn.IFNA(VLOOKUP(INDIRECT("G"&amp;ROW()),minfo!$A:$M,COLUMN()-8,0),"")</f>
        <v>1497162616</v>
      </c>
      <c r="U870" s="4" t="str">
        <f ca="1">_xlfn.IFNA(VLOOKUP(INDIRECT("G"&amp;ROW()),minfo!$A:$M,COLUMN()-8,0),"")</f>
        <v>音乐榜最高NO.8</v>
      </c>
    </row>
    <row r="871" spans="1:21" ht="15.75" customHeight="1">
      <c r="A871" s="15">
        <v>870</v>
      </c>
      <c r="B871" s="4" t="s">
        <v>4462</v>
      </c>
      <c r="C871" s="4">
        <v>871</v>
      </c>
      <c r="D871" s="4">
        <v>85</v>
      </c>
      <c r="E871" s="4" t="s">
        <v>1184</v>
      </c>
      <c r="F871" s="16">
        <v>44620</v>
      </c>
      <c r="G871" s="5" t="s">
        <v>1183</v>
      </c>
      <c r="H871" s="5" t="s">
        <v>4375</v>
      </c>
      <c r="I871" s="24" t="str">
        <f>HYPERLINK("https://www.bilibili.com/video/BV1pY411t7Rb?p=85", "BV1pY411t7Rb?p=85")</f>
        <v>BV1pY411t7Rb?p=85</v>
      </c>
      <c r="J871" s="4" t="str">
        <f ca="1">_xlfn.IFNA(VLOOKUP(INDIRECT("G"&amp;ROW()),minfo!$A:$M,COLUMN()-8,0),"")</f>
        <v>喜欢寂寞</v>
      </c>
      <c r="K871" s="4" t="str">
        <f ca="1">_xlfn.IFNA(VLOOKUP(INDIRECT("G"&amp;ROW()),minfo!$A:$M,COLUMN()-8,0),"")</f>
        <v>苏打绿</v>
      </c>
      <c r="L871" s="4">
        <f ca="1">_xlfn.IFNA(VLOOKUP(INDIRECT("G"&amp;ROW()),minfo!$A:$M,COLUMN()-8,0),"")</f>
        <v>0</v>
      </c>
      <c r="M871" s="4">
        <f ca="1">_xlfn.IFNA(VLOOKUP(INDIRECT("G"&amp;ROW()),minfo!$A:$M,COLUMN()-8,0),"")</f>
        <v>0</v>
      </c>
      <c r="N871" s="4">
        <f ca="1">_xlfn.IFNA(VLOOKUP(INDIRECT("G"&amp;ROW()),minfo!$A:$M,COLUMN()-8,0),"")</f>
        <v>0</v>
      </c>
      <c r="O871" s="4" t="str">
        <f ca="1">_xlfn.IFNA(VLOOKUP(INDIRECT("G"&amp;ROW()),minfo!$A:$M,COLUMN()-8,0),"")</f>
        <v>https://i0.hdslb.com/bfs/station_src/music_metadata/d121c3715408b7ed00de8d570a7c5b94.jpg</v>
      </c>
      <c r="P871" s="4" t="str">
        <f ca="1">_xlfn.IFNA(VLOOKUP(INDIRECT("G"&amp;ROW()),minfo!$A:$M,COLUMN()-8,0),"")</f>
        <v>https://i0.hdslb.com/bfs/station_src/music_metadata/7751ffa790ea57dc1e90f19496ce8669.txt</v>
      </c>
      <c r="Q871" s="4">
        <f ca="1">_xlfn.IFNA(VLOOKUP(INDIRECT("G"&amp;ROW()),minfo!$A:$M,COLUMN()-8,0),"")</f>
        <v>13</v>
      </c>
      <c r="R871" s="4">
        <f ca="1">_xlfn.IFNA(VLOOKUP(INDIRECT("G"&amp;ROW()),minfo!$A:$M,COLUMN()-8,0),"")</f>
        <v>0</v>
      </c>
      <c r="S871" s="4" t="str">
        <f ca="1">_xlfn.IFNA(VLOOKUP(INDIRECT("G"&amp;ROW()),minfo!$A:$M,COLUMN()-8,0),"")</f>
        <v>2011 Hit Fm 年度百首单曲</v>
      </c>
      <c r="T871" s="4">
        <f ca="1">_xlfn.IFNA(VLOOKUP(INDIRECT("G"&amp;ROW()),minfo!$A:$M,COLUMN()-8,0),"")</f>
        <v>6139411</v>
      </c>
      <c r="U871" s="4">
        <f ca="1">_xlfn.IFNA(VLOOKUP(INDIRECT("G"&amp;ROW()),minfo!$A:$M,COLUMN()-8,0),"")</f>
        <v>0</v>
      </c>
    </row>
    <row r="872" spans="1:21" ht="15.75" customHeight="1">
      <c r="A872" s="15">
        <v>871</v>
      </c>
      <c r="B872" s="4" t="s">
        <v>4463</v>
      </c>
      <c r="C872" s="4">
        <v>872</v>
      </c>
      <c r="D872" s="4">
        <v>86</v>
      </c>
      <c r="E872" s="4" t="s">
        <v>2067</v>
      </c>
      <c r="F872" s="16">
        <v>44620</v>
      </c>
      <c r="G872" s="5" t="s">
        <v>2066</v>
      </c>
      <c r="H872" s="5" t="s">
        <v>4375</v>
      </c>
      <c r="I872" s="24" t="str">
        <f>HYPERLINK("https://www.bilibili.com/video/BV1pY411t7Rb?p=86", "BV1pY411t7Rb?p=86")</f>
        <v>BV1pY411t7Rb?p=86</v>
      </c>
      <c r="J872" s="4" t="str">
        <f ca="1">_xlfn.IFNA(VLOOKUP(INDIRECT("G"&amp;ROW()),minfo!$A:$M,COLUMN()-8,0),"")</f>
        <v>勾指起誓</v>
      </c>
      <c r="K872" s="4" t="str">
        <f ca="1">_xlfn.IFNA(VLOOKUP(INDIRECT("G"&amp;ROW()),minfo!$A:$M,COLUMN()-8,0),"")</f>
        <v>洛天依,ilem</v>
      </c>
      <c r="L872" s="4">
        <f ca="1">_xlfn.IFNA(VLOOKUP(INDIRECT("G"&amp;ROW()),minfo!$A:$M,COLUMN()-8,0),"")</f>
        <v>0</v>
      </c>
      <c r="M872" s="4">
        <f ca="1">_xlfn.IFNA(VLOOKUP(INDIRECT("G"&amp;ROW()),minfo!$A:$M,COLUMN()-8,0),"")</f>
        <v>0</v>
      </c>
      <c r="N872" s="4">
        <f ca="1">_xlfn.IFNA(VLOOKUP(INDIRECT("G"&amp;ROW()),minfo!$A:$M,COLUMN()-8,0),"")</f>
        <v>0</v>
      </c>
      <c r="O872" s="4" t="str">
        <f ca="1">_xlfn.IFNA(VLOOKUP(INDIRECT("G"&amp;ROW()),minfo!$A:$M,COLUMN()-8,0),"")</f>
        <v>https://i0.hdslb.com/bfs/station_src/music_metadata/2bf703ca0968210e39946b5a88262f56.jpg</v>
      </c>
      <c r="P872" s="4">
        <f ca="1">_xlfn.IFNA(VLOOKUP(INDIRECT("G"&amp;ROW()),minfo!$A:$M,COLUMN()-8,0),"")</f>
        <v>0</v>
      </c>
      <c r="Q872" s="4">
        <f ca="1">_xlfn.IFNA(VLOOKUP(INDIRECT("G"&amp;ROW()),minfo!$A:$M,COLUMN()-8,0),"")</f>
        <v>5625</v>
      </c>
      <c r="R872" s="4">
        <f ca="1">_xlfn.IFNA(VLOOKUP(INDIRECT("G"&amp;ROW()),minfo!$A:$M,COLUMN()-8,0),"")</f>
        <v>0</v>
      </c>
      <c r="S872" s="4" t="str">
        <f ca="1">_xlfn.IFNA(VLOOKUP(INDIRECT("G"&amp;ROW()),minfo!$A:$M,COLUMN()-8,0),"")</f>
        <v>2:3</v>
      </c>
      <c r="T872" s="4">
        <f ca="1">_xlfn.IFNA(VLOOKUP(INDIRECT("G"&amp;ROW()),minfo!$A:$M,COLUMN()-8,0),"")</f>
        <v>733581386</v>
      </c>
      <c r="U872" s="4">
        <f ca="1">_xlfn.IFNA(VLOOKUP(INDIRECT("G"&amp;ROW()),minfo!$A:$M,COLUMN()-8,0),"")</f>
        <v>0</v>
      </c>
    </row>
    <row r="873" spans="1:21" ht="15.75" customHeight="1">
      <c r="A873" s="15">
        <v>872</v>
      </c>
      <c r="B873" s="4" t="s">
        <v>4464</v>
      </c>
      <c r="C873" s="4">
        <v>873</v>
      </c>
      <c r="D873" s="4">
        <v>87</v>
      </c>
      <c r="E873" s="4" t="s">
        <v>492</v>
      </c>
      <c r="F873" s="16">
        <v>44620</v>
      </c>
      <c r="G873" s="5" t="s">
        <v>491</v>
      </c>
      <c r="H873" s="5" t="s">
        <v>4375</v>
      </c>
      <c r="I873" s="24" t="str">
        <f>HYPERLINK("https://www.bilibili.com/video/BV1pY411t7Rb?p=87", "BV1pY411t7Rb?p=87")</f>
        <v>BV1pY411t7Rb?p=87</v>
      </c>
      <c r="J873" s="4" t="str">
        <f ca="1">_xlfn.IFNA(VLOOKUP(INDIRECT("G"&amp;ROW()),minfo!$A:$M,COLUMN()-8,0),"")</f>
        <v>像风一样</v>
      </c>
      <c r="K873" s="4" t="str">
        <f ca="1">_xlfn.IFNA(VLOOKUP(INDIRECT("G"&amp;ROW()),minfo!$A:$M,COLUMN()-8,0),"")</f>
        <v>薛之谦</v>
      </c>
      <c r="L873" s="4">
        <f ca="1">_xlfn.IFNA(VLOOKUP(INDIRECT("G"&amp;ROW()),minfo!$A:$M,COLUMN()-8,0),"")</f>
        <v>0</v>
      </c>
      <c r="M873" s="4">
        <f ca="1">_xlfn.IFNA(VLOOKUP(INDIRECT("G"&amp;ROW()),minfo!$A:$M,COLUMN()-8,0),"")</f>
        <v>658</v>
      </c>
      <c r="N873" s="4">
        <f ca="1">_xlfn.IFNA(VLOOKUP(INDIRECT("G"&amp;ROW()),minfo!$A:$M,COLUMN()-8,0),"")</f>
        <v>85</v>
      </c>
      <c r="O873" s="4" t="str">
        <f ca="1">_xlfn.IFNA(VLOOKUP(INDIRECT("G"&amp;ROW()),minfo!$A:$M,COLUMN()-8,0),"")</f>
        <v>http://i0.hdslb.com/bfs/station_src/music_metadata/a3a8c61a923efdb7e46195d46e94c363.jpg</v>
      </c>
      <c r="P873" s="4">
        <f ca="1">_xlfn.IFNA(VLOOKUP(INDIRECT("G"&amp;ROW()),minfo!$A:$M,COLUMN()-8,0),"")</f>
        <v>0</v>
      </c>
      <c r="Q873" s="4">
        <f ca="1">_xlfn.IFNA(VLOOKUP(INDIRECT("G"&amp;ROW()),minfo!$A:$M,COLUMN()-8,0),"")</f>
        <v>125</v>
      </c>
      <c r="R873" s="4" t="str">
        <f ca="1">_xlfn.IFNA(VLOOKUP(INDIRECT("G"&amp;ROW()),minfo!$A:$M,COLUMN()-8,0),"")</f>
        <v>像风一样</v>
      </c>
      <c r="S873" s="4" t="str">
        <f ca="1">_xlfn.IFNA(VLOOKUP(INDIRECT("G"&amp;ROW()),minfo!$A:$M,COLUMN()-8,0),"")</f>
        <v>渡 The Crossing</v>
      </c>
      <c r="T873" s="4">
        <f ca="1">_xlfn.IFNA(VLOOKUP(INDIRECT("G"&amp;ROW()),minfo!$A:$M,COLUMN()-8,0),"")</f>
        <v>87463982</v>
      </c>
      <c r="U873" s="4">
        <f ca="1">_xlfn.IFNA(VLOOKUP(INDIRECT("G"&amp;ROW()),minfo!$A:$M,COLUMN()-8,0),"")</f>
        <v>0</v>
      </c>
    </row>
    <row r="874" spans="1:21" ht="15.75" customHeight="1">
      <c r="A874" s="15">
        <v>873</v>
      </c>
      <c r="B874" s="4" t="s">
        <v>4465</v>
      </c>
      <c r="C874" s="4">
        <v>874</v>
      </c>
      <c r="D874" s="4">
        <v>88</v>
      </c>
      <c r="E874" s="4" t="s">
        <v>20</v>
      </c>
      <c r="F874" s="16">
        <v>44620</v>
      </c>
      <c r="G874" s="5" t="s">
        <v>19</v>
      </c>
      <c r="H874" s="5" t="s">
        <v>4375</v>
      </c>
      <c r="I874" s="24" t="str">
        <f>HYPERLINK("https://www.bilibili.com/video/BV1pY411t7Rb?p=88", "BV1pY411t7Rb?p=88")</f>
        <v>BV1pY411t7Rb?p=88</v>
      </c>
      <c r="J874" s="4" t="str">
        <f ca="1">_xlfn.IFNA(VLOOKUP(INDIRECT("G"&amp;ROW()),minfo!$A:$M,COLUMN()-8,0),"")</f>
        <v>人啊</v>
      </c>
      <c r="K874" s="4" t="str">
        <f ca="1">_xlfn.IFNA(VLOOKUP(INDIRECT("G"&amp;ROW()),minfo!$A:$M,COLUMN()-8,0),"")</f>
        <v>单依纯</v>
      </c>
      <c r="L874" s="4">
        <f ca="1">_xlfn.IFNA(VLOOKUP(INDIRECT("G"&amp;ROW()),minfo!$A:$M,COLUMN()-8,0),"")</f>
        <v>0</v>
      </c>
      <c r="M874" s="4">
        <f ca="1">_xlfn.IFNA(VLOOKUP(INDIRECT("G"&amp;ROW()),minfo!$A:$M,COLUMN()-8,0),"")</f>
        <v>0</v>
      </c>
      <c r="N874" s="4">
        <f ca="1">_xlfn.IFNA(VLOOKUP(INDIRECT("G"&amp;ROW()),minfo!$A:$M,COLUMN()-8,0),"")</f>
        <v>0</v>
      </c>
      <c r="O874" s="4" t="str">
        <f ca="1">_xlfn.IFNA(VLOOKUP(INDIRECT("G"&amp;ROW()),minfo!$A:$M,COLUMN()-8,0),"")</f>
        <v>https://i0.hdslb.com/bfs/station_src/music_metadata/a697c5525f54e3a22b0caceb846d074a.jpg</v>
      </c>
      <c r="P874" s="4" t="str">
        <f ca="1">_xlfn.IFNA(VLOOKUP(INDIRECT("G"&amp;ROW()),minfo!$A:$M,COLUMN()-8,0),"")</f>
        <v>https://i0.hdslb.com/bfs/station_src/music_metadata/f9eba08a567e4e3bb5bf438dae27b6f2.txt</v>
      </c>
      <c r="Q874" s="4">
        <f ca="1">_xlfn.IFNA(VLOOKUP(INDIRECT("G"&amp;ROW()),minfo!$A:$M,COLUMN()-8,0),"")</f>
        <v>16</v>
      </c>
      <c r="R874" s="4">
        <f ca="1">_xlfn.IFNA(VLOOKUP(INDIRECT("G"&amp;ROW()),minfo!$A:$M,COLUMN()-8,0),"")</f>
        <v>0</v>
      </c>
      <c r="S874" s="4" t="str">
        <f ca="1">_xlfn.IFNA(VLOOKUP(INDIRECT("G"&amp;ROW()),minfo!$A:$M,COLUMN()-8,0),"")</f>
        <v>2020中国好声音 第11期</v>
      </c>
      <c r="T874" s="4">
        <f ca="1">_xlfn.IFNA(VLOOKUP(INDIRECT("G"&amp;ROW()),minfo!$A:$M,COLUMN()-8,0),"")</f>
        <v>3227968</v>
      </c>
      <c r="U874" s="4">
        <f ca="1">_xlfn.IFNA(VLOOKUP(INDIRECT("G"&amp;ROW()),minfo!$A:$M,COLUMN()-8,0),"")</f>
        <v>0</v>
      </c>
    </row>
    <row r="875" spans="1:21" ht="15.75" customHeight="1">
      <c r="A875" s="15">
        <v>874</v>
      </c>
      <c r="B875" s="4" t="s">
        <v>4466</v>
      </c>
      <c r="C875" s="4">
        <v>875</v>
      </c>
      <c r="D875" s="4">
        <v>89</v>
      </c>
      <c r="E875" s="4" t="s">
        <v>620</v>
      </c>
      <c r="F875" s="16">
        <v>44623</v>
      </c>
      <c r="G875" s="5" t="s">
        <v>619</v>
      </c>
      <c r="H875" s="5" t="s">
        <v>4375</v>
      </c>
      <c r="I875" s="24" t="str">
        <f>HYPERLINK("https://www.bilibili.com/video/BV1pY411t7Rb?p=89", "BV1pY411t7Rb?p=89")</f>
        <v>BV1pY411t7Rb?p=89</v>
      </c>
      <c r="J875" s="4" t="str">
        <f ca="1">_xlfn.IFNA(VLOOKUP(INDIRECT("G"&amp;ROW()),minfo!$A:$M,COLUMN()-8,0),"")</f>
        <v>春三月</v>
      </c>
      <c r="K875" s="4" t="str">
        <f ca="1">_xlfn.IFNA(VLOOKUP(INDIRECT("G"&amp;ROW()),minfo!$A:$M,COLUMN()-8,0),"")</f>
        <v>司南</v>
      </c>
      <c r="L875" s="4">
        <f ca="1">_xlfn.IFNA(VLOOKUP(INDIRECT("G"&amp;ROW()),minfo!$A:$M,COLUMN()-8,0),"")</f>
        <v>0</v>
      </c>
      <c r="M875" s="4">
        <f ca="1">_xlfn.IFNA(VLOOKUP(INDIRECT("G"&amp;ROW()),minfo!$A:$M,COLUMN()-8,0),"")</f>
        <v>0</v>
      </c>
      <c r="N875" s="4">
        <f ca="1">_xlfn.IFNA(VLOOKUP(INDIRECT("G"&amp;ROW()),minfo!$A:$M,COLUMN()-8,0),"")</f>
        <v>0</v>
      </c>
      <c r="O875" s="4" t="str">
        <f ca="1">_xlfn.IFNA(VLOOKUP(INDIRECT("G"&amp;ROW()),minfo!$A:$M,COLUMN()-8,0),"")</f>
        <v>http://i0.hdslb.com/bfs/station_src/music_metadata/1e8f55a59589012b750c6ec41b99d497.jpg</v>
      </c>
      <c r="P875" s="4" t="str">
        <f ca="1">_xlfn.IFNA(VLOOKUP(INDIRECT("G"&amp;ROW()),minfo!$A:$M,COLUMN()-8,0),"")</f>
        <v>http://i0.hdslb.com/bfs/station_src/music_metadata/c1d8969f8a1bbd139cb0cff290fb17e7</v>
      </c>
      <c r="Q875" s="4">
        <f ca="1">_xlfn.IFNA(VLOOKUP(INDIRECT("G"&amp;ROW()),minfo!$A:$M,COLUMN()-8,0),"")</f>
        <v>1717</v>
      </c>
      <c r="R875" s="4">
        <f ca="1">_xlfn.IFNA(VLOOKUP(INDIRECT("G"&amp;ROW()),minfo!$A:$M,COLUMN()-8,0),"")</f>
        <v>0</v>
      </c>
      <c r="S875" s="4" t="str">
        <f ca="1">_xlfn.IFNA(VLOOKUP(INDIRECT("G"&amp;ROW()),minfo!$A:$M,COLUMN()-8,0),"")</f>
        <v>春三月</v>
      </c>
      <c r="T875" s="4">
        <f ca="1">_xlfn.IFNA(VLOOKUP(INDIRECT("G"&amp;ROW()),minfo!$A:$M,COLUMN()-8,0),"")</f>
        <v>176570518</v>
      </c>
      <c r="U875" s="4">
        <f ca="1">_xlfn.IFNA(VLOOKUP(INDIRECT("G"&amp;ROW()),minfo!$A:$M,COLUMN()-8,0),"")</f>
        <v>0</v>
      </c>
    </row>
    <row r="876" spans="1:21" ht="15.75" customHeight="1">
      <c r="A876" s="15">
        <v>875</v>
      </c>
      <c r="B876" s="4" t="s">
        <v>4467</v>
      </c>
      <c r="C876" s="4">
        <v>876</v>
      </c>
      <c r="D876" s="4">
        <v>90</v>
      </c>
      <c r="E876" s="4" t="s">
        <v>301</v>
      </c>
      <c r="F876" s="16">
        <v>44623</v>
      </c>
      <c r="G876" s="5" t="s">
        <v>300</v>
      </c>
      <c r="H876" s="5" t="s">
        <v>4375</v>
      </c>
      <c r="I876" s="24" t="str">
        <f>HYPERLINK("https://www.bilibili.com/video/BV1pY411t7Rb?p=90", "BV1pY411t7Rb?p=90")</f>
        <v>BV1pY411t7Rb?p=90</v>
      </c>
      <c r="J876" s="4" t="str">
        <f ca="1">_xlfn.IFNA(VLOOKUP(INDIRECT("G"&amp;ROW()),minfo!$A:$M,COLUMN()-8,0),"")</f>
        <v>桃花笑</v>
      </c>
      <c r="K876" s="4" t="str">
        <f ca="1">_xlfn.IFNA(VLOOKUP(INDIRECT("G"&amp;ROW()),minfo!$A:$M,COLUMN()-8,0),"")</f>
        <v>乐正绫,洛天依,言和</v>
      </c>
      <c r="L876" s="4">
        <f ca="1">_xlfn.IFNA(VLOOKUP(INDIRECT("G"&amp;ROW()),minfo!$A:$M,COLUMN()-8,0),"")</f>
        <v>0</v>
      </c>
      <c r="M876" s="4">
        <f ca="1">_xlfn.IFNA(VLOOKUP(INDIRECT("G"&amp;ROW()),minfo!$A:$M,COLUMN()-8,0),"")</f>
        <v>0</v>
      </c>
      <c r="N876" s="4">
        <f ca="1">_xlfn.IFNA(VLOOKUP(INDIRECT("G"&amp;ROW()),minfo!$A:$M,COLUMN()-8,0),"")</f>
        <v>0</v>
      </c>
      <c r="O876" s="4" t="str">
        <f ca="1">_xlfn.IFNA(VLOOKUP(INDIRECT("G"&amp;ROW()),minfo!$A:$M,COLUMN()-8,0),"")</f>
        <v>https://i0.hdslb.com/bfs/station_src/music_metadata/111f3216921740e3e7a034e11a371531.jpg</v>
      </c>
      <c r="P876" s="4" t="str">
        <f ca="1">_xlfn.IFNA(VLOOKUP(INDIRECT("G"&amp;ROW()),minfo!$A:$M,COLUMN()-8,0),"")</f>
        <v>https://i0.hdslb.com/bfs/station_src/music_metadata/cd7881a3dd16a655167d4bc7b03aa735.txt</v>
      </c>
      <c r="Q876" s="4">
        <f ca="1">_xlfn.IFNA(VLOOKUP(INDIRECT("G"&amp;ROW()),minfo!$A:$M,COLUMN()-8,0),"")</f>
        <v>3601</v>
      </c>
      <c r="R876" s="4">
        <f ca="1">_xlfn.IFNA(VLOOKUP(INDIRECT("G"&amp;ROW()),minfo!$A:$M,COLUMN()-8,0),"")</f>
        <v>0</v>
      </c>
      <c r="S876" s="4" t="str">
        <f ca="1">_xlfn.IFNA(VLOOKUP(INDIRECT("G"&amp;ROW()),minfo!$A:$M,COLUMN()-8,0),"")</f>
        <v>桃花笑</v>
      </c>
      <c r="T876" s="4">
        <f ca="1">_xlfn.IFNA(VLOOKUP(INDIRECT("G"&amp;ROW()),minfo!$A:$M,COLUMN()-8,0),"")</f>
        <v>1067845676</v>
      </c>
      <c r="U876" s="4">
        <f ca="1">_xlfn.IFNA(VLOOKUP(INDIRECT("G"&amp;ROW()),minfo!$A:$M,COLUMN()-8,0),"")</f>
        <v>0</v>
      </c>
    </row>
    <row r="877" spans="1:21" ht="15.75" customHeight="1">
      <c r="A877" s="15">
        <v>876</v>
      </c>
      <c r="B877" s="4" t="s">
        <v>4468</v>
      </c>
      <c r="C877" s="4">
        <v>877</v>
      </c>
      <c r="D877" s="4">
        <v>91</v>
      </c>
      <c r="E877" s="4" t="s">
        <v>483</v>
      </c>
      <c r="F877" s="16">
        <v>44623</v>
      </c>
      <c r="G877" s="5" t="s">
        <v>482</v>
      </c>
      <c r="H877" s="5" t="s">
        <v>4375</v>
      </c>
      <c r="I877" s="24" t="str">
        <f>HYPERLINK("https://www.bilibili.com/video/BV1pY411t7Rb?p=91", "BV1pY411t7Rb?p=91")</f>
        <v>BV1pY411t7Rb?p=91</v>
      </c>
      <c r="J877" s="4" t="str">
        <f ca="1">_xlfn.IFNA(VLOOKUP(INDIRECT("G"&amp;ROW()),minfo!$A:$M,COLUMN()-8,0),"")</f>
        <v>三月雨</v>
      </c>
      <c r="K877" s="4" t="str">
        <f ca="1">_xlfn.IFNA(VLOOKUP(INDIRECT("G"&amp;ROW()),minfo!$A:$M,COLUMN()-8,0),"")</f>
        <v>洛天依</v>
      </c>
      <c r="L877" s="4">
        <f ca="1">_xlfn.IFNA(VLOOKUP(INDIRECT("G"&amp;ROW()),minfo!$A:$M,COLUMN()-8,0),"")</f>
        <v>0</v>
      </c>
      <c r="M877" s="4">
        <f ca="1">_xlfn.IFNA(VLOOKUP(INDIRECT("G"&amp;ROW()),minfo!$A:$M,COLUMN()-8,0),"")</f>
        <v>0</v>
      </c>
      <c r="N877" s="4">
        <f ca="1">_xlfn.IFNA(VLOOKUP(INDIRECT("G"&amp;ROW()),minfo!$A:$M,COLUMN()-8,0),"")</f>
        <v>0</v>
      </c>
      <c r="O877" s="4" t="str">
        <f ca="1">_xlfn.IFNA(VLOOKUP(INDIRECT("G"&amp;ROW()),minfo!$A:$M,COLUMN()-8,0),"")</f>
        <v>https://i0.hdslb.com/bfs/station_src/music_metadata/d9ec84386ae11b7d1479726beb84a9b0.jpg</v>
      </c>
      <c r="P877" s="4">
        <f ca="1">_xlfn.IFNA(VLOOKUP(INDIRECT("G"&amp;ROW()),minfo!$A:$M,COLUMN()-8,0),"")</f>
        <v>0</v>
      </c>
      <c r="Q877" s="4">
        <f ca="1">_xlfn.IFNA(VLOOKUP(INDIRECT("G"&amp;ROW()),minfo!$A:$M,COLUMN()-8,0),"")</f>
        <v>73</v>
      </c>
      <c r="R877" s="4">
        <f ca="1">_xlfn.IFNA(VLOOKUP(INDIRECT("G"&amp;ROW()),minfo!$A:$M,COLUMN()-8,0),"")</f>
        <v>0</v>
      </c>
      <c r="S877" s="4" t="str">
        <f ca="1">_xlfn.IFNA(VLOOKUP(INDIRECT("G"&amp;ROW()),minfo!$A:$M,COLUMN()-8,0),"")</f>
        <v>洛天依小鸡哔哔</v>
      </c>
      <c r="T877" s="4">
        <f ca="1">_xlfn.IFNA(VLOOKUP(INDIRECT("G"&amp;ROW()),minfo!$A:$M,COLUMN()-8,0),"")</f>
        <v>22973704</v>
      </c>
      <c r="U877" s="4">
        <f ca="1">_xlfn.IFNA(VLOOKUP(INDIRECT("G"&amp;ROW()),minfo!$A:$M,COLUMN()-8,0),"")</f>
        <v>0</v>
      </c>
    </row>
    <row r="878" spans="1:21" ht="15.75" customHeight="1">
      <c r="A878" s="15">
        <v>877</v>
      </c>
      <c r="B878" s="4" t="s">
        <v>4469</v>
      </c>
      <c r="C878" s="4">
        <v>878</v>
      </c>
      <c r="D878" s="4">
        <v>92</v>
      </c>
      <c r="E878" s="4" t="s">
        <v>332</v>
      </c>
      <c r="F878" s="16">
        <v>44623</v>
      </c>
      <c r="G878" s="5" t="s">
        <v>331</v>
      </c>
      <c r="H878" s="5" t="s">
        <v>4375</v>
      </c>
      <c r="I878" s="24" t="str">
        <f>HYPERLINK("https://www.bilibili.com/video/BV1pY411t7Rb?p=92", "BV1pY411t7Rb?p=92")</f>
        <v>BV1pY411t7Rb?p=92</v>
      </c>
      <c r="J878" s="4" t="str">
        <f ca="1">_xlfn.IFNA(VLOOKUP(INDIRECT("G"&amp;ROW()),minfo!$A:$M,COLUMN()-8,0),"")</f>
        <v>春天的芭蕾</v>
      </c>
      <c r="K878" s="4" t="str">
        <f ca="1">_xlfn.IFNA(VLOOKUP(INDIRECT("G"&amp;ROW()),minfo!$A:$M,COLUMN()-8,0),"")</f>
        <v>常思思</v>
      </c>
      <c r="L878" s="4">
        <f ca="1">_xlfn.IFNA(VLOOKUP(INDIRECT("G"&amp;ROW()),minfo!$A:$M,COLUMN()-8,0),"")</f>
        <v>0</v>
      </c>
      <c r="M878" s="4">
        <f ca="1">_xlfn.IFNA(VLOOKUP(INDIRECT("G"&amp;ROW()),minfo!$A:$M,COLUMN()-8,0),"")</f>
        <v>0</v>
      </c>
      <c r="N878" s="4">
        <f ca="1">_xlfn.IFNA(VLOOKUP(INDIRECT("G"&amp;ROW()),minfo!$A:$M,COLUMN()-8,0),"")</f>
        <v>0</v>
      </c>
      <c r="O878" s="4" t="str">
        <f ca="1">_xlfn.IFNA(VLOOKUP(INDIRECT("G"&amp;ROW()),minfo!$A:$M,COLUMN()-8,0),"")</f>
        <v>http://i0.hdslb.com/bfs/station_src/music_metadata/7202bafed8b495edfdc98691518442b5.jpg</v>
      </c>
      <c r="P878" s="4" t="str">
        <f ca="1">_xlfn.IFNA(VLOOKUP(INDIRECT("G"&amp;ROW()),minfo!$A:$M,COLUMN()-8,0),"")</f>
        <v>http://i0.hdslb.com/bfs/station_src/music_metadata/1faf7f1d5734fb67fc3aa5824aaf8ed2</v>
      </c>
      <c r="Q878" s="4">
        <f ca="1">_xlfn.IFNA(VLOOKUP(INDIRECT("G"&amp;ROW()),minfo!$A:$M,COLUMN()-8,0),"")</f>
        <v>173</v>
      </c>
      <c r="R878" s="4">
        <f ca="1">_xlfn.IFNA(VLOOKUP(INDIRECT("G"&amp;ROW()),minfo!$A:$M,COLUMN()-8,0),"")</f>
        <v>0</v>
      </c>
      <c r="S878" s="4">
        <f ca="1">_xlfn.IFNA(VLOOKUP(INDIRECT("G"&amp;ROW()),minfo!$A:$M,COLUMN()-8,0),"")</f>
        <v>0</v>
      </c>
      <c r="T878" s="4">
        <f ca="1">_xlfn.IFNA(VLOOKUP(INDIRECT("G"&amp;ROW()),minfo!$A:$M,COLUMN()-8,0),"")</f>
        <v>25997684</v>
      </c>
      <c r="U878" s="4">
        <f ca="1">_xlfn.IFNA(VLOOKUP(INDIRECT("G"&amp;ROW()),minfo!$A:$M,COLUMN()-8,0),"")</f>
        <v>0</v>
      </c>
    </row>
    <row r="879" spans="1:21" ht="15.75" customHeight="1">
      <c r="A879" s="15">
        <v>878</v>
      </c>
      <c r="B879" s="4" t="s">
        <v>4470</v>
      </c>
      <c r="C879" s="4">
        <v>879</v>
      </c>
      <c r="D879" s="4">
        <v>93</v>
      </c>
      <c r="E879" s="4" t="s">
        <v>860</v>
      </c>
      <c r="F879" s="16">
        <v>44623</v>
      </c>
      <c r="G879" s="5" t="s">
        <v>859</v>
      </c>
      <c r="H879" s="5" t="s">
        <v>4375</v>
      </c>
      <c r="I879" s="24" t="str">
        <f>HYPERLINK("https://www.bilibili.com/video/BV1pY411t7Rb?p=93", "BV1pY411t7Rb?p=93")</f>
        <v>BV1pY411t7Rb?p=93</v>
      </c>
      <c r="J879" s="4" t="str">
        <f ca="1">_xlfn.IFNA(VLOOKUP(INDIRECT("G"&amp;ROW()),minfo!$A:$M,COLUMN()-8,0),"")</f>
        <v>秋水长天</v>
      </c>
      <c r="K879" s="4" t="str">
        <f ca="1">_xlfn.IFNA(VLOOKUP(INDIRECT("G"&amp;ROW()),minfo!$A:$M,COLUMN()-8,0),"")</f>
        <v>常思思</v>
      </c>
      <c r="L879" s="4">
        <f ca="1">_xlfn.IFNA(VLOOKUP(INDIRECT("G"&amp;ROW()),minfo!$A:$M,COLUMN()-8,0),"")</f>
        <v>0</v>
      </c>
      <c r="M879" s="4">
        <f ca="1">_xlfn.IFNA(VLOOKUP(INDIRECT("G"&amp;ROW()),minfo!$A:$M,COLUMN()-8,0),"")</f>
        <v>0</v>
      </c>
      <c r="N879" s="4">
        <f ca="1">_xlfn.IFNA(VLOOKUP(INDIRECT("G"&amp;ROW()),minfo!$A:$M,COLUMN()-8,0),"")</f>
        <v>0</v>
      </c>
      <c r="O879" s="4" t="str">
        <f ca="1">_xlfn.IFNA(VLOOKUP(INDIRECT("G"&amp;ROW()),minfo!$A:$M,COLUMN()-8,0),"")</f>
        <v>https://i0.hdslb.com/bfs/station_src/music_metadata/d520e489abaf715fb24ccc60f72dc6e4.jpg</v>
      </c>
      <c r="P879" s="4" t="str">
        <f ca="1">_xlfn.IFNA(VLOOKUP(INDIRECT("G"&amp;ROW()),minfo!$A:$M,COLUMN()-8,0),"")</f>
        <v>https://i0.hdslb.com/bfs/station_src/music_metadata/56ca13041f9dd35abfd03e02fe5cf59f.txt</v>
      </c>
      <c r="Q879" s="4">
        <f ca="1">_xlfn.IFNA(VLOOKUP(INDIRECT("G"&amp;ROW()),minfo!$A:$M,COLUMN()-8,0),"")</f>
        <v>1</v>
      </c>
      <c r="R879" s="4">
        <f ca="1">_xlfn.IFNA(VLOOKUP(INDIRECT("G"&amp;ROW()),minfo!$A:$M,COLUMN()-8,0),"")</f>
        <v>0</v>
      </c>
      <c r="S879" s="4" t="str">
        <f ca="1">_xlfn.IFNA(VLOOKUP(INDIRECT("G"&amp;ROW()),minfo!$A:$M,COLUMN()-8,0),"")</f>
        <v>常思思精选歌曲集</v>
      </c>
      <c r="T879" s="4">
        <f ca="1">_xlfn.IFNA(VLOOKUP(INDIRECT("G"&amp;ROW()),minfo!$A:$M,COLUMN()-8,0),"")</f>
        <v>1335190</v>
      </c>
      <c r="U879" s="4">
        <f ca="1">_xlfn.IFNA(VLOOKUP(INDIRECT("G"&amp;ROW()),minfo!$A:$M,COLUMN()-8,0),"")</f>
        <v>0</v>
      </c>
    </row>
    <row r="880" spans="1:21" ht="15.75" customHeight="1">
      <c r="A880" s="15">
        <v>879</v>
      </c>
      <c r="B880" s="4" t="s">
        <v>4471</v>
      </c>
      <c r="C880" s="4">
        <v>880</v>
      </c>
      <c r="D880" s="4">
        <v>94</v>
      </c>
      <c r="E880" s="4" t="s">
        <v>889</v>
      </c>
      <c r="F880" s="16">
        <v>44623</v>
      </c>
      <c r="G880" s="5" t="s">
        <v>888</v>
      </c>
      <c r="H880" s="5" t="s">
        <v>4375</v>
      </c>
      <c r="I880" s="24" t="str">
        <f>HYPERLINK("https://www.bilibili.com/video/BV1pY411t7Rb?p=94", "BV1pY411t7Rb?p=94")</f>
        <v>BV1pY411t7Rb?p=94</v>
      </c>
      <c r="J880" s="4" t="str">
        <f ca="1">_xlfn.IFNA(VLOOKUP(INDIRECT("G"&amp;ROW()),minfo!$A:$M,COLUMN()-8,0),"")</f>
        <v>牵丝戏</v>
      </c>
      <c r="K880" s="4" t="str">
        <f ca="1">_xlfn.IFNA(VLOOKUP(INDIRECT("G"&amp;ROW()),minfo!$A:$M,COLUMN()-8,0),"")</f>
        <v>Aki阿杰,银临</v>
      </c>
      <c r="L880" s="4">
        <f ca="1">_xlfn.IFNA(VLOOKUP(INDIRECT("G"&amp;ROW()),minfo!$A:$M,COLUMN()-8,0),"")</f>
        <v>0</v>
      </c>
      <c r="M880" s="4">
        <f ca="1">_xlfn.IFNA(VLOOKUP(INDIRECT("G"&amp;ROW()),minfo!$A:$M,COLUMN()-8,0),"")</f>
        <v>0</v>
      </c>
      <c r="N880" s="4">
        <f ca="1">_xlfn.IFNA(VLOOKUP(INDIRECT("G"&amp;ROW()),minfo!$A:$M,COLUMN()-8,0),"")</f>
        <v>0</v>
      </c>
      <c r="O880" s="4" t="str">
        <f ca="1">_xlfn.IFNA(VLOOKUP(INDIRECT("G"&amp;ROW()),minfo!$A:$M,COLUMN()-8,0),"")</f>
        <v>http://i0.hdslb.com/bfs/station_src/music_metadata/72595c526fcf49f274790d64d054c75b.jpg</v>
      </c>
      <c r="P880" s="4" t="str">
        <f ca="1">_xlfn.IFNA(VLOOKUP(INDIRECT("G"&amp;ROW()),minfo!$A:$M,COLUMN()-8,0),"")</f>
        <v>http://i0.hdslb.com/bfs/station_src/music_metadata/14006e77b0b81667b2717d8b056c1ce1</v>
      </c>
      <c r="Q880" s="4">
        <f ca="1">_xlfn.IFNA(VLOOKUP(INDIRECT("G"&amp;ROW()),minfo!$A:$M,COLUMN()-8,0),"")</f>
        <v>5373</v>
      </c>
      <c r="R880" s="4">
        <f ca="1">_xlfn.IFNA(VLOOKUP(INDIRECT("G"&amp;ROW()),minfo!$A:$M,COLUMN()-8,0),"")</f>
        <v>0</v>
      </c>
      <c r="S880" s="4" t="str">
        <f ca="1">_xlfn.IFNA(VLOOKUP(INDIRECT("G"&amp;ROW()),minfo!$A:$M,COLUMN()-8,0),"")</f>
        <v>牵丝戏</v>
      </c>
      <c r="T880" s="4">
        <f ca="1">_xlfn.IFNA(VLOOKUP(INDIRECT("G"&amp;ROW()),minfo!$A:$M,COLUMN()-8,0),"")</f>
        <v>1130927274</v>
      </c>
      <c r="U880" s="4">
        <f ca="1">_xlfn.IFNA(VLOOKUP(INDIRECT("G"&amp;ROW()),minfo!$A:$M,COLUMN()-8,0),"")</f>
        <v>0</v>
      </c>
    </row>
    <row r="881" spans="1:21" ht="15.75" customHeight="1">
      <c r="A881" s="15">
        <v>880</v>
      </c>
      <c r="B881" s="4" t="s">
        <v>4472</v>
      </c>
      <c r="C881" s="4">
        <v>881</v>
      </c>
      <c r="D881" s="4">
        <v>95</v>
      </c>
      <c r="E881" s="4" t="s">
        <v>41</v>
      </c>
      <c r="F881" s="16">
        <v>44623</v>
      </c>
      <c r="G881" s="5" t="s">
        <v>40</v>
      </c>
      <c r="H881" s="5" t="s">
        <v>4375</v>
      </c>
      <c r="I881" s="24" t="str">
        <f>HYPERLINK("https://www.bilibili.com/video/BV1pY411t7Rb?p=95", "BV1pY411t7Rb?p=95")</f>
        <v>BV1pY411t7Rb?p=95</v>
      </c>
      <c r="J881" s="4" t="str">
        <f ca="1">_xlfn.IFNA(VLOOKUP(INDIRECT("G"&amp;ROW()),minfo!$A:$M,COLUMN()-8,0),"")</f>
        <v>繁华梦</v>
      </c>
      <c r="K881" s="4" t="str">
        <f ca="1">_xlfn.IFNA(VLOOKUP(INDIRECT("G"&amp;ROW()),minfo!$A:$M,COLUMN()-8,0),"")</f>
        <v>黄龄</v>
      </c>
      <c r="L881" s="4">
        <f ca="1">_xlfn.IFNA(VLOOKUP(INDIRECT("G"&amp;ROW()),minfo!$A:$M,COLUMN()-8,0),"")</f>
        <v>0</v>
      </c>
      <c r="M881" s="4">
        <f ca="1">_xlfn.IFNA(VLOOKUP(INDIRECT("G"&amp;ROW()),minfo!$A:$M,COLUMN()-8,0),"")</f>
        <v>0</v>
      </c>
      <c r="N881" s="4">
        <f ca="1">_xlfn.IFNA(VLOOKUP(INDIRECT("G"&amp;ROW()),minfo!$A:$M,COLUMN()-8,0),"")</f>
        <v>0</v>
      </c>
      <c r="O881" s="4" t="str">
        <f ca="1">_xlfn.IFNA(VLOOKUP(INDIRECT("G"&amp;ROW()),minfo!$A:$M,COLUMN()-8,0),"")</f>
        <v>https://i0.hdslb.com/bfs/station_src/music_metadata/291e1698332ad9b72c9b1b6d790b1779.jpg</v>
      </c>
      <c r="P881" s="4" t="str">
        <f ca="1">_xlfn.IFNA(VLOOKUP(INDIRECT("G"&amp;ROW()),minfo!$A:$M,COLUMN()-8,0),"")</f>
        <v>http://i0.hdslb.com/bfs/station_src/music_metadata/ec48c16ed2393142cdaec4ce42b3b6e7</v>
      </c>
      <c r="Q881" s="4">
        <f ca="1">_xlfn.IFNA(VLOOKUP(INDIRECT("G"&amp;ROW()),minfo!$A:$M,COLUMN()-8,0),"")</f>
        <v>436</v>
      </c>
      <c r="R881" s="4">
        <f ca="1">_xlfn.IFNA(VLOOKUP(INDIRECT("G"&amp;ROW()),minfo!$A:$M,COLUMN()-8,0),"")</f>
        <v>0</v>
      </c>
      <c r="S881" s="4" t="str">
        <f ca="1">_xlfn.IFNA(VLOOKUP(INDIRECT("G"&amp;ROW()),minfo!$A:$M,COLUMN()-8,0),"")</f>
        <v>2018CCTV音乐频道全球中文音乐榜上榜</v>
      </c>
      <c r="T881" s="4">
        <f ca="1">_xlfn.IFNA(VLOOKUP(INDIRECT("G"&amp;ROW()),minfo!$A:$M,COLUMN()-8,0),"")</f>
        <v>54926711</v>
      </c>
      <c r="U881" s="4">
        <f ca="1">_xlfn.IFNA(VLOOKUP(INDIRECT("G"&amp;ROW()),minfo!$A:$M,COLUMN()-8,0),"")</f>
        <v>0</v>
      </c>
    </row>
    <row r="882" spans="1:21" ht="15.75" customHeight="1">
      <c r="A882" s="15">
        <v>881</v>
      </c>
      <c r="B882" s="4" t="s">
        <v>4473</v>
      </c>
      <c r="C882" s="4">
        <v>882</v>
      </c>
      <c r="D882" s="4">
        <v>96</v>
      </c>
      <c r="E882" s="4" t="s">
        <v>1797</v>
      </c>
      <c r="F882" s="16">
        <v>44623</v>
      </c>
      <c r="G882" s="5" t="s">
        <v>1796</v>
      </c>
      <c r="H882" s="5" t="s">
        <v>4375</v>
      </c>
      <c r="I882" s="24" t="str">
        <f>HYPERLINK("https://www.bilibili.com/video/BV1pY411t7Rb?p=96", "BV1pY411t7Rb?p=96")</f>
        <v>BV1pY411t7Rb?p=96</v>
      </c>
      <c r="J882" s="4" t="str">
        <f ca="1">_xlfn.IFNA(VLOOKUP(INDIRECT("G"&amp;ROW()),minfo!$A:$M,COLUMN()-8,0),"")</f>
        <v>痒</v>
      </c>
      <c r="K882" s="4" t="str">
        <f ca="1">_xlfn.IFNA(VLOOKUP(INDIRECT("G"&amp;ROW()),minfo!$A:$M,COLUMN()-8,0),"")</f>
        <v>黄龄</v>
      </c>
      <c r="L882" s="4">
        <f ca="1">_xlfn.IFNA(VLOOKUP(INDIRECT("G"&amp;ROW()),minfo!$A:$M,COLUMN()-8,0),"")</f>
        <v>0</v>
      </c>
      <c r="M882" s="4">
        <f ca="1">_xlfn.IFNA(VLOOKUP(INDIRECT("G"&amp;ROW()),minfo!$A:$M,COLUMN()-8,0),"")</f>
        <v>0</v>
      </c>
      <c r="N882" s="4">
        <f ca="1">_xlfn.IFNA(VLOOKUP(INDIRECT("G"&amp;ROW()),minfo!$A:$M,COLUMN()-8,0),"")</f>
        <v>0</v>
      </c>
      <c r="O882" s="4" t="str">
        <f ca="1">_xlfn.IFNA(VLOOKUP(INDIRECT("G"&amp;ROW()),minfo!$A:$M,COLUMN()-8,0),"")</f>
        <v>https://i0.hdslb.com/bfs/station_src/music_metadata/3de02305aa9c846673ac1eb2ad897de1.jpg</v>
      </c>
      <c r="P882" s="4" t="str">
        <f ca="1">_xlfn.IFNA(VLOOKUP(INDIRECT("G"&amp;ROW()),minfo!$A:$M,COLUMN()-8,0),"")</f>
        <v>http://i0.hdslb.com/bfs/station_src/music_metadata/cb354aacda7abd2b861cd28e85743d55</v>
      </c>
      <c r="Q882" s="4">
        <f ca="1">_xlfn.IFNA(VLOOKUP(INDIRECT("G"&amp;ROW()),minfo!$A:$M,COLUMN()-8,0),"")</f>
        <v>568</v>
      </c>
      <c r="R882" s="4">
        <f ca="1">_xlfn.IFNA(VLOOKUP(INDIRECT("G"&amp;ROW()),minfo!$A:$M,COLUMN()-8,0),"")</f>
        <v>0</v>
      </c>
      <c r="S882" s="4" t="str">
        <f ca="1">_xlfn.IFNA(VLOOKUP(INDIRECT("G"&amp;ROW()),minfo!$A:$M,COLUMN()-8,0),"")</f>
        <v>痒</v>
      </c>
      <c r="T882" s="4">
        <f ca="1">_xlfn.IFNA(VLOOKUP(INDIRECT("G"&amp;ROW()),minfo!$A:$M,COLUMN()-8,0),"")</f>
        <v>367183468</v>
      </c>
      <c r="U882" s="4" t="str">
        <f ca="1">_xlfn.IFNA(VLOOKUP(INDIRECT("G"&amp;ROW()),minfo!$A:$M,COLUMN()-8,0),"")</f>
        <v>音乐榜最高NO.9</v>
      </c>
    </row>
    <row r="883" spans="1:21" ht="15.75" customHeight="1">
      <c r="A883" s="15">
        <v>882</v>
      </c>
      <c r="B883" s="4" t="s">
        <v>4474</v>
      </c>
      <c r="C883" s="4">
        <v>883</v>
      </c>
      <c r="D883" s="4">
        <v>97</v>
      </c>
      <c r="E883" s="4" t="s">
        <v>1296</v>
      </c>
      <c r="F883" s="16">
        <v>44623</v>
      </c>
      <c r="G883" s="5" t="s">
        <v>1295</v>
      </c>
      <c r="H883" s="5" t="s">
        <v>4375</v>
      </c>
      <c r="I883" s="24" t="str">
        <f>HYPERLINK("https://www.bilibili.com/video/BV1pY411t7Rb?p=97", "BV1pY411t7Rb?p=97")</f>
        <v>BV1pY411t7Rb?p=97</v>
      </c>
      <c r="J883" s="4" t="str">
        <f ca="1">_xlfn.IFNA(VLOOKUP(INDIRECT("G"&amp;ROW()),minfo!$A:$M,COLUMN()-8,0),"")</f>
        <v>卷珠帘</v>
      </c>
      <c r="K883" s="4" t="str">
        <f ca="1">_xlfn.IFNA(VLOOKUP(INDIRECT("G"&amp;ROW()),minfo!$A:$M,COLUMN()-8,0),"")</f>
        <v>周深</v>
      </c>
      <c r="L883" s="4">
        <f ca="1">_xlfn.IFNA(VLOOKUP(INDIRECT("G"&amp;ROW()),minfo!$A:$M,COLUMN()-8,0),"")</f>
        <v>0</v>
      </c>
      <c r="M883" s="4">
        <f ca="1">_xlfn.IFNA(VLOOKUP(INDIRECT("G"&amp;ROW()),minfo!$A:$M,COLUMN()-8,0),"")</f>
        <v>0</v>
      </c>
      <c r="N883" s="4">
        <f ca="1">_xlfn.IFNA(VLOOKUP(INDIRECT("G"&amp;ROW()),minfo!$A:$M,COLUMN()-8,0),"")</f>
        <v>0</v>
      </c>
      <c r="O883" s="4" t="str">
        <f ca="1">_xlfn.IFNA(VLOOKUP(INDIRECT("G"&amp;ROW()),minfo!$A:$M,COLUMN()-8,0),"")</f>
        <v>http://i0.hdslb.com/bfs/station_src/music_metadata/f42e0343b7c418d43f2be69b16badbb5.jpg</v>
      </c>
      <c r="P883" s="4">
        <f ca="1">_xlfn.IFNA(VLOOKUP(INDIRECT("G"&amp;ROW()),minfo!$A:$M,COLUMN()-8,0),"")</f>
        <v>0</v>
      </c>
      <c r="Q883" s="4">
        <f ca="1">_xlfn.IFNA(VLOOKUP(INDIRECT("G"&amp;ROW()),minfo!$A:$M,COLUMN()-8,0),"")</f>
        <v>179</v>
      </c>
      <c r="R883" s="4">
        <f ca="1">_xlfn.IFNA(VLOOKUP(INDIRECT("G"&amp;ROW()),minfo!$A:$M,COLUMN()-8,0),"")</f>
        <v>0</v>
      </c>
      <c r="S883" s="4" t="str">
        <f ca="1">_xlfn.IFNA(VLOOKUP(INDIRECT("G"&amp;ROW()),minfo!$A:$M,COLUMN()-8,0),"")</f>
        <v>化身孤岛的鲸 周深翻唱精选Vol. 1</v>
      </c>
      <c r="T883" s="4">
        <f ca="1">_xlfn.IFNA(VLOOKUP(INDIRECT("G"&amp;ROW()),minfo!$A:$M,COLUMN()-8,0),"")</f>
        <v>61503981</v>
      </c>
      <c r="U883" s="4">
        <f ca="1">_xlfn.IFNA(VLOOKUP(INDIRECT("G"&amp;ROW()),minfo!$A:$M,COLUMN()-8,0),"")</f>
        <v>0</v>
      </c>
    </row>
    <row r="884" spans="1:21" ht="15.75" customHeight="1">
      <c r="A884" s="15">
        <v>883</v>
      </c>
      <c r="B884" s="4" t="s">
        <v>4475</v>
      </c>
      <c r="C884" s="4">
        <v>884</v>
      </c>
      <c r="D884" s="4">
        <v>98</v>
      </c>
      <c r="E884" s="4" t="s">
        <v>1782</v>
      </c>
      <c r="F884" s="16">
        <v>44623</v>
      </c>
      <c r="G884" s="5" t="s">
        <v>1781</v>
      </c>
      <c r="H884" s="5" t="s">
        <v>4375</v>
      </c>
      <c r="I884" s="24" t="str">
        <f>HYPERLINK("https://www.bilibili.com/video/BV1pY411t7Rb?p=98", "BV1pY411t7Rb?p=98")</f>
        <v>BV1pY411t7Rb?p=98</v>
      </c>
      <c r="J884" s="4" t="str">
        <f ca="1">_xlfn.IFNA(VLOOKUP(INDIRECT("G"&amp;ROW()),minfo!$A:$M,COLUMN()-8,0),"")</f>
        <v>赤伶</v>
      </c>
      <c r="K884" s="4" t="str">
        <f ca="1">_xlfn.IFNA(VLOOKUP(INDIRECT("G"&amp;ROW()),minfo!$A:$M,COLUMN()-8,0),"")</f>
        <v>HITA</v>
      </c>
      <c r="L884" s="4">
        <f ca="1">_xlfn.IFNA(VLOOKUP(INDIRECT("G"&amp;ROW()),minfo!$A:$M,COLUMN()-8,0),"")</f>
        <v>0</v>
      </c>
      <c r="M884" s="4">
        <f ca="1">_xlfn.IFNA(VLOOKUP(INDIRECT("G"&amp;ROW()),minfo!$A:$M,COLUMN()-8,0),"")</f>
        <v>0</v>
      </c>
      <c r="N884" s="4">
        <f ca="1">_xlfn.IFNA(VLOOKUP(INDIRECT("G"&amp;ROW()),minfo!$A:$M,COLUMN()-8,0),"")</f>
        <v>0</v>
      </c>
      <c r="O884" s="4" t="str">
        <f ca="1">_xlfn.IFNA(VLOOKUP(INDIRECT("G"&amp;ROW()),minfo!$A:$M,COLUMN()-8,0),"")</f>
        <v>http://i0.hdslb.com/bfs/station_src/music_metadata/08c4bd403b6db9ea68e072d3e70dd808.jpg</v>
      </c>
      <c r="P884" s="4" t="str">
        <f ca="1">_xlfn.IFNA(VLOOKUP(INDIRECT("G"&amp;ROW()),minfo!$A:$M,COLUMN()-8,0),"")</f>
        <v>http://i0.hdslb.com/bfs/station_src/music_metadata/5f8016b9e5d6d81fdcb6ef5073c58bb8</v>
      </c>
      <c r="Q884" s="4">
        <f ca="1">_xlfn.IFNA(VLOOKUP(INDIRECT("G"&amp;ROW()),minfo!$A:$M,COLUMN()-8,0),"")</f>
        <v>4659</v>
      </c>
      <c r="R884" s="4">
        <f ca="1">_xlfn.IFNA(VLOOKUP(INDIRECT("G"&amp;ROW()),minfo!$A:$M,COLUMN()-8,0),"")</f>
        <v>0</v>
      </c>
      <c r="S884" s="4" t="str">
        <f ca="1">_xlfn.IFNA(VLOOKUP(INDIRECT("G"&amp;ROW()),minfo!$A:$M,COLUMN()-8,0),"")</f>
        <v>赤伶</v>
      </c>
      <c r="T884" s="4">
        <f ca="1">_xlfn.IFNA(VLOOKUP(INDIRECT("G"&amp;ROW()),minfo!$A:$M,COLUMN()-8,0),"")</f>
        <v>1664352916</v>
      </c>
      <c r="U884" s="4" t="str">
        <f ca="1">_xlfn.IFNA(VLOOKUP(INDIRECT("G"&amp;ROW()),minfo!$A:$M,COLUMN()-8,0),"")</f>
        <v>音乐榜最高NO.19</v>
      </c>
    </row>
    <row r="885" spans="1:21" ht="15.75" customHeight="1">
      <c r="A885" s="15">
        <v>884</v>
      </c>
      <c r="B885" s="4" t="s">
        <v>4476</v>
      </c>
      <c r="C885" s="4">
        <v>885</v>
      </c>
      <c r="D885" s="4">
        <v>99</v>
      </c>
      <c r="E885" s="4" t="s">
        <v>208</v>
      </c>
      <c r="F885" s="16">
        <v>44623</v>
      </c>
      <c r="G885" s="5" t="s">
        <v>207</v>
      </c>
      <c r="H885" s="5" t="s">
        <v>4375</v>
      </c>
      <c r="I885" s="24" t="str">
        <f>HYPERLINK("https://www.bilibili.com/video/BV1pY411t7Rb?p=99", "BV1pY411t7Rb?p=99")</f>
        <v>BV1pY411t7Rb?p=99</v>
      </c>
      <c r="J885" s="4" t="str">
        <f ca="1">_xlfn.IFNA(VLOOKUP(INDIRECT("G"&amp;ROW()),minfo!$A:$M,COLUMN()-8,0),"")</f>
        <v>九万字</v>
      </c>
      <c r="K885" s="4" t="str">
        <f ca="1">_xlfn.IFNA(VLOOKUP(INDIRECT("G"&amp;ROW()),minfo!$A:$M,COLUMN()-8,0),"")</f>
        <v>黄诗扶</v>
      </c>
      <c r="L885" s="4">
        <f ca="1">_xlfn.IFNA(VLOOKUP(INDIRECT("G"&amp;ROW()),minfo!$A:$M,COLUMN()-8,0),"")</f>
        <v>0</v>
      </c>
      <c r="M885" s="4">
        <f ca="1">_xlfn.IFNA(VLOOKUP(INDIRECT("G"&amp;ROW()),minfo!$A:$M,COLUMN()-8,0),"")</f>
        <v>0</v>
      </c>
      <c r="N885" s="4">
        <f ca="1">_xlfn.IFNA(VLOOKUP(INDIRECT("G"&amp;ROW()),minfo!$A:$M,COLUMN()-8,0),"")</f>
        <v>0</v>
      </c>
      <c r="O885" s="4" t="str">
        <f ca="1">_xlfn.IFNA(VLOOKUP(INDIRECT("G"&amp;ROW()),minfo!$A:$M,COLUMN()-8,0),"")</f>
        <v>https://i0.hdslb.com/bfs/station_src/music_metadata/83a5f6d1f6977ede1ad685d90a46a593.jpg</v>
      </c>
      <c r="P885" s="4" t="str">
        <f ca="1">_xlfn.IFNA(VLOOKUP(INDIRECT("G"&amp;ROW()),minfo!$A:$M,COLUMN()-8,0),"")</f>
        <v>http://i0.hdslb.com/bfs/station_src/music_metadata/98ec7b6623082ffe27055a48eaf15a9f</v>
      </c>
      <c r="Q885" s="4">
        <f ca="1">_xlfn.IFNA(VLOOKUP(INDIRECT("G"&amp;ROW()),minfo!$A:$M,COLUMN()-8,0),"")</f>
        <v>1270</v>
      </c>
      <c r="R885" s="4">
        <f ca="1">_xlfn.IFNA(VLOOKUP(INDIRECT("G"&amp;ROW()),minfo!$A:$M,COLUMN()-8,0),"")</f>
        <v>0</v>
      </c>
      <c r="S885" s="4" t="str">
        <f ca="1">_xlfn.IFNA(VLOOKUP(INDIRECT("G"&amp;ROW()),minfo!$A:$M,COLUMN()-8,0),"")</f>
        <v>人间不值得</v>
      </c>
      <c r="T885" s="4">
        <f ca="1">_xlfn.IFNA(VLOOKUP(INDIRECT("G"&amp;ROW()),minfo!$A:$M,COLUMN()-8,0),"")</f>
        <v>256686027</v>
      </c>
      <c r="U885" s="4">
        <f ca="1">_xlfn.IFNA(VLOOKUP(INDIRECT("G"&amp;ROW()),minfo!$A:$M,COLUMN()-8,0),"")</f>
        <v>0</v>
      </c>
    </row>
    <row r="886" spans="1:21" ht="15.75" customHeight="1">
      <c r="A886" s="15">
        <v>885</v>
      </c>
      <c r="B886" s="4" t="s">
        <v>4477</v>
      </c>
      <c r="C886" s="4">
        <v>886</v>
      </c>
      <c r="D886" s="4">
        <v>100</v>
      </c>
      <c r="E886" s="4" t="s">
        <v>2072</v>
      </c>
      <c r="F886" s="16">
        <v>44623</v>
      </c>
      <c r="G886" s="5" t="s">
        <v>2071</v>
      </c>
      <c r="H886" s="5" t="s">
        <v>4375</v>
      </c>
      <c r="I886" s="24" t="str">
        <f>HYPERLINK("https://www.bilibili.com/video/BV1pY411t7Rb?p=100", "BV1pY411t7Rb?p=100")</f>
        <v>BV1pY411t7Rb?p=100</v>
      </c>
      <c r="J886" s="4" t="str">
        <f ca="1">_xlfn.IFNA(VLOOKUP(INDIRECT("G"&amp;ROW()),minfo!$A:$M,COLUMN()-8,0),"")</f>
        <v>年轮</v>
      </c>
      <c r="K886" s="4" t="str">
        <f ca="1">_xlfn.IFNA(VLOOKUP(INDIRECT("G"&amp;ROW()),minfo!$A:$M,COLUMN()-8,0),"")</f>
        <v>张碧晨</v>
      </c>
      <c r="L886" s="4">
        <f ca="1">_xlfn.IFNA(VLOOKUP(INDIRECT("G"&amp;ROW()),minfo!$A:$M,COLUMN()-8,0),"")</f>
        <v>0</v>
      </c>
      <c r="M886" s="4">
        <f ca="1">_xlfn.IFNA(VLOOKUP(INDIRECT("G"&amp;ROW()),minfo!$A:$M,COLUMN()-8,0),"")</f>
        <v>0</v>
      </c>
      <c r="N886" s="4">
        <f ca="1">_xlfn.IFNA(VLOOKUP(INDIRECT("G"&amp;ROW()),minfo!$A:$M,COLUMN()-8,0),"")</f>
        <v>0</v>
      </c>
      <c r="O886" s="4" t="str">
        <f ca="1">_xlfn.IFNA(VLOOKUP(INDIRECT("G"&amp;ROW()),minfo!$A:$M,COLUMN()-8,0),"")</f>
        <v>http://i0.hdslb.com/bfs/station_src/music_metadata/f4b95f7e59a319ac109088bc214ff891.jpg</v>
      </c>
      <c r="P886" s="4" t="str">
        <f ca="1">_xlfn.IFNA(VLOOKUP(INDIRECT("G"&amp;ROW()),minfo!$A:$M,COLUMN()-8,0),"")</f>
        <v>https://i0.hdslb.com/bfs/station_src/music_metadata/e89db32904a194caab0c8b0b5dcd95b6.txt</v>
      </c>
      <c r="Q886" s="4">
        <f ca="1">_xlfn.IFNA(VLOOKUP(INDIRECT("G"&amp;ROW()),minfo!$A:$M,COLUMN()-8,0),"")</f>
        <v>1908</v>
      </c>
      <c r="R886" s="4">
        <f ca="1">_xlfn.IFNA(VLOOKUP(INDIRECT("G"&amp;ROW()),minfo!$A:$M,COLUMN()-8,0),"")</f>
        <v>0</v>
      </c>
      <c r="S886" s="4" t="str">
        <f ca="1">_xlfn.IFNA(VLOOKUP(INDIRECT("G"&amp;ROW()),minfo!$A:$M,COLUMN()-8,0),"")</f>
        <v>花千骨 电视剧原声带</v>
      </c>
      <c r="T886" s="4">
        <f ca="1">_xlfn.IFNA(VLOOKUP(INDIRECT("G"&amp;ROW()),minfo!$A:$M,COLUMN()-8,0),"")</f>
        <v>346099555</v>
      </c>
      <c r="U886" s="4">
        <f ca="1">_xlfn.IFNA(VLOOKUP(INDIRECT("G"&amp;ROW()),minfo!$A:$M,COLUMN()-8,0),"")</f>
        <v>0</v>
      </c>
    </row>
    <row r="887" spans="1:21" ht="15.75" customHeight="1">
      <c r="A887" s="15">
        <v>886</v>
      </c>
      <c r="B887" s="4" t="s">
        <v>4478</v>
      </c>
      <c r="C887" s="4">
        <v>887</v>
      </c>
      <c r="D887" s="4">
        <v>101</v>
      </c>
      <c r="E887" s="4" t="s">
        <v>2077</v>
      </c>
      <c r="F887" s="16">
        <v>44625</v>
      </c>
      <c r="G887" s="5" t="s">
        <v>2076</v>
      </c>
      <c r="H887" s="5" t="s">
        <v>4375</v>
      </c>
      <c r="I887" s="24" t="str">
        <f>HYPERLINK("https://www.bilibili.com/video/BV1pY411t7Rb?p=101", "BV1pY411t7Rb?p=101")</f>
        <v>BV1pY411t7Rb?p=101</v>
      </c>
      <c r="J887" s="4" t="str">
        <f ca="1">_xlfn.IFNA(VLOOKUP(INDIRECT("G"&amp;ROW()),minfo!$A:$M,COLUMN()-8,0),"")</f>
        <v>勇敢</v>
      </c>
      <c r="K887" s="4" t="str">
        <f ca="1">_xlfn.IFNA(VLOOKUP(INDIRECT("G"&amp;ROW()),minfo!$A:$M,COLUMN()-8,0),"")</f>
        <v>张惠妹</v>
      </c>
      <c r="L887" s="4">
        <f ca="1">_xlfn.IFNA(VLOOKUP(INDIRECT("G"&amp;ROW()),minfo!$A:$M,COLUMN()-8,0),"")</f>
        <v>0</v>
      </c>
      <c r="M887" s="4">
        <f ca="1">_xlfn.IFNA(VLOOKUP(INDIRECT("G"&amp;ROW()),minfo!$A:$M,COLUMN()-8,0),"")</f>
        <v>0</v>
      </c>
      <c r="N887" s="4">
        <f ca="1">_xlfn.IFNA(VLOOKUP(INDIRECT("G"&amp;ROW()),minfo!$A:$M,COLUMN()-8,0),"")</f>
        <v>0</v>
      </c>
      <c r="O887" s="4" t="str">
        <f ca="1">_xlfn.IFNA(VLOOKUP(INDIRECT("G"&amp;ROW()),minfo!$A:$M,COLUMN()-8,0),"")</f>
        <v>https://i0.hdslb.com/bfs/station_src/music_metadata/7f1f0b6a041bbf3ef69027a66627e273.jpg</v>
      </c>
      <c r="P887" s="4" t="str">
        <f ca="1">_xlfn.IFNA(VLOOKUP(INDIRECT("G"&amp;ROW()),minfo!$A:$M,COLUMN()-8,0),"")</f>
        <v>https://i0.hdslb.com/bfs/station_src/music_metadata/02e060568ec38e7ee4884b02c634fc81.txt</v>
      </c>
      <c r="Q887" s="4">
        <f ca="1">_xlfn.IFNA(VLOOKUP(INDIRECT("G"&amp;ROW()),minfo!$A:$M,COLUMN()-8,0),"")</f>
        <v>10</v>
      </c>
      <c r="R887" s="4">
        <f ca="1">_xlfn.IFNA(VLOOKUP(INDIRECT("G"&amp;ROW()),minfo!$A:$M,COLUMN()-8,0),"")</f>
        <v>0</v>
      </c>
      <c r="S887" s="4" t="str">
        <f ca="1">_xlfn.IFNA(VLOOKUP(INDIRECT("G"&amp;ROW()),minfo!$A:$M,COLUMN()-8,0),"")</f>
        <v>AMeiZING Live 世界巡回演唱会</v>
      </c>
      <c r="T887" s="4">
        <f ca="1">_xlfn.IFNA(VLOOKUP(INDIRECT("G"&amp;ROW()),minfo!$A:$M,COLUMN()-8,0),"")</f>
        <v>8434119</v>
      </c>
      <c r="U887" s="4">
        <f ca="1">_xlfn.IFNA(VLOOKUP(INDIRECT("G"&amp;ROW()),minfo!$A:$M,COLUMN()-8,0),"")</f>
        <v>0</v>
      </c>
    </row>
    <row r="888" spans="1:21" ht="15.75" customHeight="1">
      <c r="A888" s="15">
        <v>887</v>
      </c>
      <c r="B888" s="4" t="s">
        <v>4479</v>
      </c>
      <c r="C888" s="4">
        <v>888</v>
      </c>
      <c r="D888" s="4">
        <v>102</v>
      </c>
      <c r="E888" s="4" t="s">
        <v>1484</v>
      </c>
      <c r="F888" s="16">
        <v>44625</v>
      </c>
      <c r="G888" s="5" t="s">
        <v>1483</v>
      </c>
      <c r="H888" s="5" t="s">
        <v>4375</v>
      </c>
      <c r="I888" s="24" t="str">
        <f>HYPERLINK("https://www.bilibili.com/video/BV1pY411t7Rb?p=102", "BV1pY411t7Rb?p=102")</f>
        <v>BV1pY411t7Rb?p=102</v>
      </c>
      <c r="J888" s="4" t="str">
        <f ca="1">_xlfn.IFNA(VLOOKUP(INDIRECT("G"&amp;ROW()),minfo!$A:$M,COLUMN()-8,0),"")</f>
        <v>听海</v>
      </c>
      <c r="K888" s="4" t="str">
        <f ca="1">_xlfn.IFNA(VLOOKUP(INDIRECT("G"&amp;ROW()),minfo!$A:$M,COLUMN()-8,0),"")</f>
        <v>张惠妹</v>
      </c>
      <c r="L888" s="4">
        <f ca="1">_xlfn.IFNA(VLOOKUP(INDIRECT("G"&amp;ROW()),minfo!$A:$M,COLUMN()-8,0),"")</f>
        <v>0</v>
      </c>
      <c r="M888" s="4">
        <f ca="1">_xlfn.IFNA(VLOOKUP(INDIRECT("G"&amp;ROW()),minfo!$A:$M,COLUMN()-8,0),"")</f>
        <v>30</v>
      </c>
      <c r="N888" s="4">
        <f ca="1">_xlfn.IFNA(VLOOKUP(INDIRECT("G"&amp;ROW()),minfo!$A:$M,COLUMN()-8,0),"")</f>
        <v>12</v>
      </c>
      <c r="O888" s="4" t="str">
        <f ca="1">_xlfn.IFNA(VLOOKUP(INDIRECT("G"&amp;ROW()),minfo!$A:$M,COLUMN()-8,0),"")</f>
        <v>https://i0.hdslb.com/bfs/station_src/music_metadata/73dec89697f84502d2f1b8bc3034448d.jpg</v>
      </c>
      <c r="P888" s="4" t="str">
        <f ca="1">_xlfn.IFNA(VLOOKUP(INDIRECT("G"&amp;ROW()),minfo!$A:$M,COLUMN()-8,0),"")</f>
        <v>http://i0.hdslb.com/bfs/station_src/music_metadata/38e7089b8771efc1ab365cfebcb68ddf</v>
      </c>
      <c r="Q888" s="4">
        <f ca="1">_xlfn.IFNA(VLOOKUP(INDIRECT("G"&amp;ROW()),minfo!$A:$M,COLUMN()-8,0),"")</f>
        <v>174</v>
      </c>
      <c r="R888" s="4">
        <f ca="1">_xlfn.IFNA(VLOOKUP(INDIRECT("G"&amp;ROW()),minfo!$A:$M,COLUMN()-8,0),"")</f>
        <v>0</v>
      </c>
      <c r="S888" s="4" t="str">
        <f ca="1">_xlfn.IFNA(VLOOKUP(INDIRECT("G"&amp;ROW()),minfo!$A:$M,COLUMN()-8,0),"")</f>
        <v>Bad Boy</v>
      </c>
      <c r="T888" s="4">
        <f ca="1">_xlfn.IFNA(VLOOKUP(INDIRECT("G"&amp;ROW()),minfo!$A:$M,COLUMN()-8,0),"")</f>
        <v>103633402</v>
      </c>
      <c r="U888" s="4">
        <f ca="1">_xlfn.IFNA(VLOOKUP(INDIRECT("G"&amp;ROW()),minfo!$A:$M,COLUMN()-8,0),"")</f>
        <v>0</v>
      </c>
    </row>
    <row r="889" spans="1:21" ht="15.75" customHeight="1">
      <c r="A889" s="15">
        <v>888</v>
      </c>
      <c r="B889" s="4" t="s">
        <v>4480</v>
      </c>
      <c r="C889" s="4">
        <v>889</v>
      </c>
      <c r="D889" s="4">
        <v>103</v>
      </c>
      <c r="E889" s="4" t="s">
        <v>1180</v>
      </c>
      <c r="F889" s="16">
        <v>44625</v>
      </c>
      <c r="G889" s="5" t="s">
        <v>1179</v>
      </c>
      <c r="H889" s="5" t="s">
        <v>4375</v>
      </c>
      <c r="I889" s="24" t="str">
        <f>HYPERLINK("https://www.bilibili.com/video/BV1pY411t7Rb?p=103", "BV1pY411t7Rb?p=103")</f>
        <v>BV1pY411t7Rb?p=103</v>
      </c>
      <c r="J889" s="4" t="str">
        <f ca="1">_xlfn.IFNA(VLOOKUP(INDIRECT("G"&amp;ROW()),minfo!$A:$M,COLUMN()-8,0),"")</f>
        <v>真实</v>
      </c>
      <c r="K889" s="4" t="str">
        <f ca="1">_xlfn.IFNA(VLOOKUP(INDIRECT("G"&amp;ROW()),minfo!$A:$M,COLUMN()-8,0),"")</f>
        <v>张惠妹</v>
      </c>
      <c r="L889" s="4">
        <f ca="1">_xlfn.IFNA(VLOOKUP(INDIRECT("G"&amp;ROW()),minfo!$A:$M,COLUMN()-8,0),"")</f>
        <v>0</v>
      </c>
      <c r="M889" s="4">
        <f ca="1">_xlfn.IFNA(VLOOKUP(INDIRECT("G"&amp;ROW()),minfo!$A:$M,COLUMN()-8,0),"")</f>
        <v>0</v>
      </c>
      <c r="N889" s="4">
        <f ca="1">_xlfn.IFNA(VLOOKUP(INDIRECT("G"&amp;ROW()),minfo!$A:$M,COLUMN()-8,0),"")</f>
        <v>0</v>
      </c>
      <c r="O889" s="4" t="str">
        <f ca="1">_xlfn.IFNA(VLOOKUP(INDIRECT("G"&amp;ROW()),minfo!$A:$M,COLUMN()-8,0),"")</f>
        <v>https://i0.hdslb.com/bfs/station_src/music_metadata/9f4eabc9a46c0571d7f7f67bb2ebab60.jpg</v>
      </c>
      <c r="P889" s="4" t="str">
        <f ca="1">_xlfn.IFNA(VLOOKUP(INDIRECT("G"&amp;ROW()),minfo!$A:$M,COLUMN()-8,0),"")</f>
        <v>https://i0.hdslb.com/bfs/station_src/music_metadata/bfc8e2894c10a612c011fcc912b0f45d.txt</v>
      </c>
      <c r="Q889" s="4">
        <f ca="1">_xlfn.IFNA(VLOOKUP(INDIRECT("G"&amp;ROW()),minfo!$A:$M,COLUMN()-8,0),"")</f>
        <v>17</v>
      </c>
      <c r="R889" s="4">
        <f ca="1">_xlfn.IFNA(VLOOKUP(INDIRECT("G"&amp;ROW()),minfo!$A:$M,COLUMN()-8,0),"")</f>
        <v>0</v>
      </c>
      <c r="S889" s="4" t="str">
        <f ca="1">_xlfn.IFNA(VLOOKUP(INDIRECT("G"&amp;ROW()),minfo!$A:$M,COLUMN()-8,0),"")</f>
        <v>真实</v>
      </c>
      <c r="T889" s="4">
        <f ca="1">_xlfn.IFNA(VLOOKUP(INDIRECT("G"&amp;ROW()),minfo!$A:$M,COLUMN()-8,0),"")</f>
        <v>6260891</v>
      </c>
      <c r="U889" s="4">
        <f ca="1">_xlfn.IFNA(VLOOKUP(INDIRECT("G"&amp;ROW()),minfo!$A:$M,COLUMN()-8,0),"")</f>
        <v>0</v>
      </c>
    </row>
    <row r="890" spans="1:21" ht="15.75" customHeight="1">
      <c r="A890" s="15">
        <v>889</v>
      </c>
      <c r="B890" s="4" t="s">
        <v>4481</v>
      </c>
      <c r="C890" s="4">
        <v>890</v>
      </c>
      <c r="D890" s="4">
        <v>104</v>
      </c>
      <c r="E890" s="4" t="s">
        <v>2082</v>
      </c>
      <c r="F890" s="16">
        <v>44625</v>
      </c>
      <c r="G890" s="5" t="s">
        <v>2081</v>
      </c>
      <c r="H890" s="5" t="s">
        <v>4375</v>
      </c>
      <c r="I890" s="24" t="str">
        <f>HYPERLINK("https://www.bilibili.com/video/BV1pY411t7Rb?p=104", "BV1pY411t7Rb?p=104")</f>
        <v>BV1pY411t7Rb?p=104</v>
      </c>
      <c r="J890" s="4" t="str">
        <f ca="1">_xlfn.IFNA(VLOOKUP(INDIRECT("G"&amp;ROW()),minfo!$A:$M,COLUMN()-8,0),"")</f>
        <v>依然爱你</v>
      </c>
      <c r="K890" s="4" t="str">
        <f ca="1">_xlfn.IFNA(VLOOKUP(INDIRECT("G"&amp;ROW()),minfo!$A:$M,COLUMN()-8,0),"")</f>
        <v>韩宝仪</v>
      </c>
      <c r="L890" s="4">
        <f ca="1">_xlfn.IFNA(VLOOKUP(INDIRECT("G"&amp;ROW()),minfo!$A:$M,COLUMN()-8,0),"")</f>
        <v>0</v>
      </c>
      <c r="M890" s="4">
        <f ca="1">_xlfn.IFNA(VLOOKUP(INDIRECT("G"&amp;ROW()),minfo!$A:$M,COLUMN()-8,0),"")</f>
        <v>0</v>
      </c>
      <c r="N890" s="4">
        <f ca="1">_xlfn.IFNA(VLOOKUP(INDIRECT("G"&amp;ROW()),minfo!$A:$M,COLUMN()-8,0),"")</f>
        <v>0</v>
      </c>
      <c r="O890" s="4" t="str">
        <f ca="1">_xlfn.IFNA(VLOOKUP(INDIRECT("G"&amp;ROW()),minfo!$A:$M,COLUMN()-8,0),"")</f>
        <v>https://i0.hdslb.com/bfs/station_src/music_metadata/242392b0da3fcaa10a3784f95a249902.jpg</v>
      </c>
      <c r="P890" s="4" t="str">
        <f ca="1">_xlfn.IFNA(VLOOKUP(INDIRECT("G"&amp;ROW()),minfo!$A:$M,COLUMN()-8,0),"")</f>
        <v>http://i0.hdslb.com/bfs/station_src/music_metadata/949caec540a59346f0baa126ef4029c8</v>
      </c>
      <c r="Q890" s="4">
        <f ca="1">_xlfn.IFNA(VLOOKUP(INDIRECT("G"&amp;ROW()),minfo!$A:$M,COLUMN()-8,0),"")</f>
        <v>34</v>
      </c>
      <c r="R890" s="4">
        <f ca="1">_xlfn.IFNA(VLOOKUP(INDIRECT("G"&amp;ROW()),minfo!$A:$M,COLUMN()-8,0),"")</f>
        <v>0</v>
      </c>
      <c r="S890" s="4" t="str">
        <f ca="1">_xlfn.IFNA(VLOOKUP(INDIRECT("G"&amp;ROW()),minfo!$A:$M,COLUMN()-8,0),"")</f>
        <v>又见宝仪</v>
      </c>
      <c r="T890" s="4">
        <f ca="1">_xlfn.IFNA(VLOOKUP(INDIRECT("G"&amp;ROW()),minfo!$A:$M,COLUMN()-8,0),"")</f>
        <v>46570561</v>
      </c>
      <c r="U890" s="4">
        <f ca="1">_xlfn.IFNA(VLOOKUP(INDIRECT("G"&amp;ROW()),minfo!$A:$M,COLUMN()-8,0),"")</f>
        <v>0</v>
      </c>
    </row>
    <row r="891" spans="1:21" ht="15.75" customHeight="1">
      <c r="A891" s="15">
        <v>890</v>
      </c>
      <c r="B891" s="4" t="s">
        <v>4482</v>
      </c>
      <c r="C891" s="4">
        <v>891</v>
      </c>
      <c r="D891" s="4">
        <v>105</v>
      </c>
      <c r="E891" s="4" t="s">
        <v>1782</v>
      </c>
      <c r="F891" s="16">
        <v>44625</v>
      </c>
      <c r="G891" s="5" t="s">
        <v>1781</v>
      </c>
      <c r="H891" s="5" t="s">
        <v>4375</v>
      </c>
      <c r="I891" s="24" t="str">
        <f>HYPERLINK("https://www.bilibili.com/video/BV1pY411t7Rb?p=105", "BV1pY411t7Rb?p=105")</f>
        <v>BV1pY411t7Rb?p=105</v>
      </c>
      <c r="J891" s="4" t="str">
        <f ca="1">_xlfn.IFNA(VLOOKUP(INDIRECT("G"&amp;ROW()),minfo!$A:$M,COLUMN()-8,0),"")</f>
        <v>赤伶</v>
      </c>
      <c r="K891" s="4" t="str">
        <f ca="1">_xlfn.IFNA(VLOOKUP(INDIRECT("G"&amp;ROW()),minfo!$A:$M,COLUMN()-8,0),"")</f>
        <v>HITA</v>
      </c>
      <c r="L891" s="4">
        <f ca="1">_xlfn.IFNA(VLOOKUP(INDIRECT("G"&amp;ROW()),minfo!$A:$M,COLUMN()-8,0),"")</f>
        <v>0</v>
      </c>
      <c r="M891" s="4">
        <f ca="1">_xlfn.IFNA(VLOOKUP(INDIRECT("G"&amp;ROW()),minfo!$A:$M,COLUMN()-8,0),"")</f>
        <v>0</v>
      </c>
      <c r="N891" s="4">
        <f ca="1">_xlfn.IFNA(VLOOKUP(INDIRECT("G"&amp;ROW()),minfo!$A:$M,COLUMN()-8,0),"")</f>
        <v>0</v>
      </c>
      <c r="O891" s="4" t="str">
        <f ca="1">_xlfn.IFNA(VLOOKUP(INDIRECT("G"&amp;ROW()),minfo!$A:$M,COLUMN()-8,0),"")</f>
        <v>http://i0.hdslb.com/bfs/station_src/music_metadata/08c4bd403b6db9ea68e072d3e70dd808.jpg</v>
      </c>
      <c r="P891" s="4" t="str">
        <f ca="1">_xlfn.IFNA(VLOOKUP(INDIRECT("G"&amp;ROW()),minfo!$A:$M,COLUMN()-8,0),"")</f>
        <v>http://i0.hdslb.com/bfs/station_src/music_metadata/5f8016b9e5d6d81fdcb6ef5073c58bb8</v>
      </c>
      <c r="Q891" s="4">
        <f ca="1">_xlfn.IFNA(VLOOKUP(INDIRECT("G"&amp;ROW()),minfo!$A:$M,COLUMN()-8,0),"")</f>
        <v>4659</v>
      </c>
      <c r="R891" s="4">
        <f ca="1">_xlfn.IFNA(VLOOKUP(INDIRECT("G"&amp;ROW()),minfo!$A:$M,COLUMN()-8,0),"")</f>
        <v>0</v>
      </c>
      <c r="S891" s="4" t="str">
        <f ca="1">_xlfn.IFNA(VLOOKUP(INDIRECT("G"&amp;ROW()),minfo!$A:$M,COLUMN()-8,0),"")</f>
        <v>赤伶</v>
      </c>
      <c r="T891" s="4">
        <f ca="1">_xlfn.IFNA(VLOOKUP(INDIRECT("G"&amp;ROW()),minfo!$A:$M,COLUMN()-8,0),"")</f>
        <v>1664352916</v>
      </c>
      <c r="U891" s="4" t="str">
        <f ca="1">_xlfn.IFNA(VLOOKUP(INDIRECT("G"&amp;ROW()),minfo!$A:$M,COLUMN()-8,0),"")</f>
        <v>音乐榜最高NO.19</v>
      </c>
    </row>
    <row r="892" spans="1:21" ht="15.75" customHeight="1">
      <c r="A892" s="15">
        <v>891</v>
      </c>
      <c r="B892" s="4" t="s">
        <v>4483</v>
      </c>
      <c r="C892" s="4">
        <v>892</v>
      </c>
      <c r="D892" s="4">
        <v>106</v>
      </c>
      <c r="E892" s="4" t="s">
        <v>1770</v>
      </c>
      <c r="F892" s="16">
        <v>44625</v>
      </c>
      <c r="G892" s="5" t="s">
        <v>1769</v>
      </c>
      <c r="H892" s="5" t="s">
        <v>4375</v>
      </c>
      <c r="I892" s="24" t="str">
        <f>HYPERLINK("https://www.bilibili.com/video/BV1pY411t7Rb?p=106", "BV1pY411t7Rb?p=106")</f>
        <v>BV1pY411t7Rb?p=106</v>
      </c>
      <c r="J892" s="4" t="str">
        <f ca="1">_xlfn.IFNA(VLOOKUP(INDIRECT("G"&amp;ROW()),minfo!$A:$M,COLUMN()-8,0),"")</f>
        <v>不识月</v>
      </c>
      <c r="K892" s="4" t="str">
        <f ca="1">_xlfn.IFNA(VLOOKUP(INDIRECT("G"&amp;ROW()),minfo!$A:$M,COLUMN()-8,0),"")</f>
        <v>Luna Safari,折微微,赤羽</v>
      </c>
      <c r="L892" s="4">
        <f ca="1">_xlfn.IFNA(VLOOKUP(INDIRECT("G"&amp;ROW()),minfo!$A:$M,COLUMN()-8,0),"")</f>
        <v>0</v>
      </c>
      <c r="M892" s="4">
        <f ca="1">_xlfn.IFNA(VLOOKUP(INDIRECT("G"&amp;ROW()),minfo!$A:$M,COLUMN()-8,0),"")</f>
        <v>0</v>
      </c>
      <c r="N892" s="4">
        <f ca="1">_xlfn.IFNA(VLOOKUP(INDIRECT("G"&amp;ROW()),minfo!$A:$M,COLUMN()-8,0),"")</f>
        <v>0</v>
      </c>
      <c r="O892" s="4" t="str">
        <f ca="1">_xlfn.IFNA(VLOOKUP(INDIRECT("G"&amp;ROW()),minfo!$A:$M,COLUMN()-8,0),"")</f>
        <v>http://i0.hdslb.com/bfs/station_src/music_metadata/0ba4e987c52d0430bd333a7cdc71f19f.jpg</v>
      </c>
      <c r="P892" s="4" t="str">
        <f ca="1">_xlfn.IFNA(VLOOKUP(INDIRECT("G"&amp;ROW()),minfo!$A:$M,COLUMN()-8,0),"")</f>
        <v>http://i0.hdslb.com/bfs/station_src/music_metadata/8a2c460684eb7937088ad1ba38ab015e</v>
      </c>
      <c r="Q892" s="4">
        <f ca="1">_xlfn.IFNA(VLOOKUP(INDIRECT("G"&amp;ROW()),minfo!$A:$M,COLUMN()-8,0),"")</f>
        <v>10</v>
      </c>
      <c r="R892" s="4">
        <f ca="1">_xlfn.IFNA(VLOOKUP(INDIRECT("G"&amp;ROW()),minfo!$A:$M,COLUMN()-8,0),"")</f>
        <v>0</v>
      </c>
      <c r="S892" s="4" t="str">
        <f ca="1">_xlfn.IFNA(VLOOKUP(INDIRECT("G"&amp;ROW()),minfo!$A:$M,COLUMN()-8,0),"")</f>
        <v>不识月</v>
      </c>
      <c r="T892" s="4">
        <f ca="1">_xlfn.IFNA(VLOOKUP(INDIRECT("G"&amp;ROW()),minfo!$A:$M,COLUMN()-8,0),"")</f>
        <v>3252187</v>
      </c>
      <c r="U892" s="4">
        <f ca="1">_xlfn.IFNA(VLOOKUP(INDIRECT("G"&amp;ROW()),minfo!$A:$M,COLUMN()-8,0),"")</f>
        <v>0</v>
      </c>
    </row>
    <row r="893" spans="1:21" ht="15.75" customHeight="1">
      <c r="A893" s="15">
        <v>892</v>
      </c>
      <c r="B893" s="4" t="s">
        <v>4484</v>
      </c>
      <c r="C893" s="4">
        <v>893</v>
      </c>
      <c r="D893" s="4">
        <v>107</v>
      </c>
      <c r="E893" s="4" t="s">
        <v>975</v>
      </c>
      <c r="F893" s="16">
        <v>44625</v>
      </c>
      <c r="G893" s="5" t="s">
        <v>974</v>
      </c>
      <c r="H893" s="5" t="s">
        <v>4375</v>
      </c>
      <c r="I893" s="24" t="str">
        <f>HYPERLINK("https://www.bilibili.com/video/BV1pY411t7Rb?p=107", "BV1pY411t7Rb?p=107")</f>
        <v>BV1pY411t7Rb?p=107</v>
      </c>
      <c r="J893" s="4" t="str">
        <f ca="1">_xlfn.IFNA(VLOOKUP(INDIRECT("G"&amp;ROW()),minfo!$A:$M,COLUMN()-8,0),"")</f>
        <v>如果云知道</v>
      </c>
      <c r="K893" s="4" t="str">
        <f ca="1">_xlfn.IFNA(VLOOKUP(INDIRECT("G"&amp;ROW()),minfo!$A:$M,COLUMN()-8,0),"")</f>
        <v>许茹芸</v>
      </c>
      <c r="L893" s="4">
        <f ca="1">_xlfn.IFNA(VLOOKUP(INDIRECT("G"&amp;ROW()),minfo!$A:$M,COLUMN()-8,0),"")</f>
        <v>0</v>
      </c>
      <c r="M893" s="4">
        <f ca="1">_xlfn.IFNA(VLOOKUP(INDIRECT("G"&amp;ROW()),minfo!$A:$M,COLUMN()-8,0),"")</f>
        <v>0</v>
      </c>
      <c r="N893" s="4">
        <f ca="1">_xlfn.IFNA(VLOOKUP(INDIRECT("G"&amp;ROW()),minfo!$A:$M,COLUMN()-8,0),"")</f>
        <v>0</v>
      </c>
      <c r="O893" s="4" t="str">
        <f ca="1">_xlfn.IFNA(VLOOKUP(INDIRECT("G"&amp;ROW()),minfo!$A:$M,COLUMN()-8,0),"")</f>
        <v>http://i0.hdslb.com/bfs/station_src/music_metadata/9da38631e2dd6f94986ba234facf8fe4.jpg</v>
      </c>
      <c r="P893" s="4" t="str">
        <f ca="1">_xlfn.IFNA(VLOOKUP(INDIRECT("G"&amp;ROW()),minfo!$A:$M,COLUMN()-8,0),"")</f>
        <v>http://i0.hdslb.com/bfs/station_src/music_metadata/e8ddd3d5fe50c8872f21315e1a0b2309</v>
      </c>
      <c r="Q893" s="4">
        <f ca="1">_xlfn.IFNA(VLOOKUP(INDIRECT("G"&amp;ROW()),minfo!$A:$M,COLUMN()-8,0),"")</f>
        <v>35</v>
      </c>
      <c r="R893" s="4">
        <f ca="1">_xlfn.IFNA(VLOOKUP(INDIRECT("G"&amp;ROW()),minfo!$A:$M,COLUMN()-8,0),"")</f>
        <v>0</v>
      </c>
      <c r="S893" s="4" t="str">
        <f ca="1">_xlfn.IFNA(VLOOKUP(INDIRECT("G"&amp;ROW()),minfo!$A:$M,COLUMN()-8,0),"")</f>
        <v>如果云知道</v>
      </c>
      <c r="T893" s="4">
        <f ca="1">_xlfn.IFNA(VLOOKUP(INDIRECT("G"&amp;ROW()),minfo!$A:$M,COLUMN()-8,0),"")</f>
        <v>16660903</v>
      </c>
      <c r="U893" s="4">
        <f ca="1">_xlfn.IFNA(VLOOKUP(INDIRECT("G"&amp;ROW()),minfo!$A:$M,COLUMN()-8,0),"")</f>
        <v>0</v>
      </c>
    </row>
    <row r="894" spans="1:21" ht="15.75" customHeight="1">
      <c r="A894" s="15">
        <v>893</v>
      </c>
      <c r="B894" s="4" t="s">
        <v>4485</v>
      </c>
      <c r="C894" s="4">
        <v>894</v>
      </c>
      <c r="D894" s="4">
        <v>108</v>
      </c>
      <c r="E894" s="4" t="s">
        <v>2088</v>
      </c>
      <c r="F894" s="16">
        <v>44625</v>
      </c>
      <c r="G894" s="5" t="s">
        <v>2087</v>
      </c>
      <c r="H894" s="5" t="s">
        <v>4375</v>
      </c>
      <c r="I894" s="24" t="str">
        <f>HYPERLINK("https://www.bilibili.com/video/BV1pY411t7Rb?p=108", "BV1pY411t7Rb?p=108")</f>
        <v>BV1pY411t7Rb?p=108</v>
      </c>
      <c r="J894" s="4" t="str">
        <f ca="1">_xlfn.IFNA(VLOOKUP(INDIRECT("G"&amp;ROW()),minfo!$A:$M,COLUMN()-8,0),"")</f>
        <v>乌兰巴托的夜</v>
      </c>
      <c r="K894" s="4" t="str">
        <f ca="1">_xlfn.IFNA(VLOOKUP(INDIRECT("G"&amp;ROW()),minfo!$A:$M,COLUMN()-8,0),"")</f>
        <v>谭维维</v>
      </c>
      <c r="L894" s="4">
        <f ca="1">_xlfn.IFNA(VLOOKUP(INDIRECT("G"&amp;ROW()),minfo!$A:$M,COLUMN()-8,0),"")</f>
        <v>0</v>
      </c>
      <c r="M894" s="4">
        <f ca="1">_xlfn.IFNA(VLOOKUP(INDIRECT("G"&amp;ROW()),minfo!$A:$M,COLUMN()-8,0),"")</f>
        <v>0</v>
      </c>
      <c r="N894" s="4">
        <f ca="1">_xlfn.IFNA(VLOOKUP(INDIRECT("G"&amp;ROW()),minfo!$A:$M,COLUMN()-8,0),"")</f>
        <v>0</v>
      </c>
      <c r="O894" s="4" t="str">
        <f ca="1">_xlfn.IFNA(VLOOKUP(INDIRECT("G"&amp;ROW()),minfo!$A:$M,COLUMN()-8,0),"")</f>
        <v>https://i0.hdslb.com/bfs/station_src/music_metadata/b2045e553010fc5eb3d33b25a1e62169.jpg</v>
      </c>
      <c r="P894" s="4" t="str">
        <f ca="1">_xlfn.IFNA(VLOOKUP(INDIRECT("G"&amp;ROW()),minfo!$A:$M,COLUMN()-8,0),"")</f>
        <v>https://i0.hdslb.com/bfs/station_src/music_metadata/923bf5d2d6307ddb19690ba77721731f.txt</v>
      </c>
      <c r="Q894" s="4">
        <f ca="1">_xlfn.IFNA(VLOOKUP(INDIRECT("G"&amp;ROW()),minfo!$A:$M,COLUMN()-8,0),"")</f>
        <v>161</v>
      </c>
      <c r="R894" s="4">
        <f ca="1">_xlfn.IFNA(VLOOKUP(INDIRECT("G"&amp;ROW()),minfo!$A:$M,COLUMN()-8,0),"")</f>
        <v>0</v>
      </c>
      <c r="S894" s="4" t="str">
        <f ca="1">_xlfn.IFNA(VLOOKUP(INDIRECT("G"&amp;ROW()),minfo!$A:$M,COLUMN()-8,0),"")</f>
        <v>我是歌手第三季 第12期</v>
      </c>
      <c r="T894" s="4">
        <f ca="1">_xlfn.IFNA(VLOOKUP(INDIRECT("G"&amp;ROW()),minfo!$A:$M,COLUMN()-8,0),"")</f>
        <v>25274580</v>
      </c>
      <c r="U894" s="4">
        <f ca="1">_xlfn.IFNA(VLOOKUP(INDIRECT("G"&amp;ROW()),minfo!$A:$M,COLUMN()-8,0),"")</f>
        <v>0</v>
      </c>
    </row>
    <row r="895" spans="1:21" ht="15.75" customHeight="1">
      <c r="A895" s="15">
        <v>894</v>
      </c>
      <c r="B895" s="4" t="s">
        <v>4486</v>
      </c>
      <c r="C895" s="4">
        <v>895</v>
      </c>
      <c r="D895" s="4">
        <v>109</v>
      </c>
      <c r="E895" s="4" t="s">
        <v>1067</v>
      </c>
      <c r="F895" s="16">
        <v>44625</v>
      </c>
      <c r="G895" s="5" t="s">
        <v>1066</v>
      </c>
      <c r="H895" s="5" t="s">
        <v>4375</v>
      </c>
      <c r="I895" s="24" t="str">
        <f>HYPERLINK("https://www.bilibili.com/video/BV1pY411t7Rb?p=109", "BV1pY411t7Rb?p=109")</f>
        <v>BV1pY411t7Rb?p=109</v>
      </c>
      <c r="J895" s="4" t="str">
        <f ca="1">_xlfn.IFNA(VLOOKUP(INDIRECT("G"&amp;ROW()),minfo!$A:$M,COLUMN()-8,0),"")</f>
        <v>永不失联的爱</v>
      </c>
      <c r="K895" s="4" t="str">
        <f ca="1">_xlfn.IFNA(VLOOKUP(INDIRECT("G"&amp;ROW()),minfo!$A:$M,COLUMN()-8,0),"")</f>
        <v>Eric周兴哲</v>
      </c>
      <c r="L895" s="4">
        <f ca="1">_xlfn.IFNA(VLOOKUP(INDIRECT("G"&amp;ROW()),minfo!$A:$M,COLUMN()-8,0),"")</f>
        <v>0</v>
      </c>
      <c r="M895" s="4">
        <f ca="1">_xlfn.IFNA(VLOOKUP(INDIRECT("G"&amp;ROW()),minfo!$A:$M,COLUMN()-8,0),"")</f>
        <v>0</v>
      </c>
      <c r="N895" s="4">
        <f ca="1">_xlfn.IFNA(VLOOKUP(INDIRECT("G"&amp;ROW()),minfo!$A:$M,COLUMN()-8,0),"")</f>
        <v>0</v>
      </c>
      <c r="O895" s="4" t="str">
        <f ca="1">_xlfn.IFNA(VLOOKUP(INDIRECT("G"&amp;ROW()),minfo!$A:$M,COLUMN()-8,0),"")</f>
        <v>http://i0.hdslb.com/bfs/station_src/music_metadata/66d68e12c7bf06dfcd345e31ea45ac05.jpg</v>
      </c>
      <c r="P895" s="4" t="str">
        <f ca="1">_xlfn.IFNA(VLOOKUP(INDIRECT("G"&amp;ROW()),minfo!$A:$M,COLUMN()-8,0),"")</f>
        <v>http://i0.hdslb.com/bfs/station_src/music_metadata/4a6a6c9be708e96306f4fbc010bf2a12</v>
      </c>
      <c r="Q895" s="4">
        <f ca="1">_xlfn.IFNA(VLOOKUP(INDIRECT("G"&amp;ROW()),minfo!$A:$M,COLUMN()-8,0),"")</f>
        <v>1013</v>
      </c>
      <c r="R895" s="4">
        <f ca="1">_xlfn.IFNA(VLOOKUP(INDIRECT("G"&amp;ROW()),minfo!$A:$M,COLUMN()-8,0),"")</f>
        <v>0</v>
      </c>
      <c r="S895" s="4" t="str">
        <f ca="1">_xlfn.IFNA(VLOOKUP(INDIRECT("G"&amp;ROW()),minfo!$A:$M,COLUMN()-8,0),"")</f>
        <v>如果雨之后</v>
      </c>
      <c r="T895" s="4">
        <f ca="1">_xlfn.IFNA(VLOOKUP(INDIRECT("G"&amp;ROW()),minfo!$A:$M,COLUMN()-8,0),"")</f>
        <v>291250605</v>
      </c>
      <c r="U895" s="4">
        <f ca="1">_xlfn.IFNA(VLOOKUP(INDIRECT("G"&amp;ROW()),minfo!$A:$M,COLUMN()-8,0),"")</f>
        <v>0</v>
      </c>
    </row>
    <row r="896" spans="1:21" ht="15.75" customHeight="1">
      <c r="A896" s="15">
        <v>895</v>
      </c>
      <c r="B896" s="4" t="s">
        <v>4487</v>
      </c>
      <c r="C896" s="4">
        <v>896</v>
      </c>
      <c r="D896" s="4">
        <v>110</v>
      </c>
      <c r="E896" s="4" t="s">
        <v>2093</v>
      </c>
      <c r="F896" s="16">
        <v>44626</v>
      </c>
      <c r="G896" s="5" t="s">
        <v>2092</v>
      </c>
      <c r="H896" s="5" t="s">
        <v>4375</v>
      </c>
      <c r="I896" s="24" t="str">
        <f>HYPERLINK("https://www.bilibili.com/video/BV1pY411t7Rb?p=110", "BV1pY411t7Rb?p=110")</f>
        <v>BV1pY411t7Rb?p=110</v>
      </c>
      <c r="J896" s="4" t="str">
        <f ca="1">_xlfn.IFNA(VLOOKUP(INDIRECT("G"&amp;ROW()),minfo!$A:$M,COLUMN()-8,0),"")</f>
        <v>女儿情</v>
      </c>
      <c r="K896" s="4" t="str">
        <f ca="1">_xlfn.IFNA(VLOOKUP(INDIRECT("G"&amp;ROW()),minfo!$A:$M,COLUMN()-8,0),"")</f>
        <v>吴静</v>
      </c>
      <c r="L896" s="4">
        <f ca="1">_xlfn.IFNA(VLOOKUP(INDIRECT("G"&amp;ROW()),minfo!$A:$M,COLUMN()-8,0),"")</f>
        <v>0</v>
      </c>
      <c r="M896" s="4">
        <f ca="1">_xlfn.IFNA(VLOOKUP(INDIRECT("G"&amp;ROW()),minfo!$A:$M,COLUMN()-8,0),"")</f>
        <v>0</v>
      </c>
      <c r="N896" s="4">
        <f ca="1">_xlfn.IFNA(VLOOKUP(INDIRECT("G"&amp;ROW()),minfo!$A:$M,COLUMN()-8,0),"")</f>
        <v>0</v>
      </c>
      <c r="O896" s="4" t="str">
        <f ca="1">_xlfn.IFNA(VLOOKUP(INDIRECT("G"&amp;ROW()),minfo!$A:$M,COLUMN()-8,0),"")</f>
        <v>http://i0.hdslb.com/bfs/station_src/music_metadata/a2c00fd4066b56fa69f2043135e08f1b.jpg</v>
      </c>
      <c r="P896" s="4" t="str">
        <f ca="1">_xlfn.IFNA(VLOOKUP(INDIRECT("G"&amp;ROW()),minfo!$A:$M,COLUMN()-8,0),"")</f>
        <v>http://i0.hdslb.com/bfs/station_src/music_metadata/35d43660f2b14e012718bd6fdbf5865c</v>
      </c>
      <c r="Q896" s="4">
        <f ca="1">_xlfn.IFNA(VLOOKUP(INDIRECT("G"&amp;ROW()),minfo!$A:$M,COLUMN()-8,0),"")</f>
        <v>853</v>
      </c>
      <c r="R896" s="4" t="str">
        <f ca="1">_xlfn.IFNA(VLOOKUP(INDIRECT("G"&amp;ROW()),minfo!$A:$M,COLUMN()-8,0),"")</f>
        <v>《西游记》电视剧插曲</v>
      </c>
      <c r="S896" s="4" t="str">
        <f ca="1">_xlfn.IFNA(VLOOKUP(INDIRECT("G"&amp;ROW()),minfo!$A:$M,COLUMN()-8,0),"")</f>
        <v>西游记 电视剧原声带</v>
      </c>
      <c r="T896" s="4">
        <f ca="1">_xlfn.IFNA(VLOOKUP(INDIRECT("G"&amp;ROW()),minfo!$A:$M,COLUMN()-8,0),"")</f>
        <v>299210152</v>
      </c>
      <c r="U896" s="4">
        <f ca="1">_xlfn.IFNA(VLOOKUP(INDIRECT("G"&amp;ROW()),minfo!$A:$M,COLUMN()-8,0),"")</f>
        <v>0</v>
      </c>
    </row>
    <row r="897" spans="1:21" ht="15.75" customHeight="1">
      <c r="A897" s="15">
        <v>896</v>
      </c>
      <c r="B897" s="4" t="s">
        <v>4488</v>
      </c>
      <c r="C897" s="4">
        <v>897</v>
      </c>
      <c r="D897" s="4">
        <v>111</v>
      </c>
      <c r="E897" s="4" t="s">
        <v>150</v>
      </c>
      <c r="F897" s="16">
        <v>44626</v>
      </c>
      <c r="G897" s="5" t="s">
        <v>149</v>
      </c>
      <c r="H897" s="5" t="s">
        <v>4375</v>
      </c>
      <c r="I897" s="24" t="str">
        <f>HYPERLINK("https://www.bilibili.com/video/BV1pY411t7Rb?p=111", "BV1pY411t7Rb?p=111")</f>
        <v>BV1pY411t7Rb?p=111</v>
      </c>
      <c r="J897" s="4" t="str">
        <f ca="1">_xlfn.IFNA(VLOOKUP(INDIRECT("G"&amp;ROW()),minfo!$A:$M,COLUMN()-8,0),"")</f>
        <v>繁华唱遍</v>
      </c>
      <c r="K897" s="4" t="str">
        <f ca="1">_xlfn.IFNA(VLOOKUP(INDIRECT("G"&amp;ROW()),minfo!$A:$M,COLUMN()-8,0),"")</f>
        <v>乐正绫</v>
      </c>
      <c r="L897" s="4">
        <f ca="1">_xlfn.IFNA(VLOOKUP(INDIRECT("G"&amp;ROW()),minfo!$A:$M,COLUMN()-8,0),"")</f>
        <v>0</v>
      </c>
      <c r="M897" s="4">
        <f ca="1">_xlfn.IFNA(VLOOKUP(INDIRECT("G"&amp;ROW()),minfo!$A:$M,COLUMN()-8,0),"")</f>
        <v>277</v>
      </c>
      <c r="N897" s="4">
        <f ca="1">_xlfn.IFNA(VLOOKUP(INDIRECT("G"&amp;ROW()),minfo!$A:$M,COLUMN()-8,0),"")</f>
        <v>2</v>
      </c>
      <c r="O897" s="4">
        <f ca="1">_xlfn.IFNA(VLOOKUP(INDIRECT("G"&amp;ROW()),minfo!$A:$M,COLUMN()-8,0),"")</f>
        <v>0</v>
      </c>
      <c r="P897" s="4">
        <f ca="1">_xlfn.IFNA(VLOOKUP(INDIRECT("G"&amp;ROW()),minfo!$A:$M,COLUMN()-8,0),"")</f>
        <v>0</v>
      </c>
      <c r="Q897" s="4">
        <f ca="1">_xlfn.IFNA(VLOOKUP(INDIRECT("G"&amp;ROW()),minfo!$A:$M,COLUMN()-8,0),"")</f>
        <v>156</v>
      </c>
      <c r="R897" s="4">
        <f ca="1">_xlfn.IFNA(VLOOKUP(INDIRECT("G"&amp;ROW()),minfo!$A:$M,COLUMN()-8,0),"")</f>
        <v>0</v>
      </c>
      <c r="S897" s="4">
        <f ca="1">_xlfn.IFNA(VLOOKUP(INDIRECT("G"&amp;ROW()),minfo!$A:$M,COLUMN()-8,0),"")</f>
        <v>0</v>
      </c>
      <c r="T897" s="4">
        <f ca="1">_xlfn.IFNA(VLOOKUP(INDIRECT("G"&amp;ROW()),minfo!$A:$M,COLUMN()-8,0),"")</f>
        <v>71832236</v>
      </c>
      <c r="U897" s="4">
        <f ca="1">_xlfn.IFNA(VLOOKUP(INDIRECT("G"&amp;ROW()),minfo!$A:$M,COLUMN()-8,0),"")</f>
        <v>0</v>
      </c>
    </row>
    <row r="898" spans="1:21" ht="15.75" customHeight="1">
      <c r="A898" s="15">
        <v>897</v>
      </c>
      <c r="B898" s="4" t="s">
        <v>4489</v>
      </c>
      <c r="C898" s="4">
        <v>898</v>
      </c>
      <c r="D898" s="4">
        <v>112</v>
      </c>
      <c r="E898" s="4" t="s">
        <v>2100</v>
      </c>
      <c r="F898" s="16">
        <v>44626</v>
      </c>
      <c r="G898" s="5" t="s">
        <v>2099</v>
      </c>
      <c r="H898" s="5" t="s">
        <v>4375</v>
      </c>
      <c r="I898" s="24" t="str">
        <f>HYPERLINK("https://www.bilibili.com/video/BV1pY411t7Rb?p=112", "BV1pY411t7Rb?p=112")</f>
        <v>BV1pY411t7Rb?p=112</v>
      </c>
      <c r="J898" s="4" t="str">
        <f ca="1">_xlfn.IFNA(VLOOKUP(INDIRECT("G"&amp;ROW()),minfo!$A:$M,COLUMN()-8,0),"")</f>
        <v>开往春天的地铁</v>
      </c>
      <c r="K898" s="4" t="str">
        <f ca="1">_xlfn.IFNA(VLOOKUP(INDIRECT("G"&amp;ROW()),minfo!$A:$M,COLUMN()-8,0),"")</f>
        <v>袁娅维TIA RAY</v>
      </c>
      <c r="L898" s="4">
        <f ca="1">_xlfn.IFNA(VLOOKUP(INDIRECT("G"&amp;ROW()),minfo!$A:$M,COLUMN()-8,0),"")</f>
        <v>0</v>
      </c>
      <c r="M898" s="4">
        <f ca="1">_xlfn.IFNA(VLOOKUP(INDIRECT("G"&amp;ROW()),minfo!$A:$M,COLUMN()-8,0),"")</f>
        <v>0</v>
      </c>
      <c r="N898" s="4">
        <f ca="1">_xlfn.IFNA(VLOOKUP(INDIRECT("G"&amp;ROW()),minfo!$A:$M,COLUMN()-8,0),"")</f>
        <v>0</v>
      </c>
      <c r="O898" s="4" t="str">
        <f ca="1">_xlfn.IFNA(VLOOKUP(INDIRECT("G"&amp;ROW()),minfo!$A:$M,COLUMN()-8,0),"")</f>
        <v>https://i0.hdslb.com/bfs/station_src/music_metadata/defbd75ff07b62dbcda4978cd382cd52.jpg</v>
      </c>
      <c r="P898" s="4" t="str">
        <f ca="1">_xlfn.IFNA(VLOOKUP(INDIRECT("G"&amp;ROW()),minfo!$A:$M,COLUMN()-8,0),"")</f>
        <v>https://i0.hdslb.com/bfs/station_src/music_metadata/c5a139deb38aa3aefd6d5edc6dc918c6.txt</v>
      </c>
      <c r="Q898" s="4">
        <f ca="1">_xlfn.IFNA(VLOOKUP(INDIRECT("G"&amp;ROW()),minfo!$A:$M,COLUMN()-8,0),"")</f>
        <v>595</v>
      </c>
      <c r="R898" s="4">
        <f ca="1">_xlfn.IFNA(VLOOKUP(INDIRECT("G"&amp;ROW()),minfo!$A:$M,COLUMN()-8,0),"")</f>
        <v>0</v>
      </c>
      <c r="S898" s="4" t="str">
        <f ca="1">_xlfn.IFNA(VLOOKUP(INDIRECT("G"&amp;ROW()),minfo!$A:$M,COLUMN()-8,0),"")</f>
        <v>歌手 第11期</v>
      </c>
      <c r="T898" s="4">
        <f ca="1">_xlfn.IFNA(VLOOKUP(INDIRECT("G"&amp;ROW()),minfo!$A:$M,COLUMN()-8,0),"")</f>
        <v>47566028</v>
      </c>
      <c r="U898" s="4">
        <f ca="1">_xlfn.IFNA(VLOOKUP(INDIRECT("G"&amp;ROW()),minfo!$A:$M,COLUMN()-8,0),"")</f>
        <v>0</v>
      </c>
    </row>
    <row r="899" spans="1:21" ht="15.75" customHeight="1">
      <c r="A899" s="15">
        <v>898</v>
      </c>
      <c r="B899" s="4" t="s">
        <v>4490</v>
      </c>
      <c r="C899" s="4">
        <v>899</v>
      </c>
      <c r="D899" s="4">
        <v>113</v>
      </c>
      <c r="E899" s="4" t="s">
        <v>1377</v>
      </c>
      <c r="F899" s="16">
        <v>44626</v>
      </c>
      <c r="G899" s="5" t="s">
        <v>2104</v>
      </c>
      <c r="H899" s="5" t="s">
        <v>4375</v>
      </c>
      <c r="I899" s="24" t="str">
        <f>HYPERLINK("https://www.bilibili.com/video/BV1pY411t7Rb?p=113", "BV1pY411t7Rb?p=113")</f>
        <v>BV1pY411t7Rb?p=113</v>
      </c>
      <c r="J899" s="4" t="str">
        <f ca="1">_xlfn.IFNA(VLOOKUP(INDIRECT("G"&amp;ROW()),minfo!$A:$M,COLUMN()-8,0),"")</f>
        <v>小河淌水</v>
      </c>
      <c r="K899" s="4" t="str">
        <f ca="1">_xlfn.IFNA(VLOOKUP(INDIRECT("G"&amp;ROW()),minfo!$A:$M,COLUMN()-8,0),"")</f>
        <v>黄虹</v>
      </c>
      <c r="L899" s="4">
        <f ca="1">_xlfn.IFNA(VLOOKUP(INDIRECT("G"&amp;ROW()),minfo!$A:$M,COLUMN()-8,0),"")</f>
        <v>0</v>
      </c>
      <c r="M899" s="4">
        <f ca="1">_xlfn.IFNA(VLOOKUP(INDIRECT("G"&amp;ROW()),minfo!$A:$M,COLUMN()-8,0),"")</f>
        <v>0</v>
      </c>
      <c r="N899" s="4">
        <f ca="1">_xlfn.IFNA(VLOOKUP(INDIRECT("G"&amp;ROW()),minfo!$A:$M,COLUMN()-8,0),"")</f>
        <v>0</v>
      </c>
      <c r="O899" s="4" t="str">
        <f ca="1">_xlfn.IFNA(VLOOKUP(INDIRECT("G"&amp;ROW()),minfo!$A:$M,COLUMN()-8,0),"")</f>
        <v>https://i0.hdslb.com/bfs/station_src/music_metadata/f72216c2cfc9fccea7e9d7ba59c63737.jpg</v>
      </c>
      <c r="P899" s="4" t="str">
        <f ca="1">_xlfn.IFNA(VLOOKUP(INDIRECT("G"&amp;ROW()),minfo!$A:$M,COLUMN()-8,0),"")</f>
        <v>https://i0.hdslb.com/bfs/station_src/music_metadata/cdc5764e4f6a975fc6d86dd725593b59.txt</v>
      </c>
      <c r="Q899" s="4">
        <f ca="1">_xlfn.IFNA(VLOOKUP(INDIRECT("G"&amp;ROW()),minfo!$A:$M,COLUMN()-8,0),"")</f>
        <v>109</v>
      </c>
      <c r="R899" s="4" t="str">
        <f ca="1">_xlfn.IFNA(VLOOKUP(INDIRECT("G"&amp;ROW()),minfo!$A:$M,COLUMN()-8,0),"")</f>
        <v>云南民歌</v>
      </c>
      <c r="S899" s="4" t="str">
        <f ca="1">_xlfn.IFNA(VLOOKUP(INDIRECT("G"&amp;ROW()),minfo!$A:$M,COLUMN()-8,0),"")</f>
        <v>20世纪中华歌坛名人百集珍藏版</v>
      </c>
      <c r="T899" s="4">
        <f ca="1">_xlfn.IFNA(VLOOKUP(INDIRECT("G"&amp;ROW()),minfo!$A:$M,COLUMN()-8,0),"")</f>
        <v>78622904</v>
      </c>
      <c r="U899" s="4">
        <f ca="1">_xlfn.IFNA(VLOOKUP(INDIRECT("G"&amp;ROW()),minfo!$A:$M,COLUMN()-8,0),"")</f>
        <v>0</v>
      </c>
    </row>
    <row r="900" spans="1:21" ht="15.75" customHeight="1">
      <c r="A900" s="15">
        <v>899</v>
      </c>
      <c r="B900" s="4" t="s">
        <v>4491</v>
      </c>
      <c r="C900" s="4">
        <v>900</v>
      </c>
      <c r="D900" s="4">
        <v>114</v>
      </c>
      <c r="E900" s="4" t="s">
        <v>2110</v>
      </c>
      <c r="F900" s="16">
        <v>44626</v>
      </c>
      <c r="G900" s="5" t="s">
        <v>2109</v>
      </c>
      <c r="H900" s="5" t="s">
        <v>4375</v>
      </c>
      <c r="I900" s="24" t="str">
        <f>HYPERLINK("https://www.bilibili.com/video/BV1pY411t7Rb?p=114", "BV1pY411t7Rb?p=114")</f>
        <v>BV1pY411t7Rb?p=114</v>
      </c>
      <c r="J900" s="4" t="str">
        <f ca="1">_xlfn.IFNA(VLOOKUP(INDIRECT("G"&amp;ROW()),minfo!$A:$M,COLUMN()-8,0),"")</f>
        <v>蜗牛与黄鹂鸟</v>
      </c>
      <c r="K900" s="4" t="str">
        <f ca="1">_xlfn.IFNA(VLOOKUP(INDIRECT("G"&amp;ROW()),minfo!$A:$M,COLUMN()-8,0),"")</f>
        <v>银霞</v>
      </c>
      <c r="L900" s="4">
        <f ca="1">_xlfn.IFNA(VLOOKUP(INDIRECT("G"&amp;ROW()),minfo!$A:$M,COLUMN()-8,0),"")</f>
        <v>0</v>
      </c>
      <c r="M900" s="4">
        <f ca="1">_xlfn.IFNA(VLOOKUP(INDIRECT("G"&amp;ROW()),minfo!$A:$M,COLUMN()-8,0),"")</f>
        <v>0</v>
      </c>
      <c r="N900" s="4">
        <f ca="1">_xlfn.IFNA(VLOOKUP(INDIRECT("G"&amp;ROW()),minfo!$A:$M,COLUMN()-8,0),"")</f>
        <v>0</v>
      </c>
      <c r="O900" s="4" t="str">
        <f ca="1">_xlfn.IFNA(VLOOKUP(INDIRECT("G"&amp;ROW()),minfo!$A:$M,COLUMN()-8,0),"")</f>
        <v>https://i0.hdslb.com/bfs/station_src/music_metadata/3e8273ef732c15e784ae8a9d38909401.jpg</v>
      </c>
      <c r="P900" s="4" t="str">
        <f ca="1">_xlfn.IFNA(VLOOKUP(INDIRECT("G"&amp;ROW()),minfo!$A:$M,COLUMN()-8,0),"")</f>
        <v>https://i0.hdslb.com/bfs/station_src/music_metadata/956ddfc8c365c6414b640d6e6ceff356.txt</v>
      </c>
      <c r="Q900" s="4">
        <f ca="1">_xlfn.IFNA(VLOOKUP(INDIRECT("G"&amp;ROW()),minfo!$A:$M,COLUMN()-8,0),"")</f>
        <v>191</v>
      </c>
      <c r="R900" s="4">
        <f ca="1">_xlfn.IFNA(VLOOKUP(INDIRECT("G"&amp;ROW()),minfo!$A:$M,COLUMN()-8,0),"")</f>
        <v>0</v>
      </c>
      <c r="S900" s="4" t="str">
        <f ca="1">_xlfn.IFNA(VLOOKUP(INDIRECT("G"&amp;ROW()),minfo!$A:$M,COLUMN()-8,0),"")</f>
        <v>校園歌手 銀霞 (壹)</v>
      </c>
      <c r="T900" s="4">
        <f ca="1">_xlfn.IFNA(VLOOKUP(INDIRECT("G"&amp;ROW()),minfo!$A:$M,COLUMN()-8,0),"")</f>
        <v>105276091</v>
      </c>
      <c r="U900" s="4">
        <f ca="1">_xlfn.IFNA(VLOOKUP(INDIRECT("G"&amp;ROW()),minfo!$A:$M,COLUMN()-8,0),"")</f>
        <v>0</v>
      </c>
    </row>
    <row r="901" spans="1:21" ht="15.75" customHeight="1">
      <c r="A901" s="15">
        <v>900</v>
      </c>
      <c r="B901" s="4" t="s">
        <v>4492</v>
      </c>
      <c r="C901" s="4">
        <v>901</v>
      </c>
      <c r="D901" s="4">
        <v>115</v>
      </c>
      <c r="E901" s="4" t="s">
        <v>226</v>
      </c>
      <c r="F901" s="16">
        <v>44626</v>
      </c>
      <c r="G901" s="5" t="s">
        <v>225</v>
      </c>
      <c r="H901" s="5" t="s">
        <v>4375</v>
      </c>
      <c r="I901" s="24" t="str">
        <f>HYPERLINK("https://www.bilibili.com/video/BV1pY411t7Rb?p=115", "BV1pY411t7Rb?p=115")</f>
        <v>BV1pY411t7Rb?p=115</v>
      </c>
      <c r="J901" s="4" t="str">
        <f ca="1">_xlfn.IFNA(VLOOKUP(INDIRECT("G"&amp;ROW()),minfo!$A:$M,COLUMN()-8,0),"")</f>
        <v>如愿</v>
      </c>
      <c r="K901" s="4" t="str">
        <f ca="1">_xlfn.IFNA(VLOOKUP(INDIRECT("G"&amp;ROW()),minfo!$A:$M,COLUMN()-8,0),"")</f>
        <v>王菲</v>
      </c>
      <c r="L901" s="4">
        <f ca="1">_xlfn.IFNA(VLOOKUP(INDIRECT("G"&amp;ROW()),minfo!$A:$M,COLUMN()-8,0),"")</f>
        <v>0</v>
      </c>
      <c r="M901" s="4">
        <f ca="1">_xlfn.IFNA(VLOOKUP(INDIRECT("G"&amp;ROW()),minfo!$A:$M,COLUMN()-8,0),"")</f>
        <v>0</v>
      </c>
      <c r="N901" s="4">
        <f ca="1">_xlfn.IFNA(VLOOKUP(INDIRECT("G"&amp;ROW()),minfo!$A:$M,COLUMN()-8,0),"")</f>
        <v>0</v>
      </c>
      <c r="O901" s="4" t="str">
        <f ca="1">_xlfn.IFNA(VLOOKUP(INDIRECT("G"&amp;ROW()),minfo!$A:$M,COLUMN()-8,0),"")</f>
        <v>http://i0.hdslb.com/bfs/station_src/music_metadata/4c29d6e8ea08a5ae0f90cb123bf5f52d.jpg</v>
      </c>
      <c r="P901" s="4" t="str">
        <f ca="1">_xlfn.IFNA(VLOOKUP(INDIRECT("G"&amp;ROW()),minfo!$A:$M,COLUMN()-8,0),"")</f>
        <v>http://i0.hdslb.com/bfs/station_src/music_metadata/7dfb091f97b87d41cdb10f22a04b20e6</v>
      </c>
      <c r="Q901" s="4">
        <f ca="1">_xlfn.IFNA(VLOOKUP(INDIRECT("G"&amp;ROW()),minfo!$A:$M,COLUMN()-8,0),"")</f>
        <v>8985</v>
      </c>
      <c r="R901" s="4" t="str">
        <f ca="1">_xlfn.IFNA(VLOOKUP(INDIRECT("G"&amp;ROW()),minfo!$A:$M,COLUMN()-8,0),"")</f>
        <v>《我和我的父辈》电影主题推广曲</v>
      </c>
      <c r="S901" s="4" t="str">
        <f ca="1">_xlfn.IFNA(VLOOKUP(INDIRECT("G"&amp;ROW()),minfo!$A:$M,COLUMN()-8,0),"")</f>
        <v>如愿</v>
      </c>
      <c r="T901" s="4">
        <f ca="1">_xlfn.IFNA(VLOOKUP(INDIRECT("G"&amp;ROW()),minfo!$A:$M,COLUMN()-8,0),"")</f>
        <v>520502983</v>
      </c>
      <c r="U901" s="4">
        <f ca="1">_xlfn.IFNA(VLOOKUP(INDIRECT("G"&amp;ROW()),minfo!$A:$M,COLUMN()-8,0),"")</f>
        <v>0</v>
      </c>
    </row>
    <row r="902" spans="1:21" ht="15.75" customHeight="1">
      <c r="A902" s="15">
        <v>901</v>
      </c>
      <c r="B902" s="4" t="s">
        <v>4493</v>
      </c>
      <c r="C902" s="4">
        <v>902</v>
      </c>
      <c r="D902" s="4">
        <v>116</v>
      </c>
      <c r="E902" s="4" t="s">
        <v>1165</v>
      </c>
      <c r="F902" s="16">
        <v>44626</v>
      </c>
      <c r="G902" s="5" t="s">
        <v>1164</v>
      </c>
      <c r="H902" s="5" t="s">
        <v>4375</v>
      </c>
      <c r="I902" s="24" t="str">
        <f>HYPERLINK("https://www.bilibili.com/video/BV1pY411t7Rb?p=116", "BV1pY411t7Rb?p=116")</f>
        <v>BV1pY411t7Rb?p=116</v>
      </c>
      <c r="J902" s="4" t="str">
        <f ca="1">_xlfn.IFNA(VLOOKUP(INDIRECT("G"&amp;ROW()),minfo!$A:$M,COLUMN()-8,0),"")</f>
        <v>百年孤寂</v>
      </c>
      <c r="K902" s="4" t="str">
        <f ca="1">_xlfn.IFNA(VLOOKUP(INDIRECT("G"&amp;ROW()),minfo!$A:$M,COLUMN()-8,0),"")</f>
        <v>王菲</v>
      </c>
      <c r="L902" s="4">
        <f ca="1">_xlfn.IFNA(VLOOKUP(INDIRECT("G"&amp;ROW()),minfo!$A:$M,COLUMN()-8,0),"")</f>
        <v>0</v>
      </c>
      <c r="M902" s="4">
        <f ca="1">_xlfn.IFNA(VLOOKUP(INDIRECT("G"&amp;ROW()),minfo!$A:$M,COLUMN()-8,0),"")</f>
        <v>0</v>
      </c>
      <c r="N902" s="4">
        <f ca="1">_xlfn.IFNA(VLOOKUP(INDIRECT("G"&amp;ROW()),minfo!$A:$M,COLUMN()-8,0),"")</f>
        <v>0</v>
      </c>
      <c r="O902" s="4" t="str">
        <f ca="1">_xlfn.IFNA(VLOOKUP(INDIRECT("G"&amp;ROW()),minfo!$A:$M,COLUMN()-8,0),"")</f>
        <v>https://i0.hdslb.com/bfs/station_src/music_metadata/20338edb52746e20533f9bd430ce08dd.jpg</v>
      </c>
      <c r="P902" s="4" t="str">
        <f ca="1">_xlfn.IFNA(VLOOKUP(INDIRECT("G"&amp;ROW()),minfo!$A:$M,COLUMN()-8,0),"")</f>
        <v>http://i0.hdslb.com/bfs/station_src/music_metadata/6bcf1ebce64f503bdbd10e260085f9c8</v>
      </c>
      <c r="Q902" s="4">
        <f ca="1">_xlfn.IFNA(VLOOKUP(INDIRECT("G"&amp;ROW()),minfo!$A:$M,COLUMN()-8,0),"")</f>
        <v>1418</v>
      </c>
      <c r="R902" s="4">
        <f ca="1">_xlfn.IFNA(VLOOKUP(INDIRECT("G"&amp;ROW()),minfo!$A:$M,COLUMN()-8,0),"")</f>
        <v>0</v>
      </c>
      <c r="S902" s="4" t="str">
        <f ca="1">_xlfn.IFNA(VLOOKUP(INDIRECT("G"&amp;ROW()),minfo!$A:$M,COLUMN()-8,0),"")</f>
        <v>只爱陌生人</v>
      </c>
      <c r="T902" s="4">
        <f ca="1">_xlfn.IFNA(VLOOKUP(INDIRECT("G"&amp;ROW()),minfo!$A:$M,COLUMN()-8,0),"")</f>
        <v>155681177</v>
      </c>
      <c r="U902" s="4" t="str">
        <f ca="1">_xlfn.IFNA(VLOOKUP(INDIRECT("G"&amp;ROW()),minfo!$A:$M,COLUMN()-8,0),"")</f>
        <v>音乐榜最高NO.16</v>
      </c>
    </row>
    <row r="903" spans="1:21" ht="15.75" customHeight="1">
      <c r="A903" s="15">
        <v>902</v>
      </c>
      <c r="B903" s="4" t="s">
        <v>4494</v>
      </c>
      <c r="C903" s="4">
        <v>903</v>
      </c>
      <c r="D903" s="4">
        <v>117</v>
      </c>
      <c r="E903" s="4" t="s">
        <v>775</v>
      </c>
      <c r="F903" s="16">
        <v>44628</v>
      </c>
      <c r="G903" s="5" t="s">
        <v>774</v>
      </c>
      <c r="H903" s="5" t="s">
        <v>4375</v>
      </c>
      <c r="I903" s="24" t="str">
        <f>HYPERLINK("https://www.bilibili.com/video/BV1pY411t7Rb?p=117", "BV1pY411t7Rb?p=117")</f>
        <v>BV1pY411t7Rb?p=117</v>
      </c>
      <c r="J903" s="4" t="str">
        <f ca="1">_xlfn.IFNA(VLOOKUP(INDIRECT("G"&amp;ROW()),minfo!$A:$M,COLUMN()-8,0),"")</f>
        <v>我的梦</v>
      </c>
      <c r="K903" s="4" t="str">
        <f ca="1">_xlfn.IFNA(VLOOKUP(INDIRECT("G"&amp;ROW()),minfo!$A:$M,COLUMN()-8,0),"")</f>
        <v>张靓颖</v>
      </c>
      <c r="L903" s="4">
        <f ca="1">_xlfn.IFNA(VLOOKUP(INDIRECT("G"&amp;ROW()),minfo!$A:$M,COLUMN()-8,0),"")</f>
        <v>0</v>
      </c>
      <c r="M903" s="4">
        <f ca="1">_xlfn.IFNA(VLOOKUP(INDIRECT("G"&amp;ROW()),minfo!$A:$M,COLUMN()-8,0),"")</f>
        <v>0</v>
      </c>
      <c r="N903" s="4">
        <f ca="1">_xlfn.IFNA(VLOOKUP(INDIRECT("G"&amp;ROW()),minfo!$A:$M,COLUMN()-8,0),"")</f>
        <v>0</v>
      </c>
      <c r="O903" s="4" t="str">
        <f ca="1">_xlfn.IFNA(VLOOKUP(INDIRECT("G"&amp;ROW()),minfo!$A:$M,COLUMN()-8,0),"")</f>
        <v>https://i0.hdslb.com/bfs/station_src/music_metadata/835602ae15dd1b906d1ff30173ed231b.jpg</v>
      </c>
      <c r="P903" s="4" t="str">
        <f ca="1">_xlfn.IFNA(VLOOKUP(INDIRECT("G"&amp;ROW()),minfo!$A:$M,COLUMN()-8,0),"")</f>
        <v>http://i0.hdslb.com/bfs/station_src/music_metadata/64616656b314bfa45e6146933adda63f</v>
      </c>
      <c r="Q903" s="4">
        <f ca="1">_xlfn.IFNA(VLOOKUP(INDIRECT("G"&amp;ROW()),minfo!$A:$M,COLUMN()-8,0),"")</f>
        <v>227</v>
      </c>
      <c r="R903" s="4" t="str">
        <f ca="1">_xlfn.IFNA(VLOOKUP(INDIRECT("G"&amp;ROW()),minfo!$A:$M,COLUMN()-8,0),"")</f>
        <v>华为手机主题曲|《为了你我愿意热爱整个世界》影视剧主题曲</v>
      </c>
      <c r="S903" s="4" t="str">
        <f ca="1">_xlfn.IFNA(VLOOKUP(INDIRECT("G"&amp;ROW()),minfo!$A:$M,COLUMN()-8,0),"")</f>
        <v>我的梦</v>
      </c>
      <c r="T903" s="4">
        <f ca="1">_xlfn.IFNA(VLOOKUP(INDIRECT("G"&amp;ROW()),minfo!$A:$M,COLUMN()-8,0),"")</f>
        <v>55474043</v>
      </c>
      <c r="U903" s="4">
        <f ca="1">_xlfn.IFNA(VLOOKUP(INDIRECT("G"&amp;ROW()),minfo!$A:$M,COLUMN()-8,0),"")</f>
        <v>0</v>
      </c>
    </row>
    <row r="904" spans="1:21" ht="15.75" customHeight="1">
      <c r="A904" s="15">
        <v>903</v>
      </c>
      <c r="B904" s="4" t="s">
        <v>4495</v>
      </c>
      <c r="C904" s="4">
        <v>904</v>
      </c>
      <c r="D904" s="4">
        <v>118</v>
      </c>
      <c r="E904" s="4" t="s">
        <v>2116</v>
      </c>
      <c r="F904" s="16">
        <v>44628</v>
      </c>
      <c r="G904" s="5" t="s">
        <v>2115</v>
      </c>
      <c r="H904" s="5" t="s">
        <v>4375</v>
      </c>
      <c r="I904" s="24" t="str">
        <f>HYPERLINK("https://www.bilibili.com/video/BV1pY411t7Rb?p=118", "BV1pY411t7Rb?p=118")</f>
        <v>BV1pY411t7Rb?p=118</v>
      </c>
      <c r="J904" s="4" t="str">
        <f ca="1">_xlfn.IFNA(VLOOKUP(INDIRECT("G"&amp;ROW()),minfo!$A:$M,COLUMN()-8,0),"")</f>
        <v>画心</v>
      </c>
      <c r="K904" s="4" t="str">
        <f ca="1">_xlfn.IFNA(VLOOKUP(INDIRECT("G"&amp;ROW()),minfo!$A:$M,COLUMN()-8,0),"")</f>
        <v>张靓颖</v>
      </c>
      <c r="L904" s="4">
        <f ca="1">_xlfn.IFNA(VLOOKUP(INDIRECT("G"&amp;ROW()),minfo!$A:$M,COLUMN()-8,0),"")</f>
        <v>0</v>
      </c>
      <c r="M904" s="4">
        <f ca="1">_xlfn.IFNA(VLOOKUP(INDIRECT("G"&amp;ROW()),minfo!$A:$M,COLUMN()-8,0),"")</f>
        <v>0</v>
      </c>
      <c r="N904" s="4">
        <f ca="1">_xlfn.IFNA(VLOOKUP(INDIRECT("G"&amp;ROW()),minfo!$A:$M,COLUMN()-8,0),"")</f>
        <v>0</v>
      </c>
      <c r="O904" s="4" t="str">
        <f ca="1">_xlfn.IFNA(VLOOKUP(INDIRECT("G"&amp;ROW()),minfo!$A:$M,COLUMN()-8,0),"")</f>
        <v>http://i0.hdslb.com/bfs/station_src/music_metadata/8a902d9f7ad5be6b096598ad48118011.jpg</v>
      </c>
      <c r="P904" s="4" t="str">
        <f ca="1">_xlfn.IFNA(VLOOKUP(INDIRECT("G"&amp;ROW()),minfo!$A:$M,COLUMN()-8,0),"")</f>
        <v>http://i0.hdslb.com/bfs/station_src/music_metadata/5b21bbe6a3b556e535ad2259be1f6a0a</v>
      </c>
      <c r="Q904" s="4">
        <f ca="1">_xlfn.IFNA(VLOOKUP(INDIRECT("G"&amp;ROW()),minfo!$A:$M,COLUMN()-8,0),"")</f>
        <v>889</v>
      </c>
      <c r="R904" s="4" t="str">
        <f ca="1">_xlfn.IFNA(VLOOKUP(INDIRECT("G"&amp;ROW()),minfo!$A:$M,COLUMN()-8,0),"")</f>
        <v>《画皮》电影主题曲</v>
      </c>
      <c r="S904" s="4" t="str">
        <f ca="1">_xlfn.IFNA(VLOOKUP(INDIRECT("G"&amp;ROW()),minfo!$A:$M,COLUMN()-8,0),"")</f>
        <v>画心</v>
      </c>
      <c r="T904" s="4">
        <f ca="1">_xlfn.IFNA(VLOOKUP(INDIRECT("G"&amp;ROW()),minfo!$A:$M,COLUMN()-8,0),"")</f>
        <v>193133600</v>
      </c>
      <c r="U904" s="4">
        <f ca="1">_xlfn.IFNA(VLOOKUP(INDIRECT("G"&amp;ROW()),minfo!$A:$M,COLUMN()-8,0),"")</f>
        <v>0</v>
      </c>
    </row>
    <row r="905" spans="1:21" ht="15.75" customHeight="1">
      <c r="A905" s="15">
        <v>904</v>
      </c>
      <c r="B905" s="4" t="s">
        <v>4496</v>
      </c>
      <c r="C905" s="4">
        <v>905</v>
      </c>
      <c r="D905" s="4">
        <v>119</v>
      </c>
      <c r="E905" s="4" t="s">
        <v>2121</v>
      </c>
      <c r="F905" s="16">
        <v>44632</v>
      </c>
      <c r="G905" s="5" t="s">
        <v>2120</v>
      </c>
      <c r="H905" s="5" t="s">
        <v>4375</v>
      </c>
      <c r="I905" s="24" t="str">
        <f>HYPERLINK("https://www.bilibili.com/video/BV1pY411t7Rb?p=119", "BV1pY411t7Rb?p=119")</f>
        <v>BV1pY411t7Rb?p=119</v>
      </c>
      <c r="J905" s="4" t="str">
        <f ca="1">_xlfn.IFNA(VLOOKUP(INDIRECT("G"&amp;ROW()),minfo!$A:$M,COLUMN()-8,0),"")</f>
        <v>崇拜</v>
      </c>
      <c r="K905" s="4" t="str">
        <f ca="1">_xlfn.IFNA(VLOOKUP(INDIRECT("G"&amp;ROW()),minfo!$A:$M,COLUMN()-8,0),"")</f>
        <v>梁静茹</v>
      </c>
      <c r="L905" s="4">
        <f ca="1">_xlfn.IFNA(VLOOKUP(INDIRECT("G"&amp;ROW()),minfo!$A:$M,COLUMN()-8,0),"")</f>
        <v>0</v>
      </c>
      <c r="M905" s="4">
        <f ca="1">_xlfn.IFNA(VLOOKUP(INDIRECT("G"&amp;ROW()),minfo!$A:$M,COLUMN()-8,0),"")</f>
        <v>0</v>
      </c>
      <c r="N905" s="4">
        <f ca="1">_xlfn.IFNA(VLOOKUP(INDIRECT("G"&amp;ROW()),minfo!$A:$M,COLUMN()-8,0),"")</f>
        <v>0</v>
      </c>
      <c r="O905" s="4" t="str">
        <f ca="1">_xlfn.IFNA(VLOOKUP(INDIRECT("G"&amp;ROW()),minfo!$A:$M,COLUMN()-8,0),"")</f>
        <v>https://i0.hdslb.com/bfs/station_src/music_metadata/558a5fdd70d879b81eccaad500c9660d.jpg</v>
      </c>
      <c r="P905" s="4" t="str">
        <f ca="1">_xlfn.IFNA(VLOOKUP(INDIRECT("G"&amp;ROW()),minfo!$A:$M,COLUMN()-8,0),"")</f>
        <v>http://i0.hdslb.com/bfs/station_src/music_metadata/fdd664bdb7547dbd99deb2d6cc8326ee</v>
      </c>
      <c r="Q905" s="4">
        <f ca="1">_xlfn.IFNA(VLOOKUP(INDIRECT("G"&amp;ROW()),minfo!$A:$M,COLUMN()-8,0),"")</f>
        <v>131</v>
      </c>
      <c r="R905" s="4" t="str">
        <f ca="1">_xlfn.IFNA(VLOOKUP(INDIRECT("G"&amp;ROW()),minfo!$A:$M,COLUMN()-8,0),"")</f>
        <v>《黄真伊》电视剧台版片尾曲</v>
      </c>
      <c r="S905" s="4" t="str">
        <f ca="1">_xlfn.IFNA(VLOOKUP(INDIRECT("G"&amp;ROW()),minfo!$A:$M,COLUMN()-8,0),"")</f>
        <v>崇拜</v>
      </c>
      <c r="T905" s="4">
        <f ca="1">_xlfn.IFNA(VLOOKUP(INDIRECT("G"&amp;ROW()),minfo!$A:$M,COLUMN()-8,0),"")</f>
        <v>56720759</v>
      </c>
      <c r="U905" s="4">
        <f ca="1">_xlfn.IFNA(VLOOKUP(INDIRECT("G"&amp;ROW()),minfo!$A:$M,COLUMN()-8,0),"")</f>
        <v>0</v>
      </c>
    </row>
    <row r="906" spans="1:21" ht="15.75" customHeight="1">
      <c r="A906" s="15">
        <v>905</v>
      </c>
      <c r="B906" s="4" t="s">
        <v>4497</v>
      </c>
      <c r="C906" s="4">
        <v>906</v>
      </c>
      <c r="D906" s="4">
        <v>120</v>
      </c>
      <c r="E906" s="4" t="s">
        <v>4498</v>
      </c>
      <c r="F906" s="16">
        <v>44632</v>
      </c>
      <c r="G906" s="5" t="s">
        <v>2125</v>
      </c>
      <c r="H906" s="5" t="s">
        <v>4375</v>
      </c>
      <c r="I906" s="24" t="str">
        <f>HYPERLINK("https://www.bilibili.com/video/BV1pY411t7Rb?p=120", "BV1pY411t7Rb?p=120")</f>
        <v>BV1pY411t7Rb?p=120</v>
      </c>
      <c r="J906" s="4" t="str">
        <f ca="1">_xlfn.IFNA(VLOOKUP(INDIRECT("G"&amp;ROW()),minfo!$A:$M,COLUMN()-8,0),"")</f>
        <v>Stoned Soul Picnic</v>
      </c>
      <c r="K906" s="4" t="str">
        <f ca="1">_xlfn.IFNA(VLOOKUP(INDIRECT("G"&amp;ROW()),minfo!$A:$M,COLUMN()-8,0),"")</f>
        <v>Fifth Dimension</v>
      </c>
      <c r="L906" s="4">
        <f ca="1">_xlfn.IFNA(VLOOKUP(INDIRECT("G"&amp;ROW()),minfo!$A:$M,COLUMN()-8,0),"")</f>
        <v>0</v>
      </c>
      <c r="M906" s="4">
        <f ca="1">_xlfn.IFNA(VLOOKUP(INDIRECT("G"&amp;ROW()),minfo!$A:$M,COLUMN()-8,0),"")</f>
        <v>0</v>
      </c>
      <c r="N906" s="4">
        <f ca="1">_xlfn.IFNA(VLOOKUP(INDIRECT("G"&amp;ROW()),minfo!$A:$M,COLUMN()-8,0),"")</f>
        <v>0</v>
      </c>
      <c r="O906" s="4" t="str">
        <f ca="1">_xlfn.IFNA(VLOOKUP(INDIRECT("G"&amp;ROW()),minfo!$A:$M,COLUMN()-8,0),"")</f>
        <v>https://i0.hdslb.com/bfs/station_src/music_metadata/246f00a8fb0a915c18d1a59d28da2060.jpg</v>
      </c>
      <c r="P906" s="4">
        <f ca="1">_xlfn.IFNA(VLOOKUP(INDIRECT("G"&amp;ROW()),minfo!$A:$M,COLUMN()-8,0),"")</f>
        <v>0</v>
      </c>
      <c r="Q906" s="4">
        <f ca="1">_xlfn.IFNA(VLOOKUP(INDIRECT("G"&amp;ROW()),minfo!$A:$M,COLUMN()-8,0),"")</f>
        <v>28</v>
      </c>
      <c r="R906" s="4">
        <f ca="1">_xlfn.IFNA(VLOOKUP(INDIRECT("G"&amp;ROW()),minfo!$A:$M,COLUMN()-8,0),"")</f>
        <v>0</v>
      </c>
      <c r="S906" s="4" t="str">
        <f ca="1">_xlfn.IFNA(VLOOKUP(INDIRECT("G"&amp;ROW()),minfo!$A:$M,COLUMN()-8,0),"")</f>
        <v>More Music to Watch Girls Go By</v>
      </c>
      <c r="T906" s="4">
        <f ca="1">_xlfn.IFNA(VLOOKUP(INDIRECT("G"&amp;ROW()),minfo!$A:$M,COLUMN()-8,0),"")</f>
        <v>7951320</v>
      </c>
      <c r="U906" s="4">
        <f ca="1">_xlfn.IFNA(VLOOKUP(INDIRECT("G"&amp;ROW()),minfo!$A:$M,COLUMN()-8,0),"")</f>
        <v>0</v>
      </c>
    </row>
    <row r="907" spans="1:21" ht="15.75" customHeight="1">
      <c r="A907" s="15">
        <v>906</v>
      </c>
      <c r="B907" s="4" t="s">
        <v>4499</v>
      </c>
      <c r="C907" s="4">
        <v>907</v>
      </c>
      <c r="D907" s="4">
        <v>121</v>
      </c>
      <c r="E907" s="4" t="s">
        <v>384</v>
      </c>
      <c r="F907" s="16">
        <v>44633</v>
      </c>
      <c r="G907" s="5" t="s">
        <v>383</v>
      </c>
      <c r="H907" s="5" t="s">
        <v>4375</v>
      </c>
      <c r="I907" s="24" t="str">
        <f>HYPERLINK("https://www.bilibili.com/video/BV1pY411t7Rb?p=121", "BV1pY411t7Rb?p=121")</f>
        <v>BV1pY411t7Rb?p=121</v>
      </c>
      <c r="J907" s="4" t="str">
        <f ca="1">_xlfn.IFNA(VLOOKUP(INDIRECT("G"&amp;ROW()),minfo!$A:$M,COLUMN()-8,0),"")</f>
        <v>恰好</v>
      </c>
      <c r="K907" s="4" t="str">
        <f ca="1">_xlfn.IFNA(VLOOKUP(INDIRECT("G"&amp;ROW()),minfo!$A:$M,COLUMN()-8,0),"")</f>
        <v>黄龄,李鑫一</v>
      </c>
      <c r="L907" s="4">
        <f ca="1">_xlfn.IFNA(VLOOKUP(INDIRECT("G"&amp;ROW()),minfo!$A:$M,COLUMN()-8,0),"")</f>
        <v>0</v>
      </c>
      <c r="M907" s="4">
        <f ca="1">_xlfn.IFNA(VLOOKUP(INDIRECT("G"&amp;ROW()),minfo!$A:$M,COLUMN()-8,0),"")</f>
        <v>0</v>
      </c>
      <c r="N907" s="4">
        <f ca="1">_xlfn.IFNA(VLOOKUP(INDIRECT("G"&amp;ROW()),minfo!$A:$M,COLUMN()-8,0),"")</f>
        <v>0</v>
      </c>
      <c r="O907" s="4" t="str">
        <f ca="1">_xlfn.IFNA(VLOOKUP(INDIRECT("G"&amp;ROW()),minfo!$A:$M,COLUMN()-8,0),"")</f>
        <v>https://i0.hdslb.com/bfs/station_src/music_metadata/4114b5dce4dc2e8fa6d696106a6624eb.jpg</v>
      </c>
      <c r="P907" s="4" t="str">
        <f ca="1">_xlfn.IFNA(VLOOKUP(INDIRECT("G"&amp;ROW()),minfo!$A:$M,COLUMN()-8,0),"")</f>
        <v>https://i0.hdslb.com/bfs/station_src/music_metadata/7105373054bbacbd0af01ee959bcd5e2.txt</v>
      </c>
      <c r="Q907" s="4">
        <f ca="1">_xlfn.IFNA(VLOOKUP(INDIRECT("G"&amp;ROW()),minfo!$A:$M,COLUMN()-8,0),"")</f>
        <v>0</v>
      </c>
      <c r="R907" s="4">
        <f ca="1">_xlfn.IFNA(VLOOKUP(INDIRECT("G"&amp;ROW()),minfo!$A:$M,COLUMN()-8,0),"")</f>
        <v>0</v>
      </c>
      <c r="S907" s="4" t="str">
        <f ca="1">_xlfn.IFNA(VLOOKUP(INDIRECT("G"&amp;ROW()),minfo!$A:$M,COLUMN()-8,0),"")</f>
        <v>天赐的声音第二季 第9期</v>
      </c>
      <c r="T907" s="4">
        <f ca="1">_xlfn.IFNA(VLOOKUP(INDIRECT("G"&amp;ROW()),minfo!$A:$M,COLUMN()-8,0),"")</f>
        <v>436159</v>
      </c>
      <c r="U907" s="4">
        <f ca="1">_xlfn.IFNA(VLOOKUP(INDIRECT("G"&amp;ROW()),minfo!$A:$M,COLUMN()-8,0),"")</f>
        <v>0</v>
      </c>
    </row>
    <row r="908" spans="1:21" ht="15.75" customHeight="1">
      <c r="A908" s="15">
        <v>907</v>
      </c>
      <c r="B908" s="4" t="s">
        <v>4500</v>
      </c>
      <c r="C908" s="4">
        <v>908</v>
      </c>
      <c r="D908" s="4">
        <v>122</v>
      </c>
      <c r="E908" s="4" t="s">
        <v>3551</v>
      </c>
      <c r="F908" s="16">
        <v>44634</v>
      </c>
      <c r="G908" s="5" t="s">
        <v>186</v>
      </c>
      <c r="H908" s="5" t="s">
        <v>4375</v>
      </c>
      <c r="I908" s="24" t="str">
        <f>HYPERLINK("https://www.bilibili.com/video/BV1pY411t7Rb?p=122", "BV1pY411t7Rb?p=122")</f>
        <v>BV1pY411t7Rb?p=122</v>
      </c>
      <c r="J908" s="4" t="str">
        <f ca="1">_xlfn.IFNA(VLOOKUP(INDIRECT("G"&amp;ROW()),minfo!$A:$M,COLUMN()-8,0),"")</f>
        <v>Rubia</v>
      </c>
      <c r="K908" s="4" t="str">
        <f ca="1">_xlfn.IFNA(VLOOKUP(INDIRECT("G"&amp;ROW()),minfo!$A:$M,COLUMN()-8,0),"")</f>
        <v>周深</v>
      </c>
      <c r="L908" s="4">
        <f ca="1">_xlfn.IFNA(VLOOKUP(INDIRECT("G"&amp;ROW()),minfo!$A:$M,COLUMN()-8,0),"")</f>
        <v>0</v>
      </c>
      <c r="M908" s="4">
        <f ca="1">_xlfn.IFNA(VLOOKUP(INDIRECT("G"&amp;ROW()),minfo!$A:$M,COLUMN()-8,0),"")</f>
        <v>516030</v>
      </c>
      <c r="N908" s="4">
        <f ca="1">_xlfn.IFNA(VLOOKUP(INDIRECT("G"&amp;ROW()),minfo!$A:$M,COLUMN()-8,0),"")</f>
        <v>96155</v>
      </c>
      <c r="O908" s="4" t="str">
        <f ca="1">_xlfn.IFNA(VLOOKUP(INDIRECT("G"&amp;ROW()),minfo!$A:$M,COLUMN()-8,0),"")</f>
        <v>https://i0.hdslb.com/bfs/station_src/music_metadata/58bc0047ef309717106ab37f9f0eaaef.jpg</v>
      </c>
      <c r="P908" s="4" t="str">
        <f ca="1">_xlfn.IFNA(VLOOKUP(INDIRECT("G"&amp;ROW()),minfo!$A:$M,COLUMN()-8,0),"")</f>
        <v>http://i0.hdslb.com/bfs/station_src/music_metadata/004573c098a52ded7995aead78b01386</v>
      </c>
      <c r="Q908" s="4">
        <f ca="1">_xlfn.IFNA(VLOOKUP(INDIRECT("G"&amp;ROW()),minfo!$A:$M,COLUMN()-8,0),"")</f>
        <v>4410</v>
      </c>
      <c r="R908" s="4">
        <f ca="1">_xlfn.IFNA(VLOOKUP(INDIRECT("G"&amp;ROW()),minfo!$A:$M,COLUMN()-8,0),"")</f>
        <v>0</v>
      </c>
      <c r="S908" s="4" t="str">
        <f ca="1">_xlfn.IFNA(VLOOKUP(INDIRECT("G"&amp;ROW()),minfo!$A:$M,COLUMN()-8,0),"")</f>
        <v>Rubia</v>
      </c>
      <c r="T908" s="4">
        <f ca="1">_xlfn.IFNA(VLOOKUP(INDIRECT("G"&amp;ROW()),minfo!$A:$M,COLUMN()-8,0),"")</f>
        <v>217211932</v>
      </c>
      <c r="U908" s="4">
        <f ca="1">_xlfn.IFNA(VLOOKUP(INDIRECT("G"&amp;ROW()),minfo!$A:$M,COLUMN()-8,0),"")</f>
        <v>0</v>
      </c>
    </row>
    <row r="909" spans="1:21" ht="15.75" customHeight="1">
      <c r="A909" s="15">
        <v>908</v>
      </c>
      <c r="B909" s="4" t="s">
        <v>4501</v>
      </c>
      <c r="C909" s="4">
        <v>909</v>
      </c>
      <c r="D909" s="4">
        <v>123</v>
      </c>
      <c r="E909" s="4" t="s">
        <v>81</v>
      </c>
      <c r="F909" s="16">
        <v>44634</v>
      </c>
      <c r="G909" s="5" t="s">
        <v>1690</v>
      </c>
      <c r="H909" s="5" t="s">
        <v>4375</v>
      </c>
      <c r="I909" s="24" t="str">
        <f>HYPERLINK("https://www.bilibili.com/video/BV1pY411t7Rb?p=123", "BV1pY411t7Rb?p=123")</f>
        <v>BV1pY411t7Rb?p=123</v>
      </c>
      <c r="J909" s="4" t="str">
        <f ca="1">_xlfn.IFNA(VLOOKUP(INDIRECT("G"&amp;ROW()),minfo!$A:$M,COLUMN()-8,0),"")</f>
        <v>从前的月光</v>
      </c>
      <c r="K909" s="4" t="str">
        <f ca="1">_xlfn.IFNA(VLOOKUP(INDIRECT("G"&amp;ROW()),minfo!$A:$M,COLUMN()-8,0),"")</f>
        <v>说说Crystal</v>
      </c>
      <c r="L909" s="4">
        <f ca="1">_xlfn.IFNA(VLOOKUP(INDIRECT("G"&amp;ROW()),minfo!$A:$M,COLUMN()-8,0),"")</f>
        <v>0</v>
      </c>
      <c r="M909" s="4">
        <f ca="1">_xlfn.IFNA(VLOOKUP(INDIRECT("G"&amp;ROW()),minfo!$A:$M,COLUMN()-8,0),"")</f>
        <v>0</v>
      </c>
      <c r="N909" s="4">
        <f ca="1">_xlfn.IFNA(VLOOKUP(INDIRECT("G"&amp;ROW()),minfo!$A:$M,COLUMN()-8,0),"")</f>
        <v>0</v>
      </c>
      <c r="O909" s="4" t="str">
        <f ca="1">_xlfn.IFNA(VLOOKUP(INDIRECT("G"&amp;ROW()),minfo!$A:$M,COLUMN()-8,0),"")</f>
        <v>https://i0.hdslb.com/bfs/station_src/music_metadata/d3381c4f9efa75a9a131a7c91b7a4a4a.jpg</v>
      </c>
      <c r="P909" s="4">
        <f ca="1">_xlfn.IFNA(VLOOKUP(INDIRECT("G"&amp;ROW()),minfo!$A:$M,COLUMN()-8,0),"")</f>
        <v>0</v>
      </c>
      <c r="Q909" s="4">
        <f ca="1">_xlfn.IFNA(VLOOKUP(INDIRECT("G"&amp;ROW()),minfo!$A:$M,COLUMN()-8,0),"")</f>
        <v>0</v>
      </c>
      <c r="R909" s="4">
        <f ca="1">_xlfn.IFNA(VLOOKUP(INDIRECT("G"&amp;ROW()),minfo!$A:$M,COLUMN()-8,0),"")</f>
        <v>0</v>
      </c>
      <c r="S909" s="4" t="str">
        <f ca="1">_xlfn.IFNA(VLOOKUP(INDIRECT("G"&amp;ROW()),minfo!$A:$M,COLUMN()-8,0),"")</f>
        <v>从前的月光</v>
      </c>
      <c r="T909" s="4">
        <f ca="1">_xlfn.IFNA(VLOOKUP(INDIRECT("G"&amp;ROW()),minfo!$A:$M,COLUMN()-8,0),"")</f>
        <v>152535</v>
      </c>
      <c r="U909" s="4">
        <f ca="1">_xlfn.IFNA(VLOOKUP(INDIRECT("G"&amp;ROW()),minfo!$A:$M,COLUMN()-8,0),"")</f>
        <v>0</v>
      </c>
    </row>
    <row r="910" spans="1:21" ht="15.75" customHeight="1">
      <c r="A910" s="15">
        <v>909</v>
      </c>
      <c r="B910" s="4" t="s">
        <v>4502</v>
      </c>
      <c r="C910" s="4">
        <v>910</v>
      </c>
      <c r="D910" s="4">
        <v>124</v>
      </c>
      <c r="E910" s="4" t="s">
        <v>192</v>
      </c>
      <c r="F910" s="16">
        <v>44634</v>
      </c>
      <c r="G910" s="5" t="s">
        <v>191</v>
      </c>
      <c r="H910" s="5" t="s">
        <v>4375</v>
      </c>
      <c r="I910" s="24" t="str">
        <f>HYPERLINK("https://www.bilibili.com/video/BV1pY411t7Rb?p=124", "BV1pY411t7Rb?p=124")</f>
        <v>BV1pY411t7Rb?p=124</v>
      </c>
      <c r="J910" s="4" t="str">
        <f ca="1">_xlfn.IFNA(VLOOKUP(INDIRECT("G"&amp;ROW()),minfo!$A:$M,COLUMN()-8,0),"")</f>
        <v>流年如歌</v>
      </c>
      <c r="K910" s="4" t="str">
        <f ca="1">_xlfn.IFNA(VLOOKUP(INDIRECT("G"&amp;ROW()),minfo!$A:$M,COLUMN()-8,0),"")</f>
        <v>苍穹</v>
      </c>
      <c r="L910" s="4">
        <f ca="1">_xlfn.IFNA(VLOOKUP(INDIRECT("G"&amp;ROW()),minfo!$A:$M,COLUMN()-8,0),"")</f>
        <v>0</v>
      </c>
      <c r="M910" s="4">
        <f ca="1">_xlfn.IFNA(VLOOKUP(INDIRECT("G"&amp;ROW()),minfo!$A:$M,COLUMN()-8,0),"")</f>
        <v>0</v>
      </c>
      <c r="N910" s="4">
        <f ca="1">_xlfn.IFNA(VLOOKUP(INDIRECT("G"&amp;ROW()),minfo!$A:$M,COLUMN()-8,0),"")</f>
        <v>0</v>
      </c>
      <c r="O910" s="4" t="str">
        <f ca="1">_xlfn.IFNA(VLOOKUP(INDIRECT("G"&amp;ROW()),minfo!$A:$M,COLUMN()-8,0),"")</f>
        <v>https://i0.hdslb.com/bfs/station_src/music_metadata/7d8de08a2fa9fed3e913a7cbedbd7359.jpg</v>
      </c>
      <c r="P910" s="4" t="str">
        <f ca="1">_xlfn.IFNA(VLOOKUP(INDIRECT("G"&amp;ROW()),minfo!$A:$M,COLUMN()-8,0),"")</f>
        <v>https://i0.hdslb.com/bfs/station_src/music_metadata/39fd2191a90a6dfc42574ff5b43baadb.txt</v>
      </c>
      <c r="Q910" s="4">
        <f ca="1">_xlfn.IFNA(VLOOKUP(INDIRECT("G"&amp;ROW()),minfo!$A:$M,COLUMN()-8,0),"")</f>
        <v>68</v>
      </c>
      <c r="R910" s="4">
        <f ca="1">_xlfn.IFNA(VLOOKUP(INDIRECT("G"&amp;ROW()),minfo!$A:$M,COLUMN()-8,0),"")</f>
        <v>0</v>
      </c>
      <c r="S910" s="4" t="str">
        <f ca="1">_xlfn.IFNA(VLOOKUP(INDIRECT("G"&amp;ROW()),minfo!$A:$M,COLUMN()-8,0),"")</f>
        <v>哔哩哔哩拜年纪金曲回顾</v>
      </c>
      <c r="T910" s="4">
        <f ca="1">_xlfn.IFNA(VLOOKUP(INDIRECT("G"&amp;ROW()),minfo!$A:$M,COLUMN()-8,0),"")</f>
        <v>14971574</v>
      </c>
      <c r="U910" s="4">
        <f ca="1">_xlfn.IFNA(VLOOKUP(INDIRECT("G"&amp;ROW()),minfo!$A:$M,COLUMN()-8,0),"")</f>
        <v>0</v>
      </c>
    </row>
    <row r="911" spans="1:21" ht="15.75" customHeight="1">
      <c r="A911" s="15">
        <v>910</v>
      </c>
      <c r="B911" s="4" t="s">
        <v>4503</v>
      </c>
      <c r="C911" s="4">
        <v>911</v>
      </c>
      <c r="D911" s="4">
        <v>125</v>
      </c>
      <c r="E911" s="4" t="s">
        <v>834</v>
      </c>
      <c r="F911" s="16">
        <v>44636</v>
      </c>
      <c r="G911" s="5" t="s">
        <v>833</v>
      </c>
      <c r="H911" s="5" t="s">
        <v>4375</v>
      </c>
      <c r="I911" s="24" t="str">
        <f>HYPERLINK("https://www.bilibili.com/video/BV1pY411t7Rb?p=125", "BV1pY411t7Rb?p=125")</f>
        <v>BV1pY411t7Rb?p=125</v>
      </c>
      <c r="J911" s="4" t="str">
        <f ca="1">_xlfn.IFNA(VLOOKUP(INDIRECT("G"&amp;ROW()),minfo!$A:$M,COLUMN()-8,0),"")</f>
        <v>锦鲤抄</v>
      </c>
      <c r="K911" s="4" t="str">
        <f ca="1">_xlfn.IFNA(VLOOKUP(INDIRECT("G"&amp;ROW()),minfo!$A:$M,COLUMN()-8,0),"")</f>
        <v>银临/云の泣</v>
      </c>
      <c r="L911" s="4">
        <f ca="1">_xlfn.IFNA(VLOOKUP(INDIRECT("G"&amp;ROW()),minfo!$A:$M,COLUMN()-8,0),"")</f>
        <v>0</v>
      </c>
      <c r="M911" s="4">
        <f ca="1">_xlfn.IFNA(VLOOKUP(INDIRECT("G"&amp;ROW()),minfo!$A:$M,COLUMN()-8,0),"")</f>
        <v>0</v>
      </c>
      <c r="N911" s="4">
        <f ca="1">_xlfn.IFNA(VLOOKUP(INDIRECT("G"&amp;ROW()),minfo!$A:$M,COLUMN()-8,0),"")</f>
        <v>0</v>
      </c>
      <c r="O911" s="4" t="str">
        <f ca="1">_xlfn.IFNA(VLOOKUP(INDIRECT("G"&amp;ROW()),minfo!$A:$M,COLUMN()-8,0),"")</f>
        <v>http://i0.hdslb.com/bfs/station_src/music_metadata/4afbefd3c04f63214361dc43c99c9986.jpg</v>
      </c>
      <c r="P911" s="4" t="str">
        <f ca="1">_xlfn.IFNA(VLOOKUP(INDIRECT("G"&amp;ROW()),minfo!$A:$M,COLUMN()-8,0),"")</f>
        <v>http://i0.hdslb.com/bfs/station_src/music_metadata/5a614dd394085de19715027062d2c8a2</v>
      </c>
      <c r="Q911" s="4">
        <f ca="1">_xlfn.IFNA(VLOOKUP(INDIRECT("G"&amp;ROW()),minfo!$A:$M,COLUMN()-8,0),"")</f>
        <v>766</v>
      </c>
      <c r="R911" s="4">
        <f ca="1">_xlfn.IFNA(VLOOKUP(INDIRECT("G"&amp;ROW()),minfo!$A:$M,COLUMN()-8,0),"")</f>
        <v>0</v>
      </c>
      <c r="S911" s="4" t="str">
        <f ca="1">_xlfn.IFNA(VLOOKUP(INDIRECT("G"&amp;ROW()),minfo!$A:$M,COLUMN()-8,0),"")</f>
        <v>锦鲤抄</v>
      </c>
      <c r="T911" s="4">
        <f ca="1">_xlfn.IFNA(VLOOKUP(INDIRECT("G"&amp;ROW()),minfo!$A:$M,COLUMN()-8,0),"")</f>
        <v>198812540</v>
      </c>
      <c r="U911" s="4">
        <f ca="1">_xlfn.IFNA(VLOOKUP(INDIRECT("G"&amp;ROW()),minfo!$A:$M,COLUMN()-8,0),"")</f>
        <v>0</v>
      </c>
    </row>
    <row r="912" spans="1:21" ht="15.75" customHeight="1">
      <c r="A912" s="15">
        <v>911</v>
      </c>
      <c r="B912" s="4" t="s">
        <v>4504</v>
      </c>
      <c r="C912" s="4">
        <v>912</v>
      </c>
      <c r="D912" s="4">
        <v>126</v>
      </c>
      <c r="E912" s="4" t="s">
        <v>1534</v>
      </c>
      <c r="F912" s="16">
        <v>44636</v>
      </c>
      <c r="G912" s="5" t="s">
        <v>1533</v>
      </c>
      <c r="H912" s="5" t="s">
        <v>4375</v>
      </c>
      <c r="I912" s="24" t="str">
        <f>HYPERLINK("https://www.bilibili.com/video/BV1pY411t7Rb?p=126", "BV1pY411t7Rb?p=126")</f>
        <v>BV1pY411t7Rb?p=126</v>
      </c>
      <c r="J912" s="4" t="str">
        <f ca="1">_xlfn.IFNA(VLOOKUP(INDIRECT("G"&amp;ROW()),minfo!$A:$M,COLUMN()-8,0),"")</f>
        <v>夏天的风</v>
      </c>
      <c r="K912" s="4" t="str">
        <f ca="1">_xlfn.IFNA(VLOOKUP(INDIRECT("G"&amp;ROW()),minfo!$A:$M,COLUMN()-8,0),"")</f>
        <v>温岚</v>
      </c>
      <c r="L912" s="4">
        <f ca="1">_xlfn.IFNA(VLOOKUP(INDIRECT("G"&amp;ROW()),minfo!$A:$M,COLUMN()-8,0),"")</f>
        <v>0</v>
      </c>
      <c r="M912" s="4">
        <f ca="1">_xlfn.IFNA(VLOOKUP(INDIRECT("G"&amp;ROW()),minfo!$A:$M,COLUMN()-8,0),"")</f>
        <v>0</v>
      </c>
      <c r="N912" s="4">
        <f ca="1">_xlfn.IFNA(VLOOKUP(INDIRECT("G"&amp;ROW()),minfo!$A:$M,COLUMN()-8,0),"")</f>
        <v>0</v>
      </c>
      <c r="O912" s="4" t="str">
        <f ca="1">_xlfn.IFNA(VLOOKUP(INDIRECT("G"&amp;ROW()),minfo!$A:$M,COLUMN()-8,0),"")</f>
        <v>http://i0.hdslb.com/bfs/station_src/music_metadata/299064b429626e564b820aa490025cf3.jpg</v>
      </c>
      <c r="P912" s="4" t="str">
        <f ca="1">_xlfn.IFNA(VLOOKUP(INDIRECT("G"&amp;ROW()),minfo!$A:$M,COLUMN()-8,0),"")</f>
        <v>http://i0.hdslb.com/bfs/station_src/music_metadata/1738086c832f4a90ef3a8c8e24d13a84</v>
      </c>
      <c r="Q912" s="4">
        <f ca="1">_xlfn.IFNA(VLOOKUP(INDIRECT("G"&amp;ROW()),minfo!$A:$M,COLUMN()-8,0),"")</f>
        <v>1370</v>
      </c>
      <c r="R912" s="4">
        <f ca="1">_xlfn.IFNA(VLOOKUP(INDIRECT("G"&amp;ROW()),minfo!$A:$M,COLUMN()-8,0),"")</f>
        <v>0</v>
      </c>
      <c r="S912" s="4" t="str">
        <f ca="1">_xlfn.IFNA(VLOOKUP(INDIRECT("G"&amp;ROW()),minfo!$A:$M,COLUMN()-8,0),"")</f>
        <v>温式效应</v>
      </c>
      <c r="T912" s="4">
        <f ca="1">_xlfn.IFNA(VLOOKUP(INDIRECT("G"&amp;ROW()),minfo!$A:$M,COLUMN()-8,0),"")</f>
        <v>529974853</v>
      </c>
      <c r="U912" s="4">
        <f ca="1">_xlfn.IFNA(VLOOKUP(INDIRECT("G"&amp;ROW()),minfo!$A:$M,COLUMN()-8,0),"")</f>
        <v>0</v>
      </c>
    </row>
    <row r="913" spans="1:21" ht="15.75" customHeight="1">
      <c r="A913" s="15">
        <v>912</v>
      </c>
      <c r="B913" s="4" t="s">
        <v>4505</v>
      </c>
      <c r="C913" s="4">
        <v>913</v>
      </c>
      <c r="D913" s="4">
        <v>127</v>
      </c>
      <c r="E913" s="4" t="s">
        <v>1576</v>
      </c>
      <c r="F913" s="16">
        <v>44638</v>
      </c>
      <c r="G913" s="5" t="s">
        <v>1575</v>
      </c>
      <c r="H913" s="5" t="s">
        <v>4375</v>
      </c>
      <c r="I913" s="24" t="str">
        <f>HYPERLINK("https://www.bilibili.com/video/BV1pY411t7Rb?p=127", "BV1pY411t7Rb?p=127")</f>
        <v>BV1pY411t7Rb?p=127</v>
      </c>
      <c r="J913" s="4" t="str">
        <f ca="1">_xlfn.IFNA(VLOOKUP(INDIRECT("G"&amp;ROW()),minfo!$A:$M,COLUMN()-8,0),"")</f>
        <v>但愿人长久</v>
      </c>
      <c r="K913" s="4" t="str">
        <f ca="1">_xlfn.IFNA(VLOOKUP(INDIRECT("G"&amp;ROW()),minfo!$A:$M,COLUMN()-8,0),"")</f>
        <v>邓丽君</v>
      </c>
      <c r="L913" s="4">
        <f ca="1">_xlfn.IFNA(VLOOKUP(INDIRECT("G"&amp;ROW()),minfo!$A:$M,COLUMN()-8,0),"")</f>
        <v>0</v>
      </c>
      <c r="M913" s="4">
        <f ca="1">_xlfn.IFNA(VLOOKUP(INDIRECT("G"&amp;ROW()),minfo!$A:$M,COLUMN()-8,0),"")</f>
        <v>0</v>
      </c>
      <c r="N913" s="4">
        <f ca="1">_xlfn.IFNA(VLOOKUP(INDIRECT("G"&amp;ROW()),minfo!$A:$M,COLUMN()-8,0),"")</f>
        <v>0</v>
      </c>
      <c r="O913" s="4" t="str">
        <f ca="1">_xlfn.IFNA(VLOOKUP(INDIRECT("G"&amp;ROW()),minfo!$A:$M,COLUMN()-8,0),"")</f>
        <v>https://i0.hdslb.com/bfs/station_src/music_metadata/7fb7940860e18a3fa0b05d6850c81206.jpg</v>
      </c>
      <c r="P913" s="4" t="str">
        <f ca="1">_xlfn.IFNA(VLOOKUP(INDIRECT("G"&amp;ROW()),minfo!$A:$M,COLUMN()-8,0),"")</f>
        <v>http://i0.hdslb.com/bfs/station_src/music_metadata/ee3c6651e88071b7a1db572cbc6ce075</v>
      </c>
      <c r="Q913" s="4">
        <f ca="1">_xlfn.IFNA(VLOOKUP(INDIRECT("G"&amp;ROW()),minfo!$A:$M,COLUMN()-8,0),"")</f>
        <v>372</v>
      </c>
      <c r="R913" s="4">
        <f ca="1">_xlfn.IFNA(VLOOKUP(INDIRECT("G"&amp;ROW()),minfo!$A:$M,COLUMN()-8,0),"")</f>
        <v>0</v>
      </c>
      <c r="S913" s="4" t="str">
        <f ca="1">_xlfn.IFNA(VLOOKUP(INDIRECT("G"&amp;ROW()),minfo!$A:$M,COLUMN()-8,0),"")</f>
        <v>夜上海 国语老歌 第九辑</v>
      </c>
      <c r="T913" s="4">
        <f ca="1">_xlfn.IFNA(VLOOKUP(INDIRECT("G"&amp;ROW()),minfo!$A:$M,COLUMN()-8,0),"")</f>
        <v>91130644</v>
      </c>
      <c r="U913" s="4">
        <f ca="1">_xlfn.IFNA(VLOOKUP(INDIRECT("G"&amp;ROW()),minfo!$A:$M,COLUMN()-8,0),"")</f>
        <v>0</v>
      </c>
    </row>
    <row r="914" spans="1:21" ht="15.75" customHeight="1">
      <c r="A914" s="15">
        <v>913</v>
      </c>
      <c r="B914" s="4" t="s">
        <v>4506</v>
      </c>
      <c r="C914" s="4">
        <v>914</v>
      </c>
      <c r="D914" s="4">
        <v>128</v>
      </c>
      <c r="E914" s="4" t="s">
        <v>1133</v>
      </c>
      <c r="F914" s="16">
        <v>44639</v>
      </c>
      <c r="G914" s="5" t="s">
        <v>1132</v>
      </c>
      <c r="H914" s="5" t="s">
        <v>4375</v>
      </c>
      <c r="I914" s="24" t="str">
        <f>HYPERLINK("https://www.bilibili.com/video/BV1pY411t7Rb?p=128", "BV1pY411t7Rb?p=128")</f>
        <v>BV1pY411t7Rb?p=128</v>
      </c>
      <c r="J914" s="4" t="str">
        <f ca="1">_xlfn.IFNA(VLOOKUP(INDIRECT("G"&amp;ROW()),minfo!$A:$M,COLUMN()-8,0),"")</f>
        <v>掉了</v>
      </c>
      <c r="K914" s="4" t="str">
        <f ca="1">_xlfn.IFNA(VLOOKUP(INDIRECT("G"&amp;ROW()),minfo!$A:$M,COLUMN()-8,0),"")</f>
        <v>张惠妹</v>
      </c>
      <c r="L914" s="4">
        <f ca="1">_xlfn.IFNA(VLOOKUP(INDIRECT("G"&amp;ROW()),minfo!$A:$M,COLUMN()-8,0),"")</f>
        <v>0</v>
      </c>
      <c r="M914" s="4">
        <f ca="1">_xlfn.IFNA(VLOOKUP(INDIRECT("G"&amp;ROW()),minfo!$A:$M,COLUMN()-8,0),"")</f>
        <v>0</v>
      </c>
      <c r="N914" s="4">
        <f ca="1">_xlfn.IFNA(VLOOKUP(INDIRECT("G"&amp;ROW()),minfo!$A:$M,COLUMN()-8,0),"")</f>
        <v>0</v>
      </c>
      <c r="O914" s="4" t="str">
        <f ca="1">_xlfn.IFNA(VLOOKUP(INDIRECT("G"&amp;ROW()),minfo!$A:$M,COLUMN()-8,0),"")</f>
        <v>http://i0.hdslb.com/bfs/station_src/music_metadata/3544c1f8bb970ffeab4712860380ac4d.jpg</v>
      </c>
      <c r="P914" s="4" t="str">
        <f ca="1">_xlfn.IFNA(VLOOKUP(INDIRECT("G"&amp;ROW()),minfo!$A:$M,COLUMN()-8,0),"")</f>
        <v>http://i0.hdslb.com/bfs/station_src/music_metadata/bf1138545e7607df7c3d903d052bfd73</v>
      </c>
      <c r="Q914" s="4">
        <f ca="1">_xlfn.IFNA(VLOOKUP(INDIRECT("G"&amp;ROW()),minfo!$A:$M,COLUMN()-8,0),"")</f>
        <v>50</v>
      </c>
      <c r="R914" s="4">
        <f ca="1">_xlfn.IFNA(VLOOKUP(INDIRECT("G"&amp;ROW()),minfo!$A:$M,COLUMN()-8,0),"")</f>
        <v>0</v>
      </c>
      <c r="S914" s="4" t="str">
        <f ca="1">_xlfn.IFNA(VLOOKUP(INDIRECT("G"&amp;ROW()),minfo!$A:$M,COLUMN()-8,0),"")</f>
        <v>阿密特意识专辑</v>
      </c>
      <c r="T914" s="4">
        <f ca="1">_xlfn.IFNA(VLOOKUP(INDIRECT("G"&amp;ROW()),minfo!$A:$M,COLUMN()-8,0),"")</f>
        <v>32238564</v>
      </c>
      <c r="U914" s="4" t="str">
        <f ca="1">_xlfn.IFNA(VLOOKUP(INDIRECT("G"&amp;ROW()),minfo!$A:$M,COLUMN()-8,0),"")</f>
        <v>音乐榜最高NO.15</v>
      </c>
    </row>
    <row r="915" spans="1:21" ht="15.75" customHeight="1">
      <c r="A915" s="15">
        <v>914</v>
      </c>
      <c r="B915" s="4" t="s">
        <v>4507</v>
      </c>
      <c r="C915" s="4">
        <v>915</v>
      </c>
      <c r="D915" s="4">
        <v>129</v>
      </c>
      <c r="E915" s="4" t="s">
        <v>2131</v>
      </c>
      <c r="F915" s="16">
        <v>44639</v>
      </c>
      <c r="G915" s="5" t="s">
        <v>2130</v>
      </c>
      <c r="H915" s="5" t="s">
        <v>4375</v>
      </c>
      <c r="I915" s="24" t="str">
        <f>HYPERLINK("https://www.bilibili.com/video/BV1pY411t7Rb?p=129", "BV1pY411t7Rb?p=129")</f>
        <v>BV1pY411t7Rb?p=129</v>
      </c>
      <c r="J915" s="4" t="str">
        <f ca="1">_xlfn.IFNA(VLOOKUP(INDIRECT("G"&amp;ROW()),minfo!$A:$M,COLUMN()-8,0),"")</f>
        <v>虫儿飞</v>
      </c>
      <c r="K915" s="4" t="str">
        <f ca="1">_xlfn.IFNA(VLOOKUP(INDIRECT("G"&amp;ROW()),minfo!$A:$M,COLUMN()-8,0),"")</f>
        <v>郑伊健</v>
      </c>
      <c r="L915" s="4">
        <f ca="1">_xlfn.IFNA(VLOOKUP(INDIRECT("G"&amp;ROW()),minfo!$A:$M,COLUMN()-8,0),"")</f>
        <v>0</v>
      </c>
      <c r="M915" s="4">
        <f ca="1">_xlfn.IFNA(VLOOKUP(INDIRECT("G"&amp;ROW()),minfo!$A:$M,COLUMN()-8,0),"")</f>
        <v>0</v>
      </c>
      <c r="N915" s="4">
        <f ca="1">_xlfn.IFNA(VLOOKUP(INDIRECT("G"&amp;ROW()),minfo!$A:$M,COLUMN()-8,0),"")</f>
        <v>0</v>
      </c>
      <c r="O915" s="4" t="str">
        <f ca="1">_xlfn.IFNA(VLOOKUP(INDIRECT("G"&amp;ROW()),minfo!$A:$M,COLUMN()-8,0),"")</f>
        <v>https://i0.hdslb.com/bfs/station_src/music_metadata/0eb231200bbd0f5b27d34f14e934273f.jpg</v>
      </c>
      <c r="P915" s="4" t="str">
        <f ca="1">_xlfn.IFNA(VLOOKUP(INDIRECT("G"&amp;ROW()),minfo!$A:$M,COLUMN()-8,0),"")</f>
        <v>http://i0.hdslb.com/bfs/station_src/music_metadata/df89a0b8e3382bb26395eafd13a35ea2</v>
      </c>
      <c r="Q915" s="4">
        <f ca="1">_xlfn.IFNA(VLOOKUP(INDIRECT("G"&amp;ROW()),minfo!$A:$M,COLUMN()-8,0),"")</f>
        <v>866</v>
      </c>
      <c r="R915" s="4">
        <f ca="1">_xlfn.IFNA(VLOOKUP(INDIRECT("G"&amp;ROW()),minfo!$A:$M,COLUMN()-8,0),"")</f>
        <v>0</v>
      </c>
      <c r="S915" s="4" t="str">
        <f ca="1">_xlfn.IFNA(VLOOKUP(INDIRECT("G"&amp;ROW()),minfo!$A:$M,COLUMN()-8,0),"")</f>
        <v>风云雄霸天下电影原声大碟</v>
      </c>
      <c r="T915" s="4">
        <f ca="1">_xlfn.IFNA(VLOOKUP(INDIRECT("G"&amp;ROW()),minfo!$A:$M,COLUMN()-8,0),"")</f>
        <v>124839208</v>
      </c>
      <c r="U915" s="4">
        <f ca="1">_xlfn.IFNA(VLOOKUP(INDIRECT("G"&amp;ROW()),minfo!$A:$M,COLUMN()-8,0),"")</f>
        <v>0</v>
      </c>
    </row>
    <row r="916" spans="1:21" ht="15.75" customHeight="1">
      <c r="A916" s="15">
        <v>915</v>
      </c>
      <c r="B916" s="4" t="s">
        <v>4508</v>
      </c>
      <c r="C916" s="4">
        <v>916</v>
      </c>
      <c r="D916" s="4">
        <v>130</v>
      </c>
      <c r="E916" s="4" t="s">
        <v>30</v>
      </c>
      <c r="F916" s="16">
        <v>44647</v>
      </c>
      <c r="G916" s="5" t="s">
        <v>29</v>
      </c>
      <c r="H916" s="5" t="s">
        <v>4375</v>
      </c>
      <c r="I916" s="24" t="str">
        <f>HYPERLINK("https://www.bilibili.com/video/BV1pY411t7Rb?p=130", "BV1pY411t7Rb?p=130")</f>
        <v>BV1pY411t7Rb?p=130</v>
      </c>
      <c r="J916" s="4" t="str">
        <f ca="1">_xlfn.IFNA(VLOOKUP(INDIRECT("G"&amp;ROW()),minfo!$A:$M,COLUMN()-8,0),"")</f>
        <v>下雨天</v>
      </c>
      <c r="K916" s="4" t="str">
        <f ca="1">_xlfn.IFNA(VLOOKUP(INDIRECT("G"&amp;ROW()),minfo!$A:$M,COLUMN()-8,0),"")</f>
        <v>南拳妈妈</v>
      </c>
      <c r="L916" s="4">
        <f ca="1">_xlfn.IFNA(VLOOKUP(INDIRECT("G"&amp;ROW()),minfo!$A:$M,COLUMN()-8,0),"")</f>
        <v>0</v>
      </c>
      <c r="M916" s="4">
        <f ca="1">_xlfn.IFNA(VLOOKUP(INDIRECT("G"&amp;ROW()),minfo!$A:$M,COLUMN()-8,0),"")</f>
        <v>0</v>
      </c>
      <c r="N916" s="4">
        <f ca="1">_xlfn.IFNA(VLOOKUP(INDIRECT("G"&amp;ROW()),minfo!$A:$M,COLUMN()-8,0),"")</f>
        <v>0</v>
      </c>
      <c r="O916" s="4" t="str">
        <f ca="1">_xlfn.IFNA(VLOOKUP(INDIRECT("G"&amp;ROW()),minfo!$A:$M,COLUMN()-8,0),"")</f>
        <v>http://i0.hdslb.com/bfs/station_src/music_metadata/11894af49c3a6335acdcff5503de93ca.jpg</v>
      </c>
      <c r="P916" s="4" t="str">
        <f ca="1">_xlfn.IFNA(VLOOKUP(INDIRECT("G"&amp;ROW()),minfo!$A:$M,COLUMN()-8,0),"")</f>
        <v>http://i0.hdslb.com/bfs/station_src/music_metadata/7562376c6e398641a1432bf3281bc565</v>
      </c>
      <c r="Q916" s="4">
        <f ca="1">_xlfn.IFNA(VLOOKUP(INDIRECT("G"&amp;ROW()),minfo!$A:$M,COLUMN()-8,0),"")</f>
        <v>1858</v>
      </c>
      <c r="R916" s="4">
        <f ca="1">_xlfn.IFNA(VLOOKUP(INDIRECT("G"&amp;ROW()),minfo!$A:$M,COLUMN()-8,0),"")</f>
        <v>0</v>
      </c>
      <c r="S916" s="4" t="str">
        <f ca="1">_xlfn.IFNA(VLOOKUP(INDIRECT("G"&amp;ROW()),minfo!$A:$M,COLUMN()-8,0),"")</f>
        <v>优の良曲 南搞小孩</v>
      </c>
      <c r="T916" s="4">
        <f ca="1">_xlfn.IFNA(VLOOKUP(INDIRECT("G"&amp;ROW()),minfo!$A:$M,COLUMN()-8,0),"")</f>
        <v>282780877</v>
      </c>
      <c r="U916" s="4" t="str">
        <f ca="1">_xlfn.IFNA(VLOOKUP(INDIRECT("G"&amp;ROW()),minfo!$A:$M,COLUMN()-8,0),"")</f>
        <v>音乐榜最高NO.14</v>
      </c>
    </row>
    <row r="917" spans="1:21" ht="15.75" customHeight="1">
      <c r="A917" s="15">
        <v>916</v>
      </c>
      <c r="B917" s="4" t="s">
        <v>4509</v>
      </c>
      <c r="C917" s="4">
        <v>917</v>
      </c>
      <c r="D917" s="4">
        <v>131</v>
      </c>
      <c r="E917" s="4" t="s">
        <v>93</v>
      </c>
      <c r="F917" s="16">
        <v>44647</v>
      </c>
      <c r="G917" s="5" t="s">
        <v>273</v>
      </c>
      <c r="H917" s="5" t="s">
        <v>4375</v>
      </c>
      <c r="I917" s="24" t="str">
        <f>HYPERLINK("https://www.bilibili.com/video/BV1pY411t7Rb?p=131", "BV1pY411t7Rb?p=131")</f>
        <v>BV1pY411t7Rb?p=131</v>
      </c>
      <c r="J917" s="4" t="str">
        <f ca="1">_xlfn.IFNA(VLOOKUP(INDIRECT("G"&amp;ROW()),minfo!$A:$M,COLUMN()-8,0),"")</f>
        <v>罗敷</v>
      </c>
      <c r="K917" s="4" t="str">
        <f ca="1">_xlfn.IFNA(VLOOKUP(INDIRECT("G"&amp;ROW()),minfo!$A:$M,COLUMN()-8,0),"")</f>
        <v>说说Crystal</v>
      </c>
      <c r="L917" s="4">
        <f ca="1">_xlfn.IFNA(VLOOKUP(INDIRECT("G"&amp;ROW()),minfo!$A:$M,COLUMN()-8,0),"")</f>
        <v>0</v>
      </c>
      <c r="M917" s="4">
        <f ca="1">_xlfn.IFNA(VLOOKUP(INDIRECT("G"&amp;ROW()),minfo!$A:$M,COLUMN()-8,0),"")</f>
        <v>0</v>
      </c>
      <c r="N917" s="4">
        <f ca="1">_xlfn.IFNA(VLOOKUP(INDIRECT("G"&amp;ROW()),minfo!$A:$M,COLUMN()-8,0),"")</f>
        <v>0</v>
      </c>
      <c r="O917" s="4" t="str">
        <f ca="1">_xlfn.IFNA(VLOOKUP(INDIRECT("G"&amp;ROW()),minfo!$A:$M,COLUMN()-8,0),"")</f>
        <v>https://i0.hdslb.com/bfs/station_src/music_metadata/1b7b9e3e2c4c793577a84986cdadb2cc.jpg</v>
      </c>
      <c r="P917" s="4">
        <f ca="1">_xlfn.IFNA(VLOOKUP(INDIRECT("G"&amp;ROW()),minfo!$A:$M,COLUMN()-8,0),"")</f>
        <v>0</v>
      </c>
      <c r="Q917" s="4">
        <f ca="1">_xlfn.IFNA(VLOOKUP(INDIRECT("G"&amp;ROW()),minfo!$A:$M,COLUMN()-8,0),"")</f>
        <v>0</v>
      </c>
      <c r="R917" s="4">
        <f ca="1">_xlfn.IFNA(VLOOKUP(INDIRECT("G"&amp;ROW()),minfo!$A:$M,COLUMN()-8,0),"")</f>
        <v>0</v>
      </c>
      <c r="S917" s="4" t="str">
        <f ca="1">_xlfn.IFNA(VLOOKUP(INDIRECT("G"&amp;ROW()),minfo!$A:$M,COLUMN()-8,0),"")</f>
        <v>【说说·原创】这一曲只倾心于你 |《罗敷》</v>
      </c>
      <c r="T917" s="4">
        <f ca="1">_xlfn.IFNA(VLOOKUP(INDIRECT("G"&amp;ROW()),minfo!$A:$M,COLUMN()-8,0),"")</f>
        <v>323164</v>
      </c>
      <c r="U917" s="4">
        <f ca="1">_xlfn.IFNA(VLOOKUP(INDIRECT("G"&amp;ROW()),minfo!$A:$M,COLUMN()-8,0),"")</f>
        <v>0</v>
      </c>
    </row>
    <row r="918" spans="1:21" ht="15.75" customHeight="1">
      <c r="A918" s="15">
        <v>917</v>
      </c>
      <c r="B918" s="4" t="s">
        <v>4510</v>
      </c>
      <c r="C918" s="4">
        <v>918</v>
      </c>
      <c r="D918" s="4">
        <v>132</v>
      </c>
      <c r="E918" s="4" t="s">
        <v>2137</v>
      </c>
      <c r="F918" s="16">
        <v>44647</v>
      </c>
      <c r="G918" s="5" t="s">
        <v>2136</v>
      </c>
      <c r="H918" s="5" t="s">
        <v>4375</v>
      </c>
      <c r="I918" s="24" t="str">
        <f>HYPERLINK("https://www.bilibili.com/video/BV1pY411t7Rb?p=132", "BV1pY411t7Rb?p=132")</f>
        <v>BV1pY411t7Rb?p=132</v>
      </c>
      <c r="J918" s="4" t="str">
        <f ca="1">_xlfn.IFNA(VLOOKUP(INDIRECT("G"&amp;ROW()),minfo!$A:$M,COLUMN()-8,0),"")</f>
        <v>寂寞的恋人啊</v>
      </c>
      <c r="K918" s="4" t="str">
        <f ca="1">_xlfn.IFNA(VLOOKUP(INDIRECT("G"&amp;ROW()),minfo!$A:$M,COLUMN()-8,0),"")</f>
        <v>莫文蔚</v>
      </c>
      <c r="L918" s="4">
        <f ca="1">_xlfn.IFNA(VLOOKUP(INDIRECT("G"&amp;ROW()),minfo!$A:$M,COLUMN()-8,0),"")</f>
        <v>0</v>
      </c>
      <c r="M918" s="4">
        <f ca="1">_xlfn.IFNA(VLOOKUP(INDIRECT("G"&amp;ROW()),minfo!$A:$M,COLUMN()-8,0),"")</f>
        <v>233</v>
      </c>
      <c r="N918" s="4">
        <f ca="1">_xlfn.IFNA(VLOOKUP(INDIRECT("G"&amp;ROW()),minfo!$A:$M,COLUMN()-8,0),"")</f>
        <v>120</v>
      </c>
      <c r="O918" s="4" t="str">
        <f ca="1">_xlfn.IFNA(VLOOKUP(INDIRECT("G"&amp;ROW()),minfo!$A:$M,COLUMN()-8,0),"")</f>
        <v>http://i0.hdslb.com/bfs/station_src/music_metadata/09f685708992f6d78aba50b38af20677.jpg</v>
      </c>
      <c r="P918" s="4">
        <f ca="1">_xlfn.IFNA(VLOOKUP(INDIRECT("G"&amp;ROW()),minfo!$A:$M,COLUMN()-8,0),"")</f>
        <v>0</v>
      </c>
      <c r="Q918" s="4">
        <f ca="1">_xlfn.IFNA(VLOOKUP(INDIRECT("G"&amp;ROW()),minfo!$A:$M,COLUMN()-8,0),"")</f>
        <v>2</v>
      </c>
      <c r="R918" s="4">
        <f ca="1">_xlfn.IFNA(VLOOKUP(INDIRECT("G"&amp;ROW()),minfo!$A:$M,COLUMN()-8,0),"")</f>
        <v>0</v>
      </c>
      <c r="S918" s="4" t="str">
        <f ca="1">_xlfn.IFNA(VLOOKUP(INDIRECT("G"&amp;ROW()),minfo!$A:$M,COLUMN()-8,0),"")</f>
        <v xml:space="preserve"> 十二楼的莫文蔚</v>
      </c>
      <c r="T918" s="4">
        <f ca="1">_xlfn.IFNA(VLOOKUP(INDIRECT("G"&amp;ROW()),minfo!$A:$M,COLUMN()-8,0),"")</f>
        <v>8256998</v>
      </c>
      <c r="U918" s="4">
        <f ca="1">_xlfn.IFNA(VLOOKUP(INDIRECT("G"&amp;ROW()),minfo!$A:$M,COLUMN()-8,0),"")</f>
        <v>0</v>
      </c>
    </row>
    <row r="919" spans="1:21" ht="15.75" customHeight="1">
      <c r="A919" s="15">
        <v>918</v>
      </c>
      <c r="B919" s="4" t="s">
        <v>4511</v>
      </c>
      <c r="C919" s="4">
        <v>919</v>
      </c>
      <c r="D919" s="4">
        <v>133</v>
      </c>
      <c r="E919" s="4" t="s">
        <v>4512</v>
      </c>
      <c r="F919" s="16">
        <v>44647</v>
      </c>
      <c r="G919" s="5" t="s">
        <v>2140</v>
      </c>
      <c r="H919" s="5" t="s">
        <v>4375</v>
      </c>
      <c r="I919" s="24" t="str">
        <f>HYPERLINK("https://www.bilibili.com/video/BV1pY411t7Rb?p=133", "BV1pY411t7Rb?p=133")</f>
        <v>BV1pY411t7Rb?p=133</v>
      </c>
      <c r="J919" s="4" t="str">
        <f ca="1">_xlfn.IFNA(VLOOKUP(INDIRECT("G"&amp;ROW()),minfo!$A:$M,COLUMN()-8,0),"")</f>
        <v>Mojito</v>
      </c>
      <c r="K919" s="4" t="str">
        <f ca="1">_xlfn.IFNA(VLOOKUP(INDIRECT("G"&amp;ROW()),minfo!$A:$M,COLUMN()-8,0),"")</f>
        <v>周杰伦</v>
      </c>
      <c r="L919" s="4">
        <f ca="1">_xlfn.IFNA(VLOOKUP(INDIRECT("G"&amp;ROW()),minfo!$A:$M,COLUMN()-8,0),"")</f>
        <v>0</v>
      </c>
      <c r="M919" s="4">
        <f ca="1">_xlfn.IFNA(VLOOKUP(INDIRECT("G"&amp;ROW()),minfo!$A:$M,COLUMN()-8,0),"")</f>
        <v>1116715</v>
      </c>
      <c r="N919" s="4">
        <f ca="1">_xlfn.IFNA(VLOOKUP(INDIRECT("G"&amp;ROW()),minfo!$A:$M,COLUMN()-8,0),"")</f>
        <v>297452</v>
      </c>
      <c r="O919" s="4" t="str">
        <f ca="1">_xlfn.IFNA(VLOOKUP(INDIRECT("G"&amp;ROW()),minfo!$A:$M,COLUMN()-8,0),"")</f>
        <v>http://i0.hdslb.com/bfs/station_src/music_metadata/aafeb918e08f299cce55518ddee07f79.jpg</v>
      </c>
      <c r="P919" s="4" t="str">
        <f ca="1">_xlfn.IFNA(VLOOKUP(INDIRECT("G"&amp;ROW()),minfo!$A:$M,COLUMN()-8,0),"")</f>
        <v>http://i0.hdslb.com/bfs/station_src/music_metadata/e8bf7b8b05c009d044ec97c39b1f447e</v>
      </c>
      <c r="Q919" s="4">
        <f ca="1">_xlfn.IFNA(VLOOKUP(INDIRECT("G"&amp;ROW()),minfo!$A:$M,COLUMN()-8,0),"")</f>
        <v>384</v>
      </c>
      <c r="R919" s="4">
        <f ca="1">_xlfn.IFNA(VLOOKUP(INDIRECT("G"&amp;ROW()),minfo!$A:$M,COLUMN()-8,0),"")</f>
        <v>0</v>
      </c>
      <c r="S919" s="4" t="str">
        <f ca="1">_xlfn.IFNA(VLOOKUP(INDIRECT("G"&amp;ROW()),minfo!$A:$M,COLUMN()-8,0),"")</f>
        <v xml:space="preserve"> Mojito</v>
      </c>
      <c r="T919" s="4">
        <f ca="1">_xlfn.IFNA(VLOOKUP(INDIRECT("G"&amp;ROW()),minfo!$A:$M,COLUMN()-8,0),"")</f>
        <v>309787938</v>
      </c>
      <c r="U919" s="4" t="str">
        <f ca="1">_xlfn.IFNA(VLOOKUP(INDIRECT("G"&amp;ROW()),minfo!$A:$M,COLUMN()-8,0),"")</f>
        <v>音乐榜最高NO.16</v>
      </c>
    </row>
    <row r="920" spans="1:21" ht="15.75" customHeight="1">
      <c r="A920" s="15">
        <v>919</v>
      </c>
      <c r="B920" s="4" t="s">
        <v>4513</v>
      </c>
      <c r="C920" s="4">
        <v>920</v>
      </c>
      <c r="D920" s="4">
        <v>134</v>
      </c>
      <c r="E920" s="4" t="s">
        <v>2062</v>
      </c>
      <c r="F920" s="16">
        <v>44647</v>
      </c>
      <c r="G920" s="5" t="s">
        <v>2061</v>
      </c>
      <c r="H920" s="5" t="s">
        <v>4375</v>
      </c>
      <c r="I920" s="24" t="str">
        <f>HYPERLINK("https://www.bilibili.com/video/BV1pY411t7Rb?p=134", "BV1pY411t7Rb?p=134")</f>
        <v>BV1pY411t7Rb?p=134</v>
      </c>
      <c r="J920" s="4" t="str">
        <f ca="1">_xlfn.IFNA(VLOOKUP(INDIRECT("G"&amp;ROW()),minfo!$A:$M,COLUMN()-8,0),"")</f>
        <v>横竖撇点折</v>
      </c>
      <c r="K920" s="4" t="str">
        <f ca="1">_xlfn.IFNA(VLOOKUP(INDIRECT("G"&amp;ROW()),minfo!$A:$M,COLUMN()-8,0),"")</f>
        <v>米白</v>
      </c>
      <c r="L920" s="4">
        <f ca="1">_xlfn.IFNA(VLOOKUP(INDIRECT("G"&amp;ROW()),minfo!$A:$M,COLUMN()-8,0),"")</f>
        <v>0</v>
      </c>
      <c r="M920" s="4">
        <f ca="1">_xlfn.IFNA(VLOOKUP(INDIRECT("G"&amp;ROW()),minfo!$A:$M,COLUMN()-8,0),"")</f>
        <v>0</v>
      </c>
      <c r="N920" s="4">
        <f ca="1">_xlfn.IFNA(VLOOKUP(INDIRECT("G"&amp;ROW()),minfo!$A:$M,COLUMN()-8,0),"")</f>
        <v>0</v>
      </c>
      <c r="O920" s="4" t="str">
        <f ca="1">_xlfn.IFNA(VLOOKUP(INDIRECT("G"&amp;ROW()),minfo!$A:$M,COLUMN()-8,0),"")</f>
        <v>https://i0.hdslb.com/bfs/station_src/music_metadata/aab20dc2daaec54a6e3da538b4098ad2.jpg</v>
      </c>
      <c r="P920" s="4" t="str">
        <f ca="1">_xlfn.IFNA(VLOOKUP(INDIRECT("G"&amp;ROW()),minfo!$A:$M,COLUMN()-8,0),"")</f>
        <v>https://i0.hdslb.com/bfs/station_src/music_metadata/40291633453a88ef8fe0ffb636af6a26.txt</v>
      </c>
      <c r="Q920" s="4">
        <f ca="1">_xlfn.IFNA(VLOOKUP(INDIRECT("G"&amp;ROW()),minfo!$A:$M,COLUMN()-8,0),"")</f>
        <v>496</v>
      </c>
      <c r="R920" s="4">
        <f ca="1">_xlfn.IFNA(VLOOKUP(INDIRECT("G"&amp;ROW()),minfo!$A:$M,COLUMN()-8,0),"")</f>
        <v>0</v>
      </c>
      <c r="S920" s="4" t="str">
        <f ca="1">_xlfn.IFNA(VLOOKUP(INDIRECT("G"&amp;ROW()),minfo!$A:$M,COLUMN()-8,0),"")</f>
        <v>哔哩哔哩拜年纪金曲回顾</v>
      </c>
      <c r="T920" s="4">
        <f ca="1">_xlfn.IFNA(VLOOKUP(INDIRECT("G"&amp;ROW()),minfo!$A:$M,COLUMN()-8,0),"")</f>
        <v>51986972</v>
      </c>
      <c r="U920" s="4">
        <f ca="1">_xlfn.IFNA(VLOOKUP(INDIRECT("G"&amp;ROW()),minfo!$A:$M,COLUMN()-8,0),"")</f>
        <v>0</v>
      </c>
    </row>
    <row r="921" spans="1:21" ht="15.75" customHeight="1">
      <c r="A921" s="15">
        <v>920</v>
      </c>
      <c r="B921" s="4" t="s">
        <v>4514</v>
      </c>
      <c r="C921" s="4">
        <v>921</v>
      </c>
      <c r="D921" s="4">
        <v>135</v>
      </c>
      <c r="E921" s="4" t="s">
        <v>4515</v>
      </c>
      <c r="F921" s="16">
        <v>44647</v>
      </c>
      <c r="G921" s="5" t="s">
        <v>2145</v>
      </c>
      <c r="H921" s="5" t="s">
        <v>4375</v>
      </c>
      <c r="I921" s="24" t="str">
        <f>HYPERLINK("https://www.bilibili.com/video/BV1pY411t7Rb?p=135", "BV1pY411t7Rb?p=135")</f>
        <v>BV1pY411t7Rb?p=135</v>
      </c>
      <c r="J921" s="4" t="str">
        <f ca="1">_xlfn.IFNA(VLOOKUP(INDIRECT("G"&amp;ROW()),minfo!$A:$M,COLUMN()-8,0),"")</f>
        <v>踏雪</v>
      </c>
      <c r="K921" s="4" t="str">
        <f ca="1">_xlfn.IFNA(VLOOKUP(INDIRECT("G"&amp;ROW()),minfo!$A:$M,COLUMN()-8,0),"")</f>
        <v>等什么君(邓寓君),FOX胡天渝</v>
      </c>
      <c r="L921" s="4">
        <f ca="1">_xlfn.IFNA(VLOOKUP(INDIRECT("G"&amp;ROW()),minfo!$A:$M,COLUMN()-8,0),"")</f>
        <v>0</v>
      </c>
      <c r="M921" s="4">
        <f ca="1">_xlfn.IFNA(VLOOKUP(INDIRECT("G"&amp;ROW()),minfo!$A:$M,COLUMN()-8,0),"")</f>
        <v>0</v>
      </c>
      <c r="N921" s="4">
        <f ca="1">_xlfn.IFNA(VLOOKUP(INDIRECT("G"&amp;ROW()),minfo!$A:$M,COLUMN()-8,0),"")</f>
        <v>0</v>
      </c>
      <c r="O921" s="4" t="str">
        <f ca="1">_xlfn.IFNA(VLOOKUP(INDIRECT("G"&amp;ROW()),minfo!$A:$M,COLUMN()-8,0),"")</f>
        <v>https://i0.hdslb.com/bfs/station_src/music_metadata/27d024ed8e6a20d0eca0754f5fbc6493.jpg</v>
      </c>
      <c r="P921" s="4" t="str">
        <f ca="1">_xlfn.IFNA(VLOOKUP(INDIRECT("G"&amp;ROW()),minfo!$A:$M,COLUMN()-8,0),"")</f>
        <v>http://i0.hdslb.com/bfs/station_src/music_metadata/a1625e1947f11afcb7de5501c027ce49</v>
      </c>
      <c r="Q921" s="4">
        <f ca="1">_xlfn.IFNA(VLOOKUP(INDIRECT("G"&amp;ROW()),minfo!$A:$M,COLUMN()-8,0),"")</f>
        <v>7910</v>
      </c>
      <c r="R921" s="4">
        <f ca="1">_xlfn.IFNA(VLOOKUP(INDIRECT("G"&amp;ROW()),minfo!$A:$M,COLUMN()-8,0),"")</f>
        <v>0</v>
      </c>
      <c r="S921" s="4" t="str">
        <f ca="1">_xlfn.IFNA(VLOOKUP(INDIRECT("G"&amp;ROW()),minfo!$A:$M,COLUMN()-8,0),"")</f>
        <v>予·君</v>
      </c>
      <c r="T921" s="4">
        <f ca="1">_xlfn.IFNA(VLOOKUP(INDIRECT("G"&amp;ROW()),minfo!$A:$M,COLUMN()-8,0),"")</f>
        <v>339448567</v>
      </c>
      <c r="U921" s="4" t="str">
        <f ca="1">_xlfn.IFNA(VLOOKUP(INDIRECT("G"&amp;ROW()),minfo!$A:$M,COLUMN()-8,0),"")</f>
        <v>音乐榜最高NO.11</v>
      </c>
    </row>
    <row r="922" spans="1:21" ht="15.75" customHeight="1">
      <c r="A922" s="15">
        <v>921</v>
      </c>
      <c r="B922" s="4" t="s">
        <v>4516</v>
      </c>
      <c r="C922" s="4">
        <v>922</v>
      </c>
      <c r="D922" s="4">
        <v>136</v>
      </c>
      <c r="E922" s="4" t="s">
        <v>2152</v>
      </c>
      <c r="F922" s="16">
        <v>44648</v>
      </c>
      <c r="G922" s="5" t="s">
        <v>2151</v>
      </c>
      <c r="H922" s="5" t="s">
        <v>4375</v>
      </c>
      <c r="I922" s="24" t="str">
        <f>HYPERLINK("https://www.bilibili.com/video/BV1pY411t7Rb?p=136", "BV1pY411t7Rb?p=136")</f>
        <v>BV1pY411t7Rb?p=136</v>
      </c>
      <c r="J922" s="4" t="str">
        <f ca="1">_xlfn.IFNA(VLOOKUP(INDIRECT("G"&amp;ROW()),minfo!$A:$M,COLUMN()-8,0),"")</f>
        <v>High歌</v>
      </c>
      <c r="K922" s="4" t="str">
        <f ca="1">_xlfn.IFNA(VLOOKUP(INDIRECT("G"&amp;ROW()),minfo!$A:$M,COLUMN()-8,0),"")</f>
        <v>黄龄</v>
      </c>
      <c r="L922" s="4">
        <f ca="1">_xlfn.IFNA(VLOOKUP(INDIRECT("G"&amp;ROW()),minfo!$A:$M,COLUMN()-8,0),"")</f>
        <v>0</v>
      </c>
      <c r="M922" s="4">
        <f ca="1">_xlfn.IFNA(VLOOKUP(INDIRECT("G"&amp;ROW()),minfo!$A:$M,COLUMN()-8,0),"")</f>
        <v>0</v>
      </c>
      <c r="N922" s="4">
        <f ca="1">_xlfn.IFNA(VLOOKUP(INDIRECT("G"&amp;ROW()),minfo!$A:$M,COLUMN()-8,0),"")</f>
        <v>0</v>
      </c>
      <c r="O922" s="4" t="str">
        <f ca="1">_xlfn.IFNA(VLOOKUP(INDIRECT("G"&amp;ROW()),minfo!$A:$M,COLUMN()-8,0),"")</f>
        <v>https://i0.hdslb.com/bfs/station_src/music_metadata/f1b14ef08dfbba55c16f4d2b53cbda3c.jpg</v>
      </c>
      <c r="P922" s="4">
        <f ca="1">_xlfn.IFNA(VLOOKUP(INDIRECT("G"&amp;ROW()),minfo!$A:$M,COLUMN()-8,0),"")</f>
        <v>0</v>
      </c>
      <c r="Q922" s="4">
        <f ca="1">_xlfn.IFNA(VLOOKUP(INDIRECT("G"&amp;ROW()),minfo!$A:$M,COLUMN()-8,0),"")</f>
        <v>48</v>
      </c>
      <c r="R922" s="4">
        <f ca="1">_xlfn.IFNA(VLOOKUP(INDIRECT("G"&amp;ROW()),minfo!$A:$M,COLUMN()-8,0),"")</f>
        <v>0</v>
      </c>
      <c r="S922" s="4" t="str">
        <f ca="1">_xlfn.IFNA(VLOOKUP(INDIRECT("G"&amp;ROW()),minfo!$A:$M,COLUMN()-8,0),"")</f>
        <v>痒</v>
      </c>
      <c r="T922" s="4">
        <f ca="1">_xlfn.IFNA(VLOOKUP(INDIRECT("G"&amp;ROW()),minfo!$A:$M,COLUMN()-8,0),"")</f>
        <v>35231169</v>
      </c>
      <c r="U922" s="4">
        <f ca="1">_xlfn.IFNA(VLOOKUP(INDIRECT("G"&amp;ROW()),minfo!$A:$M,COLUMN()-8,0),"")</f>
        <v>0</v>
      </c>
    </row>
    <row r="923" spans="1:21" ht="15.75" customHeight="1">
      <c r="A923" s="15">
        <v>922</v>
      </c>
      <c r="B923" s="4" t="s">
        <v>4517</v>
      </c>
      <c r="C923" s="4">
        <v>923</v>
      </c>
      <c r="D923" s="4">
        <v>137</v>
      </c>
      <c r="E923" s="4" t="s">
        <v>638</v>
      </c>
      <c r="F923" s="16">
        <v>44648</v>
      </c>
      <c r="G923" s="5" t="s">
        <v>637</v>
      </c>
      <c r="H923" s="5" t="s">
        <v>4375</v>
      </c>
      <c r="I923" s="24" t="str">
        <f>HYPERLINK("https://www.bilibili.com/video/BV1pY411t7Rb?p=137", "BV1pY411t7Rb?p=137")</f>
        <v>BV1pY411t7Rb?p=137</v>
      </c>
      <c r="J923" s="4" t="str">
        <f ca="1">_xlfn.IFNA(VLOOKUP(INDIRECT("G"&amp;ROW()),minfo!$A:$M,COLUMN()-8,0),"")</f>
        <v>搁浅</v>
      </c>
      <c r="K923" s="4" t="str">
        <f ca="1">_xlfn.IFNA(VLOOKUP(INDIRECT("G"&amp;ROW()),minfo!$A:$M,COLUMN()-8,0),"")</f>
        <v>周杰伦</v>
      </c>
      <c r="L923" s="4">
        <f ca="1">_xlfn.IFNA(VLOOKUP(INDIRECT("G"&amp;ROW()),minfo!$A:$M,COLUMN()-8,0),"")</f>
        <v>0</v>
      </c>
      <c r="M923" s="4">
        <f ca="1">_xlfn.IFNA(VLOOKUP(INDIRECT("G"&amp;ROW()),minfo!$A:$M,COLUMN()-8,0),"")</f>
        <v>0</v>
      </c>
      <c r="N923" s="4">
        <f ca="1">_xlfn.IFNA(VLOOKUP(INDIRECT("G"&amp;ROW()),minfo!$A:$M,COLUMN()-8,0),"")</f>
        <v>0</v>
      </c>
      <c r="O923" s="4" t="str">
        <f ca="1">_xlfn.IFNA(VLOOKUP(INDIRECT("G"&amp;ROW()),minfo!$A:$M,COLUMN()-8,0),"")</f>
        <v>https://i0.hdslb.com/bfs/station_src/music_metadata/5ea93d49aa366e4340787bbc3d63de25.jpg</v>
      </c>
      <c r="P923" s="4">
        <f ca="1">_xlfn.IFNA(VLOOKUP(INDIRECT("G"&amp;ROW()),minfo!$A:$M,COLUMN()-8,0),"")</f>
        <v>0</v>
      </c>
      <c r="Q923" s="4">
        <f ca="1">_xlfn.IFNA(VLOOKUP(INDIRECT("G"&amp;ROW()),minfo!$A:$M,COLUMN()-8,0),"")</f>
        <v>4120</v>
      </c>
      <c r="R923" s="4">
        <f ca="1">_xlfn.IFNA(VLOOKUP(INDIRECT("G"&amp;ROW()),minfo!$A:$M,COLUMN()-8,0),"")</f>
        <v>0</v>
      </c>
      <c r="S923" s="4" t="str">
        <f ca="1">_xlfn.IFNA(VLOOKUP(INDIRECT("G"&amp;ROW()),minfo!$A:$M,COLUMN()-8,0),"")</f>
        <v>七里香</v>
      </c>
      <c r="T923" s="4">
        <f ca="1">_xlfn.IFNA(VLOOKUP(INDIRECT("G"&amp;ROW()),minfo!$A:$M,COLUMN()-8,0),"")</f>
        <v>593603418</v>
      </c>
      <c r="U923" s="4">
        <f ca="1">_xlfn.IFNA(VLOOKUP(INDIRECT("G"&amp;ROW()),minfo!$A:$M,COLUMN()-8,0),"")</f>
        <v>0</v>
      </c>
    </row>
    <row r="924" spans="1:21" ht="15.75" customHeight="1">
      <c r="A924" s="15">
        <v>923</v>
      </c>
      <c r="B924" s="4" t="s">
        <v>4518</v>
      </c>
      <c r="C924" s="4">
        <v>924</v>
      </c>
      <c r="D924" s="4">
        <v>138</v>
      </c>
      <c r="E924" s="4" t="s">
        <v>141</v>
      </c>
      <c r="F924" s="16">
        <v>44648</v>
      </c>
      <c r="G924" s="5" t="s">
        <v>141</v>
      </c>
      <c r="H924" s="5" t="s">
        <v>4375</v>
      </c>
      <c r="I924" s="24" t="str">
        <f>HYPERLINK("https://www.bilibili.com/video/BV1pY411t7Rb?p=138", "BV1pY411t7Rb?p=138")</f>
        <v>BV1pY411t7Rb?p=138</v>
      </c>
      <c r="J924" s="4" t="str">
        <f ca="1">_xlfn.IFNA(VLOOKUP(INDIRECT("G"&amp;ROW()),minfo!$A:$M,COLUMN()-8,0),"")</f>
        <v>点亮梦想</v>
      </c>
      <c r="K924" s="4" t="str">
        <f ca="1">_xlfn.IFNA(VLOOKUP(INDIRECT("G"&amp;ROW()),minfo!$A:$M,COLUMN()-8,0),"")</f>
        <v>袁娅维</v>
      </c>
      <c r="L924" s="4">
        <f ca="1">_xlfn.IFNA(VLOOKUP(INDIRECT("G"&amp;ROW()),minfo!$A:$M,COLUMN()-8,0),"")</f>
        <v>0</v>
      </c>
      <c r="M924" s="4">
        <f ca="1">_xlfn.IFNA(VLOOKUP(INDIRECT("G"&amp;ROW()),minfo!$A:$M,COLUMN()-8,0),"")</f>
        <v>0</v>
      </c>
      <c r="N924" s="4">
        <f ca="1">_xlfn.IFNA(VLOOKUP(INDIRECT("G"&amp;ROW()),minfo!$A:$M,COLUMN()-8,0),"")</f>
        <v>0</v>
      </c>
      <c r="O924" s="4">
        <f ca="1">_xlfn.IFNA(VLOOKUP(INDIRECT("G"&amp;ROW()),minfo!$A:$M,COLUMN()-8,0),"")</f>
        <v>0</v>
      </c>
      <c r="P924" s="4">
        <f ca="1">_xlfn.IFNA(VLOOKUP(INDIRECT("G"&amp;ROW()),minfo!$A:$M,COLUMN()-8,0),"")</f>
        <v>0</v>
      </c>
      <c r="Q924" s="4">
        <f ca="1">_xlfn.IFNA(VLOOKUP(INDIRECT("G"&amp;ROW()),minfo!$A:$M,COLUMN()-8,0),"")</f>
        <v>0</v>
      </c>
      <c r="R924" s="4">
        <f ca="1">_xlfn.IFNA(VLOOKUP(INDIRECT("G"&amp;ROW()),minfo!$A:$M,COLUMN()-8,0),"")</f>
        <v>0</v>
      </c>
      <c r="S924" s="4">
        <f ca="1">_xlfn.IFNA(VLOOKUP(INDIRECT("G"&amp;ROW()),minfo!$A:$M,COLUMN()-8,0),"")</f>
        <v>0</v>
      </c>
      <c r="T924" s="4">
        <f ca="1">_xlfn.IFNA(VLOOKUP(INDIRECT("G"&amp;ROW()),minfo!$A:$M,COLUMN()-8,0),"")</f>
        <v>0</v>
      </c>
      <c r="U924" s="4">
        <f ca="1">_xlfn.IFNA(VLOOKUP(INDIRECT("G"&amp;ROW()),minfo!$A:$M,COLUMN()-8,0),"")</f>
        <v>0</v>
      </c>
    </row>
    <row r="925" spans="1:21" ht="15.75" customHeight="1">
      <c r="A925" s="15">
        <v>924</v>
      </c>
      <c r="B925" s="4" t="s">
        <v>4519</v>
      </c>
      <c r="C925" s="4">
        <v>925</v>
      </c>
      <c r="D925" s="4">
        <v>139</v>
      </c>
      <c r="E925" s="4" t="s">
        <v>2155</v>
      </c>
      <c r="F925" s="16">
        <v>44648</v>
      </c>
      <c r="G925" s="5" t="s">
        <v>2154</v>
      </c>
      <c r="H925" s="5" t="s">
        <v>4375</v>
      </c>
      <c r="I925" s="24" t="str">
        <f>HYPERLINK("https://www.bilibili.com/video/BV1pY411t7Rb?p=139", "BV1pY411t7Rb?p=139")</f>
        <v>BV1pY411t7Rb?p=139</v>
      </c>
      <c r="J925" s="4" t="str">
        <f ca="1">_xlfn.IFNA(VLOOKUP(INDIRECT("G"&amp;ROW()),minfo!$A:$M,COLUMN()-8,0),"")</f>
        <v>乘着歌声的翅膀</v>
      </c>
      <c r="K925" s="4" t="str">
        <f ca="1">_xlfn.IFNA(VLOOKUP(INDIRECT("G"&amp;ROW()),minfo!$A:$M,COLUMN()-8,0),"")</f>
        <v>柏菲音乐,胭花四乐</v>
      </c>
      <c r="L925" s="4">
        <f ca="1">_xlfn.IFNA(VLOOKUP(INDIRECT("G"&amp;ROW()),minfo!$A:$M,COLUMN()-8,0),"")</f>
        <v>0</v>
      </c>
      <c r="M925" s="4">
        <f ca="1">_xlfn.IFNA(VLOOKUP(INDIRECT("G"&amp;ROW()),minfo!$A:$M,COLUMN()-8,0),"")</f>
        <v>0</v>
      </c>
      <c r="N925" s="4">
        <f ca="1">_xlfn.IFNA(VLOOKUP(INDIRECT("G"&amp;ROW()),minfo!$A:$M,COLUMN()-8,0),"")</f>
        <v>0</v>
      </c>
      <c r="O925" s="4" t="str">
        <f ca="1">_xlfn.IFNA(VLOOKUP(INDIRECT("G"&amp;ROW()),minfo!$A:$M,COLUMN()-8,0),"")</f>
        <v>https://i0.hdslb.com/bfs/station_src/music_metadata/7396153ee872cc44e0a20ceb574228e5.jpg</v>
      </c>
      <c r="P925" s="4" t="str">
        <f ca="1">_xlfn.IFNA(VLOOKUP(INDIRECT("G"&amp;ROW()),minfo!$A:$M,COLUMN()-8,0),"")</f>
        <v>https://i0.hdslb.com/bfs/station_src/music_metadata/6894edd988f8c106f71da48f77dfc8fe.txt</v>
      </c>
      <c r="Q925" s="4">
        <f ca="1">_xlfn.IFNA(VLOOKUP(INDIRECT("G"&amp;ROW()),minfo!$A:$M,COLUMN()-8,0),"")</f>
        <v>0</v>
      </c>
      <c r="R925" s="4">
        <f ca="1">_xlfn.IFNA(VLOOKUP(INDIRECT("G"&amp;ROW()),minfo!$A:$M,COLUMN()-8,0),"")</f>
        <v>0</v>
      </c>
      <c r="S925" s="4" t="str">
        <f ca="1">_xlfn.IFNA(VLOOKUP(INDIRECT("G"&amp;ROW()),minfo!$A:$M,COLUMN()-8,0),"")</f>
        <v>胭花四乐II</v>
      </c>
      <c r="T925" s="4">
        <f ca="1">_xlfn.IFNA(VLOOKUP(INDIRECT("G"&amp;ROW()),minfo!$A:$M,COLUMN()-8,0),"")</f>
        <v>63813</v>
      </c>
      <c r="U925" s="4">
        <f ca="1">_xlfn.IFNA(VLOOKUP(INDIRECT("G"&amp;ROW()),minfo!$A:$M,COLUMN()-8,0),"")</f>
        <v>0</v>
      </c>
    </row>
    <row r="926" spans="1:21" ht="15.75" customHeight="1">
      <c r="A926" s="15">
        <v>925</v>
      </c>
      <c r="B926" s="4" t="s">
        <v>4520</v>
      </c>
      <c r="C926" s="4">
        <v>926</v>
      </c>
      <c r="D926" s="4">
        <v>140</v>
      </c>
      <c r="E926" s="4" t="s">
        <v>1229</v>
      </c>
      <c r="F926" s="16">
        <v>44648</v>
      </c>
      <c r="G926" s="5" t="s">
        <v>1228</v>
      </c>
      <c r="H926" s="5" t="s">
        <v>4375</v>
      </c>
      <c r="I926" s="24" t="str">
        <f>HYPERLINK("https://www.bilibili.com/video/BV1pY411t7Rb?p=140", "BV1pY411t7Rb?p=140")</f>
        <v>BV1pY411t7Rb?p=140</v>
      </c>
      <c r="J926" s="4" t="str">
        <f ca="1">_xlfn.IFNA(VLOOKUP(INDIRECT("G"&amp;ROW()),minfo!$A:$M,COLUMN()-8,0),"")</f>
        <v>昨日青空</v>
      </c>
      <c r="K926" s="4" t="str">
        <f ca="1">_xlfn.IFNA(VLOOKUP(INDIRECT("G"&amp;ROW()),minfo!$A:$M,COLUMN()-8,0),"")</f>
        <v>尤长靖</v>
      </c>
      <c r="L926" s="4">
        <f ca="1">_xlfn.IFNA(VLOOKUP(INDIRECT("G"&amp;ROW()),minfo!$A:$M,COLUMN()-8,0),"")</f>
        <v>0</v>
      </c>
      <c r="M926" s="4">
        <f ca="1">_xlfn.IFNA(VLOOKUP(INDIRECT("G"&amp;ROW()),minfo!$A:$M,COLUMN()-8,0),"")</f>
        <v>0</v>
      </c>
      <c r="N926" s="4">
        <f ca="1">_xlfn.IFNA(VLOOKUP(INDIRECT("G"&amp;ROW()),minfo!$A:$M,COLUMN()-8,0),"")</f>
        <v>0</v>
      </c>
      <c r="O926" s="4" t="str">
        <f ca="1">_xlfn.IFNA(VLOOKUP(INDIRECT("G"&amp;ROW()),minfo!$A:$M,COLUMN()-8,0),"")</f>
        <v>https://i0.hdslb.com/bfs/station_src/music_metadata/abc73110210c595e7074ddc5a01dd754.jpg</v>
      </c>
      <c r="P926" s="4" t="str">
        <f ca="1">_xlfn.IFNA(VLOOKUP(INDIRECT("G"&amp;ROW()),minfo!$A:$M,COLUMN()-8,0),"")</f>
        <v>http://i0.hdslb.com/bfs/station_src/music_metadata/042fb26c880b233a48dc106af6e82bca</v>
      </c>
      <c r="Q926" s="4">
        <f ca="1">_xlfn.IFNA(VLOOKUP(INDIRECT("G"&amp;ROW()),minfo!$A:$M,COLUMN()-8,0),"")</f>
        <v>558</v>
      </c>
      <c r="R926" s="4" t="str">
        <f ca="1">_xlfn.IFNA(VLOOKUP(INDIRECT("G"&amp;ROW()),minfo!$A:$M,COLUMN()-8,0),"")</f>
        <v>《昨日青空》电影同名青春主题曲</v>
      </c>
      <c r="S926" s="4" t="str">
        <f ca="1">_xlfn.IFNA(VLOOKUP(INDIRECT("G"&amp;ROW()),minfo!$A:$M,COLUMN()-8,0),"")</f>
        <v>昨日青空</v>
      </c>
      <c r="T926" s="4">
        <f ca="1">_xlfn.IFNA(VLOOKUP(INDIRECT("G"&amp;ROW()),minfo!$A:$M,COLUMN()-8,0),"")</f>
        <v>70470580</v>
      </c>
      <c r="U926" s="4">
        <f ca="1">_xlfn.IFNA(VLOOKUP(INDIRECT("G"&amp;ROW()),minfo!$A:$M,COLUMN()-8,0),"")</f>
        <v>0</v>
      </c>
    </row>
    <row r="927" spans="1:21" ht="15.75" customHeight="1">
      <c r="A927" s="15">
        <v>926</v>
      </c>
      <c r="B927" s="4" t="s">
        <v>4521</v>
      </c>
      <c r="C927" s="4">
        <v>927</v>
      </c>
      <c r="D927" s="4">
        <v>141</v>
      </c>
      <c r="E927" s="4" t="s">
        <v>2968</v>
      </c>
      <c r="F927" s="16">
        <v>44648</v>
      </c>
      <c r="G927" s="5" t="s">
        <v>2967</v>
      </c>
      <c r="H927" s="5" t="s">
        <v>4375</v>
      </c>
      <c r="I927" s="24" t="str">
        <f>HYPERLINK("https://www.bilibili.com/video/BV1pY411t7Rb?p=141", "BV1pY411t7Rb?p=141")</f>
        <v>BV1pY411t7Rb?p=141</v>
      </c>
      <c r="J927" s="4" t="str">
        <f ca="1">_xlfn.IFNA(VLOOKUP(INDIRECT("G"&amp;ROW()),minfo!$A:$M,COLUMN()-8,0),"")</f>
        <v>苏幕遮</v>
      </c>
      <c r="K927" s="4" t="str">
        <f ca="1">_xlfn.IFNA(VLOOKUP(INDIRECT("G"&amp;ROW()),minfo!$A:$M,COLUMN()-8,0),"")</f>
        <v>张晓棠</v>
      </c>
      <c r="L927" s="4">
        <f ca="1">_xlfn.IFNA(VLOOKUP(INDIRECT("G"&amp;ROW()),minfo!$A:$M,COLUMN()-8,0),"")</f>
        <v>0</v>
      </c>
      <c r="M927" s="4">
        <f ca="1">_xlfn.IFNA(VLOOKUP(INDIRECT("G"&amp;ROW()),minfo!$A:$M,COLUMN()-8,0),"")</f>
        <v>0</v>
      </c>
      <c r="N927" s="4">
        <f ca="1">_xlfn.IFNA(VLOOKUP(INDIRECT("G"&amp;ROW()),minfo!$A:$M,COLUMN()-8,0),"")</f>
        <v>0</v>
      </c>
      <c r="O927" s="4" t="str">
        <f ca="1">_xlfn.IFNA(VLOOKUP(INDIRECT("G"&amp;ROW()),minfo!$A:$M,COLUMN()-8,0),"")</f>
        <v>https://i0.hdslb.com/bfs/station_src/music_metadata/6d4abb378985a85772919adec194ad14.jpg</v>
      </c>
      <c r="P927" s="4" t="str">
        <f ca="1">_xlfn.IFNA(VLOOKUP(INDIRECT("G"&amp;ROW()),minfo!$A:$M,COLUMN()-8,0),"")</f>
        <v>https://i0.hdslb.com/bfs/station_src/music_metadata/9ecf2ddeccc8f5c9bd142df102c737bf.lrc</v>
      </c>
      <c r="Q927" s="4">
        <f ca="1">_xlfn.IFNA(VLOOKUP(INDIRECT("G"&amp;ROW()),minfo!$A:$M,COLUMN()-8,0),"")</f>
        <v>2045</v>
      </c>
      <c r="R927" s="4">
        <f ca="1">_xlfn.IFNA(VLOOKUP(INDIRECT("G"&amp;ROW()),minfo!$A:$M,COLUMN()-8,0),"")</f>
        <v>0</v>
      </c>
      <c r="S927" s="4" t="str">
        <f ca="1">_xlfn.IFNA(VLOOKUP(INDIRECT("G"&amp;ROW()),minfo!$A:$M,COLUMN()-8,0),"")</f>
        <v>盛世好风光</v>
      </c>
      <c r="T927" s="4">
        <f ca="1">_xlfn.IFNA(VLOOKUP(INDIRECT("G"&amp;ROW()),minfo!$A:$M,COLUMN()-8,0),"")</f>
        <v>250489326</v>
      </c>
      <c r="U927" s="4" t="str">
        <f ca="1">_xlfn.IFNA(VLOOKUP(INDIRECT("G"&amp;ROW()),minfo!$A:$M,COLUMN()-8,0),"")</f>
        <v>音乐榜最高NO.20</v>
      </c>
    </row>
    <row r="928" spans="1:21" ht="15.75" customHeight="1">
      <c r="A928" s="15">
        <v>927</v>
      </c>
      <c r="B928" s="4" t="s">
        <v>4522</v>
      </c>
      <c r="C928" s="4">
        <v>928</v>
      </c>
      <c r="D928" s="4">
        <v>142</v>
      </c>
      <c r="E928" s="4" t="s">
        <v>3063</v>
      </c>
      <c r="F928" s="16">
        <v>44648</v>
      </c>
      <c r="G928" s="5" t="s">
        <v>3062</v>
      </c>
      <c r="H928" s="5" t="s">
        <v>4375</v>
      </c>
      <c r="I928" s="24" t="str">
        <f>HYPERLINK("https://www.bilibili.com/video/BV1pY411t7Rb?p=142", "BV1pY411t7Rb?p=142")</f>
        <v>BV1pY411t7Rb?p=142</v>
      </c>
      <c r="J928" s="4" t="str">
        <f ca="1">_xlfn.IFNA(VLOOKUP(INDIRECT("G"&amp;ROW()),minfo!$A:$M,COLUMN()-8,0),"")</f>
        <v>你看到的我是蓝色的</v>
      </c>
      <c r="K928" s="4" t="str">
        <f ca="1">_xlfn.IFNA(VLOOKUP(INDIRECT("G"&amp;ROW()),minfo!$A:$M,COLUMN()-8,0),"")</f>
        <v>李霄云</v>
      </c>
      <c r="L928" s="4">
        <f ca="1">_xlfn.IFNA(VLOOKUP(INDIRECT("G"&amp;ROW()),minfo!$A:$M,COLUMN()-8,0),"")</f>
        <v>0</v>
      </c>
      <c r="M928" s="4">
        <f ca="1">_xlfn.IFNA(VLOOKUP(INDIRECT("G"&amp;ROW()),minfo!$A:$M,COLUMN()-8,0),"")</f>
        <v>0</v>
      </c>
      <c r="N928" s="4">
        <f ca="1">_xlfn.IFNA(VLOOKUP(INDIRECT("G"&amp;ROW()),minfo!$A:$M,COLUMN()-8,0),"")</f>
        <v>0</v>
      </c>
      <c r="O928" s="4" t="str">
        <f ca="1">_xlfn.IFNA(VLOOKUP(INDIRECT("G"&amp;ROW()),minfo!$A:$M,COLUMN()-8,0),"")</f>
        <v>https://i0.hdslb.com/bfs/station_src/music_metadata/e647f9031152f1fa311bfd6e8a796ed8.jpg</v>
      </c>
      <c r="P928" s="4" t="str">
        <f ca="1">_xlfn.IFNA(VLOOKUP(INDIRECT("G"&amp;ROW()),minfo!$A:$M,COLUMN()-8,0),"")</f>
        <v>https://i0.hdslb.com/bfs/station_src/music_metadata/4eb02e95022d2c660c197463816a3b85.txt</v>
      </c>
      <c r="Q928" s="4">
        <f ca="1">_xlfn.IFNA(VLOOKUP(INDIRECT("G"&amp;ROW()),minfo!$A:$M,COLUMN()-8,0),"")</f>
        <v>4</v>
      </c>
      <c r="R928" s="4">
        <f ca="1">_xlfn.IFNA(VLOOKUP(INDIRECT("G"&amp;ROW()),minfo!$A:$M,COLUMN()-8,0),"")</f>
        <v>0</v>
      </c>
      <c r="S928" s="4" t="str">
        <f ca="1">_xlfn.IFNA(VLOOKUP(INDIRECT("G"&amp;ROW()),minfo!$A:$M,COLUMN()-8,0),"")</f>
        <v>你看到的我是蓝色的</v>
      </c>
      <c r="T928" s="4">
        <f ca="1">_xlfn.IFNA(VLOOKUP(INDIRECT("G"&amp;ROW()),minfo!$A:$M,COLUMN()-8,0),"")</f>
        <v>8341298</v>
      </c>
      <c r="U928" s="4">
        <f ca="1">_xlfn.IFNA(VLOOKUP(INDIRECT("G"&amp;ROW()),minfo!$A:$M,COLUMN()-8,0),"")</f>
        <v>0</v>
      </c>
    </row>
    <row r="929" spans="1:21" ht="15.75" customHeight="1">
      <c r="A929" s="15">
        <v>928</v>
      </c>
      <c r="B929" s="4" t="s">
        <v>4523</v>
      </c>
      <c r="C929" s="4">
        <v>929</v>
      </c>
      <c r="D929" s="4">
        <v>143</v>
      </c>
      <c r="E929" s="4" t="s">
        <v>3068</v>
      </c>
      <c r="F929" s="16">
        <v>44648</v>
      </c>
      <c r="G929" s="5" t="s">
        <v>3067</v>
      </c>
      <c r="H929" s="5" t="s">
        <v>4375</v>
      </c>
      <c r="I929" s="24" t="str">
        <f>HYPERLINK("https://www.bilibili.com/video/BV1pY411t7Rb?p=143", "BV1pY411t7Rb?p=143")</f>
        <v>BV1pY411t7Rb?p=143</v>
      </c>
      <c r="J929" s="4" t="str">
        <f ca="1">_xlfn.IFNA(VLOOKUP(INDIRECT("G"&amp;ROW()),minfo!$A:$M,COLUMN()-8,0),"")</f>
        <v>老人与海</v>
      </c>
      <c r="K929" s="4" t="str">
        <f ca="1">_xlfn.IFNA(VLOOKUP(INDIRECT("G"&amp;ROW()),minfo!$A:$M,COLUMN()-8,0),"")</f>
        <v>吴琼,海鸣威</v>
      </c>
      <c r="L929" s="4">
        <f ca="1">_xlfn.IFNA(VLOOKUP(INDIRECT("G"&amp;ROW()),minfo!$A:$M,COLUMN()-8,0),"")</f>
        <v>0</v>
      </c>
      <c r="M929" s="4">
        <f ca="1">_xlfn.IFNA(VLOOKUP(INDIRECT("G"&amp;ROW()),minfo!$A:$M,COLUMN()-8,0),"")</f>
        <v>0</v>
      </c>
      <c r="N929" s="4">
        <f ca="1">_xlfn.IFNA(VLOOKUP(INDIRECT("G"&amp;ROW()),minfo!$A:$M,COLUMN()-8,0),"")</f>
        <v>0</v>
      </c>
      <c r="O929" s="4" t="str">
        <f ca="1">_xlfn.IFNA(VLOOKUP(INDIRECT("G"&amp;ROW()),minfo!$A:$M,COLUMN()-8,0),"")</f>
        <v>http://i0.hdslb.com/bfs/station_src/music_metadata/32ebfa1fdfc95ced571cf189892f411a.jpg</v>
      </c>
      <c r="P929" s="4" t="str">
        <f ca="1">_xlfn.IFNA(VLOOKUP(INDIRECT("G"&amp;ROW()),minfo!$A:$M,COLUMN()-8,0),"")</f>
        <v>http://i0.hdslb.com/bfs/station_src/music_metadata/ede30103632baf2f27cae028fc910755</v>
      </c>
      <c r="Q929" s="4">
        <f ca="1">_xlfn.IFNA(VLOOKUP(INDIRECT("G"&amp;ROW()),minfo!$A:$M,COLUMN()-8,0),"")</f>
        <v>819</v>
      </c>
      <c r="R929" s="4">
        <f ca="1">_xlfn.IFNA(VLOOKUP(INDIRECT("G"&amp;ROW()),minfo!$A:$M,COLUMN()-8,0),"")</f>
        <v>0</v>
      </c>
      <c r="S929" s="4" t="str">
        <f ca="1">_xlfn.IFNA(VLOOKUP(INDIRECT("G"&amp;ROW()),minfo!$A:$M,COLUMN()-8,0),"")</f>
        <v>Dance Dance Dance</v>
      </c>
      <c r="T929" s="4">
        <f ca="1">_xlfn.IFNA(VLOOKUP(INDIRECT("G"&amp;ROW()),minfo!$A:$M,COLUMN()-8,0),"")</f>
        <v>153425635</v>
      </c>
      <c r="U929" s="4">
        <f ca="1">_xlfn.IFNA(VLOOKUP(INDIRECT("G"&amp;ROW()),minfo!$A:$M,COLUMN()-8,0),"")</f>
        <v>0</v>
      </c>
    </row>
    <row r="930" spans="1:21" ht="15.75" customHeight="1">
      <c r="A930" s="15">
        <v>929</v>
      </c>
      <c r="B930" s="4" t="s">
        <v>4524</v>
      </c>
      <c r="C930" s="4">
        <v>930</v>
      </c>
      <c r="D930" s="4">
        <v>144</v>
      </c>
      <c r="E930" s="4" t="s">
        <v>2161</v>
      </c>
      <c r="F930" s="16">
        <v>44648</v>
      </c>
      <c r="G930" s="5" t="s">
        <v>2160</v>
      </c>
      <c r="H930" s="5" t="s">
        <v>4375</v>
      </c>
      <c r="I930" s="24" t="str">
        <f>HYPERLINK("https://www.bilibili.com/video/BV1pY411t7Rb?p=144", "BV1pY411t7Rb?p=144")</f>
        <v>BV1pY411t7Rb?p=144</v>
      </c>
      <c r="J930" s="4" t="str">
        <f ca="1">_xlfn.IFNA(VLOOKUP(INDIRECT("G"&amp;ROW()),minfo!$A:$M,COLUMN()-8,0),"")</f>
        <v>天堂岛之歌</v>
      </c>
      <c r="K930" s="4" t="str">
        <f ca="1">_xlfn.IFNA(VLOOKUP(INDIRECT("G"&amp;ROW()),minfo!$A:$M,COLUMN()-8,0),"")</f>
        <v>LizzRobinett</v>
      </c>
      <c r="L930" s="4">
        <f ca="1">_xlfn.IFNA(VLOOKUP(INDIRECT("G"&amp;ROW()),minfo!$A:$M,COLUMN()-8,0),"")</f>
        <v>0</v>
      </c>
      <c r="M930" s="4">
        <f ca="1">_xlfn.IFNA(VLOOKUP(INDIRECT("G"&amp;ROW()),minfo!$A:$M,COLUMN()-8,0),"")</f>
        <v>0</v>
      </c>
      <c r="N930" s="4">
        <f ca="1">_xlfn.IFNA(VLOOKUP(INDIRECT("G"&amp;ROW()),minfo!$A:$M,COLUMN()-8,0),"")</f>
        <v>0</v>
      </c>
      <c r="O930" s="4" t="str">
        <f ca="1">_xlfn.IFNA(VLOOKUP(INDIRECT("G"&amp;ROW()),minfo!$A:$M,COLUMN()-8,0),"")</f>
        <v>http://i0.hdslb.com/bfs/station_src/music_metadata/0625d7a4a30ac54b6b94ca9415de93da.jpg</v>
      </c>
      <c r="P930" s="4" t="str">
        <f ca="1">_xlfn.IFNA(VLOOKUP(INDIRECT("G"&amp;ROW()),minfo!$A:$M,COLUMN()-8,0),"")</f>
        <v>http://i0.hdslb.com/bfs/station_src/music_metadata/467e045b725c253372916613c882e84c</v>
      </c>
      <c r="Q930" s="4">
        <f ca="1">_xlfn.IFNA(VLOOKUP(INDIRECT("G"&amp;ROW()),minfo!$A:$M,COLUMN()-8,0),"")</f>
        <v>695</v>
      </c>
      <c r="R930" s="4">
        <f ca="1">_xlfn.IFNA(VLOOKUP(INDIRECT("G"&amp;ROW()),minfo!$A:$M,COLUMN()-8,0),"")</f>
        <v>0</v>
      </c>
      <c r="S930" s="4">
        <f ca="1">_xlfn.IFNA(VLOOKUP(INDIRECT("G"&amp;ROW()),minfo!$A:$M,COLUMN()-8,0),"")</f>
        <v>0</v>
      </c>
      <c r="T930" s="4">
        <f ca="1">_xlfn.IFNA(VLOOKUP(INDIRECT("G"&amp;ROW()),minfo!$A:$M,COLUMN()-8,0),"")</f>
        <v>74927917</v>
      </c>
      <c r="U930" s="4">
        <f ca="1">_xlfn.IFNA(VLOOKUP(INDIRECT("G"&amp;ROW()),minfo!$A:$M,COLUMN()-8,0),"")</f>
        <v>0</v>
      </c>
    </row>
    <row r="931" spans="1:21" ht="15.75" customHeight="1">
      <c r="A931" s="15">
        <v>930</v>
      </c>
      <c r="B931" s="4" t="s">
        <v>4525</v>
      </c>
      <c r="C931" s="4">
        <v>931</v>
      </c>
      <c r="D931" s="4">
        <v>145</v>
      </c>
      <c r="E931" s="4" t="s">
        <v>1029</v>
      </c>
      <c r="F931" s="16">
        <v>44648</v>
      </c>
      <c r="G931" s="5" t="s">
        <v>1028</v>
      </c>
      <c r="H931" s="5" t="s">
        <v>4375</v>
      </c>
      <c r="I931" s="24" t="str">
        <f>HYPERLINK("https://www.bilibili.com/video/BV1pY411t7Rb?p=145", "BV1pY411t7Rb?p=145")</f>
        <v>BV1pY411t7Rb?p=145</v>
      </c>
      <c r="J931" s="4" t="str">
        <f ca="1">_xlfn.IFNA(VLOOKUP(INDIRECT("G"&amp;ROW()),minfo!$A:$M,COLUMN()-8,0),"")</f>
        <v>梦一场</v>
      </c>
      <c r="K931" s="4" t="str">
        <f ca="1">_xlfn.IFNA(VLOOKUP(INDIRECT("G"&amp;ROW()),minfo!$A:$M,COLUMN()-8,0),"")</f>
        <v>那英</v>
      </c>
      <c r="L931" s="4">
        <f ca="1">_xlfn.IFNA(VLOOKUP(INDIRECT("G"&amp;ROW()),minfo!$A:$M,COLUMN()-8,0),"")</f>
        <v>0</v>
      </c>
      <c r="M931" s="4">
        <f ca="1">_xlfn.IFNA(VLOOKUP(INDIRECT("G"&amp;ROW()),minfo!$A:$M,COLUMN()-8,0),"")</f>
        <v>0</v>
      </c>
      <c r="N931" s="4">
        <f ca="1">_xlfn.IFNA(VLOOKUP(INDIRECT("G"&amp;ROW()),minfo!$A:$M,COLUMN()-8,0),"")</f>
        <v>0</v>
      </c>
      <c r="O931" s="4" t="str">
        <f ca="1">_xlfn.IFNA(VLOOKUP(INDIRECT("G"&amp;ROW()),minfo!$A:$M,COLUMN()-8,0),"")</f>
        <v>http://i0.hdslb.com/bfs/station_src/music_metadata/773e1f17befd2548f3caea5b4a15cca5.jpg</v>
      </c>
      <c r="P931" s="4" t="str">
        <f ca="1">_xlfn.IFNA(VLOOKUP(INDIRECT("G"&amp;ROW()),minfo!$A:$M,COLUMN()-8,0),"")</f>
        <v>http://i0.hdslb.com/bfs/station_src/music_metadata/9d34117655bd2156a1e59015320fba7b</v>
      </c>
      <c r="Q931" s="4">
        <f ca="1">_xlfn.IFNA(VLOOKUP(INDIRECT("G"&amp;ROW()),minfo!$A:$M,COLUMN()-8,0),"")</f>
        <v>67</v>
      </c>
      <c r="R931" s="4" t="str">
        <f ca="1">_xlfn.IFNA(VLOOKUP(INDIRECT("G"&amp;ROW()),minfo!$A:$M,COLUMN()-8,0),"")</f>
        <v>《新闻小姐》电视剧插曲|《春娇救志明》电影插曲</v>
      </c>
      <c r="S931" s="4" t="str">
        <f ca="1">_xlfn.IFNA(VLOOKUP(INDIRECT("G"&amp;ROW()),minfo!$A:$M,COLUMN()-8,0),"")</f>
        <v>干脆</v>
      </c>
      <c r="T931" s="4">
        <f ca="1">_xlfn.IFNA(VLOOKUP(INDIRECT("G"&amp;ROW()),minfo!$A:$M,COLUMN()-8,0),"")</f>
        <v>40740970</v>
      </c>
      <c r="U931" s="4">
        <f ca="1">_xlfn.IFNA(VLOOKUP(INDIRECT("G"&amp;ROW()),minfo!$A:$M,COLUMN()-8,0),"")</f>
        <v>0</v>
      </c>
    </row>
    <row r="932" spans="1:21" ht="15.75" customHeight="1">
      <c r="A932" s="15">
        <v>931</v>
      </c>
      <c r="B932" s="4" t="s">
        <v>4526</v>
      </c>
      <c r="C932" s="4">
        <v>932</v>
      </c>
      <c r="D932" s="4">
        <v>146</v>
      </c>
      <c r="E932" s="4" t="s">
        <v>1255</v>
      </c>
      <c r="F932" s="16">
        <v>44648</v>
      </c>
      <c r="G932" s="5" t="s">
        <v>1254</v>
      </c>
      <c r="H932" s="5" t="s">
        <v>4375</v>
      </c>
      <c r="I932" s="24" t="str">
        <f>HYPERLINK("https://www.bilibili.com/video/BV1pY411t7Rb?p=146", "BV1pY411t7Rb?p=146")</f>
        <v>BV1pY411t7Rb?p=146</v>
      </c>
      <c r="J932" s="4" t="str">
        <f ca="1">_xlfn.IFNA(VLOOKUP(INDIRECT("G"&amp;ROW()),minfo!$A:$M,COLUMN()-8,0),"")</f>
        <v>频率</v>
      </c>
      <c r="K932" s="4" t="str">
        <f ca="1">_xlfn.IFNA(VLOOKUP(INDIRECT("G"&amp;ROW()),minfo!$A:$M,COLUMN()-8,0),"")</f>
        <v>苏打绿</v>
      </c>
      <c r="L932" s="4">
        <f ca="1">_xlfn.IFNA(VLOOKUP(INDIRECT("G"&amp;ROW()),minfo!$A:$M,COLUMN()-8,0),"")</f>
        <v>0</v>
      </c>
      <c r="M932" s="4">
        <f ca="1">_xlfn.IFNA(VLOOKUP(INDIRECT("G"&amp;ROW()),minfo!$A:$M,COLUMN()-8,0),"")</f>
        <v>0</v>
      </c>
      <c r="N932" s="4">
        <f ca="1">_xlfn.IFNA(VLOOKUP(INDIRECT("G"&amp;ROW()),minfo!$A:$M,COLUMN()-8,0),"")</f>
        <v>0</v>
      </c>
      <c r="O932" s="4" t="str">
        <f ca="1">_xlfn.IFNA(VLOOKUP(INDIRECT("G"&amp;ROW()),minfo!$A:$M,COLUMN()-8,0),"")</f>
        <v>http://i0.hdslb.com/bfs/station_src/music_metadata/d355dd715b57d78b55b55bafc618fa13.jpg</v>
      </c>
      <c r="P932" s="4" t="str">
        <f ca="1">_xlfn.IFNA(VLOOKUP(INDIRECT("G"&amp;ROW()),minfo!$A:$M,COLUMN()-8,0),"")</f>
        <v>https://i0.hdslb.com/bfs/station_src/music_metadata/f0e4923aa68dd06d7470f9e57ad496f2.txt</v>
      </c>
      <c r="Q932" s="4">
        <f ca="1">_xlfn.IFNA(VLOOKUP(INDIRECT("G"&amp;ROW()),minfo!$A:$M,COLUMN()-8,0),"")</f>
        <v>11</v>
      </c>
      <c r="R932" s="4">
        <f ca="1">_xlfn.IFNA(VLOOKUP(INDIRECT("G"&amp;ROW()),minfo!$A:$M,COLUMN()-8,0),"")</f>
        <v>0</v>
      </c>
      <c r="S932" s="4">
        <f ca="1">_xlfn.IFNA(VLOOKUP(INDIRECT("G"&amp;ROW()),minfo!$A:$M,COLUMN()-8,0),"")</f>
        <v>0</v>
      </c>
      <c r="T932" s="4">
        <f ca="1">_xlfn.IFNA(VLOOKUP(INDIRECT("G"&amp;ROW()),minfo!$A:$M,COLUMN()-8,0),"")</f>
        <v>4994709</v>
      </c>
      <c r="U932" s="4">
        <f ca="1">_xlfn.IFNA(VLOOKUP(INDIRECT("G"&amp;ROW()),minfo!$A:$M,COLUMN()-8,0),"")</f>
        <v>0</v>
      </c>
    </row>
    <row r="933" spans="1:21" ht="15.75" customHeight="1">
      <c r="A933" s="15">
        <v>932</v>
      </c>
      <c r="B933" s="4" t="s">
        <v>4527</v>
      </c>
      <c r="C933" s="4">
        <v>933</v>
      </c>
      <c r="D933" s="4">
        <v>147</v>
      </c>
      <c r="E933" s="4" t="s">
        <v>332</v>
      </c>
      <c r="F933" s="16">
        <v>44648</v>
      </c>
      <c r="G933" s="5" t="s">
        <v>331</v>
      </c>
      <c r="H933" s="5" t="s">
        <v>4375</v>
      </c>
      <c r="I933" s="24" t="str">
        <f>HYPERLINK("https://www.bilibili.com/video/BV1pY411t7Rb?p=147", "BV1pY411t7Rb?p=147")</f>
        <v>BV1pY411t7Rb?p=147</v>
      </c>
      <c r="J933" s="4" t="str">
        <f ca="1">_xlfn.IFNA(VLOOKUP(INDIRECT("G"&amp;ROW()),minfo!$A:$M,COLUMN()-8,0),"")</f>
        <v>春天的芭蕾</v>
      </c>
      <c r="K933" s="4" t="str">
        <f ca="1">_xlfn.IFNA(VLOOKUP(INDIRECT("G"&amp;ROW()),minfo!$A:$M,COLUMN()-8,0),"")</f>
        <v>常思思</v>
      </c>
      <c r="L933" s="4">
        <f ca="1">_xlfn.IFNA(VLOOKUP(INDIRECT("G"&amp;ROW()),minfo!$A:$M,COLUMN()-8,0),"")</f>
        <v>0</v>
      </c>
      <c r="M933" s="4">
        <f ca="1">_xlfn.IFNA(VLOOKUP(INDIRECT("G"&amp;ROW()),minfo!$A:$M,COLUMN()-8,0),"")</f>
        <v>0</v>
      </c>
      <c r="N933" s="4">
        <f ca="1">_xlfn.IFNA(VLOOKUP(INDIRECT("G"&amp;ROW()),minfo!$A:$M,COLUMN()-8,0),"")</f>
        <v>0</v>
      </c>
      <c r="O933" s="4" t="str">
        <f ca="1">_xlfn.IFNA(VLOOKUP(INDIRECT("G"&amp;ROW()),minfo!$A:$M,COLUMN()-8,0),"")</f>
        <v>http://i0.hdslb.com/bfs/station_src/music_metadata/7202bafed8b495edfdc98691518442b5.jpg</v>
      </c>
      <c r="P933" s="4" t="str">
        <f ca="1">_xlfn.IFNA(VLOOKUP(INDIRECT("G"&amp;ROW()),minfo!$A:$M,COLUMN()-8,0),"")</f>
        <v>http://i0.hdslb.com/bfs/station_src/music_metadata/1faf7f1d5734fb67fc3aa5824aaf8ed2</v>
      </c>
      <c r="Q933" s="4">
        <f ca="1">_xlfn.IFNA(VLOOKUP(INDIRECT("G"&amp;ROW()),minfo!$A:$M,COLUMN()-8,0),"")</f>
        <v>173</v>
      </c>
      <c r="R933" s="4">
        <f ca="1">_xlfn.IFNA(VLOOKUP(INDIRECT("G"&amp;ROW()),minfo!$A:$M,COLUMN()-8,0),"")</f>
        <v>0</v>
      </c>
      <c r="S933" s="4">
        <f ca="1">_xlfn.IFNA(VLOOKUP(INDIRECT("G"&amp;ROW()),minfo!$A:$M,COLUMN()-8,0),"")</f>
        <v>0</v>
      </c>
      <c r="T933" s="4">
        <f ca="1">_xlfn.IFNA(VLOOKUP(INDIRECT("G"&amp;ROW()),minfo!$A:$M,COLUMN()-8,0),"")</f>
        <v>25997684</v>
      </c>
      <c r="U933" s="4">
        <f ca="1">_xlfn.IFNA(VLOOKUP(INDIRECT("G"&amp;ROW()),minfo!$A:$M,COLUMN()-8,0),"")</f>
        <v>0</v>
      </c>
    </row>
    <row r="934" spans="1:21" ht="15.75" customHeight="1">
      <c r="A934" s="15">
        <v>933</v>
      </c>
      <c r="B934" s="4" t="s">
        <v>4528</v>
      </c>
      <c r="C934" s="4">
        <v>934</v>
      </c>
      <c r="D934" s="4">
        <v>148</v>
      </c>
      <c r="E934" s="4" t="s">
        <v>337</v>
      </c>
      <c r="F934" s="16">
        <v>44648</v>
      </c>
      <c r="G934" s="5" t="s">
        <v>336</v>
      </c>
      <c r="H934" s="5" t="s">
        <v>4375</v>
      </c>
      <c r="I934" s="24" t="str">
        <f>HYPERLINK("https://www.bilibili.com/video/BV1pY411t7Rb?p=148", "BV1pY411t7Rb?p=148")</f>
        <v>BV1pY411t7Rb?p=148</v>
      </c>
      <c r="J934" s="4" t="str">
        <f ca="1">_xlfn.IFNA(VLOOKUP(INDIRECT("G"&amp;ROW()),minfo!$A:$M,COLUMN()-8,0),"")</f>
        <v>玛依拉变奏曲</v>
      </c>
      <c r="K934" s="4" t="str">
        <f ca="1">_xlfn.IFNA(VLOOKUP(INDIRECT("G"&amp;ROW()),minfo!$A:$M,COLUMN()-8,0),"")</f>
        <v>常思思</v>
      </c>
      <c r="L934" s="4">
        <f ca="1">_xlfn.IFNA(VLOOKUP(INDIRECT("G"&amp;ROW()),minfo!$A:$M,COLUMN()-8,0),"")</f>
        <v>0</v>
      </c>
      <c r="M934" s="4">
        <f ca="1">_xlfn.IFNA(VLOOKUP(INDIRECT("G"&amp;ROW()),minfo!$A:$M,COLUMN()-8,0),"")</f>
        <v>0</v>
      </c>
      <c r="N934" s="4">
        <f ca="1">_xlfn.IFNA(VLOOKUP(INDIRECT("G"&amp;ROW()),minfo!$A:$M,COLUMN()-8,0),"")</f>
        <v>0</v>
      </c>
      <c r="O934" s="4" t="str">
        <f ca="1">_xlfn.IFNA(VLOOKUP(INDIRECT("G"&amp;ROW()),minfo!$A:$M,COLUMN()-8,0),"")</f>
        <v>https://i0.hdslb.com/bfs/station_src/music_metadata/44ef3b674b440061a8551258b673f958.jpg</v>
      </c>
      <c r="P934" s="4" t="str">
        <f ca="1">_xlfn.IFNA(VLOOKUP(INDIRECT("G"&amp;ROW()),minfo!$A:$M,COLUMN()-8,0),"")</f>
        <v>https://i0.hdslb.com/bfs/station_src/music_metadata/0d31f0b335305bb6b2fae9ab4daacc38.txt</v>
      </c>
      <c r="Q934" s="4">
        <f ca="1">_xlfn.IFNA(VLOOKUP(INDIRECT("G"&amp;ROW()),minfo!$A:$M,COLUMN()-8,0),"")</f>
        <v>6</v>
      </c>
      <c r="R934" s="4">
        <f ca="1">_xlfn.IFNA(VLOOKUP(INDIRECT("G"&amp;ROW()),minfo!$A:$M,COLUMN()-8,0),"")</f>
        <v>0</v>
      </c>
      <c r="S934" s="4" t="str">
        <f ca="1">_xlfn.IFNA(VLOOKUP(INDIRECT("G"&amp;ROW()),minfo!$A:$M,COLUMN()-8,0),"")</f>
        <v>龙乐合集 27</v>
      </c>
      <c r="T934" s="4">
        <f ca="1">_xlfn.IFNA(VLOOKUP(INDIRECT("G"&amp;ROW()),minfo!$A:$M,COLUMN()-8,0),"")</f>
        <v>3469898</v>
      </c>
      <c r="U934" s="4">
        <f ca="1">_xlfn.IFNA(VLOOKUP(INDIRECT("G"&amp;ROW()),minfo!$A:$M,COLUMN()-8,0),"")</f>
        <v>0</v>
      </c>
    </row>
    <row r="935" spans="1:21" ht="15.75" customHeight="1">
      <c r="A935" s="15">
        <v>934</v>
      </c>
      <c r="B935" s="4" t="s">
        <v>4529</v>
      </c>
      <c r="C935" s="4">
        <v>935</v>
      </c>
      <c r="D935" s="4">
        <v>149</v>
      </c>
      <c r="E935" s="4" t="s">
        <v>226</v>
      </c>
      <c r="F935" s="16">
        <v>44649</v>
      </c>
      <c r="G935" s="5" t="s">
        <v>225</v>
      </c>
      <c r="H935" s="5" t="s">
        <v>4375</v>
      </c>
      <c r="I935" s="24" t="str">
        <f>HYPERLINK("https://www.bilibili.com/video/BV1pY411t7Rb?p=149", "BV1pY411t7Rb?p=149")</f>
        <v>BV1pY411t7Rb?p=149</v>
      </c>
      <c r="J935" s="4" t="str">
        <f ca="1">_xlfn.IFNA(VLOOKUP(INDIRECT("G"&amp;ROW()),minfo!$A:$M,COLUMN()-8,0),"")</f>
        <v>如愿</v>
      </c>
      <c r="K935" s="4" t="str">
        <f ca="1">_xlfn.IFNA(VLOOKUP(INDIRECT("G"&amp;ROW()),minfo!$A:$M,COLUMN()-8,0),"")</f>
        <v>王菲</v>
      </c>
      <c r="L935" s="4">
        <f ca="1">_xlfn.IFNA(VLOOKUP(INDIRECT("G"&amp;ROW()),minfo!$A:$M,COLUMN()-8,0),"")</f>
        <v>0</v>
      </c>
      <c r="M935" s="4">
        <f ca="1">_xlfn.IFNA(VLOOKUP(INDIRECT("G"&amp;ROW()),minfo!$A:$M,COLUMN()-8,0),"")</f>
        <v>0</v>
      </c>
      <c r="N935" s="4">
        <f ca="1">_xlfn.IFNA(VLOOKUP(INDIRECT("G"&amp;ROW()),minfo!$A:$M,COLUMN()-8,0),"")</f>
        <v>0</v>
      </c>
      <c r="O935" s="4" t="str">
        <f ca="1">_xlfn.IFNA(VLOOKUP(INDIRECT("G"&amp;ROW()),minfo!$A:$M,COLUMN()-8,0),"")</f>
        <v>http://i0.hdslb.com/bfs/station_src/music_metadata/4c29d6e8ea08a5ae0f90cb123bf5f52d.jpg</v>
      </c>
      <c r="P935" s="4" t="str">
        <f ca="1">_xlfn.IFNA(VLOOKUP(INDIRECT("G"&amp;ROW()),minfo!$A:$M,COLUMN()-8,0),"")</f>
        <v>http://i0.hdslb.com/bfs/station_src/music_metadata/7dfb091f97b87d41cdb10f22a04b20e6</v>
      </c>
      <c r="Q935" s="4">
        <f ca="1">_xlfn.IFNA(VLOOKUP(INDIRECT("G"&amp;ROW()),minfo!$A:$M,COLUMN()-8,0),"")</f>
        <v>8985</v>
      </c>
      <c r="R935" s="4" t="str">
        <f ca="1">_xlfn.IFNA(VLOOKUP(INDIRECT("G"&amp;ROW()),minfo!$A:$M,COLUMN()-8,0),"")</f>
        <v>《我和我的父辈》电影主题推广曲</v>
      </c>
      <c r="S935" s="4" t="str">
        <f ca="1">_xlfn.IFNA(VLOOKUP(INDIRECT("G"&amp;ROW()),minfo!$A:$M,COLUMN()-8,0),"")</f>
        <v>如愿</v>
      </c>
      <c r="T935" s="4">
        <f ca="1">_xlfn.IFNA(VLOOKUP(INDIRECT("G"&amp;ROW()),minfo!$A:$M,COLUMN()-8,0),"")</f>
        <v>520502983</v>
      </c>
      <c r="U935" s="4">
        <f ca="1">_xlfn.IFNA(VLOOKUP(INDIRECT("G"&amp;ROW()),minfo!$A:$M,COLUMN()-8,0),"")</f>
        <v>0</v>
      </c>
    </row>
    <row r="936" spans="1:21" ht="15.75" customHeight="1">
      <c r="A936" s="15">
        <v>935</v>
      </c>
      <c r="B936" s="4" t="s">
        <v>4530</v>
      </c>
      <c r="C936" s="4">
        <v>936</v>
      </c>
      <c r="D936" s="4">
        <v>150</v>
      </c>
      <c r="E936" s="4" t="s">
        <v>1102</v>
      </c>
      <c r="F936" s="16">
        <v>44649</v>
      </c>
      <c r="G936" s="5" t="s">
        <v>1101</v>
      </c>
      <c r="H936" s="5" t="s">
        <v>4375</v>
      </c>
      <c r="I936" s="24" t="str">
        <f>HYPERLINK("https://www.bilibili.com/video/BV1pY411t7Rb?p=150", "BV1pY411t7Rb?p=150")</f>
        <v>BV1pY411t7Rb?p=150</v>
      </c>
      <c r="J936" s="4" t="str">
        <f ca="1">_xlfn.IFNA(VLOOKUP(INDIRECT("G"&amp;ROW()),minfo!$A:$M,COLUMN()-8,0),"")</f>
        <v>一生等你</v>
      </c>
      <c r="K936" s="4" t="str">
        <f ca="1">_xlfn.IFNA(VLOOKUP(INDIRECT("G"&amp;ROW()),minfo!$A:$M,COLUMN()-8,0),"")</f>
        <v>袁娅维TIA RAY</v>
      </c>
      <c r="L936" s="4">
        <f ca="1">_xlfn.IFNA(VLOOKUP(INDIRECT("G"&amp;ROW()),minfo!$A:$M,COLUMN()-8,0),"")</f>
        <v>0</v>
      </c>
      <c r="M936" s="4">
        <f ca="1">_xlfn.IFNA(VLOOKUP(INDIRECT("G"&amp;ROW()),minfo!$A:$M,COLUMN()-8,0),"")</f>
        <v>0</v>
      </c>
      <c r="N936" s="4">
        <f ca="1">_xlfn.IFNA(VLOOKUP(INDIRECT("G"&amp;ROW()),minfo!$A:$M,COLUMN()-8,0),"")</f>
        <v>0</v>
      </c>
      <c r="O936" s="4" t="str">
        <f ca="1">_xlfn.IFNA(VLOOKUP(INDIRECT("G"&amp;ROW()),minfo!$A:$M,COLUMN()-8,0),"")</f>
        <v>http://i0.hdslb.com/bfs/station_src/music_metadata/6b290dc35e11386d12c150c4f46c485e.jpg</v>
      </c>
      <c r="P936" s="4">
        <f ca="1">_xlfn.IFNA(VLOOKUP(INDIRECT("G"&amp;ROW()),minfo!$A:$M,COLUMN()-8,0),"")</f>
        <v>0</v>
      </c>
      <c r="Q936" s="4">
        <f ca="1">_xlfn.IFNA(VLOOKUP(INDIRECT("G"&amp;ROW()),minfo!$A:$M,COLUMN()-8,0),"")</f>
        <v>541</v>
      </c>
      <c r="R936" s="4" t="str">
        <f ca="1">_xlfn.IFNA(VLOOKUP(INDIRECT("G"&amp;ROW()),minfo!$A:$M,COLUMN()-8,0),"")</f>
        <v>《媚者无疆》电视剧主题曲</v>
      </c>
      <c r="S936" s="4" t="str">
        <f ca="1">_xlfn.IFNA(VLOOKUP(INDIRECT("G"&amp;ROW()),minfo!$A:$M,COLUMN()-8,0),"")</f>
        <v>媚者无疆 电视剧原声带</v>
      </c>
      <c r="T936" s="4">
        <f ca="1">_xlfn.IFNA(VLOOKUP(INDIRECT("G"&amp;ROW()),minfo!$A:$M,COLUMN()-8,0),"")</f>
        <v>100001088</v>
      </c>
      <c r="U936" s="4">
        <f ca="1">_xlfn.IFNA(VLOOKUP(INDIRECT("G"&amp;ROW()),minfo!$A:$M,COLUMN()-8,0),"")</f>
        <v>0</v>
      </c>
    </row>
    <row r="937" spans="1:21" ht="15.75" customHeight="1">
      <c r="A937" s="15">
        <v>936</v>
      </c>
      <c r="B937" s="4" t="s">
        <v>4531</v>
      </c>
      <c r="C937" s="4">
        <v>937</v>
      </c>
      <c r="D937" s="4">
        <v>151</v>
      </c>
      <c r="E937" s="4" t="s">
        <v>4532</v>
      </c>
      <c r="F937" s="16">
        <v>44650</v>
      </c>
      <c r="G937" s="5" t="s">
        <v>925</v>
      </c>
      <c r="H937" s="5" t="s">
        <v>4375</v>
      </c>
      <c r="I937" s="24" t="str">
        <f>HYPERLINK("https://www.bilibili.com/video/BV1pY411t7Rb?p=151", "BV1pY411t7Rb?p=151")</f>
        <v>BV1pY411t7Rb?p=151</v>
      </c>
      <c r="J937" s="4" t="str">
        <f ca="1">_xlfn.IFNA(VLOOKUP(INDIRECT("G"&amp;ROW()),minfo!$A:$M,COLUMN()-8,0),"")</f>
        <v>神女劈观</v>
      </c>
      <c r="K937" s="4" t="str">
        <f ca="1">_xlfn.IFNA(VLOOKUP(INDIRECT("G"&amp;ROW()),minfo!$A:$M,COLUMN()-8,0),"")</f>
        <v>HOYO-MiX</v>
      </c>
      <c r="L937" s="4">
        <f ca="1">_xlfn.IFNA(VLOOKUP(INDIRECT("G"&amp;ROW()),minfo!$A:$M,COLUMN()-8,0),"")</f>
        <v>0</v>
      </c>
      <c r="M937" s="4">
        <f ca="1">_xlfn.IFNA(VLOOKUP(INDIRECT("G"&amp;ROW()),minfo!$A:$M,COLUMN()-8,0),"")</f>
        <v>2103209</v>
      </c>
      <c r="N937" s="4">
        <f ca="1">_xlfn.IFNA(VLOOKUP(INDIRECT("G"&amp;ROW()),minfo!$A:$M,COLUMN()-8,0),"")</f>
        <v>767801</v>
      </c>
      <c r="O937" s="4" t="str">
        <f ca="1">_xlfn.IFNA(VLOOKUP(INDIRECT("G"&amp;ROW()),minfo!$A:$M,COLUMN()-8,0),"")</f>
        <v>http://i0.hdslb.com/bfs/station_src/music_metadata/bc1d86b5ee7157af18f4695ed5ae5ebd.jpg</v>
      </c>
      <c r="P937" s="4" t="str">
        <f ca="1">_xlfn.IFNA(VLOOKUP(INDIRECT("G"&amp;ROW()),minfo!$A:$M,COLUMN()-8,0),"")</f>
        <v>http://i0.hdslb.com/bfs/station_src/music_metadata/88b56d438a01f679754b40f053092495</v>
      </c>
      <c r="Q937" s="4">
        <f ca="1">_xlfn.IFNA(VLOOKUP(INDIRECT("G"&amp;ROW()),minfo!$A:$M,COLUMN()-8,0),"")</f>
        <v>11361</v>
      </c>
      <c r="R937" s="4">
        <f ca="1">_xlfn.IFNA(VLOOKUP(INDIRECT("G"&amp;ROW()),minfo!$A:$M,COLUMN()-8,0),"")</f>
        <v>0</v>
      </c>
      <c r="S937" s="4" t="str">
        <f ca="1">_xlfn.IFNA(VLOOKUP(INDIRECT("G"&amp;ROW()),minfo!$A:$M,COLUMN()-8,0),"")</f>
        <v>「飞彩镌流年」游戏原声EP专辑</v>
      </c>
      <c r="T937" s="4">
        <f ca="1">_xlfn.IFNA(VLOOKUP(INDIRECT("G"&amp;ROW()),minfo!$A:$M,COLUMN()-8,0),"")</f>
        <v>345148142</v>
      </c>
      <c r="U937" s="4">
        <f ca="1">_xlfn.IFNA(VLOOKUP(INDIRECT("G"&amp;ROW()),minfo!$A:$M,COLUMN()-8,0),"")</f>
        <v>0</v>
      </c>
    </row>
    <row r="938" spans="1:21" ht="15.75" customHeight="1">
      <c r="A938" s="15">
        <v>937</v>
      </c>
      <c r="B938" s="4" t="s">
        <v>4533</v>
      </c>
      <c r="C938" s="4">
        <v>938</v>
      </c>
      <c r="D938" s="4">
        <v>152</v>
      </c>
      <c r="E938" s="4" t="s">
        <v>1255</v>
      </c>
      <c r="F938" s="16">
        <v>44651</v>
      </c>
      <c r="G938" s="5" t="s">
        <v>1254</v>
      </c>
      <c r="H938" s="5" t="s">
        <v>4375</v>
      </c>
      <c r="I938" s="24" t="str">
        <f>HYPERLINK("https://www.bilibili.com/video/BV1pY411t7Rb?p=152", "BV1pY411t7Rb?p=152")</f>
        <v>BV1pY411t7Rb?p=152</v>
      </c>
      <c r="J938" s="4" t="str">
        <f ca="1">_xlfn.IFNA(VLOOKUP(INDIRECT("G"&amp;ROW()),minfo!$A:$M,COLUMN()-8,0),"")</f>
        <v>频率</v>
      </c>
      <c r="K938" s="4" t="str">
        <f ca="1">_xlfn.IFNA(VLOOKUP(INDIRECT("G"&amp;ROW()),minfo!$A:$M,COLUMN()-8,0),"")</f>
        <v>苏打绿</v>
      </c>
      <c r="L938" s="4">
        <f ca="1">_xlfn.IFNA(VLOOKUP(INDIRECT("G"&amp;ROW()),minfo!$A:$M,COLUMN()-8,0),"")</f>
        <v>0</v>
      </c>
      <c r="M938" s="4">
        <f ca="1">_xlfn.IFNA(VLOOKUP(INDIRECT("G"&amp;ROW()),minfo!$A:$M,COLUMN()-8,0),"")</f>
        <v>0</v>
      </c>
      <c r="N938" s="4">
        <f ca="1">_xlfn.IFNA(VLOOKUP(INDIRECT("G"&amp;ROW()),minfo!$A:$M,COLUMN()-8,0),"")</f>
        <v>0</v>
      </c>
      <c r="O938" s="4" t="str">
        <f ca="1">_xlfn.IFNA(VLOOKUP(INDIRECT("G"&amp;ROW()),minfo!$A:$M,COLUMN()-8,0),"")</f>
        <v>http://i0.hdslb.com/bfs/station_src/music_metadata/d355dd715b57d78b55b55bafc618fa13.jpg</v>
      </c>
      <c r="P938" s="4" t="str">
        <f ca="1">_xlfn.IFNA(VLOOKUP(INDIRECT("G"&amp;ROW()),minfo!$A:$M,COLUMN()-8,0),"")</f>
        <v>https://i0.hdslb.com/bfs/station_src/music_metadata/f0e4923aa68dd06d7470f9e57ad496f2.txt</v>
      </c>
      <c r="Q938" s="4">
        <f ca="1">_xlfn.IFNA(VLOOKUP(INDIRECT("G"&amp;ROW()),minfo!$A:$M,COLUMN()-8,0),"")</f>
        <v>11</v>
      </c>
      <c r="R938" s="4">
        <f ca="1">_xlfn.IFNA(VLOOKUP(INDIRECT("G"&amp;ROW()),minfo!$A:$M,COLUMN()-8,0),"")</f>
        <v>0</v>
      </c>
      <c r="S938" s="4">
        <f ca="1">_xlfn.IFNA(VLOOKUP(INDIRECT("G"&amp;ROW()),minfo!$A:$M,COLUMN()-8,0),"")</f>
        <v>0</v>
      </c>
      <c r="T938" s="4">
        <f ca="1">_xlfn.IFNA(VLOOKUP(INDIRECT("G"&amp;ROW()),minfo!$A:$M,COLUMN()-8,0),"")</f>
        <v>4994709</v>
      </c>
      <c r="U938" s="4">
        <f ca="1">_xlfn.IFNA(VLOOKUP(INDIRECT("G"&amp;ROW()),minfo!$A:$M,COLUMN()-8,0),"")</f>
        <v>0</v>
      </c>
    </row>
    <row r="939" spans="1:21" ht="15.75" customHeight="1">
      <c r="A939" s="15">
        <v>938</v>
      </c>
      <c r="B939" s="4" t="s">
        <v>4534</v>
      </c>
      <c r="C939" s="4">
        <v>939</v>
      </c>
      <c r="D939" s="4">
        <v>153</v>
      </c>
      <c r="E939" s="4" t="s">
        <v>180</v>
      </c>
      <c r="F939" s="16">
        <v>44651</v>
      </c>
      <c r="G939" s="5" t="s">
        <v>179</v>
      </c>
      <c r="H939" s="5" t="s">
        <v>4375</v>
      </c>
      <c r="I939" s="24" t="str">
        <f>HYPERLINK("https://www.bilibili.com/video/BV1pY411t7Rb?p=153", "BV1pY411t7Rb?p=153")</f>
        <v>BV1pY411t7Rb?p=153</v>
      </c>
      <c r="J939" s="4" t="str">
        <f ca="1">_xlfn.IFNA(VLOOKUP(INDIRECT("G"&amp;ROW()),minfo!$A:$M,COLUMN()-8,0),"")</f>
        <v>雪落下的声音</v>
      </c>
      <c r="K939" s="4" t="str">
        <f ca="1">_xlfn.IFNA(VLOOKUP(INDIRECT("G"&amp;ROW()),minfo!$A:$M,COLUMN()-8,0),"")</f>
        <v>陆虎</v>
      </c>
      <c r="L939" s="4">
        <f ca="1">_xlfn.IFNA(VLOOKUP(INDIRECT("G"&amp;ROW()),minfo!$A:$M,COLUMN()-8,0),"")</f>
        <v>0</v>
      </c>
      <c r="M939" s="4">
        <f ca="1">_xlfn.IFNA(VLOOKUP(INDIRECT("G"&amp;ROW()),minfo!$A:$M,COLUMN()-8,0),"")</f>
        <v>0</v>
      </c>
      <c r="N939" s="4">
        <f ca="1">_xlfn.IFNA(VLOOKUP(INDIRECT("G"&amp;ROW()),minfo!$A:$M,COLUMN()-8,0),"")</f>
        <v>0</v>
      </c>
      <c r="O939" s="4" t="str">
        <f ca="1">_xlfn.IFNA(VLOOKUP(INDIRECT("G"&amp;ROW()),minfo!$A:$M,COLUMN()-8,0),"")</f>
        <v>http://i0.hdslb.com/bfs/station_src/music_metadata/f4572c77b0f3a173236700166377c6c1.jpg</v>
      </c>
      <c r="P939" s="4" t="str">
        <f ca="1">_xlfn.IFNA(VLOOKUP(INDIRECT("G"&amp;ROW()),minfo!$A:$M,COLUMN()-8,0),"")</f>
        <v>http://i0.hdslb.com/bfs/station_src/music_metadata/0ede01b76f5911ecd8df09f7308038d9</v>
      </c>
      <c r="Q939" s="4">
        <f ca="1">_xlfn.IFNA(VLOOKUP(INDIRECT("G"&amp;ROW()),minfo!$A:$M,COLUMN()-8,0),"")</f>
        <v>1394</v>
      </c>
      <c r="R939" s="4" t="str">
        <f ca="1">_xlfn.IFNA(VLOOKUP(INDIRECT("G"&amp;ROW()),minfo!$A:$M,COLUMN()-8,0),"")</f>
        <v>《延禧攻略》电视剧片尾曲</v>
      </c>
      <c r="S939" s="4" t="str">
        <f ca="1">_xlfn.IFNA(VLOOKUP(INDIRECT("G"&amp;ROW()),minfo!$A:$M,COLUMN()-8,0),"")</f>
        <v>延禧攻略OST</v>
      </c>
      <c r="T939" s="4">
        <f ca="1">_xlfn.IFNA(VLOOKUP(INDIRECT("G"&amp;ROW()),minfo!$A:$M,COLUMN()-8,0),"")</f>
        <v>365899290</v>
      </c>
      <c r="U939" s="4">
        <f ca="1">_xlfn.IFNA(VLOOKUP(INDIRECT("G"&amp;ROW()),minfo!$A:$M,COLUMN()-8,0),"")</f>
        <v>0</v>
      </c>
    </row>
    <row r="940" spans="1:21" ht="15.75" customHeight="1">
      <c r="A940" s="15">
        <v>939</v>
      </c>
      <c r="B940" s="4" t="s">
        <v>4535</v>
      </c>
      <c r="C940" s="4">
        <v>940</v>
      </c>
      <c r="D940" s="4">
        <v>154</v>
      </c>
      <c r="E940" s="4" t="s">
        <v>73</v>
      </c>
      <c r="F940" s="16">
        <v>44651</v>
      </c>
      <c r="G940" s="5" t="s">
        <v>2165</v>
      </c>
      <c r="H940" s="5" t="s">
        <v>4375</v>
      </c>
      <c r="I940" s="24" t="str">
        <f>HYPERLINK("https://www.bilibili.com/video/BV1pY411t7Rb?p=154", "BV1pY411t7Rb?p=154")</f>
        <v>BV1pY411t7Rb?p=154</v>
      </c>
      <c r="J940" s="4" t="str">
        <f ca="1">_xlfn.IFNA(VLOOKUP(INDIRECT("G"&amp;ROW()),minfo!$A:$M,COLUMN()-8,0),"")</f>
        <v>午夜杀</v>
      </c>
      <c r="K940" s="4" t="str">
        <f ca="1">_xlfn.IFNA(VLOOKUP(INDIRECT("G"&amp;ROW()),minfo!$A:$M,COLUMN()-8,0),"")</f>
        <v>说说Crystal</v>
      </c>
      <c r="L940" s="4">
        <f ca="1">_xlfn.IFNA(VLOOKUP(INDIRECT("G"&amp;ROW()),minfo!$A:$M,COLUMN()-8,0),"")</f>
        <v>0</v>
      </c>
      <c r="M940" s="4">
        <f ca="1">_xlfn.IFNA(VLOOKUP(INDIRECT("G"&amp;ROW()),minfo!$A:$M,COLUMN()-8,0),"")</f>
        <v>0</v>
      </c>
      <c r="N940" s="4">
        <f ca="1">_xlfn.IFNA(VLOOKUP(INDIRECT("G"&amp;ROW()),minfo!$A:$M,COLUMN()-8,0),"")</f>
        <v>0</v>
      </c>
      <c r="O940" s="4" t="str">
        <f ca="1">_xlfn.IFNA(VLOOKUP(INDIRECT("G"&amp;ROW()),minfo!$A:$M,COLUMN()-8,0),"")</f>
        <v>https://i0.hdslb.com/bfs/station_src/music_metadata/30b69641b669b9133a40621b64ef0ab3.jpg</v>
      </c>
      <c r="P940" s="4" t="str">
        <f ca="1">_xlfn.IFNA(VLOOKUP(INDIRECT("G"&amp;ROW()),minfo!$A:$M,COLUMN()-8,0),"")</f>
        <v>https://i0.hdslb.com/bfs/station_src/music_metadata/c5f67a90f6e8546a6fd4f5ed36cd946c.txt</v>
      </c>
      <c r="Q940" s="4">
        <f ca="1">_xlfn.IFNA(VLOOKUP(INDIRECT("G"&amp;ROW()),minfo!$A:$M,COLUMN()-8,0),"")</f>
        <v>0</v>
      </c>
      <c r="R940" s="4">
        <f ca="1">_xlfn.IFNA(VLOOKUP(INDIRECT("G"&amp;ROW()),minfo!$A:$M,COLUMN()-8,0),"")</f>
        <v>0</v>
      </c>
      <c r="S940" s="4" t="str">
        <f ca="1">_xlfn.IFNA(VLOOKUP(INDIRECT("G"&amp;ROW()),minfo!$A:$M,COLUMN()-8,0),"")</f>
        <v>午夜杀</v>
      </c>
      <c r="T940" s="4">
        <f ca="1">_xlfn.IFNA(VLOOKUP(INDIRECT("G"&amp;ROW()),minfo!$A:$M,COLUMN()-8,0),"")</f>
        <v>109889</v>
      </c>
      <c r="U940" s="4">
        <f ca="1">_xlfn.IFNA(VLOOKUP(INDIRECT("G"&amp;ROW()),minfo!$A:$M,COLUMN()-8,0),"")</f>
        <v>0</v>
      </c>
    </row>
    <row r="941" spans="1:21" ht="15.75" customHeight="1">
      <c r="A941" s="15">
        <v>940</v>
      </c>
      <c r="B941" s="4" t="s">
        <v>4536</v>
      </c>
      <c r="C941" s="4">
        <v>941</v>
      </c>
      <c r="D941" s="4">
        <v>155</v>
      </c>
      <c r="E941" s="4" t="s">
        <v>1867</v>
      </c>
      <c r="F941" s="16">
        <v>44651</v>
      </c>
      <c r="G941" s="5" t="s">
        <v>1866</v>
      </c>
      <c r="H941" s="5" t="s">
        <v>4375</v>
      </c>
      <c r="I941" s="24" t="str">
        <f>HYPERLINK("https://www.bilibili.com/video/BV1pY411t7Rb?p=155", "BV1pY411t7Rb?p=155")</f>
        <v>BV1pY411t7Rb?p=155</v>
      </c>
      <c r="J941" s="4" t="str">
        <f ca="1">_xlfn.IFNA(VLOOKUP(INDIRECT("G"&amp;ROW()),minfo!$A:$M,COLUMN()-8,0),"")</f>
        <v>冬眠</v>
      </c>
      <c r="K941" s="4" t="str">
        <f ca="1">_xlfn.IFNA(VLOOKUP(INDIRECT("G"&amp;ROW()),minfo!$A:$M,COLUMN()-8,0),"")</f>
        <v>司南</v>
      </c>
      <c r="L941" s="4">
        <f ca="1">_xlfn.IFNA(VLOOKUP(INDIRECT("G"&amp;ROW()),minfo!$A:$M,COLUMN()-8,0),"")</f>
        <v>0</v>
      </c>
      <c r="M941" s="4">
        <f ca="1">_xlfn.IFNA(VLOOKUP(INDIRECT("G"&amp;ROW()),minfo!$A:$M,COLUMN()-8,0),"")</f>
        <v>0</v>
      </c>
      <c r="N941" s="4">
        <f ca="1">_xlfn.IFNA(VLOOKUP(INDIRECT("G"&amp;ROW()),minfo!$A:$M,COLUMN()-8,0),"")</f>
        <v>0</v>
      </c>
      <c r="O941" s="4" t="str">
        <f ca="1">_xlfn.IFNA(VLOOKUP(INDIRECT("G"&amp;ROW()),minfo!$A:$M,COLUMN()-8,0),"")</f>
        <v>https://i0.hdslb.com/bfs/station_src/music_metadata/af7f85ba04e20b74bd2d2f9c594d0f9e.jpg</v>
      </c>
      <c r="P941" s="4" t="str">
        <f ca="1">_xlfn.IFNA(VLOOKUP(INDIRECT("G"&amp;ROW()),minfo!$A:$M,COLUMN()-8,0),"")</f>
        <v>http://i0.hdslb.com/bfs/station_src/music_metadata/0697acb207ba1205710a76aa2cdbcb72</v>
      </c>
      <c r="Q941" s="4">
        <f ca="1">_xlfn.IFNA(VLOOKUP(INDIRECT("G"&amp;ROW()),minfo!$A:$M,COLUMN()-8,0),"")</f>
        <v>1234</v>
      </c>
      <c r="R941" s="4">
        <f ca="1">_xlfn.IFNA(VLOOKUP(INDIRECT("G"&amp;ROW()),minfo!$A:$M,COLUMN()-8,0),"")</f>
        <v>0</v>
      </c>
      <c r="S941" s="4" t="str">
        <f ca="1">_xlfn.IFNA(VLOOKUP(INDIRECT("G"&amp;ROW()),minfo!$A:$M,COLUMN()-8,0),"")</f>
        <v>冬眠</v>
      </c>
      <c r="T941" s="4">
        <f ca="1">_xlfn.IFNA(VLOOKUP(INDIRECT("G"&amp;ROW()),minfo!$A:$M,COLUMN()-8,0),"")</f>
        <v>278158388</v>
      </c>
      <c r="U941" s="4">
        <f ca="1">_xlfn.IFNA(VLOOKUP(INDIRECT("G"&amp;ROW()),minfo!$A:$M,COLUMN()-8,0),"")</f>
        <v>0</v>
      </c>
    </row>
    <row r="942" spans="1:21" ht="15.75" customHeight="1">
      <c r="A942" s="15">
        <v>941</v>
      </c>
      <c r="B942" s="4" t="s">
        <v>4537</v>
      </c>
      <c r="C942" s="4">
        <v>942</v>
      </c>
      <c r="D942" s="4">
        <v>156</v>
      </c>
      <c r="E942" s="4" t="s">
        <v>113</v>
      </c>
      <c r="F942" s="16">
        <v>44651</v>
      </c>
      <c r="G942" s="5" t="s">
        <v>113</v>
      </c>
      <c r="H942" s="5" t="s">
        <v>4375</v>
      </c>
      <c r="I942" s="24" t="str">
        <f>HYPERLINK("https://www.bilibili.com/video/BV1pY411t7Rb?p=156", "BV1pY411t7Rb?p=156")</f>
        <v>BV1pY411t7Rb?p=156</v>
      </c>
      <c r="J942" s="4" t="str">
        <f ca="1">_xlfn.IFNA(VLOOKUP(INDIRECT("G"&amp;ROW()),minfo!$A:$M,COLUMN()-8,0),"")</f>
        <v>牡丹亭畔</v>
      </c>
      <c r="K942" s="4" t="str">
        <f ca="1">_xlfn.IFNA(VLOOKUP(INDIRECT("G"&amp;ROW()),minfo!$A:$M,COLUMN()-8,0),"")</f>
        <v>说说Crystal</v>
      </c>
      <c r="L942" s="4" t="str">
        <f ca="1">_xlfn.IFNA(VLOOKUP(INDIRECT("G"&amp;ROW()),minfo!$A:$M,COLUMN()-8,0),"")</f>
        <v>BV1CP411M7tc</v>
      </c>
      <c r="M942" s="4">
        <f ca="1">_xlfn.IFNA(VLOOKUP(INDIRECT("G"&amp;ROW()),minfo!$A:$M,COLUMN()-8,0),"")</f>
        <v>0</v>
      </c>
      <c r="N942" s="4">
        <f ca="1">_xlfn.IFNA(VLOOKUP(INDIRECT("G"&amp;ROW()),minfo!$A:$M,COLUMN()-8,0),"")</f>
        <v>0</v>
      </c>
      <c r="O942" s="4">
        <f ca="1">_xlfn.IFNA(VLOOKUP(INDIRECT("G"&amp;ROW()),minfo!$A:$M,COLUMN()-8,0),"")</f>
        <v>0</v>
      </c>
      <c r="P942" s="4">
        <f ca="1">_xlfn.IFNA(VLOOKUP(INDIRECT("G"&amp;ROW()),minfo!$A:$M,COLUMN()-8,0),"")</f>
        <v>0</v>
      </c>
      <c r="Q942" s="4">
        <f ca="1">_xlfn.IFNA(VLOOKUP(INDIRECT("G"&amp;ROW()),minfo!$A:$M,COLUMN()-8,0),"")</f>
        <v>0</v>
      </c>
      <c r="R942" s="4">
        <f ca="1">_xlfn.IFNA(VLOOKUP(INDIRECT("G"&amp;ROW()),minfo!$A:$M,COLUMN()-8,0),"")</f>
        <v>0</v>
      </c>
      <c r="S942" s="4">
        <f ca="1">_xlfn.IFNA(VLOOKUP(INDIRECT("G"&amp;ROW()),minfo!$A:$M,COLUMN()-8,0),"")</f>
        <v>0</v>
      </c>
      <c r="T942" s="4">
        <f ca="1">_xlfn.IFNA(VLOOKUP(INDIRECT("G"&amp;ROW()),minfo!$A:$M,COLUMN()-8,0),"")</f>
        <v>0</v>
      </c>
      <c r="U942" s="4">
        <f ca="1">_xlfn.IFNA(VLOOKUP(INDIRECT("G"&amp;ROW()),minfo!$A:$M,COLUMN()-8,0),"")</f>
        <v>0</v>
      </c>
    </row>
    <row r="943" spans="1:21" ht="15.75" customHeight="1">
      <c r="A943" s="15">
        <v>942</v>
      </c>
      <c r="B943" s="4" t="s">
        <v>4538</v>
      </c>
      <c r="C943" s="4">
        <v>943</v>
      </c>
      <c r="D943" s="4">
        <v>157</v>
      </c>
      <c r="E943" s="4" t="s">
        <v>2047</v>
      </c>
      <c r="F943" s="16">
        <v>44651</v>
      </c>
      <c r="G943" s="5" t="s">
        <v>2046</v>
      </c>
      <c r="H943" s="5" t="s">
        <v>4375</v>
      </c>
      <c r="I943" s="24" t="str">
        <f>HYPERLINK("https://www.bilibili.com/video/BV1pY411t7Rb?p=157", "BV1pY411t7Rb?p=157")</f>
        <v>BV1pY411t7Rb?p=157</v>
      </c>
      <c r="J943" s="4" t="str">
        <f ca="1">_xlfn.IFNA(VLOOKUP(INDIRECT("G"&amp;ROW()),minfo!$A:$M,COLUMN()-8,0),"")</f>
        <v>悟空</v>
      </c>
      <c r="K943" s="4" t="str">
        <f ca="1">_xlfn.IFNA(VLOOKUP(INDIRECT("G"&amp;ROW()),minfo!$A:$M,COLUMN()-8,0),"")</f>
        <v>戴荃</v>
      </c>
      <c r="L943" s="4">
        <f ca="1">_xlfn.IFNA(VLOOKUP(INDIRECT("G"&amp;ROW()),minfo!$A:$M,COLUMN()-8,0),"")</f>
        <v>0</v>
      </c>
      <c r="M943" s="4">
        <f ca="1">_xlfn.IFNA(VLOOKUP(INDIRECT("G"&amp;ROW()),minfo!$A:$M,COLUMN()-8,0),"")</f>
        <v>0</v>
      </c>
      <c r="N943" s="4">
        <f ca="1">_xlfn.IFNA(VLOOKUP(INDIRECT("G"&amp;ROW()),minfo!$A:$M,COLUMN()-8,0),"")</f>
        <v>0</v>
      </c>
      <c r="O943" s="4" t="str">
        <f ca="1">_xlfn.IFNA(VLOOKUP(INDIRECT("G"&amp;ROW()),minfo!$A:$M,COLUMN()-8,0),"")</f>
        <v>http://i0.hdslb.com/bfs/station_src/music_metadata/30375eb81c3b7cf01d225e15045113b5.jpg</v>
      </c>
      <c r="P943" s="4" t="str">
        <f ca="1">_xlfn.IFNA(VLOOKUP(INDIRECT("G"&amp;ROW()),minfo!$A:$M,COLUMN()-8,0),"")</f>
        <v>http://i0.hdslb.com/bfs/station_src/music_metadata/354cec252d4724865b3b0d98dd25a681</v>
      </c>
      <c r="Q943" s="4">
        <f ca="1">_xlfn.IFNA(VLOOKUP(INDIRECT("G"&amp;ROW()),minfo!$A:$M,COLUMN()-8,0),"")</f>
        <v>474</v>
      </c>
      <c r="R943" s="4">
        <f ca="1">_xlfn.IFNA(VLOOKUP(INDIRECT("G"&amp;ROW()),minfo!$A:$M,COLUMN()-8,0),"")</f>
        <v>0</v>
      </c>
      <c r="S943" s="4" t="str">
        <f ca="1">_xlfn.IFNA(VLOOKUP(INDIRECT("G"&amp;ROW()),minfo!$A:$M,COLUMN()-8,0),"")</f>
        <v>悟空</v>
      </c>
      <c r="T943" s="4">
        <f ca="1">_xlfn.IFNA(VLOOKUP(INDIRECT("G"&amp;ROW()),minfo!$A:$M,COLUMN()-8,0),"")</f>
        <v>194456218</v>
      </c>
      <c r="U943" s="4" t="str">
        <f ca="1">_xlfn.IFNA(VLOOKUP(INDIRECT("G"&amp;ROW()),minfo!$A:$M,COLUMN()-8,0),"")</f>
        <v>音乐榜最高NO.7</v>
      </c>
    </row>
    <row r="944" spans="1:21" ht="15.75" customHeight="1">
      <c r="A944" s="15">
        <v>943</v>
      </c>
      <c r="B944" s="4" t="s">
        <v>4539</v>
      </c>
      <c r="C944" s="4">
        <v>944</v>
      </c>
      <c r="D944" s="4">
        <v>158</v>
      </c>
      <c r="E944" s="4" t="s">
        <v>226</v>
      </c>
      <c r="F944" s="16">
        <v>44651</v>
      </c>
      <c r="G944" s="5" t="s">
        <v>225</v>
      </c>
      <c r="H944" s="5" t="s">
        <v>4375</v>
      </c>
      <c r="I944" s="24" t="str">
        <f>HYPERLINK("https://www.bilibili.com/video/BV1pY411t7Rb?p=158", "BV1pY411t7Rb?p=158")</f>
        <v>BV1pY411t7Rb?p=158</v>
      </c>
      <c r="J944" s="4" t="str">
        <f ca="1">_xlfn.IFNA(VLOOKUP(INDIRECT("G"&amp;ROW()),minfo!$A:$M,COLUMN()-8,0),"")</f>
        <v>如愿</v>
      </c>
      <c r="K944" s="4" t="str">
        <f ca="1">_xlfn.IFNA(VLOOKUP(INDIRECT("G"&amp;ROW()),minfo!$A:$M,COLUMN()-8,0),"")</f>
        <v>王菲</v>
      </c>
      <c r="L944" s="4">
        <f ca="1">_xlfn.IFNA(VLOOKUP(INDIRECT("G"&amp;ROW()),minfo!$A:$M,COLUMN()-8,0),"")</f>
        <v>0</v>
      </c>
      <c r="M944" s="4">
        <f ca="1">_xlfn.IFNA(VLOOKUP(INDIRECT("G"&amp;ROW()),minfo!$A:$M,COLUMN()-8,0),"")</f>
        <v>0</v>
      </c>
      <c r="N944" s="4">
        <f ca="1">_xlfn.IFNA(VLOOKUP(INDIRECT("G"&amp;ROW()),minfo!$A:$M,COLUMN()-8,0),"")</f>
        <v>0</v>
      </c>
      <c r="O944" s="4" t="str">
        <f ca="1">_xlfn.IFNA(VLOOKUP(INDIRECT("G"&amp;ROW()),minfo!$A:$M,COLUMN()-8,0),"")</f>
        <v>http://i0.hdslb.com/bfs/station_src/music_metadata/4c29d6e8ea08a5ae0f90cb123bf5f52d.jpg</v>
      </c>
      <c r="P944" s="4" t="str">
        <f ca="1">_xlfn.IFNA(VLOOKUP(INDIRECT("G"&amp;ROW()),minfo!$A:$M,COLUMN()-8,0),"")</f>
        <v>http://i0.hdslb.com/bfs/station_src/music_metadata/7dfb091f97b87d41cdb10f22a04b20e6</v>
      </c>
      <c r="Q944" s="4">
        <f ca="1">_xlfn.IFNA(VLOOKUP(INDIRECT("G"&amp;ROW()),minfo!$A:$M,COLUMN()-8,0),"")</f>
        <v>8985</v>
      </c>
      <c r="R944" s="4" t="str">
        <f ca="1">_xlfn.IFNA(VLOOKUP(INDIRECT("G"&amp;ROW()),minfo!$A:$M,COLUMN()-8,0),"")</f>
        <v>《我和我的父辈》电影主题推广曲</v>
      </c>
      <c r="S944" s="4" t="str">
        <f ca="1">_xlfn.IFNA(VLOOKUP(INDIRECT("G"&amp;ROW()),minfo!$A:$M,COLUMN()-8,0),"")</f>
        <v>如愿</v>
      </c>
      <c r="T944" s="4">
        <f ca="1">_xlfn.IFNA(VLOOKUP(INDIRECT("G"&amp;ROW()),minfo!$A:$M,COLUMN()-8,0),"")</f>
        <v>520502983</v>
      </c>
      <c r="U944" s="4">
        <f ca="1">_xlfn.IFNA(VLOOKUP(INDIRECT("G"&amp;ROW()),minfo!$A:$M,COLUMN()-8,0),"")</f>
        <v>0</v>
      </c>
    </row>
    <row r="945" spans="1:21" ht="15.75" customHeight="1">
      <c r="A945" s="15">
        <v>944</v>
      </c>
      <c r="B945" s="4" t="s">
        <v>4540</v>
      </c>
      <c r="C945" s="4">
        <v>945</v>
      </c>
      <c r="D945" s="4">
        <v>159</v>
      </c>
      <c r="E945" s="4" t="s">
        <v>259</v>
      </c>
      <c r="F945" s="16">
        <v>44651</v>
      </c>
      <c r="G945" s="5" t="s">
        <v>258</v>
      </c>
      <c r="H945" s="5" t="s">
        <v>4375</v>
      </c>
      <c r="I945" s="24" t="str">
        <f>HYPERLINK("https://www.bilibili.com/video/BV1pY411t7Rb?p=159", "BV1pY411t7Rb?p=159")</f>
        <v>BV1pY411t7Rb?p=159</v>
      </c>
      <c r="J945" s="4" t="str">
        <f ca="1">_xlfn.IFNA(VLOOKUP(INDIRECT("G"&amp;ROW()),minfo!$A:$M,COLUMN()-8,0),"")</f>
        <v>枫</v>
      </c>
      <c r="K945" s="4" t="str">
        <f ca="1">_xlfn.IFNA(VLOOKUP(INDIRECT("G"&amp;ROW()),minfo!$A:$M,COLUMN()-8,0),"")</f>
        <v>周杰伦</v>
      </c>
      <c r="L945" s="4">
        <f ca="1">_xlfn.IFNA(VLOOKUP(INDIRECT("G"&amp;ROW()),minfo!$A:$M,COLUMN()-8,0),"")</f>
        <v>0</v>
      </c>
      <c r="M945" s="4">
        <f ca="1">_xlfn.IFNA(VLOOKUP(INDIRECT("G"&amp;ROW()),minfo!$A:$M,COLUMN()-8,0),"")</f>
        <v>0</v>
      </c>
      <c r="N945" s="4">
        <f ca="1">_xlfn.IFNA(VLOOKUP(INDIRECT("G"&amp;ROW()),minfo!$A:$M,COLUMN()-8,0),"")</f>
        <v>0</v>
      </c>
      <c r="O945" s="4" t="str">
        <f ca="1">_xlfn.IFNA(VLOOKUP(INDIRECT("G"&amp;ROW()),minfo!$A:$M,COLUMN()-8,0),"")</f>
        <v>https://i0.hdslb.com/bfs/station_src/music_metadata/fb82b0fb2908b09d88ba13ef0db91863.jpg</v>
      </c>
      <c r="P945" s="4" t="str">
        <f ca="1">_xlfn.IFNA(VLOOKUP(INDIRECT("G"&amp;ROW()),minfo!$A:$M,COLUMN()-8,0),"")</f>
        <v>http://i0.hdslb.com/bfs/station_src/music_metadata/9b1e7a89ea3eead8b8c6b32cdb30abd9</v>
      </c>
      <c r="Q945" s="4">
        <f ca="1">_xlfn.IFNA(VLOOKUP(INDIRECT("G"&amp;ROW()),minfo!$A:$M,COLUMN()-8,0),"")</f>
        <v>6002</v>
      </c>
      <c r="R945" s="4">
        <f ca="1">_xlfn.IFNA(VLOOKUP(INDIRECT("G"&amp;ROW()),minfo!$A:$M,COLUMN()-8,0),"")</f>
        <v>0</v>
      </c>
      <c r="S945" s="4" t="str">
        <f ca="1">_xlfn.IFNA(VLOOKUP(INDIRECT("G"&amp;ROW()),minfo!$A:$M,COLUMN()-8,0),"")</f>
        <v>十一月的萧邦</v>
      </c>
      <c r="T945" s="4">
        <f ca="1">_xlfn.IFNA(VLOOKUP(INDIRECT("G"&amp;ROW()),minfo!$A:$M,COLUMN()-8,0),"")</f>
        <v>560749777</v>
      </c>
      <c r="U945" s="4">
        <f ca="1">_xlfn.IFNA(VLOOKUP(INDIRECT("G"&amp;ROW()),minfo!$A:$M,COLUMN()-8,0),"")</f>
        <v>0</v>
      </c>
    </row>
    <row r="946" spans="1:21" ht="15.75" customHeight="1">
      <c r="A946" s="15">
        <v>945</v>
      </c>
      <c r="B946" s="4" t="s">
        <v>4541</v>
      </c>
      <c r="C946" s="4">
        <v>946</v>
      </c>
      <c r="D946" s="4">
        <v>160</v>
      </c>
      <c r="E946" s="4" t="s">
        <v>918</v>
      </c>
      <c r="F946" s="16">
        <v>44651</v>
      </c>
      <c r="G946" s="5" t="s">
        <v>917</v>
      </c>
      <c r="H946" s="5" t="s">
        <v>4375</v>
      </c>
      <c r="I946" s="24" t="str">
        <f>HYPERLINK("https://www.bilibili.com/video/BV1pY411t7Rb?p=160", "BV1pY411t7Rb?p=160")</f>
        <v>BV1pY411t7Rb?p=160</v>
      </c>
      <c r="J946" s="4" t="str">
        <f ca="1">_xlfn.IFNA(VLOOKUP(INDIRECT("G"&amp;ROW()),minfo!$A:$M,COLUMN()-8,0),"")</f>
        <v>暗号</v>
      </c>
      <c r="K946" s="4" t="str">
        <f ca="1">_xlfn.IFNA(VLOOKUP(INDIRECT("G"&amp;ROW()),minfo!$A:$M,COLUMN()-8,0),"")</f>
        <v>周杰伦</v>
      </c>
      <c r="L946" s="4">
        <f ca="1">_xlfn.IFNA(VLOOKUP(INDIRECT("G"&amp;ROW()),minfo!$A:$M,COLUMN()-8,0),"")</f>
        <v>0</v>
      </c>
      <c r="M946" s="4">
        <f ca="1">_xlfn.IFNA(VLOOKUP(INDIRECT("G"&amp;ROW()),minfo!$A:$M,COLUMN()-8,0),"")</f>
        <v>0</v>
      </c>
      <c r="N946" s="4">
        <f ca="1">_xlfn.IFNA(VLOOKUP(INDIRECT("G"&amp;ROW()),minfo!$A:$M,COLUMN()-8,0),"")</f>
        <v>0</v>
      </c>
      <c r="O946" s="4" t="str">
        <f ca="1">_xlfn.IFNA(VLOOKUP(INDIRECT("G"&amp;ROW()),minfo!$A:$M,COLUMN()-8,0),"")</f>
        <v>https://i0.hdslb.com/bfs/station_src/music_metadata/836d7078552d6143b4a27f54a2a62598.jpg</v>
      </c>
      <c r="P946" s="4">
        <f ca="1">_xlfn.IFNA(VLOOKUP(INDIRECT("G"&amp;ROW()),minfo!$A:$M,COLUMN()-8,0),"")</f>
        <v>0</v>
      </c>
      <c r="Q946" s="4">
        <f ca="1">_xlfn.IFNA(VLOOKUP(INDIRECT("G"&amp;ROW()),minfo!$A:$M,COLUMN()-8,0),"")</f>
        <v>8346</v>
      </c>
      <c r="R946" s="4">
        <f ca="1">_xlfn.IFNA(VLOOKUP(INDIRECT("G"&amp;ROW()),minfo!$A:$M,COLUMN()-8,0),"")</f>
        <v>0</v>
      </c>
      <c r="S946" s="4" t="str">
        <f ca="1">_xlfn.IFNA(VLOOKUP(INDIRECT("G"&amp;ROW()),minfo!$A:$M,COLUMN()-8,0),"")</f>
        <v>八度空间</v>
      </c>
      <c r="T946" s="4">
        <f ca="1">_xlfn.IFNA(VLOOKUP(INDIRECT("G"&amp;ROW()),minfo!$A:$M,COLUMN()-8,0),"")</f>
        <v>445692889</v>
      </c>
      <c r="U946" s="4">
        <f ca="1">_xlfn.IFNA(VLOOKUP(INDIRECT("G"&amp;ROW()),minfo!$A:$M,COLUMN()-8,0),"")</f>
        <v>0</v>
      </c>
    </row>
    <row r="947" spans="1:21" ht="15.75" customHeight="1">
      <c r="A947" s="15">
        <v>946</v>
      </c>
      <c r="B947" s="4" t="s">
        <v>4542</v>
      </c>
      <c r="C947" s="4">
        <v>947</v>
      </c>
      <c r="D947" s="4">
        <v>161</v>
      </c>
      <c r="E947" s="4" t="s">
        <v>2169</v>
      </c>
      <c r="F947" s="16">
        <v>44651</v>
      </c>
      <c r="G947" s="5" t="s">
        <v>2168</v>
      </c>
      <c r="H947" s="5" t="s">
        <v>4375</v>
      </c>
      <c r="I947" s="24" t="str">
        <f>HYPERLINK("https://www.bilibili.com/video/BV1pY411t7Rb?p=161", "BV1pY411t7Rb?p=161")</f>
        <v>BV1pY411t7Rb?p=161</v>
      </c>
      <c r="J947" s="4" t="str">
        <f ca="1">_xlfn.IFNA(VLOOKUP(INDIRECT("G"&amp;ROW()),minfo!$A:$M,COLUMN()-8,0),"")</f>
        <v>言不由衷</v>
      </c>
      <c r="K947" s="4" t="str">
        <f ca="1">_xlfn.IFNA(VLOOKUP(INDIRECT("G"&amp;ROW()),minfo!$A:$M,COLUMN()-8,0),"")</f>
        <v>徐佳莹</v>
      </c>
      <c r="L947" s="4">
        <f ca="1">_xlfn.IFNA(VLOOKUP(INDIRECT("G"&amp;ROW()),minfo!$A:$M,COLUMN()-8,0),"")</f>
        <v>0</v>
      </c>
      <c r="M947" s="4">
        <f ca="1">_xlfn.IFNA(VLOOKUP(INDIRECT("G"&amp;ROW()),minfo!$A:$M,COLUMN()-8,0),"")</f>
        <v>0</v>
      </c>
      <c r="N947" s="4">
        <f ca="1">_xlfn.IFNA(VLOOKUP(INDIRECT("G"&amp;ROW()),minfo!$A:$M,COLUMN()-8,0),"")</f>
        <v>0</v>
      </c>
      <c r="O947" s="4" t="str">
        <f ca="1">_xlfn.IFNA(VLOOKUP(INDIRECT("G"&amp;ROW()),minfo!$A:$M,COLUMN()-8,0),"")</f>
        <v>https://i0.hdslb.com/bfs/station_src/music_metadata/d53323b88a45f35af4b93dbdc250a4ea.jpg</v>
      </c>
      <c r="P947" s="4" t="str">
        <f ca="1">_xlfn.IFNA(VLOOKUP(INDIRECT("G"&amp;ROW()),minfo!$A:$M,COLUMN()-8,0),"")</f>
        <v>https://i0.hdslb.com/bfs/station_src/music_metadata/05b85d974806252c94b65236cde1d36d.txt</v>
      </c>
      <c r="Q947" s="4">
        <f ca="1">_xlfn.IFNA(VLOOKUP(INDIRECT("G"&amp;ROW()),minfo!$A:$M,COLUMN()-8,0),"")</f>
        <v>6</v>
      </c>
      <c r="R947" s="4" t="str">
        <f ca="1">_xlfn.IFNA(VLOOKUP(INDIRECT("G"&amp;ROW()),minfo!$A:$M,COLUMN()-8,0),"")</f>
        <v>言不由衷</v>
      </c>
      <c r="S947" s="4" t="str">
        <f ca="1">_xlfn.IFNA(VLOOKUP(INDIRECT("G"&amp;ROW()),minfo!$A:$M,COLUMN()-8,0),"")</f>
        <v>心里学</v>
      </c>
      <c r="T947" s="4">
        <f ca="1">_xlfn.IFNA(VLOOKUP(INDIRECT("G"&amp;ROW()),minfo!$A:$M,COLUMN()-8,0),"")</f>
        <v>7489437</v>
      </c>
      <c r="U947" s="4">
        <f ca="1">_xlfn.IFNA(VLOOKUP(INDIRECT("G"&amp;ROW()),minfo!$A:$M,COLUMN()-8,0),"")</f>
        <v>0</v>
      </c>
    </row>
    <row r="948" spans="1:21" ht="15.75" customHeight="1">
      <c r="A948" s="15">
        <v>947</v>
      </c>
      <c r="B948" s="4" t="s">
        <v>4543</v>
      </c>
      <c r="C948" s="4">
        <v>948</v>
      </c>
      <c r="D948" s="4">
        <v>162</v>
      </c>
      <c r="E948" s="4" t="s">
        <v>1611</v>
      </c>
      <c r="F948" s="16">
        <v>44651</v>
      </c>
      <c r="G948" s="5" t="s">
        <v>1610</v>
      </c>
      <c r="H948" s="5" t="s">
        <v>4375</v>
      </c>
      <c r="I948" s="24" t="str">
        <f>HYPERLINK("https://www.bilibili.com/video/BV1pY411t7Rb?p=162", "BV1pY411t7Rb?p=162")</f>
        <v>BV1pY411t7Rb?p=162</v>
      </c>
      <c r="J948" s="4" t="str">
        <f ca="1">_xlfn.IFNA(VLOOKUP(INDIRECT("G"&amp;ROW()),minfo!$A:$M,COLUMN()-8,0),"")</f>
        <v>儿歌</v>
      </c>
      <c r="K948" s="4" t="str">
        <f ca="1">_xlfn.IFNA(VLOOKUP(INDIRECT("G"&amp;ROW()),minfo!$A:$M,COLUMN()-8,0),"")</f>
        <v>徐佳莹</v>
      </c>
      <c r="L948" s="4">
        <f ca="1">_xlfn.IFNA(VLOOKUP(INDIRECT("G"&amp;ROW()),minfo!$A:$M,COLUMN()-8,0),"")</f>
        <v>0</v>
      </c>
      <c r="M948" s="4">
        <f ca="1">_xlfn.IFNA(VLOOKUP(INDIRECT("G"&amp;ROW()),minfo!$A:$M,COLUMN()-8,0),"")</f>
        <v>0</v>
      </c>
      <c r="N948" s="4">
        <f ca="1">_xlfn.IFNA(VLOOKUP(INDIRECT("G"&amp;ROW()),minfo!$A:$M,COLUMN()-8,0),"")</f>
        <v>0</v>
      </c>
      <c r="O948" s="4" t="str">
        <f ca="1">_xlfn.IFNA(VLOOKUP(INDIRECT("G"&amp;ROW()),minfo!$A:$M,COLUMN()-8,0),"")</f>
        <v>https://i0.hdslb.com/bfs/station_src/music_metadata/cd2982079df591c952cc0412190310d8.jpg</v>
      </c>
      <c r="P948" s="4">
        <f ca="1">_xlfn.IFNA(VLOOKUP(INDIRECT("G"&amp;ROW()),minfo!$A:$M,COLUMN()-8,0),"")</f>
        <v>0</v>
      </c>
      <c r="Q948" s="4">
        <f ca="1">_xlfn.IFNA(VLOOKUP(INDIRECT("G"&amp;ROW()),minfo!$A:$M,COLUMN()-8,0),"")</f>
        <v>0</v>
      </c>
      <c r="R948" s="4" t="str">
        <f ca="1">_xlfn.IFNA(VLOOKUP(INDIRECT("G"&amp;ROW()),minfo!$A:$M,COLUMN()-8,0),"")</f>
        <v>儿歌(Live)</v>
      </c>
      <c r="S948" s="4" t="str">
        <f ca="1">_xlfn.IFNA(VLOOKUP(INDIRECT("G"&amp;ROW()),minfo!$A:$M,COLUMN()-8,0),"")</f>
        <v>徐佳莹是日救星演唱会Live</v>
      </c>
      <c r="T948" s="4">
        <f ca="1">_xlfn.IFNA(VLOOKUP(INDIRECT("G"&amp;ROW()),minfo!$A:$M,COLUMN()-8,0),"")</f>
        <v>811754</v>
      </c>
      <c r="U948" s="4">
        <f ca="1">_xlfn.IFNA(VLOOKUP(INDIRECT("G"&amp;ROW()),minfo!$A:$M,COLUMN()-8,0),"")</f>
        <v>0</v>
      </c>
    </row>
    <row r="949" spans="1:21" ht="15.75" customHeight="1">
      <c r="A949" s="15">
        <v>948</v>
      </c>
      <c r="B949" s="4" t="s">
        <v>4544</v>
      </c>
      <c r="C949" s="4">
        <v>949</v>
      </c>
      <c r="D949" s="4">
        <v>163</v>
      </c>
      <c r="E949" s="4" t="s">
        <v>20</v>
      </c>
      <c r="F949" s="16">
        <v>44651</v>
      </c>
      <c r="G949" s="5" t="s">
        <v>19</v>
      </c>
      <c r="H949" s="5" t="s">
        <v>4375</v>
      </c>
      <c r="I949" s="24" t="str">
        <f>HYPERLINK("https://www.bilibili.com/video/BV1pY411t7Rb?p=163", "BV1pY411t7Rb?p=163")</f>
        <v>BV1pY411t7Rb?p=163</v>
      </c>
      <c r="J949" s="4" t="str">
        <f ca="1">_xlfn.IFNA(VLOOKUP(INDIRECT("G"&amp;ROW()),minfo!$A:$M,COLUMN()-8,0),"")</f>
        <v>人啊</v>
      </c>
      <c r="K949" s="4" t="str">
        <f ca="1">_xlfn.IFNA(VLOOKUP(INDIRECT("G"&amp;ROW()),minfo!$A:$M,COLUMN()-8,0),"")</f>
        <v>单依纯</v>
      </c>
      <c r="L949" s="4">
        <f ca="1">_xlfn.IFNA(VLOOKUP(INDIRECT("G"&amp;ROW()),minfo!$A:$M,COLUMN()-8,0),"")</f>
        <v>0</v>
      </c>
      <c r="M949" s="4">
        <f ca="1">_xlfn.IFNA(VLOOKUP(INDIRECT("G"&amp;ROW()),minfo!$A:$M,COLUMN()-8,0),"")</f>
        <v>0</v>
      </c>
      <c r="N949" s="4">
        <f ca="1">_xlfn.IFNA(VLOOKUP(INDIRECT("G"&amp;ROW()),minfo!$A:$M,COLUMN()-8,0),"")</f>
        <v>0</v>
      </c>
      <c r="O949" s="4" t="str">
        <f ca="1">_xlfn.IFNA(VLOOKUP(INDIRECT("G"&amp;ROW()),minfo!$A:$M,COLUMN()-8,0),"")</f>
        <v>https://i0.hdslb.com/bfs/station_src/music_metadata/a697c5525f54e3a22b0caceb846d074a.jpg</v>
      </c>
      <c r="P949" s="4" t="str">
        <f ca="1">_xlfn.IFNA(VLOOKUP(INDIRECT("G"&amp;ROW()),minfo!$A:$M,COLUMN()-8,0),"")</f>
        <v>https://i0.hdslb.com/bfs/station_src/music_metadata/f9eba08a567e4e3bb5bf438dae27b6f2.txt</v>
      </c>
      <c r="Q949" s="4">
        <f ca="1">_xlfn.IFNA(VLOOKUP(INDIRECT("G"&amp;ROW()),minfo!$A:$M,COLUMN()-8,0),"")</f>
        <v>16</v>
      </c>
      <c r="R949" s="4">
        <f ca="1">_xlfn.IFNA(VLOOKUP(INDIRECT("G"&amp;ROW()),minfo!$A:$M,COLUMN()-8,0),"")</f>
        <v>0</v>
      </c>
      <c r="S949" s="4" t="str">
        <f ca="1">_xlfn.IFNA(VLOOKUP(INDIRECT("G"&amp;ROW()),minfo!$A:$M,COLUMN()-8,0),"")</f>
        <v>2020中国好声音 第11期</v>
      </c>
      <c r="T949" s="4">
        <f ca="1">_xlfn.IFNA(VLOOKUP(INDIRECT("G"&amp;ROW()),minfo!$A:$M,COLUMN()-8,0),"")</f>
        <v>3227968</v>
      </c>
      <c r="U949" s="4">
        <f ca="1">_xlfn.IFNA(VLOOKUP(INDIRECT("G"&amp;ROW()),minfo!$A:$M,COLUMN()-8,0),"")</f>
        <v>0</v>
      </c>
    </row>
    <row r="950" spans="1:21" ht="15.75" customHeight="1">
      <c r="A950" s="15">
        <v>949</v>
      </c>
      <c r="B950" s="4" t="s">
        <v>4545</v>
      </c>
      <c r="C950" s="4">
        <v>950</v>
      </c>
      <c r="D950" s="4">
        <v>164</v>
      </c>
      <c r="E950" s="4" t="s">
        <v>2174</v>
      </c>
      <c r="F950" s="16">
        <v>44652</v>
      </c>
      <c r="G950" s="5" t="s">
        <v>2173</v>
      </c>
      <c r="H950" s="5" t="s">
        <v>4375</v>
      </c>
      <c r="I950" s="24" t="str">
        <f>HYPERLINK("https://www.bilibili.com/video/BV1pY411t7Rb?p=164", "BV1pY411t7Rb?p=164")</f>
        <v>BV1pY411t7Rb?p=164</v>
      </c>
      <c r="J950" s="4" t="str">
        <f ca="1">_xlfn.IFNA(VLOOKUP(INDIRECT("G"&amp;ROW()),minfo!$A:$M,COLUMN()-8,0),"")</f>
        <v>下一秒</v>
      </c>
      <c r="K950" s="4" t="str">
        <f ca="1">_xlfn.IFNA(VLOOKUP(INDIRECT("G"&amp;ROW()),minfo!$A:$M,COLUMN()-8,0),"")</f>
        <v>张碧晨</v>
      </c>
      <c r="L950" s="4">
        <f ca="1">_xlfn.IFNA(VLOOKUP(INDIRECT("G"&amp;ROW()),minfo!$A:$M,COLUMN()-8,0),"")</f>
        <v>0</v>
      </c>
      <c r="M950" s="4">
        <f ca="1">_xlfn.IFNA(VLOOKUP(INDIRECT("G"&amp;ROW()),minfo!$A:$M,COLUMN()-8,0),"")</f>
        <v>0</v>
      </c>
      <c r="N950" s="4">
        <f ca="1">_xlfn.IFNA(VLOOKUP(INDIRECT("G"&amp;ROW()),minfo!$A:$M,COLUMN()-8,0),"")</f>
        <v>0</v>
      </c>
      <c r="O950" s="4" t="str">
        <f ca="1">_xlfn.IFNA(VLOOKUP(INDIRECT("G"&amp;ROW()),minfo!$A:$M,COLUMN()-8,0),"")</f>
        <v>https://i0.hdslb.com/bfs/station_src/music_metadata/6872f1b54953c3f8995ca1016c37bc7e.jpg</v>
      </c>
      <c r="P950" s="4" t="str">
        <f ca="1">_xlfn.IFNA(VLOOKUP(INDIRECT("G"&amp;ROW()),minfo!$A:$M,COLUMN()-8,0),"")</f>
        <v>https://i0.hdslb.com/bfs/station_src/music_metadata/1e9379d2c2519b801336eeb5ea49452d.txt</v>
      </c>
      <c r="Q950" s="4">
        <f ca="1">_xlfn.IFNA(VLOOKUP(INDIRECT("G"&amp;ROW()),minfo!$A:$M,COLUMN()-8,0),"")</f>
        <v>448</v>
      </c>
      <c r="R950" s="4" t="str">
        <f ca="1">_xlfn.IFNA(VLOOKUP(INDIRECT("G"&amp;ROW()),minfo!$A:$M,COLUMN()-8,0),"")</f>
        <v>《微微一笑很倾城》电视剧插曲</v>
      </c>
      <c r="S950" s="4" t="str">
        <f ca="1">_xlfn.IFNA(VLOOKUP(INDIRECT("G"&amp;ROW()),minfo!$A:$M,COLUMN()-8,0),"")</f>
        <v>微微一笑很倾城 电视剧原声带</v>
      </c>
      <c r="T950" s="4">
        <f ca="1">_xlfn.IFNA(VLOOKUP(INDIRECT("G"&amp;ROW()),minfo!$A:$M,COLUMN()-8,0),"")</f>
        <v>175752637</v>
      </c>
      <c r="U950" s="4">
        <f ca="1">_xlfn.IFNA(VLOOKUP(INDIRECT("G"&amp;ROW()),minfo!$A:$M,COLUMN()-8,0),"")</f>
        <v>0</v>
      </c>
    </row>
    <row r="951" spans="1:21" ht="15.75" customHeight="1">
      <c r="A951" s="15">
        <v>950</v>
      </c>
      <c r="B951" s="4" t="s">
        <v>4546</v>
      </c>
      <c r="C951" s="4">
        <v>951</v>
      </c>
      <c r="D951" s="4">
        <v>165</v>
      </c>
      <c r="E951" s="4" t="s">
        <v>749</v>
      </c>
      <c r="F951" s="16">
        <v>44654</v>
      </c>
      <c r="G951" s="5" t="s">
        <v>748</v>
      </c>
      <c r="H951" s="5" t="s">
        <v>4375</v>
      </c>
      <c r="I951" s="24" t="str">
        <f>HYPERLINK("https://www.bilibili.com/video/BV1pY411t7Rb?p=165", "BV1pY411t7Rb?p=165")</f>
        <v>BV1pY411t7Rb?p=165</v>
      </c>
      <c r="J951" s="4" t="str">
        <f ca="1">_xlfn.IFNA(VLOOKUP(INDIRECT("G"&amp;ROW()),minfo!$A:$M,COLUMN()-8,0),"")</f>
        <v>我好想你</v>
      </c>
      <c r="K951" s="4" t="str">
        <f ca="1">_xlfn.IFNA(VLOOKUP(INDIRECT("G"&amp;ROW()),minfo!$A:$M,COLUMN()-8,0),"")</f>
        <v>苏打绿</v>
      </c>
      <c r="L951" s="4">
        <f ca="1">_xlfn.IFNA(VLOOKUP(INDIRECT("G"&amp;ROW()),minfo!$A:$M,COLUMN()-8,0),"")</f>
        <v>0</v>
      </c>
      <c r="M951" s="4">
        <f ca="1">_xlfn.IFNA(VLOOKUP(INDIRECT("G"&amp;ROW()),minfo!$A:$M,COLUMN()-8,0),"")</f>
        <v>0</v>
      </c>
      <c r="N951" s="4">
        <f ca="1">_xlfn.IFNA(VLOOKUP(INDIRECT("G"&amp;ROW()),minfo!$A:$M,COLUMN()-8,0),"")</f>
        <v>0</v>
      </c>
      <c r="O951" s="4" t="str">
        <f ca="1">_xlfn.IFNA(VLOOKUP(INDIRECT("G"&amp;ROW()),minfo!$A:$M,COLUMN()-8,0),"")</f>
        <v>https://i0.hdslb.com/bfs/station_src/music_metadata/142298774c35c909c17cc46ed0028323.jpg</v>
      </c>
      <c r="P951" s="4" t="str">
        <f ca="1">_xlfn.IFNA(VLOOKUP(INDIRECT("G"&amp;ROW()),minfo!$A:$M,COLUMN()-8,0),"")</f>
        <v>http://i0.hdslb.com/bfs/station_src/music_metadata/a561acc490d86e8b1eff97408e8b2033</v>
      </c>
      <c r="Q951" s="4">
        <f ca="1">_xlfn.IFNA(VLOOKUP(INDIRECT("G"&amp;ROW()),minfo!$A:$M,COLUMN()-8,0),"")</f>
        <v>6140</v>
      </c>
      <c r="R951" s="4">
        <f ca="1">_xlfn.IFNA(VLOOKUP(INDIRECT("G"&amp;ROW()),minfo!$A:$M,COLUMN()-8,0),"")</f>
        <v>0</v>
      </c>
      <c r="S951" s="4" t="str">
        <f ca="1">_xlfn.IFNA(VLOOKUP(INDIRECT("G"&amp;ROW()),minfo!$A:$M,COLUMN()-8,0),"")</f>
        <v>MOOV Live 2013 苏打绿</v>
      </c>
      <c r="T951" s="4">
        <f ca="1">_xlfn.IFNA(VLOOKUP(INDIRECT("G"&amp;ROW()),minfo!$A:$M,COLUMN()-8,0),"")</f>
        <v>400198699</v>
      </c>
      <c r="U951" s="4" t="str">
        <f ca="1">_xlfn.IFNA(VLOOKUP(INDIRECT("G"&amp;ROW()),minfo!$A:$M,COLUMN()-8,0),"")</f>
        <v>音乐榜最高NO.7</v>
      </c>
    </row>
    <row r="952" spans="1:21" ht="15.75" customHeight="1">
      <c r="A952" s="15">
        <v>951</v>
      </c>
      <c r="B952" s="4" t="s">
        <v>4547</v>
      </c>
      <c r="C952" s="4">
        <v>952</v>
      </c>
      <c r="D952" s="4">
        <v>166</v>
      </c>
      <c r="E952" s="4" t="s">
        <v>4548</v>
      </c>
      <c r="F952" s="16">
        <v>44654</v>
      </c>
      <c r="G952" s="5" t="s">
        <v>748</v>
      </c>
      <c r="H952" s="5" t="s">
        <v>4375</v>
      </c>
      <c r="I952" s="24" t="str">
        <f>HYPERLINK("https://www.bilibili.com/video/BV1pY411t7Rb?p=166", "BV1pY411t7Rb?p=166")</f>
        <v>BV1pY411t7Rb?p=166</v>
      </c>
      <c r="J952" s="4" t="str">
        <f ca="1">_xlfn.IFNA(VLOOKUP(INDIRECT("G"&amp;ROW()),minfo!$A:$M,COLUMN()-8,0),"")</f>
        <v>我好想你</v>
      </c>
      <c r="K952" s="4" t="str">
        <f ca="1">_xlfn.IFNA(VLOOKUP(INDIRECT("G"&amp;ROW()),minfo!$A:$M,COLUMN()-8,0),"")</f>
        <v>苏打绿</v>
      </c>
      <c r="L952" s="4">
        <f ca="1">_xlfn.IFNA(VLOOKUP(INDIRECT("G"&amp;ROW()),minfo!$A:$M,COLUMN()-8,0),"")</f>
        <v>0</v>
      </c>
      <c r="M952" s="4">
        <f ca="1">_xlfn.IFNA(VLOOKUP(INDIRECT("G"&amp;ROW()),minfo!$A:$M,COLUMN()-8,0),"")</f>
        <v>0</v>
      </c>
      <c r="N952" s="4">
        <f ca="1">_xlfn.IFNA(VLOOKUP(INDIRECT("G"&amp;ROW()),minfo!$A:$M,COLUMN()-8,0),"")</f>
        <v>0</v>
      </c>
      <c r="O952" s="4" t="str">
        <f ca="1">_xlfn.IFNA(VLOOKUP(INDIRECT("G"&amp;ROW()),minfo!$A:$M,COLUMN()-8,0),"")</f>
        <v>https://i0.hdslb.com/bfs/station_src/music_metadata/142298774c35c909c17cc46ed0028323.jpg</v>
      </c>
      <c r="P952" s="4" t="str">
        <f ca="1">_xlfn.IFNA(VLOOKUP(INDIRECT("G"&amp;ROW()),minfo!$A:$M,COLUMN()-8,0),"")</f>
        <v>http://i0.hdslb.com/bfs/station_src/music_metadata/a561acc490d86e8b1eff97408e8b2033</v>
      </c>
      <c r="Q952" s="4">
        <f ca="1">_xlfn.IFNA(VLOOKUP(INDIRECT("G"&amp;ROW()),minfo!$A:$M,COLUMN()-8,0),"")</f>
        <v>6140</v>
      </c>
      <c r="R952" s="4">
        <f ca="1">_xlfn.IFNA(VLOOKUP(INDIRECT("G"&amp;ROW()),minfo!$A:$M,COLUMN()-8,0),"")</f>
        <v>0</v>
      </c>
      <c r="S952" s="4" t="str">
        <f ca="1">_xlfn.IFNA(VLOOKUP(INDIRECT("G"&amp;ROW()),minfo!$A:$M,COLUMN()-8,0),"")</f>
        <v>MOOV Live 2013 苏打绿</v>
      </c>
      <c r="T952" s="4">
        <f ca="1">_xlfn.IFNA(VLOOKUP(INDIRECT("G"&amp;ROW()),minfo!$A:$M,COLUMN()-8,0),"")</f>
        <v>400198699</v>
      </c>
      <c r="U952" s="4" t="str">
        <f ca="1">_xlfn.IFNA(VLOOKUP(INDIRECT("G"&amp;ROW()),minfo!$A:$M,COLUMN()-8,0),"")</f>
        <v>音乐榜最高NO.7</v>
      </c>
    </row>
    <row r="953" spans="1:21" ht="15.75" customHeight="1">
      <c r="A953" s="15">
        <v>952</v>
      </c>
      <c r="B953" s="4" t="s">
        <v>4549</v>
      </c>
      <c r="C953" s="4">
        <v>953</v>
      </c>
      <c r="D953" s="4">
        <v>167</v>
      </c>
      <c r="E953" s="4" t="s">
        <v>2180</v>
      </c>
      <c r="F953" s="16">
        <v>44654</v>
      </c>
      <c r="G953" s="5" t="s">
        <v>2179</v>
      </c>
      <c r="H953" s="5" t="s">
        <v>4375</v>
      </c>
      <c r="I953" s="24" t="str">
        <f>HYPERLINK("https://www.bilibili.com/video/BV1pY411t7Rb?p=167", "BV1pY411t7Rb?p=167")</f>
        <v>BV1pY411t7Rb?p=167</v>
      </c>
      <c r="J953" s="4" t="str">
        <f ca="1">_xlfn.IFNA(VLOOKUP(INDIRECT("G"&amp;ROW()),minfo!$A:$M,COLUMN()-8,0),"")</f>
        <v>年轮说</v>
      </c>
      <c r="K953" s="4" t="str">
        <f ca="1">_xlfn.IFNA(VLOOKUP(INDIRECT("G"&amp;ROW()),minfo!$A:$M,COLUMN()-8,0),"")</f>
        <v>杨丞琳</v>
      </c>
      <c r="L953" s="4">
        <f ca="1">_xlfn.IFNA(VLOOKUP(INDIRECT("G"&amp;ROW()),minfo!$A:$M,COLUMN()-8,0),"")</f>
        <v>0</v>
      </c>
      <c r="M953" s="4">
        <f ca="1">_xlfn.IFNA(VLOOKUP(INDIRECT("G"&amp;ROW()),minfo!$A:$M,COLUMN()-8,0),"")</f>
        <v>0</v>
      </c>
      <c r="N953" s="4">
        <f ca="1">_xlfn.IFNA(VLOOKUP(INDIRECT("G"&amp;ROW()),minfo!$A:$M,COLUMN()-8,0),"")</f>
        <v>0</v>
      </c>
      <c r="O953" s="4" t="str">
        <f ca="1">_xlfn.IFNA(VLOOKUP(INDIRECT("G"&amp;ROW()),minfo!$A:$M,COLUMN()-8,0),"")</f>
        <v>http://i0.hdslb.com/bfs/station_src/music_metadata/12715c513b3ea36c2854419fa5cb461c.jpg</v>
      </c>
      <c r="P953" s="4" t="str">
        <f ca="1">_xlfn.IFNA(VLOOKUP(INDIRECT("G"&amp;ROW()),minfo!$A:$M,COLUMN()-8,0),"")</f>
        <v>http://i0.hdslb.com/bfs/station_src/music_metadata/eed9af929d9851d18bade70c159c15bd</v>
      </c>
      <c r="Q953" s="4">
        <f ca="1">_xlfn.IFNA(VLOOKUP(INDIRECT("G"&amp;ROW()),minfo!$A:$M,COLUMN()-8,0),"")</f>
        <v>940</v>
      </c>
      <c r="R953" s="4">
        <f ca="1">_xlfn.IFNA(VLOOKUP(INDIRECT("G"&amp;ROW()),minfo!$A:$M,COLUMN()-8,0),"")</f>
        <v>0</v>
      </c>
      <c r="S953" s="4" t="str">
        <f ca="1">_xlfn.IFNA(VLOOKUP(INDIRECT("G"&amp;ROW()),minfo!$A:$M,COLUMN()-8,0),"")</f>
        <v>年轮说</v>
      </c>
      <c r="T953" s="4">
        <f ca="1">_xlfn.IFNA(VLOOKUP(INDIRECT("G"&amp;ROW()),minfo!$A:$M,COLUMN()-8,0),"")</f>
        <v>781788079</v>
      </c>
      <c r="U953" s="4">
        <f ca="1">_xlfn.IFNA(VLOOKUP(INDIRECT("G"&amp;ROW()),minfo!$A:$M,COLUMN()-8,0),"")</f>
        <v>0</v>
      </c>
    </row>
    <row r="954" spans="1:21" ht="15.75" customHeight="1">
      <c r="A954" s="15">
        <v>953</v>
      </c>
      <c r="B954" s="4" t="s">
        <v>4550</v>
      </c>
      <c r="C954" s="4">
        <v>954</v>
      </c>
      <c r="D954" s="4">
        <v>168</v>
      </c>
      <c r="E954" s="4" t="s">
        <v>508</v>
      </c>
      <c r="F954" s="16">
        <v>44654</v>
      </c>
      <c r="G954" s="5" t="s">
        <v>507</v>
      </c>
      <c r="H954" s="5" t="s">
        <v>4375</v>
      </c>
      <c r="I954" s="24" t="str">
        <f>HYPERLINK("https://www.bilibili.com/video/BV1pY411t7Rb?p=168", "BV1pY411t7Rb?p=168")</f>
        <v>BV1pY411t7Rb?p=168</v>
      </c>
      <c r="J954" s="4" t="str">
        <f ca="1">_xlfn.IFNA(VLOOKUP(INDIRECT("G"&amp;ROW()),minfo!$A:$M,COLUMN()-8,0),"")</f>
        <v>有形的翅膀</v>
      </c>
      <c r="K954" s="4" t="str">
        <f ca="1">_xlfn.IFNA(VLOOKUP(INDIRECT("G"&amp;ROW()),minfo!$A:$M,COLUMN()-8,0),"")</f>
        <v>张韶涵</v>
      </c>
      <c r="L954" s="4">
        <f ca="1">_xlfn.IFNA(VLOOKUP(INDIRECT("G"&amp;ROW()),minfo!$A:$M,COLUMN()-8,0),"")</f>
        <v>0</v>
      </c>
      <c r="M954" s="4">
        <f ca="1">_xlfn.IFNA(VLOOKUP(INDIRECT("G"&amp;ROW()),minfo!$A:$M,COLUMN()-8,0),"")</f>
        <v>0</v>
      </c>
      <c r="N954" s="4">
        <f ca="1">_xlfn.IFNA(VLOOKUP(INDIRECT("G"&amp;ROW()),minfo!$A:$M,COLUMN()-8,0),"")</f>
        <v>0</v>
      </c>
      <c r="O954" s="4" t="str">
        <f ca="1">_xlfn.IFNA(VLOOKUP(INDIRECT("G"&amp;ROW()),minfo!$A:$M,COLUMN()-8,0),"")</f>
        <v>https://i0.hdslb.com/bfs/station_src/music_metadata/87ebc407b662d3af1dda082818b3e246.jpg</v>
      </c>
      <c r="P954" s="4" t="str">
        <f ca="1">_xlfn.IFNA(VLOOKUP(INDIRECT("G"&amp;ROW()),minfo!$A:$M,COLUMN()-8,0),"")</f>
        <v>https://i0.hdslb.com/bfs/station_src/music_metadata/b26dccdf68fd599eb0a7303d1d71cb78.txt</v>
      </c>
      <c r="Q954" s="4">
        <f ca="1">_xlfn.IFNA(VLOOKUP(INDIRECT("G"&amp;ROW()),minfo!$A:$M,COLUMN()-8,0),"")</f>
        <v>346</v>
      </c>
      <c r="R954" s="4">
        <f ca="1">_xlfn.IFNA(VLOOKUP(INDIRECT("G"&amp;ROW()),minfo!$A:$M,COLUMN()-8,0),"")</f>
        <v>0</v>
      </c>
      <c r="S954" s="4" t="str">
        <f ca="1">_xlfn.IFNA(VLOOKUP(INDIRECT("G"&amp;ROW()),minfo!$A:$M,COLUMN()-8,0),"")</f>
        <v>有形的翅膀</v>
      </c>
      <c r="T954" s="4">
        <f ca="1">_xlfn.IFNA(VLOOKUP(INDIRECT("G"&amp;ROW()),minfo!$A:$M,COLUMN()-8,0),"")</f>
        <v>81243338</v>
      </c>
      <c r="U954" s="4" t="str">
        <f ca="1">_xlfn.IFNA(VLOOKUP(INDIRECT("G"&amp;ROW()),minfo!$A:$M,COLUMN()-8,0),"")</f>
        <v>本期音乐榜NO.7</v>
      </c>
    </row>
    <row r="955" spans="1:21" ht="15.75" customHeight="1">
      <c r="A955" s="15">
        <v>954</v>
      </c>
      <c r="B955" s="4" t="s">
        <v>4551</v>
      </c>
      <c r="C955" s="4">
        <v>955</v>
      </c>
      <c r="D955" s="4">
        <v>169</v>
      </c>
      <c r="E955" s="4" t="s">
        <v>2184</v>
      </c>
      <c r="F955" s="16">
        <v>44654</v>
      </c>
      <c r="G955" s="5" t="s">
        <v>2183</v>
      </c>
      <c r="H955" s="5" t="s">
        <v>4375</v>
      </c>
      <c r="I955" s="24" t="str">
        <f>HYPERLINK("https://www.bilibili.com/video/BV1pY411t7Rb?p=169", "BV1pY411t7Rb?p=169")</f>
        <v>BV1pY411t7Rb?p=169</v>
      </c>
      <c r="J955" s="4" t="str">
        <f ca="1">_xlfn.IFNA(VLOOKUP(INDIRECT("G"&amp;ROW()),minfo!$A:$M,COLUMN()-8,0),"")</f>
        <v>离歌</v>
      </c>
      <c r="K955" s="4" t="str">
        <f ca="1">_xlfn.IFNA(VLOOKUP(INDIRECT("G"&amp;ROW()),minfo!$A:$M,COLUMN()-8,0),"")</f>
        <v>信乐团</v>
      </c>
      <c r="L955" s="4">
        <f ca="1">_xlfn.IFNA(VLOOKUP(INDIRECT("G"&amp;ROW()),minfo!$A:$M,COLUMN()-8,0),"")</f>
        <v>0</v>
      </c>
      <c r="M955" s="4">
        <f ca="1">_xlfn.IFNA(VLOOKUP(INDIRECT("G"&amp;ROW()),minfo!$A:$M,COLUMN()-8,0),"")</f>
        <v>0</v>
      </c>
      <c r="N955" s="4">
        <f ca="1">_xlfn.IFNA(VLOOKUP(INDIRECT("G"&amp;ROW()),minfo!$A:$M,COLUMN()-8,0),"")</f>
        <v>0</v>
      </c>
      <c r="O955" s="4" t="str">
        <f ca="1">_xlfn.IFNA(VLOOKUP(INDIRECT("G"&amp;ROW()),minfo!$A:$M,COLUMN()-8,0),"")</f>
        <v>http://i0.hdslb.com/bfs/station_src/music_metadata/f10b7d88ac303fcb18851a361985dba5.jpg</v>
      </c>
      <c r="P955" s="4">
        <f ca="1">_xlfn.IFNA(VLOOKUP(INDIRECT("G"&amp;ROW()),minfo!$A:$M,COLUMN()-8,0),"")</f>
        <v>0</v>
      </c>
      <c r="Q955" s="4">
        <f ca="1">_xlfn.IFNA(VLOOKUP(INDIRECT("G"&amp;ROW()),minfo!$A:$M,COLUMN()-8,0),"")</f>
        <v>327</v>
      </c>
      <c r="R955" s="4">
        <f ca="1">_xlfn.IFNA(VLOOKUP(INDIRECT("G"&amp;ROW()),minfo!$A:$M,COLUMN()-8,0),"")</f>
        <v>0</v>
      </c>
      <c r="S955" s="4" t="str">
        <f ca="1">_xlfn.IFNA(VLOOKUP(INDIRECT("G"&amp;ROW()),minfo!$A:$M,COLUMN()-8,0),"")</f>
        <v>挑信 (新歌+精选)</v>
      </c>
      <c r="T955" s="4">
        <f ca="1">_xlfn.IFNA(VLOOKUP(INDIRECT("G"&amp;ROW()),minfo!$A:$M,COLUMN()-8,0),"")</f>
        <v>60906696</v>
      </c>
      <c r="U955" s="4">
        <f ca="1">_xlfn.IFNA(VLOOKUP(INDIRECT("G"&amp;ROW()),minfo!$A:$M,COLUMN()-8,0),"")</f>
        <v>0</v>
      </c>
    </row>
    <row r="956" spans="1:21" ht="15.75" customHeight="1">
      <c r="A956" s="15">
        <v>955</v>
      </c>
      <c r="B956" s="4" t="s">
        <v>4552</v>
      </c>
      <c r="C956" s="4">
        <v>956</v>
      </c>
      <c r="D956" s="4">
        <v>170</v>
      </c>
      <c r="E956" s="4" t="s">
        <v>2189</v>
      </c>
      <c r="F956" s="16">
        <v>44654</v>
      </c>
      <c r="G956" s="5" t="s">
        <v>2188</v>
      </c>
      <c r="H956" s="5" t="s">
        <v>4375</v>
      </c>
      <c r="I956" s="24" t="str">
        <f>HYPERLINK("https://www.bilibili.com/video/BV1pY411t7Rb?p=170", "BV1pY411t7Rb?p=170")</f>
        <v>BV1pY411t7Rb?p=170</v>
      </c>
      <c r="J956" s="4" t="str">
        <f ca="1">_xlfn.IFNA(VLOOKUP(INDIRECT("G"&amp;ROW()),minfo!$A:$M,COLUMN()-8,0),"")</f>
        <v>无与伦比的美丽</v>
      </c>
      <c r="K956" s="4" t="str">
        <f ca="1">_xlfn.IFNA(VLOOKUP(INDIRECT("G"&amp;ROW()),minfo!$A:$M,COLUMN()-8,0),"")</f>
        <v>苏打绿</v>
      </c>
      <c r="L956" s="4">
        <f ca="1">_xlfn.IFNA(VLOOKUP(INDIRECT("G"&amp;ROW()),minfo!$A:$M,COLUMN()-8,0),"")</f>
        <v>0</v>
      </c>
      <c r="M956" s="4">
        <f ca="1">_xlfn.IFNA(VLOOKUP(INDIRECT("G"&amp;ROW()),minfo!$A:$M,COLUMN()-8,0),"")</f>
        <v>0</v>
      </c>
      <c r="N956" s="4">
        <f ca="1">_xlfn.IFNA(VLOOKUP(INDIRECT("G"&amp;ROW()),minfo!$A:$M,COLUMN()-8,0),"")</f>
        <v>0</v>
      </c>
      <c r="O956" s="4" t="str">
        <f ca="1">_xlfn.IFNA(VLOOKUP(INDIRECT("G"&amp;ROW()),minfo!$A:$M,COLUMN()-8,0),"")</f>
        <v>https://i0.hdslb.com/bfs/station_src/music_metadata/1ae4d73925ac180dfcc11b0564d7b0c6.jpg</v>
      </c>
      <c r="P956" s="4" t="str">
        <f ca="1">_xlfn.IFNA(VLOOKUP(INDIRECT("G"&amp;ROW()),minfo!$A:$M,COLUMN()-8,0),"")</f>
        <v>https://i0.hdslb.com/bfs/station_src/music_metadata/837fc03670cecb734e00da7c39983313.txt</v>
      </c>
      <c r="Q956" s="4">
        <f ca="1">_xlfn.IFNA(VLOOKUP(INDIRECT("G"&amp;ROW()),minfo!$A:$M,COLUMN()-8,0),"")</f>
        <v>290</v>
      </c>
      <c r="R956" s="4">
        <f ca="1">_xlfn.IFNA(VLOOKUP(INDIRECT("G"&amp;ROW()),minfo!$A:$M,COLUMN()-8,0),"")</f>
        <v>0</v>
      </c>
      <c r="S956" s="4" t="str">
        <f ca="1">_xlfn.IFNA(VLOOKUP(INDIRECT("G"&amp;ROW()),minfo!$A:$M,COLUMN()-8,0),"")</f>
        <v>Walk Together Live 2012台北小巨蛋演唱会</v>
      </c>
      <c r="T956" s="4">
        <f ca="1">_xlfn.IFNA(VLOOKUP(INDIRECT("G"&amp;ROW()),minfo!$A:$M,COLUMN()-8,0),"")</f>
        <v>53246846</v>
      </c>
      <c r="U956" s="4">
        <f ca="1">_xlfn.IFNA(VLOOKUP(INDIRECT("G"&amp;ROW()),minfo!$A:$M,COLUMN()-8,0),"")</f>
        <v>0</v>
      </c>
    </row>
    <row r="957" spans="1:21" ht="15.75" customHeight="1">
      <c r="A957" s="15">
        <v>956</v>
      </c>
      <c r="B957" s="4" t="s">
        <v>4553</v>
      </c>
      <c r="C957" s="4">
        <v>957</v>
      </c>
      <c r="D957" s="4">
        <v>171</v>
      </c>
      <c r="E957" s="4" t="s">
        <v>1596</v>
      </c>
      <c r="F957" s="16">
        <v>44654</v>
      </c>
      <c r="G957" s="5" t="s">
        <v>1595</v>
      </c>
      <c r="H957" s="5" t="s">
        <v>4375</v>
      </c>
      <c r="I957" s="24" t="str">
        <f>HYPERLINK("https://www.bilibili.com/video/BV1pY411t7Rb?p=171", "BV1pY411t7Rb?p=171")</f>
        <v>BV1pY411t7Rb?p=171</v>
      </c>
      <c r="J957" s="4" t="str">
        <f ca="1">_xlfn.IFNA(VLOOKUP(INDIRECT("G"&amp;ROW()),minfo!$A:$M,COLUMN()-8,0),"")</f>
        <v>故事</v>
      </c>
      <c r="K957" s="4" t="str">
        <f ca="1">_xlfn.IFNA(VLOOKUP(INDIRECT("G"&amp;ROW()),minfo!$A:$M,COLUMN()-8,0),"")</f>
        <v>苏打绿</v>
      </c>
      <c r="L957" s="4">
        <f ca="1">_xlfn.IFNA(VLOOKUP(INDIRECT("G"&amp;ROW()),minfo!$A:$M,COLUMN()-8,0),"")</f>
        <v>0</v>
      </c>
      <c r="M957" s="4">
        <f ca="1">_xlfn.IFNA(VLOOKUP(INDIRECT("G"&amp;ROW()),minfo!$A:$M,COLUMN()-8,0),"")</f>
        <v>0</v>
      </c>
      <c r="N957" s="4">
        <f ca="1">_xlfn.IFNA(VLOOKUP(INDIRECT("G"&amp;ROW()),minfo!$A:$M,COLUMN()-8,0),"")</f>
        <v>0</v>
      </c>
      <c r="O957" s="4" t="str">
        <f ca="1">_xlfn.IFNA(VLOOKUP(INDIRECT("G"&amp;ROW()),minfo!$A:$M,COLUMN()-8,0),"")</f>
        <v>https://i0.hdslb.com/bfs/station_src/music_metadata/2d29fd5060f4c7150a75dd81e25fdbdd.jpg</v>
      </c>
      <c r="P957" s="4" t="str">
        <f ca="1">_xlfn.IFNA(VLOOKUP(INDIRECT("G"&amp;ROW()),minfo!$A:$M,COLUMN()-8,0),"")</f>
        <v>https://i0.hdslb.com/bfs/station_src/music_metadata/8c1c9743af2990403681c5a21d4fd2e9.txt</v>
      </c>
      <c r="Q957" s="4">
        <f ca="1">_xlfn.IFNA(VLOOKUP(INDIRECT("G"&amp;ROW()),minfo!$A:$M,COLUMN()-8,0),"")</f>
        <v>12</v>
      </c>
      <c r="R957" s="4">
        <f ca="1">_xlfn.IFNA(VLOOKUP(INDIRECT("G"&amp;ROW()),minfo!$A:$M,COLUMN()-8,0),"")</f>
        <v>0</v>
      </c>
      <c r="S957" s="4" t="str">
        <f ca="1">_xlfn.IFNA(VLOOKUP(INDIRECT("G"&amp;ROW()),minfo!$A:$M,COLUMN()-8,0),"")</f>
        <v>MOOV Live 2013 苏打绿</v>
      </c>
      <c r="T957" s="4">
        <f ca="1">_xlfn.IFNA(VLOOKUP(INDIRECT("G"&amp;ROW()),minfo!$A:$M,COLUMN()-8,0),"")</f>
        <v>3135196</v>
      </c>
      <c r="U957" s="4">
        <f ca="1">_xlfn.IFNA(VLOOKUP(INDIRECT("G"&amp;ROW()),minfo!$A:$M,COLUMN()-8,0),"")</f>
        <v>0</v>
      </c>
    </row>
    <row r="958" spans="1:21" ht="15.75" customHeight="1">
      <c r="A958" s="15">
        <v>957</v>
      </c>
      <c r="B958" s="4" t="s">
        <v>4554</v>
      </c>
      <c r="C958" s="4">
        <v>958</v>
      </c>
      <c r="D958" s="4">
        <v>172</v>
      </c>
      <c r="E958" s="4" t="s">
        <v>2193</v>
      </c>
      <c r="F958" s="16">
        <v>44654</v>
      </c>
      <c r="G958" s="5" t="s">
        <v>2192</v>
      </c>
      <c r="H958" s="5" t="s">
        <v>4375</v>
      </c>
      <c r="I958" s="24" t="str">
        <f>HYPERLINK("https://www.bilibili.com/video/BV1pY411t7Rb?p=172", "BV1pY411t7Rb?p=172")</f>
        <v>BV1pY411t7Rb?p=172</v>
      </c>
      <c r="J958" s="4" t="str">
        <f ca="1">_xlfn.IFNA(VLOOKUP(INDIRECT("G"&amp;ROW()),minfo!$A:$M,COLUMN()-8,0),"")</f>
        <v>小情歌</v>
      </c>
      <c r="K958" s="4" t="str">
        <f ca="1">_xlfn.IFNA(VLOOKUP(INDIRECT("G"&amp;ROW()),minfo!$A:$M,COLUMN()-8,0),"")</f>
        <v>苏打绿</v>
      </c>
      <c r="L958" s="4">
        <f ca="1">_xlfn.IFNA(VLOOKUP(INDIRECT("G"&amp;ROW()),minfo!$A:$M,COLUMN()-8,0),"")</f>
        <v>0</v>
      </c>
      <c r="M958" s="4">
        <f ca="1">_xlfn.IFNA(VLOOKUP(INDIRECT("G"&amp;ROW()),minfo!$A:$M,COLUMN()-8,0),"")</f>
        <v>0</v>
      </c>
      <c r="N958" s="4">
        <f ca="1">_xlfn.IFNA(VLOOKUP(INDIRECT("G"&amp;ROW()),minfo!$A:$M,COLUMN()-8,0),"")</f>
        <v>0</v>
      </c>
      <c r="O958" s="4" t="str">
        <f ca="1">_xlfn.IFNA(VLOOKUP(INDIRECT("G"&amp;ROW()),minfo!$A:$M,COLUMN()-8,0),"")</f>
        <v>http://i0.hdslb.com/bfs/station_src/music_metadata/0886ac0210a422030579ac9cd9022f11.jpg</v>
      </c>
      <c r="P958" s="4">
        <f ca="1">_xlfn.IFNA(VLOOKUP(INDIRECT("G"&amp;ROW()),minfo!$A:$M,COLUMN()-8,0),"")</f>
        <v>0</v>
      </c>
      <c r="Q958" s="4">
        <f ca="1">_xlfn.IFNA(VLOOKUP(INDIRECT("G"&amp;ROW()),minfo!$A:$M,COLUMN()-8,0),"")</f>
        <v>712</v>
      </c>
      <c r="R958" s="4">
        <f ca="1">_xlfn.IFNA(VLOOKUP(INDIRECT("G"&amp;ROW()),minfo!$A:$M,COLUMN()-8,0),"")</f>
        <v>0</v>
      </c>
      <c r="S958" s="4" t="str">
        <f ca="1">_xlfn.IFNA(VLOOKUP(INDIRECT("G"&amp;ROW()),minfo!$A:$M,COLUMN()-8,0),"")</f>
        <v>小宇宙</v>
      </c>
      <c r="T958" s="4">
        <f ca="1">_xlfn.IFNA(VLOOKUP(INDIRECT("G"&amp;ROW()),minfo!$A:$M,COLUMN()-8,0),"")</f>
        <v>278023474</v>
      </c>
      <c r="U958" s="4">
        <f ca="1">_xlfn.IFNA(VLOOKUP(INDIRECT("G"&amp;ROW()),minfo!$A:$M,COLUMN()-8,0),"")</f>
        <v>0</v>
      </c>
    </row>
    <row r="959" spans="1:21" ht="15.75" customHeight="1">
      <c r="A959" s="15">
        <v>958</v>
      </c>
      <c r="B959" s="4" t="s">
        <v>4555</v>
      </c>
      <c r="C959" s="4">
        <v>959</v>
      </c>
      <c r="D959" s="4">
        <v>173</v>
      </c>
      <c r="E959" s="4" t="s">
        <v>1184</v>
      </c>
      <c r="F959" s="16">
        <v>44654</v>
      </c>
      <c r="G959" s="5" t="s">
        <v>1183</v>
      </c>
      <c r="H959" s="5" t="s">
        <v>4375</v>
      </c>
      <c r="I959" s="24" t="str">
        <f>HYPERLINK("https://www.bilibili.com/video/BV1pY411t7Rb?p=173", "BV1pY411t7Rb?p=173")</f>
        <v>BV1pY411t7Rb?p=173</v>
      </c>
      <c r="J959" s="4" t="str">
        <f ca="1">_xlfn.IFNA(VLOOKUP(INDIRECT("G"&amp;ROW()),minfo!$A:$M,COLUMN()-8,0),"")</f>
        <v>喜欢寂寞</v>
      </c>
      <c r="K959" s="4" t="str">
        <f ca="1">_xlfn.IFNA(VLOOKUP(INDIRECT("G"&amp;ROW()),minfo!$A:$M,COLUMN()-8,0),"")</f>
        <v>苏打绿</v>
      </c>
      <c r="L959" s="4">
        <f ca="1">_xlfn.IFNA(VLOOKUP(INDIRECT("G"&amp;ROW()),minfo!$A:$M,COLUMN()-8,0),"")</f>
        <v>0</v>
      </c>
      <c r="M959" s="4">
        <f ca="1">_xlfn.IFNA(VLOOKUP(INDIRECT("G"&amp;ROW()),minfo!$A:$M,COLUMN()-8,0),"")</f>
        <v>0</v>
      </c>
      <c r="N959" s="4">
        <f ca="1">_xlfn.IFNA(VLOOKUP(INDIRECT("G"&amp;ROW()),minfo!$A:$M,COLUMN()-8,0),"")</f>
        <v>0</v>
      </c>
      <c r="O959" s="4" t="str">
        <f ca="1">_xlfn.IFNA(VLOOKUP(INDIRECT("G"&amp;ROW()),minfo!$A:$M,COLUMN()-8,0),"")</f>
        <v>https://i0.hdslb.com/bfs/station_src/music_metadata/d121c3715408b7ed00de8d570a7c5b94.jpg</v>
      </c>
      <c r="P959" s="4" t="str">
        <f ca="1">_xlfn.IFNA(VLOOKUP(INDIRECT("G"&amp;ROW()),minfo!$A:$M,COLUMN()-8,0),"")</f>
        <v>https://i0.hdslb.com/bfs/station_src/music_metadata/7751ffa790ea57dc1e90f19496ce8669.txt</v>
      </c>
      <c r="Q959" s="4">
        <f ca="1">_xlfn.IFNA(VLOOKUP(INDIRECT("G"&amp;ROW()),minfo!$A:$M,COLUMN()-8,0),"")</f>
        <v>13</v>
      </c>
      <c r="R959" s="4">
        <f ca="1">_xlfn.IFNA(VLOOKUP(INDIRECT("G"&amp;ROW()),minfo!$A:$M,COLUMN()-8,0),"")</f>
        <v>0</v>
      </c>
      <c r="S959" s="4" t="str">
        <f ca="1">_xlfn.IFNA(VLOOKUP(INDIRECT("G"&amp;ROW()),minfo!$A:$M,COLUMN()-8,0),"")</f>
        <v>2011 Hit Fm 年度百首单曲</v>
      </c>
      <c r="T959" s="4">
        <f ca="1">_xlfn.IFNA(VLOOKUP(INDIRECT("G"&amp;ROW()),minfo!$A:$M,COLUMN()-8,0),"")</f>
        <v>6139411</v>
      </c>
      <c r="U959" s="4">
        <f ca="1">_xlfn.IFNA(VLOOKUP(INDIRECT("G"&amp;ROW()),minfo!$A:$M,COLUMN()-8,0),"")</f>
        <v>0</v>
      </c>
    </row>
    <row r="960" spans="1:21" ht="15.75" customHeight="1">
      <c r="A960" s="15">
        <v>959</v>
      </c>
      <c r="B960" s="4" t="s">
        <v>4556</v>
      </c>
      <c r="C960" s="4">
        <v>960</v>
      </c>
      <c r="D960" s="4">
        <v>174</v>
      </c>
      <c r="E960" s="4" t="s">
        <v>655</v>
      </c>
      <c r="F960" s="16">
        <v>44656</v>
      </c>
      <c r="G960" s="5" t="s">
        <v>654</v>
      </c>
      <c r="H960" s="5" t="s">
        <v>4375</v>
      </c>
      <c r="I960" s="24" t="str">
        <f>HYPERLINK("https://www.bilibili.com/video/BV1pY411t7Rb?p=174", "BV1pY411t7Rb?p=174")</f>
        <v>BV1pY411t7Rb?p=174</v>
      </c>
      <c r="J960" s="4" t="str">
        <f ca="1">_xlfn.IFNA(VLOOKUP(INDIRECT("G"&amp;ROW()),minfo!$A:$M,COLUMN()-8,0),"")</f>
        <v>路过人间</v>
      </c>
      <c r="K960" s="4" t="str">
        <f ca="1">_xlfn.IFNA(VLOOKUP(INDIRECT("G"&amp;ROW()),minfo!$A:$M,COLUMN()-8,0),"")</f>
        <v>郁可唯</v>
      </c>
      <c r="L960" s="4">
        <f ca="1">_xlfn.IFNA(VLOOKUP(INDIRECT("G"&amp;ROW()),minfo!$A:$M,COLUMN()-8,0),"")</f>
        <v>0</v>
      </c>
      <c r="M960" s="4">
        <f ca="1">_xlfn.IFNA(VLOOKUP(INDIRECT("G"&amp;ROW()),minfo!$A:$M,COLUMN()-8,0),"")</f>
        <v>17966</v>
      </c>
      <c r="N960" s="4">
        <f ca="1">_xlfn.IFNA(VLOOKUP(INDIRECT("G"&amp;ROW()),minfo!$A:$M,COLUMN()-8,0),"")</f>
        <v>8458</v>
      </c>
      <c r="O960" s="4" t="str">
        <f ca="1">_xlfn.IFNA(VLOOKUP(INDIRECT("G"&amp;ROW()),minfo!$A:$M,COLUMN()-8,0),"")</f>
        <v>http://i0.hdslb.com/bfs/station_src/music_metadata/570f6a193a95780dfeae2a4dfe0cb932.jpg</v>
      </c>
      <c r="P960" s="4" t="str">
        <f ca="1">_xlfn.IFNA(VLOOKUP(INDIRECT("G"&amp;ROW()),minfo!$A:$M,COLUMN()-8,0),"")</f>
        <v>http://i0.hdslb.com/bfs/station_src/music_metadata/0386d6bc66823747cb1d61d511d20a21</v>
      </c>
      <c r="Q960" s="4">
        <f ca="1">_xlfn.IFNA(VLOOKUP(INDIRECT("G"&amp;ROW()),minfo!$A:$M,COLUMN()-8,0),"")</f>
        <v>1296</v>
      </c>
      <c r="R960" s="4">
        <f ca="1">_xlfn.IFNA(VLOOKUP(INDIRECT("G"&amp;ROW()),minfo!$A:$M,COLUMN()-8,0),"")</f>
        <v>0</v>
      </c>
      <c r="S960" s="4" t="str">
        <f ca="1">_xlfn.IFNA(VLOOKUP(INDIRECT("G"&amp;ROW()),minfo!$A:$M,COLUMN()-8,0),"")</f>
        <v>路过人间</v>
      </c>
      <c r="T960" s="4">
        <f ca="1">_xlfn.IFNA(VLOOKUP(INDIRECT("G"&amp;ROW()),minfo!$A:$M,COLUMN()-8,0),"")</f>
        <v>218547878</v>
      </c>
      <c r="U960" s="4" t="str">
        <f ca="1">_xlfn.IFNA(VLOOKUP(INDIRECT("G"&amp;ROW()),minfo!$A:$M,COLUMN()-8,0),"")</f>
        <v>音乐榜最高NO.10</v>
      </c>
    </row>
    <row r="961" spans="1:21" ht="15.75" customHeight="1">
      <c r="A961" s="15">
        <v>960</v>
      </c>
      <c r="B961" s="4" t="s">
        <v>4557</v>
      </c>
      <c r="C961" s="4">
        <v>961</v>
      </c>
      <c r="D961" s="4">
        <v>175</v>
      </c>
      <c r="E961" s="4" t="s">
        <v>375</v>
      </c>
      <c r="F961" s="16">
        <v>44656</v>
      </c>
      <c r="G961" s="5" t="s">
        <v>374</v>
      </c>
      <c r="H961" s="5" t="s">
        <v>4375</v>
      </c>
      <c r="I961" s="24" t="str">
        <f>HYPERLINK("https://www.bilibili.com/video/BV1pY411t7Rb?p=175", "BV1pY411t7Rb?p=175")</f>
        <v>BV1pY411t7Rb?p=175</v>
      </c>
      <c r="J961" s="4" t="str">
        <f ca="1">_xlfn.IFNA(VLOOKUP(INDIRECT("G"&amp;ROW()),minfo!$A:$M,COLUMN()-8,0),"")</f>
        <v>彩虹</v>
      </c>
      <c r="K961" s="4" t="str">
        <f ca="1">_xlfn.IFNA(VLOOKUP(INDIRECT("G"&amp;ROW()),minfo!$A:$M,COLUMN()-8,0),"")</f>
        <v>周杰伦</v>
      </c>
      <c r="L961" s="4">
        <f ca="1">_xlfn.IFNA(VLOOKUP(INDIRECT("G"&amp;ROW()),minfo!$A:$M,COLUMN()-8,0),"")</f>
        <v>0</v>
      </c>
      <c r="M961" s="4">
        <f ca="1">_xlfn.IFNA(VLOOKUP(INDIRECT("G"&amp;ROW()),minfo!$A:$M,COLUMN()-8,0),"")</f>
        <v>0</v>
      </c>
      <c r="N961" s="4">
        <f ca="1">_xlfn.IFNA(VLOOKUP(INDIRECT("G"&amp;ROW()),minfo!$A:$M,COLUMN()-8,0),"")</f>
        <v>0</v>
      </c>
      <c r="O961" s="4" t="str">
        <f ca="1">_xlfn.IFNA(VLOOKUP(INDIRECT("G"&amp;ROW()),minfo!$A:$M,COLUMN()-8,0),"")</f>
        <v>https://i0.hdslb.com/bfs/station_src/music_metadata/2b7d7250423bd10995c607eb49b4e004.jpg</v>
      </c>
      <c r="P961" s="4">
        <f ca="1">_xlfn.IFNA(VLOOKUP(INDIRECT("G"&amp;ROW()),minfo!$A:$M,COLUMN()-8,0),"")</f>
        <v>0</v>
      </c>
      <c r="Q961" s="4">
        <f ca="1">_xlfn.IFNA(VLOOKUP(INDIRECT("G"&amp;ROW()),minfo!$A:$M,COLUMN()-8,0),"")</f>
        <v>1340</v>
      </c>
      <c r="R961" s="4" t="str">
        <f ca="1">_xlfn.IFNA(VLOOKUP(INDIRECT("G"&amp;ROW()),minfo!$A:$M,COLUMN()-8,0),"")</f>
        <v>《命运呼叫转移》电影主题曲</v>
      </c>
      <c r="S961" s="4" t="str">
        <f ca="1">_xlfn.IFNA(VLOOKUP(INDIRECT("G"&amp;ROW()),minfo!$A:$M,COLUMN()-8,0),"")</f>
        <v>我很忙</v>
      </c>
      <c r="T961" s="4">
        <f ca="1">_xlfn.IFNA(VLOOKUP(INDIRECT("G"&amp;ROW()),minfo!$A:$M,COLUMN()-8,0),"")</f>
        <v>394249952</v>
      </c>
      <c r="U961" s="4">
        <f ca="1">_xlfn.IFNA(VLOOKUP(INDIRECT("G"&amp;ROW()),minfo!$A:$M,COLUMN()-8,0),"")</f>
        <v>0</v>
      </c>
    </row>
    <row r="962" spans="1:21" ht="15.75" customHeight="1">
      <c r="A962" s="15">
        <v>961</v>
      </c>
      <c r="B962" s="4" t="s">
        <v>4558</v>
      </c>
      <c r="C962" s="4">
        <v>962</v>
      </c>
      <c r="D962" s="4">
        <v>176</v>
      </c>
      <c r="E962" s="4" t="s">
        <v>93</v>
      </c>
      <c r="F962" s="16">
        <v>44656</v>
      </c>
      <c r="G962" s="5" t="s">
        <v>273</v>
      </c>
      <c r="H962" s="5" t="s">
        <v>4375</v>
      </c>
      <c r="I962" s="24" t="str">
        <f>HYPERLINK("https://www.bilibili.com/video/BV1pY411t7Rb?p=176", "BV1pY411t7Rb?p=176")</f>
        <v>BV1pY411t7Rb?p=176</v>
      </c>
      <c r="J962" s="4" t="str">
        <f ca="1">_xlfn.IFNA(VLOOKUP(INDIRECT("G"&amp;ROW()),minfo!$A:$M,COLUMN()-8,0),"")</f>
        <v>罗敷</v>
      </c>
      <c r="K962" s="4" t="str">
        <f ca="1">_xlfn.IFNA(VLOOKUP(INDIRECT("G"&amp;ROW()),minfo!$A:$M,COLUMN()-8,0),"")</f>
        <v>说说Crystal</v>
      </c>
      <c r="L962" s="4">
        <f ca="1">_xlfn.IFNA(VLOOKUP(INDIRECT("G"&amp;ROW()),minfo!$A:$M,COLUMN()-8,0),"")</f>
        <v>0</v>
      </c>
      <c r="M962" s="4">
        <f ca="1">_xlfn.IFNA(VLOOKUP(INDIRECT("G"&amp;ROW()),minfo!$A:$M,COLUMN()-8,0),"")</f>
        <v>0</v>
      </c>
      <c r="N962" s="4">
        <f ca="1">_xlfn.IFNA(VLOOKUP(INDIRECT("G"&amp;ROW()),minfo!$A:$M,COLUMN()-8,0),"")</f>
        <v>0</v>
      </c>
      <c r="O962" s="4" t="str">
        <f ca="1">_xlfn.IFNA(VLOOKUP(INDIRECT("G"&amp;ROW()),minfo!$A:$M,COLUMN()-8,0),"")</f>
        <v>https://i0.hdslb.com/bfs/station_src/music_metadata/1b7b9e3e2c4c793577a84986cdadb2cc.jpg</v>
      </c>
      <c r="P962" s="4">
        <f ca="1">_xlfn.IFNA(VLOOKUP(INDIRECT("G"&amp;ROW()),minfo!$A:$M,COLUMN()-8,0),"")</f>
        <v>0</v>
      </c>
      <c r="Q962" s="4">
        <f ca="1">_xlfn.IFNA(VLOOKUP(INDIRECT("G"&amp;ROW()),minfo!$A:$M,COLUMN()-8,0),"")</f>
        <v>0</v>
      </c>
      <c r="R962" s="4">
        <f ca="1">_xlfn.IFNA(VLOOKUP(INDIRECT("G"&amp;ROW()),minfo!$A:$M,COLUMN()-8,0),"")</f>
        <v>0</v>
      </c>
      <c r="S962" s="4" t="str">
        <f ca="1">_xlfn.IFNA(VLOOKUP(INDIRECT("G"&amp;ROW()),minfo!$A:$M,COLUMN()-8,0),"")</f>
        <v>【说说·原创】这一曲只倾心于你 |《罗敷》</v>
      </c>
      <c r="T962" s="4">
        <f ca="1">_xlfn.IFNA(VLOOKUP(INDIRECT("G"&amp;ROW()),minfo!$A:$M,COLUMN()-8,0),"")</f>
        <v>323164</v>
      </c>
      <c r="U962" s="4">
        <f ca="1">_xlfn.IFNA(VLOOKUP(INDIRECT("G"&amp;ROW()),minfo!$A:$M,COLUMN()-8,0),"")</f>
        <v>0</v>
      </c>
    </row>
    <row r="963" spans="1:21" ht="15.75" customHeight="1">
      <c r="A963" s="15">
        <v>962</v>
      </c>
      <c r="B963" s="4" t="s">
        <v>4559</v>
      </c>
      <c r="C963" s="4">
        <v>963</v>
      </c>
      <c r="D963" s="4">
        <v>177</v>
      </c>
      <c r="E963" s="4" t="s">
        <v>26</v>
      </c>
      <c r="F963" s="16">
        <v>44657</v>
      </c>
      <c r="G963" s="5" t="s">
        <v>25</v>
      </c>
      <c r="H963" s="5" t="s">
        <v>4375</v>
      </c>
      <c r="I963" s="24" t="str">
        <f>HYPERLINK("https://www.bilibili.com/video/BV1pY411t7Rb?p=177", "BV1pY411t7Rb?p=177")</f>
        <v>BV1pY411t7Rb?p=177</v>
      </c>
      <c r="J963" s="4" t="str">
        <f ca="1">_xlfn.IFNA(VLOOKUP(INDIRECT("G"&amp;ROW()),minfo!$A:$M,COLUMN()-8,0),"")</f>
        <v>失落沙洲</v>
      </c>
      <c r="K963" s="4" t="str">
        <f ca="1">_xlfn.IFNA(VLOOKUP(INDIRECT("G"&amp;ROW()),minfo!$A:$M,COLUMN()-8,0),"")</f>
        <v>徐佳莹</v>
      </c>
      <c r="L963" s="4">
        <f ca="1">_xlfn.IFNA(VLOOKUP(INDIRECT("G"&amp;ROW()),minfo!$A:$M,COLUMN()-8,0),"")</f>
        <v>0</v>
      </c>
      <c r="M963" s="4">
        <f ca="1">_xlfn.IFNA(VLOOKUP(INDIRECT("G"&amp;ROW()),minfo!$A:$M,COLUMN()-8,0),"")</f>
        <v>72</v>
      </c>
      <c r="N963" s="4">
        <f ca="1">_xlfn.IFNA(VLOOKUP(INDIRECT("G"&amp;ROW()),minfo!$A:$M,COLUMN()-8,0),"")</f>
        <v>18</v>
      </c>
      <c r="O963" s="4" t="str">
        <f ca="1">_xlfn.IFNA(VLOOKUP(INDIRECT("G"&amp;ROW()),minfo!$A:$M,COLUMN()-8,0),"")</f>
        <v>http://i0.hdslb.com/bfs/station_src/music_metadata/7f95eaafe5cfc03dd6c22a1bac11aee8.jpg</v>
      </c>
      <c r="P963" s="4">
        <f ca="1">_xlfn.IFNA(VLOOKUP(INDIRECT("G"&amp;ROW()),minfo!$A:$M,COLUMN()-8,0),"")</f>
        <v>0</v>
      </c>
      <c r="Q963" s="4">
        <f ca="1">_xlfn.IFNA(VLOOKUP(INDIRECT("G"&amp;ROW()),minfo!$A:$M,COLUMN()-8,0),"")</f>
        <v>51</v>
      </c>
      <c r="R963" s="4">
        <f ca="1">_xlfn.IFNA(VLOOKUP(INDIRECT("G"&amp;ROW()),minfo!$A:$M,COLUMN()-8,0),"")</f>
        <v>0</v>
      </c>
      <c r="S963" s="4" t="str">
        <f ca="1">_xlfn.IFNA(VLOOKUP(INDIRECT("G"&amp;ROW()),minfo!$A:$M,COLUMN()-8,0),"")</f>
        <v>失落沙洲</v>
      </c>
      <c r="T963" s="4">
        <f ca="1">_xlfn.IFNA(VLOOKUP(INDIRECT("G"&amp;ROW()),minfo!$A:$M,COLUMN()-8,0),"")</f>
        <v>13227275</v>
      </c>
      <c r="U963" s="4">
        <f ca="1">_xlfn.IFNA(VLOOKUP(INDIRECT("G"&amp;ROW()),minfo!$A:$M,COLUMN()-8,0),"")</f>
        <v>0</v>
      </c>
    </row>
    <row r="964" spans="1:21" ht="15.75" customHeight="1">
      <c r="A964" s="15">
        <v>963</v>
      </c>
      <c r="B964" s="4" t="s">
        <v>4560</v>
      </c>
      <c r="C964" s="4">
        <v>964</v>
      </c>
      <c r="D964" s="4">
        <v>178</v>
      </c>
      <c r="E964" s="4" t="s">
        <v>872</v>
      </c>
      <c r="F964" s="16">
        <v>44657</v>
      </c>
      <c r="G964" s="5" t="s">
        <v>871</v>
      </c>
      <c r="H964" s="5" t="s">
        <v>4375</v>
      </c>
      <c r="I964" s="24" t="str">
        <f>HYPERLINK("https://www.bilibili.com/video/BV1pY411t7Rb?p=178", "BV1pY411t7Rb?p=178")</f>
        <v>BV1pY411t7Rb?p=178</v>
      </c>
      <c r="J964" s="4" t="str">
        <f ca="1">_xlfn.IFNA(VLOOKUP(INDIRECT("G"&amp;ROW()),minfo!$A:$M,COLUMN()-8,0),"")</f>
        <v>一样的月光</v>
      </c>
      <c r="K964" s="4" t="str">
        <f ca="1">_xlfn.IFNA(VLOOKUP(INDIRECT("G"&amp;ROW()),minfo!$A:$M,COLUMN()-8,0),"")</f>
        <v>徐佳莹</v>
      </c>
      <c r="L964" s="4">
        <f ca="1">_xlfn.IFNA(VLOOKUP(INDIRECT("G"&amp;ROW()),minfo!$A:$M,COLUMN()-8,0),"")</f>
        <v>0</v>
      </c>
      <c r="M964" s="4">
        <f ca="1">_xlfn.IFNA(VLOOKUP(INDIRECT("G"&amp;ROW()),minfo!$A:$M,COLUMN()-8,0),"")</f>
        <v>0</v>
      </c>
      <c r="N964" s="4">
        <f ca="1">_xlfn.IFNA(VLOOKUP(INDIRECT("G"&amp;ROW()),minfo!$A:$M,COLUMN()-8,0),"")</f>
        <v>0</v>
      </c>
      <c r="O964" s="4" t="str">
        <f ca="1">_xlfn.IFNA(VLOOKUP(INDIRECT("G"&amp;ROW()),minfo!$A:$M,COLUMN()-8,0),"")</f>
        <v>https://i0.hdslb.com/bfs/station_src/music_metadata/bb47ed0b6da92d07d9492a6e3982d7f7.jpg</v>
      </c>
      <c r="P964" s="4" t="str">
        <f ca="1">_xlfn.IFNA(VLOOKUP(INDIRECT("G"&amp;ROW()),minfo!$A:$M,COLUMN()-8,0),"")</f>
        <v>http://i0.hdslb.com/bfs/station_src/music_metadata/df58f5b1cd8da2f562b22b6c913ab846</v>
      </c>
      <c r="Q964" s="4">
        <f ca="1">_xlfn.IFNA(VLOOKUP(INDIRECT("G"&amp;ROW()),minfo!$A:$M,COLUMN()-8,0),"")</f>
        <v>1830</v>
      </c>
      <c r="R964" s="4">
        <f ca="1">_xlfn.IFNA(VLOOKUP(INDIRECT("G"&amp;ROW()),minfo!$A:$M,COLUMN()-8,0),"")</f>
        <v>0</v>
      </c>
      <c r="S964" s="4" t="str">
        <f ca="1">_xlfn.IFNA(VLOOKUP(INDIRECT("G"&amp;ROW()),minfo!$A:$M,COLUMN()-8,0),"")</f>
        <v>LaLa首张创作专辑</v>
      </c>
      <c r="T964" s="4">
        <f ca="1">_xlfn.IFNA(VLOOKUP(INDIRECT("G"&amp;ROW()),minfo!$A:$M,COLUMN()-8,0),"")</f>
        <v>312017425</v>
      </c>
      <c r="U964" s="4">
        <f ca="1">_xlfn.IFNA(VLOOKUP(INDIRECT("G"&amp;ROW()),minfo!$A:$M,COLUMN()-8,0),"")</f>
        <v>0</v>
      </c>
    </row>
    <row r="965" spans="1:21" ht="15.75" customHeight="1">
      <c r="A965" s="15">
        <v>964</v>
      </c>
      <c r="B965" s="4" t="s">
        <v>4561</v>
      </c>
      <c r="C965" s="4">
        <v>965</v>
      </c>
      <c r="D965" s="4">
        <v>179</v>
      </c>
      <c r="E965" s="4" t="s">
        <v>918</v>
      </c>
      <c r="F965" s="16">
        <v>44657</v>
      </c>
      <c r="G965" s="5" t="s">
        <v>917</v>
      </c>
      <c r="H965" s="5" t="s">
        <v>4375</v>
      </c>
      <c r="I965" s="24" t="str">
        <f>HYPERLINK("https://www.bilibili.com/video/BV1pY411t7Rb?p=179", "BV1pY411t7Rb?p=179")</f>
        <v>BV1pY411t7Rb?p=179</v>
      </c>
      <c r="J965" s="4" t="str">
        <f ca="1">_xlfn.IFNA(VLOOKUP(INDIRECT("G"&amp;ROW()),minfo!$A:$M,COLUMN()-8,0),"")</f>
        <v>暗号</v>
      </c>
      <c r="K965" s="4" t="str">
        <f ca="1">_xlfn.IFNA(VLOOKUP(INDIRECT("G"&amp;ROW()),minfo!$A:$M,COLUMN()-8,0),"")</f>
        <v>周杰伦</v>
      </c>
      <c r="L965" s="4">
        <f ca="1">_xlfn.IFNA(VLOOKUP(INDIRECT("G"&amp;ROW()),minfo!$A:$M,COLUMN()-8,0),"")</f>
        <v>0</v>
      </c>
      <c r="M965" s="4">
        <f ca="1">_xlfn.IFNA(VLOOKUP(INDIRECT("G"&amp;ROW()),minfo!$A:$M,COLUMN()-8,0),"")</f>
        <v>0</v>
      </c>
      <c r="N965" s="4">
        <f ca="1">_xlfn.IFNA(VLOOKUP(INDIRECT("G"&amp;ROW()),minfo!$A:$M,COLUMN()-8,0),"")</f>
        <v>0</v>
      </c>
      <c r="O965" s="4" t="str">
        <f ca="1">_xlfn.IFNA(VLOOKUP(INDIRECT("G"&amp;ROW()),minfo!$A:$M,COLUMN()-8,0),"")</f>
        <v>https://i0.hdslb.com/bfs/station_src/music_metadata/836d7078552d6143b4a27f54a2a62598.jpg</v>
      </c>
      <c r="P965" s="4">
        <f ca="1">_xlfn.IFNA(VLOOKUP(INDIRECT("G"&amp;ROW()),minfo!$A:$M,COLUMN()-8,0),"")</f>
        <v>0</v>
      </c>
      <c r="Q965" s="4">
        <f ca="1">_xlfn.IFNA(VLOOKUP(INDIRECT("G"&amp;ROW()),minfo!$A:$M,COLUMN()-8,0),"")</f>
        <v>8346</v>
      </c>
      <c r="R965" s="4">
        <f ca="1">_xlfn.IFNA(VLOOKUP(INDIRECT("G"&amp;ROW()),minfo!$A:$M,COLUMN()-8,0),"")</f>
        <v>0</v>
      </c>
      <c r="S965" s="4" t="str">
        <f ca="1">_xlfn.IFNA(VLOOKUP(INDIRECT("G"&amp;ROW()),minfo!$A:$M,COLUMN()-8,0),"")</f>
        <v>八度空间</v>
      </c>
      <c r="T965" s="4">
        <f ca="1">_xlfn.IFNA(VLOOKUP(INDIRECT("G"&amp;ROW()),minfo!$A:$M,COLUMN()-8,0),"")</f>
        <v>445692889</v>
      </c>
      <c r="U965" s="4">
        <f ca="1">_xlfn.IFNA(VLOOKUP(INDIRECT("G"&amp;ROW()),minfo!$A:$M,COLUMN()-8,0),"")</f>
        <v>0</v>
      </c>
    </row>
    <row r="966" spans="1:21" ht="15.75" customHeight="1">
      <c r="A966" s="15">
        <v>965</v>
      </c>
      <c r="B966" s="4" t="s">
        <v>4562</v>
      </c>
      <c r="C966" s="4">
        <v>966</v>
      </c>
      <c r="D966" s="4">
        <v>180</v>
      </c>
      <c r="E966" s="4" t="s">
        <v>720</v>
      </c>
      <c r="F966" s="16">
        <v>44657</v>
      </c>
      <c r="G966" s="5" t="s">
        <v>719</v>
      </c>
      <c r="H966" s="5" t="s">
        <v>4375</v>
      </c>
      <c r="I966" s="24" t="str">
        <f>HYPERLINK("https://www.bilibili.com/video/BV1pY411t7Rb?p=180", "BV1pY411t7Rb?p=180")</f>
        <v>BV1pY411t7Rb?p=180</v>
      </c>
      <c r="J966" s="4" t="str">
        <f ca="1">_xlfn.IFNA(VLOOKUP(INDIRECT("G"&amp;ROW()),minfo!$A:$M,COLUMN()-8,0),"")</f>
        <v>落叶归根</v>
      </c>
      <c r="K966" s="4" t="str">
        <f ca="1">_xlfn.IFNA(VLOOKUP(INDIRECT("G"&amp;ROW()),minfo!$A:$M,COLUMN()-8,0),"")</f>
        <v>王力宏</v>
      </c>
      <c r="L966" s="4">
        <f ca="1">_xlfn.IFNA(VLOOKUP(INDIRECT("G"&amp;ROW()),minfo!$A:$M,COLUMN()-8,0),"")</f>
        <v>0</v>
      </c>
      <c r="M966" s="4">
        <f ca="1">_xlfn.IFNA(VLOOKUP(INDIRECT("G"&amp;ROW()),minfo!$A:$M,COLUMN()-8,0),"")</f>
        <v>3387</v>
      </c>
      <c r="N966" s="4">
        <f ca="1">_xlfn.IFNA(VLOOKUP(INDIRECT("G"&amp;ROW()),minfo!$A:$M,COLUMN()-8,0),"")</f>
        <v>845</v>
      </c>
      <c r="O966" s="4" t="str">
        <f ca="1">_xlfn.IFNA(VLOOKUP(INDIRECT("G"&amp;ROW()),minfo!$A:$M,COLUMN()-8,0),"")</f>
        <v>https://i0.hdslb.com/bfs/station_src/music_metadata/a8ffd1d411d13153eb4745f7b32606c9.jpg</v>
      </c>
      <c r="P966" s="4" t="str">
        <f ca="1">_xlfn.IFNA(VLOOKUP(INDIRECT("G"&amp;ROW()),minfo!$A:$M,COLUMN()-8,0),"")</f>
        <v>https://i0.hdslb.com/bfs/station_src/music_metadata/bcd960f324898e0e42f392683fa178ba.txt</v>
      </c>
      <c r="Q966" s="4">
        <f ca="1">_xlfn.IFNA(VLOOKUP(INDIRECT("G"&amp;ROW()),minfo!$A:$M,COLUMN()-8,0),"")</f>
        <v>60</v>
      </c>
      <c r="R966" s="4">
        <f ca="1">_xlfn.IFNA(VLOOKUP(INDIRECT("G"&amp;ROW()),minfo!$A:$M,COLUMN()-8,0),"")</f>
        <v>0</v>
      </c>
      <c r="S966" s="4" t="str">
        <f ca="1">_xlfn.IFNA(VLOOKUP(INDIRECT("G"&amp;ROW()),minfo!$A:$M,COLUMN()-8,0),"")</f>
        <v>改变自己</v>
      </c>
      <c r="T966" s="4">
        <f ca="1">_xlfn.IFNA(VLOOKUP(INDIRECT("G"&amp;ROW()),minfo!$A:$M,COLUMN()-8,0),"")</f>
        <v>41008288</v>
      </c>
      <c r="U966" s="4">
        <f ca="1">_xlfn.IFNA(VLOOKUP(INDIRECT("G"&amp;ROW()),minfo!$A:$M,COLUMN()-8,0),"")</f>
        <v>0</v>
      </c>
    </row>
    <row r="967" spans="1:21" ht="15.75" customHeight="1">
      <c r="A967" s="15">
        <v>966</v>
      </c>
      <c r="B967" s="4" t="s">
        <v>4563</v>
      </c>
      <c r="C967" s="4">
        <v>967</v>
      </c>
      <c r="D967" s="4">
        <v>181</v>
      </c>
      <c r="E967" s="4" t="s">
        <v>2368</v>
      </c>
      <c r="F967" s="16">
        <v>44657</v>
      </c>
      <c r="G967" s="5" t="s">
        <v>2694</v>
      </c>
      <c r="H967" s="5" t="s">
        <v>4375</v>
      </c>
      <c r="I967" s="24" t="str">
        <f>HYPERLINK("https://www.bilibili.com/video/BV1pY411t7Rb?p=181", "BV1pY411t7Rb?p=181")</f>
        <v>BV1pY411t7Rb?p=181</v>
      </c>
      <c r="J967" s="4" t="str">
        <f ca="1">_xlfn.IFNA(VLOOKUP(INDIRECT("G"&amp;ROW()),minfo!$A:$M,COLUMN()-8,0),"")</f>
        <v>爱你</v>
      </c>
      <c r="K967" s="4" t="str">
        <f ca="1">_xlfn.IFNA(VLOOKUP(INDIRECT("G"&amp;ROW()),minfo!$A:$M,COLUMN()-8,0),"")</f>
        <v>王心凌</v>
      </c>
      <c r="L967" s="4">
        <f ca="1">_xlfn.IFNA(VLOOKUP(INDIRECT("G"&amp;ROW()),minfo!$A:$M,COLUMN()-8,0),"")</f>
        <v>0</v>
      </c>
      <c r="M967" s="4">
        <f ca="1">_xlfn.IFNA(VLOOKUP(INDIRECT("G"&amp;ROW()),minfo!$A:$M,COLUMN()-8,0),"")</f>
        <v>35</v>
      </c>
      <c r="N967" s="4">
        <f ca="1">_xlfn.IFNA(VLOOKUP(INDIRECT("G"&amp;ROW()),minfo!$A:$M,COLUMN()-8,0),"")</f>
        <v>29</v>
      </c>
      <c r="O967" s="4" t="str">
        <f ca="1">_xlfn.IFNA(VLOOKUP(INDIRECT("G"&amp;ROW()),minfo!$A:$M,COLUMN()-8,0),"")</f>
        <v>http://i0.hdslb.com/bfs/station_src/music_metadata/a9b43805ff5aa92d45ef62bce0afe1ea.jpg</v>
      </c>
      <c r="P967" s="4" t="str">
        <f ca="1">_xlfn.IFNA(VLOOKUP(INDIRECT("G"&amp;ROW()),minfo!$A:$M,COLUMN()-8,0),"")</f>
        <v>http://i0.hdslb.com/bfs/station_src/music_metadata/24997dd0952e21fd7706e781e8adb905</v>
      </c>
      <c r="Q967" s="4">
        <f ca="1">_xlfn.IFNA(VLOOKUP(INDIRECT("G"&amp;ROW()),minfo!$A:$M,COLUMN()-8,0),"")</f>
        <v>17697</v>
      </c>
      <c r="R967" s="4" t="str">
        <f ca="1">_xlfn.IFNA(VLOOKUP(INDIRECT("G"&amp;ROW()),minfo!$A:$M,COLUMN()-8,0),"")</f>
        <v>情话多说一点</v>
      </c>
      <c r="S967" s="4" t="str">
        <f ca="1">_xlfn.IFNA(VLOOKUP(INDIRECT("G"&amp;ROW()),minfo!$A:$M,COLUMN()-8,0),"")</f>
        <v>爱你</v>
      </c>
      <c r="T967" s="4">
        <f ca="1">_xlfn.IFNA(VLOOKUP(INDIRECT("G"&amp;ROW()),minfo!$A:$M,COLUMN()-8,0),"")</f>
        <v>1465329274</v>
      </c>
      <c r="U967" s="4" t="str">
        <f ca="1">_xlfn.IFNA(VLOOKUP(INDIRECT("G"&amp;ROW()),minfo!$A:$M,COLUMN()-8,0),"")</f>
        <v>音乐榜最高NO.1</v>
      </c>
    </row>
    <row r="968" spans="1:21" ht="15.75" customHeight="1">
      <c r="A968" s="15">
        <v>967</v>
      </c>
      <c r="B968" s="4" t="s">
        <v>4564</v>
      </c>
      <c r="C968" s="4">
        <v>968</v>
      </c>
      <c r="D968" s="4">
        <v>182</v>
      </c>
      <c r="E968" s="4" t="s">
        <v>2197</v>
      </c>
      <c r="F968" s="16">
        <v>44659</v>
      </c>
      <c r="G968" s="5" t="s">
        <v>2196</v>
      </c>
      <c r="H968" s="5" t="s">
        <v>4375</v>
      </c>
      <c r="I968" s="24" t="str">
        <f>HYPERLINK("https://www.bilibili.com/video/BV1pY411t7Rb?p=182", "BV1pY411t7Rb?p=182")</f>
        <v>BV1pY411t7Rb?p=182</v>
      </c>
      <c r="J968" s="4" t="str">
        <f ca="1">_xlfn.IFNA(VLOOKUP(INDIRECT("G"&amp;ROW()),minfo!$A:$M,COLUMN()-8,0),"")</f>
        <v>仰望星空</v>
      </c>
      <c r="K968" s="4" t="str">
        <f ca="1">_xlfn.IFNA(VLOOKUP(INDIRECT("G"&amp;ROW()),minfo!$A:$M,COLUMN()-8,0),"")</f>
        <v>张杰</v>
      </c>
      <c r="L968" s="4">
        <f ca="1">_xlfn.IFNA(VLOOKUP(INDIRECT("G"&amp;ROW()),minfo!$A:$M,COLUMN()-8,0),"")</f>
        <v>0</v>
      </c>
      <c r="M968" s="4">
        <f ca="1">_xlfn.IFNA(VLOOKUP(INDIRECT("G"&amp;ROW()),minfo!$A:$M,COLUMN()-8,0),"")</f>
        <v>0</v>
      </c>
      <c r="N968" s="4">
        <f ca="1">_xlfn.IFNA(VLOOKUP(INDIRECT("G"&amp;ROW()),minfo!$A:$M,COLUMN()-8,0),"")</f>
        <v>0</v>
      </c>
      <c r="O968" s="4" t="str">
        <f ca="1">_xlfn.IFNA(VLOOKUP(INDIRECT("G"&amp;ROW()),minfo!$A:$M,COLUMN()-8,0),"")</f>
        <v>https://i0.hdslb.com/bfs/station_src/music_metadata/f227a05cfbf839c5b3b61dab487cf5c0.jpg</v>
      </c>
      <c r="P968" s="4" t="str">
        <f ca="1">_xlfn.IFNA(VLOOKUP(INDIRECT("G"&amp;ROW()),minfo!$A:$M,COLUMN()-8,0),"")</f>
        <v>https://i0.hdslb.com/bfs/station_src/music_metadata/2f2d36bb64755aa012fb8d400083d84d.txt</v>
      </c>
      <c r="Q968" s="4">
        <f ca="1">_xlfn.IFNA(VLOOKUP(INDIRECT("G"&amp;ROW()),minfo!$A:$M,COLUMN()-8,0),"")</f>
        <v>61</v>
      </c>
      <c r="R968" s="4">
        <f ca="1">_xlfn.IFNA(VLOOKUP(INDIRECT("G"&amp;ROW()),minfo!$A:$M,COLUMN()-8,0),"")</f>
        <v>0</v>
      </c>
      <c r="S968" s="4" t="str">
        <f ca="1">_xlfn.IFNA(VLOOKUP(INDIRECT("G"&amp;ROW()),minfo!$A:$M,COLUMN()-8,0),"")</f>
        <v>听！我们的歌</v>
      </c>
      <c r="T968" s="4">
        <f ca="1">_xlfn.IFNA(VLOOKUP(INDIRECT("G"&amp;ROW()),minfo!$A:$M,COLUMN()-8,0),"")</f>
        <v>32825301</v>
      </c>
      <c r="U968" s="4">
        <f ca="1">_xlfn.IFNA(VLOOKUP(INDIRECT("G"&amp;ROW()),minfo!$A:$M,COLUMN()-8,0),"")</f>
        <v>0</v>
      </c>
    </row>
    <row r="969" spans="1:21" ht="15.75" customHeight="1">
      <c r="A969" s="15">
        <v>968</v>
      </c>
      <c r="B969" s="4" t="s">
        <v>4565</v>
      </c>
      <c r="C969" s="4">
        <v>969</v>
      </c>
      <c r="D969" s="4">
        <v>183</v>
      </c>
      <c r="E969" s="4" t="s">
        <v>1585</v>
      </c>
      <c r="F969" s="16">
        <v>44662</v>
      </c>
      <c r="G969" s="5" t="s">
        <v>1584</v>
      </c>
      <c r="H969" s="5" t="s">
        <v>4375</v>
      </c>
      <c r="I969" s="24" t="str">
        <f>HYPERLINK("https://www.bilibili.com/video/BV1pY411t7Rb?p=183", "BV1pY411t7Rb?p=183")</f>
        <v>BV1pY411t7Rb?p=183</v>
      </c>
      <c r="J969" s="4" t="str">
        <f ca="1">_xlfn.IFNA(VLOOKUP(INDIRECT("G"&amp;ROW()),minfo!$A:$M,COLUMN()-8,0),"")</f>
        <v>月牙湾</v>
      </c>
      <c r="K969" s="4" t="str">
        <f ca="1">_xlfn.IFNA(VLOOKUP(INDIRECT("G"&amp;ROW()),minfo!$A:$M,COLUMN()-8,0),"")</f>
        <v>飞儿乐队</v>
      </c>
      <c r="L969" s="4">
        <f ca="1">_xlfn.IFNA(VLOOKUP(INDIRECT("G"&amp;ROW()),minfo!$A:$M,COLUMN()-8,0),"")</f>
        <v>0</v>
      </c>
      <c r="M969" s="4">
        <f ca="1">_xlfn.IFNA(VLOOKUP(INDIRECT("G"&amp;ROW()),minfo!$A:$M,COLUMN()-8,0),"")</f>
        <v>0</v>
      </c>
      <c r="N969" s="4">
        <f ca="1">_xlfn.IFNA(VLOOKUP(INDIRECT("G"&amp;ROW()),minfo!$A:$M,COLUMN()-8,0),"")</f>
        <v>0</v>
      </c>
      <c r="O969" s="4" t="str">
        <f ca="1">_xlfn.IFNA(VLOOKUP(INDIRECT("G"&amp;ROW()),minfo!$A:$M,COLUMN()-8,0),"")</f>
        <v>https://i0.hdslb.com/bfs/station_src/music_metadata/4d030f96fbe202f9504add491a690ace.jpg</v>
      </c>
      <c r="P969" s="4" t="str">
        <f ca="1">_xlfn.IFNA(VLOOKUP(INDIRECT("G"&amp;ROW()),minfo!$A:$M,COLUMN()-8,0),"")</f>
        <v>http://i0.hdslb.com/bfs/station_src/music_metadata/b5eef77c8e09fe891a2c85dda279ee2c</v>
      </c>
      <c r="Q969" s="4">
        <f ca="1">_xlfn.IFNA(VLOOKUP(INDIRECT("G"&amp;ROW()),minfo!$A:$M,COLUMN()-8,0),"")</f>
        <v>1119</v>
      </c>
      <c r="R969" s="4">
        <f ca="1">_xlfn.IFNA(VLOOKUP(INDIRECT("G"&amp;ROW()),minfo!$A:$M,COLUMN()-8,0),"")</f>
        <v>0</v>
      </c>
      <c r="S969" s="4" t="str">
        <f ca="1">_xlfn.IFNA(VLOOKUP(INDIRECT("G"&amp;ROW()),minfo!$A:$M,COLUMN()-8,0),"")</f>
        <v>爱‧歌姬</v>
      </c>
      <c r="T969" s="4">
        <f ca="1">_xlfn.IFNA(VLOOKUP(INDIRECT("G"&amp;ROW()),minfo!$A:$M,COLUMN()-8,0),"")</f>
        <v>217542753</v>
      </c>
      <c r="U969" s="4">
        <f ca="1">_xlfn.IFNA(VLOOKUP(INDIRECT("G"&amp;ROW()),minfo!$A:$M,COLUMN()-8,0),"")</f>
        <v>0</v>
      </c>
    </row>
    <row r="970" spans="1:21" ht="15.75" customHeight="1">
      <c r="A970" s="15">
        <v>969</v>
      </c>
      <c r="B970" s="4" t="s">
        <v>4566</v>
      </c>
      <c r="C970" s="4">
        <v>970</v>
      </c>
      <c r="D970" s="4">
        <v>184</v>
      </c>
      <c r="E970" s="4" t="s">
        <v>3074</v>
      </c>
      <c r="F970" s="16">
        <v>44662</v>
      </c>
      <c r="G970" s="5" t="s">
        <v>3073</v>
      </c>
      <c r="H970" s="5" t="s">
        <v>4375</v>
      </c>
      <c r="I970" s="24" t="str">
        <f>HYPERLINK("https://www.bilibili.com/video/BV1pY411t7Rb?p=184", "BV1pY411t7Rb?p=184")</f>
        <v>BV1pY411t7Rb?p=184</v>
      </c>
      <c r="J970" s="4" t="str">
        <f ca="1">_xlfn.IFNA(VLOOKUP(INDIRECT("G"&amp;ROW()),minfo!$A:$M,COLUMN()-8,0),"")</f>
        <v>大约在冬季</v>
      </c>
      <c r="K970" s="4" t="str">
        <f ca="1">_xlfn.IFNA(VLOOKUP(INDIRECT("G"&amp;ROW()),minfo!$A:$M,COLUMN()-8,0),"")</f>
        <v>蔡琴</v>
      </c>
      <c r="L970" s="4">
        <f ca="1">_xlfn.IFNA(VLOOKUP(INDIRECT("G"&amp;ROW()),minfo!$A:$M,COLUMN()-8,0),"")</f>
        <v>0</v>
      </c>
      <c r="M970" s="4">
        <f ca="1">_xlfn.IFNA(VLOOKUP(INDIRECT("G"&amp;ROW()),minfo!$A:$M,COLUMN()-8,0),"")</f>
        <v>0</v>
      </c>
      <c r="N970" s="4">
        <f ca="1">_xlfn.IFNA(VLOOKUP(INDIRECT("G"&amp;ROW()),minfo!$A:$M,COLUMN()-8,0),"")</f>
        <v>0</v>
      </c>
      <c r="O970" s="4" t="str">
        <f ca="1">_xlfn.IFNA(VLOOKUP(INDIRECT("G"&amp;ROW()),minfo!$A:$M,COLUMN()-8,0),"")</f>
        <v>https://i0.hdslb.com/bfs/station_src/music_metadata/04d4b29a7cf80eb79659a4f1a8c5ed0a.jpg</v>
      </c>
      <c r="P970" s="4" t="str">
        <f ca="1">_xlfn.IFNA(VLOOKUP(INDIRECT("G"&amp;ROW()),minfo!$A:$M,COLUMN()-8,0),"")</f>
        <v>https://i0.hdslb.com/bfs/station_src/music_metadata/7a3f3bae402ebeed887a3c9e225ee807.txt</v>
      </c>
      <c r="Q970" s="4">
        <f ca="1">_xlfn.IFNA(VLOOKUP(INDIRECT("G"&amp;ROW()),minfo!$A:$M,COLUMN()-8,0),"")</f>
        <v>2</v>
      </c>
      <c r="R970" s="4">
        <f ca="1">_xlfn.IFNA(VLOOKUP(INDIRECT("G"&amp;ROW()),minfo!$A:$M,COLUMN()-8,0),"")</f>
        <v>0</v>
      </c>
      <c r="S970" s="4" t="str">
        <f ca="1">_xlfn.IFNA(VLOOKUP(INDIRECT("G"&amp;ROW()),minfo!$A:$M,COLUMN()-8,0),"")</f>
        <v>鲍比达&amp;蔡琴 遇见</v>
      </c>
      <c r="T970" s="4">
        <f ca="1">_xlfn.IFNA(VLOOKUP(INDIRECT("G"&amp;ROW()),minfo!$A:$M,COLUMN()-8,0),"")</f>
        <v>7303425</v>
      </c>
      <c r="U970" s="4">
        <f ca="1">_xlfn.IFNA(VLOOKUP(INDIRECT("G"&amp;ROW()),minfo!$A:$M,COLUMN()-8,0),"")</f>
        <v>0</v>
      </c>
    </row>
    <row r="971" spans="1:21" ht="15.75" customHeight="1">
      <c r="A971" s="15">
        <v>970</v>
      </c>
      <c r="B971" s="4" t="s">
        <v>4567</v>
      </c>
      <c r="C971" s="4">
        <v>971</v>
      </c>
      <c r="D971" s="4">
        <v>185</v>
      </c>
      <c r="E971" s="4" t="s">
        <v>2203</v>
      </c>
      <c r="F971" s="16">
        <v>44662</v>
      </c>
      <c r="G971" s="5" t="s">
        <v>2202</v>
      </c>
      <c r="H971" s="5" t="s">
        <v>4375</v>
      </c>
      <c r="I971" s="24" t="str">
        <f>HYPERLINK("https://www.bilibili.com/video/BV1pY411t7Rb?p=185", "BV1pY411t7Rb?p=185")</f>
        <v>BV1pY411t7Rb?p=185</v>
      </c>
      <c r="J971" s="4" t="str">
        <f ca="1">_xlfn.IFNA(VLOOKUP(INDIRECT("G"&amp;ROW()),minfo!$A:$M,COLUMN()-8,0),"")</f>
        <v>橄榄树</v>
      </c>
      <c r="K971" s="4" t="str">
        <f ca="1">_xlfn.IFNA(VLOOKUP(INDIRECT("G"&amp;ROW()),minfo!$A:$M,COLUMN()-8,0),"")</f>
        <v>齐豫</v>
      </c>
      <c r="L971" s="4">
        <f ca="1">_xlfn.IFNA(VLOOKUP(INDIRECT("G"&amp;ROW()),minfo!$A:$M,COLUMN()-8,0),"")</f>
        <v>0</v>
      </c>
      <c r="M971" s="4">
        <f ca="1">_xlfn.IFNA(VLOOKUP(INDIRECT("G"&amp;ROW()),minfo!$A:$M,COLUMN()-8,0),"")</f>
        <v>0</v>
      </c>
      <c r="N971" s="4">
        <f ca="1">_xlfn.IFNA(VLOOKUP(INDIRECT("G"&amp;ROW()),minfo!$A:$M,COLUMN()-8,0),"")</f>
        <v>0</v>
      </c>
      <c r="O971" s="4" t="str">
        <f ca="1">_xlfn.IFNA(VLOOKUP(INDIRECT("G"&amp;ROW()),minfo!$A:$M,COLUMN()-8,0),"")</f>
        <v>https://i0.hdslb.com/bfs/station_src/music_metadata/e9340e2f653e3d41e63d3a722997bcd4.jpg</v>
      </c>
      <c r="P971" s="4" t="str">
        <f ca="1">_xlfn.IFNA(VLOOKUP(INDIRECT("G"&amp;ROW()),minfo!$A:$M,COLUMN()-8,0),"")</f>
        <v>https://i0.hdslb.com/bfs/station_src/music_metadata/d976d0cd894bfc9240516be415e09f01.txt</v>
      </c>
      <c r="Q971" s="4">
        <f ca="1">_xlfn.IFNA(VLOOKUP(INDIRECT("G"&amp;ROW()),minfo!$A:$M,COLUMN()-8,0),"")</f>
        <v>38</v>
      </c>
      <c r="R971" s="4">
        <f ca="1">_xlfn.IFNA(VLOOKUP(INDIRECT("G"&amp;ROW()),minfo!$A:$M,COLUMN()-8,0),"")</f>
        <v>0</v>
      </c>
      <c r="S971" s="4" t="str">
        <f ca="1">_xlfn.IFNA(VLOOKUP(INDIRECT("G"&amp;ROW()),minfo!$A:$M,COLUMN()-8,0),"")</f>
        <v>橄榄树</v>
      </c>
      <c r="T971" s="4">
        <f ca="1">_xlfn.IFNA(VLOOKUP(INDIRECT("G"&amp;ROW()),minfo!$A:$M,COLUMN()-8,0),"")</f>
        <v>29358578</v>
      </c>
      <c r="U971" s="4">
        <f ca="1">_xlfn.IFNA(VLOOKUP(INDIRECT("G"&amp;ROW()),minfo!$A:$M,COLUMN()-8,0),"")</f>
        <v>0</v>
      </c>
    </row>
    <row r="972" spans="1:21" ht="15.75" customHeight="1">
      <c r="A972" s="15">
        <v>971</v>
      </c>
      <c r="B972" s="4" t="s">
        <v>4568</v>
      </c>
      <c r="C972" s="4">
        <v>972</v>
      </c>
      <c r="D972" s="4">
        <v>186</v>
      </c>
      <c r="E972" s="4" t="s">
        <v>451</v>
      </c>
      <c r="F972" s="16">
        <v>44662</v>
      </c>
      <c r="G972" s="5" t="s">
        <v>450</v>
      </c>
      <c r="H972" s="5" t="s">
        <v>4375</v>
      </c>
      <c r="I972" s="24" t="str">
        <f>HYPERLINK("https://www.bilibili.com/video/BV1pY411t7Rb?p=186", "BV1pY411t7Rb?p=186")</f>
        <v>BV1pY411t7Rb?p=186</v>
      </c>
      <c r="J972" s="4" t="str">
        <f ca="1">_xlfn.IFNA(VLOOKUP(INDIRECT("G"&amp;ROW()),minfo!$A:$M,COLUMN()-8,0),"")</f>
        <v>浪费</v>
      </c>
      <c r="K972" s="4" t="str">
        <f ca="1">_xlfn.IFNA(VLOOKUP(INDIRECT("G"&amp;ROW()),minfo!$A:$M,COLUMN()-8,0),"")</f>
        <v>林宥嘉</v>
      </c>
      <c r="L972" s="4">
        <f ca="1">_xlfn.IFNA(VLOOKUP(INDIRECT("G"&amp;ROW()),minfo!$A:$M,COLUMN()-8,0),"")</f>
        <v>0</v>
      </c>
      <c r="M972" s="4">
        <f ca="1">_xlfn.IFNA(VLOOKUP(INDIRECT("G"&amp;ROW()),minfo!$A:$M,COLUMN()-8,0),"")</f>
        <v>0</v>
      </c>
      <c r="N972" s="4">
        <f ca="1">_xlfn.IFNA(VLOOKUP(INDIRECT("G"&amp;ROW()),minfo!$A:$M,COLUMN()-8,0),"")</f>
        <v>0</v>
      </c>
      <c r="O972" s="4" t="str">
        <f ca="1">_xlfn.IFNA(VLOOKUP(INDIRECT("G"&amp;ROW()),minfo!$A:$M,COLUMN()-8,0),"")</f>
        <v>https://i0.hdslb.com/bfs/station_src/music_metadata/8edf4a71ca316f37452096e7b421ff83.jpg</v>
      </c>
      <c r="P972" s="4" t="str">
        <f ca="1">_xlfn.IFNA(VLOOKUP(INDIRECT("G"&amp;ROW()),minfo!$A:$M,COLUMN()-8,0),"")</f>
        <v>http://i0.hdslb.com/bfs/station_src/music_metadata/7e20539e61bdd7fecdadac6a3f4ae620</v>
      </c>
      <c r="Q972" s="4">
        <f ca="1">_xlfn.IFNA(VLOOKUP(INDIRECT("G"&amp;ROW()),minfo!$A:$M,COLUMN()-8,0),"")</f>
        <v>87</v>
      </c>
      <c r="R972" s="4">
        <f ca="1">_xlfn.IFNA(VLOOKUP(INDIRECT("G"&amp;ROW()),minfo!$A:$M,COLUMN()-8,0),"")</f>
        <v>0</v>
      </c>
      <c r="S972" s="4" t="str">
        <f ca="1">_xlfn.IFNA(VLOOKUP(INDIRECT("G"&amp;ROW()),minfo!$A:$M,COLUMN()-8,0),"")</f>
        <v>大小说家</v>
      </c>
      <c r="T972" s="4">
        <f ca="1">_xlfn.IFNA(VLOOKUP(INDIRECT("G"&amp;ROW()),minfo!$A:$M,COLUMN()-8,0),"")</f>
        <v>47590404</v>
      </c>
      <c r="U972" s="4">
        <f ca="1">_xlfn.IFNA(VLOOKUP(INDIRECT("G"&amp;ROW()),minfo!$A:$M,COLUMN()-8,0),"")</f>
        <v>0</v>
      </c>
    </row>
    <row r="973" spans="1:21" ht="15.75" customHeight="1">
      <c r="A973" s="15">
        <v>972</v>
      </c>
      <c r="B973" s="4" t="s">
        <v>4569</v>
      </c>
      <c r="C973" s="4">
        <v>973</v>
      </c>
      <c r="D973" s="4">
        <v>187</v>
      </c>
      <c r="E973" s="4" t="s">
        <v>2207</v>
      </c>
      <c r="F973" s="16">
        <v>44664</v>
      </c>
      <c r="G973" s="5" t="s">
        <v>2206</v>
      </c>
      <c r="H973" s="5" t="s">
        <v>4375</v>
      </c>
      <c r="I973" s="24" t="str">
        <f>HYPERLINK("https://www.bilibili.com/video/BV1pY411t7Rb?p=187", "BV1pY411t7Rb?p=187")</f>
        <v>BV1pY411t7Rb?p=187</v>
      </c>
      <c r="J973" s="4" t="str">
        <f ca="1">_xlfn.IFNA(VLOOKUP(INDIRECT("G"&amp;ROW()),minfo!$A:$M,COLUMN()-8,0),"")</f>
        <v>从前慢</v>
      </c>
      <c r="K973" s="4" t="str">
        <f ca="1">_xlfn.IFNA(VLOOKUP(INDIRECT("G"&amp;ROW()),minfo!$A:$M,COLUMN()-8,0),"")</f>
        <v>叶炫清</v>
      </c>
      <c r="L973" s="4">
        <f ca="1">_xlfn.IFNA(VLOOKUP(INDIRECT("G"&amp;ROW()),minfo!$A:$M,COLUMN()-8,0),"")</f>
        <v>0</v>
      </c>
      <c r="M973" s="4">
        <f ca="1">_xlfn.IFNA(VLOOKUP(INDIRECT("G"&amp;ROW()),minfo!$A:$M,COLUMN()-8,0),"")</f>
        <v>0</v>
      </c>
      <c r="N973" s="4">
        <f ca="1">_xlfn.IFNA(VLOOKUP(INDIRECT("G"&amp;ROW()),minfo!$A:$M,COLUMN()-8,0),"")</f>
        <v>0</v>
      </c>
      <c r="O973" s="4" t="str">
        <f ca="1">_xlfn.IFNA(VLOOKUP(INDIRECT("G"&amp;ROW()),minfo!$A:$M,COLUMN()-8,0),"")</f>
        <v>https://i0.hdslb.com/bfs/station_src/music_metadata/faf9842a8445f6617532907f5fad7805.jpg</v>
      </c>
      <c r="P973" s="4" t="str">
        <f ca="1">_xlfn.IFNA(VLOOKUP(INDIRECT("G"&amp;ROW()),minfo!$A:$M,COLUMN()-8,0),"")</f>
        <v>http://i0.hdslb.com/bfs/station_src/music_metadata/d7a54726ba2793501aa8c80d9329a5f8</v>
      </c>
      <c r="Q973" s="4">
        <f ca="1">_xlfn.IFNA(VLOOKUP(INDIRECT("G"&amp;ROW()),minfo!$A:$M,COLUMN()-8,0),"")</f>
        <v>34</v>
      </c>
      <c r="R973" s="4">
        <f ca="1">_xlfn.IFNA(VLOOKUP(INDIRECT("G"&amp;ROW()),minfo!$A:$M,COLUMN()-8,0),"")</f>
        <v>0</v>
      </c>
      <c r="S973" s="4" t="str">
        <f ca="1">_xlfn.IFNA(VLOOKUP(INDIRECT("G"&amp;ROW()),minfo!$A:$M,COLUMN()-8,0),"")</f>
        <v>从前慢</v>
      </c>
      <c r="T973" s="4">
        <f ca="1">_xlfn.IFNA(VLOOKUP(INDIRECT("G"&amp;ROW()),minfo!$A:$M,COLUMN()-8,0),"")</f>
        <v>36546010</v>
      </c>
      <c r="U973" s="4">
        <f ca="1">_xlfn.IFNA(VLOOKUP(INDIRECT("G"&amp;ROW()),minfo!$A:$M,COLUMN()-8,0),"")</f>
        <v>0</v>
      </c>
    </row>
    <row r="974" spans="1:21" ht="15.75" customHeight="1">
      <c r="A974" s="15">
        <v>973</v>
      </c>
      <c r="B974" s="4" t="s">
        <v>4570</v>
      </c>
      <c r="C974" s="4">
        <v>974</v>
      </c>
      <c r="D974" s="4">
        <v>188</v>
      </c>
      <c r="E974" s="4" t="s">
        <v>2212</v>
      </c>
      <c r="F974" s="16">
        <v>44664</v>
      </c>
      <c r="G974" s="5" t="s">
        <v>2211</v>
      </c>
      <c r="H974" s="5" t="s">
        <v>4375</v>
      </c>
      <c r="I974" s="24" t="str">
        <f>HYPERLINK("https://www.bilibili.com/video/BV1pY411t7Rb?p=188", "BV1pY411t7Rb?p=188")</f>
        <v>BV1pY411t7Rb?p=188</v>
      </c>
      <c r="J974" s="4" t="str">
        <f ca="1">_xlfn.IFNA(VLOOKUP(INDIRECT("G"&amp;ROW()),minfo!$A:$M,COLUMN()-8,0),"")</f>
        <v>亲密爱人</v>
      </c>
      <c r="K974" s="4" t="str">
        <f ca="1">_xlfn.IFNA(VLOOKUP(INDIRECT("G"&amp;ROW()),minfo!$A:$M,COLUMN()-8,0),"")</f>
        <v>梅艳芳</v>
      </c>
      <c r="L974" s="4">
        <f ca="1">_xlfn.IFNA(VLOOKUP(INDIRECT("G"&amp;ROW()),minfo!$A:$M,COLUMN()-8,0),"")</f>
        <v>0</v>
      </c>
      <c r="M974" s="4">
        <f ca="1">_xlfn.IFNA(VLOOKUP(INDIRECT("G"&amp;ROW()),minfo!$A:$M,COLUMN()-8,0),"")</f>
        <v>0</v>
      </c>
      <c r="N974" s="4">
        <f ca="1">_xlfn.IFNA(VLOOKUP(INDIRECT("G"&amp;ROW()),minfo!$A:$M,COLUMN()-8,0),"")</f>
        <v>0</v>
      </c>
      <c r="O974" s="4" t="str">
        <f ca="1">_xlfn.IFNA(VLOOKUP(INDIRECT("G"&amp;ROW()),minfo!$A:$M,COLUMN()-8,0),"")</f>
        <v>https://i0.hdslb.com/bfs/station_src/music_metadata/410d0c2fe4f50a29881a29ec55c5aecd.jpg</v>
      </c>
      <c r="P974" s="4" t="str">
        <f ca="1">_xlfn.IFNA(VLOOKUP(INDIRECT("G"&amp;ROW()),minfo!$A:$M,COLUMN()-8,0),"")</f>
        <v>http://i0.hdslb.com/bfs/station_src/music_metadata/23938ce4c5e859bd8235438a5f004332</v>
      </c>
      <c r="Q974" s="4">
        <f ca="1">_xlfn.IFNA(VLOOKUP(INDIRECT("G"&amp;ROW()),minfo!$A:$M,COLUMN()-8,0),"")</f>
        <v>113</v>
      </c>
      <c r="R974" s="4">
        <f ca="1">_xlfn.IFNA(VLOOKUP(INDIRECT("G"&amp;ROW()),minfo!$A:$M,COLUMN()-8,0),"")</f>
        <v>0</v>
      </c>
      <c r="S974" s="4" t="str">
        <f ca="1">_xlfn.IFNA(VLOOKUP(INDIRECT("G"&amp;ROW()),minfo!$A:$M,COLUMN()-8,0),"")</f>
        <v>我是歌手第四季 第8期: 淘汰赛</v>
      </c>
      <c r="T974" s="4">
        <f ca="1">_xlfn.IFNA(VLOOKUP(INDIRECT("G"&amp;ROW()),minfo!$A:$M,COLUMN()-8,0),"")</f>
        <v>33715343</v>
      </c>
      <c r="U974" s="4">
        <f ca="1">_xlfn.IFNA(VLOOKUP(INDIRECT("G"&amp;ROW()),minfo!$A:$M,COLUMN()-8,0),"")</f>
        <v>0</v>
      </c>
    </row>
    <row r="975" spans="1:21" ht="15.75" customHeight="1">
      <c r="A975" s="15">
        <v>974</v>
      </c>
      <c r="B975" s="4" t="s">
        <v>4571</v>
      </c>
      <c r="C975" s="4">
        <v>975</v>
      </c>
      <c r="D975" s="4">
        <v>189</v>
      </c>
      <c r="E975" s="4" t="s">
        <v>620</v>
      </c>
      <c r="F975" s="16">
        <v>44664</v>
      </c>
      <c r="G975" s="5" t="s">
        <v>619</v>
      </c>
      <c r="H975" s="5" t="s">
        <v>4375</v>
      </c>
      <c r="I975" s="24" t="str">
        <f>HYPERLINK("https://www.bilibili.com/video/BV1pY411t7Rb?p=189", "BV1pY411t7Rb?p=189")</f>
        <v>BV1pY411t7Rb?p=189</v>
      </c>
      <c r="J975" s="4" t="str">
        <f ca="1">_xlfn.IFNA(VLOOKUP(INDIRECT("G"&amp;ROW()),minfo!$A:$M,COLUMN()-8,0),"")</f>
        <v>春三月</v>
      </c>
      <c r="K975" s="4" t="str">
        <f ca="1">_xlfn.IFNA(VLOOKUP(INDIRECT("G"&amp;ROW()),minfo!$A:$M,COLUMN()-8,0),"")</f>
        <v>司南</v>
      </c>
      <c r="L975" s="4">
        <f ca="1">_xlfn.IFNA(VLOOKUP(INDIRECT("G"&amp;ROW()),minfo!$A:$M,COLUMN()-8,0),"")</f>
        <v>0</v>
      </c>
      <c r="M975" s="4">
        <f ca="1">_xlfn.IFNA(VLOOKUP(INDIRECT("G"&amp;ROW()),minfo!$A:$M,COLUMN()-8,0),"")</f>
        <v>0</v>
      </c>
      <c r="N975" s="4">
        <f ca="1">_xlfn.IFNA(VLOOKUP(INDIRECT("G"&amp;ROW()),minfo!$A:$M,COLUMN()-8,0),"")</f>
        <v>0</v>
      </c>
      <c r="O975" s="4" t="str">
        <f ca="1">_xlfn.IFNA(VLOOKUP(INDIRECT("G"&amp;ROW()),minfo!$A:$M,COLUMN()-8,0),"")</f>
        <v>http://i0.hdslb.com/bfs/station_src/music_metadata/1e8f55a59589012b750c6ec41b99d497.jpg</v>
      </c>
      <c r="P975" s="4" t="str">
        <f ca="1">_xlfn.IFNA(VLOOKUP(INDIRECT("G"&amp;ROW()),minfo!$A:$M,COLUMN()-8,0),"")</f>
        <v>http://i0.hdslb.com/bfs/station_src/music_metadata/c1d8969f8a1bbd139cb0cff290fb17e7</v>
      </c>
      <c r="Q975" s="4">
        <f ca="1">_xlfn.IFNA(VLOOKUP(INDIRECT("G"&amp;ROW()),minfo!$A:$M,COLUMN()-8,0),"")</f>
        <v>1717</v>
      </c>
      <c r="R975" s="4">
        <f ca="1">_xlfn.IFNA(VLOOKUP(INDIRECT("G"&amp;ROW()),minfo!$A:$M,COLUMN()-8,0),"")</f>
        <v>0</v>
      </c>
      <c r="S975" s="4" t="str">
        <f ca="1">_xlfn.IFNA(VLOOKUP(INDIRECT("G"&amp;ROW()),minfo!$A:$M,COLUMN()-8,0),"")</f>
        <v>春三月</v>
      </c>
      <c r="T975" s="4">
        <f ca="1">_xlfn.IFNA(VLOOKUP(INDIRECT("G"&amp;ROW()),minfo!$A:$M,COLUMN()-8,0),"")</f>
        <v>176570518</v>
      </c>
      <c r="U975" s="4">
        <f ca="1">_xlfn.IFNA(VLOOKUP(INDIRECT("G"&amp;ROW()),minfo!$A:$M,COLUMN()-8,0),"")</f>
        <v>0</v>
      </c>
    </row>
    <row r="976" spans="1:21" ht="15.75" customHeight="1">
      <c r="A976" s="15">
        <v>975</v>
      </c>
      <c r="B976" s="4" t="s">
        <v>4572</v>
      </c>
      <c r="C976" s="4">
        <v>976</v>
      </c>
      <c r="D976" s="4">
        <v>190</v>
      </c>
      <c r="E976" s="4" t="s">
        <v>1867</v>
      </c>
      <c r="F976" s="16">
        <v>44664</v>
      </c>
      <c r="G976" s="5" t="s">
        <v>1866</v>
      </c>
      <c r="H976" s="5" t="s">
        <v>4375</v>
      </c>
      <c r="I976" s="24" t="str">
        <f>HYPERLINK("https://www.bilibili.com/video/BV1pY411t7Rb?p=190", "BV1pY411t7Rb?p=190")</f>
        <v>BV1pY411t7Rb?p=190</v>
      </c>
      <c r="J976" s="4" t="str">
        <f ca="1">_xlfn.IFNA(VLOOKUP(INDIRECT("G"&amp;ROW()),minfo!$A:$M,COLUMN()-8,0),"")</f>
        <v>冬眠</v>
      </c>
      <c r="K976" s="4" t="str">
        <f ca="1">_xlfn.IFNA(VLOOKUP(INDIRECT("G"&amp;ROW()),minfo!$A:$M,COLUMN()-8,0),"")</f>
        <v>司南</v>
      </c>
      <c r="L976" s="4">
        <f ca="1">_xlfn.IFNA(VLOOKUP(INDIRECT("G"&amp;ROW()),minfo!$A:$M,COLUMN()-8,0),"")</f>
        <v>0</v>
      </c>
      <c r="M976" s="4">
        <f ca="1">_xlfn.IFNA(VLOOKUP(INDIRECT("G"&amp;ROW()),minfo!$A:$M,COLUMN()-8,0),"")</f>
        <v>0</v>
      </c>
      <c r="N976" s="4">
        <f ca="1">_xlfn.IFNA(VLOOKUP(INDIRECT("G"&amp;ROW()),minfo!$A:$M,COLUMN()-8,0),"")</f>
        <v>0</v>
      </c>
      <c r="O976" s="4" t="str">
        <f ca="1">_xlfn.IFNA(VLOOKUP(INDIRECT("G"&amp;ROW()),minfo!$A:$M,COLUMN()-8,0),"")</f>
        <v>https://i0.hdslb.com/bfs/station_src/music_metadata/af7f85ba04e20b74bd2d2f9c594d0f9e.jpg</v>
      </c>
      <c r="P976" s="4" t="str">
        <f ca="1">_xlfn.IFNA(VLOOKUP(INDIRECT("G"&amp;ROW()),minfo!$A:$M,COLUMN()-8,0),"")</f>
        <v>http://i0.hdslb.com/bfs/station_src/music_metadata/0697acb207ba1205710a76aa2cdbcb72</v>
      </c>
      <c r="Q976" s="4">
        <f ca="1">_xlfn.IFNA(VLOOKUP(INDIRECT("G"&amp;ROW()),minfo!$A:$M,COLUMN()-8,0),"")</f>
        <v>1234</v>
      </c>
      <c r="R976" s="4">
        <f ca="1">_xlfn.IFNA(VLOOKUP(INDIRECT("G"&amp;ROW()),minfo!$A:$M,COLUMN()-8,0),"")</f>
        <v>0</v>
      </c>
      <c r="S976" s="4" t="str">
        <f ca="1">_xlfn.IFNA(VLOOKUP(INDIRECT("G"&amp;ROW()),minfo!$A:$M,COLUMN()-8,0),"")</f>
        <v>冬眠</v>
      </c>
      <c r="T976" s="4">
        <f ca="1">_xlfn.IFNA(VLOOKUP(INDIRECT("G"&amp;ROW()),minfo!$A:$M,COLUMN()-8,0),"")</f>
        <v>278158388</v>
      </c>
      <c r="U976" s="4">
        <f ca="1">_xlfn.IFNA(VLOOKUP(INDIRECT("G"&amp;ROW()),minfo!$A:$M,COLUMN()-8,0),"")</f>
        <v>0</v>
      </c>
    </row>
    <row r="977" spans="1:21" ht="15.75" customHeight="1">
      <c r="A977" s="15">
        <v>976</v>
      </c>
      <c r="B977" s="4" t="s">
        <v>4573</v>
      </c>
      <c r="C977" s="4">
        <v>977</v>
      </c>
      <c r="D977" s="4">
        <v>191</v>
      </c>
      <c r="E977" s="4" t="s">
        <v>337</v>
      </c>
      <c r="F977" s="16">
        <v>44664</v>
      </c>
      <c r="G977" s="5" t="s">
        <v>336</v>
      </c>
      <c r="H977" s="5" t="s">
        <v>4375</v>
      </c>
      <c r="I977" s="24" t="str">
        <f>HYPERLINK("https://www.bilibili.com/video/BV1pY411t7Rb?p=191", "BV1pY411t7Rb?p=191")</f>
        <v>BV1pY411t7Rb?p=191</v>
      </c>
      <c r="J977" s="4" t="str">
        <f ca="1">_xlfn.IFNA(VLOOKUP(INDIRECT("G"&amp;ROW()),minfo!$A:$M,COLUMN()-8,0),"")</f>
        <v>玛依拉变奏曲</v>
      </c>
      <c r="K977" s="4" t="str">
        <f ca="1">_xlfn.IFNA(VLOOKUP(INDIRECT("G"&amp;ROW()),minfo!$A:$M,COLUMN()-8,0),"")</f>
        <v>常思思</v>
      </c>
      <c r="L977" s="4">
        <f ca="1">_xlfn.IFNA(VLOOKUP(INDIRECT("G"&amp;ROW()),minfo!$A:$M,COLUMN()-8,0),"")</f>
        <v>0</v>
      </c>
      <c r="M977" s="4">
        <f ca="1">_xlfn.IFNA(VLOOKUP(INDIRECT("G"&amp;ROW()),minfo!$A:$M,COLUMN()-8,0),"")</f>
        <v>0</v>
      </c>
      <c r="N977" s="4">
        <f ca="1">_xlfn.IFNA(VLOOKUP(INDIRECT("G"&amp;ROW()),minfo!$A:$M,COLUMN()-8,0),"")</f>
        <v>0</v>
      </c>
      <c r="O977" s="4" t="str">
        <f ca="1">_xlfn.IFNA(VLOOKUP(INDIRECT("G"&amp;ROW()),minfo!$A:$M,COLUMN()-8,0),"")</f>
        <v>https://i0.hdslb.com/bfs/station_src/music_metadata/44ef3b674b440061a8551258b673f958.jpg</v>
      </c>
      <c r="P977" s="4" t="str">
        <f ca="1">_xlfn.IFNA(VLOOKUP(INDIRECT("G"&amp;ROW()),minfo!$A:$M,COLUMN()-8,0),"")</f>
        <v>https://i0.hdslb.com/bfs/station_src/music_metadata/0d31f0b335305bb6b2fae9ab4daacc38.txt</v>
      </c>
      <c r="Q977" s="4">
        <f ca="1">_xlfn.IFNA(VLOOKUP(INDIRECT("G"&amp;ROW()),minfo!$A:$M,COLUMN()-8,0),"")</f>
        <v>6</v>
      </c>
      <c r="R977" s="4">
        <f ca="1">_xlfn.IFNA(VLOOKUP(INDIRECT("G"&amp;ROW()),minfo!$A:$M,COLUMN()-8,0),"")</f>
        <v>0</v>
      </c>
      <c r="S977" s="4" t="str">
        <f ca="1">_xlfn.IFNA(VLOOKUP(INDIRECT("G"&amp;ROW()),minfo!$A:$M,COLUMN()-8,0),"")</f>
        <v>龙乐合集 27</v>
      </c>
      <c r="T977" s="4">
        <f ca="1">_xlfn.IFNA(VLOOKUP(INDIRECT("G"&amp;ROW()),minfo!$A:$M,COLUMN()-8,0),"")</f>
        <v>3469898</v>
      </c>
      <c r="U977" s="4">
        <f ca="1">_xlfn.IFNA(VLOOKUP(INDIRECT("G"&amp;ROW()),minfo!$A:$M,COLUMN()-8,0),"")</f>
        <v>0</v>
      </c>
    </row>
    <row r="978" spans="1:21" ht="15.75" customHeight="1">
      <c r="A978" s="15">
        <v>977</v>
      </c>
      <c r="B978" s="4" t="s">
        <v>4574</v>
      </c>
      <c r="C978" s="4">
        <v>978</v>
      </c>
      <c r="D978" s="4">
        <v>192</v>
      </c>
      <c r="E978" s="4" t="s">
        <v>1078</v>
      </c>
      <c r="F978" s="16">
        <v>44664</v>
      </c>
      <c r="G978" s="5" t="s">
        <v>1077</v>
      </c>
      <c r="H978" s="5" t="s">
        <v>4375</v>
      </c>
      <c r="I978" s="24" t="str">
        <f>HYPERLINK("https://www.bilibili.com/video/BV1pY411t7Rb?p=192", "BV1pY411t7Rb?p=192")</f>
        <v>BV1pY411t7Rb?p=192</v>
      </c>
      <c r="J978" s="4" t="str">
        <f ca="1">_xlfn.IFNA(VLOOKUP(INDIRECT("G"&amp;ROW()),minfo!$A:$M,COLUMN()-8,0),"")</f>
        <v>最长的电影</v>
      </c>
      <c r="K978" s="4" t="str">
        <f ca="1">_xlfn.IFNA(VLOOKUP(INDIRECT("G"&amp;ROW()),minfo!$A:$M,COLUMN()-8,0),"")</f>
        <v>周杰伦</v>
      </c>
      <c r="L978" s="4">
        <f ca="1">_xlfn.IFNA(VLOOKUP(INDIRECT("G"&amp;ROW()),minfo!$A:$M,COLUMN()-8,0),"")</f>
        <v>0</v>
      </c>
      <c r="M978" s="4">
        <f ca="1">_xlfn.IFNA(VLOOKUP(INDIRECT("G"&amp;ROW()),minfo!$A:$M,COLUMN()-8,0),"")</f>
        <v>0</v>
      </c>
      <c r="N978" s="4">
        <f ca="1">_xlfn.IFNA(VLOOKUP(INDIRECT("G"&amp;ROW()),minfo!$A:$M,COLUMN()-8,0),"")</f>
        <v>0</v>
      </c>
      <c r="O978" s="4" t="str">
        <f ca="1">_xlfn.IFNA(VLOOKUP(INDIRECT("G"&amp;ROW()),minfo!$A:$M,COLUMN()-8,0),"")</f>
        <v>https://i0.hdslb.com/bfs/station_src/music_metadata/7eaa1a96d6dc901ac8d38b532ba49f47.jpg</v>
      </c>
      <c r="P978" s="4" t="str">
        <f ca="1">_xlfn.IFNA(VLOOKUP(INDIRECT("G"&amp;ROW()),minfo!$A:$M,COLUMN()-8,0),"")</f>
        <v>http://i0.hdslb.com/bfs/station_src/music_metadata/62e80a61723a09aff7da0f2c4f4612c9</v>
      </c>
      <c r="Q978" s="4">
        <f ca="1">_xlfn.IFNA(VLOOKUP(INDIRECT("G"&amp;ROW()),minfo!$A:$M,COLUMN()-8,0),"")</f>
        <v>2026</v>
      </c>
      <c r="R978" s="4">
        <f ca="1">_xlfn.IFNA(VLOOKUP(INDIRECT("G"&amp;ROW()),minfo!$A:$M,COLUMN()-8,0),"")</f>
        <v>0</v>
      </c>
      <c r="S978" s="4" t="str">
        <f ca="1">_xlfn.IFNA(VLOOKUP(INDIRECT("G"&amp;ROW()),minfo!$A:$M,COLUMN()-8,0),"")</f>
        <v>我很忙</v>
      </c>
      <c r="T978" s="4">
        <f ca="1">_xlfn.IFNA(VLOOKUP(INDIRECT("G"&amp;ROW()),minfo!$A:$M,COLUMN()-8,0),"")</f>
        <v>437092203</v>
      </c>
      <c r="U978" s="4">
        <f ca="1">_xlfn.IFNA(VLOOKUP(INDIRECT("G"&amp;ROW()),minfo!$A:$M,COLUMN()-8,0),"")</f>
        <v>0</v>
      </c>
    </row>
    <row r="979" spans="1:21" ht="15.75" customHeight="1">
      <c r="A979" s="15">
        <v>978</v>
      </c>
      <c r="B979" s="4" t="s">
        <v>4575</v>
      </c>
      <c r="C979" s="4">
        <v>979</v>
      </c>
      <c r="D979" s="4">
        <v>193</v>
      </c>
      <c r="E979" s="4" t="s">
        <v>1932</v>
      </c>
      <c r="F979" s="16">
        <v>44664</v>
      </c>
      <c r="G979" s="5" t="s">
        <v>2217</v>
      </c>
      <c r="H979" s="5" t="s">
        <v>4375</v>
      </c>
      <c r="I979" s="24" t="str">
        <f>HYPERLINK("https://www.bilibili.com/video/BV1pY411t7Rb?p=193", "BV1pY411t7Rb?p=193")</f>
        <v>BV1pY411t7Rb?p=193</v>
      </c>
      <c r="J979" s="4" t="str">
        <f ca="1">_xlfn.IFNA(VLOOKUP(INDIRECT("G"&amp;ROW()),minfo!$A:$M,COLUMN()-8,0),"")</f>
        <v>secret base～君がくれたもの～ (Secret Base ～你给我的所有～)</v>
      </c>
      <c r="K979" s="4" t="str">
        <f ca="1">_xlfn.IFNA(VLOOKUP(INDIRECT("G"&amp;ROW()),minfo!$A:$M,COLUMN()-8,0),"")</f>
        <v>ZONE</v>
      </c>
      <c r="L979" s="4">
        <f ca="1">_xlfn.IFNA(VLOOKUP(INDIRECT("G"&amp;ROW()),minfo!$A:$M,COLUMN()-8,0),"")</f>
        <v>0</v>
      </c>
      <c r="M979" s="4">
        <f ca="1">_xlfn.IFNA(VLOOKUP(INDIRECT("G"&amp;ROW()),minfo!$A:$M,COLUMN()-8,0),"")</f>
        <v>0</v>
      </c>
      <c r="N979" s="4">
        <f ca="1">_xlfn.IFNA(VLOOKUP(INDIRECT("G"&amp;ROW()),minfo!$A:$M,COLUMN()-8,0),"")</f>
        <v>0</v>
      </c>
      <c r="O979" s="4" t="str">
        <f ca="1">_xlfn.IFNA(VLOOKUP(INDIRECT("G"&amp;ROW()),minfo!$A:$M,COLUMN()-8,0),"")</f>
        <v>https://i0.hdslb.com/bfs/station_src/music_metadata/8554116e25ac6000f51076cdc07b9598.jpg</v>
      </c>
      <c r="P979" s="4" t="str">
        <f ca="1">_xlfn.IFNA(VLOOKUP(INDIRECT("G"&amp;ROW()),minfo!$A:$M,COLUMN()-8,0),"")</f>
        <v>http://i0.hdslb.com/bfs/station_src/music_metadata/cbd7b2cd34f3d8159d9cd2f22cfadd24</v>
      </c>
      <c r="Q979" s="4">
        <f ca="1">_xlfn.IFNA(VLOOKUP(INDIRECT("G"&amp;ROW()),minfo!$A:$M,COLUMN()-8,0),"")</f>
        <v>12330</v>
      </c>
      <c r="R979" s="4">
        <f ca="1">_xlfn.IFNA(VLOOKUP(INDIRECT("G"&amp;ROW()),minfo!$A:$M,COLUMN()-8,0),"")</f>
        <v>0</v>
      </c>
      <c r="S979" s="4" t="str">
        <f ca="1">_xlfn.IFNA(VLOOKUP(INDIRECT("G"&amp;ROW()),minfo!$A:$M,COLUMN()-8,0),"")</f>
        <v>Z (日本版)</v>
      </c>
      <c r="T979" s="4">
        <f ca="1">_xlfn.IFNA(VLOOKUP(INDIRECT("G"&amp;ROW()),minfo!$A:$M,COLUMN()-8,0),"")</f>
        <v>917329445</v>
      </c>
      <c r="U979" s="4" t="str">
        <f ca="1">_xlfn.IFNA(VLOOKUP(INDIRECT("G"&amp;ROW()),minfo!$A:$M,COLUMN()-8,0),"")</f>
        <v>音乐榜最高NO.3</v>
      </c>
    </row>
    <row r="980" spans="1:21" ht="15.75" customHeight="1">
      <c r="A980" s="15">
        <v>979</v>
      </c>
      <c r="B980" s="4" t="s">
        <v>4576</v>
      </c>
      <c r="C980" s="4">
        <v>980</v>
      </c>
      <c r="D980" s="4">
        <v>194</v>
      </c>
      <c r="E980" s="4" t="s">
        <v>1569</v>
      </c>
      <c r="F980" s="16">
        <v>44666</v>
      </c>
      <c r="G980" s="5" t="s">
        <v>1568</v>
      </c>
      <c r="H980" s="5" t="s">
        <v>4375</v>
      </c>
      <c r="I980" s="24" t="str">
        <f>HYPERLINK("https://www.bilibili.com/video/BV1pY411t7Rb?p=194", "BV1pY411t7Rb?p=194")</f>
        <v>BV1pY411t7Rb?p=194</v>
      </c>
      <c r="J980" s="4" t="str">
        <f ca="1">_xlfn.IFNA(VLOOKUP(INDIRECT("G"&amp;ROW()),minfo!$A:$M,COLUMN()-8,0),"")</f>
        <v>风月</v>
      </c>
      <c r="K980" s="4" t="str">
        <f ca="1">_xlfn.IFNA(VLOOKUP(INDIRECT("G"&amp;ROW()),minfo!$A:$M,COLUMN()-8,0),"")</f>
        <v>黄龄</v>
      </c>
      <c r="L980" s="4">
        <f ca="1">_xlfn.IFNA(VLOOKUP(INDIRECT("G"&amp;ROW()),minfo!$A:$M,COLUMN()-8,0),"")</f>
        <v>0</v>
      </c>
      <c r="M980" s="4">
        <f ca="1">_xlfn.IFNA(VLOOKUP(INDIRECT("G"&amp;ROW()),minfo!$A:$M,COLUMN()-8,0),"")</f>
        <v>0</v>
      </c>
      <c r="N980" s="4">
        <f ca="1">_xlfn.IFNA(VLOOKUP(INDIRECT("G"&amp;ROW()),minfo!$A:$M,COLUMN()-8,0),"")</f>
        <v>0</v>
      </c>
      <c r="O980" s="4" t="str">
        <f ca="1">_xlfn.IFNA(VLOOKUP(INDIRECT("G"&amp;ROW()),minfo!$A:$M,COLUMN()-8,0),"")</f>
        <v>https://i0.hdslb.com/bfs/station_src/music_metadata/874d427c68cbd11ec3a0c97a238991cf.jpg</v>
      </c>
      <c r="P980" s="4">
        <f ca="1">_xlfn.IFNA(VLOOKUP(INDIRECT("G"&amp;ROW()),minfo!$A:$M,COLUMN()-8,0),"")</f>
        <v>0</v>
      </c>
      <c r="Q980" s="4">
        <f ca="1">_xlfn.IFNA(VLOOKUP(INDIRECT("G"&amp;ROW()),minfo!$A:$M,COLUMN()-8,0),"")</f>
        <v>778</v>
      </c>
      <c r="R980" s="4">
        <f ca="1">_xlfn.IFNA(VLOOKUP(INDIRECT("G"&amp;ROW()),minfo!$A:$M,COLUMN()-8,0),"")</f>
        <v>0</v>
      </c>
      <c r="S980" s="4" t="str">
        <f ca="1">_xlfn.IFNA(VLOOKUP(INDIRECT("G"&amp;ROW()),minfo!$A:$M,COLUMN()-8,0),"")</f>
        <v>2020最美的夜 bilibili晚会</v>
      </c>
      <c r="T980" s="4">
        <f ca="1">_xlfn.IFNA(VLOOKUP(INDIRECT("G"&amp;ROW()),minfo!$A:$M,COLUMN()-8,0),"")</f>
        <v>174632458</v>
      </c>
      <c r="U980" s="4">
        <f ca="1">_xlfn.IFNA(VLOOKUP(INDIRECT("G"&amp;ROW()),minfo!$A:$M,COLUMN()-8,0),"")</f>
        <v>0</v>
      </c>
    </row>
    <row r="981" spans="1:21" ht="15.75" customHeight="1">
      <c r="A981" s="15">
        <v>980</v>
      </c>
      <c r="B981" s="4" t="s">
        <v>4577</v>
      </c>
      <c r="C981" s="4">
        <v>981</v>
      </c>
      <c r="D981" s="4">
        <v>195</v>
      </c>
      <c r="E981" s="4" t="s">
        <v>732</v>
      </c>
      <c r="F981" s="16">
        <v>44667</v>
      </c>
      <c r="G981" s="5" t="s">
        <v>731</v>
      </c>
      <c r="H981" s="5" t="s">
        <v>4375</v>
      </c>
      <c r="I981" s="24" t="str">
        <f>HYPERLINK("https://www.bilibili.com/video/BV1pY411t7Rb?p=195", "BV1pY411t7Rb?p=195")</f>
        <v>BV1pY411t7Rb?p=195</v>
      </c>
      <c r="J981" s="4" t="str">
        <f ca="1">_xlfn.IFNA(VLOOKUP(INDIRECT("G"&amp;ROW()),minfo!$A:$M,COLUMN()-8,0),"")</f>
        <v>园游会</v>
      </c>
      <c r="K981" s="4" t="str">
        <f ca="1">_xlfn.IFNA(VLOOKUP(INDIRECT("G"&amp;ROW()),minfo!$A:$M,COLUMN()-8,0),"")</f>
        <v>周杰伦</v>
      </c>
      <c r="L981" s="4">
        <f ca="1">_xlfn.IFNA(VLOOKUP(INDIRECT("G"&amp;ROW()),minfo!$A:$M,COLUMN()-8,0),"")</f>
        <v>0</v>
      </c>
      <c r="M981" s="4">
        <f ca="1">_xlfn.IFNA(VLOOKUP(INDIRECT("G"&amp;ROW()),minfo!$A:$M,COLUMN()-8,0),"")</f>
        <v>0</v>
      </c>
      <c r="N981" s="4">
        <f ca="1">_xlfn.IFNA(VLOOKUP(INDIRECT("G"&amp;ROW()),minfo!$A:$M,COLUMN()-8,0),"")</f>
        <v>0</v>
      </c>
      <c r="O981" s="4" t="str">
        <f ca="1">_xlfn.IFNA(VLOOKUP(INDIRECT("G"&amp;ROW()),minfo!$A:$M,COLUMN()-8,0),"")</f>
        <v>https://i0.hdslb.com/bfs/station_src/music_metadata/6e1ac13753b4f6ee9b6064e5eea74ee9.jpg</v>
      </c>
      <c r="P981" s="4">
        <f ca="1">_xlfn.IFNA(VLOOKUP(INDIRECT("G"&amp;ROW()),minfo!$A:$M,COLUMN()-8,0),"")</f>
        <v>0</v>
      </c>
      <c r="Q981" s="4">
        <f ca="1">_xlfn.IFNA(VLOOKUP(INDIRECT("G"&amp;ROW()),minfo!$A:$M,COLUMN()-8,0),"")</f>
        <v>2471</v>
      </c>
      <c r="R981" s="4">
        <f ca="1">_xlfn.IFNA(VLOOKUP(INDIRECT("G"&amp;ROW()),minfo!$A:$M,COLUMN()-8,0),"")</f>
        <v>0</v>
      </c>
      <c r="S981" s="4" t="str">
        <f ca="1">_xlfn.IFNA(VLOOKUP(INDIRECT("G"&amp;ROW()),minfo!$A:$M,COLUMN()-8,0),"")</f>
        <v>七里香</v>
      </c>
      <c r="T981" s="4">
        <f ca="1">_xlfn.IFNA(VLOOKUP(INDIRECT("G"&amp;ROW()),minfo!$A:$M,COLUMN()-8,0),"")</f>
        <v>492310935</v>
      </c>
      <c r="U981" s="4" t="str">
        <f ca="1">_xlfn.IFNA(VLOOKUP(INDIRECT("G"&amp;ROW()),minfo!$A:$M,COLUMN()-8,0),"")</f>
        <v>音乐榜最高NO.13</v>
      </c>
    </row>
    <row r="982" spans="1:21" ht="15.75" customHeight="1">
      <c r="A982" s="15">
        <v>981</v>
      </c>
      <c r="B982" s="4" t="s">
        <v>4578</v>
      </c>
      <c r="C982" s="4">
        <v>982</v>
      </c>
      <c r="D982" s="4">
        <v>196</v>
      </c>
      <c r="E982" s="4" t="s">
        <v>1797</v>
      </c>
      <c r="F982" s="16">
        <v>44668</v>
      </c>
      <c r="G982" s="5" t="s">
        <v>1796</v>
      </c>
      <c r="H982" s="5" t="s">
        <v>4375</v>
      </c>
      <c r="I982" s="24" t="str">
        <f>HYPERLINK("https://www.bilibili.com/video/BV1pY411t7Rb?p=196", "BV1pY411t7Rb?p=196")</f>
        <v>BV1pY411t7Rb?p=196</v>
      </c>
      <c r="J982" s="4" t="str">
        <f ca="1">_xlfn.IFNA(VLOOKUP(INDIRECT("G"&amp;ROW()),minfo!$A:$M,COLUMN()-8,0),"")</f>
        <v>痒</v>
      </c>
      <c r="K982" s="4" t="str">
        <f ca="1">_xlfn.IFNA(VLOOKUP(INDIRECT("G"&amp;ROW()),minfo!$A:$M,COLUMN()-8,0),"")</f>
        <v>黄龄</v>
      </c>
      <c r="L982" s="4">
        <f ca="1">_xlfn.IFNA(VLOOKUP(INDIRECT("G"&amp;ROW()),minfo!$A:$M,COLUMN()-8,0),"")</f>
        <v>0</v>
      </c>
      <c r="M982" s="4">
        <f ca="1">_xlfn.IFNA(VLOOKUP(INDIRECT("G"&amp;ROW()),minfo!$A:$M,COLUMN()-8,0),"")</f>
        <v>0</v>
      </c>
      <c r="N982" s="4">
        <f ca="1">_xlfn.IFNA(VLOOKUP(INDIRECT("G"&amp;ROW()),minfo!$A:$M,COLUMN()-8,0),"")</f>
        <v>0</v>
      </c>
      <c r="O982" s="4" t="str">
        <f ca="1">_xlfn.IFNA(VLOOKUP(INDIRECT("G"&amp;ROW()),minfo!$A:$M,COLUMN()-8,0),"")</f>
        <v>https://i0.hdslb.com/bfs/station_src/music_metadata/3de02305aa9c846673ac1eb2ad897de1.jpg</v>
      </c>
      <c r="P982" s="4" t="str">
        <f ca="1">_xlfn.IFNA(VLOOKUP(INDIRECT("G"&amp;ROW()),minfo!$A:$M,COLUMN()-8,0),"")</f>
        <v>http://i0.hdslb.com/bfs/station_src/music_metadata/cb354aacda7abd2b861cd28e85743d55</v>
      </c>
      <c r="Q982" s="4">
        <f ca="1">_xlfn.IFNA(VLOOKUP(INDIRECT("G"&amp;ROW()),minfo!$A:$M,COLUMN()-8,0),"")</f>
        <v>568</v>
      </c>
      <c r="R982" s="4">
        <f ca="1">_xlfn.IFNA(VLOOKUP(INDIRECT("G"&amp;ROW()),minfo!$A:$M,COLUMN()-8,0),"")</f>
        <v>0</v>
      </c>
      <c r="S982" s="4" t="str">
        <f ca="1">_xlfn.IFNA(VLOOKUP(INDIRECT("G"&amp;ROW()),minfo!$A:$M,COLUMN()-8,0),"")</f>
        <v>痒</v>
      </c>
      <c r="T982" s="4">
        <f ca="1">_xlfn.IFNA(VLOOKUP(INDIRECT("G"&amp;ROW()),minfo!$A:$M,COLUMN()-8,0),"")</f>
        <v>367183468</v>
      </c>
      <c r="U982" s="4" t="str">
        <f ca="1">_xlfn.IFNA(VLOOKUP(INDIRECT("G"&amp;ROW()),minfo!$A:$M,COLUMN()-8,0),"")</f>
        <v>音乐榜最高NO.9</v>
      </c>
    </row>
    <row r="983" spans="1:21" ht="15.75" customHeight="1">
      <c r="A983" s="15">
        <v>982</v>
      </c>
      <c r="B983" s="4" t="s">
        <v>4579</v>
      </c>
      <c r="C983" s="4">
        <v>983</v>
      </c>
      <c r="D983" s="4">
        <v>197</v>
      </c>
      <c r="E983" s="4" t="s">
        <v>2224</v>
      </c>
      <c r="F983" s="16">
        <v>44669</v>
      </c>
      <c r="G983" s="5" t="s">
        <v>2223</v>
      </c>
      <c r="H983" s="5" t="s">
        <v>4375</v>
      </c>
      <c r="I983" s="24" t="str">
        <f>HYPERLINK("https://www.bilibili.com/video/BV1pY411t7Rb?p=197", "BV1pY411t7Rb?p=197")</f>
        <v>BV1pY411t7Rb?p=197</v>
      </c>
      <c r="J983" s="4" t="str">
        <f ca="1">_xlfn.IFNA(VLOOKUP(INDIRECT("G"&amp;ROW()),minfo!$A:$M,COLUMN()-8,0),"")</f>
        <v>最美的期待</v>
      </c>
      <c r="K983" s="4" t="str">
        <f ca="1">_xlfn.IFNA(VLOOKUP(INDIRECT("G"&amp;ROW()),minfo!$A:$M,COLUMN()-8,0),"")</f>
        <v>周笔畅</v>
      </c>
      <c r="L983" s="4">
        <f ca="1">_xlfn.IFNA(VLOOKUP(INDIRECT("G"&amp;ROW()),minfo!$A:$M,COLUMN()-8,0),"")</f>
        <v>0</v>
      </c>
      <c r="M983" s="4">
        <f ca="1">_xlfn.IFNA(VLOOKUP(INDIRECT("G"&amp;ROW()),minfo!$A:$M,COLUMN()-8,0),"")</f>
        <v>0</v>
      </c>
      <c r="N983" s="4">
        <f ca="1">_xlfn.IFNA(VLOOKUP(INDIRECT("G"&amp;ROW()),minfo!$A:$M,COLUMN()-8,0),"")</f>
        <v>0</v>
      </c>
      <c r="O983" s="4" t="str">
        <f ca="1">_xlfn.IFNA(VLOOKUP(INDIRECT("G"&amp;ROW()),minfo!$A:$M,COLUMN()-8,0),"")</f>
        <v>https://i0.hdslb.com/bfs/station_src/music_metadata/f2a2a8c93cd09a6682d0a39064813d69.jpg</v>
      </c>
      <c r="P983" s="4" t="str">
        <f ca="1">_xlfn.IFNA(VLOOKUP(INDIRECT("G"&amp;ROW()),minfo!$A:$M,COLUMN()-8,0),"")</f>
        <v>http://i0.hdslb.com/bfs/station_src/music_metadata/76dd4b0f588d1a3ad4d799d610379778</v>
      </c>
      <c r="Q983" s="4">
        <f ca="1">_xlfn.IFNA(VLOOKUP(INDIRECT("G"&amp;ROW()),minfo!$A:$M,COLUMN()-8,0),"")</f>
        <v>635</v>
      </c>
      <c r="R983" s="4" t="str">
        <f ca="1">_xlfn.IFNA(VLOOKUP(INDIRECT("G"&amp;ROW()),minfo!$A:$M,COLUMN()-8,0),"")</f>
        <v>《茧镇奇缘》电视剧片头曲</v>
      </c>
      <c r="S983" s="4" t="str">
        <f ca="1">_xlfn.IFNA(VLOOKUP(INDIRECT("G"&amp;ROW()),minfo!$A:$M,COLUMN()-8,0),"")</f>
        <v>最美的期待</v>
      </c>
      <c r="T983" s="4">
        <f ca="1">_xlfn.IFNA(VLOOKUP(INDIRECT("G"&amp;ROW()),minfo!$A:$M,COLUMN()-8,0),"")</f>
        <v>333836783</v>
      </c>
      <c r="U983" s="4">
        <f ca="1">_xlfn.IFNA(VLOOKUP(INDIRECT("G"&amp;ROW()),minfo!$A:$M,COLUMN()-8,0),"")</f>
        <v>0</v>
      </c>
    </row>
    <row r="984" spans="1:21" ht="15.75" customHeight="1">
      <c r="A984" s="15">
        <v>983</v>
      </c>
      <c r="B984" s="4" t="s">
        <v>4580</v>
      </c>
      <c r="C984" s="4">
        <v>984</v>
      </c>
      <c r="D984" s="4">
        <v>198</v>
      </c>
      <c r="E984" s="4" t="s">
        <v>4581</v>
      </c>
      <c r="F984" s="16">
        <v>44669</v>
      </c>
      <c r="G984" s="5" t="s">
        <v>393</v>
      </c>
      <c r="H984" s="5" t="s">
        <v>4375</v>
      </c>
      <c r="I984" s="24" t="str">
        <f>HYPERLINK("https://www.bilibili.com/video/BV1pY411t7Rb?p=198", "BV1pY411t7Rb?p=198")</f>
        <v>BV1pY411t7Rb?p=198</v>
      </c>
      <c r="J984" s="4" t="str">
        <f ca="1">_xlfn.IFNA(VLOOKUP(INDIRECT("G"&amp;ROW()),minfo!$A:$M,COLUMN()-8,0),"")</f>
        <v>RingRingRing</v>
      </c>
      <c r="K984" s="4" t="str">
        <f ca="1">_xlfn.IFNA(VLOOKUP(INDIRECT("G"&amp;ROW()),minfo!$A:$M,COLUMN()-8,0),"")</f>
        <v>S.H.E</v>
      </c>
      <c r="L984" s="4">
        <f ca="1">_xlfn.IFNA(VLOOKUP(INDIRECT("G"&amp;ROW()),minfo!$A:$M,COLUMN()-8,0),"")</f>
        <v>0</v>
      </c>
      <c r="M984" s="4">
        <f ca="1">_xlfn.IFNA(VLOOKUP(INDIRECT("G"&amp;ROW()),minfo!$A:$M,COLUMN()-8,0),"")</f>
        <v>0</v>
      </c>
      <c r="N984" s="4">
        <f ca="1">_xlfn.IFNA(VLOOKUP(INDIRECT("G"&amp;ROW()),minfo!$A:$M,COLUMN()-8,0),"")</f>
        <v>0</v>
      </c>
      <c r="O984" s="4" t="str">
        <f ca="1">_xlfn.IFNA(VLOOKUP(INDIRECT("G"&amp;ROW()),minfo!$A:$M,COLUMN()-8,0),"")</f>
        <v>http://i0.hdslb.com/bfs/station_src/music_metadata/118b3cbdbc9aeb5dc89685ab0f853a01.jpg</v>
      </c>
      <c r="P984" s="4">
        <f ca="1">_xlfn.IFNA(VLOOKUP(INDIRECT("G"&amp;ROW()),minfo!$A:$M,COLUMN()-8,0),"")</f>
        <v>0</v>
      </c>
      <c r="Q984" s="4">
        <f ca="1">_xlfn.IFNA(VLOOKUP(INDIRECT("G"&amp;ROW()),minfo!$A:$M,COLUMN()-8,0),"")</f>
        <v>2174</v>
      </c>
      <c r="R984" s="4">
        <f ca="1">_xlfn.IFNA(VLOOKUP(INDIRECT("G"&amp;ROW()),minfo!$A:$M,COLUMN()-8,0),"")</f>
        <v>0</v>
      </c>
      <c r="S984" s="4" t="str">
        <f ca="1">_xlfn.IFNA(VLOOKUP(INDIRECT("G"&amp;ROW()),minfo!$A:$M,COLUMN()-8,0),"")</f>
        <v>Forever 新歌+精选</v>
      </c>
      <c r="T984" s="4">
        <f ca="1">_xlfn.IFNA(VLOOKUP(INDIRECT("G"&amp;ROW()),minfo!$A:$M,COLUMN()-8,0),"")</f>
        <v>383197673</v>
      </c>
      <c r="U984" s="4" t="str">
        <f ca="1">_xlfn.IFNA(VLOOKUP(INDIRECT("G"&amp;ROW()),minfo!$A:$M,COLUMN()-8,0),"")</f>
        <v>音乐榜最高NO.18</v>
      </c>
    </row>
    <row r="985" spans="1:21" ht="15.75" customHeight="1">
      <c r="A985" s="15">
        <v>984</v>
      </c>
      <c r="B985" s="4" t="s">
        <v>4582</v>
      </c>
      <c r="C985" s="4">
        <v>985</v>
      </c>
      <c r="D985" s="4">
        <v>199</v>
      </c>
      <c r="E985" s="4" t="s">
        <v>259</v>
      </c>
      <c r="F985" s="16">
        <v>44669</v>
      </c>
      <c r="G985" s="5" t="s">
        <v>258</v>
      </c>
      <c r="H985" s="5" t="s">
        <v>4375</v>
      </c>
      <c r="I985" s="24" t="str">
        <f>HYPERLINK("https://www.bilibili.com/video/BV1pY411t7Rb?p=199", "BV1pY411t7Rb?p=199")</f>
        <v>BV1pY411t7Rb?p=199</v>
      </c>
      <c r="J985" s="4" t="str">
        <f ca="1">_xlfn.IFNA(VLOOKUP(INDIRECT("G"&amp;ROW()),minfo!$A:$M,COLUMN()-8,0),"")</f>
        <v>枫</v>
      </c>
      <c r="K985" s="4" t="str">
        <f ca="1">_xlfn.IFNA(VLOOKUP(INDIRECT("G"&amp;ROW()),minfo!$A:$M,COLUMN()-8,0),"")</f>
        <v>周杰伦</v>
      </c>
      <c r="L985" s="4">
        <f ca="1">_xlfn.IFNA(VLOOKUP(INDIRECT("G"&amp;ROW()),minfo!$A:$M,COLUMN()-8,0),"")</f>
        <v>0</v>
      </c>
      <c r="M985" s="4">
        <f ca="1">_xlfn.IFNA(VLOOKUP(INDIRECT("G"&amp;ROW()),minfo!$A:$M,COLUMN()-8,0),"")</f>
        <v>0</v>
      </c>
      <c r="N985" s="4">
        <f ca="1">_xlfn.IFNA(VLOOKUP(INDIRECT("G"&amp;ROW()),minfo!$A:$M,COLUMN()-8,0),"")</f>
        <v>0</v>
      </c>
      <c r="O985" s="4" t="str">
        <f ca="1">_xlfn.IFNA(VLOOKUP(INDIRECT("G"&amp;ROW()),minfo!$A:$M,COLUMN()-8,0),"")</f>
        <v>https://i0.hdslb.com/bfs/station_src/music_metadata/fb82b0fb2908b09d88ba13ef0db91863.jpg</v>
      </c>
      <c r="P985" s="4" t="str">
        <f ca="1">_xlfn.IFNA(VLOOKUP(INDIRECT("G"&amp;ROW()),minfo!$A:$M,COLUMN()-8,0),"")</f>
        <v>http://i0.hdslb.com/bfs/station_src/music_metadata/9b1e7a89ea3eead8b8c6b32cdb30abd9</v>
      </c>
      <c r="Q985" s="4">
        <f ca="1">_xlfn.IFNA(VLOOKUP(INDIRECT("G"&amp;ROW()),minfo!$A:$M,COLUMN()-8,0),"")</f>
        <v>6002</v>
      </c>
      <c r="R985" s="4">
        <f ca="1">_xlfn.IFNA(VLOOKUP(INDIRECT("G"&amp;ROW()),minfo!$A:$M,COLUMN()-8,0),"")</f>
        <v>0</v>
      </c>
      <c r="S985" s="4" t="str">
        <f ca="1">_xlfn.IFNA(VLOOKUP(INDIRECT("G"&amp;ROW()),minfo!$A:$M,COLUMN()-8,0),"")</f>
        <v>十一月的萧邦</v>
      </c>
      <c r="T985" s="4">
        <f ca="1">_xlfn.IFNA(VLOOKUP(INDIRECT("G"&amp;ROW()),minfo!$A:$M,COLUMN()-8,0),"")</f>
        <v>560749777</v>
      </c>
      <c r="U985" s="4">
        <f ca="1">_xlfn.IFNA(VLOOKUP(INDIRECT("G"&amp;ROW()),minfo!$A:$M,COLUMN()-8,0),"")</f>
        <v>0</v>
      </c>
    </row>
    <row r="986" spans="1:21" ht="15.75" customHeight="1">
      <c r="A986" s="15">
        <v>985</v>
      </c>
      <c r="B986" s="4" t="s">
        <v>4583</v>
      </c>
      <c r="C986" s="4">
        <v>986</v>
      </c>
      <c r="D986" s="4">
        <v>200</v>
      </c>
      <c r="E986" s="4" t="s">
        <v>2230</v>
      </c>
      <c r="F986" s="16">
        <v>44671</v>
      </c>
      <c r="G986" s="5" t="s">
        <v>2229</v>
      </c>
      <c r="H986" s="5" t="s">
        <v>4375</v>
      </c>
      <c r="I986" s="24" t="str">
        <f>HYPERLINK("https://www.bilibili.com/video/BV1pY411t7Rb?p=200", "BV1pY411t7Rb?p=200")</f>
        <v>BV1pY411t7Rb?p=200</v>
      </c>
      <c r="J986" s="4" t="str">
        <f ca="1">_xlfn.IFNA(VLOOKUP(INDIRECT("G"&amp;ROW()),minfo!$A:$M,COLUMN()-8,0),"")</f>
        <v>匆匆那年</v>
      </c>
      <c r="K986" s="4" t="str">
        <f ca="1">_xlfn.IFNA(VLOOKUP(INDIRECT("G"&amp;ROW()),minfo!$A:$M,COLUMN()-8,0),"")</f>
        <v>王菲</v>
      </c>
      <c r="L986" s="4">
        <f ca="1">_xlfn.IFNA(VLOOKUP(INDIRECT("G"&amp;ROW()),minfo!$A:$M,COLUMN()-8,0),"")</f>
        <v>0</v>
      </c>
      <c r="M986" s="4">
        <f ca="1">_xlfn.IFNA(VLOOKUP(INDIRECT("G"&amp;ROW()),minfo!$A:$M,COLUMN()-8,0),"")</f>
        <v>0</v>
      </c>
      <c r="N986" s="4">
        <f ca="1">_xlfn.IFNA(VLOOKUP(INDIRECT("G"&amp;ROW()),minfo!$A:$M,COLUMN()-8,0),"")</f>
        <v>0</v>
      </c>
      <c r="O986" s="4" t="str">
        <f ca="1">_xlfn.IFNA(VLOOKUP(INDIRECT("G"&amp;ROW()),minfo!$A:$M,COLUMN()-8,0),"")</f>
        <v>https://i0.hdslb.com/bfs/station_src/music_metadata/cab45a20ca2d7c220522553551bea5b0.jpg</v>
      </c>
      <c r="P986" s="4" t="str">
        <f ca="1">_xlfn.IFNA(VLOOKUP(INDIRECT("G"&amp;ROW()),minfo!$A:$M,COLUMN()-8,0),"")</f>
        <v>http://i0.hdslb.com/bfs/station_src/music_metadata/a8de399662b8d3e4904e3d3bc5933073</v>
      </c>
      <c r="Q986" s="4">
        <f ca="1">_xlfn.IFNA(VLOOKUP(INDIRECT("G"&amp;ROW()),minfo!$A:$M,COLUMN()-8,0),"")</f>
        <v>2705</v>
      </c>
      <c r="R986" s="4" t="str">
        <f ca="1">_xlfn.IFNA(VLOOKUP(INDIRECT("G"&amp;ROW()),minfo!$A:$M,COLUMN()-8,0),"")</f>
        <v>《匆匆那年》电影同名主题曲</v>
      </c>
      <c r="S986" s="4" t="str">
        <f ca="1">_xlfn.IFNA(VLOOKUP(INDIRECT("G"&amp;ROW()),minfo!$A:$M,COLUMN()-8,0),"")</f>
        <v>匆匆那年</v>
      </c>
      <c r="T986" s="4">
        <f ca="1">_xlfn.IFNA(VLOOKUP(INDIRECT("G"&amp;ROW()),minfo!$A:$M,COLUMN()-8,0),"")</f>
        <v>420865010</v>
      </c>
      <c r="U986" s="4" t="str">
        <f ca="1">_xlfn.IFNA(VLOOKUP(INDIRECT("G"&amp;ROW()),minfo!$A:$M,COLUMN()-8,0),"")</f>
        <v>音乐榜最高NO.3</v>
      </c>
    </row>
    <row r="987" spans="1:21" ht="15.75" customHeight="1">
      <c r="A987" s="15">
        <v>986</v>
      </c>
      <c r="B987" s="4" t="s">
        <v>4584</v>
      </c>
      <c r="C987" s="4">
        <v>987</v>
      </c>
      <c r="D987" s="4">
        <v>1</v>
      </c>
      <c r="E987" s="4" t="s">
        <v>980</v>
      </c>
      <c r="F987" s="16">
        <v>44673</v>
      </c>
      <c r="G987" s="5" t="s">
        <v>979</v>
      </c>
      <c r="H987" s="5" t="s">
        <v>4585</v>
      </c>
      <c r="I987" s="24" t="str">
        <f>HYPERLINK("https://www.bilibili.com/video/BV1o3411T7Yn?p=1", "BV1o3411T7Yn?p=1")</f>
        <v>BV1o3411T7Yn?p=1</v>
      </c>
      <c r="J987" s="4" t="str">
        <f ca="1">_xlfn.IFNA(VLOOKUP(INDIRECT("G"&amp;ROW()),minfo!$A:$M,COLUMN()-8,0),"")</f>
        <v>寻一个天荒地老的地方</v>
      </c>
      <c r="K987" s="4" t="str">
        <f ca="1">_xlfn.IFNA(VLOOKUP(INDIRECT("G"&amp;ROW()),minfo!$A:$M,COLUMN()-8,0),"")</f>
        <v>单依纯</v>
      </c>
      <c r="L987" s="4">
        <f ca="1">_xlfn.IFNA(VLOOKUP(INDIRECT("G"&amp;ROW()),minfo!$A:$M,COLUMN()-8,0),"")</f>
        <v>0</v>
      </c>
      <c r="M987" s="4">
        <f ca="1">_xlfn.IFNA(VLOOKUP(INDIRECT("G"&amp;ROW()),minfo!$A:$M,COLUMN()-8,0),"")</f>
        <v>0</v>
      </c>
      <c r="N987" s="4">
        <f ca="1">_xlfn.IFNA(VLOOKUP(INDIRECT("G"&amp;ROW()),minfo!$A:$M,COLUMN()-8,0),"")</f>
        <v>0</v>
      </c>
      <c r="O987" s="4" t="str">
        <f ca="1">_xlfn.IFNA(VLOOKUP(INDIRECT("G"&amp;ROW()),minfo!$A:$M,COLUMN()-8,0),"")</f>
        <v>https://i0.hdslb.com/bfs/station_src/music_metadata/1baf91b2d2f204c468162a37d5dc6011.jpg</v>
      </c>
      <c r="P987" s="4" t="str">
        <f ca="1">_xlfn.IFNA(VLOOKUP(INDIRECT("G"&amp;ROW()),minfo!$A:$M,COLUMN()-8,0),"")</f>
        <v>https://i0.hdslb.com/bfs/station_src/music_metadata/e080f50db39ef189fa94151d5b77dc5d.txt</v>
      </c>
      <c r="Q987" s="4">
        <f ca="1">_xlfn.IFNA(VLOOKUP(INDIRECT("G"&amp;ROW()),minfo!$A:$M,COLUMN()-8,0),"")</f>
        <v>3</v>
      </c>
      <c r="R987" s="4">
        <f ca="1">_xlfn.IFNA(VLOOKUP(INDIRECT("G"&amp;ROW()),minfo!$A:$M,COLUMN()-8,0),"")</f>
        <v>0</v>
      </c>
      <c r="S987" s="4" t="str">
        <f ca="1">_xlfn.IFNA(VLOOKUP(INDIRECT("G"&amp;ROW()),minfo!$A:$M,COLUMN()-8,0),"")</f>
        <v>2020中国好声音 第8期</v>
      </c>
      <c r="T987" s="4">
        <f ca="1">_xlfn.IFNA(VLOOKUP(INDIRECT("G"&amp;ROW()),minfo!$A:$M,COLUMN()-8,0),"")</f>
        <v>1875423</v>
      </c>
      <c r="U987" s="4">
        <f ca="1">_xlfn.IFNA(VLOOKUP(INDIRECT("G"&amp;ROW()),minfo!$A:$M,COLUMN()-8,0),"")</f>
        <v>0</v>
      </c>
    </row>
    <row r="988" spans="1:21" ht="15.75" customHeight="1">
      <c r="A988" s="15">
        <v>987</v>
      </c>
      <c r="B988" s="4" t="s">
        <v>4586</v>
      </c>
      <c r="C988" s="4">
        <v>988</v>
      </c>
      <c r="D988" s="4">
        <v>2</v>
      </c>
      <c r="E988" s="4" t="s">
        <v>497</v>
      </c>
      <c r="F988" s="16">
        <v>44673</v>
      </c>
      <c r="G988" s="5" t="s">
        <v>496</v>
      </c>
      <c r="H988" s="5" t="s">
        <v>4585</v>
      </c>
      <c r="I988" s="24" t="str">
        <f>HYPERLINK("https://www.bilibili.com/video/BV1o3411T7Yn?p=2", "BV1o3411T7Yn?p=2")</f>
        <v>BV1o3411T7Yn?p=2</v>
      </c>
      <c r="J988" s="4" t="str">
        <f ca="1">_xlfn.IFNA(VLOOKUP(INDIRECT("G"&amp;ROW()),minfo!$A:$M,COLUMN()-8,0),"")</f>
        <v>给电影人的情书</v>
      </c>
      <c r="K988" s="4" t="str">
        <f ca="1">_xlfn.IFNA(VLOOKUP(INDIRECT("G"&amp;ROW()),minfo!$A:$M,COLUMN()-8,0),"")</f>
        <v>蔡琴</v>
      </c>
      <c r="L988" s="4">
        <f ca="1">_xlfn.IFNA(VLOOKUP(INDIRECT("G"&amp;ROW()),minfo!$A:$M,COLUMN()-8,0),"")</f>
        <v>0</v>
      </c>
      <c r="M988" s="4">
        <f ca="1">_xlfn.IFNA(VLOOKUP(INDIRECT("G"&amp;ROW()),minfo!$A:$M,COLUMN()-8,0),"")</f>
        <v>0</v>
      </c>
      <c r="N988" s="4">
        <f ca="1">_xlfn.IFNA(VLOOKUP(INDIRECT("G"&amp;ROW()),minfo!$A:$M,COLUMN()-8,0),"")</f>
        <v>0</v>
      </c>
      <c r="O988" s="4" t="str">
        <f ca="1">_xlfn.IFNA(VLOOKUP(INDIRECT("G"&amp;ROW()),minfo!$A:$M,COLUMN()-8,0),"")</f>
        <v>https://i0.hdslb.com/bfs/station_src/music_metadata/5a642b125d5c75496a65d82a8b356a5f.jpg</v>
      </c>
      <c r="P988" s="4" t="str">
        <f ca="1">_xlfn.IFNA(VLOOKUP(INDIRECT("G"&amp;ROW()),minfo!$A:$M,COLUMN()-8,0),"")</f>
        <v>http://i0.hdslb.com/bfs/station_src/music_metadata/b70311934da8d72b044401d31b44294e</v>
      </c>
      <c r="Q988" s="4">
        <f ca="1">_xlfn.IFNA(VLOOKUP(INDIRECT("G"&amp;ROW()),minfo!$A:$M,COLUMN()-8,0),"")</f>
        <v>192</v>
      </c>
      <c r="R988" s="4">
        <f ca="1">_xlfn.IFNA(VLOOKUP(INDIRECT("G"&amp;ROW()),minfo!$A:$M,COLUMN()-8,0),"")</f>
        <v>0</v>
      </c>
      <c r="S988" s="4" t="str">
        <f ca="1">_xlfn.IFNA(VLOOKUP(INDIRECT("G"&amp;ROW()),minfo!$A:$M,COLUMN()-8,0),"")</f>
        <v>不悔</v>
      </c>
      <c r="T988" s="4">
        <f ca="1">_xlfn.IFNA(VLOOKUP(INDIRECT("G"&amp;ROW()),minfo!$A:$M,COLUMN()-8,0),"")</f>
        <v>47527216</v>
      </c>
      <c r="U988" s="4">
        <f ca="1">_xlfn.IFNA(VLOOKUP(INDIRECT("G"&amp;ROW()),minfo!$A:$M,COLUMN()-8,0),"")</f>
        <v>0</v>
      </c>
    </row>
    <row r="989" spans="1:21" ht="15.75" customHeight="1">
      <c r="A989" s="15">
        <v>988</v>
      </c>
      <c r="B989" s="4" t="s">
        <v>4587</v>
      </c>
      <c r="C989" s="4">
        <v>989</v>
      </c>
      <c r="D989" s="4">
        <v>3</v>
      </c>
      <c r="E989" s="4" t="s">
        <v>2235</v>
      </c>
      <c r="F989" s="16">
        <v>44673</v>
      </c>
      <c r="G989" s="5" t="s">
        <v>2234</v>
      </c>
      <c r="H989" s="5" t="s">
        <v>4585</v>
      </c>
      <c r="I989" s="24" t="str">
        <f>HYPERLINK("https://www.bilibili.com/video/BV1o3411T7Yn?p=3", "BV1o3411T7Yn?p=3")</f>
        <v>BV1o3411T7Yn?p=3</v>
      </c>
      <c r="J989" s="4" t="str">
        <f ca="1">_xlfn.IFNA(VLOOKUP(INDIRECT("G"&amp;ROW()),minfo!$A:$M,COLUMN()-8,0),"")</f>
        <v>你要的爱</v>
      </c>
      <c r="K989" s="4" t="str">
        <f ca="1">_xlfn.IFNA(VLOOKUP(INDIRECT("G"&amp;ROW()),minfo!$A:$M,COLUMN()-8,0),"")</f>
        <v>戴佩妮</v>
      </c>
      <c r="L989" s="4">
        <f ca="1">_xlfn.IFNA(VLOOKUP(INDIRECT("G"&amp;ROW()),minfo!$A:$M,COLUMN()-8,0),"")</f>
        <v>0</v>
      </c>
      <c r="M989" s="4">
        <f ca="1">_xlfn.IFNA(VLOOKUP(INDIRECT("G"&amp;ROW()),minfo!$A:$M,COLUMN()-8,0),"")</f>
        <v>0</v>
      </c>
      <c r="N989" s="4">
        <f ca="1">_xlfn.IFNA(VLOOKUP(INDIRECT("G"&amp;ROW()),minfo!$A:$M,COLUMN()-8,0),"")</f>
        <v>0</v>
      </c>
      <c r="O989" s="4" t="str">
        <f ca="1">_xlfn.IFNA(VLOOKUP(INDIRECT("G"&amp;ROW()),minfo!$A:$M,COLUMN()-8,0),"")</f>
        <v>http://i0.hdslb.com/bfs/station_src/music_metadata/1b21e82d07af85053c48dcadc2d3f812.jpg</v>
      </c>
      <c r="P989" s="4">
        <f ca="1">_xlfn.IFNA(VLOOKUP(INDIRECT("G"&amp;ROW()),minfo!$A:$M,COLUMN()-8,0),"")</f>
        <v>0</v>
      </c>
      <c r="Q989" s="4">
        <f ca="1">_xlfn.IFNA(VLOOKUP(INDIRECT("G"&amp;ROW()),minfo!$A:$M,COLUMN()-8,0),"")</f>
        <v>74</v>
      </c>
      <c r="R989" s="4">
        <f ca="1">_xlfn.IFNA(VLOOKUP(INDIRECT("G"&amp;ROW()),minfo!$A:$M,COLUMN()-8,0),"")</f>
        <v>0</v>
      </c>
      <c r="S989" s="4" t="str">
        <f ca="1">_xlfn.IFNA(VLOOKUP(INDIRECT("G"&amp;ROW()),minfo!$A:$M,COLUMN()-8,0),"")</f>
        <v>怎样</v>
      </c>
      <c r="T989" s="4">
        <f ca="1">_xlfn.IFNA(VLOOKUP(INDIRECT("G"&amp;ROW()),minfo!$A:$M,COLUMN()-8,0),"")</f>
        <v>49986800</v>
      </c>
      <c r="U989" s="4">
        <f ca="1">_xlfn.IFNA(VLOOKUP(INDIRECT("G"&amp;ROW()),minfo!$A:$M,COLUMN()-8,0),"")</f>
        <v>0</v>
      </c>
    </row>
    <row r="990" spans="1:21" ht="15.75" customHeight="1">
      <c r="A990" s="15">
        <v>989</v>
      </c>
      <c r="B990" s="4" t="s">
        <v>4588</v>
      </c>
      <c r="C990" s="4">
        <v>990</v>
      </c>
      <c r="D990" s="4">
        <v>4</v>
      </c>
      <c r="E990" s="4" t="s">
        <v>2240</v>
      </c>
      <c r="F990" s="16">
        <v>44673</v>
      </c>
      <c r="G990" s="5" t="s">
        <v>2239</v>
      </c>
      <c r="H990" s="5" t="s">
        <v>4585</v>
      </c>
      <c r="I990" s="24" t="str">
        <f>HYPERLINK("https://www.bilibili.com/video/BV1o3411T7Yn?p=4", "BV1o3411T7Yn?p=4")</f>
        <v>BV1o3411T7Yn?p=4</v>
      </c>
      <c r="J990" s="4" t="str">
        <f ca="1">_xlfn.IFNA(VLOOKUP(INDIRECT("G"&amp;ROW()),minfo!$A:$M,COLUMN()-8,0),"")</f>
        <v>梧桐树</v>
      </c>
      <c r="K990" s="4" t="str">
        <f ca="1">_xlfn.IFNA(VLOOKUP(INDIRECT("G"&amp;ROW()),minfo!$A:$M,COLUMN()-8,0),"")</f>
        <v>陈燕</v>
      </c>
      <c r="L990" s="4">
        <f ca="1">_xlfn.IFNA(VLOOKUP(INDIRECT("G"&amp;ROW()),minfo!$A:$M,COLUMN()-8,0),"")</f>
        <v>0</v>
      </c>
      <c r="M990" s="4">
        <f ca="1">_xlfn.IFNA(VLOOKUP(INDIRECT("G"&amp;ROW()),minfo!$A:$M,COLUMN()-8,0),"")</f>
        <v>0</v>
      </c>
      <c r="N990" s="4">
        <f ca="1">_xlfn.IFNA(VLOOKUP(INDIRECT("G"&amp;ROW()),minfo!$A:$M,COLUMN()-8,0),"")</f>
        <v>0</v>
      </c>
      <c r="O990" s="4" t="str">
        <f ca="1">_xlfn.IFNA(VLOOKUP(INDIRECT("G"&amp;ROW()),minfo!$A:$M,COLUMN()-8,0),"")</f>
        <v>https://i0.hdslb.com/bfs/station_src/music_metadata/f8a52f1a4f98b91a5b7fbdd2bc0f27db.jpg</v>
      </c>
      <c r="P990" s="4" t="str">
        <f ca="1">_xlfn.IFNA(VLOOKUP(INDIRECT("G"&amp;ROW()),minfo!$A:$M,COLUMN()-8,0),"")</f>
        <v>https://i0.hdslb.com/bfs/station_src/music_metadata/631acd4f0aa273f8d5cbcaa92bfedc59.txt</v>
      </c>
      <c r="Q990" s="4">
        <f ca="1">_xlfn.IFNA(VLOOKUP(INDIRECT("G"&amp;ROW()),minfo!$A:$M,COLUMN()-8,0),"")</f>
        <v>2</v>
      </c>
      <c r="R990" s="4">
        <f ca="1">_xlfn.IFNA(VLOOKUP(INDIRECT("G"&amp;ROW()),minfo!$A:$M,COLUMN()-8,0),"")</f>
        <v>0</v>
      </c>
      <c r="S990" s="4" t="str">
        <f ca="1">_xlfn.IFNA(VLOOKUP(INDIRECT("G"&amp;ROW()),minfo!$A:$M,COLUMN()-8,0),"")</f>
        <v>寻找失落的凄美</v>
      </c>
      <c r="T990" s="4">
        <f ca="1">_xlfn.IFNA(VLOOKUP(INDIRECT("G"&amp;ROW()),minfo!$A:$M,COLUMN()-8,0),"")</f>
        <v>397466</v>
      </c>
      <c r="U990" s="4">
        <f ca="1">_xlfn.IFNA(VLOOKUP(INDIRECT("G"&amp;ROW()),minfo!$A:$M,COLUMN()-8,0),"")</f>
        <v>0</v>
      </c>
    </row>
    <row r="991" spans="1:21" ht="15.75" customHeight="1">
      <c r="A991" s="15">
        <v>990</v>
      </c>
      <c r="B991" s="4" t="s">
        <v>4589</v>
      </c>
      <c r="C991" s="4">
        <v>991</v>
      </c>
      <c r="D991" s="4">
        <v>5</v>
      </c>
      <c r="E991" s="4" t="s">
        <v>1088</v>
      </c>
      <c r="F991" s="16">
        <v>44673</v>
      </c>
      <c r="G991" s="5" t="s">
        <v>1087</v>
      </c>
      <c r="H991" s="5" t="s">
        <v>4585</v>
      </c>
      <c r="I991" s="24" t="str">
        <f>HYPERLINK("https://www.bilibili.com/video/BV1o3411T7Yn?p=5", "BV1o3411T7Yn?p=5")</f>
        <v>BV1o3411T7Yn?p=5</v>
      </c>
      <c r="J991" s="4" t="str">
        <f ca="1">_xlfn.IFNA(VLOOKUP(INDIRECT("G"&amp;ROW()),minfo!$A:$M,COLUMN()-8,0),"")</f>
        <v>落在胸口的星星</v>
      </c>
      <c r="K991" s="4" t="str">
        <f ca="1">_xlfn.IFNA(VLOOKUP(INDIRECT("G"&amp;ROW()),minfo!$A:$M,COLUMN()-8,0),"")</f>
        <v>郁可唯</v>
      </c>
      <c r="L991" s="4">
        <f ca="1">_xlfn.IFNA(VLOOKUP(INDIRECT("G"&amp;ROW()),minfo!$A:$M,COLUMN()-8,0),"")</f>
        <v>0</v>
      </c>
      <c r="M991" s="4">
        <f ca="1">_xlfn.IFNA(VLOOKUP(INDIRECT("G"&amp;ROW()),minfo!$A:$M,COLUMN()-8,0),"")</f>
        <v>0</v>
      </c>
      <c r="N991" s="4">
        <f ca="1">_xlfn.IFNA(VLOOKUP(INDIRECT("G"&amp;ROW()),minfo!$A:$M,COLUMN()-8,0),"")</f>
        <v>0</v>
      </c>
      <c r="O991" s="4" t="str">
        <f ca="1">_xlfn.IFNA(VLOOKUP(INDIRECT("G"&amp;ROW()),minfo!$A:$M,COLUMN()-8,0),"")</f>
        <v>https://i0.hdslb.com/bfs/station_src/music_metadata/50c77e28db4c8227c00d9a071a65db1e.jpg</v>
      </c>
      <c r="P991" s="4" t="str">
        <f ca="1">_xlfn.IFNA(VLOOKUP(INDIRECT("G"&amp;ROW()),minfo!$A:$M,COLUMN()-8,0),"")</f>
        <v>https://i0.hdslb.com/bfs/station_src/music_metadata/709099508f630786ca5d062cce060acd.txt</v>
      </c>
      <c r="Q991" s="4">
        <f ca="1">_xlfn.IFNA(VLOOKUP(INDIRECT("G"&amp;ROW()),minfo!$A:$M,COLUMN()-8,0),"")</f>
        <v>0</v>
      </c>
      <c r="R991" s="4" t="str">
        <f ca="1">_xlfn.IFNA(VLOOKUP(INDIRECT("G"&amp;ROW()),minfo!$A:$M,COLUMN()-8,0),"")</f>
        <v>《美容针》电影主题曲</v>
      </c>
      <c r="S991" s="4" t="str">
        <f ca="1">_xlfn.IFNA(VLOOKUP(INDIRECT("G"&amp;ROW()),minfo!$A:$M,COLUMN()-8,0),"")</f>
        <v>落在胸口的星星</v>
      </c>
      <c r="T991" s="4">
        <f ca="1">_xlfn.IFNA(VLOOKUP(INDIRECT("G"&amp;ROW()),minfo!$A:$M,COLUMN()-8,0),"")</f>
        <v>2086840</v>
      </c>
      <c r="U991" s="4">
        <f ca="1">_xlfn.IFNA(VLOOKUP(INDIRECT("G"&amp;ROW()),minfo!$A:$M,COLUMN()-8,0),"")</f>
        <v>0</v>
      </c>
    </row>
    <row r="992" spans="1:21" ht="15.75" customHeight="1">
      <c r="A992" s="15">
        <v>991</v>
      </c>
      <c r="B992" s="4" t="s">
        <v>4590</v>
      </c>
      <c r="C992" s="4">
        <v>992</v>
      </c>
      <c r="D992" s="4">
        <v>6</v>
      </c>
      <c r="E992" s="4" t="s">
        <v>4591</v>
      </c>
      <c r="F992" s="16">
        <v>44674</v>
      </c>
      <c r="G992" s="5" t="s">
        <v>1631</v>
      </c>
      <c r="H992" s="5" t="s">
        <v>4585</v>
      </c>
      <c r="I992" s="24" t="str">
        <f>HYPERLINK("https://www.bilibili.com/video/BV1o3411T7Yn?p=6", "BV1o3411T7Yn?p=6")</f>
        <v>BV1o3411T7Yn?p=6</v>
      </c>
      <c r="J992" s="4" t="str">
        <f ca="1">_xlfn.IFNA(VLOOKUP(INDIRECT("G"&amp;ROW()),minfo!$A:$M,COLUMN()-8,0),"")</f>
        <v>Forever Young</v>
      </c>
      <c r="K992" s="4" t="str">
        <f ca="1">_xlfn.IFNA(VLOOKUP(INDIRECT("G"&amp;ROW()),minfo!$A:$M,COLUMN()-8,0),"")</f>
        <v>艾怡良</v>
      </c>
      <c r="L992" s="4">
        <f ca="1">_xlfn.IFNA(VLOOKUP(INDIRECT("G"&amp;ROW()),minfo!$A:$M,COLUMN()-8,0),"")</f>
        <v>0</v>
      </c>
      <c r="M992" s="4">
        <f ca="1">_xlfn.IFNA(VLOOKUP(INDIRECT("G"&amp;ROW()),minfo!$A:$M,COLUMN()-8,0),"")</f>
        <v>1121</v>
      </c>
      <c r="N992" s="4">
        <f ca="1">_xlfn.IFNA(VLOOKUP(INDIRECT("G"&amp;ROW()),minfo!$A:$M,COLUMN()-8,0),"")</f>
        <v>108</v>
      </c>
      <c r="O992" s="4" t="str">
        <f ca="1">_xlfn.IFNA(VLOOKUP(INDIRECT("G"&amp;ROW()),minfo!$A:$M,COLUMN()-8,0),"")</f>
        <v>https://i0.hdslb.com/bfs/station_src/music_metadata/dbe0a5c483acdf75be3b3411a94a3f6e.jpg</v>
      </c>
      <c r="P992" s="4" t="str">
        <f ca="1">_xlfn.IFNA(VLOOKUP(INDIRECT("G"&amp;ROW()),minfo!$A:$M,COLUMN()-8,0),"")</f>
        <v>https://i0.hdslb.com/bfs/station_src/music_metadata/0eecea8bad0d6a372d617485427bcadb.txt</v>
      </c>
      <c r="Q992" s="4">
        <f ca="1">_xlfn.IFNA(VLOOKUP(INDIRECT("G"&amp;ROW()),minfo!$A:$M,COLUMN()-8,0),"")</f>
        <v>243</v>
      </c>
      <c r="R992" s="4">
        <f ca="1">_xlfn.IFNA(VLOOKUP(INDIRECT("G"&amp;ROW()),minfo!$A:$M,COLUMN()-8,0),"")</f>
        <v>0</v>
      </c>
      <c r="S992" s="4" t="str">
        <f ca="1">_xlfn.IFNA(VLOOKUP(INDIRECT("G"&amp;ROW()),minfo!$A:$M,COLUMN()-8,0),"")</f>
        <v>Forever Young</v>
      </c>
      <c r="T992" s="4">
        <f ca="1">_xlfn.IFNA(VLOOKUP(INDIRECT("G"&amp;ROW()),minfo!$A:$M,COLUMN()-8,0),"")</f>
        <v>21666407</v>
      </c>
      <c r="U992" s="4">
        <f ca="1">_xlfn.IFNA(VLOOKUP(INDIRECT("G"&amp;ROW()),minfo!$A:$M,COLUMN()-8,0),"")</f>
        <v>0</v>
      </c>
    </row>
    <row r="993" spans="1:21" ht="15.75" customHeight="1">
      <c r="A993" s="15">
        <v>992</v>
      </c>
      <c r="B993" s="4" t="s">
        <v>4592</v>
      </c>
      <c r="C993" s="4">
        <v>993</v>
      </c>
      <c r="D993" s="4">
        <v>7</v>
      </c>
      <c r="E993" s="4" t="s">
        <v>872</v>
      </c>
      <c r="F993" s="16">
        <v>44674</v>
      </c>
      <c r="G993" s="5" t="s">
        <v>871</v>
      </c>
      <c r="H993" s="5" t="s">
        <v>4585</v>
      </c>
      <c r="I993" s="24" t="str">
        <f>HYPERLINK("https://www.bilibili.com/video/BV1o3411T7Yn?p=7", "BV1o3411T7Yn?p=7")</f>
        <v>BV1o3411T7Yn?p=7</v>
      </c>
      <c r="J993" s="4" t="str">
        <f ca="1">_xlfn.IFNA(VLOOKUP(INDIRECT("G"&amp;ROW()),minfo!$A:$M,COLUMN()-8,0),"")</f>
        <v>一样的月光</v>
      </c>
      <c r="K993" s="4" t="str">
        <f ca="1">_xlfn.IFNA(VLOOKUP(INDIRECT("G"&amp;ROW()),minfo!$A:$M,COLUMN()-8,0),"")</f>
        <v>徐佳莹</v>
      </c>
      <c r="L993" s="4">
        <f ca="1">_xlfn.IFNA(VLOOKUP(INDIRECT("G"&amp;ROW()),minfo!$A:$M,COLUMN()-8,0),"")</f>
        <v>0</v>
      </c>
      <c r="M993" s="4">
        <f ca="1">_xlfn.IFNA(VLOOKUP(INDIRECT("G"&amp;ROW()),minfo!$A:$M,COLUMN()-8,0),"")</f>
        <v>0</v>
      </c>
      <c r="N993" s="4">
        <f ca="1">_xlfn.IFNA(VLOOKUP(INDIRECT("G"&amp;ROW()),minfo!$A:$M,COLUMN()-8,0),"")</f>
        <v>0</v>
      </c>
      <c r="O993" s="4" t="str">
        <f ca="1">_xlfn.IFNA(VLOOKUP(INDIRECT("G"&amp;ROW()),minfo!$A:$M,COLUMN()-8,0),"")</f>
        <v>https://i0.hdslb.com/bfs/station_src/music_metadata/bb47ed0b6da92d07d9492a6e3982d7f7.jpg</v>
      </c>
      <c r="P993" s="4" t="str">
        <f ca="1">_xlfn.IFNA(VLOOKUP(INDIRECT("G"&amp;ROW()),minfo!$A:$M,COLUMN()-8,0),"")</f>
        <v>http://i0.hdslb.com/bfs/station_src/music_metadata/df58f5b1cd8da2f562b22b6c913ab846</v>
      </c>
      <c r="Q993" s="4">
        <f ca="1">_xlfn.IFNA(VLOOKUP(INDIRECT("G"&amp;ROW()),minfo!$A:$M,COLUMN()-8,0),"")</f>
        <v>1830</v>
      </c>
      <c r="R993" s="4">
        <f ca="1">_xlfn.IFNA(VLOOKUP(INDIRECT("G"&amp;ROW()),minfo!$A:$M,COLUMN()-8,0),"")</f>
        <v>0</v>
      </c>
      <c r="S993" s="4" t="str">
        <f ca="1">_xlfn.IFNA(VLOOKUP(INDIRECT("G"&amp;ROW()),minfo!$A:$M,COLUMN()-8,0),"")</f>
        <v>LaLa首张创作专辑</v>
      </c>
      <c r="T993" s="4">
        <f ca="1">_xlfn.IFNA(VLOOKUP(INDIRECT("G"&amp;ROW()),minfo!$A:$M,COLUMN()-8,0),"")</f>
        <v>312017425</v>
      </c>
      <c r="U993" s="4">
        <f ca="1">_xlfn.IFNA(VLOOKUP(INDIRECT("G"&amp;ROW()),minfo!$A:$M,COLUMN()-8,0),"")</f>
        <v>0</v>
      </c>
    </row>
    <row r="994" spans="1:21" ht="15.75" customHeight="1">
      <c r="A994" s="15">
        <v>993</v>
      </c>
      <c r="B994" s="4" t="s">
        <v>4593</v>
      </c>
      <c r="C994" s="4">
        <v>994</v>
      </c>
      <c r="D994" s="4">
        <v>8</v>
      </c>
      <c r="E994" s="4" t="s">
        <v>4594</v>
      </c>
      <c r="F994" s="16">
        <v>44674</v>
      </c>
      <c r="G994" s="5" t="s">
        <v>933</v>
      </c>
      <c r="H994" s="5" t="s">
        <v>4585</v>
      </c>
      <c r="I994" s="24" t="str">
        <f>HYPERLINK("https://www.bilibili.com/video/BV1o3411T7Yn?p=8", "BV1o3411T7Yn?p=8")</f>
        <v>BV1o3411T7Yn?p=8</v>
      </c>
      <c r="J994" s="4" t="str">
        <f ca="1">_xlfn.IFNA(VLOOKUP(INDIRECT("G"&amp;ROW()),minfo!$A:$M,COLUMN()-8,0),"")</f>
        <v>敕勒歌</v>
      </c>
      <c r="K994" s="4" t="str">
        <f ca="1">_xlfn.IFNA(VLOOKUP(INDIRECT("G"&amp;ROW()),minfo!$A:$M,COLUMN()-8,0),"")</f>
        <v>谭维维</v>
      </c>
      <c r="L994" s="4">
        <f ca="1">_xlfn.IFNA(VLOOKUP(INDIRECT("G"&amp;ROW()),minfo!$A:$M,COLUMN()-8,0),"")</f>
        <v>0</v>
      </c>
      <c r="M994" s="4">
        <f ca="1">_xlfn.IFNA(VLOOKUP(INDIRECT("G"&amp;ROW()),minfo!$A:$M,COLUMN()-8,0),"")</f>
        <v>0</v>
      </c>
      <c r="N994" s="4">
        <f ca="1">_xlfn.IFNA(VLOOKUP(INDIRECT("G"&amp;ROW()),minfo!$A:$M,COLUMN()-8,0),"")</f>
        <v>0</v>
      </c>
      <c r="O994" s="4" t="str">
        <f ca="1">_xlfn.IFNA(VLOOKUP(INDIRECT("G"&amp;ROW()),minfo!$A:$M,COLUMN()-8,0),"")</f>
        <v>https://i0.hdslb.com/bfs/station_src/music_metadata/4633e67685206de0672cc528709e3e2f.jpg</v>
      </c>
      <c r="P994" s="4" t="str">
        <f ca="1">_xlfn.IFNA(VLOOKUP(INDIRECT("G"&amp;ROW()),minfo!$A:$M,COLUMN()-8,0),"")</f>
        <v>https://i0.hdslb.com/bfs/station_src/music_metadata/dff7d3073b6cc36766c38942f1f4cf16.txt</v>
      </c>
      <c r="Q994" s="4">
        <f ca="1">_xlfn.IFNA(VLOOKUP(INDIRECT("G"&amp;ROW()),minfo!$A:$M,COLUMN()-8,0),"")</f>
        <v>382</v>
      </c>
      <c r="R994" s="4">
        <f ca="1">_xlfn.IFNA(VLOOKUP(INDIRECT("G"&amp;ROW()),minfo!$A:$M,COLUMN()-8,0),"")</f>
        <v>0</v>
      </c>
      <c r="S994" s="4" t="str">
        <f ca="1">_xlfn.IFNA(VLOOKUP(INDIRECT("G"&amp;ROW()),minfo!$A:$M,COLUMN()-8,0),"")</f>
        <v>经典咏流传第二季 第六期</v>
      </c>
      <c r="T994" s="4">
        <f ca="1">_xlfn.IFNA(VLOOKUP(INDIRECT("G"&amp;ROW()),minfo!$A:$M,COLUMN()-8,0),"")</f>
        <v>19549830</v>
      </c>
      <c r="U994" s="4">
        <f ca="1">_xlfn.IFNA(VLOOKUP(INDIRECT("G"&amp;ROW()),minfo!$A:$M,COLUMN()-8,0),"")</f>
        <v>0</v>
      </c>
    </row>
    <row r="995" spans="1:21" ht="15.75" customHeight="1">
      <c r="A995" s="15">
        <v>994</v>
      </c>
      <c r="B995" s="4" t="s">
        <v>4595</v>
      </c>
      <c r="C995" s="4">
        <v>995</v>
      </c>
      <c r="D995" s="4">
        <v>9</v>
      </c>
      <c r="E995" s="4" t="s">
        <v>4596</v>
      </c>
      <c r="F995" s="16">
        <v>44674</v>
      </c>
      <c r="G995" s="5" t="s">
        <v>549</v>
      </c>
      <c r="H995" s="5" t="s">
        <v>4585</v>
      </c>
      <c r="I995" s="24" t="str">
        <f>HYPERLINK("https://www.bilibili.com/video/BV1o3411T7Yn?p=9", "BV1o3411T7Yn?p=9")</f>
        <v>BV1o3411T7Yn?p=9</v>
      </c>
      <c r="J995" s="4" t="str">
        <f ca="1">_xlfn.IFNA(VLOOKUP(INDIRECT("G"&amp;ROW()),minfo!$A:$M,COLUMN()-8,0),"")</f>
        <v>靠近</v>
      </c>
      <c r="K995" s="4" t="str">
        <f ca="1">_xlfn.IFNA(VLOOKUP(INDIRECT("G"&amp;ROW()),minfo!$A:$M,COLUMN()-8,0),"")</f>
        <v>罗震环</v>
      </c>
      <c r="L995" s="4">
        <f ca="1">_xlfn.IFNA(VLOOKUP(INDIRECT("G"&amp;ROW()),minfo!$A:$M,COLUMN()-8,0),"")</f>
        <v>0</v>
      </c>
      <c r="M995" s="4">
        <f ca="1">_xlfn.IFNA(VLOOKUP(INDIRECT("G"&amp;ROW()),minfo!$A:$M,COLUMN()-8,0),"")</f>
        <v>0</v>
      </c>
      <c r="N995" s="4">
        <f ca="1">_xlfn.IFNA(VLOOKUP(INDIRECT("G"&amp;ROW()),minfo!$A:$M,COLUMN()-8,0),"")</f>
        <v>0</v>
      </c>
      <c r="O995" s="4" t="str">
        <f ca="1">_xlfn.IFNA(VLOOKUP(INDIRECT("G"&amp;ROW()),minfo!$A:$M,COLUMN()-8,0),"")</f>
        <v>https://i0.hdslb.com/bfs/station_src/music_metadata/38ab4a46f651a446f01ba757be262549.jpg</v>
      </c>
      <c r="P995" s="4" t="str">
        <f ca="1">_xlfn.IFNA(VLOOKUP(INDIRECT("G"&amp;ROW()),minfo!$A:$M,COLUMN()-8,0),"")</f>
        <v>https://i0.hdslb.com/bfs/station_src/music_metadata/1aa4ee4fef9645e7092232f4801fb704.txt</v>
      </c>
      <c r="Q995" s="4">
        <f ca="1">_xlfn.IFNA(VLOOKUP(INDIRECT("G"&amp;ROW()),minfo!$A:$M,COLUMN()-8,0),"")</f>
        <v>1651</v>
      </c>
      <c r="R995" s="4" t="str">
        <f ca="1">_xlfn.IFNA(VLOOKUP(INDIRECT("G"&amp;ROW()),minfo!$A:$M,COLUMN()-8,0),"")</f>
        <v>《爱情公寓3》电视剧片尾曲</v>
      </c>
      <c r="S995" s="4" t="str">
        <f ca="1">_xlfn.IFNA(VLOOKUP(INDIRECT("G"&amp;ROW()),minfo!$A:$M,COLUMN()-8,0),"")</f>
        <v>爱情公寓3 电视剧原声带</v>
      </c>
      <c r="T995" s="4">
        <f ca="1">_xlfn.IFNA(VLOOKUP(INDIRECT("G"&amp;ROW()),minfo!$A:$M,COLUMN()-8,0),"")</f>
        <v>197851447</v>
      </c>
      <c r="U995" s="4">
        <f ca="1">_xlfn.IFNA(VLOOKUP(INDIRECT("G"&amp;ROW()),minfo!$A:$M,COLUMN()-8,0),"")</f>
        <v>0</v>
      </c>
    </row>
    <row r="996" spans="1:21" ht="15.75" customHeight="1">
      <c r="A996" s="15">
        <v>995</v>
      </c>
      <c r="B996" s="4" t="s">
        <v>4597</v>
      </c>
      <c r="C996" s="4">
        <v>996</v>
      </c>
      <c r="D996" s="4">
        <v>10</v>
      </c>
      <c r="E996" s="4" t="s">
        <v>1793</v>
      </c>
      <c r="F996" s="16">
        <v>44674</v>
      </c>
      <c r="G996" s="5" t="s">
        <v>1792</v>
      </c>
      <c r="H996" s="5" t="s">
        <v>4585</v>
      </c>
      <c r="I996" s="24" t="str">
        <f>HYPERLINK("https://www.bilibili.com/video/BV1o3411T7Yn?p=10", "BV1o3411T7Yn?p=10")</f>
        <v>BV1o3411T7Yn?p=10</v>
      </c>
      <c r="J996" s="4" t="str">
        <f ca="1">_xlfn.IFNA(VLOOKUP(INDIRECT("G"&amp;ROW()),minfo!$A:$M,COLUMN()-8,0),"")</f>
        <v>雨爱</v>
      </c>
      <c r="K996" s="4" t="str">
        <f ca="1">_xlfn.IFNA(VLOOKUP(INDIRECT("G"&amp;ROW()),minfo!$A:$M,COLUMN()-8,0),"")</f>
        <v>杨丞琳</v>
      </c>
      <c r="L996" s="4">
        <f ca="1">_xlfn.IFNA(VLOOKUP(INDIRECT("G"&amp;ROW()),minfo!$A:$M,COLUMN()-8,0),"")</f>
        <v>0</v>
      </c>
      <c r="M996" s="4">
        <f ca="1">_xlfn.IFNA(VLOOKUP(INDIRECT("G"&amp;ROW()),minfo!$A:$M,COLUMN()-8,0),"")</f>
        <v>186</v>
      </c>
      <c r="N996" s="4">
        <f ca="1">_xlfn.IFNA(VLOOKUP(INDIRECT("G"&amp;ROW()),minfo!$A:$M,COLUMN()-8,0),"")</f>
        <v>17</v>
      </c>
      <c r="O996" s="4" t="str">
        <f ca="1">_xlfn.IFNA(VLOOKUP(INDIRECT("G"&amp;ROW()),minfo!$A:$M,COLUMN()-8,0),"")</f>
        <v>https://i0.hdslb.com/bfs/station_src/music_metadata/d2d96b39e6c888e709641d2931657784.jpg</v>
      </c>
      <c r="P996" s="4" t="str">
        <f ca="1">_xlfn.IFNA(VLOOKUP(INDIRECT("G"&amp;ROW()),minfo!$A:$M,COLUMN()-8,0),"")</f>
        <v>https://i0.hdslb.com/bfs/station_src/music_metadata/da71918707bbbcc54129293228673828.com/bfs/station_src/music_metadata/4ee2e418ba5ab8982bdcaf20967930a5</v>
      </c>
      <c r="Q996" s="4">
        <f ca="1">_xlfn.IFNA(VLOOKUP(INDIRECT("G"&amp;ROW()),minfo!$A:$M,COLUMN()-8,0),"")</f>
        <v>585</v>
      </c>
      <c r="R996" s="4" t="str">
        <f ca="1">_xlfn.IFNA(VLOOKUP(INDIRECT("G"&amp;ROW()),minfo!$A:$M,COLUMN()-8,0),"")</f>
        <v>雨爱</v>
      </c>
      <c r="S996" s="4">
        <f ca="1">_xlfn.IFNA(VLOOKUP(INDIRECT("G"&amp;ROW()),minfo!$A:$M,COLUMN()-8,0),"")</f>
        <v>0</v>
      </c>
      <c r="T996" s="4">
        <f ca="1">_xlfn.IFNA(VLOOKUP(INDIRECT("G"&amp;ROW()),minfo!$A:$M,COLUMN()-8,0),"")</f>
        <v>299586451</v>
      </c>
      <c r="U996" s="4">
        <f ca="1">_xlfn.IFNA(VLOOKUP(INDIRECT("G"&amp;ROW()),minfo!$A:$M,COLUMN()-8,0),"")</f>
        <v>0</v>
      </c>
    </row>
    <row r="997" spans="1:21" ht="15.75" customHeight="1">
      <c r="A997" s="15">
        <v>996</v>
      </c>
      <c r="B997" s="4" t="s">
        <v>4598</v>
      </c>
      <c r="C997" s="4">
        <v>997</v>
      </c>
      <c r="D997" s="4">
        <v>11</v>
      </c>
      <c r="E997" s="4" t="s">
        <v>226</v>
      </c>
      <c r="F997" s="16">
        <v>44674</v>
      </c>
      <c r="G997" s="5" t="s">
        <v>225</v>
      </c>
      <c r="H997" s="5" t="s">
        <v>4585</v>
      </c>
      <c r="I997" s="24" t="str">
        <f>HYPERLINK("https://www.bilibili.com/video/BV1o3411T7Yn?p=11", "BV1o3411T7Yn?p=11")</f>
        <v>BV1o3411T7Yn?p=11</v>
      </c>
      <c r="J997" s="4" t="str">
        <f ca="1">_xlfn.IFNA(VLOOKUP(INDIRECT("G"&amp;ROW()),minfo!$A:$M,COLUMN()-8,0),"")</f>
        <v>如愿</v>
      </c>
      <c r="K997" s="4" t="str">
        <f ca="1">_xlfn.IFNA(VLOOKUP(INDIRECT("G"&amp;ROW()),minfo!$A:$M,COLUMN()-8,0),"")</f>
        <v>王菲</v>
      </c>
      <c r="L997" s="4">
        <f ca="1">_xlfn.IFNA(VLOOKUP(INDIRECT("G"&amp;ROW()),minfo!$A:$M,COLUMN()-8,0),"")</f>
        <v>0</v>
      </c>
      <c r="M997" s="4">
        <f ca="1">_xlfn.IFNA(VLOOKUP(INDIRECT("G"&amp;ROW()),minfo!$A:$M,COLUMN()-8,0),"")</f>
        <v>0</v>
      </c>
      <c r="N997" s="4">
        <f ca="1">_xlfn.IFNA(VLOOKUP(INDIRECT("G"&amp;ROW()),minfo!$A:$M,COLUMN()-8,0),"")</f>
        <v>0</v>
      </c>
      <c r="O997" s="4" t="str">
        <f ca="1">_xlfn.IFNA(VLOOKUP(INDIRECT("G"&amp;ROW()),minfo!$A:$M,COLUMN()-8,0),"")</f>
        <v>http://i0.hdslb.com/bfs/station_src/music_metadata/4c29d6e8ea08a5ae0f90cb123bf5f52d.jpg</v>
      </c>
      <c r="P997" s="4" t="str">
        <f ca="1">_xlfn.IFNA(VLOOKUP(INDIRECT("G"&amp;ROW()),minfo!$A:$M,COLUMN()-8,0),"")</f>
        <v>http://i0.hdslb.com/bfs/station_src/music_metadata/7dfb091f97b87d41cdb10f22a04b20e6</v>
      </c>
      <c r="Q997" s="4">
        <f ca="1">_xlfn.IFNA(VLOOKUP(INDIRECT("G"&amp;ROW()),minfo!$A:$M,COLUMN()-8,0),"")</f>
        <v>8985</v>
      </c>
      <c r="R997" s="4" t="str">
        <f ca="1">_xlfn.IFNA(VLOOKUP(INDIRECT("G"&amp;ROW()),minfo!$A:$M,COLUMN()-8,0),"")</f>
        <v>《我和我的父辈》电影主题推广曲</v>
      </c>
      <c r="S997" s="4" t="str">
        <f ca="1">_xlfn.IFNA(VLOOKUP(INDIRECT("G"&amp;ROW()),minfo!$A:$M,COLUMN()-8,0),"")</f>
        <v>如愿</v>
      </c>
      <c r="T997" s="4">
        <f ca="1">_xlfn.IFNA(VLOOKUP(INDIRECT("G"&amp;ROW()),minfo!$A:$M,COLUMN()-8,0),"")</f>
        <v>520502983</v>
      </c>
      <c r="U997" s="4">
        <f ca="1">_xlfn.IFNA(VLOOKUP(INDIRECT("G"&amp;ROW()),minfo!$A:$M,COLUMN()-8,0),"")</f>
        <v>0</v>
      </c>
    </row>
    <row r="998" spans="1:21" ht="15.75" customHeight="1">
      <c r="A998" s="15">
        <v>997</v>
      </c>
      <c r="B998" s="4" t="s">
        <v>4599</v>
      </c>
      <c r="C998" s="4">
        <v>998</v>
      </c>
      <c r="D998" s="4">
        <v>12</v>
      </c>
      <c r="E998" s="4" t="s">
        <v>781</v>
      </c>
      <c r="F998" s="16">
        <v>44676</v>
      </c>
      <c r="G998" s="5" t="s">
        <v>780</v>
      </c>
      <c r="H998" s="5" t="s">
        <v>4585</v>
      </c>
      <c r="I998" s="24" t="str">
        <f>HYPERLINK("https://www.bilibili.com/video/BV1o3411T7Yn?p=12", "BV1o3411T7Yn?p=12")</f>
        <v>BV1o3411T7Yn?p=12</v>
      </c>
      <c r="J998" s="4" t="str">
        <f ca="1">_xlfn.IFNA(VLOOKUP(INDIRECT("G"&amp;ROW()),minfo!$A:$M,COLUMN()-8,0),"")</f>
        <v>小小</v>
      </c>
      <c r="K998" s="4" t="str">
        <f ca="1">_xlfn.IFNA(VLOOKUP(INDIRECT("G"&amp;ROW()),minfo!$A:$M,COLUMN()-8,0),"")</f>
        <v>容祖儿</v>
      </c>
      <c r="L998" s="4">
        <f ca="1">_xlfn.IFNA(VLOOKUP(INDIRECT("G"&amp;ROW()),minfo!$A:$M,COLUMN()-8,0),"")</f>
        <v>0</v>
      </c>
      <c r="M998" s="4">
        <f ca="1">_xlfn.IFNA(VLOOKUP(INDIRECT("G"&amp;ROW()),minfo!$A:$M,COLUMN()-8,0),"")</f>
        <v>0</v>
      </c>
      <c r="N998" s="4">
        <f ca="1">_xlfn.IFNA(VLOOKUP(INDIRECT("G"&amp;ROW()),minfo!$A:$M,COLUMN()-8,0),"")</f>
        <v>0</v>
      </c>
      <c r="O998" s="4" t="str">
        <f ca="1">_xlfn.IFNA(VLOOKUP(INDIRECT("G"&amp;ROW()),minfo!$A:$M,COLUMN()-8,0),"")</f>
        <v>https://i0.hdslb.com/bfs/station_src/music_metadata/b9d714ef715f7687d8bb23e6a2aba371.jpg</v>
      </c>
      <c r="P998" s="4" t="str">
        <f ca="1">_xlfn.IFNA(VLOOKUP(INDIRECT("G"&amp;ROW()),minfo!$A:$M,COLUMN()-8,0),"")</f>
        <v>http://i0.hdslb.com/bfs/station_src/music_metadata/bb836ee3f63bcd025917ff09534c243d</v>
      </c>
      <c r="Q998" s="4">
        <f ca="1">_xlfn.IFNA(VLOOKUP(INDIRECT("G"&amp;ROW()),minfo!$A:$M,COLUMN()-8,0),"")</f>
        <v>668</v>
      </c>
      <c r="R998" s="4">
        <f ca="1">_xlfn.IFNA(VLOOKUP(INDIRECT("G"&amp;ROW()),minfo!$A:$M,COLUMN()-8,0),"")</f>
        <v>0</v>
      </c>
      <c r="S998" s="4" t="str">
        <f ca="1">_xlfn.IFNA(VLOOKUP(INDIRECT("G"&amp;ROW()),minfo!$A:$M,COLUMN()-8,0),"")</f>
        <v>小小</v>
      </c>
      <c r="T998" s="4">
        <f ca="1">_xlfn.IFNA(VLOOKUP(INDIRECT("G"&amp;ROW()),minfo!$A:$M,COLUMN()-8,0),"")</f>
        <v>101119426</v>
      </c>
      <c r="U998" s="4">
        <f ca="1">_xlfn.IFNA(VLOOKUP(INDIRECT("G"&amp;ROW()),minfo!$A:$M,COLUMN()-8,0),"")</f>
        <v>0</v>
      </c>
    </row>
    <row r="999" spans="1:21" ht="15.75" customHeight="1">
      <c r="A999" s="15">
        <v>998</v>
      </c>
      <c r="B999" s="4" t="s">
        <v>4600</v>
      </c>
      <c r="C999" s="4">
        <v>999</v>
      </c>
      <c r="D999" s="4">
        <v>13</v>
      </c>
      <c r="E999" s="4" t="s">
        <v>2246</v>
      </c>
      <c r="F999" s="16">
        <v>44676</v>
      </c>
      <c r="G999" s="5" t="s">
        <v>2245</v>
      </c>
      <c r="H999" s="5" t="s">
        <v>4585</v>
      </c>
      <c r="I999" s="24" t="str">
        <f>HYPERLINK("https://www.bilibili.com/video/BV1o3411T7Yn?p=13", "BV1o3411T7Yn?p=13")</f>
        <v>BV1o3411T7Yn?p=13</v>
      </c>
      <c r="J999" s="4" t="str">
        <f ca="1">_xlfn.IFNA(VLOOKUP(INDIRECT("G"&amp;ROW()),minfo!$A:$M,COLUMN()-8,0),"")</f>
        <v>遗失的美好</v>
      </c>
      <c r="K999" s="4" t="str">
        <f ca="1">_xlfn.IFNA(VLOOKUP(INDIRECT("G"&amp;ROW()),minfo!$A:$M,COLUMN()-8,0),"")</f>
        <v>张韶涵</v>
      </c>
      <c r="L999" s="4">
        <f ca="1">_xlfn.IFNA(VLOOKUP(INDIRECT("G"&amp;ROW()),minfo!$A:$M,COLUMN()-8,0),"")</f>
        <v>0</v>
      </c>
      <c r="M999" s="4">
        <f ca="1">_xlfn.IFNA(VLOOKUP(INDIRECT("G"&amp;ROW()),minfo!$A:$M,COLUMN()-8,0),"")</f>
        <v>0</v>
      </c>
      <c r="N999" s="4">
        <f ca="1">_xlfn.IFNA(VLOOKUP(INDIRECT("G"&amp;ROW()),minfo!$A:$M,COLUMN()-8,0),"")</f>
        <v>0</v>
      </c>
      <c r="O999" s="4" t="str">
        <f ca="1">_xlfn.IFNA(VLOOKUP(INDIRECT("G"&amp;ROW()),minfo!$A:$M,COLUMN()-8,0),"")</f>
        <v>https://i0.hdslb.com/bfs/station_src/music_metadata/13ea56e602f588c7a39ad8c73896edd6.jpg</v>
      </c>
      <c r="P999" s="4" t="str">
        <f ca="1">_xlfn.IFNA(VLOOKUP(INDIRECT("G"&amp;ROW()),minfo!$A:$M,COLUMN()-8,0),"")</f>
        <v>http://i0.hdslb.com/bfs/station_src/music_metadata/2022252e1041e75832df8e21cc355aac</v>
      </c>
      <c r="Q999" s="4">
        <f ca="1">_xlfn.IFNA(VLOOKUP(INDIRECT("G"&amp;ROW()),minfo!$A:$M,COLUMN()-8,0),"")</f>
        <v>88</v>
      </c>
      <c r="R999" s="4" t="str">
        <f ca="1">_xlfn.IFNA(VLOOKUP(INDIRECT("G"&amp;ROW()),minfo!$A:$M,COLUMN()-8,0),"")</f>
        <v>《海豚湾恋人》电视剧片尾曲</v>
      </c>
      <c r="S999" s="4" t="str">
        <f ca="1">_xlfn.IFNA(VLOOKUP(INDIRECT("G"&amp;ROW()),minfo!$A:$M,COLUMN()-8,0),"")</f>
        <v>海豚湾恋人 电视剧原声带</v>
      </c>
      <c r="T999" s="4">
        <f ca="1">_xlfn.IFNA(VLOOKUP(INDIRECT("G"&amp;ROW()),minfo!$A:$M,COLUMN()-8,0),"")</f>
        <v>71341082</v>
      </c>
      <c r="U999" s="4">
        <f ca="1">_xlfn.IFNA(VLOOKUP(INDIRECT("G"&amp;ROW()),minfo!$A:$M,COLUMN()-8,0),"")</f>
        <v>0</v>
      </c>
    </row>
    <row r="1000" spans="1:21" ht="15.75" customHeight="1">
      <c r="A1000" s="15">
        <v>999</v>
      </c>
      <c r="B1000" s="4" t="s">
        <v>4601</v>
      </c>
      <c r="C1000" s="4">
        <v>1000</v>
      </c>
      <c r="D1000" s="4">
        <v>14</v>
      </c>
      <c r="E1000" s="4" t="s">
        <v>2252</v>
      </c>
      <c r="F1000" s="16">
        <v>44676</v>
      </c>
      <c r="G1000" s="5" t="s">
        <v>2251</v>
      </c>
      <c r="H1000" s="5" t="s">
        <v>4585</v>
      </c>
      <c r="I1000" s="24" t="str">
        <f>HYPERLINK("https://www.bilibili.com/video/BV1o3411T7Yn?p=14", "BV1o3411T7Yn?p=14")</f>
        <v>BV1o3411T7Yn?p=14</v>
      </c>
      <c r="J1000" s="4" t="str">
        <f ca="1">_xlfn.IFNA(VLOOKUP(INDIRECT("G"&amp;ROW()),minfo!$A:$M,COLUMN()-8,0),"")</f>
        <v>牧笛</v>
      </c>
      <c r="K1000" s="4" t="str">
        <f ca="1">_xlfn.IFNA(VLOOKUP(INDIRECT("G"&amp;ROW()),minfo!$A:$M,COLUMN()-8,0),"")</f>
        <v>王必主</v>
      </c>
      <c r="L1000" s="4">
        <f ca="1">_xlfn.IFNA(VLOOKUP(INDIRECT("G"&amp;ROW()),minfo!$A:$M,COLUMN()-8,0),"")</f>
        <v>0</v>
      </c>
      <c r="M1000" s="4">
        <f ca="1">_xlfn.IFNA(VLOOKUP(INDIRECT("G"&amp;ROW()),minfo!$A:$M,COLUMN()-8,0),"")</f>
        <v>0</v>
      </c>
      <c r="N1000" s="4">
        <f ca="1">_xlfn.IFNA(VLOOKUP(INDIRECT("G"&amp;ROW()),minfo!$A:$M,COLUMN()-8,0),"")</f>
        <v>0</v>
      </c>
      <c r="O1000" s="4" t="str">
        <f ca="1">_xlfn.IFNA(VLOOKUP(INDIRECT("G"&amp;ROW()),minfo!$A:$M,COLUMN()-8,0),"")</f>
        <v>https://i0.hdslb.com/bfs/station_src/music_metadata/fe290cbc5c51fbc06bb51d6fa82e2c37.jpg</v>
      </c>
      <c r="P1000" s="4" t="str">
        <f ca="1">_xlfn.IFNA(VLOOKUP(INDIRECT("G"&amp;ROW()),minfo!$A:$M,COLUMN()-8,0),"")</f>
        <v>http://jssz-boss.bilibili.co/copyright-fpm/copyright-crawler/music/task-lyric/62d6cb1b5cb005ae15d935b9.txt?X-Amz-Algorithm=AWS4-HMAC-SHA256&amp;X-Amz-Credential=f4f2df7ca9d2bd9a%2F20221123%2Fjssz%2Fs3%2Faws4_request&amp;X-Amz-Date=20221123T095140Z&amp;X-Amz-Expires=86400&amp;X-Amz-SignedHeaders=host&amp;X-Amz-Signature=7c0ef1efc58fe3c43849a86a8e8433e109c30cd227ede590d9e8d321ae17f81c</v>
      </c>
      <c r="Q1000" s="4">
        <f ca="1">_xlfn.IFNA(VLOOKUP(INDIRECT("G"&amp;ROW()),minfo!$A:$M,COLUMN()-8,0),"")</f>
        <v>0</v>
      </c>
      <c r="R1000" s="4">
        <f ca="1">_xlfn.IFNA(VLOOKUP(INDIRECT("G"&amp;ROW()),minfo!$A:$M,COLUMN()-8,0),"")</f>
        <v>0</v>
      </c>
      <c r="S1000" s="4" t="str">
        <f ca="1">_xlfn.IFNA(VLOOKUP(INDIRECT("G"&amp;ROW()),minfo!$A:$M,COLUMN()-8,0),"")</f>
        <v>21世纪歌唱家唱片集粹 王必主专辑</v>
      </c>
      <c r="T1000" s="4">
        <f ca="1">_xlfn.IFNA(VLOOKUP(INDIRECT("G"&amp;ROW()),minfo!$A:$M,COLUMN()-8,0),"")</f>
        <v>19888</v>
      </c>
      <c r="U1000" s="4">
        <f ca="1">_xlfn.IFNA(VLOOKUP(INDIRECT("G"&amp;ROW()),minfo!$A:$M,COLUMN()-8,0),"")</f>
        <v>0</v>
      </c>
    </row>
    <row r="1001" spans="1:21" ht="15.75" customHeight="1">
      <c r="A1001" s="15">
        <v>1000</v>
      </c>
      <c r="B1001" s="4" t="s">
        <v>4602</v>
      </c>
      <c r="C1001" s="4">
        <v>1001</v>
      </c>
      <c r="D1001" s="4">
        <v>15</v>
      </c>
      <c r="E1001" s="4" t="s">
        <v>4603</v>
      </c>
      <c r="F1001" s="16">
        <v>44676</v>
      </c>
      <c r="G1001" s="5" t="s">
        <v>2257</v>
      </c>
      <c r="H1001" s="5" t="s">
        <v>4585</v>
      </c>
      <c r="I1001" s="24" t="str">
        <f>HYPERLINK("https://www.bilibili.com/video/BV1o3411T7Yn?p=15", "BV1o3411T7Yn?p=15")</f>
        <v>BV1o3411T7Yn?p=15</v>
      </c>
      <c r="J1001" s="4" t="str">
        <f ca="1">_xlfn.IFNA(VLOOKUP(INDIRECT("G"&amp;ROW()),minfo!$A:$M,COLUMN()-8,0),"")</f>
        <v>亲爱的，那不是爱情</v>
      </c>
      <c r="K1001" s="4" t="str">
        <f ca="1">_xlfn.IFNA(VLOOKUP(INDIRECT("G"&amp;ROW()),minfo!$A:$M,COLUMN()-8,0),"")</f>
        <v>张韶涵</v>
      </c>
      <c r="L1001" s="4">
        <f ca="1">_xlfn.IFNA(VLOOKUP(INDIRECT("G"&amp;ROW()),minfo!$A:$M,COLUMN()-8,0),"")</f>
        <v>0</v>
      </c>
      <c r="M1001" s="4">
        <f ca="1">_xlfn.IFNA(VLOOKUP(INDIRECT("G"&amp;ROW()),minfo!$A:$M,COLUMN()-8,0),"")</f>
        <v>0</v>
      </c>
      <c r="N1001" s="4">
        <f ca="1">_xlfn.IFNA(VLOOKUP(INDIRECT("G"&amp;ROW()),minfo!$A:$M,COLUMN()-8,0),"")</f>
        <v>0</v>
      </c>
      <c r="O1001" s="4" t="str">
        <f ca="1">_xlfn.IFNA(VLOOKUP(INDIRECT("G"&amp;ROW()),minfo!$A:$M,COLUMN()-8,0),"")</f>
        <v>https://i0.hdslb.com/bfs/station_src/music_metadata/cadfdb236ffea3cdecdfa4cb6b14a2a2.jpg</v>
      </c>
      <c r="P1001" s="4" t="str">
        <f ca="1">_xlfn.IFNA(VLOOKUP(INDIRECT("G"&amp;ROW()),minfo!$A:$M,COLUMN()-8,0),"")</f>
        <v>http://i0.hdslb.com/bfs/station_src/music_metadata/3079156787de0a4a5d3b76f0960b7676</v>
      </c>
      <c r="Q1001" s="4">
        <f ca="1">_xlfn.IFNA(VLOOKUP(INDIRECT("G"&amp;ROW()),minfo!$A:$M,COLUMN()-8,0),"")</f>
        <v>439</v>
      </c>
      <c r="R1001" s="4" t="str">
        <f ca="1">_xlfn.IFNA(VLOOKUP(INDIRECT("G"&amp;ROW()),minfo!$A:$M,COLUMN()-8,0),"")</f>
        <v>《宫-野蛮王妃》电视剧片尾曲</v>
      </c>
      <c r="S1001" s="4" t="str">
        <f ca="1">_xlfn.IFNA(VLOOKUP(INDIRECT("G"&amp;ROW()),minfo!$A:$M,COLUMN()-8,0),"")</f>
        <v>Ang 5.0</v>
      </c>
      <c r="T1001" s="4">
        <f ca="1">_xlfn.IFNA(VLOOKUP(INDIRECT("G"&amp;ROW()),minfo!$A:$M,COLUMN()-8,0),"")</f>
        <v>189255789</v>
      </c>
      <c r="U1001" s="4">
        <f ca="1">_xlfn.IFNA(VLOOKUP(INDIRECT("G"&amp;ROW()),minfo!$A:$M,COLUMN()-8,0),"")</f>
        <v>0</v>
      </c>
    </row>
    <row r="1002" spans="1:21" ht="15.75" customHeight="1">
      <c r="A1002" s="15">
        <v>1001</v>
      </c>
      <c r="B1002" s="4" t="s">
        <v>4604</v>
      </c>
      <c r="C1002" s="4">
        <v>1002</v>
      </c>
      <c r="D1002" s="4">
        <v>16</v>
      </c>
      <c r="E1002" s="4" t="s">
        <v>1441</v>
      </c>
      <c r="F1002" s="16">
        <v>44676</v>
      </c>
      <c r="G1002" s="5" t="s">
        <v>1440</v>
      </c>
      <c r="H1002" s="5" t="s">
        <v>4585</v>
      </c>
      <c r="I1002" s="24" t="str">
        <f>HYPERLINK("https://www.bilibili.com/video/BV1o3411T7Yn?p=16", "BV1o3411T7Yn?p=16")</f>
        <v>BV1o3411T7Yn?p=16</v>
      </c>
      <c r="J1002" s="4" t="str">
        <f ca="1">_xlfn.IFNA(VLOOKUP(INDIRECT("G"&amp;ROW()),minfo!$A:$M,COLUMN()-8,0),"")</f>
        <v>看得最远的地方</v>
      </c>
      <c r="K1002" s="4" t="str">
        <f ca="1">_xlfn.IFNA(VLOOKUP(INDIRECT("G"&amp;ROW()),minfo!$A:$M,COLUMN()-8,0),"")</f>
        <v>张韶涵</v>
      </c>
      <c r="L1002" s="4">
        <f ca="1">_xlfn.IFNA(VLOOKUP(INDIRECT("G"&amp;ROW()),minfo!$A:$M,COLUMN()-8,0),"")</f>
        <v>0</v>
      </c>
      <c r="M1002" s="4">
        <f ca="1">_xlfn.IFNA(VLOOKUP(INDIRECT("G"&amp;ROW()),minfo!$A:$M,COLUMN()-8,0),"")</f>
        <v>0</v>
      </c>
      <c r="N1002" s="4">
        <f ca="1">_xlfn.IFNA(VLOOKUP(INDIRECT("G"&amp;ROW()),minfo!$A:$M,COLUMN()-8,0),"")</f>
        <v>0</v>
      </c>
      <c r="O1002" s="4" t="str">
        <f ca="1">_xlfn.IFNA(VLOOKUP(INDIRECT("G"&amp;ROW()),minfo!$A:$M,COLUMN()-8,0),"")</f>
        <v>http://i0.hdslb.com/bfs/station_src/music_metadata/9322541561a8ea8bf5994345bd442ee0.jpg</v>
      </c>
      <c r="P1002" s="4" t="str">
        <f ca="1">_xlfn.IFNA(VLOOKUP(INDIRECT("G"&amp;ROW()),minfo!$A:$M,COLUMN()-8,0),"")</f>
        <v>http://i0.hdslb.com/bfs/station_src/music_metadata/12ffa6a40a1d3e55c4c95c5bf8cf65b6</v>
      </c>
      <c r="Q1002" s="4">
        <f ca="1">_xlfn.IFNA(VLOOKUP(INDIRECT("G"&amp;ROW()),minfo!$A:$M,COLUMN()-8,0),"")</f>
        <v>550</v>
      </c>
      <c r="R1002" s="4" t="str">
        <f ca="1">_xlfn.IFNA(VLOOKUP(INDIRECT("G"&amp;ROW()),minfo!$A:$M,COLUMN()-8,0),"")</f>
        <v>《爱的谎言》韩剧片尾曲</v>
      </c>
      <c r="S1002" s="4" t="str">
        <f ca="1">_xlfn.IFNA(VLOOKUP(INDIRECT("G"&amp;ROW()),minfo!$A:$M,COLUMN()-8,0),"")</f>
        <v>非常完美 电影原声带</v>
      </c>
      <c r="T1002" s="4">
        <f ca="1">_xlfn.IFNA(VLOOKUP(INDIRECT("G"&amp;ROW()),minfo!$A:$M,COLUMN()-8,0),"")</f>
        <v>168634997</v>
      </c>
      <c r="U1002" s="4">
        <f ca="1">_xlfn.IFNA(VLOOKUP(INDIRECT("G"&amp;ROW()),minfo!$A:$M,COLUMN()-8,0),"")</f>
        <v>0</v>
      </c>
    </row>
    <row r="1003" spans="1:21" ht="15.75" customHeight="1">
      <c r="A1003" s="15">
        <v>1002</v>
      </c>
      <c r="B1003" s="4" t="s">
        <v>4605</v>
      </c>
      <c r="C1003" s="4">
        <v>1003</v>
      </c>
      <c r="D1003" s="4">
        <v>17</v>
      </c>
      <c r="E1003" s="4" t="s">
        <v>883</v>
      </c>
      <c r="F1003" s="16">
        <v>44678</v>
      </c>
      <c r="G1003" s="5" t="s">
        <v>882</v>
      </c>
      <c r="H1003" s="5" t="s">
        <v>4585</v>
      </c>
      <c r="I1003" s="24" t="str">
        <f>HYPERLINK("https://www.bilibili.com/video/BV1o3411T7Yn?p=17", "BV1o3411T7Yn?p=17")</f>
        <v>BV1o3411T7Yn?p=17</v>
      </c>
      <c r="J1003" s="4" t="str">
        <f ca="1">_xlfn.IFNA(VLOOKUP(INDIRECT("G"&amp;ROW()),minfo!$A:$M,COLUMN()-8,0),"")</f>
        <v>大眠</v>
      </c>
      <c r="K1003" s="4" t="str">
        <f ca="1">_xlfn.IFNA(VLOOKUP(INDIRECT("G"&amp;ROW()),minfo!$A:$M,COLUMN()-8,0),"")</f>
        <v>王心凌</v>
      </c>
      <c r="L1003" s="4">
        <f ca="1">_xlfn.IFNA(VLOOKUP(INDIRECT("G"&amp;ROW()),minfo!$A:$M,COLUMN()-8,0),"")</f>
        <v>0</v>
      </c>
      <c r="M1003" s="4">
        <f ca="1">_xlfn.IFNA(VLOOKUP(INDIRECT("G"&amp;ROW()),minfo!$A:$M,COLUMN()-8,0),"")</f>
        <v>0</v>
      </c>
      <c r="N1003" s="4">
        <f ca="1">_xlfn.IFNA(VLOOKUP(INDIRECT("G"&amp;ROW()),minfo!$A:$M,COLUMN()-8,0),"")</f>
        <v>0</v>
      </c>
      <c r="O1003" s="4" t="str">
        <f ca="1">_xlfn.IFNA(VLOOKUP(INDIRECT("G"&amp;ROW()),minfo!$A:$M,COLUMN()-8,0),"")</f>
        <v>https://i0.hdslb.com/bfs/station_src/music_metadata/af5d28f2df8d5c17a196bebcb46c7319.jpg</v>
      </c>
      <c r="P1003" s="4" t="str">
        <f ca="1">_xlfn.IFNA(VLOOKUP(INDIRECT("G"&amp;ROW()),minfo!$A:$M,COLUMN()-8,0),"")</f>
        <v>http://i0.hdslb.com/bfs/station_src/music_metadata/f1798c26021de0c1e651d2f042b7cf9b</v>
      </c>
      <c r="Q1003" s="4">
        <f ca="1">_xlfn.IFNA(VLOOKUP(INDIRECT("G"&amp;ROW()),minfo!$A:$M,COLUMN()-8,0),"")</f>
        <v>1078</v>
      </c>
      <c r="R1003" s="4">
        <f ca="1">_xlfn.IFNA(VLOOKUP(INDIRECT("G"&amp;ROW()),minfo!$A:$M,COLUMN()-8,0),"")</f>
        <v>0</v>
      </c>
      <c r="S1003" s="4" t="str">
        <f ca="1">_xlfn.IFNA(VLOOKUP(INDIRECT("G"&amp;ROW()),minfo!$A:$M,COLUMN()-8,0),"")</f>
        <v>CYNDILOVES2SING 爱。心凌</v>
      </c>
      <c r="T1003" s="4">
        <f ca="1">_xlfn.IFNA(VLOOKUP(INDIRECT("G"&amp;ROW()),minfo!$A:$M,COLUMN()-8,0),"")</f>
        <v>152298390</v>
      </c>
      <c r="U1003" s="4">
        <f ca="1">_xlfn.IFNA(VLOOKUP(INDIRECT("G"&amp;ROW()),minfo!$A:$M,COLUMN()-8,0),"")</f>
        <v>0</v>
      </c>
    </row>
    <row r="1004" spans="1:21" ht="15.75" customHeight="1">
      <c r="A1004" s="15">
        <v>1003</v>
      </c>
      <c r="B1004" s="4" t="s">
        <v>4606</v>
      </c>
      <c r="C1004" s="4">
        <v>1004</v>
      </c>
      <c r="D1004" s="4">
        <v>18</v>
      </c>
      <c r="E1004" s="4" t="s">
        <v>2264</v>
      </c>
      <c r="F1004" s="16">
        <v>44678</v>
      </c>
      <c r="G1004" s="5" t="s">
        <v>2263</v>
      </c>
      <c r="H1004" s="5" t="s">
        <v>4585</v>
      </c>
      <c r="I1004" s="24" t="str">
        <f>HYPERLINK("https://www.bilibili.com/video/BV1o3411T7Yn?p=18", "BV1o3411T7Yn?p=18")</f>
        <v>BV1o3411T7Yn?p=18</v>
      </c>
      <c r="J1004" s="4" t="str">
        <f ca="1">_xlfn.IFNA(VLOOKUP(INDIRECT("G"&amp;ROW()),minfo!$A:$M,COLUMN()-8,0),"")</f>
        <v>一不小心爱上你</v>
      </c>
      <c r="K1004" s="4" t="str">
        <f ca="1">_xlfn.IFNA(VLOOKUP(INDIRECT("G"&amp;ROW()),minfo!$A:$M,COLUMN()-8,0),"")</f>
        <v>张翰,江映蓉</v>
      </c>
      <c r="L1004" s="4">
        <f ca="1">_xlfn.IFNA(VLOOKUP(INDIRECT("G"&amp;ROW()),minfo!$A:$M,COLUMN()-8,0),"")</f>
        <v>0</v>
      </c>
      <c r="M1004" s="4">
        <f ca="1">_xlfn.IFNA(VLOOKUP(INDIRECT("G"&amp;ROW()),minfo!$A:$M,COLUMN()-8,0),"")</f>
        <v>0</v>
      </c>
      <c r="N1004" s="4">
        <f ca="1">_xlfn.IFNA(VLOOKUP(INDIRECT("G"&amp;ROW()),minfo!$A:$M,COLUMN()-8,0),"")</f>
        <v>0</v>
      </c>
      <c r="O1004" s="4" t="str">
        <f ca="1">_xlfn.IFNA(VLOOKUP(INDIRECT("G"&amp;ROW()),minfo!$A:$M,COLUMN()-8,0),"")</f>
        <v>https://i0.hdslb.com/bfs/station_src/music_metadata/cafb2ccf9a624838095d727bb0b0908f.jpg</v>
      </c>
      <c r="P1004" s="4" t="str">
        <f ca="1">_xlfn.IFNA(VLOOKUP(INDIRECT("G"&amp;ROW()),minfo!$A:$M,COLUMN()-8,0),"")</f>
        <v>https://i0.hdslb.com/bfs/station_src/music_metadata/a660c8b2ee98ee1e15a5323134ad7640.txt</v>
      </c>
      <c r="Q1004" s="4">
        <f ca="1">_xlfn.IFNA(VLOOKUP(INDIRECT("G"&amp;ROW()),minfo!$A:$M,COLUMN()-8,0),"")</f>
        <v>11</v>
      </c>
      <c r="R1004" s="4" t="str">
        <f ca="1">_xlfn.IFNA(VLOOKUP(INDIRECT("G"&amp;ROW()),minfo!$A:$M,COLUMN()-8,0),"")</f>
        <v>电视剧《一不小心爱上你》主题曲</v>
      </c>
      <c r="S1004" s="4" t="str">
        <f ca="1">_xlfn.IFNA(VLOOKUP(INDIRECT("G"&amp;ROW()),minfo!$A:$M,COLUMN()-8,0),"")</f>
        <v>一不小心爱上你 电视剧原声带</v>
      </c>
      <c r="T1004" s="4">
        <f ca="1">_xlfn.IFNA(VLOOKUP(INDIRECT("G"&amp;ROW()),minfo!$A:$M,COLUMN()-8,0),"")</f>
        <v>2500283</v>
      </c>
      <c r="U1004" s="4">
        <f ca="1">_xlfn.IFNA(VLOOKUP(INDIRECT("G"&amp;ROW()),minfo!$A:$M,COLUMN()-8,0),"")</f>
        <v>0</v>
      </c>
    </row>
    <row r="1005" spans="1:21" ht="15.75" customHeight="1">
      <c r="A1005" s="15">
        <v>1004</v>
      </c>
      <c r="B1005" s="4" t="s">
        <v>4607</v>
      </c>
      <c r="C1005" s="4">
        <v>1005</v>
      </c>
      <c r="D1005" s="4">
        <v>19</v>
      </c>
      <c r="E1005" s="4" t="s">
        <v>1484</v>
      </c>
      <c r="F1005" s="16">
        <v>44678</v>
      </c>
      <c r="G1005" s="5" t="s">
        <v>1483</v>
      </c>
      <c r="H1005" s="5" t="s">
        <v>4585</v>
      </c>
      <c r="I1005" s="24" t="str">
        <f>HYPERLINK("https://www.bilibili.com/video/BV1o3411T7Yn?p=19", "BV1o3411T7Yn?p=19")</f>
        <v>BV1o3411T7Yn?p=19</v>
      </c>
      <c r="J1005" s="4" t="str">
        <f ca="1">_xlfn.IFNA(VLOOKUP(INDIRECT("G"&amp;ROW()),minfo!$A:$M,COLUMN()-8,0),"")</f>
        <v>听海</v>
      </c>
      <c r="K1005" s="4" t="str">
        <f ca="1">_xlfn.IFNA(VLOOKUP(INDIRECT("G"&amp;ROW()),minfo!$A:$M,COLUMN()-8,0),"")</f>
        <v>张惠妹</v>
      </c>
      <c r="L1005" s="4">
        <f ca="1">_xlfn.IFNA(VLOOKUP(INDIRECT("G"&amp;ROW()),minfo!$A:$M,COLUMN()-8,0),"")</f>
        <v>0</v>
      </c>
      <c r="M1005" s="4">
        <f ca="1">_xlfn.IFNA(VLOOKUP(INDIRECT("G"&amp;ROW()),minfo!$A:$M,COLUMN()-8,0),"")</f>
        <v>30</v>
      </c>
      <c r="N1005" s="4">
        <f ca="1">_xlfn.IFNA(VLOOKUP(INDIRECT("G"&amp;ROW()),minfo!$A:$M,COLUMN()-8,0),"")</f>
        <v>12</v>
      </c>
      <c r="O1005" s="4" t="str">
        <f ca="1">_xlfn.IFNA(VLOOKUP(INDIRECT("G"&amp;ROW()),minfo!$A:$M,COLUMN()-8,0),"")</f>
        <v>https://i0.hdslb.com/bfs/station_src/music_metadata/73dec89697f84502d2f1b8bc3034448d.jpg</v>
      </c>
      <c r="P1005" s="4" t="str">
        <f ca="1">_xlfn.IFNA(VLOOKUP(INDIRECT("G"&amp;ROW()),minfo!$A:$M,COLUMN()-8,0),"")</f>
        <v>http://i0.hdslb.com/bfs/station_src/music_metadata/38e7089b8771efc1ab365cfebcb68ddf</v>
      </c>
      <c r="Q1005" s="4">
        <f ca="1">_xlfn.IFNA(VLOOKUP(INDIRECT("G"&amp;ROW()),minfo!$A:$M,COLUMN()-8,0),"")</f>
        <v>174</v>
      </c>
      <c r="R1005" s="4">
        <f ca="1">_xlfn.IFNA(VLOOKUP(INDIRECT("G"&amp;ROW()),minfo!$A:$M,COLUMN()-8,0),"")</f>
        <v>0</v>
      </c>
      <c r="S1005" s="4" t="str">
        <f ca="1">_xlfn.IFNA(VLOOKUP(INDIRECT("G"&amp;ROW()),minfo!$A:$M,COLUMN()-8,0),"")</f>
        <v>Bad Boy</v>
      </c>
      <c r="T1005" s="4">
        <f ca="1">_xlfn.IFNA(VLOOKUP(INDIRECT("G"&amp;ROW()),minfo!$A:$M,COLUMN()-8,0),"")</f>
        <v>103633402</v>
      </c>
      <c r="U1005" s="4">
        <f ca="1">_xlfn.IFNA(VLOOKUP(INDIRECT("G"&amp;ROW()),minfo!$A:$M,COLUMN()-8,0),"")</f>
        <v>0</v>
      </c>
    </row>
    <row r="1006" spans="1:21" ht="15.75" customHeight="1">
      <c r="A1006" s="15">
        <v>1005</v>
      </c>
      <c r="B1006" s="4" t="s">
        <v>4608</v>
      </c>
      <c r="C1006" s="4">
        <v>1006</v>
      </c>
      <c r="D1006" s="4">
        <v>20</v>
      </c>
      <c r="E1006" s="4" t="s">
        <v>492</v>
      </c>
      <c r="F1006" s="16">
        <v>44678</v>
      </c>
      <c r="G1006" s="5" t="s">
        <v>491</v>
      </c>
      <c r="H1006" s="5" t="s">
        <v>4585</v>
      </c>
      <c r="I1006" s="24" t="str">
        <f>HYPERLINK("https://www.bilibili.com/video/BV1o3411T7Yn?p=20", "BV1o3411T7Yn?p=20")</f>
        <v>BV1o3411T7Yn?p=20</v>
      </c>
      <c r="J1006" s="4" t="str">
        <f ca="1">_xlfn.IFNA(VLOOKUP(INDIRECT("G"&amp;ROW()),minfo!$A:$M,COLUMN()-8,0),"")</f>
        <v>像风一样</v>
      </c>
      <c r="K1006" s="4" t="str">
        <f ca="1">_xlfn.IFNA(VLOOKUP(INDIRECT("G"&amp;ROW()),minfo!$A:$M,COLUMN()-8,0),"")</f>
        <v>薛之谦</v>
      </c>
      <c r="L1006" s="4">
        <f ca="1">_xlfn.IFNA(VLOOKUP(INDIRECT("G"&amp;ROW()),minfo!$A:$M,COLUMN()-8,0),"")</f>
        <v>0</v>
      </c>
      <c r="M1006" s="4">
        <f ca="1">_xlfn.IFNA(VLOOKUP(INDIRECT("G"&amp;ROW()),minfo!$A:$M,COLUMN()-8,0),"")</f>
        <v>658</v>
      </c>
      <c r="N1006" s="4">
        <f ca="1">_xlfn.IFNA(VLOOKUP(INDIRECT("G"&amp;ROW()),minfo!$A:$M,COLUMN()-8,0),"")</f>
        <v>85</v>
      </c>
      <c r="O1006" s="4" t="str">
        <f ca="1">_xlfn.IFNA(VLOOKUP(INDIRECT("G"&amp;ROW()),minfo!$A:$M,COLUMN()-8,0),"")</f>
        <v>http://i0.hdslb.com/bfs/station_src/music_metadata/a3a8c61a923efdb7e46195d46e94c363.jpg</v>
      </c>
      <c r="P1006" s="4">
        <f ca="1">_xlfn.IFNA(VLOOKUP(INDIRECT("G"&amp;ROW()),minfo!$A:$M,COLUMN()-8,0),"")</f>
        <v>0</v>
      </c>
      <c r="Q1006" s="4">
        <f ca="1">_xlfn.IFNA(VLOOKUP(INDIRECT("G"&amp;ROW()),minfo!$A:$M,COLUMN()-8,0),"")</f>
        <v>125</v>
      </c>
      <c r="R1006" s="4" t="str">
        <f ca="1">_xlfn.IFNA(VLOOKUP(INDIRECT("G"&amp;ROW()),minfo!$A:$M,COLUMN()-8,0),"")</f>
        <v>像风一样</v>
      </c>
      <c r="S1006" s="4" t="str">
        <f ca="1">_xlfn.IFNA(VLOOKUP(INDIRECT("G"&amp;ROW()),minfo!$A:$M,COLUMN()-8,0),"")</f>
        <v>渡 The Crossing</v>
      </c>
      <c r="T1006" s="4">
        <f ca="1">_xlfn.IFNA(VLOOKUP(INDIRECT("G"&amp;ROW()),minfo!$A:$M,COLUMN()-8,0),"")</f>
        <v>87463982</v>
      </c>
      <c r="U1006" s="4">
        <f ca="1">_xlfn.IFNA(VLOOKUP(INDIRECT("G"&amp;ROW()),minfo!$A:$M,COLUMN()-8,0),"")</f>
        <v>0</v>
      </c>
    </row>
    <row r="1007" spans="1:21" ht="15.75" customHeight="1">
      <c r="A1007" s="15">
        <v>1006</v>
      </c>
      <c r="B1007" s="4" t="s">
        <v>4609</v>
      </c>
      <c r="C1007" s="4">
        <v>1007</v>
      </c>
      <c r="D1007" s="4">
        <v>21</v>
      </c>
      <c r="E1007" s="4" t="s">
        <v>81</v>
      </c>
      <c r="F1007" s="16">
        <v>44678</v>
      </c>
      <c r="G1007" s="5" t="s">
        <v>1690</v>
      </c>
      <c r="H1007" s="5" t="s">
        <v>4585</v>
      </c>
      <c r="I1007" s="24" t="str">
        <f>HYPERLINK("https://www.bilibili.com/video/BV1o3411T7Yn?p=21", "BV1o3411T7Yn?p=21")</f>
        <v>BV1o3411T7Yn?p=21</v>
      </c>
      <c r="J1007" s="4" t="str">
        <f ca="1">_xlfn.IFNA(VLOOKUP(INDIRECT("G"&amp;ROW()),minfo!$A:$M,COLUMN()-8,0),"")</f>
        <v>从前的月光</v>
      </c>
      <c r="K1007" s="4" t="str">
        <f ca="1">_xlfn.IFNA(VLOOKUP(INDIRECT("G"&amp;ROW()),minfo!$A:$M,COLUMN()-8,0),"")</f>
        <v>说说Crystal</v>
      </c>
      <c r="L1007" s="4">
        <f ca="1">_xlfn.IFNA(VLOOKUP(INDIRECT("G"&amp;ROW()),minfo!$A:$M,COLUMN()-8,0),"")</f>
        <v>0</v>
      </c>
      <c r="M1007" s="4">
        <f ca="1">_xlfn.IFNA(VLOOKUP(INDIRECT("G"&amp;ROW()),minfo!$A:$M,COLUMN()-8,0),"")</f>
        <v>0</v>
      </c>
      <c r="N1007" s="4">
        <f ca="1">_xlfn.IFNA(VLOOKUP(INDIRECT("G"&amp;ROW()),minfo!$A:$M,COLUMN()-8,0),"")</f>
        <v>0</v>
      </c>
      <c r="O1007" s="4" t="str">
        <f ca="1">_xlfn.IFNA(VLOOKUP(INDIRECT("G"&amp;ROW()),minfo!$A:$M,COLUMN()-8,0),"")</f>
        <v>https://i0.hdslb.com/bfs/station_src/music_metadata/d3381c4f9efa75a9a131a7c91b7a4a4a.jpg</v>
      </c>
      <c r="P1007" s="4">
        <f ca="1">_xlfn.IFNA(VLOOKUP(INDIRECT("G"&amp;ROW()),minfo!$A:$M,COLUMN()-8,0),"")</f>
        <v>0</v>
      </c>
      <c r="Q1007" s="4">
        <f ca="1">_xlfn.IFNA(VLOOKUP(INDIRECT("G"&amp;ROW()),minfo!$A:$M,COLUMN()-8,0),"")</f>
        <v>0</v>
      </c>
      <c r="R1007" s="4">
        <f ca="1">_xlfn.IFNA(VLOOKUP(INDIRECT("G"&amp;ROW()),minfo!$A:$M,COLUMN()-8,0),"")</f>
        <v>0</v>
      </c>
      <c r="S1007" s="4" t="str">
        <f ca="1">_xlfn.IFNA(VLOOKUP(INDIRECT("G"&amp;ROW()),minfo!$A:$M,COLUMN()-8,0),"")</f>
        <v>从前的月光</v>
      </c>
      <c r="T1007" s="4">
        <f ca="1">_xlfn.IFNA(VLOOKUP(INDIRECT("G"&amp;ROW()),minfo!$A:$M,COLUMN()-8,0),"")</f>
        <v>152535</v>
      </c>
      <c r="U1007" s="4">
        <f ca="1">_xlfn.IFNA(VLOOKUP(INDIRECT("G"&amp;ROW()),minfo!$A:$M,COLUMN()-8,0),"")</f>
        <v>0</v>
      </c>
    </row>
    <row r="1008" spans="1:21" ht="15.75" customHeight="1">
      <c r="A1008" s="15">
        <v>1007</v>
      </c>
      <c r="B1008" s="4" t="s">
        <v>4610</v>
      </c>
      <c r="C1008" s="4">
        <v>1008</v>
      </c>
      <c r="D1008" s="4">
        <v>22</v>
      </c>
      <c r="E1008" s="4" t="s">
        <v>720</v>
      </c>
      <c r="F1008" s="16">
        <v>44680</v>
      </c>
      <c r="G1008" s="5" t="s">
        <v>719</v>
      </c>
      <c r="H1008" s="5" t="s">
        <v>4585</v>
      </c>
      <c r="I1008" s="24" t="str">
        <f>HYPERLINK("https://www.bilibili.com/video/BV1o3411T7Yn?p=22", "BV1o3411T7Yn?p=22")</f>
        <v>BV1o3411T7Yn?p=22</v>
      </c>
      <c r="J1008" s="4" t="str">
        <f ca="1">_xlfn.IFNA(VLOOKUP(INDIRECT("G"&amp;ROW()),minfo!$A:$M,COLUMN()-8,0),"")</f>
        <v>落叶归根</v>
      </c>
      <c r="K1008" s="4" t="str">
        <f ca="1">_xlfn.IFNA(VLOOKUP(INDIRECT("G"&amp;ROW()),minfo!$A:$M,COLUMN()-8,0),"")</f>
        <v>王力宏</v>
      </c>
      <c r="L1008" s="4">
        <f ca="1">_xlfn.IFNA(VLOOKUP(INDIRECT("G"&amp;ROW()),minfo!$A:$M,COLUMN()-8,0),"")</f>
        <v>0</v>
      </c>
      <c r="M1008" s="4">
        <f ca="1">_xlfn.IFNA(VLOOKUP(INDIRECT("G"&amp;ROW()),minfo!$A:$M,COLUMN()-8,0),"")</f>
        <v>3387</v>
      </c>
      <c r="N1008" s="4">
        <f ca="1">_xlfn.IFNA(VLOOKUP(INDIRECT("G"&amp;ROW()),minfo!$A:$M,COLUMN()-8,0),"")</f>
        <v>845</v>
      </c>
      <c r="O1008" s="4" t="str">
        <f ca="1">_xlfn.IFNA(VLOOKUP(INDIRECT("G"&amp;ROW()),minfo!$A:$M,COLUMN()-8,0),"")</f>
        <v>https://i0.hdslb.com/bfs/station_src/music_metadata/a8ffd1d411d13153eb4745f7b32606c9.jpg</v>
      </c>
      <c r="P1008" s="4" t="str">
        <f ca="1">_xlfn.IFNA(VLOOKUP(INDIRECT("G"&amp;ROW()),minfo!$A:$M,COLUMN()-8,0),"")</f>
        <v>https://i0.hdslb.com/bfs/station_src/music_metadata/bcd960f324898e0e42f392683fa178ba.txt</v>
      </c>
      <c r="Q1008" s="4">
        <f ca="1">_xlfn.IFNA(VLOOKUP(INDIRECT("G"&amp;ROW()),minfo!$A:$M,COLUMN()-8,0),"")</f>
        <v>60</v>
      </c>
      <c r="R1008" s="4">
        <f ca="1">_xlfn.IFNA(VLOOKUP(INDIRECT("G"&amp;ROW()),minfo!$A:$M,COLUMN()-8,0),"")</f>
        <v>0</v>
      </c>
      <c r="S1008" s="4" t="str">
        <f ca="1">_xlfn.IFNA(VLOOKUP(INDIRECT("G"&amp;ROW()),minfo!$A:$M,COLUMN()-8,0),"")</f>
        <v>改变自己</v>
      </c>
      <c r="T1008" s="4">
        <f ca="1">_xlfn.IFNA(VLOOKUP(INDIRECT("G"&amp;ROW()),minfo!$A:$M,COLUMN()-8,0),"")</f>
        <v>41008288</v>
      </c>
      <c r="U1008" s="4">
        <f ca="1">_xlfn.IFNA(VLOOKUP(INDIRECT("G"&amp;ROW()),minfo!$A:$M,COLUMN()-8,0),"")</f>
        <v>0</v>
      </c>
    </row>
    <row r="1009" spans="1:21" ht="15.75" customHeight="1">
      <c r="A1009" s="15">
        <v>1008</v>
      </c>
      <c r="B1009" s="4" t="s">
        <v>4611</v>
      </c>
      <c r="C1009" s="4">
        <v>1009</v>
      </c>
      <c r="D1009" s="4">
        <v>23</v>
      </c>
      <c r="E1009" s="4" t="s">
        <v>81</v>
      </c>
      <c r="F1009" s="16">
        <v>44682</v>
      </c>
      <c r="G1009" s="5" t="s">
        <v>1690</v>
      </c>
      <c r="H1009" s="5" t="s">
        <v>4585</v>
      </c>
      <c r="I1009" s="24" t="str">
        <f>HYPERLINK("https://www.bilibili.com/video/BV1o3411T7Yn?p=23", "BV1o3411T7Yn?p=23")</f>
        <v>BV1o3411T7Yn?p=23</v>
      </c>
      <c r="J1009" s="4" t="str">
        <f ca="1">_xlfn.IFNA(VLOOKUP(INDIRECT("G"&amp;ROW()),minfo!$A:$M,COLUMN()-8,0),"")</f>
        <v>从前的月光</v>
      </c>
      <c r="K1009" s="4" t="str">
        <f ca="1">_xlfn.IFNA(VLOOKUP(INDIRECT("G"&amp;ROW()),minfo!$A:$M,COLUMN()-8,0),"")</f>
        <v>说说Crystal</v>
      </c>
      <c r="L1009" s="4">
        <f ca="1">_xlfn.IFNA(VLOOKUP(INDIRECT("G"&amp;ROW()),minfo!$A:$M,COLUMN()-8,0),"")</f>
        <v>0</v>
      </c>
      <c r="M1009" s="4">
        <f ca="1">_xlfn.IFNA(VLOOKUP(INDIRECT("G"&amp;ROW()),minfo!$A:$M,COLUMN()-8,0),"")</f>
        <v>0</v>
      </c>
      <c r="N1009" s="4">
        <f ca="1">_xlfn.IFNA(VLOOKUP(INDIRECT("G"&amp;ROW()),minfo!$A:$M,COLUMN()-8,0),"")</f>
        <v>0</v>
      </c>
      <c r="O1009" s="4" t="str">
        <f ca="1">_xlfn.IFNA(VLOOKUP(INDIRECT("G"&amp;ROW()),minfo!$A:$M,COLUMN()-8,0),"")</f>
        <v>https://i0.hdslb.com/bfs/station_src/music_metadata/d3381c4f9efa75a9a131a7c91b7a4a4a.jpg</v>
      </c>
      <c r="P1009" s="4">
        <f ca="1">_xlfn.IFNA(VLOOKUP(INDIRECT("G"&amp;ROW()),minfo!$A:$M,COLUMN()-8,0),"")</f>
        <v>0</v>
      </c>
      <c r="Q1009" s="4">
        <f ca="1">_xlfn.IFNA(VLOOKUP(INDIRECT("G"&amp;ROW()),minfo!$A:$M,COLUMN()-8,0),"")</f>
        <v>0</v>
      </c>
      <c r="R1009" s="4">
        <f ca="1">_xlfn.IFNA(VLOOKUP(INDIRECT("G"&amp;ROW()),minfo!$A:$M,COLUMN()-8,0),"")</f>
        <v>0</v>
      </c>
      <c r="S1009" s="4" t="str">
        <f ca="1">_xlfn.IFNA(VLOOKUP(INDIRECT("G"&amp;ROW()),minfo!$A:$M,COLUMN()-8,0),"")</f>
        <v>从前的月光</v>
      </c>
      <c r="T1009" s="4">
        <f ca="1">_xlfn.IFNA(VLOOKUP(INDIRECT("G"&amp;ROW()),minfo!$A:$M,COLUMN()-8,0),"")</f>
        <v>152535</v>
      </c>
      <c r="U1009" s="4">
        <f ca="1">_xlfn.IFNA(VLOOKUP(INDIRECT("G"&amp;ROW()),minfo!$A:$M,COLUMN()-8,0),"")</f>
        <v>0</v>
      </c>
    </row>
    <row r="1010" spans="1:21" ht="15.75" customHeight="1">
      <c r="A1010" s="15">
        <v>1009</v>
      </c>
      <c r="B1010" s="4" t="s">
        <v>4612</v>
      </c>
      <c r="C1010" s="4">
        <v>1010</v>
      </c>
      <c r="D1010" s="4">
        <v>24</v>
      </c>
      <c r="E1010" s="4" t="s">
        <v>192</v>
      </c>
      <c r="F1010" s="16">
        <v>44682</v>
      </c>
      <c r="G1010" s="5" t="s">
        <v>191</v>
      </c>
      <c r="H1010" s="5" t="s">
        <v>4585</v>
      </c>
      <c r="I1010" s="24" t="str">
        <f>HYPERLINK("https://www.bilibili.com/video/BV1o3411T7Yn?p=24", "BV1o3411T7Yn?p=24")</f>
        <v>BV1o3411T7Yn?p=24</v>
      </c>
      <c r="J1010" s="4" t="str">
        <f ca="1">_xlfn.IFNA(VLOOKUP(INDIRECT("G"&amp;ROW()),minfo!$A:$M,COLUMN()-8,0),"")</f>
        <v>流年如歌</v>
      </c>
      <c r="K1010" s="4" t="str">
        <f ca="1">_xlfn.IFNA(VLOOKUP(INDIRECT("G"&amp;ROW()),minfo!$A:$M,COLUMN()-8,0),"")</f>
        <v>苍穹</v>
      </c>
      <c r="L1010" s="4">
        <f ca="1">_xlfn.IFNA(VLOOKUP(INDIRECT("G"&amp;ROW()),minfo!$A:$M,COLUMN()-8,0),"")</f>
        <v>0</v>
      </c>
      <c r="M1010" s="4">
        <f ca="1">_xlfn.IFNA(VLOOKUP(INDIRECT("G"&amp;ROW()),minfo!$A:$M,COLUMN()-8,0),"")</f>
        <v>0</v>
      </c>
      <c r="N1010" s="4">
        <f ca="1">_xlfn.IFNA(VLOOKUP(INDIRECT("G"&amp;ROW()),minfo!$A:$M,COLUMN()-8,0),"")</f>
        <v>0</v>
      </c>
      <c r="O1010" s="4" t="str">
        <f ca="1">_xlfn.IFNA(VLOOKUP(INDIRECT("G"&amp;ROW()),minfo!$A:$M,COLUMN()-8,0),"")</f>
        <v>https://i0.hdslb.com/bfs/station_src/music_metadata/7d8de08a2fa9fed3e913a7cbedbd7359.jpg</v>
      </c>
      <c r="P1010" s="4" t="str">
        <f ca="1">_xlfn.IFNA(VLOOKUP(INDIRECT("G"&amp;ROW()),minfo!$A:$M,COLUMN()-8,0),"")</f>
        <v>https://i0.hdslb.com/bfs/station_src/music_metadata/39fd2191a90a6dfc42574ff5b43baadb.txt</v>
      </c>
      <c r="Q1010" s="4">
        <f ca="1">_xlfn.IFNA(VLOOKUP(INDIRECT("G"&amp;ROW()),minfo!$A:$M,COLUMN()-8,0),"")</f>
        <v>68</v>
      </c>
      <c r="R1010" s="4">
        <f ca="1">_xlfn.IFNA(VLOOKUP(INDIRECT("G"&amp;ROW()),minfo!$A:$M,COLUMN()-8,0),"")</f>
        <v>0</v>
      </c>
      <c r="S1010" s="4" t="str">
        <f ca="1">_xlfn.IFNA(VLOOKUP(INDIRECT("G"&amp;ROW()),minfo!$A:$M,COLUMN()-8,0),"")</f>
        <v>哔哩哔哩拜年纪金曲回顾</v>
      </c>
      <c r="T1010" s="4">
        <f ca="1">_xlfn.IFNA(VLOOKUP(INDIRECT("G"&amp;ROW()),minfo!$A:$M,COLUMN()-8,0),"")</f>
        <v>14971574</v>
      </c>
      <c r="U1010" s="4">
        <f ca="1">_xlfn.IFNA(VLOOKUP(INDIRECT("G"&amp;ROW()),minfo!$A:$M,COLUMN()-8,0),"")</f>
        <v>0</v>
      </c>
    </row>
    <row r="1011" spans="1:21" ht="15.75" customHeight="1">
      <c r="A1011" s="15">
        <v>1010</v>
      </c>
      <c r="B1011" s="4" t="s">
        <v>4613</v>
      </c>
      <c r="C1011" s="4">
        <v>1011</v>
      </c>
      <c r="D1011" s="4">
        <v>25</v>
      </c>
      <c r="E1011" s="4" t="s">
        <v>3577</v>
      </c>
      <c r="F1011" s="16">
        <v>44682</v>
      </c>
      <c r="G1011" s="5" t="s">
        <v>276</v>
      </c>
      <c r="H1011" s="5" t="s">
        <v>4585</v>
      </c>
      <c r="I1011" s="24" t="str">
        <f>HYPERLINK("https://www.bilibili.com/video/BV1o3411T7Yn?p=25", "BV1o3411T7Yn?p=25")</f>
        <v>BV1o3411T7Yn?p=25</v>
      </c>
      <c r="J1011" s="4" t="str">
        <f ca="1">_xlfn.IFNA(VLOOKUP(INDIRECT("G"&amp;ROW()),minfo!$A:$M,COLUMN()-8,0),"")</f>
        <v>Slow Down</v>
      </c>
      <c r="K1011" s="4" t="str">
        <f ca="1">_xlfn.IFNA(VLOOKUP(INDIRECT("G"&amp;ROW()),minfo!$A:$M,COLUMN()-8,0),"")</f>
        <v>向井太一</v>
      </c>
      <c r="L1011" s="4">
        <f ca="1">_xlfn.IFNA(VLOOKUP(INDIRECT("G"&amp;ROW()),minfo!$A:$M,COLUMN()-8,0),"")</f>
        <v>0</v>
      </c>
      <c r="M1011" s="4">
        <f ca="1">_xlfn.IFNA(VLOOKUP(INDIRECT("G"&amp;ROW()),minfo!$A:$M,COLUMN()-8,0),"")</f>
        <v>112849</v>
      </c>
      <c r="N1011" s="4">
        <f ca="1">_xlfn.IFNA(VLOOKUP(INDIRECT("G"&amp;ROW()),minfo!$A:$M,COLUMN()-8,0),"")</f>
        <v>9885</v>
      </c>
      <c r="O1011" s="4" t="str">
        <f ca="1">_xlfn.IFNA(VLOOKUP(INDIRECT("G"&amp;ROW()),minfo!$A:$M,COLUMN()-8,0),"")</f>
        <v>https://i0.hdslb.com/bfs/station_src/music_metadata/5cd4f791f41dffb71c9f185bf05380f0.jpg</v>
      </c>
      <c r="P1011" s="4" t="str">
        <f ca="1">_xlfn.IFNA(VLOOKUP(INDIRECT("G"&amp;ROW()),minfo!$A:$M,COLUMN()-8,0),"")</f>
        <v>http://i0.hdslb.com/bfs/station_src/music_metadata/2ee2f5a1afacc5fb26124bf82db2655b</v>
      </c>
      <c r="Q1011" s="4">
        <f ca="1">_xlfn.IFNA(VLOOKUP(INDIRECT("G"&amp;ROW()),minfo!$A:$M,COLUMN()-8,0),"")</f>
        <v>5582</v>
      </c>
      <c r="R1011" s="4">
        <f ca="1">_xlfn.IFNA(VLOOKUP(INDIRECT("G"&amp;ROW()),minfo!$A:$M,COLUMN()-8,0),"")</f>
        <v>0</v>
      </c>
      <c r="S1011" s="4" t="str">
        <f ca="1">_xlfn.IFNA(VLOOKUP(INDIRECT("G"&amp;ROW()),minfo!$A:$M,COLUMN()-8,0),"")</f>
        <v>SLOW DOWN</v>
      </c>
      <c r="T1011" s="4">
        <f ca="1">_xlfn.IFNA(VLOOKUP(INDIRECT("G"&amp;ROW()),minfo!$A:$M,COLUMN()-8,0),"")</f>
        <v>101589317</v>
      </c>
      <c r="U1011" s="4">
        <f ca="1">_xlfn.IFNA(VLOOKUP(INDIRECT("G"&amp;ROW()),minfo!$A:$M,COLUMN()-8,0),"")</f>
        <v>0</v>
      </c>
    </row>
    <row r="1012" spans="1:21" ht="15.75" customHeight="1">
      <c r="A1012" s="15">
        <v>1011</v>
      </c>
      <c r="B1012" s="4" t="s">
        <v>4614</v>
      </c>
      <c r="C1012" s="4">
        <v>1012</v>
      </c>
      <c r="D1012" s="4">
        <v>26</v>
      </c>
      <c r="E1012" s="4" t="s">
        <v>95</v>
      </c>
      <c r="F1012" s="16">
        <v>44682</v>
      </c>
      <c r="G1012" s="5" t="s">
        <v>203</v>
      </c>
      <c r="H1012" s="5" t="s">
        <v>4585</v>
      </c>
      <c r="I1012" s="24" t="str">
        <f>HYPERLINK("https://www.bilibili.com/video/BV1o3411T7Yn?p=26", "BV1o3411T7Yn?p=26")</f>
        <v>BV1o3411T7Yn?p=26</v>
      </c>
      <c r="J1012" s="4" t="str">
        <f ca="1">_xlfn.IFNA(VLOOKUP(INDIRECT("G"&amp;ROW()),minfo!$A:$M,COLUMN()-8,0),"")</f>
        <v>不问天</v>
      </c>
      <c r="K1012" s="4" t="str">
        <f ca="1">_xlfn.IFNA(VLOOKUP(INDIRECT("G"&amp;ROW()),minfo!$A:$M,COLUMN()-8,0),"")</f>
        <v>说说Crystal</v>
      </c>
      <c r="L1012" s="4">
        <f ca="1">_xlfn.IFNA(VLOOKUP(INDIRECT("G"&amp;ROW()),minfo!$A:$M,COLUMN()-8,0),"")</f>
        <v>0</v>
      </c>
      <c r="M1012" s="4">
        <f ca="1">_xlfn.IFNA(VLOOKUP(INDIRECT("G"&amp;ROW()),minfo!$A:$M,COLUMN()-8,0),"")</f>
        <v>0</v>
      </c>
      <c r="N1012" s="4">
        <f ca="1">_xlfn.IFNA(VLOOKUP(INDIRECT("G"&amp;ROW()),minfo!$A:$M,COLUMN()-8,0),"")</f>
        <v>0</v>
      </c>
      <c r="O1012" s="4" t="str">
        <f ca="1">_xlfn.IFNA(VLOOKUP(INDIRECT("G"&amp;ROW()),minfo!$A:$M,COLUMN()-8,0),"")</f>
        <v>https://i0.hdslb.com/bfs/station_src/music_metadata/ce3a0da2a7e64a49fa42a6e3db521f57.jpg</v>
      </c>
      <c r="P1012" s="4" t="str">
        <f ca="1">_xlfn.IFNA(VLOOKUP(INDIRECT("G"&amp;ROW()),minfo!$A:$M,COLUMN()-8,0),"")</f>
        <v>https://i0.hdslb.com/bfs/station_src/music_metadata/02cd9198a33924449443fc704a92a25a.txt</v>
      </c>
      <c r="Q1012" s="4">
        <f ca="1">_xlfn.IFNA(VLOOKUP(INDIRECT("G"&amp;ROW()),minfo!$A:$M,COLUMN()-8,0),"")</f>
        <v>149</v>
      </c>
      <c r="R1012" s="4">
        <f ca="1">_xlfn.IFNA(VLOOKUP(INDIRECT("G"&amp;ROW()),minfo!$A:$M,COLUMN()-8,0),"")</f>
        <v>0</v>
      </c>
      <c r="S1012" s="4" t="str">
        <f ca="1">_xlfn.IFNA(VLOOKUP(INDIRECT("G"&amp;ROW()),minfo!$A:$M,COLUMN()-8,0),"")</f>
        <v>2021哔哩哔哩拜年纪</v>
      </c>
      <c r="T1012" s="4">
        <f ca="1">_xlfn.IFNA(VLOOKUP(INDIRECT("G"&amp;ROW()),minfo!$A:$M,COLUMN()-8,0),"")</f>
        <v>33137051</v>
      </c>
      <c r="U1012" s="4">
        <f ca="1">_xlfn.IFNA(VLOOKUP(INDIRECT("G"&amp;ROW()),minfo!$A:$M,COLUMN()-8,0),"")</f>
        <v>0</v>
      </c>
    </row>
    <row r="1013" spans="1:21" ht="15.75" customHeight="1">
      <c r="A1013" s="15">
        <v>1012</v>
      </c>
      <c r="B1013" s="4" t="s">
        <v>4615</v>
      </c>
      <c r="C1013" s="4">
        <v>1013</v>
      </c>
      <c r="D1013" s="4">
        <v>27</v>
      </c>
      <c r="E1013" s="4" t="s">
        <v>930</v>
      </c>
      <c r="F1013" s="16">
        <v>44682</v>
      </c>
      <c r="G1013" s="5" t="s">
        <v>929</v>
      </c>
      <c r="H1013" s="5" t="s">
        <v>4585</v>
      </c>
      <c r="I1013" s="24" t="str">
        <f>HYPERLINK("https://www.bilibili.com/video/BV1o3411T7Yn?p=27", "BV1o3411T7Yn?p=27")</f>
        <v>BV1o3411T7Yn?p=27</v>
      </c>
      <c r="J1013" s="4" t="str">
        <f ca="1">_xlfn.IFNA(VLOOKUP(INDIRECT("G"&amp;ROW()),minfo!$A:$M,COLUMN()-8,0),"")</f>
        <v>蝶恋花</v>
      </c>
      <c r="K1013" s="4" t="str">
        <f ca="1">_xlfn.IFNA(VLOOKUP(INDIRECT("G"&amp;ROW()),minfo!$A:$M,COLUMN()-8,0),"")</f>
        <v>说说Crystal</v>
      </c>
      <c r="L1013" s="4">
        <f ca="1">_xlfn.IFNA(VLOOKUP(INDIRECT("G"&amp;ROW()),minfo!$A:$M,COLUMN()-8,0),"")</f>
        <v>0</v>
      </c>
      <c r="M1013" s="4">
        <f ca="1">_xlfn.IFNA(VLOOKUP(INDIRECT("G"&amp;ROW()),minfo!$A:$M,COLUMN()-8,0),"")</f>
        <v>0</v>
      </c>
      <c r="N1013" s="4">
        <f ca="1">_xlfn.IFNA(VLOOKUP(INDIRECT("G"&amp;ROW()),minfo!$A:$M,COLUMN()-8,0),"")</f>
        <v>0</v>
      </c>
      <c r="O1013" s="4" t="str">
        <f ca="1">_xlfn.IFNA(VLOOKUP(INDIRECT("G"&amp;ROW()),minfo!$A:$M,COLUMN()-8,0),"")</f>
        <v>https://i0.hdslb.com/bfs/station_src/music_metadata/1f79684c02756b9086386bb0054e5df4.jpg</v>
      </c>
      <c r="P1013" s="4" t="str">
        <f ca="1">_xlfn.IFNA(VLOOKUP(INDIRECT("G"&amp;ROW()),minfo!$A:$M,COLUMN()-8,0),"")</f>
        <v>https://i0.hdslb.com/bfs/station_src/music_metadata/4f297640d47e7f96e96f64cfd258bb5f.txt</v>
      </c>
      <c r="Q1013" s="4">
        <f ca="1">_xlfn.IFNA(VLOOKUP(INDIRECT("G"&amp;ROW()),minfo!$A:$M,COLUMN()-8,0),"")</f>
        <v>1</v>
      </c>
      <c r="R1013" s="4">
        <f ca="1">_xlfn.IFNA(VLOOKUP(INDIRECT("G"&amp;ROW()),minfo!$A:$M,COLUMN()-8,0),"")</f>
        <v>0</v>
      </c>
      <c r="S1013" s="4" t="str">
        <f ca="1">_xlfn.IFNA(VLOOKUP(INDIRECT("G"&amp;ROW()),minfo!$A:$M,COLUMN()-8,0),"")</f>
        <v>蝶恋花</v>
      </c>
      <c r="T1013" s="4">
        <f ca="1">_xlfn.IFNA(VLOOKUP(INDIRECT("G"&amp;ROW()),minfo!$A:$M,COLUMN()-8,0),"")</f>
        <v>514547</v>
      </c>
      <c r="U1013" s="4">
        <f ca="1">_xlfn.IFNA(VLOOKUP(INDIRECT("G"&amp;ROW()),minfo!$A:$M,COLUMN()-8,0),"")</f>
        <v>0</v>
      </c>
    </row>
    <row r="1014" spans="1:21" ht="15.75" customHeight="1">
      <c r="A1014" s="15">
        <v>1013</v>
      </c>
      <c r="B1014" s="4" t="s">
        <v>4616</v>
      </c>
      <c r="C1014" s="4">
        <v>1014</v>
      </c>
      <c r="D1014" s="4">
        <v>28</v>
      </c>
      <c r="E1014" s="4" t="s">
        <v>118</v>
      </c>
      <c r="F1014" s="16">
        <v>44682</v>
      </c>
      <c r="G1014" s="5" t="s">
        <v>925</v>
      </c>
      <c r="H1014" s="5" t="s">
        <v>4585</v>
      </c>
      <c r="I1014" s="24" t="str">
        <f>HYPERLINK("https://www.bilibili.com/video/BV1o3411T7Yn?p=28", "BV1o3411T7Yn?p=28")</f>
        <v>BV1o3411T7Yn?p=28</v>
      </c>
      <c r="J1014" s="4" t="str">
        <f ca="1">_xlfn.IFNA(VLOOKUP(INDIRECT("G"&amp;ROW()),minfo!$A:$M,COLUMN()-8,0),"")</f>
        <v>神女劈观</v>
      </c>
      <c r="K1014" s="4" t="str">
        <f ca="1">_xlfn.IFNA(VLOOKUP(INDIRECT("G"&amp;ROW()),minfo!$A:$M,COLUMN()-8,0),"")</f>
        <v>HOYO-MiX</v>
      </c>
      <c r="L1014" s="4">
        <f ca="1">_xlfn.IFNA(VLOOKUP(INDIRECT("G"&amp;ROW()),minfo!$A:$M,COLUMN()-8,0),"")</f>
        <v>0</v>
      </c>
      <c r="M1014" s="4">
        <f ca="1">_xlfn.IFNA(VLOOKUP(INDIRECT("G"&amp;ROW()),minfo!$A:$M,COLUMN()-8,0),"")</f>
        <v>2103209</v>
      </c>
      <c r="N1014" s="4">
        <f ca="1">_xlfn.IFNA(VLOOKUP(INDIRECT("G"&amp;ROW()),minfo!$A:$M,COLUMN()-8,0),"")</f>
        <v>767801</v>
      </c>
      <c r="O1014" s="4" t="str">
        <f ca="1">_xlfn.IFNA(VLOOKUP(INDIRECT("G"&amp;ROW()),minfo!$A:$M,COLUMN()-8,0),"")</f>
        <v>http://i0.hdslb.com/bfs/station_src/music_metadata/bc1d86b5ee7157af18f4695ed5ae5ebd.jpg</v>
      </c>
      <c r="P1014" s="4" t="str">
        <f ca="1">_xlfn.IFNA(VLOOKUP(INDIRECT("G"&amp;ROW()),minfo!$A:$M,COLUMN()-8,0),"")</f>
        <v>http://i0.hdslb.com/bfs/station_src/music_metadata/88b56d438a01f679754b40f053092495</v>
      </c>
      <c r="Q1014" s="4">
        <f ca="1">_xlfn.IFNA(VLOOKUP(INDIRECT("G"&amp;ROW()),minfo!$A:$M,COLUMN()-8,0),"")</f>
        <v>11361</v>
      </c>
      <c r="R1014" s="4">
        <f ca="1">_xlfn.IFNA(VLOOKUP(INDIRECT("G"&amp;ROW()),minfo!$A:$M,COLUMN()-8,0),"")</f>
        <v>0</v>
      </c>
      <c r="S1014" s="4" t="str">
        <f ca="1">_xlfn.IFNA(VLOOKUP(INDIRECT("G"&amp;ROW()),minfo!$A:$M,COLUMN()-8,0),"")</f>
        <v>「飞彩镌流年」游戏原声EP专辑</v>
      </c>
      <c r="T1014" s="4">
        <f ca="1">_xlfn.IFNA(VLOOKUP(INDIRECT("G"&amp;ROW()),minfo!$A:$M,COLUMN()-8,0),"")</f>
        <v>345148142</v>
      </c>
      <c r="U1014" s="4">
        <f ca="1">_xlfn.IFNA(VLOOKUP(INDIRECT("G"&amp;ROW()),minfo!$A:$M,COLUMN()-8,0),"")</f>
        <v>0</v>
      </c>
    </row>
    <row r="1015" spans="1:21" ht="15.75" customHeight="1">
      <c r="A1015" s="15">
        <v>1014</v>
      </c>
      <c r="B1015" s="4" t="s">
        <v>4617</v>
      </c>
      <c r="C1015" s="4">
        <v>1015</v>
      </c>
      <c r="D1015" s="4">
        <v>29</v>
      </c>
      <c r="E1015" s="4" t="s">
        <v>332</v>
      </c>
      <c r="F1015" s="16">
        <v>44682</v>
      </c>
      <c r="G1015" s="5" t="s">
        <v>331</v>
      </c>
      <c r="H1015" s="5" t="s">
        <v>4585</v>
      </c>
      <c r="I1015" s="24" t="str">
        <f>HYPERLINK("https://www.bilibili.com/video/BV1o3411T7Yn?p=29", "BV1o3411T7Yn?p=29")</f>
        <v>BV1o3411T7Yn?p=29</v>
      </c>
      <c r="J1015" s="4" t="str">
        <f ca="1">_xlfn.IFNA(VLOOKUP(INDIRECT("G"&amp;ROW()),minfo!$A:$M,COLUMN()-8,0),"")</f>
        <v>春天的芭蕾</v>
      </c>
      <c r="K1015" s="4" t="str">
        <f ca="1">_xlfn.IFNA(VLOOKUP(INDIRECT("G"&amp;ROW()),minfo!$A:$M,COLUMN()-8,0),"")</f>
        <v>常思思</v>
      </c>
      <c r="L1015" s="4">
        <f ca="1">_xlfn.IFNA(VLOOKUP(INDIRECT("G"&amp;ROW()),minfo!$A:$M,COLUMN()-8,0),"")</f>
        <v>0</v>
      </c>
      <c r="M1015" s="4">
        <f ca="1">_xlfn.IFNA(VLOOKUP(INDIRECT("G"&amp;ROW()),minfo!$A:$M,COLUMN()-8,0),"")</f>
        <v>0</v>
      </c>
      <c r="N1015" s="4">
        <f ca="1">_xlfn.IFNA(VLOOKUP(INDIRECT("G"&amp;ROW()),minfo!$A:$M,COLUMN()-8,0),"")</f>
        <v>0</v>
      </c>
      <c r="O1015" s="4" t="str">
        <f ca="1">_xlfn.IFNA(VLOOKUP(INDIRECT("G"&amp;ROW()),minfo!$A:$M,COLUMN()-8,0),"")</f>
        <v>http://i0.hdslb.com/bfs/station_src/music_metadata/7202bafed8b495edfdc98691518442b5.jpg</v>
      </c>
      <c r="P1015" s="4" t="str">
        <f ca="1">_xlfn.IFNA(VLOOKUP(INDIRECT("G"&amp;ROW()),minfo!$A:$M,COLUMN()-8,0),"")</f>
        <v>http://i0.hdslb.com/bfs/station_src/music_metadata/1faf7f1d5734fb67fc3aa5824aaf8ed2</v>
      </c>
      <c r="Q1015" s="4">
        <f ca="1">_xlfn.IFNA(VLOOKUP(INDIRECT("G"&amp;ROW()),minfo!$A:$M,COLUMN()-8,0),"")</f>
        <v>173</v>
      </c>
      <c r="R1015" s="4">
        <f ca="1">_xlfn.IFNA(VLOOKUP(INDIRECT("G"&amp;ROW()),minfo!$A:$M,COLUMN()-8,0),"")</f>
        <v>0</v>
      </c>
      <c r="S1015" s="4">
        <f ca="1">_xlfn.IFNA(VLOOKUP(INDIRECT("G"&amp;ROW()),minfo!$A:$M,COLUMN()-8,0),"")</f>
        <v>0</v>
      </c>
      <c r="T1015" s="4">
        <f ca="1">_xlfn.IFNA(VLOOKUP(INDIRECT("G"&amp;ROW()),minfo!$A:$M,COLUMN()-8,0),"")</f>
        <v>25997684</v>
      </c>
      <c r="U1015" s="4">
        <f ca="1">_xlfn.IFNA(VLOOKUP(INDIRECT("G"&amp;ROW()),minfo!$A:$M,COLUMN()-8,0),"")</f>
        <v>0</v>
      </c>
    </row>
    <row r="1016" spans="1:21" ht="15.75" customHeight="1">
      <c r="A1016" s="15">
        <v>1015</v>
      </c>
      <c r="B1016" s="4" t="s">
        <v>4618</v>
      </c>
      <c r="C1016" s="4">
        <v>1016</v>
      </c>
      <c r="D1016" s="4">
        <v>30</v>
      </c>
      <c r="E1016" s="4" t="s">
        <v>75</v>
      </c>
      <c r="F1016" s="16">
        <v>44682</v>
      </c>
      <c r="G1016" s="5" t="s">
        <v>1056</v>
      </c>
      <c r="H1016" s="5" t="s">
        <v>4585</v>
      </c>
      <c r="I1016" s="24" t="str">
        <f>HYPERLINK("https://www.bilibili.com/video/BV1o3411T7Yn?p=30", "BV1o3411T7Yn?p=30")</f>
        <v>BV1o3411T7Yn?p=30</v>
      </c>
      <c r="J1016" s="4" t="str">
        <f ca="1">_xlfn.IFNA(VLOOKUP(INDIRECT("G"&amp;ROW()),minfo!$A:$M,COLUMN()-8,0),"")</f>
        <v>布虎记</v>
      </c>
      <c r="K1016" s="4" t="str">
        <f ca="1">_xlfn.IFNA(VLOOKUP(INDIRECT("G"&amp;ROW()),minfo!$A:$M,COLUMN()-8,0),"")</f>
        <v>洛天依,西门振</v>
      </c>
      <c r="L1016" s="4">
        <f ca="1">_xlfn.IFNA(VLOOKUP(INDIRECT("G"&amp;ROW()),minfo!$A:$M,COLUMN()-8,0),"")</f>
        <v>0</v>
      </c>
      <c r="M1016" s="4">
        <f ca="1">_xlfn.IFNA(VLOOKUP(INDIRECT("G"&amp;ROW()),minfo!$A:$M,COLUMN()-8,0),"")</f>
        <v>0</v>
      </c>
      <c r="N1016" s="4">
        <f ca="1">_xlfn.IFNA(VLOOKUP(INDIRECT("G"&amp;ROW()),minfo!$A:$M,COLUMN()-8,0),"")</f>
        <v>0</v>
      </c>
      <c r="O1016" s="4" t="str">
        <f ca="1">_xlfn.IFNA(VLOOKUP(INDIRECT("G"&amp;ROW()),minfo!$A:$M,COLUMN()-8,0),"")</f>
        <v>https://i0.hdslb.com/bfs/station_src/music_metadata/346f3d0245c598c7be9afcb1e6a727b4.jpg</v>
      </c>
      <c r="P1016" s="4">
        <f ca="1">_xlfn.IFNA(VLOOKUP(INDIRECT("G"&amp;ROW()),minfo!$A:$M,COLUMN()-8,0),"")</f>
        <v>0</v>
      </c>
      <c r="Q1016" s="4">
        <f ca="1">_xlfn.IFNA(VLOOKUP(INDIRECT("G"&amp;ROW()),minfo!$A:$M,COLUMN()-8,0),"")</f>
        <v>0</v>
      </c>
      <c r="R1016" s="4">
        <f ca="1">_xlfn.IFNA(VLOOKUP(INDIRECT("G"&amp;ROW()),minfo!$A:$M,COLUMN()-8,0),"")</f>
        <v>0</v>
      </c>
      <c r="S1016" s="4" t="str">
        <f ca="1">_xlfn.IFNA(VLOOKUP(INDIRECT("G"&amp;ROW()),minfo!$A:$M,COLUMN()-8,0),"")</f>
        <v>【2022虚拟歌手贺岁纪】布虎记</v>
      </c>
      <c r="T1016" s="4">
        <f ca="1">_xlfn.IFNA(VLOOKUP(INDIRECT("G"&amp;ROW()),minfo!$A:$M,COLUMN()-8,0),"")</f>
        <v>1512793</v>
      </c>
      <c r="U1016" s="4">
        <f ca="1">_xlfn.IFNA(VLOOKUP(INDIRECT("G"&amp;ROW()),minfo!$A:$M,COLUMN()-8,0),"")</f>
        <v>0</v>
      </c>
    </row>
    <row r="1017" spans="1:21" ht="15.75" customHeight="1">
      <c r="A1017" s="15">
        <v>1016</v>
      </c>
      <c r="B1017" s="4" t="s">
        <v>4619</v>
      </c>
      <c r="C1017" s="4">
        <v>1017</v>
      </c>
      <c r="D1017" s="4">
        <v>31</v>
      </c>
      <c r="E1017" s="4" t="s">
        <v>492</v>
      </c>
      <c r="F1017" s="16">
        <v>44682</v>
      </c>
      <c r="G1017" s="5" t="s">
        <v>491</v>
      </c>
      <c r="H1017" s="5" t="s">
        <v>4585</v>
      </c>
      <c r="I1017" s="24" t="str">
        <f>HYPERLINK("https://www.bilibili.com/video/BV1o3411T7Yn?p=31", "BV1o3411T7Yn?p=31")</f>
        <v>BV1o3411T7Yn?p=31</v>
      </c>
      <c r="J1017" s="4" t="str">
        <f ca="1">_xlfn.IFNA(VLOOKUP(INDIRECT("G"&amp;ROW()),minfo!$A:$M,COLUMN()-8,0),"")</f>
        <v>像风一样</v>
      </c>
      <c r="K1017" s="4" t="str">
        <f ca="1">_xlfn.IFNA(VLOOKUP(INDIRECT("G"&amp;ROW()),minfo!$A:$M,COLUMN()-8,0),"")</f>
        <v>薛之谦</v>
      </c>
      <c r="L1017" s="4">
        <f ca="1">_xlfn.IFNA(VLOOKUP(INDIRECT("G"&amp;ROW()),minfo!$A:$M,COLUMN()-8,0),"")</f>
        <v>0</v>
      </c>
      <c r="M1017" s="4">
        <f ca="1">_xlfn.IFNA(VLOOKUP(INDIRECT("G"&amp;ROW()),minfo!$A:$M,COLUMN()-8,0),"")</f>
        <v>658</v>
      </c>
      <c r="N1017" s="4">
        <f ca="1">_xlfn.IFNA(VLOOKUP(INDIRECT("G"&amp;ROW()),minfo!$A:$M,COLUMN()-8,0),"")</f>
        <v>85</v>
      </c>
      <c r="O1017" s="4" t="str">
        <f ca="1">_xlfn.IFNA(VLOOKUP(INDIRECT("G"&amp;ROW()),minfo!$A:$M,COLUMN()-8,0),"")</f>
        <v>http://i0.hdslb.com/bfs/station_src/music_metadata/a3a8c61a923efdb7e46195d46e94c363.jpg</v>
      </c>
      <c r="P1017" s="4">
        <f ca="1">_xlfn.IFNA(VLOOKUP(INDIRECT("G"&amp;ROW()),minfo!$A:$M,COLUMN()-8,0),"")</f>
        <v>0</v>
      </c>
      <c r="Q1017" s="4">
        <f ca="1">_xlfn.IFNA(VLOOKUP(INDIRECT("G"&amp;ROW()),minfo!$A:$M,COLUMN()-8,0),"")</f>
        <v>125</v>
      </c>
      <c r="R1017" s="4" t="str">
        <f ca="1">_xlfn.IFNA(VLOOKUP(INDIRECT("G"&amp;ROW()),minfo!$A:$M,COLUMN()-8,0),"")</f>
        <v>像风一样</v>
      </c>
      <c r="S1017" s="4" t="str">
        <f ca="1">_xlfn.IFNA(VLOOKUP(INDIRECT("G"&amp;ROW()),minfo!$A:$M,COLUMN()-8,0),"")</f>
        <v>渡 The Crossing</v>
      </c>
      <c r="T1017" s="4">
        <f ca="1">_xlfn.IFNA(VLOOKUP(INDIRECT("G"&amp;ROW()),minfo!$A:$M,COLUMN()-8,0),"")</f>
        <v>87463982</v>
      </c>
      <c r="U1017" s="4">
        <f ca="1">_xlfn.IFNA(VLOOKUP(INDIRECT("G"&amp;ROW()),minfo!$A:$M,COLUMN()-8,0),"")</f>
        <v>0</v>
      </c>
    </row>
    <row r="1018" spans="1:21" ht="15.75" customHeight="1">
      <c r="A1018" s="15">
        <v>1017</v>
      </c>
      <c r="B1018" s="4" t="s">
        <v>4620</v>
      </c>
      <c r="C1018" s="4">
        <v>1018</v>
      </c>
      <c r="D1018" s="4">
        <v>32</v>
      </c>
      <c r="E1018" s="4" t="s">
        <v>1067</v>
      </c>
      <c r="F1018" s="16">
        <v>44682</v>
      </c>
      <c r="G1018" s="5" t="s">
        <v>1066</v>
      </c>
      <c r="H1018" s="5" t="s">
        <v>4585</v>
      </c>
      <c r="I1018" s="24" t="str">
        <f>HYPERLINK("https://www.bilibili.com/video/BV1o3411T7Yn?p=32", "BV1o3411T7Yn?p=32")</f>
        <v>BV1o3411T7Yn?p=32</v>
      </c>
      <c r="J1018" s="4" t="str">
        <f ca="1">_xlfn.IFNA(VLOOKUP(INDIRECT("G"&amp;ROW()),minfo!$A:$M,COLUMN()-8,0),"")</f>
        <v>永不失联的爱</v>
      </c>
      <c r="K1018" s="4" t="str">
        <f ca="1">_xlfn.IFNA(VLOOKUP(INDIRECT("G"&amp;ROW()),minfo!$A:$M,COLUMN()-8,0),"")</f>
        <v>Eric周兴哲</v>
      </c>
      <c r="L1018" s="4">
        <f ca="1">_xlfn.IFNA(VLOOKUP(INDIRECT("G"&amp;ROW()),minfo!$A:$M,COLUMN()-8,0),"")</f>
        <v>0</v>
      </c>
      <c r="M1018" s="4">
        <f ca="1">_xlfn.IFNA(VLOOKUP(INDIRECT("G"&amp;ROW()),minfo!$A:$M,COLUMN()-8,0),"")</f>
        <v>0</v>
      </c>
      <c r="N1018" s="4">
        <f ca="1">_xlfn.IFNA(VLOOKUP(INDIRECT("G"&amp;ROW()),minfo!$A:$M,COLUMN()-8,0),"")</f>
        <v>0</v>
      </c>
      <c r="O1018" s="4" t="str">
        <f ca="1">_xlfn.IFNA(VLOOKUP(INDIRECT("G"&amp;ROW()),minfo!$A:$M,COLUMN()-8,0),"")</f>
        <v>http://i0.hdslb.com/bfs/station_src/music_metadata/66d68e12c7bf06dfcd345e31ea45ac05.jpg</v>
      </c>
      <c r="P1018" s="4" t="str">
        <f ca="1">_xlfn.IFNA(VLOOKUP(INDIRECT("G"&amp;ROW()),minfo!$A:$M,COLUMN()-8,0),"")</f>
        <v>http://i0.hdslb.com/bfs/station_src/music_metadata/4a6a6c9be708e96306f4fbc010bf2a12</v>
      </c>
      <c r="Q1018" s="4">
        <f ca="1">_xlfn.IFNA(VLOOKUP(INDIRECT("G"&amp;ROW()),minfo!$A:$M,COLUMN()-8,0),"")</f>
        <v>1013</v>
      </c>
      <c r="R1018" s="4">
        <f ca="1">_xlfn.IFNA(VLOOKUP(INDIRECT("G"&amp;ROW()),minfo!$A:$M,COLUMN()-8,0),"")</f>
        <v>0</v>
      </c>
      <c r="S1018" s="4" t="str">
        <f ca="1">_xlfn.IFNA(VLOOKUP(INDIRECT("G"&amp;ROW()),minfo!$A:$M,COLUMN()-8,0),"")</f>
        <v>如果雨之后</v>
      </c>
      <c r="T1018" s="4">
        <f ca="1">_xlfn.IFNA(VLOOKUP(INDIRECT("G"&amp;ROW()),minfo!$A:$M,COLUMN()-8,0),"")</f>
        <v>291250605</v>
      </c>
      <c r="U1018" s="4">
        <f ca="1">_xlfn.IFNA(VLOOKUP(INDIRECT("G"&amp;ROW()),minfo!$A:$M,COLUMN()-8,0),"")</f>
        <v>0</v>
      </c>
    </row>
    <row r="1019" spans="1:21" ht="15.75" customHeight="1">
      <c r="A1019" s="15">
        <v>1018</v>
      </c>
      <c r="B1019" s="4" t="s">
        <v>4621</v>
      </c>
      <c r="C1019" s="4">
        <v>1019</v>
      </c>
      <c r="D1019" s="4">
        <v>33</v>
      </c>
      <c r="E1019" s="4" t="s">
        <v>1793</v>
      </c>
      <c r="F1019" s="16">
        <v>44683</v>
      </c>
      <c r="G1019" s="5" t="s">
        <v>1792</v>
      </c>
      <c r="H1019" s="5" t="s">
        <v>4585</v>
      </c>
      <c r="I1019" s="24" t="str">
        <f>HYPERLINK("https://www.bilibili.com/video/BV1o3411T7Yn?p=33", "BV1o3411T7Yn?p=33")</f>
        <v>BV1o3411T7Yn?p=33</v>
      </c>
      <c r="J1019" s="4" t="str">
        <f ca="1">_xlfn.IFNA(VLOOKUP(INDIRECT("G"&amp;ROW()),minfo!$A:$M,COLUMN()-8,0),"")</f>
        <v>雨爱</v>
      </c>
      <c r="K1019" s="4" t="str">
        <f ca="1">_xlfn.IFNA(VLOOKUP(INDIRECT("G"&amp;ROW()),minfo!$A:$M,COLUMN()-8,0),"")</f>
        <v>杨丞琳</v>
      </c>
      <c r="L1019" s="4">
        <f ca="1">_xlfn.IFNA(VLOOKUP(INDIRECT("G"&amp;ROW()),minfo!$A:$M,COLUMN()-8,0),"")</f>
        <v>0</v>
      </c>
      <c r="M1019" s="4">
        <f ca="1">_xlfn.IFNA(VLOOKUP(INDIRECT("G"&amp;ROW()),minfo!$A:$M,COLUMN()-8,0),"")</f>
        <v>186</v>
      </c>
      <c r="N1019" s="4">
        <f ca="1">_xlfn.IFNA(VLOOKUP(INDIRECT("G"&amp;ROW()),minfo!$A:$M,COLUMN()-8,0),"")</f>
        <v>17</v>
      </c>
      <c r="O1019" s="4" t="str">
        <f ca="1">_xlfn.IFNA(VLOOKUP(INDIRECT("G"&amp;ROW()),minfo!$A:$M,COLUMN()-8,0),"")</f>
        <v>https://i0.hdslb.com/bfs/station_src/music_metadata/d2d96b39e6c888e709641d2931657784.jpg</v>
      </c>
      <c r="P1019" s="4" t="str">
        <f ca="1">_xlfn.IFNA(VLOOKUP(INDIRECT("G"&amp;ROW()),minfo!$A:$M,COLUMN()-8,0),"")</f>
        <v>https://i0.hdslb.com/bfs/station_src/music_metadata/da71918707bbbcc54129293228673828.com/bfs/station_src/music_metadata/4ee2e418ba5ab8982bdcaf20967930a5</v>
      </c>
      <c r="Q1019" s="4">
        <f ca="1">_xlfn.IFNA(VLOOKUP(INDIRECT("G"&amp;ROW()),minfo!$A:$M,COLUMN()-8,0),"")</f>
        <v>585</v>
      </c>
      <c r="R1019" s="4" t="str">
        <f ca="1">_xlfn.IFNA(VLOOKUP(INDIRECT("G"&amp;ROW()),minfo!$A:$M,COLUMN()-8,0),"")</f>
        <v>雨爱</v>
      </c>
      <c r="S1019" s="4">
        <f ca="1">_xlfn.IFNA(VLOOKUP(INDIRECT("G"&amp;ROW()),minfo!$A:$M,COLUMN()-8,0),"")</f>
        <v>0</v>
      </c>
      <c r="T1019" s="4">
        <f ca="1">_xlfn.IFNA(VLOOKUP(INDIRECT("G"&amp;ROW()),minfo!$A:$M,COLUMN()-8,0),"")</f>
        <v>299586451</v>
      </c>
      <c r="U1019" s="4">
        <f ca="1">_xlfn.IFNA(VLOOKUP(INDIRECT("G"&amp;ROW()),minfo!$A:$M,COLUMN()-8,0),"")</f>
        <v>0</v>
      </c>
    </row>
    <row r="1020" spans="1:21" ht="15.75" customHeight="1">
      <c r="A1020" s="15">
        <v>1019</v>
      </c>
      <c r="B1020" s="4" t="s">
        <v>4622</v>
      </c>
      <c r="C1020" s="4">
        <v>1020</v>
      </c>
      <c r="D1020" s="4">
        <v>34</v>
      </c>
      <c r="E1020" s="4" t="s">
        <v>220</v>
      </c>
      <c r="F1020" s="16">
        <v>44684</v>
      </c>
      <c r="G1020" s="5" t="s">
        <v>219</v>
      </c>
      <c r="H1020" s="5" t="s">
        <v>4585</v>
      </c>
      <c r="I1020" s="24" t="str">
        <f>HYPERLINK("https://www.bilibili.com/video/BV1o3411T7Yn?p=34", "BV1o3411T7Yn?p=34")</f>
        <v>BV1o3411T7Yn?p=34</v>
      </c>
      <c r="J1020" s="4" t="str">
        <f ca="1">_xlfn.IFNA(VLOOKUP(INDIRECT("G"&amp;ROW()),minfo!$A:$M,COLUMN()-8,0),"")</f>
        <v>一荤一素</v>
      </c>
      <c r="K1020" s="4" t="str">
        <f ca="1">_xlfn.IFNA(VLOOKUP(INDIRECT("G"&amp;ROW()),minfo!$A:$M,COLUMN()-8,0),"")</f>
        <v>毛不易</v>
      </c>
      <c r="L1020" s="4">
        <f ca="1">_xlfn.IFNA(VLOOKUP(INDIRECT("G"&amp;ROW()),minfo!$A:$M,COLUMN()-8,0),"")</f>
        <v>0</v>
      </c>
      <c r="M1020" s="4">
        <f ca="1">_xlfn.IFNA(VLOOKUP(INDIRECT("G"&amp;ROW()),minfo!$A:$M,COLUMN()-8,0),"")</f>
        <v>1071</v>
      </c>
      <c r="N1020" s="4">
        <f ca="1">_xlfn.IFNA(VLOOKUP(INDIRECT("G"&amp;ROW()),minfo!$A:$M,COLUMN()-8,0),"")</f>
        <v>194</v>
      </c>
      <c r="O1020" s="4" t="str">
        <f ca="1">_xlfn.IFNA(VLOOKUP(INDIRECT("G"&amp;ROW()),minfo!$A:$M,COLUMN()-8,0),"")</f>
        <v>https://i0.hdslb.com/bfs/station_src/music_metadata/7f59fe0f47fb65bdae2eeac57b76228c.jpg</v>
      </c>
      <c r="P1020" s="4" t="str">
        <f ca="1">_xlfn.IFNA(VLOOKUP(INDIRECT("G"&amp;ROW()),minfo!$A:$M,COLUMN()-8,0),"")</f>
        <v>http://i0.hdslb.com/bfs/station_src/music_metadata/592263cf9a711b6ee593a6429c442efb</v>
      </c>
      <c r="Q1020" s="4">
        <f ca="1">_xlfn.IFNA(VLOOKUP(INDIRECT("G"&amp;ROW()),minfo!$A:$M,COLUMN()-8,0),"")</f>
        <v>905</v>
      </c>
      <c r="R1020" s="4">
        <f ca="1">_xlfn.IFNA(VLOOKUP(INDIRECT("G"&amp;ROW()),minfo!$A:$M,COLUMN()-8,0),"")</f>
        <v>0</v>
      </c>
      <c r="S1020" s="4" t="str">
        <f ca="1">_xlfn.IFNA(VLOOKUP(INDIRECT("G"&amp;ROW()),minfo!$A:$M,COLUMN()-8,0),"")</f>
        <v>平凡的一天</v>
      </c>
      <c r="T1020" s="4">
        <f ca="1">_xlfn.IFNA(VLOOKUP(INDIRECT("G"&amp;ROW()),minfo!$A:$M,COLUMN()-8,0),"")</f>
        <v>132554728</v>
      </c>
      <c r="U1020" s="4">
        <f ca="1">_xlfn.IFNA(VLOOKUP(INDIRECT("G"&amp;ROW()),minfo!$A:$M,COLUMN()-8,0),"")</f>
        <v>0</v>
      </c>
    </row>
    <row r="1021" spans="1:21" ht="15.75" customHeight="1">
      <c r="A1021" s="15">
        <v>1020</v>
      </c>
      <c r="B1021" s="4" t="s">
        <v>4623</v>
      </c>
      <c r="C1021" s="4">
        <v>1021</v>
      </c>
      <c r="D1021" s="4">
        <v>35</v>
      </c>
      <c r="E1021" s="4" t="s">
        <v>899</v>
      </c>
      <c r="F1021" s="16">
        <v>44684</v>
      </c>
      <c r="G1021" s="5" t="s">
        <v>898</v>
      </c>
      <c r="H1021" s="5" t="s">
        <v>4585</v>
      </c>
      <c r="I1021" s="24" t="str">
        <f>HYPERLINK("https://www.bilibili.com/video/BV1o3411T7Yn?p=35", "BV1o3411T7Yn?p=35")</f>
        <v>BV1o3411T7Yn?p=35</v>
      </c>
      <c r="J1021" s="4" t="str">
        <f ca="1">_xlfn.IFNA(VLOOKUP(INDIRECT("G"&amp;ROW()),minfo!$A:$M,COLUMN()-8,0),"")</f>
        <v>愿望</v>
      </c>
      <c r="K1021" s="4" t="str">
        <f ca="1">_xlfn.IFNA(VLOOKUP(INDIRECT("G"&amp;ROW()),minfo!$A:$M,COLUMN()-8,0),"")</f>
        <v>胡彦斌</v>
      </c>
      <c r="L1021" s="4">
        <f ca="1">_xlfn.IFNA(VLOOKUP(INDIRECT("G"&amp;ROW()),minfo!$A:$M,COLUMN()-8,0),"")</f>
        <v>0</v>
      </c>
      <c r="M1021" s="4">
        <f ca="1">_xlfn.IFNA(VLOOKUP(INDIRECT("G"&amp;ROW()),minfo!$A:$M,COLUMN()-8,0),"")</f>
        <v>0</v>
      </c>
      <c r="N1021" s="4">
        <f ca="1">_xlfn.IFNA(VLOOKUP(INDIRECT("G"&amp;ROW()),minfo!$A:$M,COLUMN()-8,0),"")</f>
        <v>0</v>
      </c>
      <c r="O1021" s="4" t="str">
        <f ca="1">_xlfn.IFNA(VLOOKUP(INDIRECT("G"&amp;ROW()),minfo!$A:$M,COLUMN()-8,0),"")</f>
        <v>https://i0.hdslb.com/bfs/station_src/music_metadata/b26472ef388f52098eeaa5b929c63c0e.jpg</v>
      </c>
      <c r="P1021" s="4" t="str">
        <f ca="1">_xlfn.IFNA(VLOOKUP(INDIRECT("G"&amp;ROW()),minfo!$A:$M,COLUMN()-8,0),"")</f>
        <v>https://i0.hdslb.com/bfs/station_src/music_metadata/13ce2c549e261cc0452296fc6dad7bf8.txt</v>
      </c>
      <c r="Q1021" s="4">
        <f ca="1">_xlfn.IFNA(VLOOKUP(INDIRECT("G"&amp;ROW()),minfo!$A:$M,COLUMN()-8,0),"")</f>
        <v>8</v>
      </c>
      <c r="R1021" s="4">
        <f ca="1">_xlfn.IFNA(VLOOKUP(INDIRECT("G"&amp;ROW()),minfo!$A:$M,COLUMN()-8,0),"")</f>
        <v>0</v>
      </c>
      <c r="S1021" s="4" t="str">
        <f ca="1">_xlfn.IFNA(VLOOKUP(INDIRECT("G"&amp;ROW()),minfo!$A:$M,COLUMN()-8,0),"")</f>
        <v>音乐密码</v>
      </c>
      <c r="T1021" s="4">
        <f ca="1">_xlfn.IFNA(VLOOKUP(INDIRECT("G"&amp;ROW()),minfo!$A:$M,COLUMN()-8,0),"")</f>
        <v>3422991</v>
      </c>
      <c r="U1021" s="4">
        <f ca="1">_xlfn.IFNA(VLOOKUP(INDIRECT("G"&amp;ROW()),minfo!$A:$M,COLUMN()-8,0),"")</f>
        <v>0</v>
      </c>
    </row>
    <row r="1022" spans="1:21" ht="15.75" customHeight="1">
      <c r="A1022" s="15">
        <v>1021</v>
      </c>
      <c r="B1022" s="4" t="s">
        <v>4624</v>
      </c>
      <c r="C1022" s="4">
        <v>1022</v>
      </c>
      <c r="D1022" s="4">
        <v>36</v>
      </c>
      <c r="E1022" s="4" t="s">
        <v>918</v>
      </c>
      <c r="F1022" s="16">
        <v>44684</v>
      </c>
      <c r="G1022" s="5" t="s">
        <v>917</v>
      </c>
      <c r="H1022" s="5" t="s">
        <v>4585</v>
      </c>
      <c r="I1022" s="24" t="str">
        <f>HYPERLINK("https://www.bilibili.com/video/BV1o3411T7Yn?p=36", "BV1o3411T7Yn?p=36")</f>
        <v>BV1o3411T7Yn?p=36</v>
      </c>
      <c r="J1022" s="4" t="str">
        <f ca="1">_xlfn.IFNA(VLOOKUP(INDIRECT("G"&amp;ROW()),minfo!$A:$M,COLUMN()-8,0),"")</f>
        <v>暗号</v>
      </c>
      <c r="K1022" s="4" t="str">
        <f ca="1">_xlfn.IFNA(VLOOKUP(INDIRECT("G"&amp;ROW()),minfo!$A:$M,COLUMN()-8,0),"")</f>
        <v>周杰伦</v>
      </c>
      <c r="L1022" s="4">
        <f ca="1">_xlfn.IFNA(VLOOKUP(INDIRECT("G"&amp;ROW()),minfo!$A:$M,COLUMN()-8,0),"")</f>
        <v>0</v>
      </c>
      <c r="M1022" s="4">
        <f ca="1">_xlfn.IFNA(VLOOKUP(INDIRECT("G"&amp;ROW()),minfo!$A:$M,COLUMN()-8,0),"")</f>
        <v>0</v>
      </c>
      <c r="N1022" s="4">
        <f ca="1">_xlfn.IFNA(VLOOKUP(INDIRECT("G"&amp;ROW()),minfo!$A:$M,COLUMN()-8,0),"")</f>
        <v>0</v>
      </c>
      <c r="O1022" s="4" t="str">
        <f ca="1">_xlfn.IFNA(VLOOKUP(INDIRECT("G"&amp;ROW()),minfo!$A:$M,COLUMN()-8,0),"")</f>
        <v>https://i0.hdslb.com/bfs/station_src/music_metadata/836d7078552d6143b4a27f54a2a62598.jpg</v>
      </c>
      <c r="P1022" s="4">
        <f ca="1">_xlfn.IFNA(VLOOKUP(INDIRECT("G"&amp;ROW()),minfo!$A:$M,COLUMN()-8,0),"")</f>
        <v>0</v>
      </c>
      <c r="Q1022" s="4">
        <f ca="1">_xlfn.IFNA(VLOOKUP(INDIRECT("G"&amp;ROW()),minfo!$A:$M,COLUMN()-8,0),"")</f>
        <v>8346</v>
      </c>
      <c r="R1022" s="4">
        <f ca="1">_xlfn.IFNA(VLOOKUP(INDIRECT("G"&amp;ROW()),minfo!$A:$M,COLUMN()-8,0),"")</f>
        <v>0</v>
      </c>
      <c r="S1022" s="4" t="str">
        <f ca="1">_xlfn.IFNA(VLOOKUP(INDIRECT("G"&amp;ROW()),minfo!$A:$M,COLUMN()-8,0),"")</f>
        <v>八度空间</v>
      </c>
      <c r="T1022" s="4">
        <f ca="1">_xlfn.IFNA(VLOOKUP(INDIRECT("G"&amp;ROW()),minfo!$A:$M,COLUMN()-8,0),"")</f>
        <v>445692889</v>
      </c>
      <c r="U1022" s="4">
        <f ca="1">_xlfn.IFNA(VLOOKUP(INDIRECT("G"&amp;ROW()),minfo!$A:$M,COLUMN()-8,0),"")</f>
        <v>0</v>
      </c>
    </row>
    <row r="1023" spans="1:21" ht="15.75" customHeight="1">
      <c r="A1023" s="15">
        <v>1022</v>
      </c>
      <c r="B1023" s="4" t="s">
        <v>4625</v>
      </c>
      <c r="C1023" s="4">
        <v>1023</v>
      </c>
      <c r="D1023" s="4">
        <v>37</v>
      </c>
      <c r="E1023" s="4" t="s">
        <v>2271</v>
      </c>
      <c r="F1023" s="16">
        <v>44685</v>
      </c>
      <c r="G1023" s="5" t="s">
        <v>2270</v>
      </c>
      <c r="H1023" s="5" t="s">
        <v>4585</v>
      </c>
      <c r="I1023" s="24" t="str">
        <f>HYPERLINK("https://www.bilibili.com/video/BV1o3411T7Yn?p=37", "BV1o3411T7Yn?p=37")</f>
        <v>BV1o3411T7Yn?p=37</v>
      </c>
      <c r="J1023" s="4" t="str">
        <f ca="1">_xlfn.IFNA(VLOOKUP(INDIRECT("G"&amp;ROW()),minfo!$A:$M,COLUMN()-8,0),"")</f>
        <v>心如刀割</v>
      </c>
      <c r="K1023" s="4" t="str">
        <f ca="1">_xlfn.IFNA(VLOOKUP(INDIRECT("G"&amp;ROW()),minfo!$A:$M,COLUMN()-8,0),"")</f>
        <v>张学友</v>
      </c>
      <c r="L1023" s="4">
        <f ca="1">_xlfn.IFNA(VLOOKUP(INDIRECT("G"&amp;ROW()),minfo!$A:$M,COLUMN()-8,0),"")</f>
        <v>0</v>
      </c>
      <c r="M1023" s="4">
        <f ca="1">_xlfn.IFNA(VLOOKUP(INDIRECT("G"&amp;ROW()),minfo!$A:$M,COLUMN()-8,0),"")</f>
        <v>0</v>
      </c>
      <c r="N1023" s="4">
        <f ca="1">_xlfn.IFNA(VLOOKUP(INDIRECT("G"&amp;ROW()),minfo!$A:$M,COLUMN()-8,0),"")</f>
        <v>0</v>
      </c>
      <c r="O1023" s="4" t="str">
        <f ca="1">_xlfn.IFNA(VLOOKUP(INDIRECT("G"&amp;ROW()),minfo!$A:$M,COLUMN()-8,0),"")</f>
        <v>https://i0.hdslb.com/bfs/station_src/music_metadata/f137cd44274fff88ece7c0d4239f127e.jpg</v>
      </c>
      <c r="P1023" s="4" t="str">
        <f ca="1">_xlfn.IFNA(VLOOKUP(INDIRECT("G"&amp;ROW()),minfo!$A:$M,COLUMN()-8,0),"")</f>
        <v>http://i0.hdslb.com/bfs/station_src/music_metadata/d0839a8a87693ad48089694c1e17278d</v>
      </c>
      <c r="Q1023" s="4">
        <f ca="1">_xlfn.IFNA(VLOOKUP(INDIRECT("G"&amp;ROW()),minfo!$A:$M,COLUMN()-8,0),"")</f>
        <v>22</v>
      </c>
      <c r="R1023" s="4">
        <f ca="1">_xlfn.IFNA(VLOOKUP(INDIRECT("G"&amp;ROW()),minfo!$A:$M,COLUMN()-8,0),"")</f>
        <v>0</v>
      </c>
      <c r="S1023" s="4" t="str">
        <f ca="1">_xlfn.IFNA(VLOOKUP(INDIRECT("G"&amp;ROW()),minfo!$A:$M,COLUMN()-8,0),"")</f>
        <v>Music Is Live 拉阔音乐</v>
      </c>
      <c r="T1023" s="4">
        <f ca="1">_xlfn.IFNA(VLOOKUP(INDIRECT("G"&amp;ROW()),minfo!$A:$M,COLUMN()-8,0),"")</f>
        <v>19192935</v>
      </c>
      <c r="U1023" s="4">
        <f ca="1">_xlfn.IFNA(VLOOKUP(INDIRECT("G"&amp;ROW()),minfo!$A:$M,COLUMN()-8,0),"")</f>
        <v>0</v>
      </c>
    </row>
    <row r="1024" spans="1:21" ht="15.75" customHeight="1">
      <c r="A1024" s="15">
        <v>1023</v>
      </c>
      <c r="B1024" s="4" t="s">
        <v>4626</v>
      </c>
      <c r="C1024" s="4">
        <v>1024</v>
      </c>
      <c r="D1024" s="4">
        <v>38</v>
      </c>
      <c r="E1024" s="4" t="s">
        <v>2277</v>
      </c>
      <c r="F1024" s="16">
        <v>44685</v>
      </c>
      <c r="G1024" s="5" t="s">
        <v>2276</v>
      </c>
      <c r="H1024" s="5" t="s">
        <v>4585</v>
      </c>
      <c r="I1024" s="24" t="str">
        <f>HYPERLINK("https://www.bilibili.com/video/BV1o3411T7Yn?p=38", "BV1o3411T7Yn?p=38")</f>
        <v>BV1o3411T7Yn?p=38</v>
      </c>
      <c r="J1024" s="4" t="str">
        <f ca="1">_xlfn.IFNA(VLOOKUP(INDIRECT("G"&amp;ROW()),minfo!$A:$M,COLUMN()-8,0),"")</f>
        <v>小幸运</v>
      </c>
      <c r="K1024" s="4" t="str">
        <f ca="1">_xlfn.IFNA(VLOOKUP(INDIRECT("G"&amp;ROW()),minfo!$A:$M,COLUMN()-8,0),"")</f>
        <v>田馥甄</v>
      </c>
      <c r="L1024" s="4">
        <f ca="1">_xlfn.IFNA(VLOOKUP(INDIRECT("G"&amp;ROW()),minfo!$A:$M,COLUMN()-8,0),"")</f>
        <v>0</v>
      </c>
      <c r="M1024" s="4">
        <f ca="1">_xlfn.IFNA(VLOOKUP(INDIRECT("G"&amp;ROW()),minfo!$A:$M,COLUMN()-8,0),"")</f>
        <v>0</v>
      </c>
      <c r="N1024" s="4">
        <f ca="1">_xlfn.IFNA(VLOOKUP(INDIRECT("G"&amp;ROW()),minfo!$A:$M,COLUMN()-8,0),"")</f>
        <v>0</v>
      </c>
      <c r="O1024" s="4" t="str">
        <f ca="1">_xlfn.IFNA(VLOOKUP(INDIRECT("G"&amp;ROW()),minfo!$A:$M,COLUMN()-8,0),"")</f>
        <v>https://i0.hdslb.com/bfs/station_src/music_metadata/13edca66a772a4f7a1c29126277512a9.jpg</v>
      </c>
      <c r="P1024" s="4" t="str">
        <f ca="1">_xlfn.IFNA(VLOOKUP(INDIRECT("G"&amp;ROW()),minfo!$A:$M,COLUMN()-8,0),"")</f>
        <v>http://i0.hdslb.com/bfs/station_src/music_metadata/a41e14cb65ec5abbff57abef0f3736f9</v>
      </c>
      <c r="Q1024" s="4">
        <f ca="1">_xlfn.IFNA(VLOOKUP(INDIRECT("G"&amp;ROW()),minfo!$A:$M,COLUMN()-8,0),"")</f>
        <v>2605</v>
      </c>
      <c r="R1024" s="4" t="str">
        <f ca="1">_xlfn.IFNA(VLOOKUP(INDIRECT("G"&amp;ROW()),minfo!$A:$M,COLUMN()-8,0),"")</f>
        <v>《我的少女时代》电影主题曲</v>
      </c>
      <c r="S1024" s="4" t="str">
        <f ca="1">_xlfn.IFNA(VLOOKUP(INDIRECT("G"&amp;ROW()),minfo!$A:$M,COLUMN()-8,0),"")</f>
        <v>我的少女时代 电影原声带</v>
      </c>
      <c r="T1024" s="4">
        <f ca="1">_xlfn.IFNA(VLOOKUP(INDIRECT("G"&amp;ROW()),minfo!$A:$M,COLUMN()-8,0),"")</f>
        <v>366858722</v>
      </c>
      <c r="U1024" s="4">
        <f ca="1">_xlfn.IFNA(VLOOKUP(INDIRECT("G"&amp;ROW()),minfo!$A:$M,COLUMN()-8,0),"")</f>
        <v>0</v>
      </c>
    </row>
    <row r="1025" spans="1:21" ht="15.75" customHeight="1">
      <c r="A1025" s="15">
        <v>1024</v>
      </c>
      <c r="B1025" s="4" t="s">
        <v>4627</v>
      </c>
      <c r="C1025" s="4">
        <v>1025</v>
      </c>
      <c r="D1025" s="4">
        <v>39</v>
      </c>
      <c r="E1025" s="4" t="s">
        <v>153</v>
      </c>
      <c r="F1025" s="16">
        <v>44688</v>
      </c>
      <c r="G1025" s="5" t="s">
        <v>152</v>
      </c>
      <c r="H1025" s="5" t="s">
        <v>4585</v>
      </c>
      <c r="I1025" s="24" t="str">
        <f>HYPERLINK("https://www.bilibili.com/video/BV1o3411T7Yn?p=39", "BV1o3411T7Yn?p=39")</f>
        <v>BV1o3411T7Yn?p=39</v>
      </c>
      <c r="J1025" s="4" t="str">
        <f ca="1">_xlfn.IFNA(VLOOKUP(INDIRECT("G"&amp;ROW()),minfo!$A:$M,COLUMN()-8,0),"")</f>
        <v>听见下雨的声音</v>
      </c>
      <c r="K1025" s="4" t="str">
        <f ca="1">_xlfn.IFNA(VLOOKUP(INDIRECT("G"&amp;ROW()),minfo!$A:$M,COLUMN()-8,0),"")</f>
        <v>周杰伦</v>
      </c>
      <c r="L1025" s="4">
        <f ca="1">_xlfn.IFNA(VLOOKUP(INDIRECT("G"&amp;ROW()),minfo!$A:$M,COLUMN()-8,0),"")</f>
        <v>0</v>
      </c>
      <c r="M1025" s="4">
        <f ca="1">_xlfn.IFNA(VLOOKUP(INDIRECT("G"&amp;ROW()),minfo!$A:$M,COLUMN()-8,0),"")</f>
        <v>0</v>
      </c>
      <c r="N1025" s="4">
        <f ca="1">_xlfn.IFNA(VLOOKUP(INDIRECT("G"&amp;ROW()),minfo!$A:$M,COLUMN()-8,0),"")</f>
        <v>0</v>
      </c>
      <c r="O1025" s="4" t="str">
        <f ca="1">_xlfn.IFNA(VLOOKUP(INDIRECT("G"&amp;ROW()),minfo!$A:$M,COLUMN()-8,0),"")</f>
        <v>http://i0.hdslb.com/bfs/station_src/music_metadata/f190c7459496ee7ff2a9ebb250df5398.jpg</v>
      </c>
      <c r="P1025" s="4" t="str">
        <f ca="1">_xlfn.IFNA(VLOOKUP(INDIRECT("G"&amp;ROW()),minfo!$A:$M,COLUMN()-8,0),"")</f>
        <v>http://i0.hdslb.com/bfs/station_src/music_metadata/0d0869a8c2bb7470dd66d7fec7591c32</v>
      </c>
      <c r="Q1025" s="4">
        <f ca="1">_xlfn.IFNA(VLOOKUP(INDIRECT("G"&amp;ROW()),minfo!$A:$M,COLUMN()-8,0),"")</f>
        <v>689</v>
      </c>
      <c r="R1025" s="4" t="str">
        <f ca="1">_xlfn.IFNA(VLOOKUP(INDIRECT("G"&amp;ROW()),minfo!$A:$M,COLUMN()-8,0),"")</f>
        <v>《听见下雨声音》电影主题曲</v>
      </c>
      <c r="S1025" s="4" t="str">
        <f ca="1">_xlfn.IFNA(VLOOKUP(INDIRECT("G"&amp;ROW()),minfo!$A:$M,COLUMN()-8,0),"")</f>
        <v>哎呦，不错哦</v>
      </c>
      <c r="T1025" s="4">
        <f ca="1">_xlfn.IFNA(VLOOKUP(INDIRECT("G"&amp;ROW()),minfo!$A:$M,COLUMN()-8,0),"")</f>
        <v>220057953</v>
      </c>
      <c r="U1025" s="4">
        <f ca="1">_xlfn.IFNA(VLOOKUP(INDIRECT("G"&amp;ROW()),minfo!$A:$M,COLUMN()-8,0),"")</f>
        <v>0</v>
      </c>
    </row>
    <row r="1026" spans="1:21" ht="15.75" customHeight="1">
      <c r="A1026" s="15">
        <v>1025</v>
      </c>
      <c r="B1026" s="4" t="s">
        <v>4628</v>
      </c>
      <c r="C1026" s="4">
        <v>1026</v>
      </c>
      <c r="D1026" s="4">
        <v>40</v>
      </c>
      <c r="E1026" s="4" t="s">
        <v>1801</v>
      </c>
      <c r="F1026" s="16">
        <v>44688</v>
      </c>
      <c r="G1026" s="5" t="s">
        <v>1800</v>
      </c>
      <c r="H1026" s="5" t="s">
        <v>4585</v>
      </c>
      <c r="I1026" s="24" t="str">
        <f>HYPERLINK("https://www.bilibili.com/video/BV1o3411T7Yn?p=40", "BV1o3411T7Yn?p=40")</f>
        <v>BV1o3411T7Yn?p=40</v>
      </c>
      <c r="J1026" s="4" t="str">
        <f ca="1">_xlfn.IFNA(VLOOKUP(INDIRECT("G"&amp;ROW()),minfo!$A:$M,COLUMN()-8,0),"")</f>
        <v>氧气</v>
      </c>
      <c r="K1026" s="4" t="str">
        <f ca="1">_xlfn.IFNA(VLOOKUP(INDIRECT("G"&amp;ROW()),minfo!$A:$M,COLUMN()-8,0),"")</f>
        <v>范晓萱</v>
      </c>
      <c r="L1026" s="4">
        <f ca="1">_xlfn.IFNA(VLOOKUP(INDIRECT("G"&amp;ROW()),minfo!$A:$M,COLUMN()-8,0),"")</f>
        <v>0</v>
      </c>
      <c r="M1026" s="4">
        <f ca="1">_xlfn.IFNA(VLOOKUP(INDIRECT("G"&amp;ROW()),minfo!$A:$M,COLUMN()-8,0),"")</f>
        <v>0</v>
      </c>
      <c r="N1026" s="4">
        <f ca="1">_xlfn.IFNA(VLOOKUP(INDIRECT("G"&amp;ROW()),minfo!$A:$M,COLUMN()-8,0),"")</f>
        <v>0</v>
      </c>
      <c r="O1026" s="4" t="str">
        <f ca="1">_xlfn.IFNA(VLOOKUP(INDIRECT("G"&amp;ROW()),minfo!$A:$M,COLUMN()-8,0),"")</f>
        <v>http://i0.hdslb.com/bfs/station_src/music_metadata/b7728e6e8bfaf97ad8f0c27f9dbb8003.jpg</v>
      </c>
      <c r="P1026" s="4" t="str">
        <f ca="1">_xlfn.IFNA(VLOOKUP(INDIRECT("G"&amp;ROW()),minfo!$A:$M,COLUMN()-8,0),"")</f>
        <v>http://i0.hdslb.com/bfs/station_src/music_metadata/a48adbd10e6b248bcd4f7f2a5b7c6594</v>
      </c>
      <c r="Q1026" s="4">
        <f ca="1">_xlfn.IFNA(VLOOKUP(INDIRECT("G"&amp;ROW()),minfo!$A:$M,COLUMN()-8,0),"")</f>
        <v>6</v>
      </c>
      <c r="R1026" s="4">
        <f ca="1">_xlfn.IFNA(VLOOKUP(INDIRECT("G"&amp;ROW()),minfo!$A:$M,COLUMN()-8,0),"")</f>
        <v>0</v>
      </c>
      <c r="S1026" s="4">
        <f ca="1">_xlfn.IFNA(VLOOKUP(INDIRECT("G"&amp;ROW()),minfo!$A:$M,COLUMN()-8,0),"")</f>
        <v>0</v>
      </c>
      <c r="T1026" s="4">
        <f ca="1">_xlfn.IFNA(VLOOKUP(INDIRECT("G"&amp;ROW()),minfo!$A:$M,COLUMN()-8,0),"")</f>
        <v>4571226</v>
      </c>
      <c r="U1026" s="4">
        <f ca="1">_xlfn.IFNA(VLOOKUP(INDIRECT("G"&amp;ROW()),minfo!$A:$M,COLUMN()-8,0),"")</f>
        <v>0</v>
      </c>
    </row>
    <row r="1027" spans="1:21" ht="15.75" customHeight="1">
      <c r="A1027" s="15">
        <v>1026</v>
      </c>
      <c r="B1027" s="4" t="s">
        <v>4629</v>
      </c>
      <c r="C1027" s="4">
        <v>1027</v>
      </c>
      <c r="D1027" s="4">
        <v>41</v>
      </c>
      <c r="E1027" s="4" t="s">
        <v>2283</v>
      </c>
      <c r="F1027" s="16">
        <v>44688</v>
      </c>
      <c r="G1027" s="5" t="s">
        <v>2282</v>
      </c>
      <c r="H1027" s="5" t="s">
        <v>4585</v>
      </c>
      <c r="I1027" s="24" t="str">
        <f>HYPERLINK("https://www.bilibili.com/video/BV1o3411T7Yn?p=41", "BV1o3411T7Yn?p=41")</f>
        <v>BV1o3411T7Yn?p=41</v>
      </c>
      <c r="J1027" s="4" t="str">
        <f ca="1">_xlfn.IFNA(VLOOKUP(INDIRECT("G"&amp;ROW()),minfo!$A:$M,COLUMN()-8,0),"")</f>
        <v>红豆</v>
      </c>
      <c r="K1027" s="4" t="str">
        <f ca="1">_xlfn.IFNA(VLOOKUP(INDIRECT("G"&amp;ROW()),minfo!$A:$M,COLUMN()-8,0),"")</f>
        <v>王菲</v>
      </c>
      <c r="L1027" s="4">
        <f ca="1">_xlfn.IFNA(VLOOKUP(INDIRECT("G"&amp;ROW()),minfo!$A:$M,COLUMN()-8,0),"")</f>
        <v>0</v>
      </c>
      <c r="M1027" s="4">
        <f ca="1">_xlfn.IFNA(VLOOKUP(INDIRECT("G"&amp;ROW()),minfo!$A:$M,COLUMN()-8,0),"")</f>
        <v>0</v>
      </c>
      <c r="N1027" s="4">
        <f ca="1">_xlfn.IFNA(VLOOKUP(INDIRECT("G"&amp;ROW()),minfo!$A:$M,COLUMN()-8,0),"")</f>
        <v>0</v>
      </c>
      <c r="O1027" s="4" t="str">
        <f ca="1">_xlfn.IFNA(VLOOKUP(INDIRECT("G"&amp;ROW()),minfo!$A:$M,COLUMN()-8,0),"")</f>
        <v>https://i0.hdslb.com/bfs/station_src/music_metadata/d68db1979610db8b9cc1f37b75a77123.jpg</v>
      </c>
      <c r="P1027" s="4" t="str">
        <f ca="1">_xlfn.IFNA(VLOOKUP(INDIRECT("G"&amp;ROW()),minfo!$A:$M,COLUMN()-8,0),"")</f>
        <v>http://i0.hdslb.com/bfs/station_src/music_metadata/70c2611798b8f5ee7fda5c676928e8c0</v>
      </c>
      <c r="Q1027" s="4">
        <f ca="1">_xlfn.IFNA(VLOOKUP(INDIRECT("G"&amp;ROW()),minfo!$A:$M,COLUMN()-8,0),"")</f>
        <v>906</v>
      </c>
      <c r="R1027" s="4">
        <f ca="1">_xlfn.IFNA(VLOOKUP(INDIRECT("G"&amp;ROW()),minfo!$A:$M,COLUMN()-8,0),"")</f>
        <v>0</v>
      </c>
      <c r="S1027" s="4" t="str">
        <f ca="1">_xlfn.IFNA(VLOOKUP(INDIRECT("G"&amp;ROW()),minfo!$A:$M,COLUMN()-8,0),"")</f>
        <v>唱游</v>
      </c>
      <c r="T1027" s="4">
        <f ca="1">_xlfn.IFNA(VLOOKUP(INDIRECT("G"&amp;ROW()),minfo!$A:$M,COLUMN()-8,0),"")</f>
        <v>156411344</v>
      </c>
      <c r="U1027" s="4">
        <f ca="1">_xlfn.IFNA(VLOOKUP(INDIRECT("G"&amp;ROW()),minfo!$A:$M,COLUMN()-8,0),"")</f>
        <v>0</v>
      </c>
    </row>
    <row r="1028" spans="1:21" ht="15.75" customHeight="1">
      <c r="A1028" s="15">
        <v>1027</v>
      </c>
      <c r="B1028" s="4" t="s">
        <v>4630</v>
      </c>
      <c r="C1028" s="4">
        <v>1028</v>
      </c>
      <c r="D1028" s="4">
        <v>42</v>
      </c>
      <c r="E1028" s="4" t="s">
        <v>1703</v>
      </c>
      <c r="F1028" s="16">
        <v>44690</v>
      </c>
      <c r="G1028" s="5" t="s">
        <v>1702</v>
      </c>
      <c r="H1028" s="5" t="s">
        <v>4585</v>
      </c>
      <c r="I1028" s="24" t="str">
        <f>HYPERLINK("https://www.bilibili.com/video/BV1o3411T7Yn?p=42", "BV1o3411T7Yn?p=42")</f>
        <v>BV1o3411T7Yn?p=42</v>
      </c>
      <c r="J1028" s="4" t="str">
        <f ca="1">_xlfn.IFNA(VLOOKUP(INDIRECT("G"&amp;ROW()),minfo!$A:$M,COLUMN()-8,0),"")</f>
        <v>无人知晓</v>
      </c>
      <c r="K1028" s="4" t="str">
        <f ca="1">_xlfn.IFNA(VLOOKUP(INDIRECT("G"&amp;ROW()),minfo!$A:$M,COLUMN()-8,0),"")</f>
        <v>吴萌,谢馨哲,田馥甄,葛大为</v>
      </c>
      <c r="L1028" s="4">
        <f ca="1">_xlfn.IFNA(VLOOKUP(INDIRECT("G"&amp;ROW()),minfo!$A:$M,COLUMN()-8,0),"")</f>
        <v>0</v>
      </c>
      <c r="M1028" s="4">
        <f ca="1">_xlfn.IFNA(VLOOKUP(INDIRECT("G"&amp;ROW()),minfo!$A:$M,COLUMN()-8,0),"")</f>
        <v>0</v>
      </c>
      <c r="N1028" s="4">
        <f ca="1">_xlfn.IFNA(VLOOKUP(INDIRECT("G"&amp;ROW()),minfo!$A:$M,COLUMN()-8,0),"")</f>
        <v>0</v>
      </c>
      <c r="O1028" s="4" t="str">
        <f ca="1">_xlfn.IFNA(VLOOKUP(INDIRECT("G"&amp;ROW()),minfo!$A:$M,COLUMN()-8,0),"")</f>
        <v>https://i0.hdslb.com/bfs/station_src/music_metadata/704d1b1de81203cb3373876c09643308.jpg</v>
      </c>
      <c r="P1028" s="4" t="str">
        <f ca="1">_xlfn.IFNA(VLOOKUP(INDIRECT("G"&amp;ROW()),minfo!$A:$M,COLUMN()-8,0),"")</f>
        <v>http://i0.hdslb.com/bfs/station_src/music_metadata/93f8007479900becc71f2f06effb6990</v>
      </c>
      <c r="Q1028" s="4">
        <f ca="1">_xlfn.IFNA(VLOOKUP(INDIRECT("G"&amp;ROW()),minfo!$A:$M,COLUMN()-8,0),"")</f>
        <v>68</v>
      </c>
      <c r="R1028" s="4" t="str">
        <f ca="1">_xlfn.IFNA(VLOOKUP(INDIRECT("G"&amp;ROW()),minfo!$A:$M,COLUMN()-8,0),"")</f>
        <v>" 吴萌""]</v>
      </c>
      <c r="S1028" s="4" t="str">
        <f ca="1">_xlfn.IFNA(VLOOKUP(INDIRECT("G"&amp;ROW()),minfo!$A:$M,COLUMN()-8,0),"")</f>
        <v>无人知晓</v>
      </c>
      <c r="T1028" s="4">
        <f ca="1">_xlfn.IFNA(VLOOKUP(INDIRECT("G"&amp;ROW()),minfo!$A:$M,COLUMN()-8,0),"")</f>
        <v>7299841</v>
      </c>
      <c r="U1028" s="4">
        <f ca="1">_xlfn.IFNA(VLOOKUP(INDIRECT("G"&amp;ROW()),minfo!$A:$M,COLUMN()-8,0),"")</f>
        <v>0</v>
      </c>
    </row>
    <row r="1029" spans="1:21" ht="15.75" customHeight="1">
      <c r="A1029" s="15">
        <v>1028</v>
      </c>
      <c r="B1029" s="4" t="s">
        <v>4631</v>
      </c>
      <c r="C1029" s="4">
        <v>1029</v>
      </c>
      <c r="D1029" s="4">
        <v>43</v>
      </c>
      <c r="E1029" s="4" t="s">
        <v>1529</v>
      </c>
      <c r="F1029" s="16">
        <v>44692</v>
      </c>
      <c r="G1029" s="5" t="s">
        <v>1528</v>
      </c>
      <c r="H1029" s="5" t="s">
        <v>4585</v>
      </c>
      <c r="I1029" s="24" t="str">
        <f>HYPERLINK("https://www.bilibili.com/video/BV1o3411T7Yn?p=43", "BV1o3411T7Yn?p=43")</f>
        <v>BV1o3411T7Yn?p=43</v>
      </c>
      <c r="J1029" s="4" t="str">
        <f ca="1">_xlfn.IFNA(VLOOKUP(INDIRECT("G"&amp;ROW()),minfo!$A:$M,COLUMN()-8,0),"")</f>
        <v>大鱼</v>
      </c>
      <c r="K1029" s="4" t="str">
        <f ca="1">_xlfn.IFNA(VLOOKUP(INDIRECT("G"&amp;ROW()),minfo!$A:$M,COLUMN()-8,0),"")</f>
        <v>周深</v>
      </c>
      <c r="L1029" s="4">
        <f ca="1">_xlfn.IFNA(VLOOKUP(INDIRECT("G"&amp;ROW()),minfo!$A:$M,COLUMN()-8,0),"")</f>
        <v>0</v>
      </c>
      <c r="M1029" s="4">
        <f ca="1">_xlfn.IFNA(VLOOKUP(INDIRECT("G"&amp;ROW()),minfo!$A:$M,COLUMN()-8,0),"")</f>
        <v>0</v>
      </c>
      <c r="N1029" s="4">
        <f ca="1">_xlfn.IFNA(VLOOKUP(INDIRECT("G"&amp;ROW()),minfo!$A:$M,COLUMN()-8,0),"")</f>
        <v>0</v>
      </c>
      <c r="O1029" s="4" t="str">
        <f ca="1">_xlfn.IFNA(VLOOKUP(INDIRECT("G"&amp;ROW()),minfo!$A:$M,COLUMN()-8,0),"")</f>
        <v>http://i0.hdslb.com/bfs/station_src/music_metadata/8a70d72d1642278d2951984ed21f64b8.jpg</v>
      </c>
      <c r="P1029" s="4" t="str">
        <f ca="1">_xlfn.IFNA(VLOOKUP(INDIRECT("G"&amp;ROW()),minfo!$A:$M,COLUMN()-8,0),"")</f>
        <v>http://i0.hdslb.com/bfs/station_src/music_metadata/1ca26ab8b49fda9fd7daa1b9e44e8cab</v>
      </c>
      <c r="Q1029" s="4">
        <f ca="1">_xlfn.IFNA(VLOOKUP(INDIRECT("G"&amp;ROW()),minfo!$A:$M,COLUMN()-8,0),"")</f>
        <v>2637</v>
      </c>
      <c r="R1029" s="4" t="str">
        <f ca="1">_xlfn.IFNA(VLOOKUP(INDIRECT("G"&amp;ROW()),minfo!$A:$M,COLUMN()-8,0),"")</f>
        <v>《大鱼海棠》动画电影印象曲</v>
      </c>
      <c r="S1029" s="4" t="str">
        <f ca="1">_xlfn.IFNA(VLOOKUP(INDIRECT("G"&amp;ROW()),minfo!$A:$M,COLUMN()-8,0),"")</f>
        <v>大鱼</v>
      </c>
      <c r="T1029" s="4">
        <f ca="1">_xlfn.IFNA(VLOOKUP(INDIRECT("G"&amp;ROW()),minfo!$A:$M,COLUMN()-8,0),"")</f>
        <v>1065218649</v>
      </c>
      <c r="U1029" s="4">
        <f ca="1">_xlfn.IFNA(VLOOKUP(INDIRECT("G"&amp;ROW()),minfo!$A:$M,COLUMN()-8,0),"")</f>
        <v>0</v>
      </c>
    </row>
    <row r="1030" spans="1:21" ht="15.75" customHeight="1">
      <c r="A1030" s="15">
        <v>1029</v>
      </c>
      <c r="B1030" s="4" t="s">
        <v>4632</v>
      </c>
      <c r="C1030" s="4">
        <v>1030</v>
      </c>
      <c r="D1030" s="4">
        <v>44</v>
      </c>
      <c r="E1030" s="4" t="s">
        <v>1456</v>
      </c>
      <c r="F1030" s="16">
        <v>44692</v>
      </c>
      <c r="G1030" s="5" t="s">
        <v>1455</v>
      </c>
      <c r="H1030" s="5" t="s">
        <v>4585</v>
      </c>
      <c r="I1030" s="24" t="str">
        <f>HYPERLINK("https://www.bilibili.com/video/BV1o3411T7Yn?p=44", "BV1o3411T7Yn?p=44")</f>
        <v>BV1o3411T7Yn?p=44</v>
      </c>
      <c r="J1030" s="4" t="str">
        <f ca="1">_xlfn.IFNA(VLOOKUP(INDIRECT("G"&amp;ROW()),minfo!$A:$M,COLUMN()-8,0),"")</f>
        <v>小精灵</v>
      </c>
      <c r="K1030" s="4" t="str">
        <f ca="1">_xlfn.IFNA(VLOOKUP(INDIRECT("G"&amp;ROW()),minfo!$A:$M,COLUMN()-8,0),"")</f>
        <v>TFBOYS</v>
      </c>
      <c r="L1030" s="4">
        <f ca="1">_xlfn.IFNA(VLOOKUP(INDIRECT("G"&amp;ROW()),minfo!$A:$M,COLUMN()-8,0),"")</f>
        <v>0</v>
      </c>
      <c r="M1030" s="4">
        <f ca="1">_xlfn.IFNA(VLOOKUP(INDIRECT("G"&amp;ROW()),minfo!$A:$M,COLUMN()-8,0),"")</f>
        <v>0</v>
      </c>
      <c r="N1030" s="4">
        <f ca="1">_xlfn.IFNA(VLOOKUP(INDIRECT("G"&amp;ROW()),minfo!$A:$M,COLUMN()-8,0),"")</f>
        <v>0</v>
      </c>
      <c r="O1030" s="4" t="str">
        <f ca="1">_xlfn.IFNA(VLOOKUP(INDIRECT("G"&amp;ROW()),minfo!$A:$M,COLUMN()-8,0),"")</f>
        <v>https://i0.hdslb.com/bfs/station_src/music_metadata/4f4e8d0557d68e38a177ab168433a8fa.jpg</v>
      </c>
      <c r="P1030" s="4" t="str">
        <f ca="1">_xlfn.IFNA(VLOOKUP(INDIRECT("G"&amp;ROW()),minfo!$A:$M,COLUMN()-8,0),"")</f>
        <v>https://i0.hdslb.com/bfs/station_src/music_metadata/fc82c2697eef2777de0dac5160dc3f96.txt</v>
      </c>
      <c r="Q1030" s="4">
        <f ca="1">_xlfn.IFNA(VLOOKUP(INDIRECT("G"&amp;ROW()),minfo!$A:$M,COLUMN()-8,0),"")</f>
        <v>144</v>
      </c>
      <c r="R1030" s="4">
        <f ca="1">_xlfn.IFNA(VLOOKUP(INDIRECT("G"&amp;ROW()),minfo!$A:$M,COLUMN()-8,0),"")</f>
        <v>0</v>
      </c>
      <c r="S1030" s="4" t="str">
        <f ca="1">_xlfn.IFNA(VLOOKUP(INDIRECT("G"&amp;ROW()),minfo!$A:$M,COLUMN()-8,0),"")</f>
        <v>我们的时光</v>
      </c>
      <c r="T1030" s="4">
        <f ca="1">_xlfn.IFNA(VLOOKUP(INDIRECT("G"&amp;ROW()),minfo!$A:$M,COLUMN()-8,0),"")</f>
        <v>89378664</v>
      </c>
      <c r="U1030" s="4">
        <f ca="1">_xlfn.IFNA(VLOOKUP(INDIRECT("G"&amp;ROW()),minfo!$A:$M,COLUMN()-8,0),"")</f>
        <v>0</v>
      </c>
    </row>
    <row r="1031" spans="1:21" ht="15.75" customHeight="1">
      <c r="A1031" s="15">
        <v>1030</v>
      </c>
      <c r="B1031" s="4" t="s">
        <v>4633</v>
      </c>
      <c r="C1031" s="4">
        <v>1031</v>
      </c>
      <c r="D1031" s="4">
        <v>45</v>
      </c>
      <c r="E1031" s="4" t="s">
        <v>1102</v>
      </c>
      <c r="F1031" s="16">
        <v>44692</v>
      </c>
      <c r="G1031" s="5" t="s">
        <v>1101</v>
      </c>
      <c r="H1031" s="5" t="s">
        <v>4585</v>
      </c>
      <c r="I1031" s="24" t="str">
        <f>HYPERLINK("https://www.bilibili.com/video/BV1o3411T7Yn?p=45", "BV1o3411T7Yn?p=45")</f>
        <v>BV1o3411T7Yn?p=45</v>
      </c>
      <c r="J1031" s="4" t="str">
        <f ca="1">_xlfn.IFNA(VLOOKUP(INDIRECT("G"&amp;ROW()),minfo!$A:$M,COLUMN()-8,0),"")</f>
        <v>一生等你</v>
      </c>
      <c r="K1031" s="4" t="str">
        <f ca="1">_xlfn.IFNA(VLOOKUP(INDIRECT("G"&amp;ROW()),minfo!$A:$M,COLUMN()-8,0),"")</f>
        <v>袁娅维TIA RAY</v>
      </c>
      <c r="L1031" s="4">
        <f ca="1">_xlfn.IFNA(VLOOKUP(INDIRECT("G"&amp;ROW()),minfo!$A:$M,COLUMN()-8,0),"")</f>
        <v>0</v>
      </c>
      <c r="M1031" s="4">
        <f ca="1">_xlfn.IFNA(VLOOKUP(INDIRECT("G"&amp;ROW()),minfo!$A:$M,COLUMN()-8,0),"")</f>
        <v>0</v>
      </c>
      <c r="N1031" s="4">
        <f ca="1">_xlfn.IFNA(VLOOKUP(INDIRECT("G"&amp;ROW()),minfo!$A:$M,COLUMN()-8,0),"")</f>
        <v>0</v>
      </c>
      <c r="O1031" s="4" t="str">
        <f ca="1">_xlfn.IFNA(VLOOKUP(INDIRECT("G"&amp;ROW()),minfo!$A:$M,COLUMN()-8,0),"")</f>
        <v>http://i0.hdslb.com/bfs/station_src/music_metadata/6b290dc35e11386d12c150c4f46c485e.jpg</v>
      </c>
      <c r="P1031" s="4">
        <f ca="1">_xlfn.IFNA(VLOOKUP(INDIRECT("G"&amp;ROW()),minfo!$A:$M,COLUMN()-8,0),"")</f>
        <v>0</v>
      </c>
      <c r="Q1031" s="4">
        <f ca="1">_xlfn.IFNA(VLOOKUP(INDIRECT("G"&amp;ROW()),minfo!$A:$M,COLUMN()-8,0),"")</f>
        <v>541</v>
      </c>
      <c r="R1031" s="4" t="str">
        <f ca="1">_xlfn.IFNA(VLOOKUP(INDIRECT("G"&amp;ROW()),minfo!$A:$M,COLUMN()-8,0),"")</f>
        <v>《媚者无疆》电视剧主题曲</v>
      </c>
      <c r="S1031" s="4" t="str">
        <f ca="1">_xlfn.IFNA(VLOOKUP(INDIRECT("G"&amp;ROW()),minfo!$A:$M,COLUMN()-8,0),"")</f>
        <v>媚者无疆 电视剧原声带</v>
      </c>
      <c r="T1031" s="4">
        <f ca="1">_xlfn.IFNA(VLOOKUP(INDIRECT("G"&amp;ROW()),minfo!$A:$M,COLUMN()-8,0),"")</f>
        <v>100001088</v>
      </c>
      <c r="U1031" s="4">
        <f ca="1">_xlfn.IFNA(VLOOKUP(INDIRECT("G"&amp;ROW()),minfo!$A:$M,COLUMN()-8,0),"")</f>
        <v>0</v>
      </c>
    </row>
    <row r="1032" spans="1:21" ht="15.75" customHeight="1">
      <c r="A1032" s="15">
        <v>1031</v>
      </c>
      <c r="B1032" s="4" t="s">
        <v>4634</v>
      </c>
      <c r="C1032" s="4">
        <v>1032</v>
      </c>
      <c r="D1032" s="4">
        <v>46</v>
      </c>
      <c r="E1032" s="4" t="s">
        <v>384</v>
      </c>
      <c r="F1032" s="16">
        <v>44692</v>
      </c>
      <c r="G1032" s="5" t="s">
        <v>383</v>
      </c>
      <c r="H1032" s="5" t="s">
        <v>4585</v>
      </c>
      <c r="I1032" s="24" t="str">
        <f>HYPERLINK("https://www.bilibili.com/video/BV1o3411T7Yn?p=46", "BV1o3411T7Yn?p=46")</f>
        <v>BV1o3411T7Yn?p=46</v>
      </c>
      <c r="J1032" s="4" t="str">
        <f ca="1">_xlfn.IFNA(VLOOKUP(INDIRECT("G"&amp;ROW()),minfo!$A:$M,COLUMN()-8,0),"")</f>
        <v>恰好</v>
      </c>
      <c r="K1032" s="4" t="str">
        <f ca="1">_xlfn.IFNA(VLOOKUP(INDIRECT("G"&amp;ROW()),minfo!$A:$M,COLUMN()-8,0),"")</f>
        <v>黄龄,李鑫一</v>
      </c>
      <c r="L1032" s="4">
        <f ca="1">_xlfn.IFNA(VLOOKUP(INDIRECT("G"&amp;ROW()),minfo!$A:$M,COLUMN()-8,0),"")</f>
        <v>0</v>
      </c>
      <c r="M1032" s="4">
        <f ca="1">_xlfn.IFNA(VLOOKUP(INDIRECT("G"&amp;ROW()),minfo!$A:$M,COLUMN()-8,0),"")</f>
        <v>0</v>
      </c>
      <c r="N1032" s="4">
        <f ca="1">_xlfn.IFNA(VLOOKUP(INDIRECT("G"&amp;ROW()),minfo!$A:$M,COLUMN()-8,0),"")</f>
        <v>0</v>
      </c>
      <c r="O1032" s="4" t="str">
        <f ca="1">_xlfn.IFNA(VLOOKUP(INDIRECT("G"&amp;ROW()),minfo!$A:$M,COLUMN()-8,0),"")</f>
        <v>https://i0.hdslb.com/bfs/station_src/music_metadata/4114b5dce4dc2e8fa6d696106a6624eb.jpg</v>
      </c>
      <c r="P1032" s="4" t="str">
        <f ca="1">_xlfn.IFNA(VLOOKUP(INDIRECT("G"&amp;ROW()),minfo!$A:$M,COLUMN()-8,0),"")</f>
        <v>https://i0.hdslb.com/bfs/station_src/music_metadata/7105373054bbacbd0af01ee959bcd5e2.txt</v>
      </c>
      <c r="Q1032" s="4">
        <f ca="1">_xlfn.IFNA(VLOOKUP(INDIRECT("G"&amp;ROW()),minfo!$A:$M,COLUMN()-8,0),"")</f>
        <v>0</v>
      </c>
      <c r="R1032" s="4">
        <f ca="1">_xlfn.IFNA(VLOOKUP(INDIRECT("G"&amp;ROW()),minfo!$A:$M,COLUMN()-8,0),"")</f>
        <v>0</v>
      </c>
      <c r="S1032" s="4" t="str">
        <f ca="1">_xlfn.IFNA(VLOOKUP(INDIRECT("G"&amp;ROW()),minfo!$A:$M,COLUMN()-8,0),"")</f>
        <v>天赐的声音第二季 第9期</v>
      </c>
      <c r="T1032" s="4">
        <f ca="1">_xlfn.IFNA(VLOOKUP(INDIRECT("G"&amp;ROW()),minfo!$A:$M,COLUMN()-8,0),"")</f>
        <v>436159</v>
      </c>
      <c r="U1032" s="4">
        <f ca="1">_xlfn.IFNA(VLOOKUP(INDIRECT("G"&amp;ROW()),minfo!$A:$M,COLUMN()-8,0),"")</f>
        <v>0</v>
      </c>
    </row>
    <row r="1033" spans="1:21" ht="15.75" customHeight="1">
      <c r="A1033" s="15">
        <v>1032</v>
      </c>
      <c r="B1033" s="4" t="s">
        <v>4635</v>
      </c>
      <c r="C1033" s="4">
        <v>1033</v>
      </c>
      <c r="D1033" s="4">
        <v>47</v>
      </c>
      <c r="E1033" s="4" t="s">
        <v>4636</v>
      </c>
      <c r="F1033" s="16">
        <v>44694</v>
      </c>
      <c r="G1033" s="5" t="s">
        <v>2287</v>
      </c>
      <c r="H1033" s="5" t="s">
        <v>4585</v>
      </c>
      <c r="I1033" s="24" t="str">
        <f>HYPERLINK("https://www.bilibili.com/video/BV1o3411T7Yn?p=47", "BV1o3411T7Yn?p=47")</f>
        <v>BV1o3411T7Yn?p=47</v>
      </c>
      <c r="J1033" s="4" t="str">
        <f ca="1">_xlfn.IFNA(VLOOKUP(INDIRECT("G"&amp;ROW()),minfo!$A:$M,COLUMN()-8,0),"")</f>
        <v>热爱105°C的你</v>
      </c>
      <c r="K1033" s="4" t="str">
        <f ca="1">_xlfn.IFNA(VLOOKUP(INDIRECT("G"&amp;ROW()),minfo!$A:$M,COLUMN()-8,0),"")</f>
        <v>阿肆</v>
      </c>
      <c r="L1033" s="4">
        <f ca="1">_xlfn.IFNA(VLOOKUP(INDIRECT("G"&amp;ROW()),minfo!$A:$M,COLUMN()-8,0),"")</f>
        <v>0</v>
      </c>
      <c r="M1033" s="4">
        <f ca="1">_xlfn.IFNA(VLOOKUP(INDIRECT("G"&amp;ROW()),minfo!$A:$M,COLUMN()-8,0),"")</f>
        <v>0</v>
      </c>
      <c r="N1033" s="4">
        <f ca="1">_xlfn.IFNA(VLOOKUP(INDIRECT("G"&amp;ROW()),minfo!$A:$M,COLUMN()-8,0),"")</f>
        <v>0</v>
      </c>
      <c r="O1033" s="4" t="str">
        <f ca="1">_xlfn.IFNA(VLOOKUP(INDIRECT("G"&amp;ROW()),minfo!$A:$M,COLUMN()-8,0),"")</f>
        <v>http://i0.hdslb.com/bfs/station_src/music_metadata/0a0a1ae5330dee98664e33c12ded504c.jpg</v>
      </c>
      <c r="P1033" s="4" t="str">
        <f ca="1">_xlfn.IFNA(VLOOKUP(INDIRECT("G"&amp;ROW()),minfo!$A:$M,COLUMN()-8,0),"")</f>
        <v>http://i0.hdslb.com/bfs/station_src/music_metadata/570156cfeed0cbf3caea98b8fb19942c</v>
      </c>
      <c r="Q1033" s="4">
        <f ca="1">_xlfn.IFNA(VLOOKUP(INDIRECT("G"&amp;ROW()),minfo!$A:$M,COLUMN()-8,0),"")</f>
        <v>4675</v>
      </c>
      <c r="R1033" s="4" t="str">
        <f ca="1">_xlfn.IFNA(VLOOKUP(INDIRECT("G"&amp;ROW()),minfo!$A:$M,COLUMN()-8,0),"")</f>
        <v>《超能一家人》电影推广曲</v>
      </c>
      <c r="S1033" s="4" t="str">
        <f ca="1">_xlfn.IFNA(VLOOKUP(INDIRECT("G"&amp;ROW()),minfo!$A:$M,COLUMN()-8,0),"")</f>
        <v>热爱105°C的你</v>
      </c>
      <c r="T1033" s="4">
        <f ca="1">_xlfn.IFNA(VLOOKUP(INDIRECT("G"&amp;ROW()),minfo!$A:$M,COLUMN()-8,0),"")</f>
        <v>1654225376</v>
      </c>
      <c r="U1033" s="4">
        <f ca="1">_xlfn.IFNA(VLOOKUP(INDIRECT("G"&amp;ROW()),minfo!$A:$M,COLUMN()-8,0),"")</f>
        <v>0</v>
      </c>
    </row>
    <row r="1034" spans="1:21" ht="15.75" customHeight="1">
      <c r="A1034" s="15">
        <v>1033</v>
      </c>
      <c r="B1034" s="4" t="s">
        <v>4637</v>
      </c>
      <c r="C1034" s="4">
        <v>1034</v>
      </c>
      <c r="D1034" s="4">
        <v>48</v>
      </c>
      <c r="E1034" s="4" t="s">
        <v>2294</v>
      </c>
      <c r="F1034" s="16">
        <v>44694</v>
      </c>
      <c r="G1034" s="5" t="s">
        <v>2293</v>
      </c>
      <c r="H1034" s="5" t="s">
        <v>4585</v>
      </c>
      <c r="I1034" s="24" t="str">
        <f>HYPERLINK("https://www.bilibili.com/video/BV1o3411T7Yn?p=48", "BV1o3411T7Yn?p=48")</f>
        <v>BV1o3411T7Yn?p=48</v>
      </c>
      <c r="J1034" s="4" t="str">
        <f ca="1">_xlfn.IFNA(VLOOKUP(INDIRECT("G"&amp;ROW()),minfo!$A:$M,COLUMN()-8,0),"")</f>
        <v>爱我中华</v>
      </c>
      <c r="K1034" s="4" t="str">
        <f ca="1">_xlfn.IFNA(VLOOKUP(INDIRECT("G"&amp;ROW()),minfo!$A:$M,COLUMN()-8,0),"")</f>
        <v>宋祖英</v>
      </c>
      <c r="L1034" s="4">
        <f ca="1">_xlfn.IFNA(VLOOKUP(INDIRECT("G"&amp;ROW()),minfo!$A:$M,COLUMN()-8,0),"")</f>
        <v>0</v>
      </c>
      <c r="M1034" s="4">
        <f ca="1">_xlfn.IFNA(VLOOKUP(INDIRECT("G"&amp;ROW()),minfo!$A:$M,COLUMN()-8,0),"")</f>
        <v>0</v>
      </c>
      <c r="N1034" s="4">
        <f ca="1">_xlfn.IFNA(VLOOKUP(INDIRECT("G"&amp;ROW()),minfo!$A:$M,COLUMN()-8,0),"")</f>
        <v>0</v>
      </c>
      <c r="O1034" s="4" t="str">
        <f ca="1">_xlfn.IFNA(VLOOKUP(INDIRECT("G"&amp;ROW()),minfo!$A:$M,COLUMN()-8,0),"")</f>
        <v>http://i0.hdslb.com/bfs/station_src/music_metadata/147a2a4dea37d3fa746460850c28762e.jpg</v>
      </c>
      <c r="P1034" s="4" t="str">
        <f ca="1">_xlfn.IFNA(VLOOKUP(INDIRECT("G"&amp;ROW()),minfo!$A:$M,COLUMN()-8,0),"")</f>
        <v>https://i0.hdslb.com/bfs/station_src/music_metadata/7615ec46b60f8f320720f79ba2e11c2a.txt</v>
      </c>
      <c r="Q1034" s="4">
        <f ca="1">_xlfn.IFNA(VLOOKUP(INDIRECT("G"&amp;ROW()),minfo!$A:$M,COLUMN()-8,0),"")</f>
        <v>158</v>
      </c>
      <c r="R1034" s="4">
        <f ca="1">_xlfn.IFNA(VLOOKUP(INDIRECT("G"&amp;ROW()),minfo!$A:$M,COLUMN()-8,0),"")</f>
        <v>0</v>
      </c>
      <c r="S1034" s="4" t="str">
        <f ca="1">_xlfn.IFNA(VLOOKUP(INDIRECT("G"&amp;ROW()),minfo!$A:$M,COLUMN()-8,0),"")</f>
        <v>中国原创金曲</v>
      </c>
      <c r="T1034" s="4">
        <f ca="1">_xlfn.IFNA(VLOOKUP(INDIRECT("G"&amp;ROW()),minfo!$A:$M,COLUMN()-8,0),"")</f>
        <v>29528093</v>
      </c>
      <c r="U1034" s="4">
        <f ca="1">_xlfn.IFNA(VLOOKUP(INDIRECT("G"&amp;ROW()),minfo!$A:$M,COLUMN()-8,0),"")</f>
        <v>0</v>
      </c>
    </row>
    <row r="1035" spans="1:21" ht="15.75" customHeight="1">
      <c r="A1035" s="15">
        <v>1034</v>
      </c>
      <c r="B1035" s="4" t="s">
        <v>4638</v>
      </c>
      <c r="C1035" s="4">
        <v>1035</v>
      </c>
      <c r="D1035" s="4">
        <v>49</v>
      </c>
      <c r="E1035" s="4" t="s">
        <v>918</v>
      </c>
      <c r="F1035" s="16">
        <v>44694</v>
      </c>
      <c r="G1035" s="5" t="s">
        <v>917</v>
      </c>
      <c r="H1035" s="5" t="s">
        <v>4585</v>
      </c>
      <c r="I1035" s="24" t="str">
        <f>HYPERLINK("https://www.bilibili.com/video/BV1o3411T7Yn?p=49", "BV1o3411T7Yn?p=49")</f>
        <v>BV1o3411T7Yn?p=49</v>
      </c>
      <c r="J1035" s="4" t="str">
        <f ca="1">_xlfn.IFNA(VLOOKUP(INDIRECT("G"&amp;ROW()),minfo!$A:$M,COLUMN()-8,0),"")</f>
        <v>暗号</v>
      </c>
      <c r="K1035" s="4" t="str">
        <f ca="1">_xlfn.IFNA(VLOOKUP(INDIRECT("G"&amp;ROW()),minfo!$A:$M,COLUMN()-8,0),"")</f>
        <v>周杰伦</v>
      </c>
      <c r="L1035" s="4">
        <f ca="1">_xlfn.IFNA(VLOOKUP(INDIRECT("G"&amp;ROW()),minfo!$A:$M,COLUMN()-8,0),"")</f>
        <v>0</v>
      </c>
      <c r="M1035" s="4">
        <f ca="1">_xlfn.IFNA(VLOOKUP(INDIRECT("G"&amp;ROW()),minfo!$A:$M,COLUMN()-8,0),"")</f>
        <v>0</v>
      </c>
      <c r="N1035" s="4">
        <f ca="1">_xlfn.IFNA(VLOOKUP(INDIRECT("G"&amp;ROW()),minfo!$A:$M,COLUMN()-8,0),"")</f>
        <v>0</v>
      </c>
      <c r="O1035" s="4" t="str">
        <f ca="1">_xlfn.IFNA(VLOOKUP(INDIRECT("G"&amp;ROW()),minfo!$A:$M,COLUMN()-8,0),"")</f>
        <v>https://i0.hdslb.com/bfs/station_src/music_metadata/836d7078552d6143b4a27f54a2a62598.jpg</v>
      </c>
      <c r="P1035" s="4">
        <f ca="1">_xlfn.IFNA(VLOOKUP(INDIRECT("G"&amp;ROW()),minfo!$A:$M,COLUMN()-8,0),"")</f>
        <v>0</v>
      </c>
      <c r="Q1035" s="4">
        <f ca="1">_xlfn.IFNA(VLOOKUP(INDIRECT("G"&amp;ROW()),minfo!$A:$M,COLUMN()-8,0),"")</f>
        <v>8346</v>
      </c>
      <c r="R1035" s="4">
        <f ca="1">_xlfn.IFNA(VLOOKUP(INDIRECT("G"&amp;ROW()),minfo!$A:$M,COLUMN()-8,0),"")</f>
        <v>0</v>
      </c>
      <c r="S1035" s="4" t="str">
        <f ca="1">_xlfn.IFNA(VLOOKUP(INDIRECT("G"&amp;ROW()),minfo!$A:$M,COLUMN()-8,0),"")</f>
        <v>八度空间</v>
      </c>
      <c r="T1035" s="4">
        <f ca="1">_xlfn.IFNA(VLOOKUP(INDIRECT("G"&amp;ROW()),minfo!$A:$M,COLUMN()-8,0),"")</f>
        <v>445692889</v>
      </c>
      <c r="U1035" s="4">
        <f ca="1">_xlfn.IFNA(VLOOKUP(INDIRECT("G"&amp;ROW()),minfo!$A:$M,COLUMN()-8,0),"")</f>
        <v>0</v>
      </c>
    </row>
    <row r="1036" spans="1:21" ht="15.75" customHeight="1">
      <c r="A1036" s="15">
        <v>1035</v>
      </c>
      <c r="B1036" s="4" t="s">
        <v>4639</v>
      </c>
      <c r="C1036" s="4">
        <v>1036</v>
      </c>
      <c r="D1036" s="4">
        <v>50</v>
      </c>
      <c r="E1036" s="4" t="s">
        <v>113</v>
      </c>
      <c r="F1036" s="16">
        <v>44694</v>
      </c>
      <c r="G1036" s="5" t="s">
        <v>113</v>
      </c>
      <c r="H1036" s="5" t="s">
        <v>4585</v>
      </c>
      <c r="I1036" s="24" t="str">
        <f>HYPERLINK("https://www.bilibili.com/video/BV1o3411T7Yn?p=50", "BV1o3411T7Yn?p=50")</f>
        <v>BV1o3411T7Yn?p=50</v>
      </c>
      <c r="J1036" s="4" t="str">
        <f ca="1">_xlfn.IFNA(VLOOKUP(INDIRECT("G"&amp;ROW()),minfo!$A:$M,COLUMN()-8,0),"")</f>
        <v>牡丹亭畔</v>
      </c>
      <c r="K1036" s="4" t="str">
        <f ca="1">_xlfn.IFNA(VLOOKUP(INDIRECT("G"&amp;ROW()),minfo!$A:$M,COLUMN()-8,0),"")</f>
        <v>说说Crystal</v>
      </c>
      <c r="L1036" s="4" t="str">
        <f ca="1">_xlfn.IFNA(VLOOKUP(INDIRECT("G"&amp;ROW()),minfo!$A:$M,COLUMN()-8,0),"")</f>
        <v>BV1CP411M7tc</v>
      </c>
      <c r="M1036" s="4">
        <f ca="1">_xlfn.IFNA(VLOOKUP(INDIRECT("G"&amp;ROW()),minfo!$A:$M,COLUMN()-8,0),"")</f>
        <v>0</v>
      </c>
      <c r="N1036" s="4">
        <f ca="1">_xlfn.IFNA(VLOOKUP(INDIRECT("G"&amp;ROW()),minfo!$A:$M,COLUMN()-8,0),"")</f>
        <v>0</v>
      </c>
      <c r="O1036" s="4">
        <f ca="1">_xlfn.IFNA(VLOOKUP(INDIRECT("G"&amp;ROW()),minfo!$A:$M,COLUMN()-8,0),"")</f>
        <v>0</v>
      </c>
      <c r="P1036" s="4">
        <f ca="1">_xlfn.IFNA(VLOOKUP(INDIRECT("G"&amp;ROW()),minfo!$A:$M,COLUMN()-8,0),"")</f>
        <v>0</v>
      </c>
      <c r="Q1036" s="4">
        <f ca="1">_xlfn.IFNA(VLOOKUP(INDIRECT("G"&amp;ROW()),minfo!$A:$M,COLUMN()-8,0),"")</f>
        <v>0</v>
      </c>
      <c r="R1036" s="4">
        <f ca="1">_xlfn.IFNA(VLOOKUP(INDIRECT("G"&amp;ROW()),minfo!$A:$M,COLUMN()-8,0),"")</f>
        <v>0</v>
      </c>
      <c r="S1036" s="4">
        <f ca="1">_xlfn.IFNA(VLOOKUP(INDIRECT("G"&amp;ROW()),minfo!$A:$M,COLUMN()-8,0),"")</f>
        <v>0</v>
      </c>
      <c r="T1036" s="4">
        <f ca="1">_xlfn.IFNA(VLOOKUP(INDIRECT("G"&amp;ROW()),minfo!$A:$M,COLUMN()-8,0),"")</f>
        <v>0</v>
      </c>
      <c r="U1036" s="4">
        <f ca="1">_xlfn.IFNA(VLOOKUP(INDIRECT("G"&amp;ROW()),minfo!$A:$M,COLUMN()-8,0),"")</f>
        <v>0</v>
      </c>
    </row>
    <row r="1037" spans="1:21" ht="15.75" customHeight="1">
      <c r="A1037" s="15">
        <v>1036</v>
      </c>
      <c r="B1037" s="4" t="s">
        <v>4640</v>
      </c>
      <c r="C1037" s="4">
        <v>1037</v>
      </c>
      <c r="D1037" s="4">
        <v>51</v>
      </c>
      <c r="E1037" s="4" t="s">
        <v>375</v>
      </c>
      <c r="F1037" s="16">
        <v>44694</v>
      </c>
      <c r="G1037" s="5" t="s">
        <v>374</v>
      </c>
      <c r="H1037" s="5" t="s">
        <v>4585</v>
      </c>
      <c r="I1037" s="24" t="str">
        <f>HYPERLINK("https://www.bilibili.com/video/BV1o3411T7Yn?p=51", "BV1o3411T7Yn?p=51")</f>
        <v>BV1o3411T7Yn?p=51</v>
      </c>
      <c r="J1037" s="4" t="str">
        <f ca="1">_xlfn.IFNA(VLOOKUP(INDIRECT("G"&amp;ROW()),minfo!$A:$M,COLUMN()-8,0),"")</f>
        <v>彩虹</v>
      </c>
      <c r="K1037" s="4" t="str">
        <f ca="1">_xlfn.IFNA(VLOOKUP(INDIRECT("G"&amp;ROW()),minfo!$A:$M,COLUMN()-8,0),"")</f>
        <v>周杰伦</v>
      </c>
      <c r="L1037" s="4">
        <f ca="1">_xlfn.IFNA(VLOOKUP(INDIRECT("G"&amp;ROW()),minfo!$A:$M,COLUMN()-8,0),"")</f>
        <v>0</v>
      </c>
      <c r="M1037" s="4">
        <f ca="1">_xlfn.IFNA(VLOOKUP(INDIRECT("G"&amp;ROW()),minfo!$A:$M,COLUMN()-8,0),"")</f>
        <v>0</v>
      </c>
      <c r="N1037" s="4">
        <f ca="1">_xlfn.IFNA(VLOOKUP(INDIRECT("G"&amp;ROW()),minfo!$A:$M,COLUMN()-8,0),"")</f>
        <v>0</v>
      </c>
      <c r="O1037" s="4" t="str">
        <f ca="1">_xlfn.IFNA(VLOOKUP(INDIRECT("G"&amp;ROW()),minfo!$A:$M,COLUMN()-8,0),"")</f>
        <v>https://i0.hdslb.com/bfs/station_src/music_metadata/2b7d7250423bd10995c607eb49b4e004.jpg</v>
      </c>
      <c r="P1037" s="4">
        <f ca="1">_xlfn.IFNA(VLOOKUP(INDIRECT("G"&amp;ROW()),minfo!$A:$M,COLUMN()-8,0),"")</f>
        <v>0</v>
      </c>
      <c r="Q1037" s="4">
        <f ca="1">_xlfn.IFNA(VLOOKUP(INDIRECT("G"&amp;ROW()),minfo!$A:$M,COLUMN()-8,0),"")</f>
        <v>1340</v>
      </c>
      <c r="R1037" s="4" t="str">
        <f ca="1">_xlfn.IFNA(VLOOKUP(INDIRECT("G"&amp;ROW()),minfo!$A:$M,COLUMN()-8,0),"")</f>
        <v>《命运呼叫转移》电影主题曲</v>
      </c>
      <c r="S1037" s="4" t="str">
        <f ca="1">_xlfn.IFNA(VLOOKUP(INDIRECT("G"&amp;ROW()),minfo!$A:$M,COLUMN()-8,0),"")</f>
        <v>我很忙</v>
      </c>
      <c r="T1037" s="4">
        <f ca="1">_xlfn.IFNA(VLOOKUP(INDIRECT("G"&amp;ROW()),minfo!$A:$M,COLUMN()-8,0),"")</f>
        <v>394249952</v>
      </c>
      <c r="U1037" s="4">
        <f ca="1">_xlfn.IFNA(VLOOKUP(INDIRECT("G"&amp;ROW()),minfo!$A:$M,COLUMN()-8,0),"")</f>
        <v>0</v>
      </c>
    </row>
    <row r="1038" spans="1:21" ht="15.75" customHeight="1">
      <c r="A1038" s="15">
        <v>1037</v>
      </c>
      <c r="B1038" s="4" t="s">
        <v>4641</v>
      </c>
      <c r="C1038" s="4">
        <v>1038</v>
      </c>
      <c r="D1038" s="4">
        <v>52</v>
      </c>
      <c r="E1038" s="4" t="s">
        <v>2082</v>
      </c>
      <c r="F1038" s="16">
        <v>44695</v>
      </c>
      <c r="G1038" s="5" t="s">
        <v>2081</v>
      </c>
      <c r="H1038" s="5" t="s">
        <v>4585</v>
      </c>
      <c r="I1038" s="24" t="str">
        <f>HYPERLINK("https://www.bilibili.com/video/BV1o3411T7Yn?p=52", "BV1o3411T7Yn?p=52")</f>
        <v>BV1o3411T7Yn?p=52</v>
      </c>
      <c r="J1038" s="4" t="str">
        <f ca="1">_xlfn.IFNA(VLOOKUP(INDIRECT("G"&amp;ROW()),minfo!$A:$M,COLUMN()-8,0),"")</f>
        <v>依然爱你</v>
      </c>
      <c r="K1038" s="4" t="str">
        <f ca="1">_xlfn.IFNA(VLOOKUP(INDIRECT("G"&amp;ROW()),minfo!$A:$M,COLUMN()-8,0),"")</f>
        <v>韩宝仪</v>
      </c>
      <c r="L1038" s="4">
        <f ca="1">_xlfn.IFNA(VLOOKUP(INDIRECT("G"&amp;ROW()),minfo!$A:$M,COLUMN()-8,0),"")</f>
        <v>0</v>
      </c>
      <c r="M1038" s="4">
        <f ca="1">_xlfn.IFNA(VLOOKUP(INDIRECT("G"&amp;ROW()),minfo!$A:$M,COLUMN()-8,0),"")</f>
        <v>0</v>
      </c>
      <c r="N1038" s="4">
        <f ca="1">_xlfn.IFNA(VLOOKUP(INDIRECT("G"&amp;ROW()),minfo!$A:$M,COLUMN()-8,0),"")</f>
        <v>0</v>
      </c>
      <c r="O1038" s="4" t="str">
        <f ca="1">_xlfn.IFNA(VLOOKUP(INDIRECT("G"&amp;ROW()),minfo!$A:$M,COLUMN()-8,0),"")</f>
        <v>https://i0.hdslb.com/bfs/station_src/music_metadata/242392b0da3fcaa10a3784f95a249902.jpg</v>
      </c>
      <c r="P1038" s="4" t="str">
        <f ca="1">_xlfn.IFNA(VLOOKUP(INDIRECT("G"&amp;ROW()),minfo!$A:$M,COLUMN()-8,0),"")</f>
        <v>http://i0.hdslb.com/bfs/station_src/music_metadata/949caec540a59346f0baa126ef4029c8</v>
      </c>
      <c r="Q1038" s="4">
        <f ca="1">_xlfn.IFNA(VLOOKUP(INDIRECT("G"&amp;ROW()),minfo!$A:$M,COLUMN()-8,0),"")</f>
        <v>34</v>
      </c>
      <c r="R1038" s="4">
        <f ca="1">_xlfn.IFNA(VLOOKUP(INDIRECT("G"&amp;ROW()),minfo!$A:$M,COLUMN()-8,0),"")</f>
        <v>0</v>
      </c>
      <c r="S1038" s="4" t="str">
        <f ca="1">_xlfn.IFNA(VLOOKUP(INDIRECT("G"&amp;ROW()),minfo!$A:$M,COLUMN()-8,0),"")</f>
        <v>又见宝仪</v>
      </c>
      <c r="T1038" s="4">
        <f ca="1">_xlfn.IFNA(VLOOKUP(INDIRECT("G"&amp;ROW()),minfo!$A:$M,COLUMN()-8,0),"")</f>
        <v>46570561</v>
      </c>
      <c r="U1038" s="4">
        <f ca="1">_xlfn.IFNA(VLOOKUP(INDIRECT("G"&amp;ROW()),minfo!$A:$M,COLUMN()-8,0),"")</f>
        <v>0</v>
      </c>
    </row>
    <row r="1039" spans="1:21" ht="15.75" customHeight="1">
      <c r="A1039" s="15">
        <v>1038</v>
      </c>
      <c r="B1039" s="4" t="s">
        <v>4642</v>
      </c>
      <c r="C1039" s="4">
        <v>1039</v>
      </c>
      <c r="D1039" s="4">
        <v>53</v>
      </c>
      <c r="E1039" s="4" t="s">
        <v>2299</v>
      </c>
      <c r="F1039" s="16">
        <v>44695</v>
      </c>
      <c r="G1039" s="5" t="s">
        <v>2298</v>
      </c>
      <c r="H1039" s="5" t="s">
        <v>4585</v>
      </c>
      <c r="I1039" s="24" t="str">
        <f>HYPERLINK("https://www.bilibili.com/video/BV1o3411T7Yn?p=53", "BV1o3411T7Yn?p=53")</f>
        <v>BV1o3411T7Yn?p=53</v>
      </c>
      <c r="J1039" s="4" t="str">
        <f ca="1">_xlfn.IFNA(VLOOKUP(INDIRECT("G"&amp;ROW()),minfo!$A:$M,COLUMN()-8,0),"")</f>
        <v>囚鸟</v>
      </c>
      <c r="K1039" s="4" t="str">
        <f ca="1">_xlfn.IFNA(VLOOKUP(INDIRECT("G"&amp;ROW()),minfo!$A:$M,COLUMN()-8,0),"")</f>
        <v>彭羚</v>
      </c>
      <c r="L1039" s="4">
        <f ca="1">_xlfn.IFNA(VLOOKUP(INDIRECT("G"&amp;ROW()),minfo!$A:$M,COLUMN()-8,0),"")</f>
        <v>0</v>
      </c>
      <c r="M1039" s="4">
        <f ca="1">_xlfn.IFNA(VLOOKUP(INDIRECT("G"&amp;ROW()),minfo!$A:$M,COLUMN()-8,0),"")</f>
        <v>0</v>
      </c>
      <c r="N1039" s="4">
        <f ca="1">_xlfn.IFNA(VLOOKUP(INDIRECT("G"&amp;ROW()),minfo!$A:$M,COLUMN()-8,0),"")</f>
        <v>0</v>
      </c>
      <c r="O1039" s="4" t="str">
        <f ca="1">_xlfn.IFNA(VLOOKUP(INDIRECT("G"&amp;ROW()),minfo!$A:$M,COLUMN()-8,0),"")</f>
        <v>http://i0.hdslb.com/bfs/station_src/music_metadata/d850d5f17780678026edaaaf5d36127d.jpg</v>
      </c>
      <c r="P1039" s="4" t="str">
        <f ca="1">_xlfn.IFNA(VLOOKUP(INDIRECT("G"&amp;ROW()),minfo!$A:$M,COLUMN()-8,0),"")</f>
        <v>http://i0.hdslb.com/bfs/station_src/music_metadata/3472509aa581e51b2767d3ff81e62f6d</v>
      </c>
      <c r="Q1039" s="4">
        <f ca="1">_xlfn.IFNA(VLOOKUP(INDIRECT("G"&amp;ROW()),minfo!$A:$M,COLUMN()-8,0),"")</f>
        <v>144</v>
      </c>
      <c r="R1039" s="4">
        <f ca="1">_xlfn.IFNA(VLOOKUP(INDIRECT("G"&amp;ROW()),minfo!$A:$M,COLUMN()-8,0),"")</f>
        <v>0</v>
      </c>
      <c r="S1039" s="4" t="str">
        <f ca="1">_xlfn.IFNA(VLOOKUP(INDIRECT("G"&amp;ROW()),minfo!$A:$M,COLUMN()-8,0),"")</f>
        <v>囚鸟 (Remastered)</v>
      </c>
      <c r="T1039" s="4">
        <f ca="1">_xlfn.IFNA(VLOOKUP(INDIRECT("G"&amp;ROW()),minfo!$A:$M,COLUMN()-8,0),"")</f>
        <v>96242509</v>
      </c>
      <c r="U1039" s="4">
        <f ca="1">_xlfn.IFNA(VLOOKUP(INDIRECT("G"&amp;ROW()),minfo!$A:$M,COLUMN()-8,0),"")</f>
        <v>0</v>
      </c>
    </row>
    <row r="1040" spans="1:21" ht="15.75" customHeight="1">
      <c r="A1040" s="15">
        <v>1039</v>
      </c>
      <c r="B1040" s="4" t="s">
        <v>4643</v>
      </c>
      <c r="C1040" s="4">
        <v>1040</v>
      </c>
      <c r="D1040" s="4">
        <v>54</v>
      </c>
      <c r="E1040" s="4" t="s">
        <v>1514</v>
      </c>
      <c r="F1040" s="16">
        <v>44695</v>
      </c>
      <c r="G1040" s="5" t="s">
        <v>1513</v>
      </c>
      <c r="H1040" s="5" t="s">
        <v>4585</v>
      </c>
      <c r="I1040" s="24" t="str">
        <f>HYPERLINK("https://www.bilibili.com/video/BV1o3411T7Yn?p=54", "BV1o3411T7Yn?p=54")</f>
        <v>BV1o3411T7Yn?p=54</v>
      </c>
      <c r="J1040" s="4" t="str">
        <f ca="1">_xlfn.IFNA(VLOOKUP(INDIRECT("G"&amp;ROW()),minfo!$A:$M,COLUMN()-8,0),"")</f>
        <v>满月</v>
      </c>
      <c r="K1040" s="4" t="str">
        <f ca="1">_xlfn.IFNA(VLOOKUP(INDIRECT("G"&amp;ROW()),minfo!$A:$M,COLUMN()-8,0),"")</f>
        <v>陈思思</v>
      </c>
      <c r="L1040" s="4">
        <f ca="1">_xlfn.IFNA(VLOOKUP(INDIRECT("G"&amp;ROW()),minfo!$A:$M,COLUMN()-8,0),"")</f>
        <v>0</v>
      </c>
      <c r="M1040" s="4">
        <f ca="1">_xlfn.IFNA(VLOOKUP(INDIRECT("G"&amp;ROW()),minfo!$A:$M,COLUMN()-8,0),"")</f>
        <v>0</v>
      </c>
      <c r="N1040" s="4">
        <f ca="1">_xlfn.IFNA(VLOOKUP(INDIRECT("G"&amp;ROW()),minfo!$A:$M,COLUMN()-8,0),"")</f>
        <v>0</v>
      </c>
      <c r="O1040" s="4" t="str">
        <f ca="1">_xlfn.IFNA(VLOOKUP(INDIRECT("G"&amp;ROW()),minfo!$A:$M,COLUMN()-8,0),"")</f>
        <v>https://i0.hdslb.com/bfs/station_src/music_metadata/43a9966e91cd69b2348a555c6041cfb6.jpg</v>
      </c>
      <c r="P1040" s="4" t="str">
        <f ca="1">_xlfn.IFNA(VLOOKUP(INDIRECT("G"&amp;ROW()),minfo!$A:$M,COLUMN()-8,0),"")</f>
        <v>https://i0.hdslb.com/bfs/station_src/music_metadata/2a1df572abce1d44c082f0b985cf3183.txt</v>
      </c>
      <c r="Q1040" s="4">
        <f ca="1">_xlfn.IFNA(VLOOKUP(INDIRECT("G"&amp;ROW()),minfo!$A:$M,COLUMN()-8,0),"")</f>
        <v>5</v>
      </c>
      <c r="R1040" s="4">
        <f ca="1">_xlfn.IFNA(VLOOKUP(INDIRECT("G"&amp;ROW()),minfo!$A:$M,COLUMN()-8,0),"")</f>
        <v>0</v>
      </c>
      <c r="S1040" s="4" t="str">
        <f ca="1">_xlfn.IFNA(VLOOKUP(INDIRECT("G"&amp;ROW()),minfo!$A:$M,COLUMN()-8,0),"")</f>
        <v>星光璀璨</v>
      </c>
      <c r="T1040" s="4">
        <f ca="1">_xlfn.IFNA(VLOOKUP(INDIRECT("G"&amp;ROW()),minfo!$A:$M,COLUMN()-8,0),"")</f>
        <v>3821199</v>
      </c>
      <c r="U1040" s="4">
        <f ca="1">_xlfn.IFNA(VLOOKUP(INDIRECT("G"&amp;ROW()),minfo!$A:$M,COLUMN()-8,0),"")</f>
        <v>0</v>
      </c>
    </row>
    <row r="1041" spans="1:21" ht="15.75" customHeight="1">
      <c r="A1041" s="15">
        <v>1040</v>
      </c>
      <c r="B1041" s="4" t="s">
        <v>4644</v>
      </c>
      <c r="C1041" s="4">
        <v>1041</v>
      </c>
      <c r="D1041" s="4">
        <v>55</v>
      </c>
      <c r="E1041" s="4" t="s">
        <v>625</v>
      </c>
      <c r="F1041" s="16">
        <v>44695</v>
      </c>
      <c r="G1041" s="5" t="s">
        <v>2304</v>
      </c>
      <c r="H1041" s="5" t="s">
        <v>4585</v>
      </c>
      <c r="I1041" s="24" t="str">
        <f>HYPERLINK("https://www.bilibili.com/video/BV1o3411T7Yn?p=55", "BV1o3411T7Yn?p=55")</f>
        <v>BV1o3411T7Yn?p=55</v>
      </c>
      <c r="J1041" s="4" t="str">
        <f ca="1">_xlfn.IFNA(VLOOKUP(INDIRECT("G"&amp;ROW()),minfo!$A:$M,COLUMN()-8,0),"")</f>
        <v>起风了</v>
      </c>
      <c r="K1041" s="4" t="str">
        <f ca="1">_xlfn.IFNA(VLOOKUP(INDIRECT("G"&amp;ROW()),minfo!$A:$M,COLUMN()-8,0),"")</f>
        <v>Liu-95_Y</v>
      </c>
      <c r="L1041" s="4">
        <f ca="1">_xlfn.IFNA(VLOOKUP(INDIRECT("G"&amp;ROW()),minfo!$A:$M,COLUMN()-8,0),"")</f>
        <v>0</v>
      </c>
      <c r="M1041" s="4">
        <f ca="1">_xlfn.IFNA(VLOOKUP(INDIRECT("G"&amp;ROW()),minfo!$A:$M,COLUMN()-8,0),"")</f>
        <v>0</v>
      </c>
      <c r="N1041" s="4">
        <f ca="1">_xlfn.IFNA(VLOOKUP(INDIRECT("G"&amp;ROW()),minfo!$A:$M,COLUMN()-8,0),"")</f>
        <v>0</v>
      </c>
      <c r="O1041" s="4" t="str">
        <f ca="1">_xlfn.IFNA(VLOOKUP(INDIRECT("G"&amp;ROW()),minfo!$A:$M,COLUMN()-8,0),"")</f>
        <v>https://i0.hdslb.com/bfs/station_src/music_metadata/81b0d9bf48a66b8b15beafcd9fd49576.jpg</v>
      </c>
      <c r="P1041" s="4" t="str">
        <f ca="1">_xlfn.IFNA(VLOOKUP(INDIRECT("G"&amp;ROW()),minfo!$A:$M,COLUMN()-8,0),"")</f>
        <v>https://i0.hdslb.com/bfs/station_src/music_metadata/89e4e2ba058f90b5c4afb3c9341aac44.txt</v>
      </c>
      <c r="Q1041" s="4">
        <f ca="1">_xlfn.IFNA(VLOOKUP(INDIRECT("G"&amp;ROW()),minfo!$A:$M,COLUMN()-8,0),"")</f>
        <v>31</v>
      </c>
      <c r="R1041" s="4">
        <f ca="1">_xlfn.IFNA(VLOOKUP(INDIRECT("G"&amp;ROW()),minfo!$A:$M,COLUMN()-8,0),"")</f>
        <v>0</v>
      </c>
      <c r="S1041" s="4" t="str">
        <f ca="1">_xlfn.IFNA(VLOOKUP(INDIRECT("G"&amp;ROW()),minfo!$A:$M,COLUMN()-8,0),"")</f>
        <v>Drum Cover 合集</v>
      </c>
      <c r="T1041" s="4">
        <f ca="1">_xlfn.IFNA(VLOOKUP(INDIRECT("G"&amp;ROW()),minfo!$A:$M,COLUMN()-8,0),"")</f>
        <v>20136844</v>
      </c>
      <c r="U1041" s="4">
        <f ca="1">_xlfn.IFNA(VLOOKUP(INDIRECT("G"&amp;ROW()),minfo!$A:$M,COLUMN()-8,0),"")</f>
        <v>0</v>
      </c>
    </row>
    <row r="1042" spans="1:21" ht="15.75" customHeight="1">
      <c r="A1042" s="15">
        <v>1041</v>
      </c>
      <c r="B1042" s="4" t="s">
        <v>4645</v>
      </c>
      <c r="C1042" s="4">
        <v>1042</v>
      </c>
      <c r="D1042" s="4">
        <v>56</v>
      </c>
      <c r="E1042" s="4" t="s">
        <v>483</v>
      </c>
      <c r="F1042" s="16">
        <v>44695</v>
      </c>
      <c r="G1042" s="5" t="s">
        <v>482</v>
      </c>
      <c r="H1042" s="5" t="s">
        <v>4585</v>
      </c>
      <c r="I1042" s="24" t="str">
        <f>HYPERLINK("https://www.bilibili.com/video/BV1o3411T7Yn?p=56", "BV1o3411T7Yn?p=56")</f>
        <v>BV1o3411T7Yn?p=56</v>
      </c>
      <c r="J1042" s="4" t="str">
        <f ca="1">_xlfn.IFNA(VLOOKUP(INDIRECT("G"&amp;ROW()),minfo!$A:$M,COLUMN()-8,0),"")</f>
        <v>三月雨</v>
      </c>
      <c r="K1042" s="4" t="str">
        <f ca="1">_xlfn.IFNA(VLOOKUP(INDIRECT("G"&amp;ROW()),minfo!$A:$M,COLUMN()-8,0),"")</f>
        <v>洛天依</v>
      </c>
      <c r="L1042" s="4">
        <f ca="1">_xlfn.IFNA(VLOOKUP(INDIRECT("G"&amp;ROW()),minfo!$A:$M,COLUMN()-8,0),"")</f>
        <v>0</v>
      </c>
      <c r="M1042" s="4">
        <f ca="1">_xlfn.IFNA(VLOOKUP(INDIRECT("G"&amp;ROW()),minfo!$A:$M,COLUMN()-8,0),"")</f>
        <v>0</v>
      </c>
      <c r="N1042" s="4">
        <f ca="1">_xlfn.IFNA(VLOOKUP(INDIRECT("G"&amp;ROW()),minfo!$A:$M,COLUMN()-8,0),"")</f>
        <v>0</v>
      </c>
      <c r="O1042" s="4" t="str">
        <f ca="1">_xlfn.IFNA(VLOOKUP(INDIRECT("G"&amp;ROW()),minfo!$A:$M,COLUMN()-8,0),"")</f>
        <v>https://i0.hdslb.com/bfs/station_src/music_metadata/d9ec84386ae11b7d1479726beb84a9b0.jpg</v>
      </c>
      <c r="P1042" s="4">
        <f ca="1">_xlfn.IFNA(VLOOKUP(INDIRECT("G"&amp;ROW()),minfo!$A:$M,COLUMN()-8,0),"")</f>
        <v>0</v>
      </c>
      <c r="Q1042" s="4">
        <f ca="1">_xlfn.IFNA(VLOOKUP(INDIRECT("G"&amp;ROW()),minfo!$A:$M,COLUMN()-8,0),"")</f>
        <v>73</v>
      </c>
      <c r="R1042" s="4">
        <f ca="1">_xlfn.IFNA(VLOOKUP(INDIRECT("G"&amp;ROW()),minfo!$A:$M,COLUMN()-8,0),"")</f>
        <v>0</v>
      </c>
      <c r="S1042" s="4" t="str">
        <f ca="1">_xlfn.IFNA(VLOOKUP(INDIRECT("G"&amp;ROW()),minfo!$A:$M,COLUMN()-8,0),"")</f>
        <v>洛天依小鸡哔哔</v>
      </c>
      <c r="T1042" s="4">
        <f ca="1">_xlfn.IFNA(VLOOKUP(INDIRECT("G"&amp;ROW()),minfo!$A:$M,COLUMN()-8,0),"")</f>
        <v>22973704</v>
      </c>
      <c r="U1042" s="4">
        <f ca="1">_xlfn.IFNA(VLOOKUP(INDIRECT("G"&amp;ROW()),minfo!$A:$M,COLUMN()-8,0),"")</f>
        <v>0</v>
      </c>
    </row>
    <row r="1043" spans="1:21" ht="15.75" customHeight="1">
      <c r="A1043" s="15">
        <v>1042</v>
      </c>
      <c r="B1043" s="4" t="s">
        <v>4646</v>
      </c>
      <c r="C1043" s="4">
        <v>1043</v>
      </c>
      <c r="D1043" s="4">
        <v>57</v>
      </c>
      <c r="E1043" s="4" t="s">
        <v>2121</v>
      </c>
      <c r="F1043" s="16">
        <v>44696</v>
      </c>
      <c r="G1043" s="5" t="s">
        <v>2120</v>
      </c>
      <c r="H1043" s="5" t="s">
        <v>4585</v>
      </c>
      <c r="I1043" s="24" t="str">
        <f>HYPERLINK("https://www.bilibili.com/video/BV1o3411T7Yn?p=57", "BV1o3411T7Yn?p=57")</f>
        <v>BV1o3411T7Yn?p=57</v>
      </c>
      <c r="J1043" s="4" t="str">
        <f ca="1">_xlfn.IFNA(VLOOKUP(INDIRECT("G"&amp;ROW()),minfo!$A:$M,COLUMN()-8,0),"")</f>
        <v>崇拜</v>
      </c>
      <c r="K1043" s="4" t="str">
        <f ca="1">_xlfn.IFNA(VLOOKUP(INDIRECT("G"&amp;ROW()),minfo!$A:$M,COLUMN()-8,0),"")</f>
        <v>梁静茹</v>
      </c>
      <c r="L1043" s="4">
        <f ca="1">_xlfn.IFNA(VLOOKUP(INDIRECT("G"&amp;ROW()),minfo!$A:$M,COLUMN()-8,0),"")</f>
        <v>0</v>
      </c>
      <c r="M1043" s="4">
        <f ca="1">_xlfn.IFNA(VLOOKUP(INDIRECT("G"&amp;ROW()),minfo!$A:$M,COLUMN()-8,0),"")</f>
        <v>0</v>
      </c>
      <c r="N1043" s="4">
        <f ca="1">_xlfn.IFNA(VLOOKUP(INDIRECT("G"&amp;ROW()),minfo!$A:$M,COLUMN()-8,0),"")</f>
        <v>0</v>
      </c>
      <c r="O1043" s="4" t="str">
        <f ca="1">_xlfn.IFNA(VLOOKUP(INDIRECT("G"&amp;ROW()),minfo!$A:$M,COLUMN()-8,0),"")</f>
        <v>https://i0.hdslb.com/bfs/station_src/music_metadata/558a5fdd70d879b81eccaad500c9660d.jpg</v>
      </c>
      <c r="P1043" s="4" t="str">
        <f ca="1">_xlfn.IFNA(VLOOKUP(INDIRECT("G"&amp;ROW()),minfo!$A:$M,COLUMN()-8,0),"")</f>
        <v>http://i0.hdslb.com/bfs/station_src/music_metadata/fdd664bdb7547dbd99deb2d6cc8326ee</v>
      </c>
      <c r="Q1043" s="4">
        <f ca="1">_xlfn.IFNA(VLOOKUP(INDIRECT("G"&amp;ROW()),minfo!$A:$M,COLUMN()-8,0),"")</f>
        <v>131</v>
      </c>
      <c r="R1043" s="4" t="str">
        <f ca="1">_xlfn.IFNA(VLOOKUP(INDIRECT("G"&amp;ROW()),minfo!$A:$M,COLUMN()-8,0),"")</f>
        <v>《黄真伊》电视剧台版片尾曲</v>
      </c>
      <c r="S1043" s="4" t="str">
        <f ca="1">_xlfn.IFNA(VLOOKUP(INDIRECT("G"&amp;ROW()),minfo!$A:$M,COLUMN()-8,0),"")</f>
        <v>崇拜</v>
      </c>
      <c r="T1043" s="4">
        <f ca="1">_xlfn.IFNA(VLOOKUP(INDIRECT("G"&amp;ROW()),minfo!$A:$M,COLUMN()-8,0),"")</f>
        <v>56720759</v>
      </c>
      <c r="U1043" s="4">
        <f ca="1">_xlfn.IFNA(VLOOKUP(INDIRECT("G"&amp;ROW()),minfo!$A:$M,COLUMN()-8,0),"")</f>
        <v>0</v>
      </c>
    </row>
    <row r="1044" spans="1:21" ht="15.75" customHeight="1">
      <c r="A1044" s="15">
        <v>1043</v>
      </c>
      <c r="B1044" s="4" t="s">
        <v>4647</v>
      </c>
      <c r="C1044" s="4">
        <v>1044</v>
      </c>
      <c r="D1044" s="4">
        <v>58</v>
      </c>
      <c r="E1044" s="4" t="s">
        <v>1073</v>
      </c>
      <c r="F1044" s="16">
        <v>44698</v>
      </c>
      <c r="G1044" s="5" t="s">
        <v>1072</v>
      </c>
      <c r="H1044" s="5" t="s">
        <v>4585</v>
      </c>
      <c r="I1044" s="24" t="str">
        <f>HYPERLINK("https://www.bilibili.com/video/BV1o3411T7Yn?p=58", "BV1o3411T7Yn?p=58")</f>
        <v>BV1o3411T7Yn?p=58</v>
      </c>
      <c r="J1044" s="4" t="str">
        <f ca="1">_xlfn.IFNA(VLOOKUP(INDIRECT("G"&amp;ROW()),minfo!$A:$M,COLUMN()-8,0),"")</f>
        <v>栅栏间隙偷窥你</v>
      </c>
      <c r="K1044" s="4" t="str">
        <f ca="1">_xlfn.IFNA(VLOOKUP(INDIRECT("G"&amp;ROW()),minfo!$A:$M,COLUMN()-8,0),"")</f>
        <v>蔡依林</v>
      </c>
      <c r="L1044" s="4">
        <f ca="1">_xlfn.IFNA(VLOOKUP(INDIRECT("G"&amp;ROW()),minfo!$A:$M,COLUMN()-8,0),"")</f>
        <v>0</v>
      </c>
      <c r="M1044" s="4">
        <f ca="1">_xlfn.IFNA(VLOOKUP(INDIRECT("G"&amp;ROW()),minfo!$A:$M,COLUMN()-8,0),"")</f>
        <v>0</v>
      </c>
      <c r="N1044" s="4">
        <f ca="1">_xlfn.IFNA(VLOOKUP(INDIRECT("G"&amp;ROW()),minfo!$A:$M,COLUMN()-8,0),"")</f>
        <v>0</v>
      </c>
      <c r="O1044" s="4" t="str">
        <f ca="1">_xlfn.IFNA(VLOOKUP(INDIRECT("G"&amp;ROW()),minfo!$A:$M,COLUMN()-8,0),"")</f>
        <v>https://i0.hdslb.com/bfs/station_src/music_metadata/02695fbc3e82dda3aca1c35dd64b7823.jpg</v>
      </c>
      <c r="P1044" s="4" t="str">
        <f ca="1">_xlfn.IFNA(VLOOKUP(INDIRECT("G"&amp;ROW()),minfo!$A:$M,COLUMN()-8,0),"")</f>
        <v>https://i0.hdslb.com/bfs/station_src/music_metadata/a3bfe1880135f94b8d1004bed38b637f.txt</v>
      </c>
      <c r="Q1044" s="4">
        <f ca="1">_xlfn.IFNA(VLOOKUP(INDIRECT("G"&amp;ROW()),minfo!$A:$M,COLUMN()-8,0),"")</f>
        <v>2</v>
      </c>
      <c r="R1044" s="4">
        <f ca="1">_xlfn.IFNA(VLOOKUP(INDIRECT("G"&amp;ROW()),minfo!$A:$M,COLUMN()-8,0),"")</f>
        <v>0</v>
      </c>
      <c r="S1044" s="4" t="str">
        <f ca="1">_xlfn.IFNA(VLOOKUP(INDIRECT("G"&amp;ROW()),minfo!$A:$M,COLUMN()-8,0),"")</f>
        <v>MUSE</v>
      </c>
      <c r="T1044" s="4">
        <f ca="1">_xlfn.IFNA(VLOOKUP(INDIRECT("G"&amp;ROW()),minfo!$A:$M,COLUMN()-8,0),"")</f>
        <v>3494554</v>
      </c>
      <c r="U1044" s="4">
        <f ca="1">_xlfn.IFNA(VLOOKUP(INDIRECT("G"&amp;ROW()),minfo!$A:$M,COLUMN()-8,0),"")</f>
        <v>0</v>
      </c>
    </row>
    <row r="1045" spans="1:21" ht="15.75" customHeight="1">
      <c r="A1045" s="15">
        <v>1044</v>
      </c>
      <c r="B1045" s="4" t="s">
        <v>4648</v>
      </c>
      <c r="C1045" s="4">
        <v>1045</v>
      </c>
      <c r="D1045" s="4">
        <v>59</v>
      </c>
      <c r="E1045" s="4" t="s">
        <v>1743</v>
      </c>
      <c r="F1045" s="16">
        <v>44698</v>
      </c>
      <c r="G1045" s="5" t="s">
        <v>1742</v>
      </c>
      <c r="H1045" s="5" t="s">
        <v>4585</v>
      </c>
      <c r="I1045" s="24" t="str">
        <f>HYPERLINK("https://www.bilibili.com/video/BV1o3411T7Yn?p=59", "BV1o3411T7Yn?p=59")</f>
        <v>BV1o3411T7Yn?p=59</v>
      </c>
      <c r="J1045" s="4" t="str">
        <f ca="1">_xlfn.IFNA(VLOOKUP(INDIRECT("G"&amp;ROW()),minfo!$A:$M,COLUMN()-8,0),"")</f>
        <v>知足</v>
      </c>
      <c r="K1045" s="4" t="str">
        <f ca="1">_xlfn.IFNA(VLOOKUP(INDIRECT("G"&amp;ROW()),minfo!$A:$M,COLUMN()-8,0),"")</f>
        <v>五月天</v>
      </c>
      <c r="L1045" s="4">
        <f ca="1">_xlfn.IFNA(VLOOKUP(INDIRECT("G"&amp;ROW()),minfo!$A:$M,COLUMN()-8,0),"")</f>
        <v>0</v>
      </c>
      <c r="M1045" s="4">
        <f ca="1">_xlfn.IFNA(VLOOKUP(INDIRECT("G"&amp;ROW()),minfo!$A:$M,COLUMN()-8,0),"")</f>
        <v>3030</v>
      </c>
      <c r="N1045" s="4">
        <f ca="1">_xlfn.IFNA(VLOOKUP(INDIRECT("G"&amp;ROW()),minfo!$A:$M,COLUMN()-8,0),"")</f>
        <v>1949</v>
      </c>
      <c r="O1045" s="4" t="str">
        <f ca="1">_xlfn.IFNA(VLOOKUP(INDIRECT("G"&amp;ROW()),minfo!$A:$M,COLUMN()-8,0),"")</f>
        <v>http://i0.hdslb.com/bfs/station_src/music_metadata/dab8db4a9a448c1f836e56049070aa26.jpg</v>
      </c>
      <c r="P1045" s="4" t="str">
        <f ca="1">_xlfn.IFNA(VLOOKUP(INDIRECT("G"&amp;ROW()),minfo!$A:$M,COLUMN()-8,0),"")</f>
        <v>http://i0.hdslb.com/bfs/station_src/music_metadata/b378a92a47e277d62037de8697e6967f</v>
      </c>
      <c r="Q1045" s="4">
        <f ca="1">_xlfn.IFNA(VLOOKUP(INDIRECT("G"&amp;ROW()),minfo!$A:$M,COLUMN()-8,0),"")</f>
        <v>556</v>
      </c>
      <c r="R1045" s="4">
        <f ca="1">_xlfn.IFNA(VLOOKUP(INDIRECT("G"&amp;ROW()),minfo!$A:$M,COLUMN()-8,0),"")</f>
        <v>0</v>
      </c>
      <c r="S1045" s="4" t="str">
        <f ca="1">_xlfn.IFNA(VLOOKUP(INDIRECT("G"&amp;ROW()),minfo!$A:$M,COLUMN()-8,0),"")</f>
        <v>步步 自选作品辑 the Best of 1999-2013</v>
      </c>
      <c r="T1045" s="4">
        <f ca="1">_xlfn.IFNA(VLOOKUP(INDIRECT("G"&amp;ROW()),minfo!$A:$M,COLUMN()-8,0),"")</f>
        <v>243513643</v>
      </c>
      <c r="U1045" s="4">
        <f ca="1">_xlfn.IFNA(VLOOKUP(INDIRECT("G"&amp;ROW()),minfo!$A:$M,COLUMN()-8,0),"")</f>
        <v>0</v>
      </c>
    </row>
    <row r="1046" spans="1:21" ht="15.75" customHeight="1">
      <c r="A1046" s="15">
        <v>1045</v>
      </c>
      <c r="B1046" s="4" t="s">
        <v>4649</v>
      </c>
      <c r="C1046" s="4">
        <v>1046</v>
      </c>
      <c r="D1046" s="4">
        <v>60</v>
      </c>
      <c r="E1046" s="4" t="s">
        <v>2310</v>
      </c>
      <c r="F1046" s="16">
        <v>44698</v>
      </c>
      <c r="G1046" s="5" t="s">
        <v>2309</v>
      </c>
      <c r="H1046" s="5" t="s">
        <v>4585</v>
      </c>
      <c r="I1046" s="24" t="str">
        <f>HYPERLINK("https://www.bilibili.com/video/BV1o3411T7Yn?p=60", "BV1o3411T7Yn?p=60")</f>
        <v>BV1o3411T7Yn?p=60</v>
      </c>
      <c r="J1046" s="4" t="str">
        <f ca="1">_xlfn.IFNA(VLOOKUP(INDIRECT("G"&amp;ROW()),minfo!$A:$M,COLUMN()-8,0),"")</f>
        <v>梁山伯与茱丽叶</v>
      </c>
      <c r="K1046" s="4" t="str">
        <f ca="1">_xlfn.IFNA(VLOOKUP(INDIRECT("G"&amp;ROW()),minfo!$A:$M,COLUMN()-8,0),"")</f>
        <v>卓文萱,曹格</v>
      </c>
      <c r="L1046" s="4">
        <f ca="1">_xlfn.IFNA(VLOOKUP(INDIRECT("G"&amp;ROW()),minfo!$A:$M,COLUMN()-8,0),"")</f>
        <v>0</v>
      </c>
      <c r="M1046" s="4">
        <f ca="1">_xlfn.IFNA(VLOOKUP(INDIRECT("G"&amp;ROW()),minfo!$A:$M,COLUMN()-8,0),"")</f>
        <v>0</v>
      </c>
      <c r="N1046" s="4">
        <f ca="1">_xlfn.IFNA(VLOOKUP(INDIRECT("G"&amp;ROW()),minfo!$A:$M,COLUMN()-8,0),"")</f>
        <v>0</v>
      </c>
      <c r="O1046" s="4" t="str">
        <f ca="1">_xlfn.IFNA(VLOOKUP(INDIRECT("G"&amp;ROW()),minfo!$A:$M,COLUMN()-8,0),"")</f>
        <v>http://i0.hdslb.com/bfs/station_src/music_metadata/459812bea1953a4e82cc3063c91df104.jpg</v>
      </c>
      <c r="P1046" s="4" t="str">
        <f ca="1">_xlfn.IFNA(VLOOKUP(INDIRECT("G"&amp;ROW()),minfo!$A:$M,COLUMN()-8,0),"")</f>
        <v>http://i0.hdslb.com/bfs/station_src/music_metadata/e85fa42acd8330750fd23027fb5adafd</v>
      </c>
      <c r="Q1046" s="4">
        <f ca="1">_xlfn.IFNA(VLOOKUP(INDIRECT("G"&amp;ROW()),minfo!$A:$M,COLUMN()-8,0),"")</f>
        <v>162</v>
      </c>
      <c r="R1046" s="4" t="str">
        <f ca="1">_xlfn.IFNA(VLOOKUP(INDIRECT("G"&amp;ROW()),minfo!$A:$M,COLUMN()-8,0),"")</f>
        <v>2006超强偶像剧(恋爱女王)片头/片尾/插曲</v>
      </c>
      <c r="S1046" s="4" t="str">
        <f ca="1">_xlfn.IFNA(VLOOKUP(INDIRECT("G"&amp;ROW()),minfo!$A:$M,COLUMN()-8,0),"")</f>
        <v>习惯</v>
      </c>
      <c r="T1046" s="4">
        <f ca="1">_xlfn.IFNA(VLOOKUP(INDIRECT("G"&amp;ROW()),minfo!$A:$M,COLUMN()-8,0),"")</f>
        <v>62884699</v>
      </c>
      <c r="U1046" s="4">
        <f ca="1">_xlfn.IFNA(VLOOKUP(INDIRECT("G"&amp;ROW()),minfo!$A:$M,COLUMN()-8,0),"")</f>
        <v>0</v>
      </c>
    </row>
    <row r="1047" spans="1:21" ht="15.75" customHeight="1">
      <c r="A1047" s="15">
        <v>1046</v>
      </c>
      <c r="B1047" s="4" t="s">
        <v>4650</v>
      </c>
      <c r="C1047" s="4">
        <v>1047</v>
      </c>
      <c r="D1047" s="4">
        <v>61</v>
      </c>
      <c r="E1047" s="4" t="s">
        <v>732</v>
      </c>
      <c r="F1047" s="16">
        <v>44698</v>
      </c>
      <c r="G1047" s="5" t="s">
        <v>731</v>
      </c>
      <c r="H1047" s="5" t="s">
        <v>4585</v>
      </c>
      <c r="I1047" s="24" t="str">
        <f>HYPERLINK("https://www.bilibili.com/video/BV1o3411T7Yn?p=61", "BV1o3411T7Yn?p=61")</f>
        <v>BV1o3411T7Yn?p=61</v>
      </c>
      <c r="J1047" s="4" t="str">
        <f ca="1">_xlfn.IFNA(VLOOKUP(INDIRECT("G"&amp;ROW()),minfo!$A:$M,COLUMN()-8,0),"")</f>
        <v>园游会</v>
      </c>
      <c r="K1047" s="4" t="str">
        <f ca="1">_xlfn.IFNA(VLOOKUP(INDIRECT("G"&amp;ROW()),minfo!$A:$M,COLUMN()-8,0),"")</f>
        <v>周杰伦</v>
      </c>
      <c r="L1047" s="4">
        <f ca="1">_xlfn.IFNA(VLOOKUP(INDIRECT("G"&amp;ROW()),minfo!$A:$M,COLUMN()-8,0),"")</f>
        <v>0</v>
      </c>
      <c r="M1047" s="4">
        <f ca="1">_xlfn.IFNA(VLOOKUP(INDIRECT("G"&amp;ROW()),minfo!$A:$M,COLUMN()-8,0),"")</f>
        <v>0</v>
      </c>
      <c r="N1047" s="4">
        <f ca="1">_xlfn.IFNA(VLOOKUP(INDIRECT("G"&amp;ROW()),minfo!$A:$M,COLUMN()-8,0),"")</f>
        <v>0</v>
      </c>
      <c r="O1047" s="4" t="str">
        <f ca="1">_xlfn.IFNA(VLOOKUP(INDIRECT("G"&amp;ROW()),minfo!$A:$M,COLUMN()-8,0),"")</f>
        <v>https://i0.hdslb.com/bfs/station_src/music_metadata/6e1ac13753b4f6ee9b6064e5eea74ee9.jpg</v>
      </c>
      <c r="P1047" s="4">
        <f ca="1">_xlfn.IFNA(VLOOKUP(INDIRECT("G"&amp;ROW()),minfo!$A:$M,COLUMN()-8,0),"")</f>
        <v>0</v>
      </c>
      <c r="Q1047" s="4">
        <f ca="1">_xlfn.IFNA(VLOOKUP(INDIRECT("G"&amp;ROW()),minfo!$A:$M,COLUMN()-8,0),"")</f>
        <v>2471</v>
      </c>
      <c r="R1047" s="4">
        <f ca="1">_xlfn.IFNA(VLOOKUP(INDIRECT("G"&amp;ROW()),minfo!$A:$M,COLUMN()-8,0),"")</f>
        <v>0</v>
      </c>
      <c r="S1047" s="4" t="str">
        <f ca="1">_xlfn.IFNA(VLOOKUP(INDIRECT("G"&amp;ROW()),minfo!$A:$M,COLUMN()-8,0),"")</f>
        <v>七里香</v>
      </c>
      <c r="T1047" s="4">
        <f ca="1">_xlfn.IFNA(VLOOKUP(INDIRECT("G"&amp;ROW()),minfo!$A:$M,COLUMN()-8,0),"")</f>
        <v>492310935</v>
      </c>
      <c r="U1047" s="4" t="str">
        <f ca="1">_xlfn.IFNA(VLOOKUP(INDIRECT("G"&amp;ROW()),minfo!$A:$M,COLUMN()-8,0),"")</f>
        <v>音乐榜最高NO.13</v>
      </c>
    </row>
    <row r="1048" spans="1:21" ht="15.75" customHeight="1">
      <c r="A1048" s="15">
        <v>1047</v>
      </c>
      <c r="B1048" s="4" t="s">
        <v>4651</v>
      </c>
      <c r="C1048" s="4">
        <v>1048</v>
      </c>
      <c r="D1048" s="4">
        <v>62</v>
      </c>
      <c r="E1048" s="4" t="s">
        <v>918</v>
      </c>
      <c r="F1048" s="16">
        <v>44698</v>
      </c>
      <c r="G1048" s="5" t="s">
        <v>917</v>
      </c>
      <c r="H1048" s="5" t="s">
        <v>4585</v>
      </c>
      <c r="I1048" s="24" t="str">
        <f>HYPERLINK("https://www.bilibili.com/video/BV1o3411T7Yn?p=62", "BV1o3411T7Yn?p=62")</f>
        <v>BV1o3411T7Yn?p=62</v>
      </c>
      <c r="J1048" s="4" t="str">
        <f ca="1">_xlfn.IFNA(VLOOKUP(INDIRECT("G"&amp;ROW()),minfo!$A:$M,COLUMN()-8,0),"")</f>
        <v>暗号</v>
      </c>
      <c r="K1048" s="4" t="str">
        <f ca="1">_xlfn.IFNA(VLOOKUP(INDIRECT("G"&amp;ROW()),minfo!$A:$M,COLUMN()-8,0),"")</f>
        <v>周杰伦</v>
      </c>
      <c r="L1048" s="4">
        <f ca="1">_xlfn.IFNA(VLOOKUP(INDIRECT("G"&amp;ROW()),minfo!$A:$M,COLUMN()-8,0),"")</f>
        <v>0</v>
      </c>
      <c r="M1048" s="4">
        <f ca="1">_xlfn.IFNA(VLOOKUP(INDIRECT("G"&amp;ROW()),minfo!$A:$M,COLUMN()-8,0),"")</f>
        <v>0</v>
      </c>
      <c r="N1048" s="4">
        <f ca="1">_xlfn.IFNA(VLOOKUP(INDIRECT("G"&amp;ROW()),minfo!$A:$M,COLUMN()-8,0),"")</f>
        <v>0</v>
      </c>
      <c r="O1048" s="4" t="str">
        <f ca="1">_xlfn.IFNA(VLOOKUP(INDIRECT("G"&amp;ROW()),minfo!$A:$M,COLUMN()-8,0),"")</f>
        <v>https://i0.hdslb.com/bfs/station_src/music_metadata/836d7078552d6143b4a27f54a2a62598.jpg</v>
      </c>
      <c r="P1048" s="4">
        <f ca="1">_xlfn.IFNA(VLOOKUP(INDIRECT("G"&amp;ROW()),minfo!$A:$M,COLUMN()-8,0),"")</f>
        <v>0</v>
      </c>
      <c r="Q1048" s="4">
        <f ca="1">_xlfn.IFNA(VLOOKUP(INDIRECT("G"&amp;ROW()),minfo!$A:$M,COLUMN()-8,0),"")</f>
        <v>8346</v>
      </c>
      <c r="R1048" s="4">
        <f ca="1">_xlfn.IFNA(VLOOKUP(INDIRECT("G"&amp;ROW()),minfo!$A:$M,COLUMN()-8,0),"")</f>
        <v>0</v>
      </c>
      <c r="S1048" s="4" t="str">
        <f ca="1">_xlfn.IFNA(VLOOKUP(INDIRECT("G"&amp;ROW()),minfo!$A:$M,COLUMN()-8,0),"")</f>
        <v>八度空间</v>
      </c>
      <c r="T1048" s="4">
        <f ca="1">_xlfn.IFNA(VLOOKUP(INDIRECT("G"&amp;ROW()),minfo!$A:$M,COLUMN()-8,0),"")</f>
        <v>445692889</v>
      </c>
      <c r="U1048" s="4">
        <f ca="1">_xlfn.IFNA(VLOOKUP(INDIRECT("G"&amp;ROW()),minfo!$A:$M,COLUMN()-8,0),"")</f>
        <v>0</v>
      </c>
    </row>
    <row r="1049" spans="1:21" ht="15.75" customHeight="1">
      <c r="A1049" s="15">
        <v>1048</v>
      </c>
      <c r="B1049" s="4" t="s">
        <v>4652</v>
      </c>
      <c r="C1049" s="4">
        <v>1049</v>
      </c>
      <c r="D1049" s="4">
        <v>63</v>
      </c>
      <c r="E1049" s="4" t="s">
        <v>2116</v>
      </c>
      <c r="F1049" s="16">
        <v>44698</v>
      </c>
      <c r="G1049" s="5" t="s">
        <v>2115</v>
      </c>
      <c r="H1049" s="5" t="s">
        <v>4585</v>
      </c>
      <c r="I1049" s="24" t="str">
        <f>HYPERLINK("https://www.bilibili.com/video/BV1o3411T7Yn?p=63", "BV1o3411T7Yn?p=63")</f>
        <v>BV1o3411T7Yn?p=63</v>
      </c>
      <c r="J1049" s="4" t="str">
        <f ca="1">_xlfn.IFNA(VLOOKUP(INDIRECT("G"&amp;ROW()),minfo!$A:$M,COLUMN()-8,0),"")</f>
        <v>画心</v>
      </c>
      <c r="K1049" s="4" t="str">
        <f ca="1">_xlfn.IFNA(VLOOKUP(INDIRECT("G"&amp;ROW()),minfo!$A:$M,COLUMN()-8,0),"")</f>
        <v>张靓颖</v>
      </c>
      <c r="L1049" s="4">
        <f ca="1">_xlfn.IFNA(VLOOKUP(INDIRECT("G"&amp;ROW()),minfo!$A:$M,COLUMN()-8,0),"")</f>
        <v>0</v>
      </c>
      <c r="M1049" s="4">
        <f ca="1">_xlfn.IFNA(VLOOKUP(INDIRECT("G"&amp;ROW()),minfo!$A:$M,COLUMN()-8,0),"")</f>
        <v>0</v>
      </c>
      <c r="N1049" s="4">
        <f ca="1">_xlfn.IFNA(VLOOKUP(INDIRECT("G"&amp;ROW()),minfo!$A:$M,COLUMN()-8,0),"")</f>
        <v>0</v>
      </c>
      <c r="O1049" s="4" t="str">
        <f ca="1">_xlfn.IFNA(VLOOKUP(INDIRECT("G"&amp;ROW()),minfo!$A:$M,COLUMN()-8,0),"")</f>
        <v>http://i0.hdslb.com/bfs/station_src/music_metadata/8a902d9f7ad5be6b096598ad48118011.jpg</v>
      </c>
      <c r="P1049" s="4" t="str">
        <f ca="1">_xlfn.IFNA(VLOOKUP(INDIRECT("G"&amp;ROW()),minfo!$A:$M,COLUMN()-8,0),"")</f>
        <v>http://i0.hdslb.com/bfs/station_src/music_metadata/5b21bbe6a3b556e535ad2259be1f6a0a</v>
      </c>
      <c r="Q1049" s="4">
        <f ca="1">_xlfn.IFNA(VLOOKUP(INDIRECT("G"&amp;ROW()),minfo!$A:$M,COLUMN()-8,0),"")</f>
        <v>889</v>
      </c>
      <c r="R1049" s="4" t="str">
        <f ca="1">_xlfn.IFNA(VLOOKUP(INDIRECT("G"&amp;ROW()),minfo!$A:$M,COLUMN()-8,0),"")</f>
        <v>《画皮》电影主题曲</v>
      </c>
      <c r="S1049" s="4" t="str">
        <f ca="1">_xlfn.IFNA(VLOOKUP(INDIRECT("G"&amp;ROW()),minfo!$A:$M,COLUMN()-8,0),"")</f>
        <v>画心</v>
      </c>
      <c r="T1049" s="4">
        <f ca="1">_xlfn.IFNA(VLOOKUP(INDIRECT("G"&amp;ROW()),minfo!$A:$M,COLUMN()-8,0),"")</f>
        <v>193133600</v>
      </c>
      <c r="U1049" s="4">
        <f ca="1">_xlfn.IFNA(VLOOKUP(INDIRECT("G"&amp;ROW()),minfo!$A:$M,COLUMN()-8,0),"")</f>
        <v>0</v>
      </c>
    </row>
    <row r="1050" spans="1:21" ht="15.75" customHeight="1">
      <c r="A1050" s="15">
        <v>1049</v>
      </c>
      <c r="B1050" s="4" t="s">
        <v>4653</v>
      </c>
      <c r="C1050" s="4">
        <v>1050</v>
      </c>
      <c r="D1050" s="4">
        <v>64</v>
      </c>
      <c r="E1050" s="4" t="s">
        <v>2322</v>
      </c>
      <c r="F1050" s="16">
        <v>44698</v>
      </c>
      <c r="G1050" s="5" t="s">
        <v>2321</v>
      </c>
      <c r="H1050" s="5" t="s">
        <v>4585</v>
      </c>
      <c r="I1050" s="24" t="str">
        <f>HYPERLINK("https://www.bilibili.com/video/BV1o3411T7Yn?p=64", "BV1o3411T7Yn?p=64")</f>
        <v>BV1o3411T7Yn?p=64</v>
      </c>
      <c r="J1050" s="4" t="str">
        <f ca="1">_xlfn.IFNA(VLOOKUP(INDIRECT("G"&amp;ROW()),minfo!$A:$M,COLUMN()-8,0),"")</f>
        <v>宝贝</v>
      </c>
      <c r="K1050" s="4" t="str">
        <f ca="1">_xlfn.IFNA(VLOOKUP(INDIRECT("G"&amp;ROW()),minfo!$A:$M,COLUMN()-8,0),"")</f>
        <v>张悬</v>
      </c>
      <c r="L1050" s="4">
        <f ca="1">_xlfn.IFNA(VLOOKUP(INDIRECT("G"&amp;ROW()),minfo!$A:$M,COLUMN()-8,0),"")</f>
        <v>0</v>
      </c>
      <c r="M1050" s="4">
        <f ca="1">_xlfn.IFNA(VLOOKUP(INDIRECT("G"&amp;ROW()),minfo!$A:$M,COLUMN()-8,0),"")</f>
        <v>0</v>
      </c>
      <c r="N1050" s="4">
        <f ca="1">_xlfn.IFNA(VLOOKUP(INDIRECT("G"&amp;ROW()),minfo!$A:$M,COLUMN()-8,0),"")</f>
        <v>0</v>
      </c>
      <c r="O1050" s="4" t="str">
        <f ca="1">_xlfn.IFNA(VLOOKUP(INDIRECT("G"&amp;ROW()),minfo!$A:$M,COLUMN()-8,0),"")</f>
        <v>https://i0.hdslb.com/bfs/station_src/music_metadata/7d0b1aa106b4a6a94bc0ffdd78a1ad23.jpg</v>
      </c>
      <c r="P1050" s="4" t="str">
        <f ca="1">_xlfn.IFNA(VLOOKUP(INDIRECT("G"&amp;ROW()),minfo!$A:$M,COLUMN()-8,0),"")</f>
        <v>https://i0.hdslb.com/bfs/station_src/music_metadata/cdce23b8d73a5ec76812a5995cbc22fa.txt</v>
      </c>
      <c r="Q1050" s="4">
        <f ca="1">_xlfn.IFNA(VLOOKUP(INDIRECT("G"&amp;ROW()),minfo!$A:$M,COLUMN()-8,0),"")</f>
        <v>185</v>
      </c>
      <c r="R1050" s="4">
        <f ca="1">_xlfn.IFNA(VLOOKUP(INDIRECT("G"&amp;ROW()),minfo!$A:$M,COLUMN()-8,0),"")</f>
        <v>0</v>
      </c>
      <c r="S1050" s="4" t="str">
        <f ca="1">_xlfn.IFNA(VLOOKUP(INDIRECT("G"&amp;ROW()),minfo!$A:$M,COLUMN()-8,0),"")</f>
        <v>my life will…</v>
      </c>
      <c r="T1050" s="4">
        <f ca="1">_xlfn.IFNA(VLOOKUP(INDIRECT("G"&amp;ROW()),minfo!$A:$M,COLUMN()-8,0),"")</f>
        <v>91894714</v>
      </c>
      <c r="U1050" s="4">
        <f ca="1">_xlfn.IFNA(VLOOKUP(INDIRECT("G"&amp;ROW()),minfo!$A:$M,COLUMN()-8,0),"")</f>
        <v>0</v>
      </c>
    </row>
    <row r="1051" spans="1:21" ht="15.75" customHeight="1">
      <c r="A1051" s="15">
        <v>1050</v>
      </c>
      <c r="B1051" s="4" t="s">
        <v>4654</v>
      </c>
      <c r="C1051" s="4">
        <v>1051</v>
      </c>
      <c r="D1051" s="4">
        <v>65</v>
      </c>
      <c r="E1051" s="4" t="s">
        <v>208</v>
      </c>
      <c r="F1051" s="16">
        <v>44699</v>
      </c>
      <c r="G1051" s="5" t="s">
        <v>207</v>
      </c>
      <c r="H1051" s="5" t="s">
        <v>4585</v>
      </c>
      <c r="I1051" s="24" t="str">
        <f>HYPERLINK("https://www.bilibili.com/video/BV1o3411T7Yn?p=65", "BV1o3411T7Yn?p=65")</f>
        <v>BV1o3411T7Yn?p=65</v>
      </c>
      <c r="J1051" s="4" t="str">
        <f ca="1">_xlfn.IFNA(VLOOKUP(INDIRECT("G"&amp;ROW()),minfo!$A:$M,COLUMN()-8,0),"")</f>
        <v>九万字</v>
      </c>
      <c r="K1051" s="4" t="str">
        <f ca="1">_xlfn.IFNA(VLOOKUP(INDIRECT("G"&amp;ROW()),minfo!$A:$M,COLUMN()-8,0),"")</f>
        <v>黄诗扶</v>
      </c>
      <c r="L1051" s="4">
        <f ca="1">_xlfn.IFNA(VLOOKUP(INDIRECT("G"&amp;ROW()),minfo!$A:$M,COLUMN()-8,0),"")</f>
        <v>0</v>
      </c>
      <c r="M1051" s="4">
        <f ca="1">_xlfn.IFNA(VLOOKUP(INDIRECT("G"&amp;ROW()),minfo!$A:$M,COLUMN()-8,0),"")</f>
        <v>0</v>
      </c>
      <c r="N1051" s="4">
        <f ca="1">_xlfn.IFNA(VLOOKUP(INDIRECT("G"&amp;ROW()),minfo!$A:$M,COLUMN()-8,0),"")</f>
        <v>0</v>
      </c>
      <c r="O1051" s="4" t="str">
        <f ca="1">_xlfn.IFNA(VLOOKUP(INDIRECT("G"&amp;ROW()),minfo!$A:$M,COLUMN()-8,0),"")</f>
        <v>https://i0.hdslb.com/bfs/station_src/music_metadata/83a5f6d1f6977ede1ad685d90a46a593.jpg</v>
      </c>
      <c r="P1051" s="4" t="str">
        <f ca="1">_xlfn.IFNA(VLOOKUP(INDIRECT("G"&amp;ROW()),minfo!$A:$M,COLUMN()-8,0),"")</f>
        <v>http://i0.hdslb.com/bfs/station_src/music_metadata/98ec7b6623082ffe27055a48eaf15a9f</v>
      </c>
      <c r="Q1051" s="4">
        <f ca="1">_xlfn.IFNA(VLOOKUP(INDIRECT("G"&amp;ROW()),minfo!$A:$M,COLUMN()-8,0),"")</f>
        <v>1270</v>
      </c>
      <c r="R1051" s="4">
        <f ca="1">_xlfn.IFNA(VLOOKUP(INDIRECT("G"&amp;ROW()),minfo!$A:$M,COLUMN()-8,0),"")</f>
        <v>0</v>
      </c>
      <c r="S1051" s="4" t="str">
        <f ca="1">_xlfn.IFNA(VLOOKUP(INDIRECT("G"&amp;ROW()),minfo!$A:$M,COLUMN()-8,0),"")</f>
        <v>人间不值得</v>
      </c>
      <c r="T1051" s="4">
        <f ca="1">_xlfn.IFNA(VLOOKUP(INDIRECT("G"&amp;ROW()),minfo!$A:$M,COLUMN()-8,0),"")</f>
        <v>256686027</v>
      </c>
      <c r="U1051" s="4">
        <f ca="1">_xlfn.IFNA(VLOOKUP(INDIRECT("G"&amp;ROW()),minfo!$A:$M,COLUMN()-8,0),"")</f>
        <v>0</v>
      </c>
    </row>
    <row r="1052" spans="1:21" ht="15.75" customHeight="1">
      <c r="A1052" s="15">
        <v>1051</v>
      </c>
      <c r="B1052" s="4" t="s">
        <v>4655</v>
      </c>
      <c r="C1052" s="4">
        <v>1052</v>
      </c>
      <c r="D1052" s="4">
        <v>66</v>
      </c>
      <c r="E1052" s="4" t="s">
        <v>2328</v>
      </c>
      <c r="F1052" s="16">
        <v>44699</v>
      </c>
      <c r="G1052" s="5" t="s">
        <v>2327</v>
      </c>
      <c r="H1052" s="5" t="s">
        <v>4585</v>
      </c>
      <c r="I1052" s="24" t="str">
        <f>HYPERLINK("https://www.bilibili.com/video/BV1o3411T7Yn?p=66", "BV1o3411T7Yn?p=66")</f>
        <v>BV1o3411T7Yn?p=66</v>
      </c>
      <c r="J1052" s="4" t="str">
        <f ca="1">_xlfn.IFNA(VLOOKUP(INDIRECT("G"&amp;ROW()),minfo!$A:$M,COLUMN()-8,0),"")</f>
        <v>时间有泪</v>
      </c>
      <c r="K1052" s="4" t="str">
        <f ca="1">_xlfn.IFNA(VLOOKUP(INDIRECT("G"&amp;ROW()),minfo!$A:$M,COLUMN()-8,0),"")</f>
        <v>张碧晨</v>
      </c>
      <c r="L1052" s="4">
        <f ca="1">_xlfn.IFNA(VLOOKUP(INDIRECT("G"&amp;ROW()),minfo!$A:$M,COLUMN()-8,0),"")</f>
        <v>0</v>
      </c>
      <c r="M1052" s="4">
        <f ca="1">_xlfn.IFNA(VLOOKUP(INDIRECT("G"&amp;ROW()),minfo!$A:$M,COLUMN()-8,0),"")</f>
        <v>0</v>
      </c>
      <c r="N1052" s="4">
        <f ca="1">_xlfn.IFNA(VLOOKUP(INDIRECT("G"&amp;ROW()),minfo!$A:$M,COLUMN()-8,0),"")</f>
        <v>0</v>
      </c>
      <c r="O1052" s="4" t="str">
        <f ca="1">_xlfn.IFNA(VLOOKUP(INDIRECT("G"&amp;ROW()),minfo!$A:$M,COLUMN()-8,0),"")</f>
        <v>https://i0.hdslb.com/bfs/station_src/music_metadata/c1b879ee90171cdf01b66a9ac4abd89a.jpg</v>
      </c>
      <c r="P1052" s="4" t="str">
        <f ca="1">_xlfn.IFNA(VLOOKUP(INDIRECT("G"&amp;ROW()),minfo!$A:$M,COLUMN()-8,0),"")</f>
        <v>https://i0.hdslb.com/bfs/station_src/music_metadata/359506eb112336644db5a30e1abba838.txt</v>
      </c>
      <c r="Q1052" s="4">
        <f ca="1">_xlfn.IFNA(VLOOKUP(INDIRECT("G"&amp;ROW()),minfo!$A:$M,COLUMN()-8,0),"")</f>
        <v>0</v>
      </c>
      <c r="R1052" s="4">
        <f ca="1">_xlfn.IFNA(VLOOKUP(INDIRECT("G"&amp;ROW()),minfo!$A:$M,COLUMN()-8,0),"")</f>
        <v>0</v>
      </c>
      <c r="S1052" s="4" t="str">
        <f ca="1">_xlfn.IFNA(VLOOKUP(INDIRECT("G"&amp;ROW()),minfo!$A:$M,COLUMN()-8,0),"")</f>
        <v>张碧晨2018北京极光演唱会</v>
      </c>
      <c r="T1052" s="4">
        <f ca="1">_xlfn.IFNA(VLOOKUP(INDIRECT("G"&amp;ROW()),minfo!$A:$M,COLUMN()-8,0),"")</f>
        <v>1500926</v>
      </c>
      <c r="U1052" s="4">
        <f ca="1">_xlfn.IFNA(VLOOKUP(INDIRECT("G"&amp;ROW()),minfo!$A:$M,COLUMN()-8,0),"")</f>
        <v>0</v>
      </c>
    </row>
    <row r="1053" spans="1:21" ht="15.75" customHeight="1">
      <c r="A1053" s="15">
        <v>1052</v>
      </c>
      <c r="B1053" s="4" t="s">
        <v>4656</v>
      </c>
      <c r="C1053" s="4">
        <v>1053</v>
      </c>
      <c r="D1053" s="4">
        <v>67</v>
      </c>
      <c r="E1053" s="4" t="s">
        <v>2333</v>
      </c>
      <c r="F1053" s="16">
        <v>44699</v>
      </c>
      <c r="G1053" s="5" t="s">
        <v>2332</v>
      </c>
      <c r="H1053" s="5" t="s">
        <v>4585</v>
      </c>
      <c r="I1053" s="24" t="str">
        <f>HYPERLINK("https://www.bilibili.com/video/BV1o3411T7Yn?p=67", "BV1o3411T7Yn?p=67")</f>
        <v>BV1o3411T7Yn?p=67</v>
      </c>
      <c r="J1053" s="4" t="str">
        <f ca="1">_xlfn.IFNA(VLOOKUP(INDIRECT("G"&amp;ROW()),minfo!$A:$M,COLUMN()-8,0),"")</f>
        <v>红山果</v>
      </c>
      <c r="K1053" s="4" t="str">
        <f ca="1">_xlfn.IFNA(VLOOKUP(INDIRECT("G"&amp;ROW()),minfo!$A:$M,COLUMN()-8,0),"")</f>
        <v>安与骑兵</v>
      </c>
      <c r="L1053" s="4">
        <f ca="1">_xlfn.IFNA(VLOOKUP(INDIRECT("G"&amp;ROW()),minfo!$A:$M,COLUMN()-8,0),"")</f>
        <v>0</v>
      </c>
      <c r="M1053" s="4">
        <f ca="1">_xlfn.IFNA(VLOOKUP(INDIRECT("G"&amp;ROW()),minfo!$A:$M,COLUMN()-8,0),"")</f>
        <v>0</v>
      </c>
      <c r="N1053" s="4">
        <f ca="1">_xlfn.IFNA(VLOOKUP(INDIRECT("G"&amp;ROW()),minfo!$A:$M,COLUMN()-8,0),"")</f>
        <v>0</v>
      </c>
      <c r="O1053" s="4" t="str">
        <f ca="1">_xlfn.IFNA(VLOOKUP(INDIRECT("G"&amp;ROW()),minfo!$A:$M,COLUMN()-8,0),"")</f>
        <v>https://i0.hdslb.com/bfs/station_src/music_metadata/39daecee1a9cb8cb73b6e5e578e0cae7.jpg</v>
      </c>
      <c r="P1053" s="4" t="str">
        <f ca="1">_xlfn.IFNA(VLOOKUP(INDIRECT("G"&amp;ROW()),minfo!$A:$M,COLUMN()-8,0),"")</f>
        <v>http://i0.hdslb.com/bfs/station_src/music_metadata/34a6e2bd270105c6abef6e46f93e45d4</v>
      </c>
      <c r="Q1053" s="4">
        <f ca="1">_xlfn.IFNA(VLOOKUP(INDIRECT("G"&amp;ROW()),minfo!$A:$M,COLUMN()-8,0),"")</f>
        <v>380</v>
      </c>
      <c r="R1053" s="4">
        <f ca="1">_xlfn.IFNA(VLOOKUP(INDIRECT("G"&amp;ROW()),minfo!$A:$M,COLUMN()-8,0),"")</f>
        <v>0</v>
      </c>
      <c r="S1053" s="4" t="str">
        <f ca="1">_xlfn.IFNA(VLOOKUP(INDIRECT("G"&amp;ROW()),minfo!$A:$M,COLUMN()-8,0),"")</f>
        <v>安与骑兵</v>
      </c>
      <c r="T1053" s="4">
        <f ca="1">_xlfn.IFNA(VLOOKUP(INDIRECT("G"&amp;ROW()),minfo!$A:$M,COLUMN()-8,0),"")</f>
        <v>45262675</v>
      </c>
      <c r="U1053" s="4">
        <f ca="1">_xlfn.IFNA(VLOOKUP(INDIRECT("G"&amp;ROW()),minfo!$A:$M,COLUMN()-8,0),"")</f>
        <v>0</v>
      </c>
    </row>
    <row r="1054" spans="1:21" ht="15.75" customHeight="1">
      <c r="A1054" s="15">
        <v>1053</v>
      </c>
      <c r="B1054" s="4" t="s">
        <v>4657</v>
      </c>
      <c r="C1054" s="4">
        <v>1054</v>
      </c>
      <c r="D1054" s="4">
        <v>68</v>
      </c>
      <c r="E1054" s="4" t="s">
        <v>1259</v>
      </c>
      <c r="F1054" s="16">
        <v>44699</v>
      </c>
      <c r="G1054" s="5" t="s">
        <v>1258</v>
      </c>
      <c r="H1054" s="5" t="s">
        <v>4585</v>
      </c>
      <c r="I1054" s="24" t="str">
        <f>HYPERLINK("https://www.bilibili.com/video/BV1o3411T7Yn?p=68", "BV1o3411T7Yn?p=68")</f>
        <v>BV1o3411T7Yn?p=68</v>
      </c>
      <c r="J1054" s="4" t="str">
        <f ca="1">_xlfn.IFNA(VLOOKUP(INDIRECT("G"&amp;ROW()),minfo!$A:$M,COLUMN()-8,0),"")</f>
        <v>想你的365天</v>
      </c>
      <c r="K1054" s="4" t="str">
        <f ca="1">_xlfn.IFNA(VLOOKUP(INDIRECT("G"&amp;ROW()),minfo!$A:$M,COLUMN()-8,0),"")</f>
        <v>CoCo李玟</v>
      </c>
      <c r="L1054" s="4">
        <f ca="1">_xlfn.IFNA(VLOOKUP(INDIRECT("G"&amp;ROW()),minfo!$A:$M,COLUMN()-8,0),"")</f>
        <v>0</v>
      </c>
      <c r="M1054" s="4">
        <f ca="1">_xlfn.IFNA(VLOOKUP(INDIRECT("G"&amp;ROW()),minfo!$A:$M,COLUMN()-8,0),"")</f>
        <v>0</v>
      </c>
      <c r="N1054" s="4">
        <f ca="1">_xlfn.IFNA(VLOOKUP(INDIRECT("G"&amp;ROW()),minfo!$A:$M,COLUMN()-8,0),"")</f>
        <v>0</v>
      </c>
      <c r="O1054" s="4" t="str">
        <f ca="1">_xlfn.IFNA(VLOOKUP(INDIRECT("G"&amp;ROW()),minfo!$A:$M,COLUMN()-8,0),"")</f>
        <v>http://i0.hdslb.com/bfs/station_src/music_metadata/7e0fc3a65347dff7ca5325dcea0c423c.jpg</v>
      </c>
      <c r="P1054" s="4" t="str">
        <f ca="1">_xlfn.IFNA(VLOOKUP(INDIRECT("G"&amp;ROW()),minfo!$A:$M,COLUMN()-8,0),"")</f>
        <v>http://i0.hdslb.com/bfs/station_src/music_metadata/df04ab256bcc74775cd5bcfba9597cb4</v>
      </c>
      <c r="Q1054" s="4">
        <f ca="1">_xlfn.IFNA(VLOOKUP(INDIRECT("G"&amp;ROW()),minfo!$A:$M,COLUMN()-8,0),"")</f>
        <v>408</v>
      </c>
      <c r="R1054" s="4">
        <f ca="1">_xlfn.IFNA(VLOOKUP(INDIRECT("G"&amp;ROW()),minfo!$A:$M,COLUMN()-8,0),"")</f>
        <v>0</v>
      </c>
      <c r="S1054" s="4" t="str">
        <f ca="1">_xlfn.IFNA(VLOOKUP(INDIRECT("G"&amp;ROW()),minfo!$A:$M,COLUMN()-8,0),"")</f>
        <v>碰碰看爱情</v>
      </c>
      <c r="T1054" s="4">
        <f ca="1">_xlfn.IFNA(VLOOKUP(INDIRECT("G"&amp;ROW()),minfo!$A:$M,COLUMN()-8,0),"")</f>
        <v>82776763</v>
      </c>
      <c r="U1054" s="4" t="str">
        <f ca="1">_xlfn.IFNA(VLOOKUP(INDIRECT("G"&amp;ROW()),minfo!$A:$M,COLUMN()-8,0),"")</f>
        <v>音乐榜最高NO.9</v>
      </c>
    </row>
    <row r="1055" spans="1:21" ht="15.75" customHeight="1">
      <c r="A1055" s="15">
        <v>1054</v>
      </c>
      <c r="B1055" s="4" t="s">
        <v>4658</v>
      </c>
      <c r="C1055" s="4">
        <v>1055</v>
      </c>
      <c r="D1055" s="4">
        <v>69</v>
      </c>
      <c r="E1055" s="4" t="s">
        <v>3973</v>
      </c>
      <c r="F1055" s="16">
        <v>44699</v>
      </c>
      <c r="G1055" s="5" t="s">
        <v>1265</v>
      </c>
      <c r="H1055" s="5" t="s">
        <v>4585</v>
      </c>
      <c r="I1055" s="24" t="str">
        <f>HYPERLINK("https://www.bilibili.com/video/BV1o3411T7Yn?p=69", "BV1o3411T7Yn?p=69")</f>
        <v>BV1o3411T7Yn?p=69</v>
      </c>
      <c r="J1055" s="4" t="str">
        <f ca="1">_xlfn.IFNA(VLOOKUP(INDIRECT("G"&amp;ROW()),minfo!$A:$M,COLUMN()-8,0),"")</f>
        <v>Reflection</v>
      </c>
      <c r="K1055" s="4" t="str">
        <f ca="1">_xlfn.IFNA(VLOOKUP(INDIRECT("G"&amp;ROW()),minfo!$A:$M,COLUMN()-8,0),"")</f>
        <v>Christina Aguilera</v>
      </c>
      <c r="L1055" s="4">
        <f ca="1">_xlfn.IFNA(VLOOKUP(INDIRECT("G"&amp;ROW()),minfo!$A:$M,COLUMN()-8,0),"")</f>
        <v>0</v>
      </c>
      <c r="M1055" s="4">
        <f ca="1">_xlfn.IFNA(VLOOKUP(INDIRECT("G"&amp;ROW()),minfo!$A:$M,COLUMN()-8,0),"")</f>
        <v>0</v>
      </c>
      <c r="N1055" s="4">
        <f ca="1">_xlfn.IFNA(VLOOKUP(INDIRECT("G"&amp;ROW()),minfo!$A:$M,COLUMN()-8,0),"")</f>
        <v>0</v>
      </c>
      <c r="O1055" s="4" t="str">
        <f ca="1">_xlfn.IFNA(VLOOKUP(INDIRECT("G"&amp;ROW()),minfo!$A:$M,COLUMN()-8,0),"")</f>
        <v>https://i0.hdslb.com/bfs/station_src/music_metadata/0d7f271e6f2c08fc7ca8314568eac002.jpg</v>
      </c>
      <c r="P1055" s="4" t="str">
        <f ca="1">_xlfn.IFNA(VLOOKUP(INDIRECT("G"&amp;ROW()),minfo!$A:$M,COLUMN()-8,0),"")</f>
        <v>https://i0.hdslb.com/bfs/station_src/music_metadata/bd734f3bc162e7d8c76d4cf3e4b594c3.txt</v>
      </c>
      <c r="Q1055" s="4">
        <f ca="1">_xlfn.IFNA(VLOOKUP(INDIRECT("G"&amp;ROW()),minfo!$A:$M,COLUMN()-8,0),"")</f>
        <v>64</v>
      </c>
      <c r="R1055" s="4" t="str">
        <f ca="1">_xlfn.IFNA(VLOOKUP(INDIRECT("G"&amp;ROW()),minfo!$A:$M,COLUMN()-8,0),"")</f>
        <v>动画电影《花木兰》主题曲</v>
      </c>
      <c r="S1055" s="4" t="str">
        <f ca="1">_xlfn.IFNA(VLOOKUP(INDIRECT("G"&amp;ROW()),minfo!$A:$M,COLUMN()-8,0),"")</f>
        <v>Princess Disneymania</v>
      </c>
      <c r="T1055" s="4">
        <f ca="1">_xlfn.IFNA(VLOOKUP(INDIRECT("G"&amp;ROW()),minfo!$A:$M,COLUMN()-8,0),"")</f>
        <v>15785405</v>
      </c>
      <c r="U1055" s="4">
        <f ca="1">_xlfn.IFNA(VLOOKUP(INDIRECT("G"&amp;ROW()),minfo!$A:$M,COLUMN()-8,0),"")</f>
        <v>0</v>
      </c>
    </row>
    <row r="1056" spans="1:21" ht="15.75" customHeight="1">
      <c r="A1056" s="15">
        <v>1055</v>
      </c>
      <c r="B1056" s="4" t="s">
        <v>4659</v>
      </c>
      <c r="C1056" s="4">
        <v>1056</v>
      </c>
      <c r="D1056" s="4">
        <v>70</v>
      </c>
      <c r="E1056" s="4" t="s">
        <v>1871</v>
      </c>
      <c r="F1056" s="16">
        <v>44699</v>
      </c>
      <c r="G1056" s="5" t="s">
        <v>1870</v>
      </c>
      <c r="H1056" s="5" t="s">
        <v>4585</v>
      </c>
      <c r="I1056" s="24" t="str">
        <f>HYPERLINK("https://www.bilibili.com/video/BV1o3411T7Yn?p=70", "BV1o3411T7Yn?p=70")</f>
        <v>BV1o3411T7Yn?p=70</v>
      </c>
      <c r="J1056" s="4" t="str">
        <f ca="1">_xlfn.IFNA(VLOOKUP(INDIRECT("G"&amp;ROW()),minfo!$A:$M,COLUMN()-8,0),"")</f>
        <v>一剪梅</v>
      </c>
      <c r="K1056" s="4" t="str">
        <f ca="1">_xlfn.IFNA(VLOOKUP(INDIRECT("G"&amp;ROW()),minfo!$A:$M,COLUMN()-8,0),"")</f>
        <v>费玉清</v>
      </c>
      <c r="L1056" s="4">
        <f ca="1">_xlfn.IFNA(VLOOKUP(INDIRECT("G"&amp;ROW()),minfo!$A:$M,COLUMN()-8,0),"")</f>
        <v>0</v>
      </c>
      <c r="M1056" s="4">
        <f ca="1">_xlfn.IFNA(VLOOKUP(INDIRECT("G"&amp;ROW()),minfo!$A:$M,COLUMN()-8,0),"")</f>
        <v>0</v>
      </c>
      <c r="N1056" s="4">
        <f ca="1">_xlfn.IFNA(VLOOKUP(INDIRECT("G"&amp;ROW()),minfo!$A:$M,COLUMN()-8,0),"")</f>
        <v>0</v>
      </c>
      <c r="O1056" s="4" t="str">
        <f ca="1">_xlfn.IFNA(VLOOKUP(INDIRECT("G"&amp;ROW()),minfo!$A:$M,COLUMN()-8,0),"")</f>
        <v>https://i0.hdslb.com/bfs/station_src/music_metadata/7833ac2095b43502a967252ec8358c54.jpg</v>
      </c>
      <c r="P1056" s="4" t="str">
        <f ca="1">_xlfn.IFNA(VLOOKUP(INDIRECT("G"&amp;ROW()),minfo!$A:$M,COLUMN()-8,0),"")</f>
        <v>http://i0.hdslb.com/bfs/station_src/music_metadata/97843366a57afc1798cff4c49317f50b</v>
      </c>
      <c r="Q1056" s="4">
        <f ca="1">_xlfn.IFNA(VLOOKUP(INDIRECT("G"&amp;ROW()),minfo!$A:$M,COLUMN()-8,0),"")</f>
        <v>1513</v>
      </c>
      <c r="R1056" s="4">
        <f ca="1">_xlfn.IFNA(VLOOKUP(INDIRECT("G"&amp;ROW()),minfo!$A:$M,COLUMN()-8,0),"")</f>
        <v>0</v>
      </c>
      <c r="S1056" s="4" t="str">
        <f ca="1">_xlfn.IFNA(VLOOKUP(INDIRECT("G"&amp;ROW()),minfo!$A:$M,COLUMN()-8,0),"")</f>
        <v>金曲精选6 一剪梅</v>
      </c>
      <c r="T1056" s="4">
        <f ca="1">_xlfn.IFNA(VLOOKUP(INDIRECT("G"&amp;ROW()),minfo!$A:$M,COLUMN()-8,0),"")</f>
        <v>971283646</v>
      </c>
      <c r="U1056" s="4" t="str">
        <f ca="1">_xlfn.IFNA(VLOOKUP(INDIRECT("G"&amp;ROW()),minfo!$A:$M,COLUMN()-8,0),"")</f>
        <v>音乐榜最高NO.11</v>
      </c>
    </row>
    <row r="1057" spans="1:21" ht="15.75" customHeight="1">
      <c r="A1057" s="15">
        <v>1056</v>
      </c>
      <c r="B1057" s="4" t="s">
        <v>4660</v>
      </c>
      <c r="C1057" s="4">
        <v>1057</v>
      </c>
      <c r="D1057" s="4">
        <v>71</v>
      </c>
      <c r="E1057" s="4" t="s">
        <v>2338</v>
      </c>
      <c r="F1057" s="16">
        <v>44699</v>
      </c>
      <c r="G1057" s="5" t="s">
        <v>2337</v>
      </c>
      <c r="H1057" s="5" t="s">
        <v>4585</v>
      </c>
      <c r="I1057" s="24" t="str">
        <f>HYPERLINK("https://www.bilibili.com/video/BV1o3411T7Yn?p=71", "BV1o3411T7Yn?p=71")</f>
        <v>BV1o3411T7Yn?p=71</v>
      </c>
      <c r="J1057" s="4" t="str">
        <f ca="1">_xlfn.IFNA(VLOOKUP(INDIRECT("G"&amp;ROW()),minfo!$A:$M,COLUMN()-8,0),"")</f>
        <v>我的悲伤是水做的</v>
      </c>
      <c r="K1057" s="4" t="str">
        <f ca="1">_xlfn.IFNA(VLOOKUP(INDIRECT("G"&amp;ROW()),minfo!$A:$M,COLUMN()-8,0),"")</f>
        <v>ChiliChill,洛天依</v>
      </c>
      <c r="L1057" s="4">
        <f ca="1">_xlfn.IFNA(VLOOKUP(INDIRECT("G"&amp;ROW()),minfo!$A:$M,COLUMN()-8,0),"")</f>
        <v>0</v>
      </c>
      <c r="M1057" s="4">
        <f ca="1">_xlfn.IFNA(VLOOKUP(INDIRECT("G"&amp;ROW()),minfo!$A:$M,COLUMN()-8,0),"")</f>
        <v>0</v>
      </c>
      <c r="N1057" s="4">
        <f ca="1">_xlfn.IFNA(VLOOKUP(INDIRECT("G"&amp;ROW()),minfo!$A:$M,COLUMN()-8,0),"")</f>
        <v>0</v>
      </c>
      <c r="O1057" s="4" t="str">
        <f ca="1">_xlfn.IFNA(VLOOKUP(INDIRECT("G"&amp;ROW()),minfo!$A:$M,COLUMN()-8,0),"")</f>
        <v>http://i0.hdslb.com/bfs/station_src/music_metadata/d2d06be357d85d5931353250415e180e.jpg</v>
      </c>
      <c r="P1057" s="4">
        <f ca="1">_xlfn.IFNA(VLOOKUP(INDIRECT("G"&amp;ROW()),minfo!$A:$M,COLUMN()-8,0),"")</f>
        <v>0</v>
      </c>
      <c r="Q1057" s="4">
        <f ca="1">_xlfn.IFNA(VLOOKUP(INDIRECT("G"&amp;ROW()),minfo!$A:$M,COLUMN()-8,0),"")</f>
        <v>3861</v>
      </c>
      <c r="R1057" s="4">
        <f ca="1">_xlfn.IFNA(VLOOKUP(INDIRECT("G"&amp;ROW()),minfo!$A:$M,COLUMN()-8,0),"")</f>
        <v>0</v>
      </c>
      <c r="S1057" s="4" t="str">
        <f ca="1">_xlfn.IFNA(VLOOKUP(INDIRECT("G"&amp;ROW()),minfo!$A:$M,COLUMN()-8,0),"")</f>
        <v>我的悲伤是水做的</v>
      </c>
      <c r="T1057" s="4">
        <f ca="1">_xlfn.IFNA(VLOOKUP(INDIRECT("G"&amp;ROW()),minfo!$A:$M,COLUMN()-8,0),"")</f>
        <v>137998736</v>
      </c>
      <c r="U1057" s="4">
        <f ca="1">_xlfn.IFNA(VLOOKUP(INDIRECT("G"&amp;ROW()),minfo!$A:$M,COLUMN()-8,0),"")</f>
        <v>0</v>
      </c>
    </row>
    <row r="1058" spans="1:21" ht="15.75" customHeight="1">
      <c r="A1058" s="15">
        <v>1057</v>
      </c>
      <c r="B1058" s="4" t="s">
        <v>4661</v>
      </c>
      <c r="C1058" s="4">
        <v>1058</v>
      </c>
      <c r="D1058" s="4">
        <v>72</v>
      </c>
      <c r="E1058" s="4" t="s">
        <v>1959</v>
      </c>
      <c r="F1058" s="16">
        <v>44701</v>
      </c>
      <c r="G1058" s="5" t="s">
        <v>1958</v>
      </c>
      <c r="H1058" s="5" t="s">
        <v>4585</v>
      </c>
      <c r="I1058" s="24" t="str">
        <f>HYPERLINK("https://www.bilibili.com/video/BV1o3411T7Yn?p=72", "BV1o3411T7Yn?p=72")</f>
        <v>BV1o3411T7Yn?p=72</v>
      </c>
      <c r="J1058" s="4" t="str">
        <f ca="1">_xlfn.IFNA(VLOOKUP(INDIRECT("G"&amp;ROW()),minfo!$A:$M,COLUMN()-8,0),"")</f>
        <v>你的微笑</v>
      </c>
      <c r="K1058" s="4" t="str">
        <f ca="1">_xlfn.IFNA(VLOOKUP(INDIRECT("G"&amp;ROW()),minfo!$A:$M,COLUMN()-8,0),"")</f>
        <v>F.I.R.飞儿乐团</v>
      </c>
      <c r="L1058" s="4">
        <f ca="1">_xlfn.IFNA(VLOOKUP(INDIRECT("G"&amp;ROW()),minfo!$A:$M,COLUMN()-8,0),"")</f>
        <v>0</v>
      </c>
      <c r="M1058" s="4">
        <f ca="1">_xlfn.IFNA(VLOOKUP(INDIRECT("G"&amp;ROW()),minfo!$A:$M,COLUMN()-8,0),"")</f>
        <v>0</v>
      </c>
      <c r="N1058" s="4">
        <f ca="1">_xlfn.IFNA(VLOOKUP(INDIRECT("G"&amp;ROW()),minfo!$A:$M,COLUMN()-8,0),"")</f>
        <v>0</v>
      </c>
      <c r="O1058" s="4" t="str">
        <f ca="1">_xlfn.IFNA(VLOOKUP(INDIRECT("G"&amp;ROW()),minfo!$A:$M,COLUMN()-8,0),"")</f>
        <v>https://i0.hdslb.com/bfs/station_src/music_metadata/f00319bb8b143d280ce55dfd8031dc09.jpg</v>
      </c>
      <c r="P1058" s="4" t="str">
        <f ca="1">_xlfn.IFNA(VLOOKUP(INDIRECT("G"&amp;ROW()),minfo!$A:$M,COLUMN()-8,0),"")</f>
        <v>https://i0.hdslb.com/bfs/station_src/music_metadata/69bb78ddbe2d16f0d36cba70708b94b6.txt</v>
      </c>
      <c r="Q1058" s="4">
        <f ca="1">_xlfn.IFNA(VLOOKUP(INDIRECT("G"&amp;ROW()),minfo!$A:$M,COLUMN()-8,0),"")</f>
        <v>657</v>
      </c>
      <c r="R1058" s="4" t="str">
        <f ca="1">_xlfn.IFNA(VLOOKUP(INDIRECT("G"&amp;ROW()),minfo!$A:$M,COLUMN()-8,0),"")</f>
        <v>《一又二分之一的夏天》电视剧插曲</v>
      </c>
      <c r="S1058" s="4" t="str">
        <f ca="1">_xlfn.IFNA(VLOOKUP(INDIRECT("G"&amp;ROW()),minfo!$A:$M,COLUMN()-8,0),"")</f>
        <v>飞儿乐团</v>
      </c>
      <c r="T1058" s="4">
        <f ca="1">_xlfn.IFNA(VLOOKUP(INDIRECT("G"&amp;ROW()),minfo!$A:$M,COLUMN()-8,0),"")</f>
        <v>132933484</v>
      </c>
      <c r="U1058" s="4">
        <f ca="1">_xlfn.IFNA(VLOOKUP(INDIRECT("G"&amp;ROW()),minfo!$A:$M,COLUMN()-8,0),"")</f>
        <v>0</v>
      </c>
    </row>
    <row r="1059" spans="1:21" ht="15.75" customHeight="1">
      <c r="A1059" s="15">
        <v>1058</v>
      </c>
      <c r="B1059" s="4" t="s">
        <v>4662</v>
      </c>
      <c r="C1059" s="4">
        <v>1059</v>
      </c>
      <c r="D1059" s="4">
        <v>73</v>
      </c>
      <c r="E1059" s="4" t="s">
        <v>1226</v>
      </c>
      <c r="F1059" s="16">
        <v>44701</v>
      </c>
      <c r="G1059" s="5" t="s">
        <v>1225</v>
      </c>
      <c r="H1059" s="5" t="s">
        <v>4585</v>
      </c>
      <c r="I1059" s="24" t="str">
        <f>HYPERLINK("https://www.bilibili.com/video/BV1o3411T7Yn?p=73", "BV1o3411T7Yn?p=73")</f>
        <v>BV1o3411T7Yn?p=73</v>
      </c>
      <c r="J1059" s="4" t="str">
        <f ca="1">_xlfn.IFNA(VLOOKUP(INDIRECT("G"&amp;ROW()),minfo!$A:$M,COLUMN()-8,0),"")</f>
        <v>你不知道的事</v>
      </c>
      <c r="K1059" s="4" t="str">
        <f ca="1">_xlfn.IFNA(VLOOKUP(INDIRECT("G"&amp;ROW()),minfo!$A:$M,COLUMN()-8,0),"")</f>
        <v>王力宏</v>
      </c>
      <c r="L1059" s="4">
        <f ca="1">_xlfn.IFNA(VLOOKUP(INDIRECT("G"&amp;ROW()),minfo!$A:$M,COLUMN()-8,0),"")</f>
        <v>0</v>
      </c>
      <c r="M1059" s="4">
        <f ca="1">_xlfn.IFNA(VLOOKUP(INDIRECT("G"&amp;ROW()),minfo!$A:$M,COLUMN()-8,0),"")</f>
        <v>547</v>
      </c>
      <c r="N1059" s="4">
        <f ca="1">_xlfn.IFNA(VLOOKUP(INDIRECT("G"&amp;ROW()),minfo!$A:$M,COLUMN()-8,0),"")</f>
        <v>47</v>
      </c>
      <c r="O1059" s="4" t="str">
        <f ca="1">_xlfn.IFNA(VLOOKUP(INDIRECT("G"&amp;ROW()),minfo!$A:$M,COLUMN()-8,0),"")</f>
        <v>http://i1.hdslb.com/bfs/archive/d601f75e582fef1ea0319e5334def584fa16659b.jpg</v>
      </c>
      <c r="P1059" s="4">
        <f ca="1">_xlfn.IFNA(VLOOKUP(INDIRECT("G"&amp;ROW()),minfo!$A:$M,COLUMN()-8,0),"")</f>
        <v>0</v>
      </c>
      <c r="Q1059" s="4">
        <f ca="1">_xlfn.IFNA(VLOOKUP(INDIRECT("G"&amp;ROW()),minfo!$A:$M,COLUMN()-8,0),"")</f>
        <v>157</v>
      </c>
      <c r="R1059" s="4" t="str">
        <f ca="1">_xlfn.IFNA(VLOOKUP(INDIRECT("G"&amp;ROW()),minfo!$A:$M,COLUMN()-8,0),"")</f>
        <v>你不知道的事</v>
      </c>
      <c r="S1059" s="4">
        <f ca="1">_xlfn.IFNA(VLOOKUP(INDIRECT("G"&amp;ROW()),minfo!$A:$M,COLUMN()-8,0),"")</f>
        <v>0</v>
      </c>
      <c r="T1059" s="4">
        <f ca="1">_xlfn.IFNA(VLOOKUP(INDIRECT("G"&amp;ROW()),minfo!$A:$M,COLUMN()-8,0),"")</f>
        <v>96065912</v>
      </c>
      <c r="U1059" s="4">
        <f ca="1">_xlfn.IFNA(VLOOKUP(INDIRECT("G"&amp;ROW()),minfo!$A:$M,COLUMN()-8,0),"")</f>
        <v>0</v>
      </c>
    </row>
    <row r="1060" spans="1:21" ht="15.75" customHeight="1">
      <c r="A1060" s="15">
        <v>1059</v>
      </c>
      <c r="B1060" s="4" t="s">
        <v>4663</v>
      </c>
      <c r="C1060" s="4">
        <v>1060</v>
      </c>
      <c r="D1060" s="4">
        <v>74</v>
      </c>
      <c r="E1060" s="4" t="s">
        <v>736</v>
      </c>
      <c r="F1060" s="16">
        <v>44701</v>
      </c>
      <c r="G1060" s="5" t="s">
        <v>735</v>
      </c>
      <c r="H1060" s="5" t="s">
        <v>4585</v>
      </c>
      <c r="I1060" s="24" t="str">
        <f>HYPERLINK("https://www.bilibili.com/video/BV1o3411T7Yn?p=74", "BV1o3411T7Yn?p=74")</f>
        <v>BV1o3411T7Yn?p=74</v>
      </c>
      <c r="J1060" s="4" t="str">
        <f ca="1">_xlfn.IFNA(VLOOKUP(INDIRECT("G"&amp;ROW()),minfo!$A:$M,COLUMN()-8,0),"")</f>
        <v>花一开就相爱吧</v>
      </c>
      <c r="K1060" s="4" t="str">
        <f ca="1">_xlfn.IFNA(VLOOKUP(INDIRECT("G"&amp;ROW()),minfo!$A:$M,COLUMN()-8,0),"")</f>
        <v>林依晨</v>
      </c>
      <c r="L1060" s="4">
        <f ca="1">_xlfn.IFNA(VLOOKUP(INDIRECT("G"&amp;ROW()),minfo!$A:$M,COLUMN()-8,0),"")</f>
        <v>0</v>
      </c>
      <c r="M1060" s="4">
        <f ca="1">_xlfn.IFNA(VLOOKUP(INDIRECT("G"&amp;ROW()),minfo!$A:$M,COLUMN()-8,0),"")</f>
        <v>0</v>
      </c>
      <c r="N1060" s="4">
        <f ca="1">_xlfn.IFNA(VLOOKUP(INDIRECT("G"&amp;ROW()),minfo!$A:$M,COLUMN()-8,0),"")</f>
        <v>0</v>
      </c>
      <c r="O1060" s="4" t="str">
        <f ca="1">_xlfn.IFNA(VLOOKUP(INDIRECT("G"&amp;ROW()),minfo!$A:$M,COLUMN()-8,0),"")</f>
        <v>https://i0.hdslb.com/bfs/station_src/music_metadata/64a48ebd48feecac91ab30c1fcc17d0b.jpg</v>
      </c>
      <c r="P1060" s="4">
        <f ca="1">_xlfn.IFNA(VLOOKUP(INDIRECT("G"&amp;ROW()),minfo!$A:$M,COLUMN()-8,0),"")</f>
        <v>0</v>
      </c>
      <c r="Q1060" s="4">
        <f ca="1">_xlfn.IFNA(VLOOKUP(INDIRECT("G"&amp;ROW()),minfo!$A:$M,COLUMN()-8,0),"")</f>
        <v>2</v>
      </c>
      <c r="R1060" s="4">
        <f ca="1">_xlfn.IFNA(VLOOKUP(INDIRECT("G"&amp;ROW()),minfo!$A:$M,COLUMN()-8,0),"")</f>
        <v>0</v>
      </c>
      <c r="S1060" s="4" t="str">
        <f ca="1">_xlfn.IFNA(VLOOKUP(INDIRECT("G"&amp;ROW()),minfo!$A:$M,COLUMN()-8,0),"")</f>
        <v>美好的旅行</v>
      </c>
      <c r="T1060" s="4">
        <f ca="1">_xlfn.IFNA(VLOOKUP(INDIRECT("G"&amp;ROW()),minfo!$A:$M,COLUMN()-8,0),"")</f>
        <v>4126537</v>
      </c>
      <c r="U1060" s="4">
        <f ca="1">_xlfn.IFNA(VLOOKUP(INDIRECT("G"&amp;ROW()),minfo!$A:$M,COLUMN()-8,0),"")</f>
        <v>0</v>
      </c>
    </row>
    <row r="1061" spans="1:21" ht="15.75" customHeight="1">
      <c r="A1061" s="15">
        <v>1060</v>
      </c>
      <c r="B1061" s="4" t="s">
        <v>4664</v>
      </c>
      <c r="C1061" s="4">
        <v>1061</v>
      </c>
      <c r="D1061" s="4">
        <v>75</v>
      </c>
      <c r="E1061" s="4" t="s">
        <v>414</v>
      </c>
      <c r="F1061" s="16">
        <v>44701</v>
      </c>
      <c r="G1061" s="5" t="s">
        <v>413</v>
      </c>
      <c r="H1061" s="5" t="s">
        <v>4585</v>
      </c>
      <c r="I1061" s="24" t="str">
        <f>HYPERLINK("https://www.bilibili.com/video/BV1o3411T7Yn?p=75", "BV1o3411T7Yn?p=75")</f>
        <v>BV1o3411T7Yn?p=75</v>
      </c>
      <c r="J1061" s="4" t="str">
        <f ca="1">_xlfn.IFNA(VLOOKUP(INDIRECT("G"&amp;ROW()),minfo!$A:$M,COLUMN()-8,0),"")</f>
        <v>告白气球</v>
      </c>
      <c r="K1061" s="4" t="str">
        <f ca="1">_xlfn.IFNA(VLOOKUP(INDIRECT("G"&amp;ROW()),minfo!$A:$M,COLUMN()-8,0),"")</f>
        <v>周杰伦</v>
      </c>
      <c r="L1061" s="4">
        <f ca="1">_xlfn.IFNA(VLOOKUP(INDIRECT("G"&amp;ROW()),minfo!$A:$M,COLUMN()-8,0),"")</f>
        <v>0</v>
      </c>
      <c r="M1061" s="4">
        <f ca="1">_xlfn.IFNA(VLOOKUP(INDIRECT("G"&amp;ROW()),minfo!$A:$M,COLUMN()-8,0),"")</f>
        <v>0</v>
      </c>
      <c r="N1061" s="4">
        <f ca="1">_xlfn.IFNA(VLOOKUP(INDIRECT("G"&amp;ROW()),minfo!$A:$M,COLUMN()-8,0),"")</f>
        <v>0</v>
      </c>
      <c r="O1061" s="4" t="str">
        <f ca="1">_xlfn.IFNA(VLOOKUP(INDIRECT("G"&amp;ROW()),minfo!$A:$M,COLUMN()-8,0),"")</f>
        <v>https://i0.hdslb.com/bfs/station_src/music_metadata/597fc2909210e665dd3a007352426e49.jpg</v>
      </c>
      <c r="P1061" s="4">
        <f ca="1">_xlfn.IFNA(VLOOKUP(INDIRECT("G"&amp;ROW()),minfo!$A:$M,COLUMN()-8,0),"")</f>
        <v>0</v>
      </c>
      <c r="Q1061" s="4">
        <f ca="1">_xlfn.IFNA(VLOOKUP(INDIRECT("G"&amp;ROW()),minfo!$A:$M,COLUMN()-8,0),"")</f>
        <v>2791</v>
      </c>
      <c r="R1061" s="4">
        <f ca="1">_xlfn.IFNA(VLOOKUP(INDIRECT("G"&amp;ROW()),minfo!$A:$M,COLUMN()-8,0),"")</f>
        <v>0</v>
      </c>
      <c r="S1061" s="4" t="str">
        <f ca="1">_xlfn.IFNA(VLOOKUP(INDIRECT("G"&amp;ROW()),minfo!$A:$M,COLUMN()-8,0),"")</f>
        <v>周杰伦的床边故事</v>
      </c>
      <c r="T1061" s="4">
        <f ca="1">_xlfn.IFNA(VLOOKUP(INDIRECT("G"&amp;ROW()),minfo!$A:$M,COLUMN()-8,0),"")</f>
        <v>787100295</v>
      </c>
      <c r="U1061" s="4">
        <f ca="1">_xlfn.IFNA(VLOOKUP(INDIRECT("G"&amp;ROW()),minfo!$A:$M,COLUMN()-8,0),"")</f>
        <v>0</v>
      </c>
    </row>
    <row r="1062" spans="1:21" ht="15.75" customHeight="1">
      <c r="A1062" s="15">
        <v>1061</v>
      </c>
      <c r="B1062" s="4" t="s">
        <v>4665</v>
      </c>
      <c r="C1062" s="4">
        <v>1062</v>
      </c>
      <c r="D1062" s="4">
        <v>76</v>
      </c>
      <c r="E1062" s="4" t="s">
        <v>4666</v>
      </c>
      <c r="F1062" s="16">
        <v>44701</v>
      </c>
      <c r="G1062" s="5" t="s">
        <v>668</v>
      </c>
      <c r="H1062" s="5" t="s">
        <v>4585</v>
      </c>
      <c r="I1062" s="24" t="str">
        <f>HYPERLINK("https://www.bilibili.com/video/BV1o3411T7Yn?p=76", "BV1o3411T7Yn?p=76")</f>
        <v>BV1o3411T7Yn?p=76</v>
      </c>
      <c r="J1062" s="4" t="str">
        <f ca="1">_xlfn.IFNA(VLOOKUP(INDIRECT("G"&amp;ROW()),minfo!$A:$M,COLUMN()-8,0),"")</f>
        <v>Caro mio ben</v>
      </c>
      <c r="K1062" s="4" t="str">
        <f ca="1">_xlfn.IFNA(VLOOKUP(INDIRECT("G"&amp;ROW()),minfo!$A:$M,COLUMN()-8,0),"")</f>
        <v>Cecilia Bartoli,György Fischer</v>
      </c>
      <c r="L1062" s="4">
        <f ca="1">_xlfn.IFNA(VLOOKUP(INDIRECT("G"&amp;ROW()),minfo!$A:$M,COLUMN()-8,0),"")</f>
        <v>0</v>
      </c>
      <c r="M1062" s="4">
        <f ca="1">_xlfn.IFNA(VLOOKUP(INDIRECT("G"&amp;ROW()),minfo!$A:$M,COLUMN()-8,0),"")</f>
        <v>0</v>
      </c>
      <c r="N1062" s="4">
        <f ca="1">_xlfn.IFNA(VLOOKUP(INDIRECT("G"&amp;ROW()),minfo!$A:$M,COLUMN()-8,0),"")</f>
        <v>0</v>
      </c>
      <c r="O1062" s="4" t="str">
        <f ca="1">_xlfn.IFNA(VLOOKUP(INDIRECT("G"&amp;ROW()),minfo!$A:$M,COLUMN()-8,0),"")</f>
        <v>https://i0.hdslb.com/bfs/station_src/music_metadata/0981282252a965b7fe42604b66b68284.jpg</v>
      </c>
      <c r="P1062" s="4">
        <f ca="1">_xlfn.IFNA(VLOOKUP(INDIRECT("G"&amp;ROW()),minfo!$A:$M,COLUMN()-8,0),"")</f>
        <v>0</v>
      </c>
      <c r="Q1062" s="4">
        <f ca="1">_xlfn.IFNA(VLOOKUP(INDIRECT("G"&amp;ROW()),minfo!$A:$M,COLUMN()-8,0),"")</f>
        <v>4</v>
      </c>
      <c r="R1062" s="4">
        <f ca="1">_xlfn.IFNA(VLOOKUP(INDIRECT("G"&amp;ROW()),minfo!$A:$M,COLUMN()-8,0),"")</f>
        <v>0</v>
      </c>
      <c r="S1062" s="4" t="str">
        <f ca="1">_xlfn.IFNA(VLOOKUP(INDIRECT("G"&amp;ROW()),minfo!$A:$M,COLUMN()-8,0),"")</f>
        <v>Cecilia Bartoli - Arie Antiche: Se tu m'ami</v>
      </c>
      <c r="T1062" s="4">
        <f ca="1">_xlfn.IFNA(VLOOKUP(INDIRECT("G"&amp;ROW()),minfo!$A:$M,COLUMN()-8,0),"")</f>
        <v>789902</v>
      </c>
      <c r="U1062" s="4">
        <f ca="1">_xlfn.IFNA(VLOOKUP(INDIRECT("G"&amp;ROW()),minfo!$A:$M,COLUMN()-8,0),"")</f>
        <v>0</v>
      </c>
    </row>
    <row r="1063" spans="1:21" ht="15.75" customHeight="1">
      <c r="A1063" s="15">
        <v>1062</v>
      </c>
      <c r="B1063" s="4" t="s">
        <v>4667</v>
      </c>
      <c r="C1063" s="4">
        <v>1063</v>
      </c>
      <c r="D1063" s="4">
        <v>77</v>
      </c>
      <c r="E1063" s="4" t="s">
        <v>4668</v>
      </c>
      <c r="F1063" s="16">
        <v>44701</v>
      </c>
      <c r="G1063" s="5" t="s">
        <v>2341</v>
      </c>
      <c r="H1063" s="5" t="s">
        <v>4585</v>
      </c>
      <c r="I1063" s="24" t="str">
        <f>HYPERLINK("https://www.bilibili.com/video/BV1o3411T7Yn?p=77", "BV1o3411T7Yn?p=77")</f>
        <v>BV1o3411T7Yn?p=77</v>
      </c>
      <c r="J1063" s="4" t="str">
        <f ca="1">_xlfn.IFNA(VLOOKUP(INDIRECT("G"&amp;ROW()),minfo!$A:$M,COLUMN()-8,0),"")</f>
        <v>Se Tu M'ami</v>
      </c>
      <c r="K1063" s="4" t="str">
        <f ca="1">_xlfn.IFNA(VLOOKUP(INDIRECT("G"&amp;ROW()),minfo!$A:$M,COLUMN()-8,0),"")</f>
        <v>Lucid Beausonge</v>
      </c>
      <c r="L1063" s="4">
        <f ca="1">_xlfn.IFNA(VLOOKUP(INDIRECT("G"&amp;ROW()),minfo!$A:$M,COLUMN()-8,0),"")</f>
        <v>0</v>
      </c>
      <c r="M1063" s="4">
        <f ca="1">_xlfn.IFNA(VLOOKUP(INDIRECT("G"&amp;ROW()),minfo!$A:$M,COLUMN()-8,0),"")</f>
        <v>0</v>
      </c>
      <c r="N1063" s="4">
        <f ca="1">_xlfn.IFNA(VLOOKUP(INDIRECT("G"&amp;ROW()),minfo!$A:$M,COLUMN()-8,0),"")</f>
        <v>0</v>
      </c>
      <c r="O1063" s="4" t="str">
        <f ca="1">_xlfn.IFNA(VLOOKUP(INDIRECT("G"&amp;ROW()),minfo!$A:$M,COLUMN()-8,0),"")</f>
        <v>https://i0.hdslb.com/bfs/station_src/music_metadata/f755e9ac0ab1d922dc21b45ef6fb45e7.jpg</v>
      </c>
      <c r="P1063" s="4" t="str">
        <f ca="1">_xlfn.IFNA(VLOOKUP(INDIRECT("G"&amp;ROW()),minfo!$A:$M,COLUMN()-8,0),"")</f>
        <v>https://i0.hdslb.com/bfs/station_src/music_metadata/0856565b1e7a06ca3033320b6acfc533.txt</v>
      </c>
      <c r="Q1063" s="4">
        <f ca="1">_xlfn.IFNA(VLOOKUP(INDIRECT("G"&amp;ROW()),minfo!$A:$M,COLUMN()-8,0),"")</f>
        <v>2</v>
      </c>
      <c r="R1063" s="4">
        <f ca="1">_xlfn.IFNA(VLOOKUP(INDIRECT("G"&amp;ROW()),minfo!$A:$M,COLUMN()-8,0),"")</f>
        <v>0</v>
      </c>
      <c r="S1063" s="4" t="str">
        <f ca="1">_xlfn.IFNA(VLOOKUP(INDIRECT("G"&amp;ROW()),minfo!$A:$M,COLUMN()-8,0),"")</f>
        <v>De Mozart a Bernstein</v>
      </c>
      <c r="T1063" s="4">
        <f ca="1">_xlfn.IFNA(VLOOKUP(INDIRECT("G"&amp;ROW()),minfo!$A:$M,COLUMN()-8,0),"")</f>
        <v>169285</v>
      </c>
      <c r="U1063" s="4">
        <f ca="1">_xlfn.IFNA(VLOOKUP(INDIRECT("G"&amp;ROW()),minfo!$A:$M,COLUMN()-8,0),"")</f>
        <v>0</v>
      </c>
    </row>
    <row r="1064" spans="1:21" ht="15.75" customHeight="1">
      <c r="A1064" s="15">
        <v>1063</v>
      </c>
      <c r="B1064" s="4" t="s">
        <v>4669</v>
      </c>
      <c r="C1064" s="4">
        <v>1064</v>
      </c>
      <c r="D1064" s="4">
        <v>78</v>
      </c>
      <c r="E1064" s="4" t="s">
        <v>2348</v>
      </c>
      <c r="F1064" s="16">
        <v>44701</v>
      </c>
      <c r="G1064" s="5" t="s">
        <v>2347</v>
      </c>
      <c r="H1064" s="5" t="s">
        <v>4585</v>
      </c>
      <c r="I1064" s="24" t="str">
        <f>HYPERLINK("https://www.bilibili.com/video/BV1o3411T7Yn?p=78", "BV1o3411T7Yn?p=78")</f>
        <v>BV1o3411T7Yn?p=78</v>
      </c>
      <c r="J1064" s="4" t="str">
        <f ca="1">_xlfn.IFNA(VLOOKUP(INDIRECT("G"&amp;ROW()),minfo!$A:$M,COLUMN()-8,0),"")</f>
        <v>花非花</v>
      </c>
      <c r="K1064" s="4" t="str">
        <f ca="1">_xlfn.IFNA(VLOOKUP(INDIRECT("G"&amp;ROW()),minfo!$A:$M,COLUMN()-8,0),"")</f>
        <v>廖昌永</v>
      </c>
      <c r="L1064" s="4">
        <f ca="1">_xlfn.IFNA(VLOOKUP(INDIRECT("G"&amp;ROW()),minfo!$A:$M,COLUMN()-8,0),"")</f>
        <v>0</v>
      </c>
      <c r="M1064" s="4">
        <f ca="1">_xlfn.IFNA(VLOOKUP(INDIRECT("G"&amp;ROW()),minfo!$A:$M,COLUMN()-8,0),"")</f>
        <v>0</v>
      </c>
      <c r="N1064" s="4">
        <f ca="1">_xlfn.IFNA(VLOOKUP(INDIRECT("G"&amp;ROW()),minfo!$A:$M,COLUMN()-8,0),"")</f>
        <v>0</v>
      </c>
      <c r="O1064" s="4" t="str">
        <f ca="1">_xlfn.IFNA(VLOOKUP(INDIRECT("G"&amp;ROW()),minfo!$A:$M,COLUMN()-8,0),"")</f>
        <v>https://i0.hdslb.com/bfs/station_src/music_metadata/eb755d196fcc72f220e2d93d3c981b98.jpg</v>
      </c>
      <c r="P1064" s="4">
        <f ca="1">_xlfn.IFNA(VLOOKUP(INDIRECT("G"&amp;ROW()),minfo!$A:$M,COLUMN()-8,0),"")</f>
        <v>0</v>
      </c>
      <c r="Q1064" s="4">
        <f ca="1">_xlfn.IFNA(VLOOKUP(INDIRECT("G"&amp;ROW()),minfo!$A:$M,COLUMN()-8,0),"")</f>
        <v>13</v>
      </c>
      <c r="R1064" s="4">
        <f ca="1">_xlfn.IFNA(VLOOKUP(INDIRECT("G"&amp;ROW()),minfo!$A:$M,COLUMN()-8,0),"")</f>
        <v>0</v>
      </c>
      <c r="S1064" s="4">
        <f ca="1">_xlfn.IFNA(VLOOKUP(INDIRECT("G"&amp;ROW()),minfo!$A:$M,COLUMN()-8,0),"")</f>
        <v>0</v>
      </c>
      <c r="T1064" s="4">
        <f ca="1">_xlfn.IFNA(VLOOKUP(INDIRECT("G"&amp;ROW()),minfo!$A:$M,COLUMN()-8,0),"")</f>
        <v>1301647</v>
      </c>
      <c r="U1064" s="4">
        <f ca="1">_xlfn.IFNA(VLOOKUP(INDIRECT("G"&amp;ROW()),minfo!$A:$M,COLUMN()-8,0),"")</f>
        <v>0</v>
      </c>
    </row>
    <row r="1065" spans="1:21" ht="15.75" customHeight="1">
      <c r="A1065" s="15">
        <v>1064</v>
      </c>
      <c r="B1065" s="4" t="s">
        <v>4670</v>
      </c>
      <c r="C1065" s="4">
        <v>1065</v>
      </c>
      <c r="D1065" s="4">
        <v>79</v>
      </c>
      <c r="E1065" s="4" t="s">
        <v>655</v>
      </c>
      <c r="F1065" s="16">
        <v>44701</v>
      </c>
      <c r="G1065" s="5" t="s">
        <v>654</v>
      </c>
      <c r="H1065" s="5" t="s">
        <v>4585</v>
      </c>
      <c r="I1065" s="24" t="str">
        <f>HYPERLINK("https://www.bilibili.com/video/BV1o3411T7Yn?p=79", "BV1o3411T7Yn?p=79")</f>
        <v>BV1o3411T7Yn?p=79</v>
      </c>
      <c r="J1065" s="4" t="str">
        <f ca="1">_xlfn.IFNA(VLOOKUP(INDIRECT("G"&amp;ROW()),minfo!$A:$M,COLUMN()-8,0),"")</f>
        <v>路过人间</v>
      </c>
      <c r="K1065" s="4" t="str">
        <f ca="1">_xlfn.IFNA(VLOOKUP(INDIRECT("G"&amp;ROW()),minfo!$A:$M,COLUMN()-8,0),"")</f>
        <v>郁可唯</v>
      </c>
      <c r="L1065" s="4">
        <f ca="1">_xlfn.IFNA(VLOOKUP(INDIRECT("G"&amp;ROW()),minfo!$A:$M,COLUMN()-8,0),"")</f>
        <v>0</v>
      </c>
      <c r="M1065" s="4">
        <f ca="1">_xlfn.IFNA(VLOOKUP(INDIRECT("G"&amp;ROW()),minfo!$A:$M,COLUMN()-8,0),"")</f>
        <v>17966</v>
      </c>
      <c r="N1065" s="4">
        <f ca="1">_xlfn.IFNA(VLOOKUP(INDIRECT("G"&amp;ROW()),minfo!$A:$M,COLUMN()-8,0),"")</f>
        <v>8458</v>
      </c>
      <c r="O1065" s="4" t="str">
        <f ca="1">_xlfn.IFNA(VLOOKUP(INDIRECT("G"&amp;ROW()),minfo!$A:$M,COLUMN()-8,0),"")</f>
        <v>http://i0.hdslb.com/bfs/station_src/music_metadata/570f6a193a95780dfeae2a4dfe0cb932.jpg</v>
      </c>
      <c r="P1065" s="4" t="str">
        <f ca="1">_xlfn.IFNA(VLOOKUP(INDIRECT("G"&amp;ROW()),minfo!$A:$M,COLUMN()-8,0),"")</f>
        <v>http://i0.hdslb.com/bfs/station_src/music_metadata/0386d6bc66823747cb1d61d511d20a21</v>
      </c>
      <c r="Q1065" s="4">
        <f ca="1">_xlfn.IFNA(VLOOKUP(INDIRECT("G"&amp;ROW()),minfo!$A:$M,COLUMN()-8,0),"")</f>
        <v>1296</v>
      </c>
      <c r="R1065" s="4">
        <f ca="1">_xlfn.IFNA(VLOOKUP(INDIRECT("G"&amp;ROW()),minfo!$A:$M,COLUMN()-8,0),"")</f>
        <v>0</v>
      </c>
      <c r="S1065" s="4" t="str">
        <f ca="1">_xlfn.IFNA(VLOOKUP(INDIRECT("G"&amp;ROW()),minfo!$A:$M,COLUMN()-8,0),"")</f>
        <v>路过人间</v>
      </c>
      <c r="T1065" s="4">
        <f ca="1">_xlfn.IFNA(VLOOKUP(INDIRECT("G"&amp;ROW()),minfo!$A:$M,COLUMN()-8,0),"")</f>
        <v>218547878</v>
      </c>
      <c r="U1065" s="4" t="str">
        <f ca="1">_xlfn.IFNA(VLOOKUP(INDIRECT("G"&amp;ROW()),minfo!$A:$M,COLUMN()-8,0),"")</f>
        <v>音乐榜最高NO.10</v>
      </c>
    </row>
    <row r="1066" spans="1:21" ht="15.75" customHeight="1">
      <c r="A1066" s="15">
        <v>1065</v>
      </c>
      <c r="B1066" s="4" t="s">
        <v>4671</v>
      </c>
      <c r="C1066" s="4">
        <v>1066</v>
      </c>
      <c r="D1066" s="4">
        <v>80</v>
      </c>
      <c r="E1066" s="4" t="s">
        <v>2352</v>
      </c>
      <c r="F1066" s="16">
        <v>44701</v>
      </c>
      <c r="G1066" s="5" t="s">
        <v>2351</v>
      </c>
      <c r="H1066" s="5" t="s">
        <v>4585</v>
      </c>
      <c r="I1066" s="24" t="str">
        <f>HYPERLINK("https://www.bilibili.com/video/BV1o3411T7Yn?p=80", "BV1o3411T7Yn?p=80")</f>
        <v>BV1o3411T7Yn?p=80</v>
      </c>
      <c r="J1066" s="4" t="str">
        <f ca="1">_xlfn.IFNA(VLOOKUP(INDIRECT("G"&amp;ROW()),minfo!$A:$M,COLUMN()-8,0),"")</f>
        <v>漂洋过海来看你</v>
      </c>
      <c r="K1066" s="4" t="str">
        <f ca="1">_xlfn.IFNA(VLOOKUP(INDIRECT("G"&amp;ROW()),minfo!$A:$M,COLUMN()-8,0),"")</f>
        <v>娃娃</v>
      </c>
      <c r="L1066" s="4">
        <f ca="1">_xlfn.IFNA(VLOOKUP(INDIRECT("G"&amp;ROW()),minfo!$A:$M,COLUMN()-8,0),"")</f>
        <v>0</v>
      </c>
      <c r="M1066" s="4">
        <f ca="1">_xlfn.IFNA(VLOOKUP(INDIRECT("G"&amp;ROW()),minfo!$A:$M,COLUMN()-8,0),"")</f>
        <v>0</v>
      </c>
      <c r="N1066" s="4">
        <f ca="1">_xlfn.IFNA(VLOOKUP(INDIRECT("G"&amp;ROW()),minfo!$A:$M,COLUMN()-8,0),"")</f>
        <v>0</v>
      </c>
      <c r="O1066" s="4" t="str">
        <f ca="1">_xlfn.IFNA(VLOOKUP(INDIRECT("G"&amp;ROW()),minfo!$A:$M,COLUMN()-8,0),"")</f>
        <v>https://i0.hdslb.com/bfs/station_src/music_metadata/6accd3b8873306793f8878f386c0333b.jpg</v>
      </c>
      <c r="P1066" s="4" t="str">
        <f ca="1">_xlfn.IFNA(VLOOKUP(INDIRECT("G"&amp;ROW()),minfo!$A:$M,COLUMN()-8,0),"")</f>
        <v>https://i0.hdslb.com/bfs/station_src/music_metadata/624348c1310a9b1583d320a14df6ed91.txt</v>
      </c>
      <c r="Q1066" s="4">
        <f ca="1">_xlfn.IFNA(VLOOKUP(INDIRECT("G"&amp;ROW()),minfo!$A:$M,COLUMN()-8,0),"")</f>
        <v>383</v>
      </c>
      <c r="R1066" s="4" t="str">
        <f ca="1">_xlfn.IFNA(VLOOKUP(INDIRECT("G"&amp;ROW()),minfo!$A:$M,COLUMN()-8,0),"")</f>
        <v>2002-08-28</v>
      </c>
      <c r="S1066" s="4" t="str">
        <f ca="1">_xlfn.IFNA(VLOOKUP(INDIRECT("G"&amp;ROW()),minfo!$A:$M,COLUMN()-8,0),"")</f>
        <v>涩女郎 电视原声带</v>
      </c>
      <c r="T1066" s="4">
        <f ca="1">_xlfn.IFNA(VLOOKUP(INDIRECT("G"&amp;ROW()),minfo!$A:$M,COLUMN()-8,0),"")</f>
        <v>184271216</v>
      </c>
      <c r="U1066" s="4">
        <f ca="1">_xlfn.IFNA(VLOOKUP(INDIRECT("G"&amp;ROW()),minfo!$A:$M,COLUMN()-8,0),"")</f>
        <v>0</v>
      </c>
    </row>
    <row r="1067" spans="1:21" ht="15.75" customHeight="1">
      <c r="A1067" s="15">
        <v>1066</v>
      </c>
      <c r="B1067" s="4" t="s">
        <v>4672</v>
      </c>
      <c r="C1067" s="4">
        <v>1067</v>
      </c>
      <c r="D1067" s="4">
        <v>81</v>
      </c>
      <c r="E1067" s="4" t="s">
        <v>2359</v>
      </c>
      <c r="F1067" s="16">
        <v>44701</v>
      </c>
      <c r="G1067" s="5" t="s">
        <v>2358</v>
      </c>
      <c r="H1067" s="5" t="s">
        <v>4585</v>
      </c>
      <c r="I1067" s="24" t="str">
        <f>HYPERLINK("https://www.bilibili.com/video/BV1o3411T7Yn?p=81", "BV1o3411T7Yn?p=81")</f>
        <v>BV1o3411T7Yn?p=81</v>
      </c>
      <c r="J1067" s="4" t="str">
        <f ca="1">_xlfn.IFNA(VLOOKUP(INDIRECT("G"&amp;ROW()),minfo!$A:$M,COLUMN()-8,0),"")</f>
        <v>一路上有你</v>
      </c>
      <c r="K1067" s="4" t="str">
        <f ca="1">_xlfn.IFNA(VLOOKUP(INDIRECT("G"&amp;ROW()),minfo!$A:$M,COLUMN()-8,0),"")</f>
        <v>张学友</v>
      </c>
      <c r="L1067" s="4">
        <f ca="1">_xlfn.IFNA(VLOOKUP(INDIRECT("G"&amp;ROW()),minfo!$A:$M,COLUMN()-8,0),"")</f>
        <v>0</v>
      </c>
      <c r="M1067" s="4">
        <f ca="1">_xlfn.IFNA(VLOOKUP(INDIRECT("G"&amp;ROW()),minfo!$A:$M,COLUMN()-8,0),"")</f>
        <v>0</v>
      </c>
      <c r="N1067" s="4">
        <f ca="1">_xlfn.IFNA(VLOOKUP(INDIRECT("G"&amp;ROW()),minfo!$A:$M,COLUMN()-8,0),"")</f>
        <v>0</v>
      </c>
      <c r="O1067" s="4" t="str">
        <f ca="1">_xlfn.IFNA(VLOOKUP(INDIRECT("G"&amp;ROW()),minfo!$A:$M,COLUMN()-8,0),"")</f>
        <v>http://i0.hdslb.com/bfs/station_src/music_metadata/6df5550a5d262311f802b00aa0c994a9.jpg</v>
      </c>
      <c r="P1067" s="4" t="str">
        <f ca="1">_xlfn.IFNA(VLOOKUP(INDIRECT("G"&amp;ROW()),minfo!$A:$M,COLUMN()-8,0),"")</f>
        <v>http://i0.hdslb.com/bfs/station_src/music_metadata/f6ae2f1888e5dab6223c037115144fe2</v>
      </c>
      <c r="Q1067" s="4">
        <f ca="1">_xlfn.IFNA(VLOOKUP(INDIRECT("G"&amp;ROW()),minfo!$A:$M,COLUMN()-8,0),"")</f>
        <v>45</v>
      </c>
      <c r="R1067" s="4">
        <f ca="1">_xlfn.IFNA(VLOOKUP(INDIRECT("G"&amp;ROW()),minfo!$A:$M,COLUMN()-8,0),"")</f>
        <v>0</v>
      </c>
      <c r="S1067" s="4" t="str">
        <f ca="1">_xlfn.IFNA(VLOOKUP(INDIRECT("G"&amp;ROW()),minfo!$A:$M,COLUMN()-8,0),"")</f>
        <v>吻别</v>
      </c>
      <c r="T1067" s="4">
        <f ca="1">_xlfn.IFNA(VLOOKUP(INDIRECT("G"&amp;ROW()),minfo!$A:$M,COLUMN()-8,0),"")</f>
        <v>4556693</v>
      </c>
      <c r="U1067" s="4">
        <f ca="1">_xlfn.IFNA(VLOOKUP(INDIRECT("G"&amp;ROW()),minfo!$A:$M,COLUMN()-8,0),"")</f>
        <v>0</v>
      </c>
    </row>
    <row r="1068" spans="1:21" ht="15.75" customHeight="1">
      <c r="A1068" s="15">
        <v>1067</v>
      </c>
      <c r="B1068" s="4" t="s">
        <v>4673</v>
      </c>
      <c r="C1068" s="4">
        <v>1068</v>
      </c>
      <c r="D1068" s="4">
        <v>82</v>
      </c>
      <c r="E1068" s="4" t="s">
        <v>1970</v>
      </c>
      <c r="F1068" s="16">
        <v>44701</v>
      </c>
      <c r="G1068" s="5" t="s">
        <v>1969</v>
      </c>
      <c r="H1068" s="5" t="s">
        <v>4585</v>
      </c>
      <c r="I1068" s="24" t="str">
        <f>HYPERLINK("https://www.bilibili.com/video/BV1o3411T7Yn?p=82", "BV1o3411T7Yn?p=82")</f>
        <v>BV1o3411T7Yn?p=82</v>
      </c>
      <c r="J1068" s="4" t="str">
        <f ca="1">_xlfn.IFNA(VLOOKUP(INDIRECT("G"&amp;ROW()),minfo!$A:$M,COLUMN()-8,0),"")</f>
        <v>被风吹过的夏天</v>
      </c>
      <c r="K1068" s="4" t="str">
        <f ca="1">_xlfn.IFNA(VLOOKUP(INDIRECT("G"&amp;ROW()),minfo!$A:$M,COLUMN()-8,0),"")</f>
        <v>林俊杰,金莎</v>
      </c>
      <c r="L1068" s="4">
        <f ca="1">_xlfn.IFNA(VLOOKUP(INDIRECT("G"&amp;ROW()),minfo!$A:$M,COLUMN()-8,0),"")</f>
        <v>0</v>
      </c>
      <c r="M1068" s="4">
        <f ca="1">_xlfn.IFNA(VLOOKUP(INDIRECT("G"&amp;ROW()),minfo!$A:$M,COLUMN()-8,0),"")</f>
        <v>54</v>
      </c>
      <c r="N1068" s="4">
        <f ca="1">_xlfn.IFNA(VLOOKUP(INDIRECT("G"&amp;ROW()),minfo!$A:$M,COLUMN()-8,0),"")</f>
        <v>16</v>
      </c>
      <c r="O1068" s="4" t="str">
        <f ca="1">_xlfn.IFNA(VLOOKUP(INDIRECT("G"&amp;ROW()),minfo!$A:$M,COLUMN()-8,0),"")</f>
        <v>https://i0.hdslb.com/bfs/station_src/music_metadata/36aad53b8e13e2b08e23fbc4cead673b.jpg</v>
      </c>
      <c r="P1068" s="4" t="str">
        <f ca="1">_xlfn.IFNA(VLOOKUP(INDIRECT("G"&amp;ROW()),minfo!$A:$M,COLUMN()-8,0),"")</f>
        <v>https://i0.hdslb.com/bfs/station_src/music_metadata/b0969da6ce1fcfd50a945d48a5b6bf7c.txt</v>
      </c>
      <c r="Q1068" s="4">
        <f ca="1">_xlfn.IFNA(VLOOKUP(INDIRECT("G"&amp;ROW()),minfo!$A:$M,COLUMN()-8,0),"")</f>
        <v>96</v>
      </c>
      <c r="R1068" s="4" t="str">
        <f ca="1">_xlfn.IFNA(VLOOKUP(INDIRECT("G"&amp;ROW()),minfo!$A:$M,COLUMN()-8,0),"")</f>
        <v>《最佳前男友》电视剧插曲</v>
      </c>
      <c r="S1068" s="4" t="str">
        <f ca="1">_xlfn.IFNA(VLOOKUP(INDIRECT("G"&amp;ROW()),minfo!$A:$M,COLUMN()-8,0),"")</f>
        <v>空气</v>
      </c>
      <c r="T1068" s="4">
        <f ca="1">_xlfn.IFNA(VLOOKUP(INDIRECT("G"&amp;ROW()),minfo!$A:$M,COLUMN()-8,0),"")</f>
        <v>105856229</v>
      </c>
      <c r="U1068" s="4">
        <f ca="1">_xlfn.IFNA(VLOOKUP(INDIRECT("G"&amp;ROW()),minfo!$A:$M,COLUMN()-8,0),"")</f>
        <v>0</v>
      </c>
    </row>
    <row r="1069" spans="1:21" ht="15.75" customHeight="1">
      <c r="A1069" s="15">
        <v>1068</v>
      </c>
      <c r="B1069" s="4" t="s">
        <v>4674</v>
      </c>
      <c r="C1069" s="4">
        <v>1069</v>
      </c>
      <c r="D1069" s="4">
        <v>83</v>
      </c>
      <c r="E1069" s="4" t="s">
        <v>319</v>
      </c>
      <c r="F1069" s="16">
        <v>44705</v>
      </c>
      <c r="G1069" s="5" t="s">
        <v>318</v>
      </c>
      <c r="H1069" s="5" t="s">
        <v>4585</v>
      </c>
      <c r="I1069" s="24" t="str">
        <f>HYPERLINK("https://www.bilibili.com/video/BV1o3411T7Yn?p=83", "BV1o3411T7Yn?p=83")</f>
        <v>BV1o3411T7Yn?p=83</v>
      </c>
      <c r="J1069" s="4" t="str">
        <f ca="1">_xlfn.IFNA(VLOOKUP(INDIRECT("G"&amp;ROW()),minfo!$A:$M,COLUMN()-8,0),"")</f>
        <v>晴天</v>
      </c>
      <c r="K1069" s="4" t="str">
        <f ca="1">_xlfn.IFNA(VLOOKUP(INDIRECT("G"&amp;ROW()),minfo!$A:$M,COLUMN()-8,0),"")</f>
        <v>周杰伦</v>
      </c>
      <c r="L1069" s="4">
        <f ca="1">_xlfn.IFNA(VLOOKUP(INDIRECT("G"&amp;ROW()),minfo!$A:$M,COLUMN()-8,0),"")</f>
        <v>0</v>
      </c>
      <c r="M1069" s="4">
        <f ca="1">_xlfn.IFNA(VLOOKUP(INDIRECT("G"&amp;ROW()),minfo!$A:$M,COLUMN()-8,0),"")</f>
        <v>5048</v>
      </c>
      <c r="N1069" s="4">
        <f ca="1">_xlfn.IFNA(VLOOKUP(INDIRECT("G"&amp;ROW()),minfo!$A:$M,COLUMN()-8,0),"")</f>
        <v>135</v>
      </c>
      <c r="O1069" s="4" t="str">
        <f ca="1">_xlfn.IFNA(VLOOKUP(INDIRECT("G"&amp;ROW()),minfo!$A:$M,COLUMN()-8,0),"")</f>
        <v>https://i0.hdslb.com/bfs/station_src/music_metadata/2efa8f0df2aff949dee33b3f46a56312.jpg</v>
      </c>
      <c r="P1069" s="4">
        <f ca="1">_xlfn.IFNA(VLOOKUP(INDIRECT("G"&amp;ROW()),minfo!$A:$M,COLUMN()-8,0),"")</f>
        <v>0</v>
      </c>
      <c r="Q1069" s="4">
        <f ca="1">_xlfn.IFNA(VLOOKUP(INDIRECT("G"&amp;ROW()),minfo!$A:$M,COLUMN()-8,0),"")</f>
        <v>15983</v>
      </c>
      <c r="R1069" s="4">
        <f ca="1">_xlfn.IFNA(VLOOKUP(INDIRECT("G"&amp;ROW()),minfo!$A:$M,COLUMN()-8,0),"")</f>
        <v>0</v>
      </c>
      <c r="S1069" s="4" t="str">
        <f ca="1">_xlfn.IFNA(VLOOKUP(INDIRECT("G"&amp;ROW()),minfo!$A:$M,COLUMN()-8,0),"")</f>
        <v>叶惠美</v>
      </c>
      <c r="T1069" s="4">
        <f ca="1">_xlfn.IFNA(VLOOKUP(INDIRECT("G"&amp;ROW()),minfo!$A:$M,COLUMN()-8,0),"")</f>
        <v>1497162616</v>
      </c>
      <c r="U1069" s="4" t="str">
        <f ca="1">_xlfn.IFNA(VLOOKUP(INDIRECT("G"&amp;ROW()),minfo!$A:$M,COLUMN()-8,0),"")</f>
        <v>音乐榜最高NO.8</v>
      </c>
    </row>
    <row r="1070" spans="1:21" ht="15.75" customHeight="1">
      <c r="A1070" s="15">
        <v>1069</v>
      </c>
      <c r="B1070" s="4" t="s">
        <v>4675</v>
      </c>
      <c r="C1070" s="4">
        <v>1070</v>
      </c>
      <c r="D1070" s="4">
        <v>84</v>
      </c>
      <c r="E1070" s="4" t="s">
        <v>573</v>
      </c>
      <c r="F1070" s="16">
        <v>44705</v>
      </c>
      <c r="G1070" s="5" t="s">
        <v>572</v>
      </c>
      <c r="H1070" s="5" t="s">
        <v>4585</v>
      </c>
      <c r="I1070" s="24" t="str">
        <f>HYPERLINK("https://www.bilibili.com/video/BV1o3411T7Yn?p=84", "BV1o3411T7Yn?p=84")</f>
        <v>BV1o3411T7Yn?p=84</v>
      </c>
      <c r="J1070" s="4" t="str">
        <f ca="1">_xlfn.IFNA(VLOOKUP(INDIRECT("G"&amp;ROW()),minfo!$A:$M,COLUMN()-8,0),"")</f>
        <v>红玫瑰</v>
      </c>
      <c r="K1070" s="4" t="str">
        <f ca="1">_xlfn.IFNA(VLOOKUP(INDIRECT("G"&amp;ROW()),minfo!$A:$M,COLUMN()-8,0),"")</f>
        <v>陈奕迅</v>
      </c>
      <c r="L1070" s="4">
        <f ca="1">_xlfn.IFNA(VLOOKUP(INDIRECT("G"&amp;ROW()),minfo!$A:$M,COLUMN()-8,0),"")</f>
        <v>0</v>
      </c>
      <c r="M1070" s="4">
        <f ca="1">_xlfn.IFNA(VLOOKUP(INDIRECT("G"&amp;ROW()),minfo!$A:$M,COLUMN()-8,0),"")</f>
        <v>0</v>
      </c>
      <c r="N1070" s="4">
        <f ca="1">_xlfn.IFNA(VLOOKUP(INDIRECT("G"&amp;ROW()),minfo!$A:$M,COLUMN()-8,0),"")</f>
        <v>0</v>
      </c>
      <c r="O1070" s="4" t="str">
        <f ca="1">_xlfn.IFNA(VLOOKUP(INDIRECT("G"&amp;ROW()),minfo!$A:$M,COLUMN()-8,0),"")</f>
        <v>https://i0.hdslb.com/bfs/station_src/music_metadata/daf19af215835bc6fc2fd9f40df9b04c.jpg</v>
      </c>
      <c r="P1070" s="4" t="str">
        <f ca="1">_xlfn.IFNA(VLOOKUP(INDIRECT("G"&amp;ROW()),minfo!$A:$M,COLUMN()-8,0),"")</f>
        <v>https://i0.hdslb.com/bfs/station_src/music_metadata/b2ebf3e83b28b1a8211f6c0893a42e7a.txt</v>
      </c>
      <c r="Q1070" s="4">
        <f ca="1">_xlfn.IFNA(VLOOKUP(INDIRECT("G"&amp;ROW()),minfo!$A:$M,COLUMN()-8,0),"")</f>
        <v>662</v>
      </c>
      <c r="R1070" s="4">
        <f ca="1">_xlfn.IFNA(VLOOKUP(INDIRECT("G"&amp;ROW()),minfo!$A:$M,COLUMN()-8,0),"")</f>
        <v>0</v>
      </c>
      <c r="S1070" s="4" t="str">
        <f ca="1">_xlfn.IFNA(VLOOKUP(INDIRECT("G"&amp;ROW()),minfo!$A:$M,COLUMN()-8,0),"")</f>
        <v>认了吧</v>
      </c>
      <c r="T1070" s="4">
        <f ca="1">_xlfn.IFNA(VLOOKUP(INDIRECT("G"&amp;ROW()),minfo!$A:$M,COLUMN()-8,0),"")</f>
        <v>297394501</v>
      </c>
      <c r="U1070" s="4">
        <f ca="1">_xlfn.IFNA(VLOOKUP(INDIRECT("G"&amp;ROW()),minfo!$A:$M,COLUMN()-8,0),"")</f>
        <v>0</v>
      </c>
    </row>
    <row r="1071" spans="1:21" ht="15.75" customHeight="1">
      <c r="A1071" s="15">
        <v>1070</v>
      </c>
      <c r="B1071" s="4" t="s">
        <v>4676</v>
      </c>
      <c r="C1071" s="4">
        <v>1071</v>
      </c>
      <c r="D1071" s="4">
        <v>85</v>
      </c>
      <c r="E1071" s="4" t="s">
        <v>30</v>
      </c>
      <c r="F1071" s="16">
        <v>44705</v>
      </c>
      <c r="G1071" s="5" t="s">
        <v>29</v>
      </c>
      <c r="H1071" s="5" t="s">
        <v>4585</v>
      </c>
      <c r="I1071" s="24" t="str">
        <f>HYPERLINK("https://www.bilibili.com/video/BV1o3411T7Yn?p=85", "BV1o3411T7Yn?p=85")</f>
        <v>BV1o3411T7Yn?p=85</v>
      </c>
      <c r="J1071" s="4" t="str">
        <f ca="1">_xlfn.IFNA(VLOOKUP(INDIRECT("G"&amp;ROW()),minfo!$A:$M,COLUMN()-8,0),"")</f>
        <v>下雨天</v>
      </c>
      <c r="K1071" s="4" t="str">
        <f ca="1">_xlfn.IFNA(VLOOKUP(INDIRECT("G"&amp;ROW()),minfo!$A:$M,COLUMN()-8,0),"")</f>
        <v>南拳妈妈</v>
      </c>
      <c r="L1071" s="4">
        <f ca="1">_xlfn.IFNA(VLOOKUP(INDIRECT("G"&amp;ROW()),minfo!$A:$M,COLUMN()-8,0),"")</f>
        <v>0</v>
      </c>
      <c r="M1071" s="4">
        <f ca="1">_xlfn.IFNA(VLOOKUP(INDIRECT("G"&amp;ROW()),minfo!$A:$M,COLUMN()-8,0),"")</f>
        <v>0</v>
      </c>
      <c r="N1071" s="4">
        <f ca="1">_xlfn.IFNA(VLOOKUP(INDIRECT("G"&amp;ROW()),minfo!$A:$M,COLUMN()-8,0),"")</f>
        <v>0</v>
      </c>
      <c r="O1071" s="4" t="str">
        <f ca="1">_xlfn.IFNA(VLOOKUP(INDIRECT("G"&amp;ROW()),minfo!$A:$M,COLUMN()-8,0),"")</f>
        <v>http://i0.hdslb.com/bfs/station_src/music_metadata/11894af49c3a6335acdcff5503de93ca.jpg</v>
      </c>
      <c r="P1071" s="4" t="str">
        <f ca="1">_xlfn.IFNA(VLOOKUP(INDIRECT("G"&amp;ROW()),minfo!$A:$M,COLUMN()-8,0),"")</f>
        <v>http://i0.hdslb.com/bfs/station_src/music_metadata/7562376c6e398641a1432bf3281bc565</v>
      </c>
      <c r="Q1071" s="4">
        <f ca="1">_xlfn.IFNA(VLOOKUP(INDIRECT("G"&amp;ROW()),minfo!$A:$M,COLUMN()-8,0),"")</f>
        <v>1858</v>
      </c>
      <c r="R1071" s="4">
        <f ca="1">_xlfn.IFNA(VLOOKUP(INDIRECT("G"&amp;ROW()),minfo!$A:$M,COLUMN()-8,0),"")</f>
        <v>0</v>
      </c>
      <c r="S1071" s="4" t="str">
        <f ca="1">_xlfn.IFNA(VLOOKUP(INDIRECT("G"&amp;ROW()),minfo!$A:$M,COLUMN()-8,0),"")</f>
        <v>优の良曲 南搞小孩</v>
      </c>
      <c r="T1071" s="4">
        <f ca="1">_xlfn.IFNA(VLOOKUP(INDIRECT("G"&amp;ROW()),minfo!$A:$M,COLUMN()-8,0),"")</f>
        <v>282780877</v>
      </c>
      <c r="U1071" s="4" t="str">
        <f ca="1">_xlfn.IFNA(VLOOKUP(INDIRECT("G"&amp;ROW()),minfo!$A:$M,COLUMN()-8,0),"")</f>
        <v>音乐榜最高NO.14</v>
      </c>
    </row>
    <row r="1072" spans="1:21" ht="15.75" customHeight="1">
      <c r="A1072" s="15">
        <v>1071</v>
      </c>
      <c r="B1072" s="4" t="s">
        <v>4677</v>
      </c>
      <c r="C1072" s="4">
        <v>1072</v>
      </c>
      <c r="D1072" s="4">
        <v>86</v>
      </c>
      <c r="E1072" s="4" t="s">
        <v>720</v>
      </c>
      <c r="F1072" s="16">
        <v>44705</v>
      </c>
      <c r="G1072" s="5" t="s">
        <v>719</v>
      </c>
      <c r="H1072" s="5" t="s">
        <v>4585</v>
      </c>
      <c r="I1072" s="24" t="str">
        <f>HYPERLINK("https://www.bilibili.com/video/BV1o3411T7Yn?p=86", "BV1o3411T7Yn?p=86")</f>
        <v>BV1o3411T7Yn?p=86</v>
      </c>
      <c r="J1072" s="4" t="str">
        <f ca="1">_xlfn.IFNA(VLOOKUP(INDIRECT("G"&amp;ROW()),minfo!$A:$M,COLUMN()-8,0),"")</f>
        <v>落叶归根</v>
      </c>
      <c r="K1072" s="4" t="str">
        <f ca="1">_xlfn.IFNA(VLOOKUP(INDIRECT("G"&amp;ROW()),minfo!$A:$M,COLUMN()-8,0),"")</f>
        <v>王力宏</v>
      </c>
      <c r="L1072" s="4">
        <f ca="1">_xlfn.IFNA(VLOOKUP(INDIRECT("G"&amp;ROW()),minfo!$A:$M,COLUMN()-8,0),"")</f>
        <v>0</v>
      </c>
      <c r="M1072" s="4">
        <f ca="1">_xlfn.IFNA(VLOOKUP(INDIRECT("G"&amp;ROW()),minfo!$A:$M,COLUMN()-8,0),"")</f>
        <v>3387</v>
      </c>
      <c r="N1072" s="4">
        <f ca="1">_xlfn.IFNA(VLOOKUP(INDIRECT("G"&amp;ROW()),minfo!$A:$M,COLUMN()-8,0),"")</f>
        <v>845</v>
      </c>
      <c r="O1072" s="4" t="str">
        <f ca="1">_xlfn.IFNA(VLOOKUP(INDIRECT("G"&amp;ROW()),minfo!$A:$M,COLUMN()-8,0),"")</f>
        <v>https://i0.hdslb.com/bfs/station_src/music_metadata/a8ffd1d411d13153eb4745f7b32606c9.jpg</v>
      </c>
      <c r="P1072" s="4" t="str">
        <f ca="1">_xlfn.IFNA(VLOOKUP(INDIRECT("G"&amp;ROW()),minfo!$A:$M,COLUMN()-8,0),"")</f>
        <v>https://i0.hdslb.com/bfs/station_src/music_metadata/bcd960f324898e0e42f392683fa178ba.txt</v>
      </c>
      <c r="Q1072" s="4">
        <f ca="1">_xlfn.IFNA(VLOOKUP(INDIRECT("G"&amp;ROW()),minfo!$A:$M,COLUMN()-8,0),"")</f>
        <v>60</v>
      </c>
      <c r="R1072" s="4">
        <f ca="1">_xlfn.IFNA(VLOOKUP(INDIRECT("G"&amp;ROW()),minfo!$A:$M,COLUMN()-8,0),"")</f>
        <v>0</v>
      </c>
      <c r="S1072" s="4" t="str">
        <f ca="1">_xlfn.IFNA(VLOOKUP(INDIRECT("G"&amp;ROW()),minfo!$A:$M,COLUMN()-8,0),"")</f>
        <v>改变自己</v>
      </c>
      <c r="T1072" s="4">
        <f ca="1">_xlfn.IFNA(VLOOKUP(INDIRECT("G"&amp;ROW()),minfo!$A:$M,COLUMN()-8,0),"")</f>
        <v>41008288</v>
      </c>
      <c r="U1072" s="4">
        <f ca="1">_xlfn.IFNA(VLOOKUP(INDIRECT("G"&amp;ROW()),minfo!$A:$M,COLUMN()-8,0),"")</f>
        <v>0</v>
      </c>
    </row>
    <row r="1073" spans="1:21" ht="15.75" customHeight="1">
      <c r="A1073" s="15">
        <v>1072</v>
      </c>
      <c r="B1073" s="4" t="s">
        <v>4678</v>
      </c>
      <c r="C1073" s="4">
        <v>1073</v>
      </c>
      <c r="D1073" s="4">
        <v>87</v>
      </c>
      <c r="E1073" s="4" t="s">
        <v>2364</v>
      </c>
      <c r="F1073" s="16">
        <v>44706</v>
      </c>
      <c r="G1073" s="5" t="s">
        <v>2363</v>
      </c>
      <c r="H1073" s="5" t="s">
        <v>4585</v>
      </c>
      <c r="I1073" s="24" t="str">
        <f>HYPERLINK("https://www.bilibili.com/video/BV1o3411T7Yn?p=87", "BV1o3411T7Yn?p=87")</f>
        <v>BV1o3411T7Yn?p=87</v>
      </c>
      <c r="J1073" s="4" t="str">
        <f ca="1">_xlfn.IFNA(VLOOKUP(INDIRECT("G"&amp;ROW()),minfo!$A:$M,COLUMN()-8,0),"")</f>
        <v>第一次爱的人</v>
      </c>
      <c r="K1073" s="4" t="str">
        <f ca="1">_xlfn.IFNA(VLOOKUP(INDIRECT("G"&amp;ROW()),minfo!$A:$M,COLUMN()-8,0),"")</f>
        <v>王心凌</v>
      </c>
      <c r="L1073" s="4">
        <f ca="1">_xlfn.IFNA(VLOOKUP(INDIRECT("G"&amp;ROW()),minfo!$A:$M,COLUMN()-8,0),"")</f>
        <v>0</v>
      </c>
      <c r="M1073" s="4">
        <f ca="1">_xlfn.IFNA(VLOOKUP(INDIRECT("G"&amp;ROW()),minfo!$A:$M,COLUMN()-8,0),"")</f>
        <v>10</v>
      </c>
      <c r="N1073" s="4">
        <f ca="1">_xlfn.IFNA(VLOOKUP(INDIRECT("G"&amp;ROW()),minfo!$A:$M,COLUMN()-8,0),"")</f>
        <v>2</v>
      </c>
      <c r="O1073" s="4" t="str">
        <f ca="1">_xlfn.IFNA(VLOOKUP(INDIRECT("G"&amp;ROW()),minfo!$A:$M,COLUMN()-8,0),"")</f>
        <v>https://i0.hdslb.com/bfs/station_src/music_metadata/752f77d2e45f65f1993d078e0d6922e8.jpg</v>
      </c>
      <c r="P1073" s="4" t="str">
        <f ca="1">_xlfn.IFNA(VLOOKUP(INDIRECT("G"&amp;ROW()),minfo!$A:$M,COLUMN()-8,0),"")</f>
        <v>https://i0.hdslb.com/bfs/station_src/music_metadata/845b19093d5795f8224ba0601f142781.txt</v>
      </c>
      <c r="Q1073" s="4">
        <f ca="1">_xlfn.IFNA(VLOOKUP(INDIRECT("G"&amp;ROW()),minfo!$A:$M,COLUMN()-8,0),"")</f>
        <v>973</v>
      </c>
      <c r="R1073" s="4" t="str">
        <f ca="1">_xlfn.IFNA(VLOOKUP(INDIRECT("G"&amp;ROW()),minfo!$A:$M,COLUMN()-8,0),"")</f>
        <v xml:space="preserve"> </v>
      </c>
      <c r="S1073" s="4" t="str">
        <f ca="1">_xlfn.IFNA(VLOOKUP(INDIRECT("G"&amp;ROW()),minfo!$A:$M,COLUMN()-8,0),"")</f>
        <v>爱你</v>
      </c>
      <c r="T1073" s="4">
        <f ca="1">_xlfn.IFNA(VLOOKUP(INDIRECT("G"&amp;ROW()),minfo!$A:$M,COLUMN()-8,0),"")</f>
        <v>120276397</v>
      </c>
      <c r="U1073" s="4">
        <f ca="1">_xlfn.IFNA(VLOOKUP(INDIRECT("G"&amp;ROW()),minfo!$A:$M,COLUMN()-8,0),"")</f>
        <v>0</v>
      </c>
    </row>
    <row r="1074" spans="1:21" ht="15.75" customHeight="1">
      <c r="A1074" s="15">
        <v>1073</v>
      </c>
      <c r="B1074" s="4" t="s">
        <v>4679</v>
      </c>
      <c r="C1074" s="4">
        <v>1074</v>
      </c>
      <c r="D1074" s="4">
        <v>88</v>
      </c>
      <c r="E1074" s="4" t="s">
        <v>2370</v>
      </c>
      <c r="F1074" s="16">
        <v>44706</v>
      </c>
      <c r="G1074" s="5" t="s">
        <v>2369</v>
      </c>
      <c r="H1074" s="5" t="s">
        <v>4585</v>
      </c>
      <c r="I1074" s="24" t="str">
        <f>HYPERLINK("https://www.bilibili.com/video/BV1o3411T7Yn?p=88", "BV1o3411T7Yn?p=88")</f>
        <v>BV1o3411T7Yn?p=88</v>
      </c>
      <c r="J1074" s="4" t="str">
        <f ca="1">_xlfn.IFNA(VLOOKUP(INDIRECT("G"&amp;ROW()),minfo!$A:$M,COLUMN()-8,0),"")</f>
        <v>黄昏晓</v>
      </c>
      <c r="K1074" s="4" t="str">
        <f ca="1">_xlfn.IFNA(VLOOKUP(INDIRECT("G"&amp;ROW()),minfo!$A:$M,COLUMN()-8,0),"")</f>
        <v>王心凌</v>
      </c>
      <c r="L1074" s="4">
        <f ca="1">_xlfn.IFNA(VLOOKUP(INDIRECT("G"&amp;ROW()),minfo!$A:$M,COLUMN()-8,0),"")</f>
        <v>0</v>
      </c>
      <c r="M1074" s="4">
        <f ca="1">_xlfn.IFNA(VLOOKUP(INDIRECT("G"&amp;ROW()),minfo!$A:$M,COLUMN()-8,0),"")</f>
        <v>12</v>
      </c>
      <c r="N1074" s="4">
        <f ca="1">_xlfn.IFNA(VLOOKUP(INDIRECT("G"&amp;ROW()),minfo!$A:$M,COLUMN()-8,0),"")</f>
        <v>3</v>
      </c>
      <c r="O1074" s="4" t="str">
        <f ca="1">_xlfn.IFNA(VLOOKUP(INDIRECT("G"&amp;ROW()),minfo!$A:$M,COLUMN()-8,0),"")</f>
        <v>https://i0.hdslb.com/bfs/station_src/music_metadata/b99cc59dfc17da876254a568e6abc02f.jpg</v>
      </c>
      <c r="P1074" s="4" t="str">
        <f ca="1">_xlfn.IFNA(VLOOKUP(INDIRECT("G"&amp;ROW()),minfo!$A:$M,COLUMN()-8,0),"")</f>
        <v>http://i0.hdslb.com/bfs/station_src/music_metadata/352530efa563273bb8c5a66310d6cb1b</v>
      </c>
      <c r="Q1074" s="4">
        <f ca="1">_xlfn.IFNA(VLOOKUP(INDIRECT("G"&amp;ROW()),minfo!$A:$M,COLUMN()-8,0),"")</f>
        <v>595</v>
      </c>
      <c r="R1074" s="4">
        <f ca="1">_xlfn.IFNA(VLOOKUP(INDIRECT("G"&amp;ROW()),minfo!$A:$M,COLUMN()-8,0),"")</f>
        <v>0</v>
      </c>
      <c r="S1074" s="4" t="str">
        <f ca="1">_xlfn.IFNA(VLOOKUP(INDIRECT("G"&amp;ROW()),minfo!$A:$M,COLUMN()-8,0),"")</f>
        <v>My! Cyndi!</v>
      </c>
      <c r="T1074" s="4">
        <f ca="1">_xlfn.IFNA(VLOOKUP(INDIRECT("G"&amp;ROW()),minfo!$A:$M,COLUMN()-8,0),"")</f>
        <v>51089154</v>
      </c>
      <c r="U1074" s="4">
        <f ca="1">_xlfn.IFNA(VLOOKUP(INDIRECT("G"&amp;ROW()),minfo!$A:$M,COLUMN()-8,0),"")</f>
        <v>0</v>
      </c>
    </row>
    <row r="1075" spans="1:21" ht="15.75" customHeight="1">
      <c r="A1075" s="15">
        <v>1074</v>
      </c>
      <c r="B1075" s="4" t="s">
        <v>4680</v>
      </c>
      <c r="C1075" s="4">
        <v>1075</v>
      </c>
      <c r="D1075" s="4">
        <v>89</v>
      </c>
      <c r="E1075" s="4" t="s">
        <v>2375</v>
      </c>
      <c r="F1075" s="16">
        <v>44706</v>
      </c>
      <c r="G1075" s="5" t="s">
        <v>2374</v>
      </c>
      <c r="H1075" s="5" t="s">
        <v>4585</v>
      </c>
      <c r="I1075" s="24" t="str">
        <f>HYPERLINK("https://www.bilibili.com/video/BV1o3411T7Yn?p=89", "BV1o3411T7Yn?p=89")</f>
        <v>BV1o3411T7Yn?p=89</v>
      </c>
      <c r="J1075" s="4" t="str">
        <f ca="1">_xlfn.IFNA(VLOOKUP(INDIRECT("G"&amp;ROW()),minfo!$A:$M,COLUMN()-8,0),"")</f>
        <v>那年夏天宁静的海</v>
      </c>
      <c r="K1075" s="4" t="str">
        <f ca="1">_xlfn.IFNA(VLOOKUP(INDIRECT("G"&amp;ROW()),minfo!$A:$M,COLUMN()-8,0),"")</f>
        <v>王心凌</v>
      </c>
      <c r="L1075" s="4">
        <f ca="1">_xlfn.IFNA(VLOOKUP(INDIRECT("G"&amp;ROW()),minfo!$A:$M,COLUMN()-8,0),"")</f>
        <v>0</v>
      </c>
      <c r="M1075" s="4">
        <f ca="1">_xlfn.IFNA(VLOOKUP(INDIRECT("G"&amp;ROW()),minfo!$A:$M,COLUMN()-8,0),"")</f>
        <v>11</v>
      </c>
      <c r="N1075" s="4">
        <f ca="1">_xlfn.IFNA(VLOOKUP(INDIRECT("G"&amp;ROW()),minfo!$A:$M,COLUMN()-8,0),"")</f>
        <v>3</v>
      </c>
      <c r="O1075" s="4" t="str">
        <f ca="1">_xlfn.IFNA(VLOOKUP(INDIRECT("G"&amp;ROW()),minfo!$A:$M,COLUMN()-8,0),"")</f>
        <v>https://i0.hdslb.com/bfs/station_src/music_metadata/08f5cfe3aeebd61a373ab5fe0b7ca72e.jpg</v>
      </c>
      <c r="P1075" s="4" t="str">
        <f ca="1">_xlfn.IFNA(VLOOKUP(INDIRECT("G"&amp;ROW()),minfo!$A:$M,COLUMN()-8,0),"")</f>
        <v>http://i0.hdslb.com/bfs/station_src/music_metadata/9772e8ba809b3fbd6ee51d206ab6e5b7</v>
      </c>
      <c r="Q1075" s="4">
        <f ca="1">_xlfn.IFNA(VLOOKUP(INDIRECT("G"&amp;ROW()),minfo!$A:$M,COLUMN()-8,0),"")</f>
        <v>328</v>
      </c>
      <c r="R1075" s="4">
        <f ca="1">_xlfn.IFNA(VLOOKUP(INDIRECT("G"&amp;ROW()),minfo!$A:$M,COLUMN()-8,0),"")</f>
        <v>0</v>
      </c>
      <c r="S1075" s="4" t="str">
        <f ca="1">_xlfn.IFNA(VLOOKUP(INDIRECT("G"&amp;ROW()),minfo!$A:$M,COLUMN()-8,0),"")</f>
        <v>Magic Cyndi</v>
      </c>
      <c r="T1075" s="4">
        <f ca="1">_xlfn.IFNA(VLOOKUP(INDIRECT("G"&amp;ROW()),minfo!$A:$M,COLUMN()-8,0),"")</f>
        <v>26340486</v>
      </c>
      <c r="U1075" s="4" t="str">
        <f ca="1">_xlfn.IFNA(VLOOKUP(INDIRECT("G"&amp;ROW()),minfo!$A:$M,COLUMN()-8,0),"")</f>
        <v>音乐榜最高NO.15</v>
      </c>
    </row>
    <row r="1076" spans="1:21" ht="15.75" customHeight="1">
      <c r="A1076" s="15">
        <v>1075</v>
      </c>
      <c r="B1076" s="4" t="s">
        <v>4681</v>
      </c>
      <c r="C1076" s="4">
        <v>1076</v>
      </c>
      <c r="D1076" s="4">
        <v>90</v>
      </c>
      <c r="E1076" s="4" t="s">
        <v>2380</v>
      </c>
      <c r="F1076" s="16">
        <v>44706</v>
      </c>
      <c r="G1076" s="5" t="s">
        <v>2379</v>
      </c>
      <c r="H1076" s="5" t="s">
        <v>4585</v>
      </c>
      <c r="I1076" s="24" t="str">
        <f>HYPERLINK("https://www.bilibili.com/video/BV1o3411T7Yn?p=90", "BV1o3411T7Yn?p=90")</f>
        <v>BV1o3411T7Yn?p=90</v>
      </c>
      <c r="J1076" s="4" t="str">
        <f ca="1">_xlfn.IFNA(VLOOKUP(INDIRECT("G"&amp;ROW()),minfo!$A:$M,COLUMN()-8,0),"")</f>
        <v>睫毛弯弯</v>
      </c>
      <c r="K1076" s="4" t="str">
        <f ca="1">_xlfn.IFNA(VLOOKUP(INDIRECT("G"&amp;ROW()),minfo!$A:$M,COLUMN()-8,0),"")</f>
        <v>王心凌</v>
      </c>
      <c r="L1076" s="4">
        <f ca="1">_xlfn.IFNA(VLOOKUP(INDIRECT("G"&amp;ROW()),minfo!$A:$M,COLUMN()-8,0),"")</f>
        <v>0</v>
      </c>
      <c r="M1076" s="4">
        <f ca="1">_xlfn.IFNA(VLOOKUP(INDIRECT("G"&amp;ROW()),minfo!$A:$M,COLUMN()-8,0),"")</f>
        <v>13</v>
      </c>
      <c r="N1076" s="4">
        <f ca="1">_xlfn.IFNA(VLOOKUP(INDIRECT("G"&amp;ROW()),minfo!$A:$M,COLUMN()-8,0),"")</f>
        <v>0</v>
      </c>
      <c r="O1076" s="4" t="str">
        <f ca="1">_xlfn.IFNA(VLOOKUP(INDIRECT("G"&amp;ROW()),minfo!$A:$M,COLUMN()-8,0),"")</f>
        <v>https://i0.hdslb.com/bfs/station_src/music_metadata/f282f16131a4a3cd0453b0933b476080.jpg</v>
      </c>
      <c r="P1076" s="4" t="str">
        <f ca="1">_xlfn.IFNA(VLOOKUP(INDIRECT("G"&amp;ROW()),minfo!$A:$M,COLUMN()-8,0),"")</f>
        <v>http://i0.hdslb.com/bfs/station_src/music_metadata/398e2c49752ba00f849406667ec212b6</v>
      </c>
      <c r="Q1076" s="4">
        <f ca="1">_xlfn.IFNA(VLOOKUP(INDIRECT("G"&amp;ROW()),minfo!$A:$M,COLUMN()-8,0),"")</f>
        <v>1272</v>
      </c>
      <c r="R1076" s="4">
        <f ca="1">_xlfn.IFNA(VLOOKUP(INDIRECT("G"&amp;ROW()),minfo!$A:$M,COLUMN()-8,0),"")</f>
        <v>0</v>
      </c>
      <c r="S1076" s="4" t="str">
        <f ca="1">_xlfn.IFNA(VLOOKUP(INDIRECT("G"&amp;ROW()),minfo!$A:$M,COLUMN()-8,0),"")</f>
        <v>Cyndi With U</v>
      </c>
      <c r="T1076" s="4">
        <f ca="1">_xlfn.IFNA(VLOOKUP(INDIRECT("G"&amp;ROW()),minfo!$A:$M,COLUMN()-8,0),"")</f>
        <v>168084644</v>
      </c>
      <c r="U1076" s="4">
        <f ca="1">_xlfn.IFNA(VLOOKUP(INDIRECT("G"&amp;ROW()),minfo!$A:$M,COLUMN()-8,0),"")</f>
        <v>0</v>
      </c>
    </row>
    <row r="1077" spans="1:21" ht="15.75" customHeight="1">
      <c r="A1077" s="15">
        <v>1076</v>
      </c>
      <c r="B1077" s="4" t="s">
        <v>4682</v>
      </c>
      <c r="C1077" s="4">
        <v>1077</v>
      </c>
      <c r="D1077" s="4">
        <v>91</v>
      </c>
      <c r="E1077" s="4" t="s">
        <v>883</v>
      </c>
      <c r="F1077" s="16">
        <v>44706</v>
      </c>
      <c r="G1077" s="5" t="s">
        <v>882</v>
      </c>
      <c r="H1077" s="5" t="s">
        <v>4585</v>
      </c>
      <c r="I1077" s="24" t="str">
        <f>HYPERLINK("https://www.bilibili.com/video/BV1o3411T7Yn?p=91", "BV1o3411T7Yn?p=91")</f>
        <v>BV1o3411T7Yn?p=91</v>
      </c>
      <c r="J1077" s="4" t="str">
        <f ca="1">_xlfn.IFNA(VLOOKUP(INDIRECT("G"&amp;ROW()),minfo!$A:$M,COLUMN()-8,0),"")</f>
        <v>大眠</v>
      </c>
      <c r="K1077" s="4" t="str">
        <f ca="1">_xlfn.IFNA(VLOOKUP(INDIRECT("G"&amp;ROW()),minfo!$A:$M,COLUMN()-8,0),"")</f>
        <v>王心凌</v>
      </c>
      <c r="L1077" s="4">
        <f ca="1">_xlfn.IFNA(VLOOKUP(INDIRECT("G"&amp;ROW()),minfo!$A:$M,COLUMN()-8,0),"")</f>
        <v>0</v>
      </c>
      <c r="M1077" s="4">
        <f ca="1">_xlfn.IFNA(VLOOKUP(INDIRECT("G"&amp;ROW()),minfo!$A:$M,COLUMN()-8,0),"")</f>
        <v>0</v>
      </c>
      <c r="N1077" s="4">
        <f ca="1">_xlfn.IFNA(VLOOKUP(INDIRECT("G"&amp;ROW()),minfo!$A:$M,COLUMN()-8,0),"")</f>
        <v>0</v>
      </c>
      <c r="O1077" s="4" t="str">
        <f ca="1">_xlfn.IFNA(VLOOKUP(INDIRECT("G"&amp;ROW()),minfo!$A:$M,COLUMN()-8,0),"")</f>
        <v>https://i0.hdslb.com/bfs/station_src/music_metadata/af5d28f2df8d5c17a196bebcb46c7319.jpg</v>
      </c>
      <c r="P1077" s="4" t="str">
        <f ca="1">_xlfn.IFNA(VLOOKUP(INDIRECT("G"&amp;ROW()),minfo!$A:$M,COLUMN()-8,0),"")</f>
        <v>http://i0.hdslb.com/bfs/station_src/music_metadata/f1798c26021de0c1e651d2f042b7cf9b</v>
      </c>
      <c r="Q1077" s="4">
        <f ca="1">_xlfn.IFNA(VLOOKUP(INDIRECT("G"&amp;ROW()),minfo!$A:$M,COLUMN()-8,0),"")</f>
        <v>1078</v>
      </c>
      <c r="R1077" s="4">
        <f ca="1">_xlfn.IFNA(VLOOKUP(INDIRECT("G"&amp;ROW()),minfo!$A:$M,COLUMN()-8,0),"")</f>
        <v>0</v>
      </c>
      <c r="S1077" s="4" t="str">
        <f ca="1">_xlfn.IFNA(VLOOKUP(INDIRECT("G"&amp;ROW()),minfo!$A:$M,COLUMN()-8,0),"")</f>
        <v>CYNDILOVES2SING 爱。心凌</v>
      </c>
      <c r="T1077" s="4">
        <f ca="1">_xlfn.IFNA(VLOOKUP(INDIRECT("G"&amp;ROW()),minfo!$A:$M,COLUMN()-8,0),"")</f>
        <v>152298390</v>
      </c>
      <c r="U1077" s="4">
        <f ca="1">_xlfn.IFNA(VLOOKUP(INDIRECT("G"&amp;ROW()),minfo!$A:$M,COLUMN()-8,0),"")</f>
        <v>0</v>
      </c>
    </row>
    <row r="1078" spans="1:21" ht="15.75" customHeight="1">
      <c r="A1078" s="15">
        <v>1077</v>
      </c>
      <c r="B1078" s="4" t="s">
        <v>4683</v>
      </c>
      <c r="C1078" s="4">
        <v>1078</v>
      </c>
      <c r="D1078" s="4">
        <v>92</v>
      </c>
      <c r="E1078" s="4" t="s">
        <v>2385</v>
      </c>
      <c r="F1078" s="16">
        <v>44706</v>
      </c>
      <c r="G1078" s="5" t="s">
        <v>2384</v>
      </c>
      <c r="H1078" s="5" t="s">
        <v>4585</v>
      </c>
      <c r="I1078" s="24" t="str">
        <f>HYPERLINK("https://www.bilibili.com/video/BV1o3411T7Yn?p=92", "BV1o3411T7Yn?p=92")</f>
        <v>BV1o3411T7Yn?p=92</v>
      </c>
      <c r="J1078" s="4" t="str">
        <f ca="1">_xlfn.IFNA(VLOOKUP(INDIRECT("G"&amp;ROW()),minfo!$A:$M,COLUMN()-8,0),"")</f>
        <v>花的嫁纱</v>
      </c>
      <c r="K1078" s="4" t="str">
        <f ca="1">_xlfn.IFNA(VLOOKUP(INDIRECT("G"&amp;ROW()),minfo!$A:$M,COLUMN()-8,0),"")</f>
        <v>王心凌</v>
      </c>
      <c r="L1078" s="4">
        <f ca="1">_xlfn.IFNA(VLOOKUP(INDIRECT("G"&amp;ROW()),minfo!$A:$M,COLUMN()-8,0),"")</f>
        <v>0</v>
      </c>
      <c r="M1078" s="4">
        <f ca="1">_xlfn.IFNA(VLOOKUP(INDIRECT("G"&amp;ROW()),minfo!$A:$M,COLUMN()-8,0),"")</f>
        <v>0</v>
      </c>
      <c r="N1078" s="4">
        <f ca="1">_xlfn.IFNA(VLOOKUP(INDIRECT("G"&amp;ROW()),minfo!$A:$M,COLUMN()-8,0),"")</f>
        <v>0</v>
      </c>
      <c r="O1078" s="4" t="str">
        <f ca="1">_xlfn.IFNA(VLOOKUP(INDIRECT("G"&amp;ROW()),minfo!$A:$M,COLUMN()-8,0),"")</f>
        <v>https://i0.hdslb.com/bfs/station_src/music_metadata/086abdf3ee1e035666bdbeb27d0fadf3.jpg</v>
      </c>
      <c r="P1078" s="4" t="str">
        <f ca="1">_xlfn.IFNA(VLOOKUP(INDIRECT("G"&amp;ROW()),minfo!$A:$M,COLUMN()-8,0),"")</f>
        <v>http://i0.hdslb.com/bfs/station_src/music_metadata/adc719fe58e0092aa6c521917c5bb9a7</v>
      </c>
      <c r="Q1078" s="4">
        <f ca="1">_xlfn.IFNA(VLOOKUP(INDIRECT("G"&amp;ROW()),minfo!$A:$M,COLUMN()-8,0),"")</f>
        <v>30</v>
      </c>
      <c r="R1078" s="4" t="str">
        <f ca="1">_xlfn.IFNA(VLOOKUP(INDIRECT("G"&amp;ROW()),minfo!$A:$M,COLUMN()-8,0),"")</f>
        <v>《天国的嫁衣》电视剧片头曲</v>
      </c>
      <c r="S1078" s="4" t="str">
        <f ca="1">_xlfn.IFNA(VLOOKUP(INDIRECT("G"&amp;ROW()),minfo!$A:$M,COLUMN()-8,0),"")</f>
        <v>天国的嫁衣 电视剧原声带</v>
      </c>
      <c r="T1078" s="4">
        <f ca="1">_xlfn.IFNA(VLOOKUP(INDIRECT("G"&amp;ROW()),minfo!$A:$M,COLUMN()-8,0),"")</f>
        <v>19482999</v>
      </c>
      <c r="U1078" s="4">
        <f ca="1">_xlfn.IFNA(VLOOKUP(INDIRECT("G"&amp;ROW()),minfo!$A:$M,COLUMN()-8,0),"")</f>
        <v>0</v>
      </c>
    </row>
    <row r="1079" spans="1:21" ht="15.75" customHeight="1">
      <c r="A1079" s="15">
        <v>1078</v>
      </c>
      <c r="B1079" s="4" t="s">
        <v>4684</v>
      </c>
      <c r="C1079" s="4">
        <v>1079</v>
      </c>
      <c r="D1079" s="4">
        <v>93</v>
      </c>
      <c r="E1079" s="4" t="s">
        <v>2391</v>
      </c>
      <c r="F1079" s="16">
        <v>44706</v>
      </c>
      <c r="G1079" s="5" t="s">
        <v>2390</v>
      </c>
      <c r="H1079" s="5" t="s">
        <v>4585</v>
      </c>
      <c r="I1079" s="24" t="str">
        <f>HYPERLINK("https://www.bilibili.com/video/BV1o3411T7Yn?p=93", "BV1o3411T7Yn?p=93")</f>
        <v>BV1o3411T7Yn?p=93</v>
      </c>
      <c r="J1079" s="4" t="str">
        <f ca="1">_xlfn.IFNA(VLOOKUP(INDIRECT("G"&amp;ROW()),minfo!$A:$M,COLUMN()-8,0),"")</f>
        <v>彩虹的微笑</v>
      </c>
      <c r="K1079" s="4" t="str">
        <f ca="1">_xlfn.IFNA(VLOOKUP(INDIRECT("G"&amp;ROW()),minfo!$A:$M,COLUMN()-8,0),"")</f>
        <v>王心凌</v>
      </c>
      <c r="L1079" s="4">
        <f ca="1">_xlfn.IFNA(VLOOKUP(INDIRECT("G"&amp;ROW()),minfo!$A:$M,COLUMN()-8,0),"")</f>
        <v>0</v>
      </c>
      <c r="M1079" s="4">
        <f ca="1">_xlfn.IFNA(VLOOKUP(INDIRECT("G"&amp;ROW()),minfo!$A:$M,COLUMN()-8,0),"")</f>
        <v>10</v>
      </c>
      <c r="N1079" s="4">
        <f ca="1">_xlfn.IFNA(VLOOKUP(INDIRECT("G"&amp;ROW()),minfo!$A:$M,COLUMN()-8,0),"")</f>
        <v>6</v>
      </c>
      <c r="O1079" s="4" t="str">
        <f ca="1">_xlfn.IFNA(VLOOKUP(INDIRECT("G"&amp;ROW()),minfo!$A:$M,COLUMN()-8,0),"")</f>
        <v>https://i0.hdslb.com/bfs/station_src/music_metadata/e2f712b24496057883352c307eaa6d07.jpg</v>
      </c>
      <c r="P1079" s="4" t="str">
        <f ca="1">_xlfn.IFNA(VLOOKUP(INDIRECT("G"&amp;ROW()),minfo!$A:$M,COLUMN()-8,0),"")</f>
        <v>http://i0.hdslb.com/bfs/station_src/music_metadata/24071bac099eff32a21bc154cfb83a51</v>
      </c>
      <c r="Q1079" s="4">
        <f ca="1">_xlfn.IFNA(VLOOKUP(INDIRECT("G"&amp;ROW()),minfo!$A:$M,COLUMN()-8,0),"")</f>
        <v>680</v>
      </c>
      <c r="R1079" s="4">
        <f ca="1">_xlfn.IFNA(VLOOKUP(INDIRECT("G"&amp;ROW()),minfo!$A:$M,COLUMN()-8,0),"")</f>
        <v>0</v>
      </c>
      <c r="S1079" s="4" t="str">
        <f ca="1">_xlfn.IFNA(VLOOKUP(INDIRECT("G"&amp;ROW()),minfo!$A:$M,COLUMN()-8,0),"")</f>
        <v>My! Cyndi!</v>
      </c>
      <c r="T1079" s="4">
        <f ca="1">_xlfn.IFNA(VLOOKUP(INDIRECT("G"&amp;ROW()),minfo!$A:$M,COLUMN()-8,0),"")</f>
        <v>184836616</v>
      </c>
      <c r="U1079" s="4" t="str">
        <f ca="1">_xlfn.IFNA(VLOOKUP(INDIRECT("G"&amp;ROW()),minfo!$A:$M,COLUMN()-8,0),"")</f>
        <v>音乐榜最高NO.11</v>
      </c>
    </row>
    <row r="1080" spans="1:21" ht="15.75" customHeight="1">
      <c r="A1080" s="15">
        <v>1079</v>
      </c>
      <c r="B1080" s="4" t="s">
        <v>4685</v>
      </c>
      <c r="C1080" s="4">
        <v>1080</v>
      </c>
      <c r="D1080" s="4">
        <v>94</v>
      </c>
      <c r="E1080" s="4" t="s">
        <v>2395</v>
      </c>
      <c r="F1080" s="16">
        <v>44708</v>
      </c>
      <c r="G1080" s="5" t="s">
        <v>2394</v>
      </c>
      <c r="H1080" s="5" t="s">
        <v>4585</v>
      </c>
      <c r="I1080" s="24" t="str">
        <f>HYPERLINK("https://www.bilibili.com/video/BV1o3411T7Yn?p=94", "BV1o3411T7Yn?p=94")</f>
        <v>BV1o3411T7Yn?p=94</v>
      </c>
      <c r="J1080" s="4" t="str">
        <f ca="1">_xlfn.IFNA(VLOOKUP(INDIRECT("G"&amp;ROW()),minfo!$A:$M,COLUMN()-8,0),"")</f>
        <v>美人鱼</v>
      </c>
      <c r="K1080" s="4" t="str">
        <f ca="1">_xlfn.IFNA(VLOOKUP(INDIRECT("G"&amp;ROW()),minfo!$A:$M,COLUMN()-8,0),"")</f>
        <v>周杰伦</v>
      </c>
      <c r="L1080" s="4">
        <f ca="1">_xlfn.IFNA(VLOOKUP(INDIRECT("G"&amp;ROW()),minfo!$A:$M,COLUMN()-8,0),"")</f>
        <v>0</v>
      </c>
      <c r="M1080" s="4">
        <f ca="1">_xlfn.IFNA(VLOOKUP(INDIRECT("G"&amp;ROW()),minfo!$A:$M,COLUMN()-8,0),"")</f>
        <v>0</v>
      </c>
      <c r="N1080" s="4">
        <f ca="1">_xlfn.IFNA(VLOOKUP(INDIRECT("G"&amp;ROW()),minfo!$A:$M,COLUMN()-8,0),"")</f>
        <v>0</v>
      </c>
      <c r="O1080" s="4" t="str">
        <f ca="1">_xlfn.IFNA(VLOOKUP(INDIRECT("G"&amp;ROW()),minfo!$A:$M,COLUMN()-8,0),"")</f>
        <v>https://i0.hdslb.com/bfs/station_src/music_metadata/d22e7461aa257464124990c7eda3b561.jpg</v>
      </c>
      <c r="P1080" s="4" t="str">
        <f ca="1">_xlfn.IFNA(VLOOKUP(INDIRECT("G"&amp;ROW()),minfo!$A:$M,COLUMN()-8,0),"")</f>
        <v>http://i0.hdslb.com/bfs/station_src/music_metadata/3a496b4d36d1ba8fbe75af7a1cc441af</v>
      </c>
      <c r="Q1080" s="4">
        <f ca="1">_xlfn.IFNA(VLOOKUP(INDIRECT("G"&amp;ROW()),minfo!$A:$M,COLUMN()-8,0),"")</f>
        <v>842</v>
      </c>
      <c r="R1080" s="4">
        <f ca="1">_xlfn.IFNA(VLOOKUP(INDIRECT("G"&amp;ROW()),minfo!$A:$M,COLUMN()-8,0),"")</f>
        <v>0</v>
      </c>
      <c r="S1080" s="4" t="str">
        <f ca="1">_xlfn.IFNA(VLOOKUP(INDIRECT("G"&amp;ROW()),minfo!$A:$M,COLUMN()-8,0),"")</f>
        <v>哎呦，不错哦</v>
      </c>
      <c r="T1080" s="4">
        <f ca="1">_xlfn.IFNA(VLOOKUP(INDIRECT("G"&amp;ROW()),minfo!$A:$M,COLUMN()-8,0),"")</f>
        <v>354965188</v>
      </c>
      <c r="U1080" s="4">
        <f ca="1">_xlfn.IFNA(VLOOKUP(INDIRECT("G"&amp;ROW()),minfo!$A:$M,COLUMN()-8,0),"")</f>
        <v>0</v>
      </c>
    </row>
    <row r="1081" spans="1:21" ht="15.75" customHeight="1">
      <c r="A1081" s="15">
        <v>1080</v>
      </c>
      <c r="B1081" s="4" t="s">
        <v>4686</v>
      </c>
      <c r="C1081" s="4">
        <v>1081</v>
      </c>
      <c r="D1081" s="4">
        <v>95</v>
      </c>
      <c r="E1081" s="4" t="s">
        <v>2399</v>
      </c>
      <c r="F1081" s="16">
        <v>44709</v>
      </c>
      <c r="G1081" s="5" t="s">
        <v>2398</v>
      </c>
      <c r="H1081" s="5" t="s">
        <v>4585</v>
      </c>
      <c r="I1081" s="24" t="str">
        <f>HYPERLINK("https://www.bilibili.com/video/BV1o3411T7Yn?p=95", "BV1o3411T7Yn?p=95")</f>
        <v>BV1o3411T7Yn?p=95</v>
      </c>
      <c r="J1081" s="4" t="str">
        <f ca="1">_xlfn.IFNA(VLOOKUP(INDIRECT("G"&amp;ROW()),minfo!$A:$M,COLUMN()-8,0),"")</f>
        <v>一笑倾城</v>
      </c>
      <c r="K1081" s="4" t="str">
        <f ca="1">_xlfn.IFNA(VLOOKUP(INDIRECT("G"&amp;ROW()),minfo!$A:$M,COLUMN()-8,0),"")</f>
        <v>汪苏泷</v>
      </c>
      <c r="L1081" s="4">
        <f ca="1">_xlfn.IFNA(VLOOKUP(INDIRECT("G"&amp;ROW()),minfo!$A:$M,COLUMN()-8,0),"")</f>
        <v>0</v>
      </c>
      <c r="M1081" s="4">
        <f ca="1">_xlfn.IFNA(VLOOKUP(INDIRECT("G"&amp;ROW()),minfo!$A:$M,COLUMN()-8,0),"")</f>
        <v>0</v>
      </c>
      <c r="N1081" s="4">
        <f ca="1">_xlfn.IFNA(VLOOKUP(INDIRECT("G"&amp;ROW()),minfo!$A:$M,COLUMN()-8,0),"")</f>
        <v>0</v>
      </c>
      <c r="O1081" s="4" t="str">
        <f ca="1">_xlfn.IFNA(VLOOKUP(INDIRECT("G"&amp;ROW()),minfo!$A:$M,COLUMN()-8,0),"")</f>
        <v>http://i0.hdslb.com/bfs/station_src/music_metadata/b3bef48a2977e3f841d604989ef46cb4.jpg</v>
      </c>
      <c r="P1081" s="4" t="str">
        <f ca="1">_xlfn.IFNA(VLOOKUP(INDIRECT("G"&amp;ROW()),minfo!$A:$M,COLUMN()-8,0),"")</f>
        <v>http://i0.hdslb.com/bfs/station_src/music_metadata/7fe87ec4e81c821186607d4b94941434</v>
      </c>
      <c r="Q1081" s="4">
        <f ca="1">_xlfn.IFNA(VLOOKUP(INDIRECT("G"&amp;ROW()),minfo!$A:$M,COLUMN()-8,0),"")</f>
        <v>2419</v>
      </c>
      <c r="R1081" s="4">
        <f ca="1">_xlfn.IFNA(VLOOKUP(INDIRECT("G"&amp;ROW()),minfo!$A:$M,COLUMN()-8,0),"")</f>
        <v>0</v>
      </c>
      <c r="S1081" s="4" t="str">
        <f ca="1">_xlfn.IFNA(VLOOKUP(INDIRECT("G"&amp;ROW()),minfo!$A:$M,COLUMN()-8,0),"")</f>
        <v>微微一笑很倾城 电视剧原声带</v>
      </c>
      <c r="T1081" s="4">
        <f ca="1">_xlfn.IFNA(VLOOKUP(INDIRECT("G"&amp;ROW()),minfo!$A:$M,COLUMN()-8,0),"")</f>
        <v>649378790</v>
      </c>
      <c r="U1081" s="4" t="str">
        <f ca="1">_xlfn.IFNA(VLOOKUP(INDIRECT("G"&amp;ROW()),minfo!$A:$M,COLUMN()-8,0),"")</f>
        <v>音乐榜最高NO.20</v>
      </c>
    </row>
    <row r="1082" spans="1:21" ht="15.75" customHeight="1">
      <c r="A1082" s="15">
        <v>1081</v>
      </c>
      <c r="B1082" s="4" t="s">
        <v>4687</v>
      </c>
      <c r="C1082" s="4">
        <v>1082</v>
      </c>
      <c r="D1082" s="4">
        <v>96</v>
      </c>
      <c r="E1082" s="4" t="s">
        <v>883</v>
      </c>
      <c r="F1082" s="16">
        <v>44709</v>
      </c>
      <c r="G1082" s="5" t="s">
        <v>882</v>
      </c>
      <c r="H1082" s="5" t="s">
        <v>4585</v>
      </c>
      <c r="I1082" s="24" t="str">
        <f>HYPERLINK("https://www.bilibili.com/video/BV1o3411T7Yn?p=96", "BV1o3411T7Yn?p=96")</f>
        <v>BV1o3411T7Yn?p=96</v>
      </c>
      <c r="J1082" s="4" t="str">
        <f ca="1">_xlfn.IFNA(VLOOKUP(INDIRECT("G"&amp;ROW()),minfo!$A:$M,COLUMN()-8,0),"")</f>
        <v>大眠</v>
      </c>
      <c r="K1082" s="4" t="str">
        <f ca="1">_xlfn.IFNA(VLOOKUP(INDIRECT("G"&amp;ROW()),minfo!$A:$M,COLUMN()-8,0),"")</f>
        <v>王心凌</v>
      </c>
      <c r="L1082" s="4">
        <f ca="1">_xlfn.IFNA(VLOOKUP(INDIRECT("G"&amp;ROW()),minfo!$A:$M,COLUMN()-8,0),"")</f>
        <v>0</v>
      </c>
      <c r="M1082" s="4">
        <f ca="1">_xlfn.IFNA(VLOOKUP(INDIRECT("G"&amp;ROW()),minfo!$A:$M,COLUMN()-8,0),"")</f>
        <v>0</v>
      </c>
      <c r="N1082" s="4">
        <f ca="1">_xlfn.IFNA(VLOOKUP(INDIRECT("G"&amp;ROW()),minfo!$A:$M,COLUMN()-8,0),"")</f>
        <v>0</v>
      </c>
      <c r="O1082" s="4" t="str">
        <f ca="1">_xlfn.IFNA(VLOOKUP(INDIRECT("G"&amp;ROW()),minfo!$A:$M,COLUMN()-8,0),"")</f>
        <v>https://i0.hdslb.com/bfs/station_src/music_metadata/af5d28f2df8d5c17a196bebcb46c7319.jpg</v>
      </c>
      <c r="P1082" s="4" t="str">
        <f ca="1">_xlfn.IFNA(VLOOKUP(INDIRECT("G"&amp;ROW()),minfo!$A:$M,COLUMN()-8,0),"")</f>
        <v>http://i0.hdslb.com/bfs/station_src/music_metadata/f1798c26021de0c1e651d2f042b7cf9b</v>
      </c>
      <c r="Q1082" s="4">
        <f ca="1">_xlfn.IFNA(VLOOKUP(INDIRECT("G"&amp;ROW()),minfo!$A:$M,COLUMN()-8,0),"")</f>
        <v>1078</v>
      </c>
      <c r="R1082" s="4">
        <f ca="1">_xlfn.IFNA(VLOOKUP(INDIRECT("G"&amp;ROW()),minfo!$A:$M,COLUMN()-8,0),"")</f>
        <v>0</v>
      </c>
      <c r="S1082" s="4" t="str">
        <f ca="1">_xlfn.IFNA(VLOOKUP(INDIRECT("G"&amp;ROW()),minfo!$A:$M,COLUMN()-8,0),"")</f>
        <v>CYNDILOVES2SING 爱。心凌</v>
      </c>
      <c r="T1082" s="4">
        <f ca="1">_xlfn.IFNA(VLOOKUP(INDIRECT("G"&amp;ROW()),minfo!$A:$M,COLUMN()-8,0),"")</f>
        <v>152298390</v>
      </c>
      <c r="U1082" s="4">
        <f ca="1">_xlfn.IFNA(VLOOKUP(INDIRECT("G"&amp;ROW()),minfo!$A:$M,COLUMN()-8,0),"")</f>
        <v>0</v>
      </c>
    </row>
    <row r="1083" spans="1:21" ht="15.75" customHeight="1">
      <c r="A1083" s="15">
        <v>1082</v>
      </c>
      <c r="B1083" s="4" t="s">
        <v>4688</v>
      </c>
      <c r="C1083" s="4">
        <v>1083</v>
      </c>
      <c r="D1083" s="4">
        <v>97</v>
      </c>
      <c r="E1083" s="4" t="s">
        <v>2404</v>
      </c>
      <c r="F1083" s="16">
        <v>44709</v>
      </c>
      <c r="G1083" s="5" t="s">
        <v>2403</v>
      </c>
      <c r="H1083" s="5" t="s">
        <v>4585</v>
      </c>
      <c r="I1083" s="24" t="str">
        <f>HYPERLINK("https://www.bilibili.com/video/BV1o3411T7Yn?p=97", "BV1o3411T7Yn?p=97")</f>
        <v>BV1o3411T7Yn?p=97</v>
      </c>
      <c r="J1083" s="4" t="str">
        <f ca="1">_xlfn.IFNA(VLOOKUP(INDIRECT("G"&amp;ROW()),minfo!$A:$M,COLUMN()-8,0),"")</f>
        <v>有点甜</v>
      </c>
      <c r="K1083" s="4" t="str">
        <f ca="1">_xlfn.IFNA(VLOOKUP(INDIRECT("G"&amp;ROW()),minfo!$A:$M,COLUMN()-8,0),"")</f>
        <v>汪苏泷,BY2</v>
      </c>
      <c r="L1083" s="4">
        <f ca="1">_xlfn.IFNA(VLOOKUP(INDIRECT("G"&amp;ROW()),minfo!$A:$M,COLUMN()-8,0),"")</f>
        <v>0</v>
      </c>
      <c r="M1083" s="4">
        <f ca="1">_xlfn.IFNA(VLOOKUP(INDIRECT("G"&amp;ROW()),minfo!$A:$M,COLUMN()-8,0),"")</f>
        <v>0</v>
      </c>
      <c r="N1083" s="4">
        <f ca="1">_xlfn.IFNA(VLOOKUP(INDIRECT("G"&amp;ROW()),minfo!$A:$M,COLUMN()-8,0),"")</f>
        <v>0</v>
      </c>
      <c r="O1083" s="4" t="str">
        <f ca="1">_xlfn.IFNA(VLOOKUP(INDIRECT("G"&amp;ROW()),minfo!$A:$M,COLUMN()-8,0),"")</f>
        <v>http://i0.hdslb.com/bfs/station_src/music_metadata/2194a90bbd091797d22bf8bcef93bb96.jpg</v>
      </c>
      <c r="P1083" s="4" t="str">
        <f ca="1">_xlfn.IFNA(VLOOKUP(INDIRECT("G"&amp;ROW()),minfo!$A:$M,COLUMN()-8,0),"")</f>
        <v>http://i0.hdslb.com/bfs/station_src/music_metadata/3dd1e53a4b80ca0ea63ee399dcf0431a</v>
      </c>
      <c r="Q1083" s="4">
        <f ca="1">_xlfn.IFNA(VLOOKUP(INDIRECT("G"&amp;ROW()),minfo!$A:$M,COLUMN()-8,0),"")</f>
        <v>2629</v>
      </c>
      <c r="R1083" s="4" t="str">
        <f ca="1">_xlfn.IFNA(VLOOKUP(INDIRECT("G"&amp;ROW()),minfo!$A:$M,COLUMN()-8,0),"")</f>
        <v>《萌三国》网游主题曲|《微微一笑很倾城》电视剧插曲</v>
      </c>
      <c r="S1083" s="4" t="str">
        <f ca="1">_xlfn.IFNA(VLOOKUP(INDIRECT("G"&amp;ROW()),minfo!$A:$M,COLUMN()-8,0),"")</f>
        <v>万有引力</v>
      </c>
      <c r="T1083" s="4">
        <f ca="1">_xlfn.IFNA(VLOOKUP(INDIRECT("G"&amp;ROW()),minfo!$A:$M,COLUMN()-8,0),"")</f>
        <v>838584003</v>
      </c>
      <c r="U1083" s="4">
        <f ca="1">_xlfn.IFNA(VLOOKUP(INDIRECT("G"&amp;ROW()),minfo!$A:$M,COLUMN()-8,0),"")</f>
        <v>0</v>
      </c>
    </row>
    <row r="1084" spans="1:21" ht="15.75" customHeight="1">
      <c r="A1084" s="15">
        <v>1083</v>
      </c>
      <c r="B1084" s="4" t="s">
        <v>4689</v>
      </c>
      <c r="C1084" s="4">
        <v>1084</v>
      </c>
      <c r="D1084" s="4">
        <v>98</v>
      </c>
      <c r="E1084" s="4" t="s">
        <v>4690</v>
      </c>
      <c r="F1084" s="16">
        <v>44709</v>
      </c>
      <c r="G1084" s="5" t="s">
        <v>2410</v>
      </c>
      <c r="H1084" s="5" t="s">
        <v>4585</v>
      </c>
      <c r="I1084" s="24" t="str">
        <f>HYPERLINK("https://www.bilibili.com/video/BV1o3411T7Yn?p=98", "BV1o3411T7Yn?p=98")</f>
        <v>BV1o3411T7Yn?p=98</v>
      </c>
      <c r="J1084" s="4" t="str">
        <f ca="1">_xlfn.IFNA(VLOOKUP(INDIRECT("G"&amp;ROW()),minfo!$A:$M,COLUMN()-8,0),"")</f>
        <v>期待爱</v>
      </c>
      <c r="K1084" s="4" t="str">
        <f ca="1">_xlfn.IFNA(VLOOKUP(INDIRECT("G"&amp;ROW()),minfo!$A:$M,COLUMN()-8,0),"")</f>
        <v>林俊杰,金莎</v>
      </c>
      <c r="L1084" s="4">
        <f ca="1">_xlfn.IFNA(VLOOKUP(INDIRECT("G"&amp;ROW()),minfo!$A:$M,COLUMN()-8,0),"")</f>
        <v>0</v>
      </c>
      <c r="M1084" s="4">
        <f ca="1">_xlfn.IFNA(VLOOKUP(INDIRECT("G"&amp;ROW()),minfo!$A:$M,COLUMN()-8,0),"")</f>
        <v>0</v>
      </c>
      <c r="N1084" s="4">
        <f ca="1">_xlfn.IFNA(VLOOKUP(INDIRECT("G"&amp;ROW()),minfo!$A:$M,COLUMN()-8,0),"")</f>
        <v>0</v>
      </c>
      <c r="O1084" s="4" t="str">
        <f ca="1">_xlfn.IFNA(VLOOKUP(INDIRECT("G"&amp;ROW()),minfo!$A:$M,COLUMN()-8,0),"")</f>
        <v>https://i0.hdslb.com/bfs/station_src/music_metadata/80ebc93365ab76b3f1fd2bb1199d907a.jpg</v>
      </c>
      <c r="P1084" s="4">
        <f ca="1">_xlfn.IFNA(VLOOKUP(INDIRECT("G"&amp;ROW()),minfo!$A:$M,COLUMN()-8,0),"")</f>
        <v>0</v>
      </c>
      <c r="Q1084" s="4">
        <f ca="1">_xlfn.IFNA(VLOOKUP(INDIRECT("G"&amp;ROW()),minfo!$A:$M,COLUMN()-8,0),"")</f>
        <v>111</v>
      </c>
      <c r="R1084" s="4">
        <f ca="1">_xlfn.IFNA(VLOOKUP(INDIRECT("G"&amp;ROW()),minfo!$A:$M,COLUMN()-8,0),"")</f>
        <v>0</v>
      </c>
      <c r="S1084" s="4" t="str">
        <f ca="1">_xlfn.IFNA(VLOOKUP(INDIRECT("G"&amp;ROW()),minfo!$A:$M,COLUMN()-8,0),"")</f>
        <v>期待爱</v>
      </c>
      <c r="T1084" s="4">
        <f ca="1">_xlfn.IFNA(VLOOKUP(INDIRECT("G"&amp;ROW()),minfo!$A:$M,COLUMN()-8,0),"")</f>
        <v>87200383</v>
      </c>
      <c r="U1084" s="4">
        <f ca="1">_xlfn.IFNA(VLOOKUP(INDIRECT("G"&amp;ROW()),minfo!$A:$M,COLUMN()-8,0),"")</f>
        <v>0</v>
      </c>
    </row>
    <row r="1085" spans="1:21" ht="15.75" customHeight="1">
      <c r="A1085" s="15">
        <v>1084</v>
      </c>
      <c r="B1085" s="4" t="s">
        <v>4691</v>
      </c>
      <c r="C1085" s="4">
        <v>1085</v>
      </c>
      <c r="D1085" s="4">
        <v>99</v>
      </c>
      <c r="E1085" s="4" t="s">
        <v>2414</v>
      </c>
      <c r="F1085" s="16">
        <v>44709</v>
      </c>
      <c r="G1085" s="5" t="s">
        <v>2413</v>
      </c>
      <c r="H1085" s="5" t="s">
        <v>4585</v>
      </c>
      <c r="I1085" s="24" t="str">
        <f>HYPERLINK("https://www.bilibili.com/video/BV1o3411T7Yn?p=99", "BV1o3411T7Yn?p=99")</f>
        <v>BV1o3411T7Yn?p=99</v>
      </c>
      <c r="J1085" s="4" t="str">
        <f ca="1">_xlfn.IFNA(VLOOKUP(INDIRECT("G"&amp;ROW()),minfo!$A:$M,COLUMN()-8,0),"")</f>
        <v>爱笑的眼睛</v>
      </c>
      <c r="K1085" s="4" t="str">
        <f ca="1">_xlfn.IFNA(VLOOKUP(INDIRECT("G"&amp;ROW()),minfo!$A:$M,COLUMN()-8,0),"")</f>
        <v>林俊杰</v>
      </c>
      <c r="L1085" s="4">
        <f ca="1">_xlfn.IFNA(VLOOKUP(INDIRECT("G"&amp;ROW()),minfo!$A:$M,COLUMN()-8,0),"")</f>
        <v>0</v>
      </c>
      <c r="M1085" s="4">
        <f ca="1">_xlfn.IFNA(VLOOKUP(INDIRECT("G"&amp;ROW()),minfo!$A:$M,COLUMN()-8,0),"")</f>
        <v>0</v>
      </c>
      <c r="N1085" s="4">
        <f ca="1">_xlfn.IFNA(VLOOKUP(INDIRECT("G"&amp;ROW()),minfo!$A:$M,COLUMN()-8,0),"")</f>
        <v>0</v>
      </c>
      <c r="O1085" s="4" t="str">
        <f ca="1">_xlfn.IFNA(VLOOKUP(INDIRECT("G"&amp;ROW()),minfo!$A:$M,COLUMN()-8,0),"")</f>
        <v>https://i0.hdslb.com/bfs/station_src/music_metadata/47529272a43d3c92469a3cf04c189cc5.jpg</v>
      </c>
      <c r="P1085" s="4" t="str">
        <f ca="1">_xlfn.IFNA(VLOOKUP(INDIRECT("G"&amp;ROW()),minfo!$A:$M,COLUMN()-8,0),"")</f>
        <v>https://i0.hdslb.com/bfs/station_src/music_metadata/68aed688569c42ae59e4429d1af256f9.txt</v>
      </c>
      <c r="Q1085" s="4">
        <f ca="1">_xlfn.IFNA(VLOOKUP(INDIRECT("G"&amp;ROW()),minfo!$A:$M,COLUMN()-8,0),"")</f>
        <v>3</v>
      </c>
      <c r="R1085" s="4">
        <f ca="1">_xlfn.IFNA(VLOOKUP(INDIRECT("G"&amp;ROW()),minfo!$A:$M,COLUMN()-8,0),"")</f>
        <v>0</v>
      </c>
      <c r="S1085" s="4" t="str">
        <f ca="1">_xlfn.IFNA(VLOOKUP(INDIRECT("G"&amp;ROW()),minfo!$A:$M,COLUMN()-8,0),"")</f>
        <v>2006就是俊杰 世界巡回演唱会</v>
      </c>
      <c r="T1085" s="4">
        <f ca="1">_xlfn.IFNA(VLOOKUP(INDIRECT("G"&amp;ROW()),minfo!$A:$M,COLUMN()-8,0),"")</f>
        <v>248294</v>
      </c>
      <c r="U1085" s="4">
        <f ca="1">_xlfn.IFNA(VLOOKUP(INDIRECT("G"&amp;ROW()),minfo!$A:$M,COLUMN()-8,0),"")</f>
        <v>0</v>
      </c>
    </row>
    <row r="1086" spans="1:21" ht="15.75" customHeight="1">
      <c r="A1086" s="15">
        <v>1085</v>
      </c>
      <c r="B1086" s="4" t="s">
        <v>4692</v>
      </c>
      <c r="C1086" s="4">
        <v>1086</v>
      </c>
      <c r="D1086" s="4">
        <v>100</v>
      </c>
      <c r="E1086" s="4" t="s">
        <v>2419</v>
      </c>
      <c r="F1086" s="16">
        <v>44709</v>
      </c>
      <c r="G1086" s="5" t="s">
        <v>2418</v>
      </c>
      <c r="H1086" s="5" t="s">
        <v>4585</v>
      </c>
      <c r="I1086" s="24" t="str">
        <f>HYPERLINK("https://www.bilibili.com/video/BV1o3411T7Yn?p=100", "BV1o3411T7Yn?p=100")</f>
        <v>BV1o3411T7Yn?p=100</v>
      </c>
      <c r="J1086" s="4" t="str">
        <f ca="1">_xlfn.IFNA(VLOOKUP(INDIRECT("G"&amp;ROW()),minfo!$A:$M,COLUMN()-8,0),"")</f>
        <v>我们的爱</v>
      </c>
      <c r="K1086" s="4" t="str">
        <f ca="1">_xlfn.IFNA(VLOOKUP(INDIRECT("G"&amp;ROW()),minfo!$A:$M,COLUMN()-8,0),"")</f>
        <v>F.I.R.飞儿乐团</v>
      </c>
      <c r="L1086" s="4">
        <f ca="1">_xlfn.IFNA(VLOOKUP(INDIRECT("G"&amp;ROW()),minfo!$A:$M,COLUMN()-8,0),"")</f>
        <v>0</v>
      </c>
      <c r="M1086" s="4">
        <f ca="1">_xlfn.IFNA(VLOOKUP(INDIRECT("G"&amp;ROW()),minfo!$A:$M,COLUMN()-8,0),"")</f>
        <v>0</v>
      </c>
      <c r="N1086" s="4">
        <f ca="1">_xlfn.IFNA(VLOOKUP(INDIRECT("G"&amp;ROW()),minfo!$A:$M,COLUMN()-8,0),"")</f>
        <v>0</v>
      </c>
      <c r="O1086" s="4" t="str">
        <f ca="1">_xlfn.IFNA(VLOOKUP(INDIRECT("G"&amp;ROW()),minfo!$A:$M,COLUMN()-8,0),"")</f>
        <v>http://i0.hdslb.com/bfs/station_src/music_metadata/7e15a3c08fa866a6e72e36164864f52c.jpg</v>
      </c>
      <c r="P1086" s="4" t="str">
        <f ca="1">_xlfn.IFNA(VLOOKUP(INDIRECT("G"&amp;ROW()),minfo!$A:$M,COLUMN()-8,0),"")</f>
        <v>http://i0.hdslb.com/bfs/station_src/music_metadata/507900be55c2d63c526ed4eb5cf45ca9</v>
      </c>
      <c r="Q1086" s="4">
        <f ca="1">_xlfn.IFNA(VLOOKUP(INDIRECT("G"&amp;ROW()),minfo!$A:$M,COLUMN()-8,0),"")</f>
        <v>1314</v>
      </c>
      <c r="R1086" s="4">
        <f ca="1">_xlfn.IFNA(VLOOKUP(INDIRECT("G"&amp;ROW()),minfo!$A:$M,COLUMN()-8,0),"")</f>
        <v>0</v>
      </c>
      <c r="S1086" s="4" t="str">
        <f ca="1">_xlfn.IFNA(VLOOKUP(INDIRECT("G"&amp;ROW()),minfo!$A:$M,COLUMN()-8,0),"")</f>
        <v>飞儿乐团</v>
      </c>
      <c r="T1086" s="4">
        <f ca="1">_xlfn.IFNA(VLOOKUP(INDIRECT("G"&amp;ROW()),minfo!$A:$M,COLUMN()-8,0),"")</f>
        <v>615567054</v>
      </c>
      <c r="U1086" s="4">
        <f ca="1">_xlfn.IFNA(VLOOKUP(INDIRECT("G"&amp;ROW()),minfo!$A:$M,COLUMN()-8,0),"")</f>
        <v>0</v>
      </c>
    </row>
    <row r="1087" spans="1:21" ht="15.75" customHeight="1">
      <c r="A1087" s="15">
        <v>1086</v>
      </c>
      <c r="B1087" s="4" t="s">
        <v>4693</v>
      </c>
      <c r="C1087" s="4">
        <v>1087</v>
      </c>
      <c r="D1087" s="4">
        <v>101</v>
      </c>
      <c r="E1087" s="4" t="s">
        <v>93</v>
      </c>
      <c r="F1087" s="16">
        <v>44710</v>
      </c>
      <c r="G1087" s="5" t="s">
        <v>273</v>
      </c>
      <c r="H1087" s="5" t="s">
        <v>4585</v>
      </c>
      <c r="I1087" s="24" t="str">
        <f>HYPERLINK("https://www.bilibili.com/video/BV1o3411T7Yn?p=101", "BV1o3411T7Yn?p=101")</f>
        <v>BV1o3411T7Yn?p=101</v>
      </c>
      <c r="J1087" s="4" t="str">
        <f ca="1">_xlfn.IFNA(VLOOKUP(INDIRECT("G"&amp;ROW()),minfo!$A:$M,COLUMN()-8,0),"")</f>
        <v>罗敷</v>
      </c>
      <c r="K1087" s="4" t="str">
        <f ca="1">_xlfn.IFNA(VLOOKUP(INDIRECT("G"&amp;ROW()),minfo!$A:$M,COLUMN()-8,0),"")</f>
        <v>说说Crystal</v>
      </c>
      <c r="L1087" s="4">
        <f ca="1">_xlfn.IFNA(VLOOKUP(INDIRECT("G"&amp;ROW()),minfo!$A:$M,COLUMN()-8,0),"")</f>
        <v>0</v>
      </c>
      <c r="M1087" s="4">
        <f ca="1">_xlfn.IFNA(VLOOKUP(INDIRECT("G"&amp;ROW()),minfo!$A:$M,COLUMN()-8,0),"")</f>
        <v>0</v>
      </c>
      <c r="N1087" s="4">
        <f ca="1">_xlfn.IFNA(VLOOKUP(INDIRECT("G"&amp;ROW()),minfo!$A:$M,COLUMN()-8,0),"")</f>
        <v>0</v>
      </c>
      <c r="O1087" s="4" t="str">
        <f ca="1">_xlfn.IFNA(VLOOKUP(INDIRECT("G"&amp;ROW()),minfo!$A:$M,COLUMN()-8,0),"")</f>
        <v>https://i0.hdslb.com/bfs/station_src/music_metadata/1b7b9e3e2c4c793577a84986cdadb2cc.jpg</v>
      </c>
      <c r="P1087" s="4">
        <f ca="1">_xlfn.IFNA(VLOOKUP(INDIRECT("G"&amp;ROW()),minfo!$A:$M,COLUMN()-8,0),"")</f>
        <v>0</v>
      </c>
      <c r="Q1087" s="4">
        <f ca="1">_xlfn.IFNA(VLOOKUP(INDIRECT("G"&amp;ROW()),minfo!$A:$M,COLUMN()-8,0),"")</f>
        <v>0</v>
      </c>
      <c r="R1087" s="4">
        <f ca="1">_xlfn.IFNA(VLOOKUP(INDIRECT("G"&amp;ROW()),minfo!$A:$M,COLUMN()-8,0),"")</f>
        <v>0</v>
      </c>
      <c r="S1087" s="4" t="str">
        <f ca="1">_xlfn.IFNA(VLOOKUP(INDIRECT("G"&amp;ROW()),minfo!$A:$M,COLUMN()-8,0),"")</f>
        <v>【说说·原创】这一曲只倾心于你 |《罗敷》</v>
      </c>
      <c r="T1087" s="4">
        <f ca="1">_xlfn.IFNA(VLOOKUP(INDIRECT("G"&amp;ROW()),minfo!$A:$M,COLUMN()-8,0),"")</f>
        <v>323164</v>
      </c>
      <c r="U1087" s="4">
        <f ca="1">_xlfn.IFNA(VLOOKUP(INDIRECT("G"&amp;ROW()),minfo!$A:$M,COLUMN()-8,0),"")</f>
        <v>0</v>
      </c>
    </row>
    <row r="1088" spans="1:21" ht="15.75" customHeight="1">
      <c r="A1088" s="15">
        <v>1087</v>
      </c>
      <c r="B1088" s="4" t="s">
        <v>4694</v>
      </c>
      <c r="C1088" s="4">
        <v>1088</v>
      </c>
      <c r="D1088" s="4">
        <v>102</v>
      </c>
      <c r="E1088" s="4" t="s">
        <v>2423</v>
      </c>
      <c r="F1088" s="16">
        <v>44713</v>
      </c>
      <c r="G1088" s="5" t="s">
        <v>2422</v>
      </c>
      <c r="H1088" s="5" t="s">
        <v>4585</v>
      </c>
      <c r="I1088" s="24" t="str">
        <f>HYPERLINK("https://www.bilibili.com/video/BV1o3411T7Yn?p=102", "BV1o3411T7Yn?p=102")</f>
        <v>BV1o3411T7Yn?p=102</v>
      </c>
      <c r="J1088" s="4" t="str">
        <f ca="1">_xlfn.IFNA(VLOOKUP(INDIRECT("G"&amp;ROW()),minfo!$A:$M,COLUMN()-8,0),"")</f>
        <v>外婆的澎湖湾</v>
      </c>
      <c r="K1088" s="4" t="str">
        <f ca="1">_xlfn.IFNA(VLOOKUP(INDIRECT("G"&amp;ROW()),minfo!$A:$M,COLUMN()-8,0),"")</f>
        <v>阿伦丶米斯特</v>
      </c>
      <c r="L1088" s="4">
        <f ca="1">_xlfn.IFNA(VLOOKUP(INDIRECT("G"&amp;ROW()),minfo!$A:$M,COLUMN()-8,0),"")</f>
        <v>0</v>
      </c>
      <c r="M1088" s="4">
        <f ca="1">_xlfn.IFNA(VLOOKUP(INDIRECT("G"&amp;ROW()),minfo!$A:$M,COLUMN()-8,0),"")</f>
        <v>0</v>
      </c>
      <c r="N1088" s="4">
        <f ca="1">_xlfn.IFNA(VLOOKUP(INDIRECT("G"&amp;ROW()),minfo!$A:$M,COLUMN()-8,0),"")</f>
        <v>0</v>
      </c>
      <c r="O1088" s="4" t="str">
        <f ca="1">_xlfn.IFNA(VLOOKUP(INDIRECT("G"&amp;ROW()),minfo!$A:$M,COLUMN()-8,0),"")</f>
        <v>https://i0.hdslb.com/bfs/station_src/music_metadata/2482ddfd7a8d9a28ac828bf09dd902f1.jpg</v>
      </c>
      <c r="P1088" s="4" t="str">
        <f ca="1">_xlfn.IFNA(VLOOKUP(INDIRECT("G"&amp;ROW()),minfo!$A:$M,COLUMN()-8,0),"")</f>
        <v>https://i0.hdslb.com/bfs/station_src/music_metadata/383026986e49e9b968179f7304e90fdd.txt</v>
      </c>
      <c r="Q1088" s="4">
        <f ca="1">_xlfn.IFNA(VLOOKUP(INDIRECT("G"&amp;ROW()),minfo!$A:$M,COLUMN()-8,0),"")</f>
        <v>1</v>
      </c>
      <c r="R1088" s="4">
        <f ca="1">_xlfn.IFNA(VLOOKUP(INDIRECT("G"&amp;ROW()),minfo!$A:$M,COLUMN()-8,0),"")</f>
        <v>0</v>
      </c>
      <c r="S1088" s="4" t="str">
        <f ca="1">_xlfn.IFNA(VLOOKUP(INDIRECT("G"&amp;ROW()),minfo!$A:$M,COLUMN()-8,0),"")</f>
        <v>童年的口琴</v>
      </c>
      <c r="T1088" s="4">
        <f ca="1">_xlfn.IFNA(VLOOKUP(INDIRECT("G"&amp;ROW()),minfo!$A:$M,COLUMN()-8,0),"")</f>
        <v>1307828</v>
      </c>
      <c r="U1088" s="4">
        <f ca="1">_xlfn.IFNA(VLOOKUP(INDIRECT("G"&amp;ROW()),minfo!$A:$M,COLUMN()-8,0),"")</f>
        <v>0</v>
      </c>
    </row>
    <row r="1089" spans="1:21" ht="15.75" customHeight="1">
      <c r="A1089" s="15">
        <v>1088</v>
      </c>
      <c r="B1089" s="4" t="s">
        <v>4695</v>
      </c>
      <c r="C1089" s="4">
        <v>1089</v>
      </c>
      <c r="D1089" s="4">
        <v>103</v>
      </c>
      <c r="E1089" s="4" t="s">
        <v>1153</v>
      </c>
      <c r="F1089" s="16">
        <v>44713</v>
      </c>
      <c r="G1089" s="5" t="s">
        <v>2428</v>
      </c>
      <c r="H1089" s="5" t="s">
        <v>4585</v>
      </c>
      <c r="I1089" s="24" t="str">
        <f>HYPERLINK("https://www.bilibili.com/video/BV1o3411T7Yn?p=103", "BV1o3411T7Yn?p=103")</f>
        <v>BV1o3411T7Yn?p=103</v>
      </c>
      <c r="J1089" s="4" t="str">
        <f ca="1">_xlfn.IFNA(VLOOKUP(INDIRECT("G"&amp;ROW()),minfo!$A:$M,COLUMN()-8,0),"")</f>
        <v>让我们荡起双桨</v>
      </c>
      <c r="K1089" s="4" t="str">
        <f ca="1">_xlfn.IFNA(VLOOKUP(INDIRECT("G"&amp;ROW()),minfo!$A:$M,COLUMN()-8,0),"")</f>
        <v>群星</v>
      </c>
      <c r="L1089" s="4">
        <f ca="1">_xlfn.IFNA(VLOOKUP(INDIRECT("G"&amp;ROW()),minfo!$A:$M,COLUMN()-8,0),"")</f>
        <v>0</v>
      </c>
      <c r="M1089" s="4">
        <f ca="1">_xlfn.IFNA(VLOOKUP(INDIRECT("G"&amp;ROW()),minfo!$A:$M,COLUMN()-8,0),"")</f>
        <v>0</v>
      </c>
      <c r="N1089" s="4">
        <f ca="1">_xlfn.IFNA(VLOOKUP(INDIRECT("G"&amp;ROW()),minfo!$A:$M,COLUMN()-8,0),"")</f>
        <v>0</v>
      </c>
      <c r="O1089" s="4" t="str">
        <f ca="1">_xlfn.IFNA(VLOOKUP(INDIRECT("G"&amp;ROW()),minfo!$A:$M,COLUMN()-8,0),"")</f>
        <v>https://i0.hdslb.com/bfs/station_src/music_metadata/6aca290de3389b06532e0aa81227f902.jpg</v>
      </c>
      <c r="P1089" s="4" t="str">
        <f ca="1">_xlfn.IFNA(VLOOKUP(INDIRECT("G"&amp;ROW()),minfo!$A:$M,COLUMN()-8,0),"")</f>
        <v>https://i0.hdslb.com/bfs/station_src/music_metadata/f43fa012da298cd12c4c803259faa76b.txt</v>
      </c>
      <c r="Q1089" s="4">
        <f ca="1">_xlfn.IFNA(VLOOKUP(INDIRECT("G"&amp;ROW()),minfo!$A:$M,COLUMN()-8,0),"")</f>
        <v>3</v>
      </c>
      <c r="R1089" s="4">
        <f ca="1">_xlfn.IFNA(VLOOKUP(INDIRECT("G"&amp;ROW()),minfo!$A:$M,COLUMN()-8,0),"")</f>
        <v>0</v>
      </c>
      <c r="S1089" s="4" t="str">
        <f ca="1">_xlfn.IFNA(VLOOKUP(INDIRECT("G"&amp;ROW()),minfo!$A:$M,COLUMN()-8,0),"")</f>
        <v>经典少儿歌曲180首</v>
      </c>
      <c r="T1089" s="4">
        <f ca="1">_xlfn.IFNA(VLOOKUP(INDIRECT("G"&amp;ROW()),minfo!$A:$M,COLUMN()-8,0),"")</f>
        <v>1599418</v>
      </c>
      <c r="U1089" s="4">
        <f ca="1">_xlfn.IFNA(VLOOKUP(INDIRECT("G"&amp;ROW()),minfo!$A:$M,COLUMN()-8,0),"")</f>
        <v>0</v>
      </c>
    </row>
    <row r="1090" spans="1:21" ht="15.75" customHeight="1">
      <c r="A1090" s="15">
        <v>1089</v>
      </c>
      <c r="B1090" s="4" t="s">
        <v>4696</v>
      </c>
      <c r="C1090" s="4">
        <v>1090</v>
      </c>
      <c r="D1090" s="4">
        <v>104</v>
      </c>
      <c r="E1090" s="4" t="s">
        <v>2110</v>
      </c>
      <c r="F1090" s="16">
        <v>44713</v>
      </c>
      <c r="G1090" s="5" t="s">
        <v>2109</v>
      </c>
      <c r="H1090" s="5" t="s">
        <v>4585</v>
      </c>
      <c r="I1090" s="24" t="str">
        <f>HYPERLINK("https://www.bilibili.com/video/BV1o3411T7Yn?p=104", "BV1o3411T7Yn?p=104")</f>
        <v>BV1o3411T7Yn?p=104</v>
      </c>
      <c r="J1090" s="4" t="str">
        <f ca="1">_xlfn.IFNA(VLOOKUP(INDIRECT("G"&amp;ROW()),minfo!$A:$M,COLUMN()-8,0),"")</f>
        <v>蜗牛与黄鹂鸟</v>
      </c>
      <c r="K1090" s="4" t="str">
        <f ca="1">_xlfn.IFNA(VLOOKUP(INDIRECT("G"&amp;ROW()),minfo!$A:$M,COLUMN()-8,0),"")</f>
        <v>银霞</v>
      </c>
      <c r="L1090" s="4">
        <f ca="1">_xlfn.IFNA(VLOOKUP(INDIRECT("G"&amp;ROW()),minfo!$A:$M,COLUMN()-8,0),"")</f>
        <v>0</v>
      </c>
      <c r="M1090" s="4">
        <f ca="1">_xlfn.IFNA(VLOOKUP(INDIRECT("G"&amp;ROW()),minfo!$A:$M,COLUMN()-8,0),"")</f>
        <v>0</v>
      </c>
      <c r="N1090" s="4">
        <f ca="1">_xlfn.IFNA(VLOOKUP(INDIRECT("G"&amp;ROW()),minfo!$A:$M,COLUMN()-8,0),"")</f>
        <v>0</v>
      </c>
      <c r="O1090" s="4" t="str">
        <f ca="1">_xlfn.IFNA(VLOOKUP(INDIRECT("G"&amp;ROW()),minfo!$A:$M,COLUMN()-8,0),"")</f>
        <v>https://i0.hdslb.com/bfs/station_src/music_metadata/3e8273ef732c15e784ae8a9d38909401.jpg</v>
      </c>
      <c r="P1090" s="4" t="str">
        <f ca="1">_xlfn.IFNA(VLOOKUP(INDIRECT("G"&amp;ROW()),minfo!$A:$M,COLUMN()-8,0),"")</f>
        <v>https://i0.hdslb.com/bfs/station_src/music_metadata/956ddfc8c365c6414b640d6e6ceff356.txt</v>
      </c>
      <c r="Q1090" s="4">
        <f ca="1">_xlfn.IFNA(VLOOKUP(INDIRECT("G"&amp;ROW()),minfo!$A:$M,COLUMN()-8,0),"")</f>
        <v>191</v>
      </c>
      <c r="R1090" s="4">
        <f ca="1">_xlfn.IFNA(VLOOKUP(INDIRECT("G"&amp;ROW()),minfo!$A:$M,COLUMN()-8,0),"")</f>
        <v>0</v>
      </c>
      <c r="S1090" s="4" t="str">
        <f ca="1">_xlfn.IFNA(VLOOKUP(INDIRECT("G"&amp;ROW()),minfo!$A:$M,COLUMN()-8,0),"")</f>
        <v>校園歌手 銀霞 (壹)</v>
      </c>
      <c r="T1090" s="4">
        <f ca="1">_xlfn.IFNA(VLOOKUP(INDIRECT("G"&amp;ROW()),minfo!$A:$M,COLUMN()-8,0),"")</f>
        <v>105276091</v>
      </c>
      <c r="U1090" s="4">
        <f ca="1">_xlfn.IFNA(VLOOKUP(INDIRECT("G"&amp;ROW()),minfo!$A:$M,COLUMN()-8,0),"")</f>
        <v>0</v>
      </c>
    </row>
    <row r="1091" spans="1:21" ht="15.75" customHeight="1">
      <c r="A1091" s="15">
        <v>1090</v>
      </c>
      <c r="B1091" s="4" t="s">
        <v>4697</v>
      </c>
      <c r="C1091" s="4">
        <v>1091</v>
      </c>
      <c r="D1091" s="4">
        <v>105</v>
      </c>
      <c r="E1091" s="4" t="s">
        <v>2380</v>
      </c>
      <c r="F1091" s="16">
        <v>44713</v>
      </c>
      <c r="G1091" s="5" t="s">
        <v>2379</v>
      </c>
      <c r="H1091" s="5" t="s">
        <v>4585</v>
      </c>
      <c r="I1091" s="24" t="str">
        <f>HYPERLINK("https://www.bilibili.com/video/BV1o3411T7Yn?p=105", "BV1o3411T7Yn?p=105")</f>
        <v>BV1o3411T7Yn?p=105</v>
      </c>
      <c r="J1091" s="4" t="str">
        <f ca="1">_xlfn.IFNA(VLOOKUP(INDIRECT("G"&amp;ROW()),minfo!$A:$M,COLUMN()-8,0),"")</f>
        <v>睫毛弯弯</v>
      </c>
      <c r="K1091" s="4" t="str">
        <f ca="1">_xlfn.IFNA(VLOOKUP(INDIRECT("G"&amp;ROW()),minfo!$A:$M,COLUMN()-8,0),"")</f>
        <v>王心凌</v>
      </c>
      <c r="L1091" s="4">
        <f ca="1">_xlfn.IFNA(VLOOKUP(INDIRECT("G"&amp;ROW()),minfo!$A:$M,COLUMN()-8,0),"")</f>
        <v>0</v>
      </c>
      <c r="M1091" s="4">
        <f ca="1">_xlfn.IFNA(VLOOKUP(INDIRECT("G"&amp;ROW()),minfo!$A:$M,COLUMN()-8,0),"")</f>
        <v>13</v>
      </c>
      <c r="N1091" s="4">
        <f ca="1">_xlfn.IFNA(VLOOKUP(INDIRECT("G"&amp;ROW()),minfo!$A:$M,COLUMN()-8,0),"")</f>
        <v>0</v>
      </c>
      <c r="O1091" s="4" t="str">
        <f ca="1">_xlfn.IFNA(VLOOKUP(INDIRECT("G"&amp;ROW()),minfo!$A:$M,COLUMN()-8,0),"")</f>
        <v>https://i0.hdslb.com/bfs/station_src/music_metadata/f282f16131a4a3cd0453b0933b476080.jpg</v>
      </c>
      <c r="P1091" s="4" t="str">
        <f ca="1">_xlfn.IFNA(VLOOKUP(INDIRECT("G"&amp;ROW()),minfo!$A:$M,COLUMN()-8,0),"")</f>
        <v>http://i0.hdslb.com/bfs/station_src/music_metadata/398e2c49752ba00f849406667ec212b6</v>
      </c>
      <c r="Q1091" s="4">
        <f ca="1">_xlfn.IFNA(VLOOKUP(INDIRECT("G"&amp;ROW()),minfo!$A:$M,COLUMN()-8,0),"")</f>
        <v>1272</v>
      </c>
      <c r="R1091" s="4">
        <f ca="1">_xlfn.IFNA(VLOOKUP(INDIRECT("G"&amp;ROW()),minfo!$A:$M,COLUMN()-8,0),"")</f>
        <v>0</v>
      </c>
      <c r="S1091" s="4" t="str">
        <f ca="1">_xlfn.IFNA(VLOOKUP(INDIRECT("G"&amp;ROW()),minfo!$A:$M,COLUMN()-8,0),"")</f>
        <v>Cyndi With U</v>
      </c>
      <c r="T1091" s="4">
        <f ca="1">_xlfn.IFNA(VLOOKUP(INDIRECT("G"&amp;ROW()),minfo!$A:$M,COLUMN()-8,0),"")</f>
        <v>168084644</v>
      </c>
      <c r="U1091" s="4">
        <f ca="1">_xlfn.IFNA(VLOOKUP(INDIRECT("G"&amp;ROW()),minfo!$A:$M,COLUMN()-8,0),"")</f>
        <v>0</v>
      </c>
    </row>
    <row r="1092" spans="1:21" ht="15.75" customHeight="1">
      <c r="A1092" s="15">
        <v>1091</v>
      </c>
      <c r="B1092" s="4" t="s">
        <v>4698</v>
      </c>
      <c r="C1092" s="4">
        <v>1092</v>
      </c>
      <c r="D1092" s="4">
        <v>106</v>
      </c>
      <c r="E1092" s="4" t="s">
        <v>390</v>
      </c>
      <c r="F1092" s="16">
        <v>44713</v>
      </c>
      <c r="G1092" s="5" t="s">
        <v>2432</v>
      </c>
      <c r="H1092" s="5" t="s">
        <v>4585</v>
      </c>
      <c r="I1092" s="24" t="str">
        <f>HYPERLINK("https://www.bilibili.com/video/BV1o3411T7Yn?p=106", "BV1o3411T7Yn?p=106")</f>
        <v>BV1o3411T7Yn?p=106</v>
      </c>
      <c r="J1092" s="4" t="str">
        <f ca="1">_xlfn.IFNA(VLOOKUP(INDIRECT("G"&amp;ROW()),minfo!$A:$M,COLUMN()-8,0),"")</f>
        <v>龙卷风</v>
      </c>
      <c r="K1092" s="4" t="str">
        <f ca="1">_xlfn.IFNA(VLOOKUP(INDIRECT("G"&amp;ROW()),minfo!$A:$M,COLUMN()-8,0),"")</f>
        <v>周杰伦</v>
      </c>
      <c r="L1092" s="4">
        <f ca="1">_xlfn.IFNA(VLOOKUP(INDIRECT("G"&amp;ROW()),minfo!$A:$M,COLUMN()-8,0),"")</f>
        <v>0</v>
      </c>
      <c r="M1092" s="4">
        <f ca="1">_xlfn.IFNA(VLOOKUP(INDIRECT("G"&amp;ROW()),minfo!$A:$M,COLUMN()-8,0),"")</f>
        <v>0</v>
      </c>
      <c r="N1092" s="4">
        <f ca="1">_xlfn.IFNA(VLOOKUP(INDIRECT("G"&amp;ROW()),minfo!$A:$M,COLUMN()-8,0),"")</f>
        <v>0</v>
      </c>
      <c r="O1092" s="4" t="str">
        <f ca="1">_xlfn.IFNA(VLOOKUP(INDIRECT("G"&amp;ROW()),minfo!$A:$M,COLUMN()-8,0),"")</f>
        <v>https://i0.hdslb.com/bfs/station_src/music_metadata/54debcf6cb2206427e0ed9114636113e.jpg</v>
      </c>
      <c r="P1092" s="4">
        <f ca="1">_xlfn.IFNA(VLOOKUP(INDIRECT("G"&amp;ROW()),minfo!$A:$M,COLUMN()-8,0),"")</f>
        <v>0</v>
      </c>
      <c r="Q1092" s="4">
        <f ca="1">_xlfn.IFNA(VLOOKUP(INDIRECT("G"&amp;ROW()),minfo!$A:$M,COLUMN()-8,0),"")</f>
        <v>3</v>
      </c>
      <c r="R1092" s="4">
        <f ca="1">_xlfn.IFNA(VLOOKUP(INDIRECT("G"&amp;ROW()),minfo!$A:$M,COLUMN()-8,0),"")</f>
        <v>0</v>
      </c>
      <c r="S1092" s="4" t="str">
        <f ca="1">_xlfn.IFNA(VLOOKUP(INDIRECT("G"&amp;ROW()),minfo!$A:$M,COLUMN()-8,0),"")</f>
        <v>周杰伦同名专辑</v>
      </c>
      <c r="T1092" s="4">
        <f ca="1">_xlfn.IFNA(VLOOKUP(INDIRECT("G"&amp;ROW()),minfo!$A:$M,COLUMN()-8,0),"")</f>
        <v>2062553</v>
      </c>
      <c r="U1092" s="4">
        <f ca="1">_xlfn.IFNA(VLOOKUP(INDIRECT("G"&amp;ROW()),minfo!$A:$M,COLUMN()-8,0),"")</f>
        <v>0</v>
      </c>
    </row>
    <row r="1093" spans="1:21" ht="15.75" customHeight="1">
      <c r="A1093" s="15">
        <v>1092</v>
      </c>
      <c r="B1093" s="4" t="s">
        <v>4699</v>
      </c>
      <c r="C1093" s="4">
        <v>1093</v>
      </c>
      <c r="D1093" s="4">
        <v>107</v>
      </c>
      <c r="E1093" s="4" t="s">
        <v>2436</v>
      </c>
      <c r="F1093" s="16">
        <v>44713</v>
      </c>
      <c r="G1093" s="5" t="s">
        <v>2435</v>
      </c>
      <c r="H1093" s="5" t="s">
        <v>4585</v>
      </c>
      <c r="I1093" s="24" t="str">
        <f>HYPERLINK("https://www.bilibili.com/video/BV1o3411T7Yn?p=107", "BV1o3411T7Yn?p=107")</f>
        <v>BV1o3411T7Yn?p=107</v>
      </c>
      <c r="J1093" s="4" t="str">
        <f ca="1">_xlfn.IFNA(VLOOKUP(INDIRECT("G"&amp;ROW()),minfo!$A:$M,COLUMN()-8,0),"")</f>
        <v>泡沫</v>
      </c>
      <c r="K1093" s="4" t="str">
        <f ca="1">_xlfn.IFNA(VLOOKUP(INDIRECT("G"&amp;ROW()),minfo!$A:$M,COLUMN()-8,0),"")</f>
        <v>G.E.M. 邓紫棋</v>
      </c>
      <c r="L1093" s="4">
        <f ca="1">_xlfn.IFNA(VLOOKUP(INDIRECT("G"&amp;ROW()),minfo!$A:$M,COLUMN()-8,0),"")</f>
        <v>0</v>
      </c>
      <c r="M1093" s="4">
        <f ca="1">_xlfn.IFNA(VLOOKUP(INDIRECT("G"&amp;ROW()),minfo!$A:$M,COLUMN()-8,0),"")</f>
        <v>0</v>
      </c>
      <c r="N1093" s="4">
        <f ca="1">_xlfn.IFNA(VLOOKUP(INDIRECT("G"&amp;ROW()),minfo!$A:$M,COLUMN()-8,0),"")</f>
        <v>0</v>
      </c>
      <c r="O1093" s="4" t="str">
        <f ca="1">_xlfn.IFNA(VLOOKUP(INDIRECT("G"&amp;ROW()),minfo!$A:$M,COLUMN()-8,0),"")</f>
        <v>http://i0.hdslb.com/bfs/station_src/music_metadata/69c6906ad6bd63b8c1ae326b958431e6.jpg</v>
      </c>
      <c r="P1093" s="4" t="str">
        <f ca="1">_xlfn.IFNA(VLOOKUP(INDIRECT("G"&amp;ROW()),minfo!$A:$M,COLUMN()-8,0),"")</f>
        <v>http://i0.hdslb.com/bfs/station_src/music_metadata/1bc15ce05ac17a2e6ff62860f63f3312</v>
      </c>
      <c r="Q1093" s="4">
        <f ca="1">_xlfn.IFNA(VLOOKUP(INDIRECT("G"&amp;ROW()),minfo!$A:$M,COLUMN()-8,0),"")</f>
        <v>836</v>
      </c>
      <c r="R1093" s="4" t="str">
        <f ca="1">_xlfn.IFNA(VLOOKUP(INDIRECT("G"&amp;ROW()),minfo!$A:$M,COLUMN()-8,0),"")</f>
        <v>2012-07-05</v>
      </c>
      <c r="S1093" s="4" t="str">
        <f ca="1">_xlfn.IFNA(VLOOKUP(INDIRECT("G"&amp;ROW()),minfo!$A:$M,COLUMN()-8,0),"")</f>
        <v>Xposed</v>
      </c>
      <c r="T1093" s="4">
        <f ca="1">_xlfn.IFNA(VLOOKUP(INDIRECT("G"&amp;ROW()),minfo!$A:$M,COLUMN()-8,0),"")</f>
        <v>425527859</v>
      </c>
      <c r="U1093" s="4">
        <f ca="1">_xlfn.IFNA(VLOOKUP(INDIRECT("G"&amp;ROW()),minfo!$A:$M,COLUMN()-8,0),"")</f>
        <v>0</v>
      </c>
    </row>
    <row r="1094" spans="1:21" ht="15.75" customHeight="1">
      <c r="A1094" s="15">
        <v>1093</v>
      </c>
      <c r="B1094" s="4" t="s">
        <v>4700</v>
      </c>
      <c r="C1094" s="4">
        <v>1094</v>
      </c>
      <c r="D1094" s="4">
        <v>108</v>
      </c>
      <c r="E1094" s="4" t="s">
        <v>1159</v>
      </c>
      <c r="F1094" s="16">
        <v>44714</v>
      </c>
      <c r="G1094" s="5" t="s">
        <v>1158</v>
      </c>
      <c r="H1094" s="5" t="s">
        <v>4585</v>
      </c>
      <c r="I1094" s="24" t="str">
        <f>HYPERLINK("https://www.bilibili.com/video/BV1o3411T7Yn?p=108", "BV1o3411T7Yn?p=108")</f>
        <v>BV1o3411T7Yn?p=108</v>
      </c>
      <c r="J1094" s="4" t="str">
        <f ca="1">_xlfn.IFNA(VLOOKUP(INDIRECT("G"&amp;ROW()),minfo!$A:$M,COLUMN()-8,0),"")</f>
        <v>霞光</v>
      </c>
      <c r="K1094" s="4" t="str">
        <f ca="1">_xlfn.IFNA(VLOOKUP(INDIRECT("G"&amp;ROW()),minfo!$A:$M,COLUMN()-8,0),"")</f>
        <v>曲锦楠</v>
      </c>
      <c r="L1094" s="4">
        <f ca="1">_xlfn.IFNA(VLOOKUP(INDIRECT("G"&amp;ROW()),minfo!$A:$M,COLUMN()-8,0),"")</f>
        <v>0</v>
      </c>
      <c r="M1094" s="4">
        <f ca="1">_xlfn.IFNA(VLOOKUP(INDIRECT("G"&amp;ROW()),minfo!$A:$M,COLUMN()-8,0),"")</f>
        <v>0</v>
      </c>
      <c r="N1094" s="4">
        <f ca="1">_xlfn.IFNA(VLOOKUP(INDIRECT("G"&amp;ROW()),minfo!$A:$M,COLUMN()-8,0),"")</f>
        <v>0</v>
      </c>
      <c r="O1094" s="4" t="str">
        <f ca="1">_xlfn.IFNA(VLOOKUP(INDIRECT("G"&amp;ROW()),minfo!$A:$M,COLUMN()-8,0),"")</f>
        <v>https://i0.hdslb.com/bfs/station_src/music_metadata/a077572f8ee7b3c83f38ffcf4a94acb4.jpg</v>
      </c>
      <c r="P1094" s="4" t="str">
        <f ca="1">_xlfn.IFNA(VLOOKUP(INDIRECT("G"&amp;ROW()),minfo!$A:$M,COLUMN()-8,0),"")</f>
        <v>http://i0.hdslb.com/bfs/station_src/music_metadata/6b6d83bcd7a80305c8bae4ed3500a2af</v>
      </c>
      <c r="Q1094" s="4">
        <f ca="1">_xlfn.IFNA(VLOOKUP(INDIRECT("G"&amp;ROW()),minfo!$A:$M,COLUMN()-8,0),"")</f>
        <v>642</v>
      </c>
      <c r="R1094" s="4" t="str">
        <f ca="1">_xlfn.IFNA(VLOOKUP(INDIRECT("G"&amp;ROW()),minfo!$A:$M,COLUMN()-8,0),"")</f>
        <v>动画片《精灵世纪》片尾曲</v>
      </c>
      <c r="S1094" s="4" t="str">
        <f ca="1">_xlfn.IFNA(VLOOKUP(INDIRECT("G"&amp;ROW()),minfo!$A:$M,COLUMN()-8,0),"")</f>
        <v>霞光</v>
      </c>
      <c r="T1094" s="4">
        <f ca="1">_xlfn.IFNA(VLOOKUP(INDIRECT("G"&amp;ROW()),minfo!$A:$M,COLUMN()-8,0),"")</f>
        <v>87672374</v>
      </c>
      <c r="U1094" s="4">
        <f ca="1">_xlfn.IFNA(VLOOKUP(INDIRECT("G"&amp;ROW()),minfo!$A:$M,COLUMN()-8,0),"")</f>
        <v>0</v>
      </c>
    </row>
    <row r="1095" spans="1:21" ht="15.75" customHeight="1">
      <c r="A1095" s="15">
        <v>1094</v>
      </c>
      <c r="B1095" s="4" t="s">
        <v>4701</v>
      </c>
      <c r="C1095" s="4">
        <v>1095</v>
      </c>
      <c r="D1095" s="4">
        <v>109</v>
      </c>
      <c r="E1095" s="4" t="s">
        <v>1239</v>
      </c>
      <c r="F1095" s="16">
        <v>44714</v>
      </c>
      <c r="G1095" s="5" t="s">
        <v>3078</v>
      </c>
      <c r="H1095" s="5" t="s">
        <v>4585</v>
      </c>
      <c r="I1095" s="24" t="str">
        <f>HYPERLINK("https://www.bilibili.com/video/BV1o3411T7Yn?p=109", "BV1o3411T7Yn?p=109")</f>
        <v>BV1o3411T7Yn?p=109</v>
      </c>
      <c r="J1095" s="4" t="str">
        <f ca="1">_xlfn.IFNA(VLOOKUP(INDIRECT("G"&amp;ROW()),minfo!$A:$M,COLUMN()-8,0),"")</f>
        <v>送別</v>
      </c>
      <c r="K1095" s="4" t="str">
        <f ca="1">_xlfn.IFNA(VLOOKUP(INDIRECT("G"&amp;ROW()),minfo!$A:$M,COLUMN()-8,0),"")</f>
        <v>王珺</v>
      </c>
      <c r="L1095" s="4">
        <f ca="1">_xlfn.IFNA(VLOOKUP(INDIRECT("G"&amp;ROW()),minfo!$A:$M,COLUMN()-8,0),"")</f>
        <v>0</v>
      </c>
      <c r="M1095" s="4">
        <f ca="1">_xlfn.IFNA(VLOOKUP(INDIRECT("G"&amp;ROW()),minfo!$A:$M,COLUMN()-8,0),"")</f>
        <v>0</v>
      </c>
      <c r="N1095" s="4">
        <f ca="1">_xlfn.IFNA(VLOOKUP(INDIRECT("G"&amp;ROW()),minfo!$A:$M,COLUMN()-8,0),"")</f>
        <v>0</v>
      </c>
      <c r="O1095" s="4" t="str">
        <f ca="1">_xlfn.IFNA(VLOOKUP(INDIRECT("G"&amp;ROW()),minfo!$A:$M,COLUMN()-8,0),"")</f>
        <v>https://i0.hdslb.com/bfs/station_src/music_metadata/d28e003c6000ad9abc00693da6e4190e.jpg</v>
      </c>
      <c r="P1095" s="4" t="str">
        <f ca="1">_xlfn.IFNA(VLOOKUP(INDIRECT("G"&amp;ROW()),minfo!$A:$M,COLUMN()-8,0),"")</f>
        <v>https://i0.hdslb.com/bfs/station_src/music_metadata/5a6610f597664a199f36554480d22f9d.txt</v>
      </c>
      <c r="Q1095" s="4">
        <f ca="1">_xlfn.IFNA(VLOOKUP(INDIRECT("G"&amp;ROW()),minfo!$A:$M,COLUMN()-8,0),"")</f>
        <v>30</v>
      </c>
      <c r="R1095" s="4">
        <f ca="1">_xlfn.IFNA(VLOOKUP(INDIRECT("G"&amp;ROW()),minfo!$A:$M,COLUMN()-8,0),"")</f>
        <v>0</v>
      </c>
      <c r="S1095" s="4" t="str">
        <f ca="1">_xlfn.IFNA(VLOOKUP(INDIRECT("G"&amp;ROW()),minfo!$A:$M,COLUMN()-8,0),"")</f>
        <v>般若心曲 放下 国语版</v>
      </c>
      <c r="T1095" s="4">
        <f ca="1">_xlfn.IFNA(VLOOKUP(INDIRECT("G"&amp;ROW()),minfo!$A:$M,COLUMN()-8,0),"")</f>
        <v>3507425</v>
      </c>
      <c r="U1095" s="4">
        <f ca="1">_xlfn.IFNA(VLOOKUP(INDIRECT("G"&amp;ROW()),minfo!$A:$M,COLUMN()-8,0),"")</f>
        <v>0</v>
      </c>
    </row>
    <row r="1096" spans="1:21" ht="15.75" customHeight="1">
      <c r="A1096" s="15">
        <v>1095</v>
      </c>
      <c r="B1096" s="4" t="s">
        <v>4702</v>
      </c>
      <c r="C1096" s="4">
        <v>1096</v>
      </c>
      <c r="D1096" s="4">
        <v>110</v>
      </c>
      <c r="E1096" s="4" t="s">
        <v>139</v>
      </c>
      <c r="F1096" s="16">
        <v>44716</v>
      </c>
      <c r="G1096" s="5" t="s">
        <v>139</v>
      </c>
      <c r="H1096" s="5" t="s">
        <v>4585</v>
      </c>
      <c r="I1096" s="24" t="str">
        <f>HYPERLINK("https://www.bilibili.com/video/BV1o3411T7Yn?p=110", "BV1o3411T7Yn?p=110")</f>
        <v>BV1o3411T7Yn?p=110</v>
      </c>
      <c r="J1096" s="4" t="str">
        <f ca="1">_xlfn.IFNA(VLOOKUP(INDIRECT("G"&amp;ROW()),minfo!$A:$M,COLUMN()-8,0),"")</f>
        <v>康定情歌</v>
      </c>
      <c r="K1096" s="4" t="str">
        <f ca="1">_xlfn.IFNA(VLOOKUP(INDIRECT("G"&amp;ROW()),minfo!$A:$M,COLUMN()-8,0),"")</f>
        <v>汤灿</v>
      </c>
      <c r="L1096" s="4">
        <f ca="1">_xlfn.IFNA(VLOOKUP(INDIRECT("G"&amp;ROW()),minfo!$A:$M,COLUMN()-8,0),"")</f>
        <v>0</v>
      </c>
      <c r="M1096" s="4">
        <f ca="1">_xlfn.IFNA(VLOOKUP(INDIRECT("G"&amp;ROW()),minfo!$A:$M,COLUMN()-8,0),"")</f>
        <v>0</v>
      </c>
      <c r="N1096" s="4">
        <f ca="1">_xlfn.IFNA(VLOOKUP(INDIRECT("G"&amp;ROW()),minfo!$A:$M,COLUMN()-8,0),"")</f>
        <v>0</v>
      </c>
      <c r="O1096" s="4">
        <f ca="1">_xlfn.IFNA(VLOOKUP(INDIRECT("G"&amp;ROW()),minfo!$A:$M,COLUMN()-8,0),"")</f>
        <v>0</v>
      </c>
      <c r="P1096" s="4">
        <f ca="1">_xlfn.IFNA(VLOOKUP(INDIRECT("G"&amp;ROW()),minfo!$A:$M,COLUMN()-8,0),"")</f>
        <v>0</v>
      </c>
      <c r="Q1096" s="4">
        <f ca="1">_xlfn.IFNA(VLOOKUP(INDIRECT("G"&amp;ROW()),minfo!$A:$M,COLUMN()-8,0),"")</f>
        <v>0</v>
      </c>
      <c r="R1096" s="4">
        <f ca="1">_xlfn.IFNA(VLOOKUP(INDIRECT("G"&amp;ROW()),minfo!$A:$M,COLUMN()-8,0),"")</f>
        <v>0</v>
      </c>
      <c r="S1096" s="4">
        <f ca="1">_xlfn.IFNA(VLOOKUP(INDIRECT("G"&amp;ROW()),minfo!$A:$M,COLUMN()-8,0),"")</f>
        <v>0</v>
      </c>
      <c r="T1096" s="4">
        <f ca="1">_xlfn.IFNA(VLOOKUP(INDIRECT("G"&amp;ROW()),minfo!$A:$M,COLUMN()-8,0),"")</f>
        <v>0</v>
      </c>
      <c r="U1096" s="4">
        <f ca="1">_xlfn.IFNA(VLOOKUP(INDIRECT("G"&amp;ROW()),minfo!$A:$M,COLUMN()-8,0),"")</f>
        <v>0</v>
      </c>
    </row>
    <row r="1097" spans="1:21" ht="15.75" customHeight="1">
      <c r="A1097" s="15">
        <v>1096</v>
      </c>
      <c r="B1097" s="4" t="s">
        <v>4703</v>
      </c>
      <c r="C1097" s="4">
        <v>1097</v>
      </c>
      <c r="D1097" s="4">
        <v>111</v>
      </c>
      <c r="E1097" s="4" t="s">
        <v>409</v>
      </c>
      <c r="F1097" s="16">
        <v>44716</v>
      </c>
      <c r="G1097" s="5" t="s">
        <v>408</v>
      </c>
      <c r="H1097" s="5" t="s">
        <v>4585</v>
      </c>
      <c r="I1097" s="24" t="str">
        <f>HYPERLINK("https://www.bilibili.com/video/BV1o3411T7Yn?p=111", "BV1o3411T7Yn?p=111")</f>
        <v>BV1o3411T7Yn?p=111</v>
      </c>
      <c r="J1097" s="4" t="str">
        <f ca="1">_xlfn.IFNA(VLOOKUP(INDIRECT("G"&amp;ROW()),minfo!$A:$M,COLUMN()-8,0),"")</f>
        <v>呼吸决定</v>
      </c>
      <c r="K1097" s="4" t="str">
        <f ca="1">_xlfn.IFNA(VLOOKUP(INDIRECT("G"&amp;ROW()),minfo!$A:$M,COLUMN()-8,0),"")</f>
        <v>Fine乐团</v>
      </c>
      <c r="L1097" s="4">
        <f ca="1">_xlfn.IFNA(VLOOKUP(INDIRECT("G"&amp;ROW()),minfo!$A:$M,COLUMN()-8,0),"")</f>
        <v>0</v>
      </c>
      <c r="M1097" s="4">
        <f ca="1">_xlfn.IFNA(VLOOKUP(INDIRECT("G"&amp;ROW()),minfo!$A:$M,COLUMN()-8,0),"")</f>
        <v>0</v>
      </c>
      <c r="N1097" s="4">
        <f ca="1">_xlfn.IFNA(VLOOKUP(INDIRECT("G"&amp;ROW()),minfo!$A:$M,COLUMN()-8,0),"")</f>
        <v>0</v>
      </c>
      <c r="O1097" s="4" t="str">
        <f ca="1">_xlfn.IFNA(VLOOKUP(INDIRECT("G"&amp;ROW()),minfo!$A:$M,COLUMN()-8,0),"")</f>
        <v>http://i0.hdslb.com/bfs/station_src/music_metadata/de6c3020bce1962dc02b42568606781f.jpg</v>
      </c>
      <c r="P1097" s="4" t="str">
        <f ca="1">_xlfn.IFNA(VLOOKUP(INDIRECT("G"&amp;ROW()),minfo!$A:$M,COLUMN()-8,0),"")</f>
        <v>http://i0.hdslb.com/bfs/station_src/music_metadata/9dfd516512eb23be6e624848db3bed57</v>
      </c>
      <c r="Q1097" s="4">
        <f ca="1">_xlfn.IFNA(VLOOKUP(INDIRECT("G"&amp;ROW()),minfo!$A:$M,COLUMN()-8,0),"")</f>
        <v>838</v>
      </c>
      <c r="R1097" s="4">
        <f ca="1">_xlfn.IFNA(VLOOKUP(INDIRECT("G"&amp;ROW()),minfo!$A:$M,COLUMN()-8,0),"")</f>
        <v>0</v>
      </c>
      <c r="S1097" s="4">
        <f ca="1">_xlfn.IFNA(VLOOKUP(INDIRECT("G"&amp;ROW()),minfo!$A:$M,COLUMN()-8,0),"")</f>
        <v>0</v>
      </c>
      <c r="T1097" s="4">
        <f ca="1">_xlfn.IFNA(VLOOKUP(INDIRECT("G"&amp;ROW()),minfo!$A:$M,COLUMN()-8,0),"")</f>
        <v>100019249</v>
      </c>
      <c r="U1097" s="4">
        <f ca="1">_xlfn.IFNA(VLOOKUP(INDIRECT("G"&amp;ROW()),minfo!$A:$M,COLUMN()-8,0),"")</f>
        <v>0</v>
      </c>
    </row>
    <row r="1098" spans="1:21" ht="15.75" customHeight="1">
      <c r="A1098" s="15">
        <v>1097</v>
      </c>
      <c r="B1098" s="4" t="s">
        <v>4704</v>
      </c>
      <c r="C1098" s="4">
        <v>1098</v>
      </c>
      <c r="D1098" s="4">
        <v>112</v>
      </c>
      <c r="E1098" s="4" t="s">
        <v>77</v>
      </c>
      <c r="F1098" s="16">
        <v>44716</v>
      </c>
      <c r="G1098" s="5" t="s">
        <v>203</v>
      </c>
      <c r="H1098" s="5" t="s">
        <v>4585</v>
      </c>
      <c r="I1098" s="24" t="str">
        <f>HYPERLINK("https://www.bilibili.com/video/BV1o3411T7Yn?p=112", "BV1o3411T7Yn?p=112")</f>
        <v>BV1o3411T7Yn?p=112</v>
      </c>
      <c r="J1098" s="4" t="str">
        <f ca="1">_xlfn.IFNA(VLOOKUP(INDIRECT("G"&amp;ROW()),minfo!$A:$M,COLUMN()-8,0),"")</f>
        <v>不问天</v>
      </c>
      <c r="K1098" s="4" t="str">
        <f ca="1">_xlfn.IFNA(VLOOKUP(INDIRECT("G"&amp;ROW()),minfo!$A:$M,COLUMN()-8,0),"")</f>
        <v>说说Crystal</v>
      </c>
      <c r="L1098" s="4">
        <f ca="1">_xlfn.IFNA(VLOOKUP(INDIRECT("G"&amp;ROW()),minfo!$A:$M,COLUMN()-8,0),"")</f>
        <v>0</v>
      </c>
      <c r="M1098" s="4">
        <f ca="1">_xlfn.IFNA(VLOOKUP(INDIRECT("G"&amp;ROW()),minfo!$A:$M,COLUMN()-8,0),"")</f>
        <v>0</v>
      </c>
      <c r="N1098" s="4">
        <f ca="1">_xlfn.IFNA(VLOOKUP(INDIRECT("G"&amp;ROW()),minfo!$A:$M,COLUMN()-8,0),"")</f>
        <v>0</v>
      </c>
      <c r="O1098" s="4" t="str">
        <f ca="1">_xlfn.IFNA(VLOOKUP(INDIRECT("G"&amp;ROW()),minfo!$A:$M,COLUMN()-8,0),"")</f>
        <v>https://i0.hdslb.com/bfs/station_src/music_metadata/ce3a0da2a7e64a49fa42a6e3db521f57.jpg</v>
      </c>
      <c r="P1098" s="4" t="str">
        <f ca="1">_xlfn.IFNA(VLOOKUP(INDIRECT("G"&amp;ROW()),minfo!$A:$M,COLUMN()-8,0),"")</f>
        <v>https://i0.hdslb.com/bfs/station_src/music_metadata/02cd9198a33924449443fc704a92a25a.txt</v>
      </c>
      <c r="Q1098" s="4">
        <f ca="1">_xlfn.IFNA(VLOOKUP(INDIRECT("G"&amp;ROW()),minfo!$A:$M,COLUMN()-8,0),"")</f>
        <v>149</v>
      </c>
      <c r="R1098" s="4">
        <f ca="1">_xlfn.IFNA(VLOOKUP(INDIRECT("G"&amp;ROW()),minfo!$A:$M,COLUMN()-8,0),"")</f>
        <v>0</v>
      </c>
      <c r="S1098" s="4" t="str">
        <f ca="1">_xlfn.IFNA(VLOOKUP(INDIRECT("G"&amp;ROW()),minfo!$A:$M,COLUMN()-8,0),"")</f>
        <v>2021哔哩哔哩拜年纪</v>
      </c>
      <c r="T1098" s="4">
        <f ca="1">_xlfn.IFNA(VLOOKUP(INDIRECT("G"&amp;ROW()),minfo!$A:$M,COLUMN()-8,0),"")</f>
        <v>33137051</v>
      </c>
      <c r="U1098" s="4">
        <f ca="1">_xlfn.IFNA(VLOOKUP(INDIRECT("G"&amp;ROW()),minfo!$A:$M,COLUMN()-8,0),"")</f>
        <v>0</v>
      </c>
    </row>
    <row r="1099" spans="1:21" ht="15.75" customHeight="1">
      <c r="A1099" s="15">
        <v>1098</v>
      </c>
      <c r="B1099" s="4" t="s">
        <v>4705</v>
      </c>
      <c r="C1099" s="4">
        <v>1099</v>
      </c>
      <c r="D1099" s="4">
        <v>113</v>
      </c>
      <c r="E1099" s="4" t="s">
        <v>2368</v>
      </c>
      <c r="F1099" s="16">
        <v>44719</v>
      </c>
      <c r="G1099" s="5" t="s">
        <v>2694</v>
      </c>
      <c r="H1099" s="5" t="s">
        <v>4585</v>
      </c>
      <c r="I1099" s="24" t="str">
        <f>HYPERLINK("https://www.bilibili.com/video/BV1o3411T7Yn?p=113", "BV1o3411T7Yn?p=113")</f>
        <v>BV1o3411T7Yn?p=113</v>
      </c>
      <c r="J1099" s="4" t="str">
        <f ca="1">_xlfn.IFNA(VLOOKUP(INDIRECT("G"&amp;ROW()),minfo!$A:$M,COLUMN()-8,0),"")</f>
        <v>爱你</v>
      </c>
      <c r="K1099" s="4" t="str">
        <f ca="1">_xlfn.IFNA(VLOOKUP(INDIRECT("G"&amp;ROW()),minfo!$A:$M,COLUMN()-8,0),"")</f>
        <v>王心凌</v>
      </c>
      <c r="L1099" s="4">
        <f ca="1">_xlfn.IFNA(VLOOKUP(INDIRECT("G"&amp;ROW()),minfo!$A:$M,COLUMN()-8,0),"")</f>
        <v>0</v>
      </c>
      <c r="M1099" s="4">
        <f ca="1">_xlfn.IFNA(VLOOKUP(INDIRECT("G"&amp;ROW()),minfo!$A:$M,COLUMN()-8,0),"")</f>
        <v>35</v>
      </c>
      <c r="N1099" s="4">
        <f ca="1">_xlfn.IFNA(VLOOKUP(INDIRECT("G"&amp;ROW()),minfo!$A:$M,COLUMN()-8,0),"")</f>
        <v>29</v>
      </c>
      <c r="O1099" s="4" t="str">
        <f ca="1">_xlfn.IFNA(VLOOKUP(INDIRECT("G"&amp;ROW()),minfo!$A:$M,COLUMN()-8,0),"")</f>
        <v>http://i0.hdslb.com/bfs/station_src/music_metadata/a9b43805ff5aa92d45ef62bce0afe1ea.jpg</v>
      </c>
      <c r="P1099" s="4" t="str">
        <f ca="1">_xlfn.IFNA(VLOOKUP(INDIRECT("G"&amp;ROW()),minfo!$A:$M,COLUMN()-8,0),"")</f>
        <v>http://i0.hdslb.com/bfs/station_src/music_metadata/24997dd0952e21fd7706e781e8adb905</v>
      </c>
      <c r="Q1099" s="4">
        <f ca="1">_xlfn.IFNA(VLOOKUP(INDIRECT("G"&amp;ROW()),minfo!$A:$M,COLUMN()-8,0),"")</f>
        <v>17697</v>
      </c>
      <c r="R1099" s="4" t="str">
        <f ca="1">_xlfn.IFNA(VLOOKUP(INDIRECT("G"&amp;ROW()),minfo!$A:$M,COLUMN()-8,0),"")</f>
        <v>情话多说一点</v>
      </c>
      <c r="S1099" s="4" t="str">
        <f ca="1">_xlfn.IFNA(VLOOKUP(INDIRECT("G"&amp;ROW()),minfo!$A:$M,COLUMN()-8,0),"")</f>
        <v>爱你</v>
      </c>
      <c r="T1099" s="4">
        <f ca="1">_xlfn.IFNA(VLOOKUP(INDIRECT("G"&amp;ROW()),minfo!$A:$M,COLUMN()-8,0),"")</f>
        <v>1465329274</v>
      </c>
      <c r="U1099" s="4" t="str">
        <f ca="1">_xlfn.IFNA(VLOOKUP(INDIRECT("G"&amp;ROW()),minfo!$A:$M,COLUMN()-8,0),"")</f>
        <v>音乐榜最高NO.1</v>
      </c>
    </row>
    <row r="1100" spans="1:21" ht="15.75" customHeight="1">
      <c r="A1100" s="15">
        <v>1099</v>
      </c>
      <c r="B1100" s="4" t="s">
        <v>4706</v>
      </c>
      <c r="C1100" s="4">
        <v>1100</v>
      </c>
      <c r="D1100" s="4">
        <v>114</v>
      </c>
      <c r="E1100" s="4" t="s">
        <v>2012</v>
      </c>
      <c r="F1100" s="16">
        <v>44720</v>
      </c>
      <c r="G1100" s="5" t="s">
        <v>2011</v>
      </c>
      <c r="H1100" s="5" t="s">
        <v>4585</v>
      </c>
      <c r="I1100" s="24" t="str">
        <f>HYPERLINK("https://www.bilibili.com/video/BV1o3411T7Yn?p=114", "BV1o3411T7Yn?p=114")</f>
        <v>BV1o3411T7Yn?p=114</v>
      </c>
      <c r="J1100" s="4" t="str">
        <f ca="1">_xlfn.IFNA(VLOOKUP(INDIRECT("G"&amp;ROW()),minfo!$A:$M,COLUMN()-8,0),"")</f>
        <v>知否知否</v>
      </c>
      <c r="K1100" s="4" t="str">
        <f ca="1">_xlfn.IFNA(VLOOKUP(INDIRECT("G"&amp;ROW()),minfo!$A:$M,COLUMN()-8,0),"")</f>
        <v>胡夏,郁可唯</v>
      </c>
      <c r="L1100" s="4">
        <f ca="1">_xlfn.IFNA(VLOOKUP(INDIRECT("G"&amp;ROW()),minfo!$A:$M,COLUMN()-8,0),"")</f>
        <v>0</v>
      </c>
      <c r="M1100" s="4">
        <f ca="1">_xlfn.IFNA(VLOOKUP(INDIRECT("G"&amp;ROW()),minfo!$A:$M,COLUMN()-8,0),"")</f>
        <v>0</v>
      </c>
      <c r="N1100" s="4">
        <f ca="1">_xlfn.IFNA(VLOOKUP(INDIRECT("G"&amp;ROW()),minfo!$A:$M,COLUMN()-8,0),"")</f>
        <v>0</v>
      </c>
      <c r="O1100" s="4" t="str">
        <f ca="1">_xlfn.IFNA(VLOOKUP(INDIRECT("G"&amp;ROW()),minfo!$A:$M,COLUMN()-8,0),"")</f>
        <v>http://i0.hdslb.com/bfs/station_src/music_metadata/95894e72087c08133adecbe31e755eed.jpg</v>
      </c>
      <c r="P1100" s="4" t="str">
        <f ca="1">_xlfn.IFNA(VLOOKUP(INDIRECT("G"&amp;ROW()),minfo!$A:$M,COLUMN()-8,0),"")</f>
        <v>http://i0.hdslb.com/bfs/station_src/music_metadata/d76c10f10df8c8eb0080ea2ccc5426f7</v>
      </c>
      <c r="Q1100" s="4">
        <f ca="1">_xlfn.IFNA(VLOOKUP(INDIRECT("G"&amp;ROW()),minfo!$A:$M,COLUMN()-8,0),"")</f>
        <v>1499</v>
      </c>
      <c r="R1100" s="4" t="str">
        <f ca="1">_xlfn.IFNA(VLOOKUP(INDIRECT("G"&amp;ROW()),minfo!$A:$M,COLUMN()-8,0),"")</f>
        <v>《知否知否应是绿肥红瘦》电视剧主题曲</v>
      </c>
      <c r="S1100" s="4" t="str">
        <f ca="1">_xlfn.IFNA(VLOOKUP(INDIRECT("G"&amp;ROW()),minfo!$A:$M,COLUMN()-8,0),"")</f>
        <v>知否知否应是绿肥红瘦 电视剧原声带</v>
      </c>
      <c r="T1100" s="4">
        <f ca="1">_xlfn.IFNA(VLOOKUP(INDIRECT("G"&amp;ROW()),minfo!$A:$M,COLUMN()-8,0),"")</f>
        <v>316782479</v>
      </c>
      <c r="U1100" s="4">
        <f ca="1">_xlfn.IFNA(VLOOKUP(INDIRECT("G"&amp;ROW()),minfo!$A:$M,COLUMN()-8,0),"")</f>
        <v>0</v>
      </c>
    </row>
    <row r="1101" spans="1:21" ht="15.75" customHeight="1">
      <c r="A1101" s="15">
        <v>1100</v>
      </c>
      <c r="B1101" s="4" t="s">
        <v>4707</v>
      </c>
      <c r="C1101" s="4">
        <v>1101</v>
      </c>
      <c r="D1101" s="4">
        <v>115</v>
      </c>
      <c r="E1101" s="4" t="s">
        <v>934</v>
      </c>
      <c r="F1101" s="16">
        <v>44720</v>
      </c>
      <c r="G1101" s="5" t="s">
        <v>933</v>
      </c>
      <c r="H1101" s="5" t="s">
        <v>4585</v>
      </c>
      <c r="I1101" s="24" t="str">
        <f>HYPERLINK("https://www.bilibili.com/video/BV1o3411T7Yn?p=115", "BV1o3411T7Yn?p=115")</f>
        <v>BV1o3411T7Yn?p=115</v>
      </c>
      <c r="J1101" s="4" t="str">
        <f ca="1">_xlfn.IFNA(VLOOKUP(INDIRECT("G"&amp;ROW()),minfo!$A:$M,COLUMN()-8,0),"")</f>
        <v>敕勒歌</v>
      </c>
      <c r="K1101" s="4" t="str">
        <f ca="1">_xlfn.IFNA(VLOOKUP(INDIRECT("G"&amp;ROW()),minfo!$A:$M,COLUMN()-8,0),"")</f>
        <v>谭维维</v>
      </c>
      <c r="L1101" s="4">
        <f ca="1">_xlfn.IFNA(VLOOKUP(INDIRECT("G"&amp;ROW()),minfo!$A:$M,COLUMN()-8,0),"")</f>
        <v>0</v>
      </c>
      <c r="M1101" s="4">
        <f ca="1">_xlfn.IFNA(VLOOKUP(INDIRECT("G"&amp;ROW()),minfo!$A:$M,COLUMN()-8,0),"")</f>
        <v>0</v>
      </c>
      <c r="N1101" s="4">
        <f ca="1">_xlfn.IFNA(VLOOKUP(INDIRECT("G"&amp;ROW()),minfo!$A:$M,COLUMN()-8,0),"")</f>
        <v>0</v>
      </c>
      <c r="O1101" s="4" t="str">
        <f ca="1">_xlfn.IFNA(VLOOKUP(INDIRECT("G"&amp;ROW()),minfo!$A:$M,COLUMN()-8,0),"")</f>
        <v>https://i0.hdslb.com/bfs/station_src/music_metadata/4633e67685206de0672cc528709e3e2f.jpg</v>
      </c>
      <c r="P1101" s="4" t="str">
        <f ca="1">_xlfn.IFNA(VLOOKUP(INDIRECT("G"&amp;ROW()),minfo!$A:$M,COLUMN()-8,0),"")</f>
        <v>https://i0.hdslb.com/bfs/station_src/music_metadata/dff7d3073b6cc36766c38942f1f4cf16.txt</v>
      </c>
      <c r="Q1101" s="4">
        <f ca="1">_xlfn.IFNA(VLOOKUP(INDIRECT("G"&amp;ROW()),minfo!$A:$M,COLUMN()-8,0),"")</f>
        <v>382</v>
      </c>
      <c r="R1101" s="4">
        <f ca="1">_xlfn.IFNA(VLOOKUP(INDIRECT("G"&amp;ROW()),minfo!$A:$M,COLUMN()-8,0),"")</f>
        <v>0</v>
      </c>
      <c r="S1101" s="4" t="str">
        <f ca="1">_xlfn.IFNA(VLOOKUP(INDIRECT("G"&amp;ROW()),minfo!$A:$M,COLUMN()-8,0),"")</f>
        <v>经典咏流传第二季 第六期</v>
      </c>
      <c r="T1101" s="4">
        <f ca="1">_xlfn.IFNA(VLOOKUP(INDIRECT("G"&amp;ROW()),minfo!$A:$M,COLUMN()-8,0),"")</f>
        <v>19549830</v>
      </c>
      <c r="U1101" s="4">
        <f ca="1">_xlfn.IFNA(VLOOKUP(INDIRECT("G"&amp;ROW()),minfo!$A:$M,COLUMN()-8,0),"")</f>
        <v>0</v>
      </c>
    </row>
    <row r="1102" spans="1:21" ht="15.75" customHeight="1">
      <c r="A1102" s="15">
        <v>1101</v>
      </c>
      <c r="B1102" s="4" t="s">
        <v>4708</v>
      </c>
      <c r="C1102" s="4">
        <v>1102</v>
      </c>
      <c r="D1102" s="4">
        <v>116</v>
      </c>
      <c r="E1102" s="4" t="s">
        <v>378</v>
      </c>
      <c r="F1102" s="16">
        <v>44720</v>
      </c>
      <c r="G1102" s="5" t="s">
        <v>1210</v>
      </c>
      <c r="H1102" s="5" t="s">
        <v>4585</v>
      </c>
      <c r="I1102" s="24" t="str">
        <f>HYPERLINK("https://www.bilibili.com/video/BV1o3411T7Yn?p=116", "BV1o3411T7Yn?p=116")</f>
        <v>BV1o3411T7Yn?p=116</v>
      </c>
      <c r="J1102" s="4" t="str">
        <f ca="1">_xlfn.IFNA(VLOOKUP(INDIRECT("G"&amp;ROW()),minfo!$A:$M,COLUMN()-8,0),"")</f>
        <v>我很忙</v>
      </c>
      <c r="K1102" s="4" t="str">
        <f ca="1">_xlfn.IFNA(VLOOKUP(INDIRECT("G"&amp;ROW()),minfo!$A:$M,COLUMN()-8,0),"")</f>
        <v>黄丽玲</v>
      </c>
      <c r="L1102" s="4">
        <f ca="1">_xlfn.IFNA(VLOOKUP(INDIRECT("G"&amp;ROW()),minfo!$A:$M,COLUMN()-8,0),"")</f>
        <v>0</v>
      </c>
      <c r="M1102" s="4">
        <f ca="1">_xlfn.IFNA(VLOOKUP(INDIRECT("G"&amp;ROW()),minfo!$A:$M,COLUMN()-8,0),"")</f>
        <v>0</v>
      </c>
      <c r="N1102" s="4">
        <f ca="1">_xlfn.IFNA(VLOOKUP(INDIRECT("G"&amp;ROW()),minfo!$A:$M,COLUMN()-8,0),"")</f>
        <v>0</v>
      </c>
      <c r="O1102" s="4" t="str">
        <f ca="1">_xlfn.IFNA(VLOOKUP(INDIRECT("G"&amp;ROW()),minfo!$A:$M,COLUMN()-8,0),"")</f>
        <v>https://i0.hdslb.com/bfs/station_src/music_metadata/48397dbb63cd5969dc63b01aa1d0d8a5.jpg</v>
      </c>
      <c r="P1102" s="4" t="str">
        <f ca="1">_xlfn.IFNA(VLOOKUP(INDIRECT("G"&amp;ROW()),minfo!$A:$M,COLUMN()-8,0),"")</f>
        <v>https://i0.hdslb.com/bfs/station_src/music_metadata/bd60b926118ad39fd6e624910ce0f5b5.txt</v>
      </c>
      <c r="Q1102" s="4">
        <f ca="1">_xlfn.IFNA(VLOOKUP(INDIRECT("G"&amp;ROW()),minfo!$A:$M,COLUMN()-8,0),"")</f>
        <v>2</v>
      </c>
      <c r="R1102" s="4">
        <f ca="1">_xlfn.IFNA(VLOOKUP(INDIRECT("G"&amp;ROW()),minfo!$A:$M,COLUMN()-8,0),"")</f>
        <v>0</v>
      </c>
      <c r="S1102" s="4" t="str">
        <f ca="1">_xlfn.IFNA(VLOOKUP(INDIRECT("G"&amp;ROW()),minfo!$A:$M,COLUMN()-8,0),"")</f>
        <v>我们会更好的</v>
      </c>
      <c r="T1102" s="4">
        <f ca="1">_xlfn.IFNA(VLOOKUP(INDIRECT("G"&amp;ROW()),minfo!$A:$M,COLUMN()-8,0),"")</f>
        <v>2445092</v>
      </c>
      <c r="U1102" s="4">
        <f ca="1">_xlfn.IFNA(VLOOKUP(INDIRECT("G"&amp;ROW()),minfo!$A:$M,COLUMN()-8,0),"")</f>
        <v>0</v>
      </c>
    </row>
    <row r="1103" spans="1:21" ht="15.75" customHeight="1">
      <c r="A1103" s="15">
        <v>1102</v>
      </c>
      <c r="B1103" s="4" t="s">
        <v>4709</v>
      </c>
      <c r="C1103" s="4">
        <v>1103</v>
      </c>
      <c r="D1103" s="4">
        <v>117</v>
      </c>
      <c r="E1103" s="4" t="s">
        <v>4710</v>
      </c>
      <c r="F1103" s="16">
        <v>44720</v>
      </c>
      <c r="G1103" s="5" t="s">
        <v>2442</v>
      </c>
      <c r="H1103" s="5" t="s">
        <v>4585</v>
      </c>
      <c r="I1103" s="24" t="str">
        <f>HYPERLINK("https://www.bilibili.com/video/BV1o3411T7Yn?p=117", "BV1o3411T7Yn?p=117")</f>
        <v>BV1o3411T7Yn?p=117</v>
      </c>
      <c r="J1103" s="4" t="str">
        <f ca="1">_xlfn.IFNA(VLOOKUP(INDIRECT("G"&amp;ROW()),minfo!$A:$M,COLUMN()-8,0),"")</f>
        <v>不忘初心·孝行天下</v>
      </c>
      <c r="K1103" s="4" t="str">
        <f ca="1">_xlfn.IFNA(VLOOKUP(INDIRECT("G"&amp;ROW()),minfo!$A:$M,COLUMN()-8,0),"")</f>
        <v>谭维维,韩磊</v>
      </c>
      <c r="L1103" s="4">
        <f ca="1">_xlfn.IFNA(VLOOKUP(INDIRECT("G"&amp;ROW()),minfo!$A:$M,COLUMN()-8,0),"")</f>
        <v>0</v>
      </c>
      <c r="M1103" s="4">
        <f ca="1">_xlfn.IFNA(VLOOKUP(INDIRECT("G"&amp;ROW()),minfo!$A:$M,COLUMN()-8,0),"")</f>
        <v>0</v>
      </c>
      <c r="N1103" s="4">
        <f ca="1">_xlfn.IFNA(VLOOKUP(INDIRECT("G"&amp;ROW()),minfo!$A:$M,COLUMN()-8,0),"")</f>
        <v>0</v>
      </c>
      <c r="O1103" s="4" t="str">
        <f ca="1">_xlfn.IFNA(VLOOKUP(INDIRECT("G"&amp;ROW()),minfo!$A:$M,COLUMN()-8,0),"")</f>
        <v>https://i0.hdslb.com/bfs/station_src/music_metadata/00437bbf65706d337af656771580635b.jpg</v>
      </c>
      <c r="P1103" s="4" t="str">
        <f ca="1">_xlfn.IFNA(VLOOKUP(INDIRECT("G"&amp;ROW()),minfo!$A:$M,COLUMN()-8,0),"")</f>
        <v>https://i0.hdslb.com/bfs/station_src/music_metadata/31b2c93959ce86513f7c28d3ec8ee063.txt</v>
      </c>
      <c r="Q1103" s="4">
        <f ca="1">_xlfn.IFNA(VLOOKUP(INDIRECT("G"&amp;ROW()),minfo!$A:$M,COLUMN()-8,0),"")</f>
        <v>32</v>
      </c>
      <c r="R1103" s="4">
        <f ca="1">_xlfn.IFNA(VLOOKUP(INDIRECT("G"&amp;ROW()),minfo!$A:$M,COLUMN()-8,0),"")</f>
        <v>0</v>
      </c>
      <c r="S1103" s="4" t="str">
        <f ca="1">_xlfn.IFNA(VLOOKUP(INDIRECT("G"&amp;ROW()),minfo!$A:$M,COLUMN()-8,0),"")</f>
        <v>不忘初心·孝行天下</v>
      </c>
      <c r="T1103" s="4">
        <f ca="1">_xlfn.IFNA(VLOOKUP(INDIRECT("G"&amp;ROW()),minfo!$A:$M,COLUMN()-8,0),"")</f>
        <v>11780919</v>
      </c>
      <c r="U1103" s="4">
        <f ca="1">_xlfn.IFNA(VLOOKUP(INDIRECT("G"&amp;ROW()),minfo!$A:$M,COLUMN()-8,0),"")</f>
        <v>0</v>
      </c>
    </row>
    <row r="1104" spans="1:21" ht="15.75" customHeight="1">
      <c r="A1104" s="15">
        <v>1103</v>
      </c>
      <c r="B1104" s="4" t="s">
        <v>4711</v>
      </c>
      <c r="C1104" s="4">
        <v>1104</v>
      </c>
      <c r="D1104" s="4">
        <v>118</v>
      </c>
      <c r="E1104" s="4" t="s">
        <v>2448</v>
      </c>
      <c r="F1104" s="16">
        <v>44720</v>
      </c>
      <c r="G1104" s="5" t="s">
        <v>2447</v>
      </c>
      <c r="H1104" s="5" t="s">
        <v>4585</v>
      </c>
      <c r="I1104" s="24" t="str">
        <f>HYPERLINK("https://www.bilibili.com/video/BV1o3411T7Yn?p=118", "BV1o3411T7Yn?p=118")</f>
        <v>BV1o3411T7Yn?p=118</v>
      </c>
      <c r="J1104" s="4" t="str">
        <f ca="1">_xlfn.IFNA(VLOOKUP(INDIRECT("G"&amp;ROW()),minfo!$A:$M,COLUMN()-8,0),"")</f>
        <v>忘记拥抱</v>
      </c>
      <c r="K1104" s="4" t="str">
        <f ca="1">_xlfn.IFNA(VLOOKUP(INDIRECT("G"&amp;ROW()),minfo!$A:$M,COLUMN()-8,0),"")</f>
        <v>潘玮柏</v>
      </c>
      <c r="L1104" s="4">
        <f ca="1">_xlfn.IFNA(VLOOKUP(INDIRECT("G"&amp;ROW()),minfo!$A:$M,COLUMN()-8,0),"")</f>
        <v>0</v>
      </c>
      <c r="M1104" s="4">
        <f ca="1">_xlfn.IFNA(VLOOKUP(INDIRECT("G"&amp;ROW()),minfo!$A:$M,COLUMN()-8,0),"")</f>
        <v>0</v>
      </c>
      <c r="N1104" s="4">
        <f ca="1">_xlfn.IFNA(VLOOKUP(INDIRECT("G"&amp;ROW()),minfo!$A:$M,COLUMN()-8,0),"")</f>
        <v>0</v>
      </c>
      <c r="O1104" s="4" t="str">
        <f ca="1">_xlfn.IFNA(VLOOKUP(INDIRECT("G"&amp;ROW()),minfo!$A:$M,COLUMN()-8,0),"")</f>
        <v>http://i0.hdslb.com/bfs/station_src/music_metadata/62364e3b60f7c2f069821d6eb5f44472.jpg</v>
      </c>
      <c r="P1104" s="4" t="str">
        <f ca="1">_xlfn.IFNA(VLOOKUP(INDIRECT("G"&amp;ROW()),minfo!$A:$M,COLUMN()-8,0),"")</f>
        <v>https://i0.hdslb.com/bfs/station_src/music_metadata/49ccfc42e86b16d9cec7afd042db1e65.txt</v>
      </c>
      <c r="Q1104" s="4">
        <f ca="1">_xlfn.IFNA(VLOOKUP(INDIRECT("G"&amp;ROW()),minfo!$A:$M,COLUMN()-8,0),"")</f>
        <v>13</v>
      </c>
      <c r="R1104" s="4">
        <f ca="1">_xlfn.IFNA(VLOOKUP(INDIRECT("G"&amp;ROW()),minfo!$A:$M,COLUMN()-8,0),"")</f>
        <v>0</v>
      </c>
      <c r="S1104" s="4" t="str">
        <f ca="1">_xlfn.IFNA(VLOOKUP(INDIRECT("G"&amp;ROW()),minfo!$A:$M,COLUMN()-8,0),"")</f>
        <v>2022热歌合集</v>
      </c>
      <c r="T1104" s="4">
        <f ca="1">_xlfn.IFNA(VLOOKUP(INDIRECT("G"&amp;ROW()),minfo!$A:$M,COLUMN()-8,0),"")</f>
        <v>11489762</v>
      </c>
      <c r="U1104" s="4">
        <f ca="1">_xlfn.IFNA(VLOOKUP(INDIRECT("G"&amp;ROW()),minfo!$A:$M,COLUMN()-8,0),"")</f>
        <v>0</v>
      </c>
    </row>
    <row r="1105" spans="1:21" ht="15.75" customHeight="1">
      <c r="A1105" s="15">
        <v>1104</v>
      </c>
      <c r="B1105" s="4" t="s">
        <v>4712</v>
      </c>
      <c r="C1105" s="4">
        <v>1105</v>
      </c>
      <c r="D1105" s="4">
        <v>119</v>
      </c>
      <c r="E1105" s="4" t="s">
        <v>540</v>
      </c>
      <c r="F1105" s="16">
        <v>44720</v>
      </c>
      <c r="G1105" s="5" t="s">
        <v>539</v>
      </c>
      <c r="H1105" s="5" t="s">
        <v>4585</v>
      </c>
      <c r="I1105" s="24" t="str">
        <f>HYPERLINK("https://www.bilibili.com/video/BV1o3411T7Yn?p=119", "BV1o3411T7Yn?p=119")</f>
        <v>BV1o3411T7Yn?p=119</v>
      </c>
      <c r="J1105" s="4" t="str">
        <f ca="1">_xlfn.IFNA(VLOOKUP(INDIRECT("G"&amp;ROW()),minfo!$A:$M,COLUMN()-8,0),"")</f>
        <v>如果你也听说</v>
      </c>
      <c r="K1105" s="4" t="str">
        <f ca="1">_xlfn.IFNA(VLOOKUP(INDIRECT("G"&amp;ROW()),minfo!$A:$M,COLUMN()-8,0),"")</f>
        <v>张惠妹</v>
      </c>
      <c r="L1105" s="4">
        <f ca="1">_xlfn.IFNA(VLOOKUP(INDIRECT("G"&amp;ROW()),minfo!$A:$M,COLUMN()-8,0),"")</f>
        <v>0</v>
      </c>
      <c r="M1105" s="4">
        <f ca="1">_xlfn.IFNA(VLOOKUP(INDIRECT("G"&amp;ROW()),minfo!$A:$M,COLUMN()-8,0),"")</f>
        <v>0</v>
      </c>
      <c r="N1105" s="4">
        <f ca="1">_xlfn.IFNA(VLOOKUP(INDIRECT("G"&amp;ROW()),minfo!$A:$M,COLUMN()-8,0),"")</f>
        <v>0</v>
      </c>
      <c r="O1105" s="4" t="str">
        <f ca="1">_xlfn.IFNA(VLOOKUP(INDIRECT("G"&amp;ROW()),minfo!$A:$M,COLUMN()-8,0),"")</f>
        <v>https://i0.hdslb.com/bfs/station_src/music_metadata/817afa2e773e7b58be0aa81357a6d3ba.jpg</v>
      </c>
      <c r="P1105" s="4" t="str">
        <f ca="1">_xlfn.IFNA(VLOOKUP(INDIRECT("G"&amp;ROW()),minfo!$A:$M,COLUMN()-8,0),"")</f>
        <v>http://i0.hdslb.com/bfs/station_src/music_metadata/bf62c79e96e7ed1fd3cc328229e1279c</v>
      </c>
      <c r="Q1105" s="4">
        <f ca="1">_xlfn.IFNA(VLOOKUP(INDIRECT("G"&amp;ROW()),minfo!$A:$M,COLUMN()-8,0),"")</f>
        <v>131</v>
      </c>
      <c r="R1105" s="4">
        <f ca="1">_xlfn.IFNA(VLOOKUP(INDIRECT("G"&amp;ROW()),minfo!$A:$M,COLUMN()-8,0),"")</f>
        <v>0</v>
      </c>
      <c r="S1105" s="4" t="str">
        <f ca="1">_xlfn.IFNA(VLOOKUP(INDIRECT("G"&amp;ROW()),minfo!$A:$M,COLUMN()-8,0),"")</f>
        <v>我最亲爱的张惠妹 - 给自己的精选（2015 Edition）</v>
      </c>
      <c r="T1105" s="4">
        <f ca="1">_xlfn.IFNA(VLOOKUP(INDIRECT("G"&amp;ROW()),minfo!$A:$M,COLUMN()-8,0),"")</f>
        <v>70228527</v>
      </c>
      <c r="U1105" s="4">
        <f ca="1">_xlfn.IFNA(VLOOKUP(INDIRECT("G"&amp;ROW()),minfo!$A:$M,COLUMN()-8,0),"")</f>
        <v>0</v>
      </c>
    </row>
    <row r="1106" spans="1:21" ht="15.75" customHeight="1">
      <c r="A1106" s="15">
        <v>1105</v>
      </c>
      <c r="B1106" s="4" t="s">
        <v>4713</v>
      </c>
      <c r="C1106" s="4">
        <v>1106</v>
      </c>
      <c r="D1106" s="4">
        <v>120</v>
      </c>
      <c r="E1106" s="4" t="s">
        <v>1984</v>
      </c>
      <c r="F1106" s="16">
        <v>44720</v>
      </c>
      <c r="G1106" s="5" t="s">
        <v>1983</v>
      </c>
      <c r="H1106" s="5" t="s">
        <v>4585</v>
      </c>
      <c r="I1106" s="24" t="str">
        <f>HYPERLINK("https://www.bilibili.com/video/BV1o3411T7Yn?p=120", "BV1o3411T7Yn?p=120")</f>
        <v>BV1o3411T7Yn?p=120</v>
      </c>
      <c r="J1106" s="4" t="str">
        <f ca="1">_xlfn.IFNA(VLOOKUP(INDIRECT("G"&amp;ROW()),minfo!$A:$M,COLUMN()-8,0),"")</f>
        <v>剪爱</v>
      </c>
      <c r="K1106" s="4" t="str">
        <f ca="1">_xlfn.IFNA(VLOOKUP(INDIRECT("G"&amp;ROW()),minfo!$A:$M,COLUMN()-8,0),"")</f>
        <v>张惠妹</v>
      </c>
      <c r="L1106" s="4">
        <f ca="1">_xlfn.IFNA(VLOOKUP(INDIRECT("G"&amp;ROW()),minfo!$A:$M,COLUMN()-8,0),"")</f>
        <v>0</v>
      </c>
      <c r="M1106" s="4">
        <f ca="1">_xlfn.IFNA(VLOOKUP(INDIRECT("G"&amp;ROW()),minfo!$A:$M,COLUMN()-8,0),"")</f>
        <v>265</v>
      </c>
      <c r="N1106" s="4">
        <f ca="1">_xlfn.IFNA(VLOOKUP(INDIRECT("G"&amp;ROW()),minfo!$A:$M,COLUMN()-8,0),"")</f>
        <v>125</v>
      </c>
      <c r="O1106" s="4" t="str">
        <f ca="1">_xlfn.IFNA(VLOOKUP(INDIRECT("G"&amp;ROW()),minfo!$A:$M,COLUMN()-8,0),"")</f>
        <v>https://i0.hdslb.com/bfs/station_src/music_metadata/0455564807274799fc4f1ec547b0fe98.jpg</v>
      </c>
      <c r="P1106" s="4" t="str">
        <f ca="1">_xlfn.IFNA(VLOOKUP(INDIRECT("G"&amp;ROW()),minfo!$A:$M,COLUMN()-8,0),"")</f>
        <v>http://i0.hdslb.com/bfs/station_src/music_metadata/3ef009855510cde5cdafdf7e45cebebf</v>
      </c>
      <c r="Q1106" s="4">
        <f ca="1">_xlfn.IFNA(VLOOKUP(INDIRECT("G"&amp;ROW()),minfo!$A:$M,COLUMN()-8,0),"")</f>
        <v>11</v>
      </c>
      <c r="R1106" s="4">
        <f ca="1">_xlfn.IFNA(VLOOKUP(INDIRECT("G"&amp;ROW()),minfo!$A:$M,COLUMN()-8,0),"")</f>
        <v>0</v>
      </c>
      <c r="S1106" s="4" t="str">
        <f ca="1">_xlfn.IFNA(VLOOKUP(INDIRECT("G"&amp;ROW()),minfo!$A:$M,COLUMN()-8,0),"")</f>
        <v>1996-2002妹力最精选</v>
      </c>
      <c r="T1106" s="4">
        <f ca="1">_xlfn.IFNA(VLOOKUP(INDIRECT("G"&amp;ROW()),minfo!$A:$M,COLUMN()-8,0),"")</f>
        <v>10218385</v>
      </c>
      <c r="U1106" s="4">
        <f ca="1">_xlfn.IFNA(VLOOKUP(INDIRECT("G"&amp;ROW()),minfo!$A:$M,COLUMN()-8,0),"")</f>
        <v>0</v>
      </c>
    </row>
    <row r="1107" spans="1:21" ht="15.75" customHeight="1">
      <c r="A1107" s="15">
        <v>1106</v>
      </c>
      <c r="B1107" s="4" t="s">
        <v>4714</v>
      </c>
      <c r="C1107" s="4">
        <v>1107</v>
      </c>
      <c r="D1107" s="4">
        <v>121</v>
      </c>
      <c r="E1107" s="4" t="s">
        <v>295</v>
      </c>
      <c r="F1107" s="16">
        <v>44720</v>
      </c>
      <c r="G1107" s="5" t="s">
        <v>294</v>
      </c>
      <c r="H1107" s="5" t="s">
        <v>4585</v>
      </c>
      <c r="I1107" s="24" t="str">
        <f>HYPERLINK("https://www.bilibili.com/video/BV1o3411T7Yn?p=121", "BV1o3411T7Yn?p=121")</f>
        <v>BV1o3411T7Yn?p=121</v>
      </c>
      <c r="J1107" s="4" t="str">
        <f ca="1">_xlfn.IFNA(VLOOKUP(INDIRECT("G"&amp;ROW()),minfo!$A:$M,COLUMN()-8,0),"")</f>
        <v>不能说的秘密</v>
      </c>
      <c r="K1107" s="4" t="str">
        <f ca="1">_xlfn.IFNA(VLOOKUP(INDIRECT("G"&amp;ROW()),minfo!$A:$M,COLUMN()-8,0),"")</f>
        <v>周杰伦</v>
      </c>
      <c r="L1107" s="4">
        <f ca="1">_xlfn.IFNA(VLOOKUP(INDIRECT("G"&amp;ROW()),minfo!$A:$M,COLUMN()-8,0),"")</f>
        <v>0</v>
      </c>
      <c r="M1107" s="4">
        <f ca="1">_xlfn.IFNA(VLOOKUP(INDIRECT("G"&amp;ROW()),minfo!$A:$M,COLUMN()-8,0),"")</f>
        <v>10838</v>
      </c>
      <c r="N1107" s="4">
        <f ca="1">_xlfn.IFNA(VLOOKUP(INDIRECT("G"&amp;ROW()),minfo!$A:$M,COLUMN()-8,0),"")</f>
        <v>384</v>
      </c>
      <c r="O1107" s="4" t="str">
        <f ca="1">_xlfn.IFNA(VLOOKUP(INDIRECT("G"&amp;ROW()),minfo!$A:$M,COLUMN()-8,0),"")</f>
        <v>https://i0.hdslb.com/bfs/station_src/music_metadata/c30e3ade8fa2d678a4fc3f717036ab49.jpg</v>
      </c>
      <c r="P1107" s="4" t="str">
        <f ca="1">_xlfn.IFNA(VLOOKUP(INDIRECT("G"&amp;ROW()),minfo!$A:$M,COLUMN()-8,0),"")</f>
        <v>http://i0.hdslb.com/bfs/station_src/music_metadata/b68ac496d2ba38e3bf8908441abecf91</v>
      </c>
      <c r="Q1107" s="4">
        <f ca="1">_xlfn.IFNA(VLOOKUP(INDIRECT("G"&amp;ROW()),minfo!$A:$M,COLUMN()-8,0),"")</f>
        <v>2938</v>
      </c>
      <c r="R1107" s="4" t="str">
        <f ca="1">_xlfn.IFNA(VLOOKUP(INDIRECT("G"&amp;ROW()),minfo!$A:$M,COLUMN()-8,0),"")</f>
        <v>《不能说的秘密》电影主题曲</v>
      </c>
      <c r="S1107" s="4" t="str">
        <f ca="1">_xlfn.IFNA(VLOOKUP(INDIRECT("G"&amp;ROW()),minfo!$A:$M,COLUMN()-8,0),"")</f>
        <v>不能说的秘密 电影原声带</v>
      </c>
      <c r="T1107" s="4">
        <f ca="1">_xlfn.IFNA(VLOOKUP(INDIRECT("G"&amp;ROW()),minfo!$A:$M,COLUMN()-8,0),"")</f>
        <v>525140241</v>
      </c>
      <c r="U1107" s="4">
        <f ca="1">_xlfn.IFNA(VLOOKUP(INDIRECT("G"&amp;ROW()),minfo!$A:$M,COLUMN()-8,0),"")</f>
        <v>0</v>
      </c>
    </row>
    <row r="1108" spans="1:21" ht="15.75" customHeight="1">
      <c r="A1108" s="15">
        <v>1107</v>
      </c>
      <c r="B1108" s="4" t="s">
        <v>4715</v>
      </c>
      <c r="C1108" s="4">
        <v>1108</v>
      </c>
      <c r="D1108" s="4">
        <v>122</v>
      </c>
      <c r="E1108" s="4" t="s">
        <v>2454</v>
      </c>
      <c r="F1108" s="16">
        <v>44722</v>
      </c>
      <c r="G1108" s="5" t="s">
        <v>2453</v>
      </c>
      <c r="H1108" s="5" t="s">
        <v>4585</v>
      </c>
      <c r="I1108" s="24" t="str">
        <f>HYPERLINK("https://www.bilibili.com/video/BV1o3411T7Yn?p=122", "BV1o3411T7Yn?p=122")</f>
        <v>BV1o3411T7Yn?p=122</v>
      </c>
      <c r="J1108" s="4" t="str">
        <f ca="1">_xlfn.IFNA(VLOOKUP(INDIRECT("G"&amp;ROW()),minfo!$A:$M,COLUMN()-8,0),"")</f>
        <v>一直很安静</v>
      </c>
      <c r="K1108" s="4" t="str">
        <f ca="1">_xlfn.IFNA(VLOOKUP(INDIRECT("G"&amp;ROW()),minfo!$A:$M,COLUMN()-8,0),"")</f>
        <v>阿桑</v>
      </c>
      <c r="L1108" s="4">
        <f ca="1">_xlfn.IFNA(VLOOKUP(INDIRECT("G"&amp;ROW()),minfo!$A:$M,COLUMN()-8,0),"")</f>
        <v>0</v>
      </c>
      <c r="M1108" s="4">
        <f ca="1">_xlfn.IFNA(VLOOKUP(INDIRECT("G"&amp;ROW()),minfo!$A:$M,COLUMN()-8,0),"")</f>
        <v>0</v>
      </c>
      <c r="N1108" s="4">
        <f ca="1">_xlfn.IFNA(VLOOKUP(INDIRECT("G"&amp;ROW()),minfo!$A:$M,COLUMN()-8,0),"")</f>
        <v>0</v>
      </c>
      <c r="O1108" s="4" t="str">
        <f ca="1">_xlfn.IFNA(VLOOKUP(INDIRECT("G"&amp;ROW()),minfo!$A:$M,COLUMN()-8,0),"")</f>
        <v>https://i0.hdslb.com/bfs/station_src/music_metadata/780f73bfe8e1f7765464ee0a0a0eed27.jpg</v>
      </c>
      <c r="P1108" s="4" t="str">
        <f ca="1">_xlfn.IFNA(VLOOKUP(INDIRECT("G"&amp;ROW()),minfo!$A:$M,COLUMN()-8,0),"")</f>
        <v>http://i0.hdslb.com/bfs/station_src/music_metadata/0b3803c82eb4614b0b75b15d12c28dcf</v>
      </c>
      <c r="Q1108" s="4">
        <f ca="1">_xlfn.IFNA(VLOOKUP(INDIRECT("G"&amp;ROW()),minfo!$A:$M,COLUMN()-8,0),"")</f>
        <v>3245</v>
      </c>
      <c r="R1108" s="4" t="str">
        <f ca="1">_xlfn.IFNA(VLOOKUP(INDIRECT("G"&amp;ROW()),minfo!$A:$M,COLUMN()-8,0),"")</f>
        <v>《仙剑奇侠传》插曲</v>
      </c>
      <c r="S1108" s="4" t="str">
        <f ca="1">_xlfn.IFNA(VLOOKUP(INDIRECT("G"&amp;ROW()),minfo!$A:$M,COLUMN()-8,0),"")</f>
        <v>仙剑奇侠传 电视剧原声带</v>
      </c>
      <c r="T1108" s="4">
        <f ca="1">_xlfn.IFNA(VLOOKUP(INDIRECT("G"&amp;ROW()),minfo!$A:$M,COLUMN()-8,0),"")</f>
        <v>517144129</v>
      </c>
      <c r="U1108" s="4" t="str">
        <f ca="1">_xlfn.IFNA(VLOOKUP(INDIRECT("G"&amp;ROW()),minfo!$A:$M,COLUMN()-8,0),"")</f>
        <v>音乐榜最高NO.9</v>
      </c>
    </row>
    <row r="1109" spans="1:21" ht="15.75" customHeight="1">
      <c r="A1109" s="15">
        <v>1108</v>
      </c>
      <c r="B1109" s="4" t="s">
        <v>4716</v>
      </c>
      <c r="C1109" s="4">
        <v>1109</v>
      </c>
      <c r="D1109" s="4">
        <v>123</v>
      </c>
      <c r="E1109" s="4" t="s">
        <v>1877</v>
      </c>
      <c r="F1109" s="16">
        <v>44722</v>
      </c>
      <c r="G1109" s="5" t="s">
        <v>1876</v>
      </c>
      <c r="H1109" s="5" t="s">
        <v>4585</v>
      </c>
      <c r="I1109" s="24" t="str">
        <f>HYPERLINK("https://www.bilibili.com/video/BV1o3411T7Yn?p=123", "BV1o3411T7Yn?p=123")</f>
        <v>BV1o3411T7Yn?p=123</v>
      </c>
      <c r="J1109" s="4" t="str">
        <f ca="1">_xlfn.IFNA(VLOOKUP(INDIRECT("G"&amp;ROW()),minfo!$A:$M,COLUMN()-8,0),"")</f>
        <v>一眼万年</v>
      </c>
      <c r="K1109" s="4" t="str">
        <f ca="1">_xlfn.IFNA(VLOOKUP(INDIRECT("G"&amp;ROW()),minfo!$A:$M,COLUMN()-8,0),"")</f>
        <v>S.H.E</v>
      </c>
      <c r="L1109" s="4">
        <f ca="1">_xlfn.IFNA(VLOOKUP(INDIRECT("G"&amp;ROW()),minfo!$A:$M,COLUMN()-8,0),"")</f>
        <v>0</v>
      </c>
      <c r="M1109" s="4">
        <f ca="1">_xlfn.IFNA(VLOOKUP(INDIRECT("G"&amp;ROW()),minfo!$A:$M,COLUMN()-8,0),"")</f>
        <v>0</v>
      </c>
      <c r="N1109" s="4">
        <f ca="1">_xlfn.IFNA(VLOOKUP(INDIRECT("G"&amp;ROW()),minfo!$A:$M,COLUMN()-8,0),"")</f>
        <v>0</v>
      </c>
      <c r="O1109" s="4" t="str">
        <f ca="1">_xlfn.IFNA(VLOOKUP(INDIRECT("G"&amp;ROW()),minfo!$A:$M,COLUMN()-8,0),"")</f>
        <v>https://i0.hdslb.com/bfs/station_src/music_metadata/e32032e73f63aa42f29c66c4be19432f.jpg</v>
      </c>
      <c r="P1109" s="4" t="str">
        <f ca="1">_xlfn.IFNA(VLOOKUP(INDIRECT("G"&amp;ROW()),minfo!$A:$M,COLUMN()-8,0),"")</f>
        <v>http://i0.hdslb.com/bfs/station_src/music_metadata/44c2cf57860f634a98364c10cf9b54f8</v>
      </c>
      <c r="Q1109" s="4">
        <f ca="1">_xlfn.IFNA(VLOOKUP(INDIRECT("G"&amp;ROW()),minfo!$A:$M,COLUMN()-8,0),"")</f>
        <v>149</v>
      </c>
      <c r="R1109" s="4">
        <f ca="1">_xlfn.IFNA(VLOOKUP(INDIRECT("G"&amp;ROW()),minfo!$A:$M,COLUMN()-8,0),"")</f>
        <v>0</v>
      </c>
      <c r="S1109" s="4" t="str">
        <f ca="1">_xlfn.IFNA(VLOOKUP(INDIRECT("G"&amp;ROW()),minfo!$A:$M,COLUMN()-8,0),"")</f>
        <v>Forever 新歌+精选</v>
      </c>
      <c r="T1109" s="4">
        <f ca="1">_xlfn.IFNA(VLOOKUP(INDIRECT("G"&amp;ROW()),minfo!$A:$M,COLUMN()-8,0),"")</f>
        <v>98709892</v>
      </c>
      <c r="U1109" s="4">
        <f ca="1">_xlfn.IFNA(VLOOKUP(INDIRECT("G"&amp;ROW()),minfo!$A:$M,COLUMN()-8,0),"")</f>
        <v>0</v>
      </c>
    </row>
    <row r="1110" spans="1:21" ht="15.75" customHeight="1">
      <c r="A1110" s="15">
        <v>1109</v>
      </c>
      <c r="B1110" s="4" t="s">
        <v>4717</v>
      </c>
      <c r="C1110" s="4">
        <v>1110</v>
      </c>
      <c r="D1110" s="4">
        <v>124</v>
      </c>
      <c r="E1110" s="4" t="s">
        <v>2072</v>
      </c>
      <c r="F1110" s="16">
        <v>44722</v>
      </c>
      <c r="G1110" s="5" t="s">
        <v>2071</v>
      </c>
      <c r="H1110" s="5" t="s">
        <v>4585</v>
      </c>
      <c r="I1110" s="24" t="str">
        <f>HYPERLINK("https://www.bilibili.com/video/BV1o3411T7Yn?p=124", "BV1o3411T7Yn?p=124")</f>
        <v>BV1o3411T7Yn?p=124</v>
      </c>
      <c r="J1110" s="4" t="str">
        <f ca="1">_xlfn.IFNA(VLOOKUP(INDIRECT("G"&amp;ROW()),minfo!$A:$M,COLUMN()-8,0),"")</f>
        <v>年轮</v>
      </c>
      <c r="K1110" s="4" t="str">
        <f ca="1">_xlfn.IFNA(VLOOKUP(INDIRECT("G"&amp;ROW()),minfo!$A:$M,COLUMN()-8,0),"")</f>
        <v>张碧晨</v>
      </c>
      <c r="L1110" s="4">
        <f ca="1">_xlfn.IFNA(VLOOKUP(INDIRECT("G"&amp;ROW()),minfo!$A:$M,COLUMN()-8,0),"")</f>
        <v>0</v>
      </c>
      <c r="M1110" s="4">
        <f ca="1">_xlfn.IFNA(VLOOKUP(INDIRECT("G"&amp;ROW()),minfo!$A:$M,COLUMN()-8,0),"")</f>
        <v>0</v>
      </c>
      <c r="N1110" s="4">
        <f ca="1">_xlfn.IFNA(VLOOKUP(INDIRECT("G"&amp;ROW()),minfo!$A:$M,COLUMN()-8,0),"")</f>
        <v>0</v>
      </c>
      <c r="O1110" s="4" t="str">
        <f ca="1">_xlfn.IFNA(VLOOKUP(INDIRECT("G"&amp;ROW()),minfo!$A:$M,COLUMN()-8,0),"")</f>
        <v>http://i0.hdslb.com/bfs/station_src/music_metadata/f4b95f7e59a319ac109088bc214ff891.jpg</v>
      </c>
      <c r="P1110" s="4" t="str">
        <f ca="1">_xlfn.IFNA(VLOOKUP(INDIRECT("G"&amp;ROW()),minfo!$A:$M,COLUMN()-8,0),"")</f>
        <v>https://i0.hdslb.com/bfs/station_src/music_metadata/e89db32904a194caab0c8b0b5dcd95b6.txt</v>
      </c>
      <c r="Q1110" s="4">
        <f ca="1">_xlfn.IFNA(VLOOKUP(INDIRECT("G"&amp;ROW()),minfo!$A:$M,COLUMN()-8,0),"")</f>
        <v>1908</v>
      </c>
      <c r="R1110" s="4">
        <f ca="1">_xlfn.IFNA(VLOOKUP(INDIRECT("G"&amp;ROW()),minfo!$A:$M,COLUMN()-8,0),"")</f>
        <v>0</v>
      </c>
      <c r="S1110" s="4" t="str">
        <f ca="1">_xlfn.IFNA(VLOOKUP(INDIRECT("G"&amp;ROW()),minfo!$A:$M,COLUMN()-8,0),"")</f>
        <v>花千骨 电视剧原声带</v>
      </c>
      <c r="T1110" s="4">
        <f ca="1">_xlfn.IFNA(VLOOKUP(INDIRECT("G"&amp;ROW()),minfo!$A:$M,COLUMN()-8,0),"")</f>
        <v>346099555</v>
      </c>
      <c r="U1110" s="4">
        <f ca="1">_xlfn.IFNA(VLOOKUP(INDIRECT("G"&amp;ROW()),minfo!$A:$M,COLUMN()-8,0),"")</f>
        <v>0</v>
      </c>
    </row>
    <row r="1111" spans="1:21" ht="15.75" customHeight="1">
      <c r="A1111" s="15">
        <v>1110</v>
      </c>
      <c r="B1111" s="4" t="s">
        <v>4718</v>
      </c>
      <c r="C1111" s="4">
        <v>1111</v>
      </c>
      <c r="D1111" s="4">
        <v>125</v>
      </c>
      <c r="E1111" s="4" t="s">
        <v>2460</v>
      </c>
      <c r="F1111" s="16">
        <v>44722</v>
      </c>
      <c r="G1111" s="5" t="s">
        <v>2459</v>
      </c>
      <c r="H1111" s="5" t="s">
        <v>4585</v>
      </c>
      <c r="I1111" s="24" t="str">
        <f>HYPERLINK("https://www.bilibili.com/video/BV1o3411T7Yn?p=125", "BV1o3411T7Yn?p=125")</f>
        <v>BV1o3411T7Yn?p=125</v>
      </c>
      <c r="J1111" s="4" t="str">
        <f ca="1">_xlfn.IFNA(VLOOKUP(INDIRECT("G"&amp;ROW()),minfo!$A:$M,COLUMN()-8,0),"")</f>
        <v>杀破狼</v>
      </c>
      <c r="K1111" s="4" t="str">
        <f ca="1">_xlfn.IFNA(VLOOKUP(INDIRECT("G"&amp;ROW()),minfo!$A:$M,COLUMN()-8,0),"")</f>
        <v>JS</v>
      </c>
      <c r="L1111" s="4">
        <f ca="1">_xlfn.IFNA(VLOOKUP(INDIRECT("G"&amp;ROW()),minfo!$A:$M,COLUMN()-8,0),"")</f>
        <v>0</v>
      </c>
      <c r="M1111" s="4">
        <f ca="1">_xlfn.IFNA(VLOOKUP(INDIRECT("G"&amp;ROW()),minfo!$A:$M,COLUMN()-8,0),"")</f>
        <v>0</v>
      </c>
      <c r="N1111" s="4">
        <f ca="1">_xlfn.IFNA(VLOOKUP(INDIRECT("G"&amp;ROW()),minfo!$A:$M,COLUMN()-8,0),"")</f>
        <v>0</v>
      </c>
      <c r="O1111" s="4" t="str">
        <f ca="1">_xlfn.IFNA(VLOOKUP(INDIRECT("G"&amp;ROW()),minfo!$A:$M,COLUMN()-8,0),"")</f>
        <v>https://i0.hdslb.com/bfs/station_src/music_metadata/009a08789c65c25d3ce5778799f03f07.jpg</v>
      </c>
      <c r="P1111" s="4">
        <f ca="1">_xlfn.IFNA(VLOOKUP(INDIRECT("G"&amp;ROW()),minfo!$A:$M,COLUMN()-8,0),"")</f>
        <v>0</v>
      </c>
      <c r="Q1111" s="4">
        <f ca="1">_xlfn.IFNA(VLOOKUP(INDIRECT("G"&amp;ROW()),minfo!$A:$M,COLUMN()-8,0),"")</f>
        <v>22</v>
      </c>
      <c r="R1111" s="4" t="str">
        <f ca="1">_xlfn.IFNA(VLOOKUP(INDIRECT("G"&amp;ROW()),minfo!$A:$M,COLUMN()-8,0),"")</f>
        <v>《仙剑奇侠传》插曲</v>
      </c>
      <c r="S1111" s="4" t="str">
        <f ca="1">_xlfn.IFNA(VLOOKUP(INDIRECT("G"&amp;ROW()),minfo!$A:$M,COLUMN()-8,0),"")</f>
        <v>2020最美的夜 bilibili晚会</v>
      </c>
      <c r="T1111" s="4">
        <f ca="1">_xlfn.IFNA(VLOOKUP(INDIRECT("G"&amp;ROW()),minfo!$A:$M,COLUMN()-8,0),"")</f>
        <v>4684725</v>
      </c>
      <c r="U1111" s="4">
        <f ca="1">_xlfn.IFNA(VLOOKUP(INDIRECT("G"&amp;ROW()),minfo!$A:$M,COLUMN()-8,0),"")</f>
        <v>0</v>
      </c>
    </row>
    <row r="1112" spans="1:21" ht="15.75" customHeight="1">
      <c r="A1112" s="15">
        <v>1111</v>
      </c>
      <c r="B1112" s="4" t="s">
        <v>4719</v>
      </c>
      <c r="C1112" s="4">
        <v>1112</v>
      </c>
      <c r="D1112" s="4">
        <v>126</v>
      </c>
      <c r="E1112" s="4" t="s">
        <v>2464</v>
      </c>
      <c r="F1112" s="16">
        <v>44722</v>
      </c>
      <c r="G1112" s="5" t="s">
        <v>2463</v>
      </c>
      <c r="H1112" s="5" t="s">
        <v>4585</v>
      </c>
      <c r="I1112" s="24" t="str">
        <f>HYPERLINK("https://www.bilibili.com/video/BV1o3411T7Yn?p=126", "BV1o3411T7Yn?p=126")</f>
        <v>BV1o3411T7Yn?p=126</v>
      </c>
      <c r="J1112" s="4" t="str">
        <f ca="1">_xlfn.IFNA(VLOOKUP(INDIRECT("G"&amp;ROW()),minfo!$A:$M,COLUMN()-8,0),"")</f>
        <v>忘记时间</v>
      </c>
      <c r="K1112" s="4" t="str">
        <f ca="1">_xlfn.IFNA(VLOOKUP(INDIRECT("G"&amp;ROW()),minfo!$A:$M,COLUMN()-8,0),"")</f>
        <v>胡歌</v>
      </c>
      <c r="L1112" s="4">
        <f ca="1">_xlfn.IFNA(VLOOKUP(INDIRECT("G"&amp;ROW()),minfo!$A:$M,COLUMN()-8,0),"")</f>
        <v>0</v>
      </c>
      <c r="M1112" s="4">
        <f ca="1">_xlfn.IFNA(VLOOKUP(INDIRECT("G"&amp;ROW()),minfo!$A:$M,COLUMN()-8,0),"")</f>
        <v>0</v>
      </c>
      <c r="N1112" s="4">
        <f ca="1">_xlfn.IFNA(VLOOKUP(INDIRECT("G"&amp;ROW()),minfo!$A:$M,COLUMN()-8,0),"")</f>
        <v>0</v>
      </c>
      <c r="O1112" s="4" t="str">
        <f ca="1">_xlfn.IFNA(VLOOKUP(INDIRECT("G"&amp;ROW()),minfo!$A:$M,COLUMN()-8,0),"")</f>
        <v>https://i0.hdslb.com/bfs/station_src/music_metadata/febf21bd6bb636f1f63af25ab6e476c9.jpg</v>
      </c>
      <c r="P1112" s="4" t="str">
        <f ca="1">_xlfn.IFNA(VLOOKUP(INDIRECT("G"&amp;ROW()),minfo!$A:$M,COLUMN()-8,0),"")</f>
        <v>http://i0.hdslb.com/bfs/station_src/music_metadata/ec8cb794762ba983775b0a929f8719a6</v>
      </c>
      <c r="Q1112" s="4">
        <f ca="1">_xlfn.IFNA(VLOOKUP(INDIRECT("G"&amp;ROW()),minfo!$A:$M,COLUMN()-8,0),"")</f>
        <v>2568</v>
      </c>
      <c r="R1112" s="4" t="str">
        <f ca="1">_xlfn.IFNA(VLOOKUP(INDIRECT("G"&amp;ROW()),minfo!$A:$M,COLUMN()-8,0),"")</f>
        <v>《仙剑奇侠传3》电视剧片尾曲</v>
      </c>
      <c r="S1112" s="4" t="str">
        <f ca="1">_xlfn.IFNA(VLOOKUP(INDIRECT("G"&amp;ROW()),minfo!$A:$M,COLUMN()-8,0),"")</f>
        <v>仙剑奇侠传三 电视剧原声带</v>
      </c>
      <c r="T1112" s="4">
        <f ca="1">_xlfn.IFNA(VLOOKUP(INDIRECT("G"&amp;ROW()),minfo!$A:$M,COLUMN()-8,0),"")</f>
        <v>490983954</v>
      </c>
      <c r="U1112" s="4">
        <f ca="1">_xlfn.IFNA(VLOOKUP(INDIRECT("G"&amp;ROW()),minfo!$A:$M,COLUMN()-8,0),"")</f>
        <v>0</v>
      </c>
    </row>
    <row r="1113" spans="1:21" ht="15.75" customHeight="1">
      <c r="A1113" s="15">
        <v>1112</v>
      </c>
      <c r="B1113" s="4" t="s">
        <v>4720</v>
      </c>
      <c r="C1113" s="4">
        <v>1113</v>
      </c>
      <c r="D1113" s="4">
        <v>127</v>
      </c>
      <c r="E1113" s="4" t="s">
        <v>2471</v>
      </c>
      <c r="F1113" s="16">
        <v>44722</v>
      </c>
      <c r="G1113" s="5" t="s">
        <v>2470</v>
      </c>
      <c r="H1113" s="5" t="s">
        <v>4585</v>
      </c>
      <c r="I1113" s="24" t="str">
        <f>HYPERLINK("https://www.bilibili.com/video/BV1o3411T7Yn?p=127", "BV1o3411T7Yn?p=127")</f>
        <v>BV1o3411T7Yn?p=127</v>
      </c>
      <c r="J1113" s="4" t="str">
        <f ca="1">_xlfn.IFNA(VLOOKUP(INDIRECT("G"&amp;ROW()),minfo!$A:$M,COLUMN()-8,0),"")</f>
        <v>偏爱</v>
      </c>
      <c r="K1113" s="4" t="str">
        <f ca="1">_xlfn.IFNA(VLOOKUP(INDIRECT("G"&amp;ROW()),minfo!$A:$M,COLUMN()-8,0),"")</f>
        <v>张芸京</v>
      </c>
      <c r="L1113" s="4">
        <f ca="1">_xlfn.IFNA(VLOOKUP(INDIRECT("G"&amp;ROW()),minfo!$A:$M,COLUMN()-8,0),"")</f>
        <v>0</v>
      </c>
      <c r="M1113" s="4">
        <f ca="1">_xlfn.IFNA(VLOOKUP(INDIRECT("G"&amp;ROW()),minfo!$A:$M,COLUMN()-8,0),"")</f>
        <v>0</v>
      </c>
      <c r="N1113" s="4">
        <f ca="1">_xlfn.IFNA(VLOOKUP(INDIRECT("G"&amp;ROW()),minfo!$A:$M,COLUMN()-8,0),"")</f>
        <v>0</v>
      </c>
      <c r="O1113" s="4" t="str">
        <f ca="1">_xlfn.IFNA(VLOOKUP(INDIRECT("G"&amp;ROW()),minfo!$A:$M,COLUMN()-8,0),"")</f>
        <v>http://i0.hdslb.com/bfs/station_src/music_metadata/2815f03df7c5c046b47f16091ae806d5.jpg</v>
      </c>
      <c r="P1113" s="4" t="str">
        <f ca="1">_xlfn.IFNA(VLOOKUP(INDIRECT("G"&amp;ROW()),minfo!$A:$M,COLUMN()-8,0),"")</f>
        <v>http://i0.hdslb.com/bfs/station_src/music_metadata/903ebc0a72b9bc980a12e91a939c9048</v>
      </c>
      <c r="Q1113" s="4">
        <f ca="1">_xlfn.IFNA(VLOOKUP(INDIRECT("G"&amp;ROW()),minfo!$A:$M,COLUMN()-8,0),"")</f>
        <v>2791</v>
      </c>
      <c r="R1113" s="4" t="str">
        <f ca="1">_xlfn.IFNA(VLOOKUP(INDIRECT("G"&amp;ROW()),minfo!$A:$M,COLUMN()-8,0),"")</f>
        <v>《仙剑奇侠传3》电视剧插曲</v>
      </c>
      <c r="S1113" s="4" t="str">
        <f ca="1">_xlfn.IFNA(VLOOKUP(INDIRECT("G"&amp;ROW()),minfo!$A:$M,COLUMN()-8,0),"")</f>
        <v>破天荒</v>
      </c>
      <c r="T1113" s="4">
        <f ca="1">_xlfn.IFNA(VLOOKUP(INDIRECT("G"&amp;ROW()),minfo!$A:$M,COLUMN()-8,0),"")</f>
        <v>969443371</v>
      </c>
      <c r="U1113" s="4">
        <f ca="1">_xlfn.IFNA(VLOOKUP(INDIRECT("G"&amp;ROW()),minfo!$A:$M,COLUMN()-8,0),"")</f>
        <v>0</v>
      </c>
    </row>
    <row r="1114" spans="1:21" ht="15.75" customHeight="1">
      <c r="A1114" s="15">
        <v>1113</v>
      </c>
      <c r="B1114" s="4" t="s">
        <v>4721</v>
      </c>
      <c r="C1114" s="4">
        <v>1114</v>
      </c>
      <c r="D1114" s="4">
        <v>128</v>
      </c>
      <c r="E1114" s="4" t="s">
        <v>2478</v>
      </c>
      <c r="F1114" s="16">
        <v>44722</v>
      </c>
      <c r="G1114" s="5" t="s">
        <v>2477</v>
      </c>
      <c r="H1114" s="5" t="s">
        <v>4585</v>
      </c>
      <c r="I1114" s="24" t="str">
        <f>HYPERLINK("https://www.bilibili.com/video/BV1o3411T7Yn?p=128", "BV1o3411T7Yn?p=128")</f>
        <v>BV1o3411T7Yn?p=128</v>
      </c>
      <c r="J1114" s="4" t="str">
        <f ca="1">_xlfn.IFNA(VLOOKUP(INDIRECT("G"&amp;ROW()),minfo!$A:$M,COLUMN()-8,0),"")</f>
        <v>凉凉</v>
      </c>
      <c r="K1114" s="4" t="str">
        <f ca="1">_xlfn.IFNA(VLOOKUP(INDIRECT("G"&amp;ROW()),minfo!$A:$M,COLUMN()-8,0),"")</f>
        <v>杨宗纬,张碧晨</v>
      </c>
      <c r="L1114" s="4">
        <f ca="1">_xlfn.IFNA(VLOOKUP(INDIRECT("G"&amp;ROW()),minfo!$A:$M,COLUMN()-8,0),"")</f>
        <v>0</v>
      </c>
      <c r="M1114" s="4">
        <f ca="1">_xlfn.IFNA(VLOOKUP(INDIRECT("G"&amp;ROW()),minfo!$A:$M,COLUMN()-8,0),"")</f>
        <v>0</v>
      </c>
      <c r="N1114" s="4">
        <f ca="1">_xlfn.IFNA(VLOOKUP(INDIRECT("G"&amp;ROW()),minfo!$A:$M,COLUMN()-8,0),"")</f>
        <v>0</v>
      </c>
      <c r="O1114" s="4" t="str">
        <f ca="1">_xlfn.IFNA(VLOOKUP(INDIRECT("G"&amp;ROW()),minfo!$A:$M,COLUMN()-8,0),"")</f>
        <v>https://i0.hdslb.com/bfs/station_src/music_metadata/3bdb61155be7eaba220856e8e4001ac8.jpg</v>
      </c>
      <c r="P1114" s="4" t="str">
        <f ca="1">_xlfn.IFNA(VLOOKUP(INDIRECT("G"&amp;ROW()),minfo!$A:$M,COLUMN()-8,0),"")</f>
        <v>http://i0.hdslb.com/bfs/station_src/music_metadata/50b70a6a183040e394289fcdb599ba43</v>
      </c>
      <c r="Q1114" s="4">
        <f ca="1">_xlfn.IFNA(VLOOKUP(INDIRECT("G"&amp;ROW()),minfo!$A:$M,COLUMN()-8,0),"")</f>
        <v>656</v>
      </c>
      <c r="R1114" s="4" t="str">
        <f ca="1">_xlfn.IFNA(VLOOKUP(INDIRECT("G"&amp;ROW()),minfo!$A:$M,COLUMN()-8,0),"")</f>
        <v>《三生三世十里桃花》电视剧片尾曲</v>
      </c>
      <c r="S1114" s="4" t="str">
        <f ca="1">_xlfn.IFNA(VLOOKUP(INDIRECT("G"&amp;ROW()),minfo!$A:$M,COLUMN()-8,0),"")</f>
        <v>三生三世十里桃花 电视剧原声专辑</v>
      </c>
      <c r="T1114" s="4">
        <f ca="1">_xlfn.IFNA(VLOOKUP(INDIRECT("G"&amp;ROW()),minfo!$A:$M,COLUMN()-8,0),"")</f>
        <v>366580503</v>
      </c>
      <c r="U1114" s="4">
        <f ca="1">_xlfn.IFNA(VLOOKUP(INDIRECT("G"&amp;ROW()),minfo!$A:$M,COLUMN()-8,0),"")</f>
        <v>0</v>
      </c>
    </row>
    <row r="1115" spans="1:21" ht="15.75" customHeight="1">
      <c r="A1115" s="15">
        <v>1114</v>
      </c>
      <c r="B1115" s="4" t="s">
        <v>4722</v>
      </c>
      <c r="C1115" s="4">
        <v>1115</v>
      </c>
      <c r="D1115" s="4">
        <v>129</v>
      </c>
      <c r="E1115" s="4" t="s">
        <v>2485</v>
      </c>
      <c r="F1115" s="16">
        <v>44722</v>
      </c>
      <c r="G1115" s="5" t="s">
        <v>2484</v>
      </c>
      <c r="H1115" s="5" t="s">
        <v>4585</v>
      </c>
      <c r="I1115" s="24" t="str">
        <f>HYPERLINK("https://www.bilibili.com/video/BV1o3411T7Yn?p=129", "BV1o3411T7Yn?p=129")</f>
        <v>BV1o3411T7Yn?p=129</v>
      </c>
      <c r="J1115" s="4" t="str">
        <f ca="1">_xlfn.IFNA(VLOOKUP(INDIRECT("G"&amp;ROW()),minfo!$A:$M,COLUMN()-8,0),"")</f>
        <v>醉了千古爱</v>
      </c>
      <c r="K1115" s="4" t="str">
        <f ca="1">_xlfn.IFNA(VLOOKUP(INDIRECT("G"&amp;ROW()),minfo!$A:$M,COLUMN()-8,0),"")</f>
        <v>张涛</v>
      </c>
      <c r="L1115" s="4">
        <f ca="1">_xlfn.IFNA(VLOOKUP(INDIRECT("G"&amp;ROW()),minfo!$A:$M,COLUMN()-8,0),"")</f>
        <v>0</v>
      </c>
      <c r="M1115" s="4">
        <f ca="1">_xlfn.IFNA(VLOOKUP(INDIRECT("G"&amp;ROW()),minfo!$A:$M,COLUMN()-8,0),"")</f>
        <v>0</v>
      </c>
      <c r="N1115" s="4">
        <f ca="1">_xlfn.IFNA(VLOOKUP(INDIRECT("G"&amp;ROW()),minfo!$A:$M,COLUMN()-8,0),"")</f>
        <v>0</v>
      </c>
      <c r="O1115" s="4" t="str">
        <f ca="1">_xlfn.IFNA(VLOOKUP(INDIRECT("G"&amp;ROW()),minfo!$A:$M,COLUMN()-8,0),"")</f>
        <v>https://i0.hdslb.com/bfs/station_src/music_metadata/7921e8b462476916d997948ddbb609b9.jpg</v>
      </c>
      <c r="P1115" s="4" t="str">
        <f ca="1">_xlfn.IFNA(VLOOKUP(INDIRECT("G"&amp;ROW()),minfo!$A:$M,COLUMN()-8,0),"")</f>
        <v>https://i0.hdslb.com/bfs/station_src/music_metadata/3675f9e857e496178ca0d4de8ad92033.txt</v>
      </c>
      <c r="Q1115" s="4">
        <f ca="1">_xlfn.IFNA(VLOOKUP(INDIRECT("G"&amp;ROW()),minfo!$A:$M,COLUMN()-8,0),"")</f>
        <v>2</v>
      </c>
      <c r="R1115" s="4">
        <f ca="1">_xlfn.IFNA(VLOOKUP(INDIRECT("G"&amp;ROW()),minfo!$A:$M,COLUMN()-8,0),"")</f>
        <v>0</v>
      </c>
      <c r="S1115" s="4" t="str">
        <f ca="1">_xlfn.IFNA(VLOOKUP(INDIRECT("G"&amp;ROW()),minfo!$A:$M,COLUMN()-8,0),"")</f>
        <v>恩爱</v>
      </c>
      <c r="T1115" s="4">
        <f ca="1">_xlfn.IFNA(VLOOKUP(INDIRECT("G"&amp;ROW()),minfo!$A:$M,COLUMN()-8,0),"")</f>
        <v>1862546</v>
      </c>
      <c r="U1115" s="4">
        <f ca="1">_xlfn.IFNA(VLOOKUP(INDIRECT("G"&amp;ROW()),minfo!$A:$M,COLUMN()-8,0),"")</f>
        <v>0</v>
      </c>
    </row>
    <row r="1116" spans="1:21" ht="15.75" customHeight="1">
      <c r="A1116" s="15">
        <v>1115</v>
      </c>
      <c r="B1116" s="4" t="s">
        <v>4723</v>
      </c>
      <c r="C1116" s="4">
        <v>1116</v>
      </c>
      <c r="D1116" s="4">
        <v>130</v>
      </c>
      <c r="E1116" s="4" t="s">
        <v>2491</v>
      </c>
      <c r="F1116" s="16">
        <v>44722</v>
      </c>
      <c r="G1116" s="5" t="s">
        <v>2490</v>
      </c>
      <c r="H1116" s="5" t="s">
        <v>4585</v>
      </c>
      <c r="I1116" s="24" t="str">
        <f>HYPERLINK("https://www.bilibili.com/video/BV1o3411T7Yn?p=130", "BV1o3411T7Yn?p=130")</f>
        <v>BV1o3411T7Yn?p=130</v>
      </c>
      <c r="J1116" s="4" t="str">
        <f ca="1">_xlfn.IFNA(VLOOKUP(INDIRECT("G"&amp;ROW()),minfo!$A:$M,COLUMN()-8,0),"")</f>
        <v>此生不换</v>
      </c>
      <c r="K1116" s="4" t="str">
        <f ca="1">_xlfn.IFNA(VLOOKUP(INDIRECT("G"&amp;ROW()),minfo!$A:$M,COLUMN()-8,0),"")</f>
        <v>青鸟飞鱼</v>
      </c>
      <c r="L1116" s="4">
        <f ca="1">_xlfn.IFNA(VLOOKUP(INDIRECT("G"&amp;ROW()),minfo!$A:$M,COLUMN()-8,0),"")</f>
        <v>0</v>
      </c>
      <c r="M1116" s="4">
        <f ca="1">_xlfn.IFNA(VLOOKUP(INDIRECT("G"&amp;ROW()),minfo!$A:$M,COLUMN()-8,0),"")</f>
        <v>0</v>
      </c>
      <c r="N1116" s="4">
        <f ca="1">_xlfn.IFNA(VLOOKUP(INDIRECT("G"&amp;ROW()),minfo!$A:$M,COLUMN()-8,0),"")</f>
        <v>0</v>
      </c>
      <c r="O1116" s="4" t="str">
        <f ca="1">_xlfn.IFNA(VLOOKUP(INDIRECT("G"&amp;ROW()),minfo!$A:$M,COLUMN()-8,0),"")</f>
        <v>http://i0.hdslb.com/bfs/station_src/music_metadata/450bd04688ef6a691b1adb816ace6155.jpg</v>
      </c>
      <c r="P1116" s="4" t="str">
        <f ca="1">_xlfn.IFNA(VLOOKUP(INDIRECT("G"&amp;ROW()),minfo!$A:$M,COLUMN()-8,0),"")</f>
        <v>http://i0.hdslb.com/bfs/station_src/music_metadata/7bf96ace29b522409a57d8f5cd5a0c5e</v>
      </c>
      <c r="Q1116" s="4">
        <f ca="1">_xlfn.IFNA(VLOOKUP(INDIRECT("G"&amp;ROW()),minfo!$A:$M,COLUMN()-8,0),"")</f>
        <v>3825</v>
      </c>
      <c r="R1116" s="4" t="str">
        <f ca="1">_xlfn.IFNA(VLOOKUP(INDIRECT("G"&amp;ROW()),minfo!$A:$M,COLUMN()-8,0),"")</f>
        <v>《仙剑奇侠传3》电视剧插曲</v>
      </c>
      <c r="S1116" s="4" t="str">
        <f ca="1">_xlfn.IFNA(VLOOKUP(INDIRECT("G"&amp;ROW()),minfo!$A:$M,COLUMN()-8,0),"")</f>
        <v>仙剑奇侠传三 电视剧原声带</v>
      </c>
      <c r="T1116" s="4">
        <f ca="1">_xlfn.IFNA(VLOOKUP(INDIRECT("G"&amp;ROW()),minfo!$A:$M,COLUMN()-8,0),"")</f>
        <v>745284121</v>
      </c>
      <c r="U1116" s="4" t="str">
        <f ca="1">_xlfn.IFNA(VLOOKUP(INDIRECT("G"&amp;ROW()),minfo!$A:$M,COLUMN()-8,0),"")</f>
        <v>音乐榜最高NO.15</v>
      </c>
    </row>
    <row r="1117" spans="1:21" ht="15.75" customHeight="1">
      <c r="A1117" s="15">
        <v>1116</v>
      </c>
      <c r="B1117" s="4" t="s">
        <v>4724</v>
      </c>
      <c r="C1117" s="4">
        <v>1117</v>
      </c>
      <c r="D1117" s="4">
        <v>131</v>
      </c>
      <c r="E1117" s="4" t="s">
        <v>2496</v>
      </c>
      <c r="F1117" s="16">
        <v>44722</v>
      </c>
      <c r="G1117" s="5" t="s">
        <v>2495</v>
      </c>
      <c r="H1117" s="5" t="s">
        <v>4585</v>
      </c>
      <c r="I1117" s="24" t="str">
        <f>HYPERLINK("https://www.bilibili.com/video/BV1o3411T7Yn?p=131", "BV1o3411T7Yn?p=131")</f>
        <v>BV1o3411T7Yn?p=131</v>
      </c>
      <c r="J1117" s="4" t="str">
        <f ca="1">_xlfn.IFNA(VLOOKUP(INDIRECT("G"&amp;ROW()),minfo!$A:$M,COLUMN()-8,0),"")</f>
        <v>天下有情人</v>
      </c>
      <c r="K1117" s="4" t="str">
        <f ca="1">_xlfn.IFNA(VLOOKUP(INDIRECT("G"&amp;ROW()),minfo!$A:$M,COLUMN()-8,0),"")</f>
        <v>周华健,齐豫</v>
      </c>
      <c r="L1117" s="4">
        <f ca="1">_xlfn.IFNA(VLOOKUP(INDIRECT("G"&amp;ROW()),minfo!$A:$M,COLUMN()-8,0),"")</f>
        <v>0</v>
      </c>
      <c r="M1117" s="4">
        <f ca="1">_xlfn.IFNA(VLOOKUP(INDIRECT("G"&amp;ROW()),minfo!$A:$M,COLUMN()-8,0),"")</f>
        <v>0</v>
      </c>
      <c r="N1117" s="4">
        <f ca="1">_xlfn.IFNA(VLOOKUP(INDIRECT("G"&amp;ROW()),minfo!$A:$M,COLUMN()-8,0),"")</f>
        <v>0</v>
      </c>
      <c r="O1117" s="4" t="str">
        <f ca="1">_xlfn.IFNA(VLOOKUP(INDIRECT("G"&amp;ROW()),minfo!$A:$M,COLUMN()-8,0),"")</f>
        <v>http://i0.hdslb.com/bfs/station_src/music_metadata/32b1d8ea8f09ca00ef3d93e72d10d0ed.jpg</v>
      </c>
      <c r="P1117" s="4" t="str">
        <f ca="1">_xlfn.IFNA(VLOOKUP(INDIRECT("G"&amp;ROW()),minfo!$A:$M,COLUMN()-8,0),"")</f>
        <v>http://i0.hdslb.com/bfs/station_src/music_metadata/8914d1737e34e0020644e2072ccfb2f4</v>
      </c>
      <c r="Q1117" s="4">
        <f ca="1">_xlfn.IFNA(VLOOKUP(INDIRECT("G"&amp;ROW()),minfo!$A:$M,COLUMN()-8,0),"")</f>
        <v>216</v>
      </c>
      <c r="R1117" s="4" t="str">
        <f ca="1">_xlfn.IFNA(VLOOKUP(INDIRECT("G"&amp;ROW()),minfo!$A:$M,COLUMN()-8,0),"")</f>
        <v>《天下有情人》粤语版|《神雕侠侣》电视剧主题曲</v>
      </c>
      <c r="S1117" s="4" t="str">
        <f ca="1">_xlfn.IFNA(VLOOKUP(INDIRECT("G"&amp;ROW()),minfo!$A:$M,COLUMN()-8,0),"")</f>
        <v>烧得厉害4两个世界</v>
      </c>
      <c r="T1117" s="4">
        <f ca="1">_xlfn.IFNA(VLOOKUP(INDIRECT("G"&amp;ROW()),minfo!$A:$M,COLUMN()-8,0),"")</f>
        <v>89561778</v>
      </c>
      <c r="U1117" s="4">
        <f ca="1">_xlfn.IFNA(VLOOKUP(INDIRECT("G"&amp;ROW()),minfo!$A:$M,COLUMN()-8,0),"")</f>
        <v>0</v>
      </c>
    </row>
    <row r="1118" spans="1:21" ht="15.75" customHeight="1">
      <c r="A1118" s="15">
        <v>1117</v>
      </c>
      <c r="B1118" s="4" t="s">
        <v>4725</v>
      </c>
      <c r="C1118" s="4">
        <v>1118</v>
      </c>
      <c r="D1118" s="4">
        <v>132</v>
      </c>
      <c r="E1118" s="4" t="s">
        <v>4726</v>
      </c>
      <c r="F1118" s="16">
        <v>44722</v>
      </c>
      <c r="G1118" s="5" t="s">
        <v>2502</v>
      </c>
      <c r="H1118" s="5" t="s">
        <v>4585</v>
      </c>
      <c r="I1118" s="24" t="str">
        <f>HYPERLINK("https://www.bilibili.com/video/BV1o3411T7Yn?p=132", "BV1o3411T7Yn?p=132")</f>
        <v>BV1o3411T7Yn?p=132</v>
      </c>
      <c r="J1118" s="4" t="str">
        <f ca="1">_xlfn.IFNA(VLOOKUP(INDIRECT("G"&amp;ROW()),minfo!$A:$M,COLUMN()-8,0),"")</f>
        <v>Stories</v>
      </c>
      <c r="K1118" s="4" t="str">
        <f ca="1">_xlfn.IFNA(VLOOKUP(INDIRECT("G"&amp;ROW()),minfo!$A:$M,COLUMN()-8,0),"")</f>
        <v>齐豫</v>
      </c>
      <c r="L1118" s="4">
        <f ca="1">_xlfn.IFNA(VLOOKUP(INDIRECT("G"&amp;ROW()),minfo!$A:$M,COLUMN()-8,0),"")</f>
        <v>0</v>
      </c>
      <c r="M1118" s="4">
        <f ca="1">_xlfn.IFNA(VLOOKUP(INDIRECT("G"&amp;ROW()),minfo!$A:$M,COLUMN()-8,0),"")</f>
        <v>0</v>
      </c>
      <c r="N1118" s="4">
        <f ca="1">_xlfn.IFNA(VLOOKUP(INDIRECT("G"&amp;ROW()),minfo!$A:$M,COLUMN()-8,0),"")</f>
        <v>0</v>
      </c>
      <c r="O1118" s="4" t="str">
        <f ca="1">_xlfn.IFNA(VLOOKUP(INDIRECT("G"&amp;ROW()),minfo!$A:$M,COLUMN()-8,0),"")</f>
        <v>https://i0.hdslb.com/bfs/station_src/music_metadata/dee56aac2b0d8e0ee92248f4bb73d0f2.jpg</v>
      </c>
      <c r="P1118" s="4" t="str">
        <f ca="1">_xlfn.IFNA(VLOOKUP(INDIRECT("G"&amp;ROW()),minfo!$A:$M,COLUMN()-8,0),"")</f>
        <v>https://i0.hdslb.com/bfs/station_src/music_metadata/11c54ad122a5428cf8296e10df05c12b.txt</v>
      </c>
      <c r="Q1118" s="4">
        <f ca="1">_xlfn.IFNA(VLOOKUP(INDIRECT("G"&amp;ROW()),minfo!$A:$M,COLUMN()-8,0),"")</f>
        <v>0</v>
      </c>
      <c r="R1118" s="4">
        <f ca="1">_xlfn.IFNA(VLOOKUP(INDIRECT("G"&amp;ROW()),minfo!$A:$M,COLUMN()-8,0),"")</f>
        <v>0</v>
      </c>
      <c r="S1118" s="4" t="str">
        <f ca="1">_xlfn.IFNA(VLOOKUP(INDIRECT("G"&amp;ROW()),minfo!$A:$M,COLUMN()-8,0),"")</f>
        <v>个人声音自传 敢梦 (英文) 1978-1990</v>
      </c>
      <c r="T1118" s="4">
        <f ca="1">_xlfn.IFNA(VLOOKUP(INDIRECT("G"&amp;ROW()),minfo!$A:$M,COLUMN()-8,0),"")</f>
        <v>66935</v>
      </c>
      <c r="U1118" s="4">
        <f ca="1">_xlfn.IFNA(VLOOKUP(INDIRECT("G"&amp;ROW()),minfo!$A:$M,COLUMN()-8,0),"")</f>
        <v>0</v>
      </c>
    </row>
    <row r="1119" spans="1:21" ht="15.75" customHeight="1">
      <c r="A1119" s="15">
        <v>1118</v>
      </c>
      <c r="B1119" s="4" t="s">
        <v>4727</v>
      </c>
      <c r="C1119" s="4">
        <v>1119</v>
      </c>
      <c r="D1119" s="4">
        <v>133</v>
      </c>
      <c r="E1119" s="4" t="s">
        <v>1674</v>
      </c>
      <c r="F1119" s="16">
        <v>44722</v>
      </c>
      <c r="G1119" s="5" t="s">
        <v>2507</v>
      </c>
      <c r="H1119" s="5" t="s">
        <v>4585</v>
      </c>
      <c r="I1119" s="24" t="str">
        <f>HYPERLINK("https://www.bilibili.com/video/BV1o3411T7Yn?p=133", "BV1o3411T7Yn?p=133")</f>
        <v>BV1o3411T7Yn?p=133</v>
      </c>
      <c r="J1119" s="4" t="str">
        <f ca="1">_xlfn.IFNA(VLOOKUP(INDIRECT("G"&amp;ROW()),minfo!$A:$M,COLUMN()-8,0),"")</f>
        <v>玫瑰香 / 欢颜</v>
      </c>
      <c r="K1119" s="4" t="str">
        <f ca="1">_xlfn.IFNA(VLOOKUP(INDIRECT("G"&amp;ROW()),minfo!$A:$M,COLUMN()-8,0),"")</f>
        <v>赵咏华</v>
      </c>
      <c r="L1119" s="4">
        <f ca="1">_xlfn.IFNA(VLOOKUP(INDIRECT("G"&amp;ROW()),minfo!$A:$M,COLUMN()-8,0),"")</f>
        <v>0</v>
      </c>
      <c r="M1119" s="4">
        <f ca="1">_xlfn.IFNA(VLOOKUP(INDIRECT("G"&amp;ROW()),minfo!$A:$M,COLUMN()-8,0),"")</f>
        <v>0</v>
      </c>
      <c r="N1119" s="4">
        <f ca="1">_xlfn.IFNA(VLOOKUP(INDIRECT("G"&amp;ROW()),minfo!$A:$M,COLUMN()-8,0),"")</f>
        <v>0</v>
      </c>
      <c r="O1119" s="4" t="str">
        <f ca="1">_xlfn.IFNA(VLOOKUP(INDIRECT("G"&amp;ROW()),minfo!$A:$M,COLUMN()-8,0),"")</f>
        <v>https://i0.hdslb.com/bfs/station_src/music_metadata/0fb33384bc02f8ede93e576e6eac8f80.jpg</v>
      </c>
      <c r="P1119" s="4" t="str">
        <f ca="1">_xlfn.IFNA(VLOOKUP(INDIRECT("G"&amp;ROW()),minfo!$A:$M,COLUMN()-8,0),"")</f>
        <v>https://i0.hdslb.com/bfs/station_src/music_metadata/b9310cd69fae390d10c79fc14f1ed126.txt</v>
      </c>
      <c r="Q1119" s="4">
        <f ca="1">_xlfn.IFNA(VLOOKUP(INDIRECT("G"&amp;ROW()),minfo!$A:$M,COLUMN()-8,0),"")</f>
        <v>0</v>
      </c>
      <c r="R1119" s="4">
        <f ca="1">_xlfn.IFNA(VLOOKUP(INDIRECT("G"&amp;ROW()),minfo!$A:$M,COLUMN()-8,0),"")</f>
        <v>0</v>
      </c>
      <c r="S1119" s="4" t="str">
        <f ca="1">_xlfn.IFNA(VLOOKUP(INDIRECT("G"&amp;ROW()),minfo!$A:$M,COLUMN()-8,0),"")</f>
        <v>快乐天堂 滚石30演唱会</v>
      </c>
      <c r="T1119" s="4">
        <f ca="1">_xlfn.IFNA(VLOOKUP(INDIRECT("G"&amp;ROW()),minfo!$A:$M,COLUMN()-8,0),"")</f>
        <v>311918</v>
      </c>
      <c r="U1119" s="4">
        <f ca="1">_xlfn.IFNA(VLOOKUP(INDIRECT("G"&amp;ROW()),minfo!$A:$M,COLUMN()-8,0),"")</f>
        <v>0</v>
      </c>
    </row>
    <row r="1120" spans="1:21" ht="15.75" customHeight="1">
      <c r="A1120" s="15">
        <v>1119</v>
      </c>
      <c r="B1120" s="4" t="s">
        <v>4728</v>
      </c>
      <c r="C1120" s="4">
        <v>1120</v>
      </c>
      <c r="D1120" s="4">
        <v>134</v>
      </c>
      <c r="E1120" s="4" t="s">
        <v>1544</v>
      </c>
      <c r="F1120" s="16">
        <v>44723</v>
      </c>
      <c r="G1120" s="5" t="s">
        <v>2513</v>
      </c>
      <c r="H1120" s="5" t="s">
        <v>4585</v>
      </c>
      <c r="I1120" s="24" t="str">
        <f>HYPERLINK("https://www.bilibili.com/video/BV1o3411T7Yn?p=134", "BV1o3411T7Yn?p=134")</f>
        <v>BV1o3411T7Yn?p=134</v>
      </c>
      <c r="J1120" s="4" t="str">
        <f ca="1">_xlfn.IFNA(VLOOKUP(INDIRECT("G"&amp;ROW()),minfo!$A:$M,COLUMN()-8,0),"")</f>
        <v>宁夏</v>
      </c>
      <c r="K1120" s="4" t="str">
        <f ca="1">_xlfn.IFNA(VLOOKUP(INDIRECT("G"&amp;ROW()),minfo!$A:$M,COLUMN()-8,0),"")</f>
        <v>梁静茹</v>
      </c>
      <c r="L1120" s="4">
        <f ca="1">_xlfn.IFNA(VLOOKUP(INDIRECT("G"&amp;ROW()),minfo!$A:$M,COLUMN()-8,0),"")</f>
        <v>0</v>
      </c>
      <c r="M1120" s="4">
        <f ca="1">_xlfn.IFNA(VLOOKUP(INDIRECT("G"&amp;ROW()),minfo!$A:$M,COLUMN()-8,0),"")</f>
        <v>0</v>
      </c>
      <c r="N1120" s="4">
        <f ca="1">_xlfn.IFNA(VLOOKUP(INDIRECT("G"&amp;ROW()),minfo!$A:$M,COLUMN()-8,0),"")</f>
        <v>0</v>
      </c>
      <c r="O1120" s="4" t="str">
        <f ca="1">_xlfn.IFNA(VLOOKUP(INDIRECT("G"&amp;ROW()),minfo!$A:$M,COLUMN()-8,0),"")</f>
        <v>https://i0.hdslb.com/bfs/station_src/music_metadata/bb7db209e639fad48fa0e925cf5b0479.jpg</v>
      </c>
      <c r="P1120" s="4" t="str">
        <f ca="1">_xlfn.IFNA(VLOOKUP(INDIRECT("G"&amp;ROW()),minfo!$A:$M,COLUMN()-8,0),"")</f>
        <v>https://i0.hdslb.com/bfs/station_src/music_metadata/f84e253223ed72cc5390394f42cca391.txt</v>
      </c>
      <c r="Q1120" s="4">
        <f ca="1">_xlfn.IFNA(VLOOKUP(INDIRECT("G"&amp;ROW()),minfo!$A:$M,COLUMN()-8,0),"")</f>
        <v>0</v>
      </c>
      <c r="R1120" s="4">
        <f ca="1">_xlfn.IFNA(VLOOKUP(INDIRECT("G"&amp;ROW()),minfo!$A:$M,COLUMN()-8,0),"")</f>
        <v>0</v>
      </c>
      <c r="S1120" s="4" t="str">
        <f ca="1">_xlfn.IFNA(VLOOKUP(INDIRECT("G"&amp;ROW()),minfo!$A:$M,COLUMN()-8,0),"")</f>
        <v>宁夏</v>
      </c>
      <c r="T1120" s="4">
        <f ca="1">_xlfn.IFNA(VLOOKUP(INDIRECT("G"&amp;ROW()),minfo!$A:$M,COLUMN()-8,0),"")</f>
        <v>1339817</v>
      </c>
      <c r="U1120" s="4">
        <f ca="1">_xlfn.IFNA(VLOOKUP(INDIRECT("G"&amp;ROW()),minfo!$A:$M,COLUMN()-8,0),"")</f>
        <v>0</v>
      </c>
    </row>
    <row r="1121" spans="1:21" ht="15.75" customHeight="1">
      <c r="A1121" s="15">
        <v>1120</v>
      </c>
      <c r="B1121" s="4" t="s">
        <v>4729</v>
      </c>
      <c r="C1121" s="4">
        <v>1121</v>
      </c>
      <c r="D1121" s="4">
        <v>135</v>
      </c>
      <c r="E1121" s="4" t="s">
        <v>2517</v>
      </c>
      <c r="F1121" s="16">
        <v>44723</v>
      </c>
      <c r="G1121" s="5" t="s">
        <v>2516</v>
      </c>
      <c r="H1121" s="5" t="s">
        <v>4585</v>
      </c>
      <c r="I1121" s="24" t="str">
        <f>HYPERLINK("https://www.bilibili.com/video/BV1o3411T7Yn?p=135", "BV1o3411T7Yn?p=135")</f>
        <v>BV1o3411T7Yn?p=135</v>
      </c>
      <c r="J1121" s="4" t="str">
        <f ca="1">_xlfn.IFNA(VLOOKUP(INDIRECT("G"&amp;ROW()),minfo!$A:$M,COLUMN()-8,0),"")</f>
        <v>勇气</v>
      </c>
      <c r="K1121" s="4" t="str">
        <f ca="1">_xlfn.IFNA(VLOOKUP(INDIRECT("G"&amp;ROW()),minfo!$A:$M,COLUMN()-8,0),"")</f>
        <v>梁静茹</v>
      </c>
      <c r="L1121" s="4">
        <f ca="1">_xlfn.IFNA(VLOOKUP(INDIRECT("G"&amp;ROW()),minfo!$A:$M,COLUMN()-8,0),"")</f>
        <v>0</v>
      </c>
      <c r="M1121" s="4">
        <f ca="1">_xlfn.IFNA(VLOOKUP(INDIRECT("G"&amp;ROW()),minfo!$A:$M,COLUMN()-8,0),"")</f>
        <v>0</v>
      </c>
      <c r="N1121" s="4">
        <f ca="1">_xlfn.IFNA(VLOOKUP(INDIRECT("G"&amp;ROW()),minfo!$A:$M,COLUMN()-8,0),"")</f>
        <v>0</v>
      </c>
      <c r="O1121" s="4" t="str">
        <f ca="1">_xlfn.IFNA(VLOOKUP(INDIRECT("G"&amp;ROW()),minfo!$A:$M,COLUMN()-8,0),"")</f>
        <v>http://i0.hdslb.com/bfs/station_src/music_metadata/11c1445caba5b2e661050ea97efee6b1.jpg</v>
      </c>
      <c r="P1121" s="4">
        <f ca="1">_xlfn.IFNA(VLOOKUP(INDIRECT("G"&amp;ROW()),minfo!$A:$M,COLUMN()-8,0),"")</f>
        <v>0</v>
      </c>
      <c r="Q1121" s="4">
        <f ca="1">_xlfn.IFNA(VLOOKUP(INDIRECT("G"&amp;ROW()),minfo!$A:$M,COLUMN()-8,0),"")</f>
        <v>299</v>
      </c>
      <c r="R1121" s="4">
        <f ca="1">_xlfn.IFNA(VLOOKUP(INDIRECT("G"&amp;ROW()),minfo!$A:$M,COLUMN()-8,0),"")</f>
        <v>0</v>
      </c>
      <c r="S1121" s="4" t="str">
        <f ca="1">_xlfn.IFNA(VLOOKUP(INDIRECT("G"&amp;ROW()),minfo!$A:$M,COLUMN()-8,0),"")</f>
        <v>勇气</v>
      </c>
      <c r="T1121" s="4">
        <f ca="1">_xlfn.IFNA(VLOOKUP(INDIRECT("G"&amp;ROW()),minfo!$A:$M,COLUMN()-8,0),"")</f>
        <v>150545368</v>
      </c>
      <c r="U1121" s="4">
        <f ca="1">_xlfn.IFNA(VLOOKUP(INDIRECT("G"&amp;ROW()),minfo!$A:$M,COLUMN()-8,0),"")</f>
        <v>0</v>
      </c>
    </row>
    <row r="1122" spans="1:21" ht="15.75" customHeight="1">
      <c r="A1122" s="15">
        <v>1121</v>
      </c>
      <c r="B1122" s="4" t="s">
        <v>4730</v>
      </c>
      <c r="C1122" s="4">
        <v>1122</v>
      </c>
      <c r="D1122" s="4">
        <v>136</v>
      </c>
      <c r="E1122" s="4" t="s">
        <v>1845</v>
      </c>
      <c r="F1122" s="16">
        <v>44723</v>
      </c>
      <c r="G1122" s="5" t="s">
        <v>1844</v>
      </c>
      <c r="H1122" s="5" t="s">
        <v>4585</v>
      </c>
      <c r="I1122" s="24" t="str">
        <f>HYPERLINK("https://www.bilibili.com/video/BV1o3411T7Yn?p=136", "BV1o3411T7Yn?p=136")</f>
        <v>BV1o3411T7Yn?p=136</v>
      </c>
      <c r="J1122" s="4" t="str">
        <f ca="1">_xlfn.IFNA(VLOOKUP(INDIRECT("G"&amp;ROW()),minfo!$A:$M,COLUMN()-8,0),"")</f>
        <v>暖暖</v>
      </c>
      <c r="K1122" s="4" t="str">
        <f ca="1">_xlfn.IFNA(VLOOKUP(INDIRECT("G"&amp;ROW()),minfo!$A:$M,COLUMN()-8,0),"")</f>
        <v>梁静茹</v>
      </c>
      <c r="L1122" s="4">
        <f ca="1">_xlfn.IFNA(VLOOKUP(INDIRECT("G"&amp;ROW()),minfo!$A:$M,COLUMN()-8,0),"")</f>
        <v>0</v>
      </c>
      <c r="M1122" s="4">
        <f ca="1">_xlfn.IFNA(VLOOKUP(INDIRECT("G"&amp;ROW()),minfo!$A:$M,COLUMN()-8,0),"")</f>
        <v>0</v>
      </c>
      <c r="N1122" s="4">
        <f ca="1">_xlfn.IFNA(VLOOKUP(INDIRECT("G"&amp;ROW()),minfo!$A:$M,COLUMN()-8,0),"")</f>
        <v>0</v>
      </c>
      <c r="O1122" s="4" t="str">
        <f ca="1">_xlfn.IFNA(VLOOKUP(INDIRECT("G"&amp;ROW()),minfo!$A:$M,COLUMN()-8,0),"")</f>
        <v>http://i0.hdslb.com/bfs/station_src/music_metadata/fa9db500952a7e4f9a2805e8f3533bbf.jpg</v>
      </c>
      <c r="P1122" s="4" t="str">
        <f ca="1">_xlfn.IFNA(VLOOKUP(INDIRECT("G"&amp;ROW()),minfo!$A:$M,COLUMN()-8,0),"")</f>
        <v>http://i0.hdslb.com/bfs/station_src/music_metadata/db39d5b13ad72836680f5b4de35faa0c</v>
      </c>
      <c r="Q1122" s="4">
        <f ca="1">_xlfn.IFNA(VLOOKUP(INDIRECT("G"&amp;ROW()),minfo!$A:$M,COLUMN()-8,0),"")</f>
        <v>6677</v>
      </c>
      <c r="R1122" s="4">
        <f ca="1">_xlfn.IFNA(VLOOKUP(INDIRECT("G"&amp;ROW()),minfo!$A:$M,COLUMN()-8,0),"")</f>
        <v>0</v>
      </c>
      <c r="S1122" s="4" t="str">
        <f ca="1">_xlfn.IFNA(VLOOKUP(INDIRECT("G"&amp;ROW()),minfo!$A:$M,COLUMN()-8,0),"")</f>
        <v>亲亲</v>
      </c>
      <c r="T1122" s="4">
        <f ca="1">_xlfn.IFNA(VLOOKUP(INDIRECT("G"&amp;ROW()),minfo!$A:$M,COLUMN()-8,0),"")</f>
        <v>833926032</v>
      </c>
      <c r="U1122" s="4">
        <f ca="1">_xlfn.IFNA(VLOOKUP(INDIRECT("G"&amp;ROW()),minfo!$A:$M,COLUMN()-8,0),"")</f>
        <v>0</v>
      </c>
    </row>
    <row r="1123" spans="1:21" ht="15.75" customHeight="1">
      <c r="A1123" s="15">
        <v>1122</v>
      </c>
      <c r="B1123" s="4" t="s">
        <v>4731</v>
      </c>
      <c r="C1123" s="4">
        <v>1123</v>
      </c>
      <c r="D1123" s="4">
        <v>137</v>
      </c>
      <c r="E1123" s="4" t="s">
        <v>2520</v>
      </c>
      <c r="F1123" s="16">
        <v>44723</v>
      </c>
      <c r="G1123" s="5" t="s">
        <v>2519</v>
      </c>
      <c r="H1123" s="5" t="s">
        <v>4585</v>
      </c>
      <c r="I1123" s="24" t="str">
        <f>HYPERLINK("https://www.bilibili.com/video/BV1o3411T7Yn?p=137", "BV1o3411T7Yn?p=137")</f>
        <v>BV1o3411T7Yn?p=137</v>
      </c>
      <c r="J1123" s="4" t="str">
        <f ca="1">_xlfn.IFNA(VLOOKUP(INDIRECT("G"&amp;ROW()),minfo!$A:$M,COLUMN()-8,0),"")</f>
        <v>会呼吸的痛</v>
      </c>
      <c r="K1123" s="4" t="str">
        <f ca="1">_xlfn.IFNA(VLOOKUP(INDIRECT("G"&amp;ROW()),minfo!$A:$M,COLUMN()-8,0),"")</f>
        <v>梁静茹</v>
      </c>
      <c r="L1123" s="4">
        <f ca="1">_xlfn.IFNA(VLOOKUP(INDIRECT("G"&amp;ROW()),minfo!$A:$M,COLUMN()-8,0),"")</f>
        <v>0</v>
      </c>
      <c r="M1123" s="4">
        <f ca="1">_xlfn.IFNA(VLOOKUP(INDIRECT("G"&amp;ROW()),minfo!$A:$M,COLUMN()-8,0),"")</f>
        <v>0</v>
      </c>
      <c r="N1123" s="4">
        <f ca="1">_xlfn.IFNA(VLOOKUP(INDIRECT("G"&amp;ROW()),minfo!$A:$M,COLUMN()-8,0),"")</f>
        <v>0</v>
      </c>
      <c r="O1123" s="4" t="str">
        <f ca="1">_xlfn.IFNA(VLOOKUP(INDIRECT("G"&amp;ROW()),minfo!$A:$M,COLUMN()-8,0),"")</f>
        <v>http://i0.hdslb.com/bfs/station_src/music_metadata/247eee48c819026f723eb608ac47cb50.jpg</v>
      </c>
      <c r="P1123" s="4" t="str">
        <f ca="1">_xlfn.IFNA(VLOOKUP(INDIRECT("G"&amp;ROW()),minfo!$A:$M,COLUMN()-8,0),"")</f>
        <v>http://i0.hdslb.com/bfs/station_src/music_metadata/ac4ac28156e6237b0a47b18c72ff07a4</v>
      </c>
      <c r="Q1123" s="4">
        <f ca="1">_xlfn.IFNA(VLOOKUP(INDIRECT("G"&amp;ROW()),minfo!$A:$M,COLUMN()-8,0),"")</f>
        <v>148</v>
      </c>
      <c r="R1123" s="4">
        <f ca="1">_xlfn.IFNA(VLOOKUP(INDIRECT("G"&amp;ROW()),minfo!$A:$M,COLUMN()-8,0),"")</f>
        <v>0</v>
      </c>
      <c r="S1123" s="4" t="str">
        <f ca="1">_xlfn.IFNA(VLOOKUP(INDIRECT("G"&amp;ROW()),minfo!$A:$M,COLUMN()-8,0),"")</f>
        <v>崇拜</v>
      </c>
      <c r="T1123" s="4">
        <f ca="1">_xlfn.IFNA(VLOOKUP(INDIRECT("G"&amp;ROW()),minfo!$A:$M,COLUMN()-8,0),"")</f>
        <v>66240603</v>
      </c>
      <c r="U1123" s="4">
        <f ca="1">_xlfn.IFNA(VLOOKUP(INDIRECT("G"&amp;ROW()),minfo!$A:$M,COLUMN()-8,0),"")</f>
        <v>0</v>
      </c>
    </row>
    <row r="1124" spans="1:21" ht="15.75" customHeight="1">
      <c r="A1124" s="15">
        <v>1123</v>
      </c>
      <c r="B1124" s="4" t="s">
        <v>4732</v>
      </c>
      <c r="C1124" s="4">
        <v>1124</v>
      </c>
      <c r="D1124" s="4">
        <v>138</v>
      </c>
      <c r="E1124" s="4" t="s">
        <v>2524</v>
      </c>
      <c r="F1124" s="16">
        <v>44723</v>
      </c>
      <c r="G1124" s="5" t="s">
        <v>2523</v>
      </c>
      <c r="H1124" s="5" t="s">
        <v>4585</v>
      </c>
      <c r="I1124" s="24" t="str">
        <f>HYPERLINK("https://www.bilibili.com/video/BV1o3411T7Yn?p=138", "BV1o3411T7Yn?p=138")</f>
        <v>BV1o3411T7Yn?p=138</v>
      </c>
      <c r="J1124" s="4" t="str">
        <f ca="1">_xlfn.IFNA(VLOOKUP(INDIRECT("G"&amp;ROW()),minfo!$A:$M,COLUMN()-8,0),"")</f>
        <v>可惜不是你</v>
      </c>
      <c r="K1124" s="4" t="str">
        <f ca="1">_xlfn.IFNA(VLOOKUP(INDIRECT("G"&amp;ROW()),minfo!$A:$M,COLUMN()-8,0),"")</f>
        <v>梁静茹</v>
      </c>
      <c r="L1124" s="4">
        <f ca="1">_xlfn.IFNA(VLOOKUP(INDIRECT("G"&amp;ROW()),minfo!$A:$M,COLUMN()-8,0),"")</f>
        <v>0</v>
      </c>
      <c r="M1124" s="4">
        <f ca="1">_xlfn.IFNA(VLOOKUP(INDIRECT("G"&amp;ROW()),minfo!$A:$M,COLUMN()-8,0),"")</f>
        <v>0</v>
      </c>
      <c r="N1124" s="4">
        <f ca="1">_xlfn.IFNA(VLOOKUP(INDIRECT("G"&amp;ROW()),minfo!$A:$M,COLUMN()-8,0),"")</f>
        <v>0</v>
      </c>
      <c r="O1124" s="4" t="str">
        <f ca="1">_xlfn.IFNA(VLOOKUP(INDIRECT("G"&amp;ROW()),minfo!$A:$M,COLUMN()-8,0),"")</f>
        <v>http://i0.hdslb.com/bfs/station_src/music_metadata/d11d1ab1fa3abef069874701df656335.jpg</v>
      </c>
      <c r="P1124" s="4" t="str">
        <f ca="1">_xlfn.IFNA(VLOOKUP(INDIRECT("G"&amp;ROW()),minfo!$A:$M,COLUMN()-8,0),"")</f>
        <v>http://i0.hdslb.com/bfs/station_src/music_metadata/6c7202c0c2d6eb77f79b832791da9bda</v>
      </c>
      <c r="Q1124" s="4">
        <f ca="1">_xlfn.IFNA(VLOOKUP(INDIRECT("G"&amp;ROW()),minfo!$A:$M,COLUMN()-8,0),"")</f>
        <v>150</v>
      </c>
      <c r="R1124" s="4">
        <f ca="1">_xlfn.IFNA(VLOOKUP(INDIRECT("G"&amp;ROW()),minfo!$A:$M,COLUMN()-8,0),"")</f>
        <v>0</v>
      </c>
      <c r="S1124" s="4" t="str">
        <f ca="1">_xlfn.IFNA(VLOOKUP(INDIRECT("G"&amp;ROW()),minfo!$A:$M,COLUMN()-8,0),"")</f>
        <v>丝路</v>
      </c>
      <c r="T1124" s="4">
        <f ca="1">_xlfn.IFNA(VLOOKUP(INDIRECT("G"&amp;ROW()),minfo!$A:$M,COLUMN()-8,0),"")</f>
        <v>93495845</v>
      </c>
      <c r="U1124" s="4">
        <f ca="1">_xlfn.IFNA(VLOOKUP(INDIRECT("G"&amp;ROW()),minfo!$A:$M,COLUMN()-8,0),"")</f>
        <v>0</v>
      </c>
    </row>
    <row r="1125" spans="1:21" ht="15.75" customHeight="1">
      <c r="A1125" s="15">
        <v>1124</v>
      </c>
      <c r="B1125" s="4" t="s">
        <v>4733</v>
      </c>
      <c r="C1125" s="4">
        <v>1125</v>
      </c>
      <c r="D1125" s="4">
        <v>139</v>
      </c>
      <c r="E1125" s="4" t="s">
        <v>2529</v>
      </c>
      <c r="F1125" s="16">
        <v>44723</v>
      </c>
      <c r="G1125" s="5" t="s">
        <v>2528</v>
      </c>
      <c r="H1125" s="5" t="s">
        <v>4585</v>
      </c>
      <c r="I1125" s="24" t="str">
        <f>HYPERLINK("https://www.bilibili.com/video/BV1o3411T7Yn?p=139", "BV1o3411T7Yn?p=139")</f>
        <v>BV1o3411T7Yn?p=139</v>
      </c>
      <c r="J1125" s="4" t="str">
        <f ca="1">_xlfn.IFNA(VLOOKUP(INDIRECT("G"&amp;ROW()),minfo!$A:$M,COLUMN()-8,0),"")</f>
        <v>小手拉大手</v>
      </c>
      <c r="K1125" s="4" t="str">
        <f ca="1">_xlfn.IFNA(VLOOKUP(INDIRECT("G"&amp;ROW()),minfo!$A:$M,COLUMN()-8,0),"")</f>
        <v>梁静茹</v>
      </c>
      <c r="L1125" s="4">
        <f ca="1">_xlfn.IFNA(VLOOKUP(INDIRECT("G"&amp;ROW()),minfo!$A:$M,COLUMN()-8,0),"")</f>
        <v>0</v>
      </c>
      <c r="M1125" s="4">
        <f ca="1">_xlfn.IFNA(VLOOKUP(INDIRECT("G"&amp;ROW()),minfo!$A:$M,COLUMN()-8,0),"")</f>
        <v>0</v>
      </c>
      <c r="N1125" s="4">
        <f ca="1">_xlfn.IFNA(VLOOKUP(INDIRECT("G"&amp;ROW()),minfo!$A:$M,COLUMN()-8,0),"")</f>
        <v>0</v>
      </c>
      <c r="O1125" s="4" t="str">
        <f ca="1">_xlfn.IFNA(VLOOKUP(INDIRECT("G"&amp;ROW()),minfo!$A:$M,COLUMN()-8,0),"")</f>
        <v>http://i0.hdslb.com/bfs/station_src/music_metadata/f62de464de1a4f7c713cfee699f98e5c.jpg</v>
      </c>
      <c r="P1125" s="4" t="str">
        <f ca="1">_xlfn.IFNA(VLOOKUP(INDIRECT("G"&amp;ROW()),minfo!$A:$M,COLUMN()-8,0),"")</f>
        <v>http://i0.hdslb.com/bfs/station_src/music_metadata/4942ea2bb09c406c7f54489e549f9730</v>
      </c>
      <c r="Q1125" s="4">
        <f ca="1">_xlfn.IFNA(VLOOKUP(INDIRECT("G"&amp;ROW()),minfo!$A:$M,COLUMN()-8,0),"")</f>
        <v>337</v>
      </c>
      <c r="R1125" s="4">
        <f ca="1">_xlfn.IFNA(VLOOKUP(INDIRECT("G"&amp;ROW()),minfo!$A:$M,COLUMN()-8,0),"")</f>
        <v>0</v>
      </c>
      <c r="S1125" s="4" t="str">
        <f ca="1">_xlfn.IFNA(VLOOKUP(INDIRECT("G"&amp;ROW()),minfo!$A:$M,COLUMN()-8,0),"")</f>
        <v>亲亲</v>
      </c>
      <c r="T1125" s="4">
        <f ca="1">_xlfn.IFNA(VLOOKUP(INDIRECT("G"&amp;ROW()),minfo!$A:$M,COLUMN()-8,0),"")</f>
        <v>92354085</v>
      </c>
      <c r="U1125" s="4">
        <f ca="1">_xlfn.IFNA(VLOOKUP(INDIRECT("G"&amp;ROW()),minfo!$A:$M,COLUMN()-8,0),"")</f>
        <v>0</v>
      </c>
    </row>
    <row r="1126" spans="1:21" ht="15.75" customHeight="1">
      <c r="A1126" s="15">
        <v>1125</v>
      </c>
      <c r="B1126" s="4" t="s">
        <v>4734</v>
      </c>
      <c r="C1126" s="4">
        <v>1126</v>
      </c>
      <c r="D1126" s="4">
        <v>140</v>
      </c>
      <c r="E1126" s="4" t="s">
        <v>1273</v>
      </c>
      <c r="F1126" s="16">
        <v>44723</v>
      </c>
      <c r="G1126" s="5" t="s">
        <v>1272</v>
      </c>
      <c r="H1126" s="5" t="s">
        <v>4585</v>
      </c>
      <c r="I1126" s="24" t="str">
        <f>HYPERLINK("https://www.bilibili.com/video/BV1o3411T7Yn?p=140", "BV1o3411T7Yn?p=140")</f>
        <v>BV1o3411T7Yn?p=140</v>
      </c>
      <c r="J1126" s="4" t="str">
        <f ca="1">_xlfn.IFNA(VLOOKUP(INDIRECT("G"&amp;ROW()),minfo!$A:$M,COLUMN()-8,0),"")</f>
        <v>这世界那么多人</v>
      </c>
      <c r="K1126" s="4" t="str">
        <f ca="1">_xlfn.IFNA(VLOOKUP(INDIRECT("G"&amp;ROW()),minfo!$A:$M,COLUMN()-8,0),"")</f>
        <v>莫文蔚</v>
      </c>
      <c r="L1126" s="4">
        <f ca="1">_xlfn.IFNA(VLOOKUP(INDIRECT("G"&amp;ROW()),minfo!$A:$M,COLUMN()-8,0),"")</f>
        <v>0</v>
      </c>
      <c r="M1126" s="4">
        <f ca="1">_xlfn.IFNA(VLOOKUP(INDIRECT("G"&amp;ROW()),minfo!$A:$M,COLUMN()-8,0),"")</f>
        <v>0</v>
      </c>
      <c r="N1126" s="4">
        <f ca="1">_xlfn.IFNA(VLOOKUP(INDIRECT("G"&amp;ROW()),minfo!$A:$M,COLUMN()-8,0),"")</f>
        <v>0</v>
      </c>
      <c r="O1126" s="4" t="str">
        <f ca="1">_xlfn.IFNA(VLOOKUP(INDIRECT("G"&amp;ROW()),minfo!$A:$M,COLUMN()-8,0),"")</f>
        <v>http://i0.hdslb.com/bfs/station_src/music_metadata/e7c4033963414035f8529bd990a0ea86.jpg</v>
      </c>
      <c r="P1126" s="4" t="str">
        <f ca="1">_xlfn.IFNA(VLOOKUP(INDIRECT("G"&amp;ROW()),minfo!$A:$M,COLUMN()-8,0),"")</f>
        <v>http://i0.hdslb.com/bfs/station_src/music_metadata/e8998a2ba4644d4ab56c9b83478820bf</v>
      </c>
      <c r="Q1126" s="4">
        <f ca="1">_xlfn.IFNA(VLOOKUP(INDIRECT("G"&amp;ROW()),minfo!$A:$M,COLUMN()-8,0),"")</f>
        <v>2369</v>
      </c>
      <c r="R1126" s="4" t="str">
        <f ca="1">_xlfn.IFNA(VLOOKUP(INDIRECT("G"&amp;ROW()),minfo!$A:$M,COLUMN()-8,0),"")</f>
        <v>《我们要在一起》电影主题曲</v>
      </c>
      <c r="S1126" s="4" t="str">
        <f ca="1">_xlfn.IFNA(VLOOKUP(INDIRECT("G"&amp;ROW()),minfo!$A:$M,COLUMN()-8,0),"")</f>
        <v>这世界那么多人</v>
      </c>
      <c r="T1126" s="4">
        <f ca="1">_xlfn.IFNA(VLOOKUP(INDIRECT("G"&amp;ROW()),minfo!$A:$M,COLUMN()-8,0),"")</f>
        <v>672798547</v>
      </c>
      <c r="U1126" s="4">
        <f ca="1">_xlfn.IFNA(VLOOKUP(INDIRECT("G"&amp;ROW()),minfo!$A:$M,COLUMN()-8,0),"")</f>
        <v>0</v>
      </c>
    </row>
    <row r="1127" spans="1:21" ht="15.75" customHeight="1">
      <c r="A1127" s="15">
        <v>1126</v>
      </c>
      <c r="B1127" s="4" t="s">
        <v>4735</v>
      </c>
      <c r="C1127" s="4">
        <v>1127</v>
      </c>
      <c r="D1127" s="4">
        <v>141</v>
      </c>
      <c r="E1127" s="4" t="s">
        <v>2533</v>
      </c>
      <c r="F1127" s="16">
        <v>44724</v>
      </c>
      <c r="G1127" s="5" t="s">
        <v>2532</v>
      </c>
      <c r="H1127" s="5" t="s">
        <v>4585</v>
      </c>
      <c r="I1127" s="24" t="str">
        <f>HYPERLINK("https://www.bilibili.com/video/BV1o3411T7Yn?p=141", "BV1o3411T7Yn?p=141")</f>
        <v>BV1o3411T7Yn?p=141</v>
      </c>
      <c r="J1127" s="4" t="str">
        <f ca="1">_xlfn.IFNA(VLOOKUP(INDIRECT("G"&amp;ROW()),minfo!$A:$M,COLUMN()-8,0),"")</f>
        <v>情深深雨蒙蒙</v>
      </c>
      <c r="K1127" s="4" t="str">
        <f ca="1">_xlfn.IFNA(VLOOKUP(INDIRECT("G"&amp;ROW()),minfo!$A:$M,COLUMN()-8,0),"")</f>
        <v>杨胖雨</v>
      </c>
      <c r="L1127" s="4">
        <f ca="1">_xlfn.IFNA(VLOOKUP(INDIRECT("G"&amp;ROW()),minfo!$A:$M,COLUMN()-8,0),"")</f>
        <v>0</v>
      </c>
      <c r="M1127" s="4">
        <f ca="1">_xlfn.IFNA(VLOOKUP(INDIRECT("G"&amp;ROW()),minfo!$A:$M,COLUMN()-8,0),"")</f>
        <v>0</v>
      </c>
      <c r="N1127" s="4">
        <f ca="1">_xlfn.IFNA(VLOOKUP(INDIRECT("G"&amp;ROW()),minfo!$A:$M,COLUMN()-8,0),"")</f>
        <v>0</v>
      </c>
      <c r="O1127" s="4" t="str">
        <f ca="1">_xlfn.IFNA(VLOOKUP(INDIRECT("G"&amp;ROW()),minfo!$A:$M,COLUMN()-8,0),"")</f>
        <v>http://i0.hdslb.com/bfs/station_src/music_metadata/2c6df3f0075658192b46e8852acd86b2.jpg</v>
      </c>
      <c r="P1127" s="4">
        <f ca="1">_xlfn.IFNA(VLOOKUP(INDIRECT("G"&amp;ROW()),minfo!$A:$M,COLUMN()-8,0),"")</f>
        <v>0</v>
      </c>
      <c r="Q1127" s="4">
        <f ca="1">_xlfn.IFNA(VLOOKUP(INDIRECT("G"&amp;ROW()),minfo!$A:$M,COLUMN()-8,0),"")</f>
        <v>272</v>
      </c>
      <c r="R1127" s="4">
        <f ca="1">_xlfn.IFNA(VLOOKUP(INDIRECT("G"&amp;ROW()),minfo!$A:$M,COLUMN()-8,0),"")</f>
        <v>0</v>
      </c>
      <c r="S1127" s="4" t="str">
        <f ca="1">_xlfn.IFNA(VLOOKUP(INDIRECT("G"&amp;ROW()),minfo!$A:$M,COLUMN()-8,0),"")</f>
        <v>情深深雨濛濛</v>
      </c>
      <c r="T1127" s="4">
        <f ca="1">_xlfn.IFNA(VLOOKUP(INDIRECT("G"&amp;ROW()),minfo!$A:$M,COLUMN()-8,0),"")</f>
        <v>135231093</v>
      </c>
      <c r="U1127" s="4">
        <f ca="1">_xlfn.IFNA(VLOOKUP(INDIRECT("G"&amp;ROW()),minfo!$A:$M,COLUMN()-8,0),"")</f>
        <v>0</v>
      </c>
    </row>
    <row r="1128" spans="1:21" ht="15.75" customHeight="1">
      <c r="A1128" s="15">
        <v>1127</v>
      </c>
      <c r="B1128" s="4" t="s">
        <v>4736</v>
      </c>
      <c r="C1128" s="4">
        <v>1128</v>
      </c>
      <c r="D1128" s="4">
        <v>142</v>
      </c>
      <c r="E1128" s="4" t="s">
        <v>81</v>
      </c>
      <c r="F1128" s="16">
        <v>44729</v>
      </c>
      <c r="G1128" s="5" t="s">
        <v>81</v>
      </c>
      <c r="H1128" s="5" t="s">
        <v>4585</v>
      </c>
      <c r="I1128" s="24" t="str">
        <f>HYPERLINK("https://www.bilibili.com/video/BV1o3411T7Yn?p=142", "BV1o3411T7Yn?p=142")</f>
        <v>BV1o3411T7Yn?p=142</v>
      </c>
      <c r="J1128" s="4" t="str">
        <f ca="1">_xlfn.IFNA(VLOOKUP(INDIRECT("G"&amp;ROW()),minfo!$A:$M,COLUMN()-8,0),"")</f>
        <v>从前的月光</v>
      </c>
      <c r="K1128" s="4" t="str">
        <f ca="1">_xlfn.IFNA(VLOOKUP(INDIRECT("G"&amp;ROW()),minfo!$A:$M,COLUMN()-8,0),"")</f>
        <v>说说Crystal</v>
      </c>
      <c r="L1128" s="4" t="str">
        <f ca="1">_xlfn.IFNA(VLOOKUP(INDIRECT("G"&amp;ROW()),minfo!$A:$M,COLUMN()-8,0),"")</f>
        <v>BV1H34y1Z7Re</v>
      </c>
      <c r="M1128" s="4">
        <f ca="1">_xlfn.IFNA(VLOOKUP(INDIRECT("G"&amp;ROW()),minfo!$A:$M,COLUMN()-8,0),"")</f>
        <v>0</v>
      </c>
      <c r="N1128" s="4">
        <f ca="1">_xlfn.IFNA(VLOOKUP(INDIRECT("G"&amp;ROW()),minfo!$A:$M,COLUMN()-8,0),"")</f>
        <v>0</v>
      </c>
      <c r="O1128" s="4">
        <f ca="1">_xlfn.IFNA(VLOOKUP(INDIRECT("G"&amp;ROW()),minfo!$A:$M,COLUMN()-8,0),"")</f>
        <v>0</v>
      </c>
      <c r="P1128" s="4">
        <f ca="1">_xlfn.IFNA(VLOOKUP(INDIRECT("G"&amp;ROW()),minfo!$A:$M,COLUMN()-8,0),"")</f>
        <v>0</v>
      </c>
      <c r="Q1128" s="4">
        <f ca="1">_xlfn.IFNA(VLOOKUP(INDIRECT("G"&amp;ROW()),minfo!$A:$M,COLUMN()-8,0),"")</f>
        <v>0</v>
      </c>
      <c r="R1128" s="4">
        <f ca="1">_xlfn.IFNA(VLOOKUP(INDIRECT("G"&amp;ROW()),minfo!$A:$M,COLUMN()-8,0),"")</f>
        <v>0</v>
      </c>
      <c r="S1128" s="4">
        <f ca="1">_xlfn.IFNA(VLOOKUP(INDIRECT("G"&amp;ROW()),minfo!$A:$M,COLUMN()-8,0),"")</f>
        <v>0</v>
      </c>
      <c r="T1128" s="4">
        <f ca="1">_xlfn.IFNA(VLOOKUP(INDIRECT("G"&amp;ROW()),minfo!$A:$M,COLUMN()-8,0),"")</f>
        <v>0</v>
      </c>
      <c r="U1128" s="4">
        <f ca="1">_xlfn.IFNA(VLOOKUP(INDIRECT("G"&amp;ROW()),minfo!$A:$M,COLUMN()-8,0),"")</f>
        <v>0</v>
      </c>
    </row>
    <row r="1129" spans="1:21" ht="15.75" customHeight="1">
      <c r="A1129" s="15">
        <v>1128</v>
      </c>
      <c r="B1129" s="4" t="s">
        <v>4737</v>
      </c>
      <c r="C1129" s="4">
        <v>1129</v>
      </c>
      <c r="D1129" s="4">
        <v>143</v>
      </c>
      <c r="E1129" s="4" t="s">
        <v>126</v>
      </c>
      <c r="F1129" s="16">
        <v>44730</v>
      </c>
      <c r="G1129" s="5" t="s">
        <v>3084</v>
      </c>
      <c r="H1129" s="5" t="s">
        <v>4585</v>
      </c>
      <c r="I1129" s="24" t="str">
        <f>HYPERLINK("https://www.bilibili.com/video/BV1o3411T7Yn?p=143", "BV1o3411T7Yn?p=143")</f>
        <v>BV1o3411T7Yn?p=143</v>
      </c>
      <c r="J1129" s="4" t="str">
        <f ca="1">_xlfn.IFNA(VLOOKUP(INDIRECT("G"&amp;ROW()),minfo!$A:$M,COLUMN()-8,0),"")</f>
        <v>最后一页</v>
      </c>
      <c r="K1129" s="4" t="str">
        <f ca="1">_xlfn.IFNA(VLOOKUP(INDIRECT("G"&amp;ROW()),minfo!$A:$M,COLUMN()-8,0),"")</f>
        <v>江语晨</v>
      </c>
      <c r="L1129" s="4">
        <f ca="1">_xlfn.IFNA(VLOOKUP(INDIRECT("G"&amp;ROW()),minfo!$A:$M,COLUMN()-8,0),"")</f>
        <v>0</v>
      </c>
      <c r="M1129" s="4">
        <f ca="1">_xlfn.IFNA(VLOOKUP(INDIRECT("G"&amp;ROW()),minfo!$A:$M,COLUMN()-8,0),"")</f>
        <v>0</v>
      </c>
      <c r="N1129" s="4">
        <f ca="1">_xlfn.IFNA(VLOOKUP(INDIRECT("G"&amp;ROW()),minfo!$A:$M,COLUMN()-8,0),"")</f>
        <v>0</v>
      </c>
      <c r="O1129" s="4" t="str">
        <f ca="1">_xlfn.IFNA(VLOOKUP(INDIRECT("G"&amp;ROW()),minfo!$A:$M,COLUMN()-8,0),"")</f>
        <v>http://i0.hdslb.com/bfs/station_src/music_metadata/03829d07e510b264a8ee03b9ff99af1d.jpg</v>
      </c>
      <c r="P1129" s="4" t="str">
        <f ca="1">_xlfn.IFNA(VLOOKUP(INDIRECT("G"&amp;ROW()),minfo!$A:$M,COLUMN()-8,0),"")</f>
        <v>http://i0.hdslb.com/bfs/station_src/music_metadata/99e9792086eeea86ae744bc267bcf796</v>
      </c>
      <c r="Q1129" s="4">
        <f ca="1">_xlfn.IFNA(VLOOKUP(INDIRECT("G"&amp;ROW()),minfo!$A:$M,COLUMN()-8,0),"")</f>
        <v>6399</v>
      </c>
      <c r="R1129" s="4" t="str">
        <f ca="1">_xlfn.IFNA(VLOOKUP(INDIRECT("G"&amp;ROW()),minfo!$A:$M,COLUMN()-8,0),"")</f>
        <v>爱只能在回忆里完整</v>
      </c>
      <c r="S1129" s="4" t="str">
        <f ca="1">_xlfn.IFNA(VLOOKUP(INDIRECT("G"&amp;ROW()),minfo!$A:$M,COLUMN()-8,0),"")</f>
        <v>恋习</v>
      </c>
      <c r="T1129" s="4">
        <f ca="1">_xlfn.IFNA(VLOOKUP(INDIRECT("G"&amp;ROW()),minfo!$A:$M,COLUMN()-8,0),"")</f>
        <v>834285022</v>
      </c>
      <c r="U1129" s="4" t="str">
        <f ca="1">_xlfn.IFNA(VLOOKUP(INDIRECT("G"&amp;ROW()),minfo!$A:$M,COLUMN()-8,0),"")</f>
        <v>音乐榜最高NO.10</v>
      </c>
    </row>
    <row r="1130" spans="1:21" ht="15.75" customHeight="1">
      <c r="A1130" s="15">
        <v>1129</v>
      </c>
      <c r="B1130" s="4" t="s">
        <v>4738</v>
      </c>
      <c r="C1130" s="4">
        <v>1130</v>
      </c>
      <c r="D1130" s="4">
        <v>144</v>
      </c>
      <c r="E1130" s="4" t="s">
        <v>4739</v>
      </c>
      <c r="F1130" s="16">
        <v>44730</v>
      </c>
      <c r="G1130" s="5" t="s">
        <v>2537</v>
      </c>
      <c r="H1130" s="5" t="s">
        <v>4585</v>
      </c>
      <c r="I1130" s="24" t="str">
        <f>HYPERLINK("https://www.bilibili.com/video/BV1o3411T7Yn?p=144", "BV1o3411T7Yn?p=144")</f>
        <v>BV1o3411T7Yn?p=144</v>
      </c>
      <c r="J1130" s="4" t="str">
        <f ca="1">_xlfn.IFNA(VLOOKUP(INDIRECT("G"&amp;ROW()),minfo!$A:$M,COLUMN()-8,0),"")</f>
        <v>假如</v>
      </c>
      <c r="K1130" s="4" t="str">
        <f ca="1">_xlfn.IFNA(VLOOKUP(INDIRECT("G"&amp;ROW()),minfo!$A:$M,COLUMN()-8,0),"")</f>
        <v>杜丽莎</v>
      </c>
      <c r="L1130" s="4">
        <f ca="1">_xlfn.IFNA(VLOOKUP(INDIRECT("G"&amp;ROW()),minfo!$A:$M,COLUMN()-8,0),"")</f>
        <v>0</v>
      </c>
      <c r="M1130" s="4">
        <f ca="1">_xlfn.IFNA(VLOOKUP(INDIRECT("G"&amp;ROW()),minfo!$A:$M,COLUMN()-8,0),"")</f>
        <v>0</v>
      </c>
      <c r="N1130" s="4">
        <f ca="1">_xlfn.IFNA(VLOOKUP(INDIRECT("G"&amp;ROW()),minfo!$A:$M,COLUMN()-8,0),"")</f>
        <v>0</v>
      </c>
      <c r="O1130" s="4" t="str">
        <f ca="1">_xlfn.IFNA(VLOOKUP(INDIRECT("G"&amp;ROW()),minfo!$A:$M,COLUMN()-8,0),"")</f>
        <v>http://i0.hdslb.com/bfs/station_src/music_metadata/6f4e74acc9095fbeae55e9a41071311a.jpg</v>
      </c>
      <c r="P1130" s="4" t="str">
        <f ca="1">_xlfn.IFNA(VLOOKUP(INDIRECT("G"&amp;ROW()),minfo!$A:$M,COLUMN()-8,0),"")</f>
        <v>http://i0.hdslb.com/bfs/station_src/music_metadata/e5761e6cd52e351d42abfdcf1d7f75f0</v>
      </c>
      <c r="Q1130" s="4">
        <f ca="1">_xlfn.IFNA(VLOOKUP(INDIRECT("G"&amp;ROW()),minfo!$A:$M,COLUMN()-8,0),"")</f>
        <v>8</v>
      </c>
      <c r="R1130" s="4">
        <f ca="1">_xlfn.IFNA(VLOOKUP(INDIRECT("G"&amp;ROW()),minfo!$A:$M,COLUMN()-8,0),"")</f>
        <v>0</v>
      </c>
      <c r="S1130" s="4" t="str">
        <f ca="1">_xlfn.IFNA(VLOOKUP(INDIRECT("G"&amp;ROW()),minfo!$A:$M,COLUMN()-8,0),"")</f>
        <v>I Still Remember</v>
      </c>
      <c r="T1130" s="4">
        <f ca="1">_xlfn.IFNA(VLOOKUP(INDIRECT("G"&amp;ROW()),minfo!$A:$M,COLUMN()-8,0),"")</f>
        <v>12386821</v>
      </c>
      <c r="U1130" s="4">
        <f ca="1">_xlfn.IFNA(VLOOKUP(INDIRECT("G"&amp;ROW()),minfo!$A:$M,COLUMN()-8,0),"")</f>
        <v>0</v>
      </c>
    </row>
    <row r="1131" spans="1:21" ht="15.75" customHeight="1">
      <c r="A1131" s="15">
        <v>1130</v>
      </c>
      <c r="B1131" s="4" t="s">
        <v>4740</v>
      </c>
      <c r="C1131" s="4">
        <v>1131</v>
      </c>
      <c r="D1131" s="4">
        <v>145</v>
      </c>
      <c r="E1131" s="4" t="s">
        <v>688</v>
      </c>
      <c r="F1131" s="16">
        <v>44730</v>
      </c>
      <c r="G1131" s="5" t="s">
        <v>687</v>
      </c>
      <c r="H1131" s="5" t="s">
        <v>4585</v>
      </c>
      <c r="I1131" s="24" t="str">
        <f>HYPERLINK("https://www.bilibili.com/video/BV1o3411T7Yn?p=145", "BV1o3411T7Yn?p=145")</f>
        <v>BV1o3411T7Yn?p=145</v>
      </c>
      <c r="J1131" s="4" t="str">
        <f ca="1">_xlfn.IFNA(VLOOKUP(INDIRECT("G"&amp;ROW()),minfo!$A:$M,COLUMN()-8,0),"")</f>
        <v>关键词</v>
      </c>
      <c r="K1131" s="4" t="str">
        <f ca="1">_xlfn.IFNA(VLOOKUP(INDIRECT("G"&amp;ROW()),minfo!$A:$M,COLUMN()-8,0),"")</f>
        <v>林俊杰</v>
      </c>
      <c r="L1131" s="4">
        <f ca="1">_xlfn.IFNA(VLOOKUP(INDIRECT("G"&amp;ROW()),minfo!$A:$M,COLUMN()-8,0),"")</f>
        <v>0</v>
      </c>
      <c r="M1131" s="4">
        <f ca="1">_xlfn.IFNA(VLOOKUP(INDIRECT("G"&amp;ROW()),minfo!$A:$M,COLUMN()-8,0),"")</f>
        <v>314</v>
      </c>
      <c r="N1131" s="4">
        <f ca="1">_xlfn.IFNA(VLOOKUP(INDIRECT("G"&amp;ROW()),minfo!$A:$M,COLUMN()-8,0),"")</f>
        <v>49</v>
      </c>
      <c r="O1131" s="4" t="str">
        <f ca="1">_xlfn.IFNA(VLOOKUP(INDIRECT("G"&amp;ROW()),minfo!$A:$M,COLUMN()-8,0),"")</f>
        <v>http://i0.hdslb.com/bfs/station_src/music_metadata/2a51c18f069a58269fc8cde88e0fb107.jpg</v>
      </c>
      <c r="P1131" s="4" t="str">
        <f ca="1">_xlfn.IFNA(VLOOKUP(INDIRECT("G"&amp;ROW()),minfo!$A:$M,COLUMN()-8,0),"")</f>
        <v>http://i0.hdslb.com/bfs/station_src/music_metadata/b66ef916b6cf54b30ab6d5ba87db00fd</v>
      </c>
      <c r="Q1131" s="4">
        <f ca="1">_xlfn.IFNA(VLOOKUP(INDIRECT("G"&amp;ROW()),minfo!$A:$M,COLUMN()-8,0),"")</f>
        <v>765</v>
      </c>
      <c r="R1131" s="4">
        <f ca="1">_xlfn.IFNA(VLOOKUP(INDIRECT("G"&amp;ROW()),minfo!$A:$M,COLUMN()-8,0),"")</f>
        <v>0</v>
      </c>
      <c r="S1131" s="4" t="str">
        <f ca="1">_xlfn.IFNA(VLOOKUP(INDIRECT("G"&amp;ROW()),minfo!$A:$M,COLUMN()-8,0),"")</f>
        <v>和自己对话 From M.E. To Myself</v>
      </c>
      <c r="T1131" s="4">
        <f ca="1">_xlfn.IFNA(VLOOKUP(INDIRECT("G"&amp;ROW()),minfo!$A:$M,COLUMN()-8,0),"")</f>
        <v>287090873</v>
      </c>
      <c r="U1131" s="4">
        <f ca="1">_xlfn.IFNA(VLOOKUP(INDIRECT("G"&amp;ROW()),minfo!$A:$M,COLUMN()-8,0),"")</f>
        <v>0</v>
      </c>
    </row>
    <row r="1132" spans="1:21" ht="15.75" customHeight="1">
      <c r="A1132" s="15">
        <v>1131</v>
      </c>
      <c r="B1132" s="4" t="s">
        <v>4741</v>
      </c>
      <c r="C1132" s="4">
        <v>1132</v>
      </c>
      <c r="D1132" s="4">
        <v>146</v>
      </c>
      <c r="E1132" s="4" t="s">
        <v>872</v>
      </c>
      <c r="F1132" s="16">
        <v>44730</v>
      </c>
      <c r="G1132" s="5" t="s">
        <v>871</v>
      </c>
      <c r="H1132" s="5" t="s">
        <v>4585</v>
      </c>
      <c r="I1132" s="24" t="str">
        <f>HYPERLINK("https://www.bilibili.com/video/BV1o3411T7Yn?p=146", "BV1o3411T7Yn?p=146")</f>
        <v>BV1o3411T7Yn?p=146</v>
      </c>
      <c r="J1132" s="4" t="str">
        <f ca="1">_xlfn.IFNA(VLOOKUP(INDIRECT("G"&amp;ROW()),minfo!$A:$M,COLUMN()-8,0),"")</f>
        <v>一样的月光</v>
      </c>
      <c r="K1132" s="4" t="str">
        <f ca="1">_xlfn.IFNA(VLOOKUP(INDIRECT("G"&amp;ROW()),minfo!$A:$M,COLUMN()-8,0),"")</f>
        <v>徐佳莹</v>
      </c>
      <c r="L1132" s="4">
        <f ca="1">_xlfn.IFNA(VLOOKUP(INDIRECT("G"&amp;ROW()),minfo!$A:$M,COLUMN()-8,0),"")</f>
        <v>0</v>
      </c>
      <c r="M1132" s="4">
        <f ca="1">_xlfn.IFNA(VLOOKUP(INDIRECT("G"&amp;ROW()),minfo!$A:$M,COLUMN()-8,0),"")</f>
        <v>0</v>
      </c>
      <c r="N1132" s="4">
        <f ca="1">_xlfn.IFNA(VLOOKUP(INDIRECT("G"&amp;ROW()),minfo!$A:$M,COLUMN()-8,0),"")</f>
        <v>0</v>
      </c>
      <c r="O1132" s="4" t="str">
        <f ca="1">_xlfn.IFNA(VLOOKUP(INDIRECT("G"&amp;ROW()),minfo!$A:$M,COLUMN()-8,0),"")</f>
        <v>https://i0.hdslb.com/bfs/station_src/music_metadata/bb47ed0b6da92d07d9492a6e3982d7f7.jpg</v>
      </c>
      <c r="P1132" s="4" t="str">
        <f ca="1">_xlfn.IFNA(VLOOKUP(INDIRECT("G"&amp;ROW()),minfo!$A:$M,COLUMN()-8,0),"")</f>
        <v>http://i0.hdslb.com/bfs/station_src/music_metadata/df58f5b1cd8da2f562b22b6c913ab846</v>
      </c>
      <c r="Q1132" s="4">
        <f ca="1">_xlfn.IFNA(VLOOKUP(INDIRECT("G"&amp;ROW()),minfo!$A:$M,COLUMN()-8,0),"")</f>
        <v>1830</v>
      </c>
      <c r="R1132" s="4">
        <f ca="1">_xlfn.IFNA(VLOOKUP(INDIRECT("G"&amp;ROW()),minfo!$A:$M,COLUMN()-8,0),"")</f>
        <v>0</v>
      </c>
      <c r="S1132" s="4" t="str">
        <f ca="1">_xlfn.IFNA(VLOOKUP(INDIRECT("G"&amp;ROW()),minfo!$A:$M,COLUMN()-8,0),"")</f>
        <v>LaLa首张创作专辑</v>
      </c>
      <c r="T1132" s="4">
        <f ca="1">_xlfn.IFNA(VLOOKUP(INDIRECT("G"&amp;ROW()),minfo!$A:$M,COLUMN()-8,0),"")</f>
        <v>312017425</v>
      </c>
      <c r="U1132" s="4">
        <f ca="1">_xlfn.IFNA(VLOOKUP(INDIRECT("G"&amp;ROW()),minfo!$A:$M,COLUMN()-8,0),"")</f>
        <v>0</v>
      </c>
    </row>
    <row r="1133" spans="1:21" ht="15.75" customHeight="1">
      <c r="A1133" s="15">
        <v>1132</v>
      </c>
      <c r="B1133" s="4" t="s">
        <v>4742</v>
      </c>
      <c r="C1133" s="4">
        <v>1133</v>
      </c>
      <c r="D1133" s="4">
        <v>147</v>
      </c>
      <c r="E1133" s="4" t="s">
        <v>2169</v>
      </c>
      <c r="F1133" s="16">
        <v>44730</v>
      </c>
      <c r="G1133" s="5" t="s">
        <v>2168</v>
      </c>
      <c r="H1133" s="5" t="s">
        <v>4585</v>
      </c>
      <c r="I1133" s="24" t="str">
        <f>HYPERLINK("https://www.bilibili.com/video/BV1o3411T7Yn?p=147", "BV1o3411T7Yn?p=147")</f>
        <v>BV1o3411T7Yn?p=147</v>
      </c>
      <c r="J1133" s="4" t="str">
        <f ca="1">_xlfn.IFNA(VLOOKUP(INDIRECT("G"&amp;ROW()),minfo!$A:$M,COLUMN()-8,0),"")</f>
        <v>言不由衷</v>
      </c>
      <c r="K1133" s="4" t="str">
        <f ca="1">_xlfn.IFNA(VLOOKUP(INDIRECT("G"&amp;ROW()),minfo!$A:$M,COLUMN()-8,0),"")</f>
        <v>徐佳莹</v>
      </c>
      <c r="L1133" s="4">
        <f ca="1">_xlfn.IFNA(VLOOKUP(INDIRECT("G"&amp;ROW()),minfo!$A:$M,COLUMN()-8,0),"")</f>
        <v>0</v>
      </c>
      <c r="M1133" s="4">
        <f ca="1">_xlfn.IFNA(VLOOKUP(INDIRECT("G"&amp;ROW()),minfo!$A:$M,COLUMN()-8,0),"")</f>
        <v>0</v>
      </c>
      <c r="N1133" s="4">
        <f ca="1">_xlfn.IFNA(VLOOKUP(INDIRECT("G"&amp;ROW()),minfo!$A:$M,COLUMN()-8,0),"")</f>
        <v>0</v>
      </c>
      <c r="O1133" s="4" t="str">
        <f ca="1">_xlfn.IFNA(VLOOKUP(INDIRECT("G"&amp;ROW()),minfo!$A:$M,COLUMN()-8,0),"")</f>
        <v>https://i0.hdslb.com/bfs/station_src/music_metadata/d53323b88a45f35af4b93dbdc250a4ea.jpg</v>
      </c>
      <c r="P1133" s="4" t="str">
        <f ca="1">_xlfn.IFNA(VLOOKUP(INDIRECT("G"&amp;ROW()),minfo!$A:$M,COLUMN()-8,0),"")</f>
        <v>https://i0.hdslb.com/bfs/station_src/music_metadata/05b85d974806252c94b65236cde1d36d.txt</v>
      </c>
      <c r="Q1133" s="4">
        <f ca="1">_xlfn.IFNA(VLOOKUP(INDIRECT("G"&amp;ROW()),minfo!$A:$M,COLUMN()-8,0),"")</f>
        <v>6</v>
      </c>
      <c r="R1133" s="4" t="str">
        <f ca="1">_xlfn.IFNA(VLOOKUP(INDIRECT("G"&amp;ROW()),minfo!$A:$M,COLUMN()-8,0),"")</f>
        <v>言不由衷</v>
      </c>
      <c r="S1133" s="4" t="str">
        <f ca="1">_xlfn.IFNA(VLOOKUP(INDIRECT("G"&amp;ROW()),minfo!$A:$M,COLUMN()-8,0),"")</f>
        <v>心里学</v>
      </c>
      <c r="T1133" s="4">
        <f ca="1">_xlfn.IFNA(VLOOKUP(INDIRECT("G"&amp;ROW()),minfo!$A:$M,COLUMN()-8,0),"")</f>
        <v>7489437</v>
      </c>
      <c r="U1133" s="4">
        <f ca="1">_xlfn.IFNA(VLOOKUP(INDIRECT("G"&amp;ROW()),minfo!$A:$M,COLUMN()-8,0),"")</f>
        <v>0</v>
      </c>
    </row>
    <row r="1134" spans="1:21" ht="15.75" customHeight="1">
      <c r="A1134" s="15">
        <v>1133</v>
      </c>
      <c r="B1134" s="4" t="s">
        <v>4743</v>
      </c>
      <c r="C1134" s="4">
        <v>1134</v>
      </c>
      <c r="D1134" s="4">
        <v>148</v>
      </c>
      <c r="E1134" s="4" t="s">
        <v>1944</v>
      </c>
      <c r="F1134" s="16">
        <v>44732</v>
      </c>
      <c r="G1134" s="5" t="s">
        <v>1943</v>
      </c>
      <c r="H1134" s="5" t="s">
        <v>4585</v>
      </c>
      <c r="I1134" s="24" t="str">
        <f>HYPERLINK("https://www.bilibili.com/video/BV1o3411T7Yn?p=148", "BV1o3411T7Yn?p=148")</f>
        <v>BV1o3411T7Yn?p=148</v>
      </c>
      <c r="J1134" s="4" t="str">
        <f ca="1">_xlfn.IFNA(VLOOKUP(INDIRECT("G"&amp;ROW()),minfo!$A:$M,COLUMN()-8,0),"")</f>
        <v>秋意浓</v>
      </c>
      <c r="K1134" s="4" t="str">
        <f ca="1">_xlfn.IFNA(VLOOKUP(INDIRECT("G"&amp;ROW()),minfo!$A:$M,COLUMN()-8,0),"")</f>
        <v>张靓颖</v>
      </c>
      <c r="L1134" s="4">
        <f ca="1">_xlfn.IFNA(VLOOKUP(INDIRECT("G"&amp;ROW()),minfo!$A:$M,COLUMN()-8,0),"")</f>
        <v>0</v>
      </c>
      <c r="M1134" s="4">
        <f ca="1">_xlfn.IFNA(VLOOKUP(INDIRECT("G"&amp;ROW()),minfo!$A:$M,COLUMN()-8,0),"")</f>
        <v>0</v>
      </c>
      <c r="N1134" s="4">
        <f ca="1">_xlfn.IFNA(VLOOKUP(INDIRECT("G"&amp;ROW()),minfo!$A:$M,COLUMN()-8,0),"")</f>
        <v>0</v>
      </c>
      <c r="O1134" s="4" t="str">
        <f ca="1">_xlfn.IFNA(VLOOKUP(INDIRECT("G"&amp;ROW()),minfo!$A:$M,COLUMN()-8,0),"")</f>
        <v>https://i0.hdslb.com/bfs/station_src/music_metadata/394ea121b46beb843f2de75e87615cc7.jpg</v>
      </c>
      <c r="P1134" s="4" t="str">
        <f ca="1">_xlfn.IFNA(VLOOKUP(INDIRECT("G"&amp;ROW()),minfo!$A:$M,COLUMN()-8,0),"")</f>
        <v>https://i0.hdslb.com/bfs/station_src/music_metadata/fefb145cd078fb494f996b0b8ce60802.txt</v>
      </c>
      <c r="Q1134" s="4">
        <f ca="1">_xlfn.IFNA(VLOOKUP(INDIRECT("G"&amp;ROW()),minfo!$A:$M,COLUMN()-8,0),"")</f>
        <v>2</v>
      </c>
      <c r="R1134" s="4">
        <f ca="1">_xlfn.IFNA(VLOOKUP(INDIRECT("G"&amp;ROW()),minfo!$A:$M,COLUMN()-8,0),"")</f>
        <v>0</v>
      </c>
      <c r="S1134" s="4" t="str">
        <f ca="1">_xlfn.IFNA(VLOOKUP(INDIRECT("G"&amp;ROW()),minfo!$A:$M,COLUMN()-8,0),"")</f>
        <v>倾听·张靓颖</v>
      </c>
      <c r="T1134" s="4">
        <f ca="1">_xlfn.IFNA(VLOOKUP(INDIRECT("G"&amp;ROW()),minfo!$A:$M,COLUMN()-8,0),"")</f>
        <v>3606375</v>
      </c>
      <c r="U1134" s="4">
        <f ca="1">_xlfn.IFNA(VLOOKUP(INDIRECT("G"&amp;ROW()),minfo!$A:$M,COLUMN()-8,0),"")</f>
        <v>0</v>
      </c>
    </row>
    <row r="1135" spans="1:21" ht="15.75" customHeight="1">
      <c r="A1135" s="15">
        <v>1134</v>
      </c>
      <c r="B1135" s="4" t="s">
        <v>4744</v>
      </c>
      <c r="C1135" s="4">
        <v>1135</v>
      </c>
      <c r="D1135" s="4">
        <v>149</v>
      </c>
      <c r="E1135" s="4" t="s">
        <v>1698</v>
      </c>
      <c r="F1135" s="16">
        <v>44732</v>
      </c>
      <c r="G1135" s="5" t="s">
        <v>1697</v>
      </c>
      <c r="H1135" s="5" t="s">
        <v>4585</v>
      </c>
      <c r="I1135" s="24" t="str">
        <f>HYPERLINK("https://www.bilibili.com/video/BV1o3411T7Yn?p=149", "BV1o3411T7Yn?p=149")</f>
        <v>BV1o3411T7Yn?p=149</v>
      </c>
      <c r="J1135" s="4" t="str">
        <f ca="1">_xlfn.IFNA(VLOOKUP(INDIRECT("G"&amp;ROW()),minfo!$A:$M,COLUMN()-8,0),"")</f>
        <v>再遇见</v>
      </c>
      <c r="K1135" s="4" t="str">
        <f ca="1">_xlfn.IFNA(VLOOKUP(INDIRECT("G"&amp;ROW()),minfo!$A:$M,COLUMN()-8,0),"")</f>
        <v>苏打绿</v>
      </c>
      <c r="L1135" s="4">
        <f ca="1">_xlfn.IFNA(VLOOKUP(INDIRECT("G"&amp;ROW()),minfo!$A:$M,COLUMN()-8,0),"")</f>
        <v>0</v>
      </c>
      <c r="M1135" s="4">
        <f ca="1">_xlfn.IFNA(VLOOKUP(INDIRECT("G"&amp;ROW()),minfo!$A:$M,COLUMN()-8,0),"")</f>
        <v>0</v>
      </c>
      <c r="N1135" s="4">
        <f ca="1">_xlfn.IFNA(VLOOKUP(INDIRECT("G"&amp;ROW()),minfo!$A:$M,COLUMN()-8,0),"")</f>
        <v>0</v>
      </c>
      <c r="O1135" s="4" t="str">
        <f ca="1">_xlfn.IFNA(VLOOKUP(INDIRECT("G"&amp;ROW()),minfo!$A:$M,COLUMN()-8,0),"")</f>
        <v>https://i0.hdslb.com/bfs/station_src/music_metadata/a9b3cc3d098eca9c8e1558943ba693dc.jpg</v>
      </c>
      <c r="P1135" s="4" t="str">
        <f ca="1">_xlfn.IFNA(VLOOKUP(INDIRECT("G"&amp;ROW()),minfo!$A:$M,COLUMN()-8,0),"")</f>
        <v>https://i0.hdslb.com/bfs/station_src/music_metadata/cfe2c0a134e1f366de1194f09697b3b7.txt</v>
      </c>
      <c r="Q1135" s="4">
        <f ca="1">_xlfn.IFNA(VLOOKUP(INDIRECT("G"&amp;ROW()),minfo!$A:$M,COLUMN()-8,0),"")</f>
        <v>32</v>
      </c>
      <c r="R1135" s="4">
        <f ca="1">_xlfn.IFNA(VLOOKUP(INDIRECT("G"&amp;ROW()),minfo!$A:$M,COLUMN()-8,0),"")</f>
        <v>0</v>
      </c>
      <c r="S1135" s="4" t="str">
        <f ca="1">_xlfn.IFNA(VLOOKUP(INDIRECT("G"&amp;ROW()),minfo!$A:$M,COLUMN()-8,0),"")</f>
        <v>中国音乐电视</v>
      </c>
      <c r="T1135" s="4">
        <f ca="1">_xlfn.IFNA(VLOOKUP(INDIRECT("G"&amp;ROW()),minfo!$A:$M,COLUMN()-8,0),"")</f>
        <v>8068421</v>
      </c>
      <c r="U1135" s="4">
        <f ca="1">_xlfn.IFNA(VLOOKUP(INDIRECT("G"&amp;ROW()),minfo!$A:$M,COLUMN()-8,0),"")</f>
        <v>0</v>
      </c>
    </row>
    <row r="1136" spans="1:21" ht="15.75" customHeight="1">
      <c r="A1136" s="15">
        <v>1135</v>
      </c>
      <c r="B1136" s="4" t="s">
        <v>4745</v>
      </c>
      <c r="C1136" s="4">
        <v>1136</v>
      </c>
      <c r="D1136" s="4">
        <v>150</v>
      </c>
      <c r="E1136" s="4" t="s">
        <v>1504</v>
      </c>
      <c r="F1136" s="16">
        <v>44734</v>
      </c>
      <c r="G1136" s="5" t="s">
        <v>1503</v>
      </c>
      <c r="H1136" s="5" t="s">
        <v>4585</v>
      </c>
      <c r="I1136" s="24" t="str">
        <f>HYPERLINK("https://www.bilibili.com/video/BV1o3411T7Yn?p=150", "BV1o3411T7Yn?p=150")</f>
        <v>BV1o3411T7Yn?p=150</v>
      </c>
      <c r="J1136" s="4" t="str">
        <f ca="1">_xlfn.IFNA(VLOOKUP(INDIRECT("G"&amp;ROW()),minfo!$A:$M,COLUMN()-8,0),"")</f>
        <v>蒲公英的约定</v>
      </c>
      <c r="K1136" s="4" t="str">
        <f ca="1">_xlfn.IFNA(VLOOKUP(INDIRECT("G"&amp;ROW()),minfo!$A:$M,COLUMN()-8,0),"")</f>
        <v>周杰伦</v>
      </c>
      <c r="L1136" s="4">
        <f ca="1">_xlfn.IFNA(VLOOKUP(INDIRECT("G"&amp;ROW()),minfo!$A:$M,COLUMN()-8,0),"")</f>
        <v>0</v>
      </c>
      <c r="M1136" s="4">
        <f ca="1">_xlfn.IFNA(VLOOKUP(INDIRECT("G"&amp;ROW()),minfo!$A:$M,COLUMN()-8,0),"")</f>
        <v>0</v>
      </c>
      <c r="N1136" s="4">
        <f ca="1">_xlfn.IFNA(VLOOKUP(INDIRECT("G"&amp;ROW()),minfo!$A:$M,COLUMN()-8,0),"")</f>
        <v>0</v>
      </c>
      <c r="O1136" s="4" t="str">
        <f ca="1">_xlfn.IFNA(VLOOKUP(INDIRECT("G"&amp;ROW()),minfo!$A:$M,COLUMN()-8,0),"")</f>
        <v>https://i0.hdslb.com/bfs/station_src/music_metadata/def25ce07624152bcd4c15c64b585b2b.jpg</v>
      </c>
      <c r="P1136" s="4" t="str">
        <f ca="1">_xlfn.IFNA(VLOOKUP(INDIRECT("G"&amp;ROW()),minfo!$A:$M,COLUMN()-8,0),"")</f>
        <v>copyright-crawler/music/task-lyric/650e62cdfad724c0d01131df.txt</v>
      </c>
      <c r="Q1136" s="4">
        <f ca="1">_xlfn.IFNA(VLOOKUP(INDIRECT("G"&amp;ROW()),minfo!$A:$M,COLUMN()-8,0),"")</f>
        <v>5783</v>
      </c>
      <c r="R1136" s="4" t="str">
        <f ca="1">_xlfn.IFNA(VLOOKUP(INDIRECT("G"&amp;ROW()),minfo!$A:$M,COLUMN()-8,0),"")</f>
        <v>蒲公英的约定</v>
      </c>
      <c r="S1136" s="4" t="str">
        <f ca="1">_xlfn.IFNA(VLOOKUP(INDIRECT("G"&amp;ROW()),minfo!$A:$M,COLUMN()-8,0),"")</f>
        <v>我很忙</v>
      </c>
      <c r="T1136" s="4">
        <f ca="1">_xlfn.IFNA(VLOOKUP(INDIRECT("G"&amp;ROW()),minfo!$A:$M,COLUMN()-8,0),"")</f>
        <v>746779605</v>
      </c>
      <c r="U1136" s="4" t="str">
        <f ca="1">_xlfn.IFNA(VLOOKUP(INDIRECT("G"&amp;ROW()),minfo!$A:$M,COLUMN()-8,0),"")</f>
        <v>音乐榜最高NO.11</v>
      </c>
    </row>
    <row r="1137" spans="1:21" ht="15.75" customHeight="1">
      <c r="A1137" s="15">
        <v>1136</v>
      </c>
      <c r="B1137" s="4" t="s">
        <v>4746</v>
      </c>
      <c r="C1137" s="4">
        <v>1137</v>
      </c>
      <c r="D1137" s="4">
        <v>151</v>
      </c>
      <c r="E1137" s="4" t="s">
        <v>380</v>
      </c>
      <c r="F1137" s="16">
        <v>44734</v>
      </c>
      <c r="G1137" s="5" t="s">
        <v>379</v>
      </c>
      <c r="H1137" s="5" t="s">
        <v>4585</v>
      </c>
      <c r="I1137" s="24" t="str">
        <f>HYPERLINK("https://www.bilibili.com/video/BV1o3411T7Yn?p=151", "BV1o3411T7Yn?p=151")</f>
        <v>BV1o3411T7Yn?p=151</v>
      </c>
      <c r="J1137" s="4" t="str">
        <f ca="1">_xlfn.IFNA(VLOOKUP(INDIRECT("G"&amp;ROW()),minfo!$A:$M,COLUMN()-8,0),"")</f>
        <v>等你下课</v>
      </c>
      <c r="K1137" s="4" t="str">
        <f ca="1">_xlfn.IFNA(VLOOKUP(INDIRECT("G"&amp;ROW()),minfo!$A:$M,COLUMN()-8,0),"")</f>
        <v>周杰伦</v>
      </c>
      <c r="L1137" s="4">
        <f ca="1">_xlfn.IFNA(VLOOKUP(INDIRECT("G"&amp;ROW()),minfo!$A:$M,COLUMN()-8,0),"")</f>
        <v>0</v>
      </c>
      <c r="M1137" s="4">
        <f ca="1">_xlfn.IFNA(VLOOKUP(INDIRECT("G"&amp;ROW()),minfo!$A:$M,COLUMN()-8,0),"")</f>
        <v>80914</v>
      </c>
      <c r="N1137" s="4">
        <f ca="1">_xlfn.IFNA(VLOOKUP(INDIRECT("G"&amp;ROW()),minfo!$A:$M,COLUMN()-8,0),"")</f>
        <v>13096</v>
      </c>
      <c r="O1137" s="4" t="str">
        <f ca="1">_xlfn.IFNA(VLOOKUP(INDIRECT("G"&amp;ROW()),minfo!$A:$M,COLUMN()-8,0),"")</f>
        <v>https://i0.hdslb.com/bfs/station_src/music_metadata/daceac43659e7f7f6326c1570b657381.jpg</v>
      </c>
      <c r="P1137" s="4" t="str">
        <f ca="1">_xlfn.IFNA(VLOOKUP(INDIRECT("G"&amp;ROW()),minfo!$A:$M,COLUMN()-8,0),"")</f>
        <v>http://i0.hdslb.com/bfs/station_src/music_metadata/1b827e689cae1db38482c44b47c8737a</v>
      </c>
      <c r="Q1137" s="4">
        <f ca="1">_xlfn.IFNA(VLOOKUP(INDIRECT("G"&amp;ROW()),minfo!$A:$M,COLUMN()-8,0),"")</f>
        <v>2038</v>
      </c>
      <c r="R1137" s="4">
        <f ca="1">_xlfn.IFNA(VLOOKUP(INDIRECT("G"&amp;ROW()),minfo!$A:$M,COLUMN()-8,0),"")</f>
        <v>0</v>
      </c>
      <c r="S1137" s="4" t="str">
        <f ca="1">_xlfn.IFNA(VLOOKUP(INDIRECT("G"&amp;ROW()),minfo!$A:$M,COLUMN()-8,0),"")</f>
        <v>等你下课</v>
      </c>
      <c r="T1137" s="4">
        <f ca="1">_xlfn.IFNA(VLOOKUP(INDIRECT("G"&amp;ROW()),minfo!$A:$M,COLUMN()-8,0),"")</f>
        <v>419569575</v>
      </c>
      <c r="U1137" s="4">
        <f ca="1">_xlfn.IFNA(VLOOKUP(INDIRECT("G"&amp;ROW()),minfo!$A:$M,COLUMN()-8,0),"")</f>
        <v>0</v>
      </c>
    </row>
    <row r="1138" spans="1:21" ht="15.75" customHeight="1">
      <c r="A1138" s="15">
        <v>1137</v>
      </c>
      <c r="B1138" s="4" t="s">
        <v>4747</v>
      </c>
      <c r="C1138" s="4">
        <v>1138</v>
      </c>
      <c r="D1138" s="4">
        <v>152</v>
      </c>
      <c r="E1138" s="4" t="s">
        <v>226</v>
      </c>
      <c r="F1138" s="16">
        <v>44734</v>
      </c>
      <c r="G1138" s="5" t="s">
        <v>225</v>
      </c>
      <c r="H1138" s="5" t="s">
        <v>4585</v>
      </c>
      <c r="I1138" s="24" t="str">
        <f>HYPERLINK("https://www.bilibili.com/video/BV1o3411T7Yn?p=152", "BV1o3411T7Yn?p=152")</f>
        <v>BV1o3411T7Yn?p=152</v>
      </c>
      <c r="J1138" s="4" t="str">
        <f ca="1">_xlfn.IFNA(VLOOKUP(INDIRECT("G"&amp;ROW()),minfo!$A:$M,COLUMN()-8,0),"")</f>
        <v>如愿</v>
      </c>
      <c r="K1138" s="4" t="str">
        <f ca="1">_xlfn.IFNA(VLOOKUP(INDIRECT("G"&amp;ROW()),minfo!$A:$M,COLUMN()-8,0),"")</f>
        <v>王菲</v>
      </c>
      <c r="L1138" s="4">
        <f ca="1">_xlfn.IFNA(VLOOKUP(INDIRECT("G"&amp;ROW()),minfo!$A:$M,COLUMN()-8,0),"")</f>
        <v>0</v>
      </c>
      <c r="M1138" s="4">
        <f ca="1">_xlfn.IFNA(VLOOKUP(INDIRECT("G"&amp;ROW()),minfo!$A:$M,COLUMN()-8,0),"")</f>
        <v>0</v>
      </c>
      <c r="N1138" s="4">
        <f ca="1">_xlfn.IFNA(VLOOKUP(INDIRECT("G"&amp;ROW()),minfo!$A:$M,COLUMN()-8,0),"")</f>
        <v>0</v>
      </c>
      <c r="O1138" s="4" t="str">
        <f ca="1">_xlfn.IFNA(VLOOKUP(INDIRECT("G"&amp;ROW()),minfo!$A:$M,COLUMN()-8,0),"")</f>
        <v>http://i0.hdslb.com/bfs/station_src/music_metadata/4c29d6e8ea08a5ae0f90cb123bf5f52d.jpg</v>
      </c>
      <c r="P1138" s="4" t="str">
        <f ca="1">_xlfn.IFNA(VLOOKUP(INDIRECT("G"&amp;ROW()),minfo!$A:$M,COLUMN()-8,0),"")</f>
        <v>http://i0.hdslb.com/bfs/station_src/music_metadata/7dfb091f97b87d41cdb10f22a04b20e6</v>
      </c>
      <c r="Q1138" s="4">
        <f ca="1">_xlfn.IFNA(VLOOKUP(INDIRECT("G"&amp;ROW()),minfo!$A:$M,COLUMN()-8,0),"")</f>
        <v>8985</v>
      </c>
      <c r="R1138" s="4" t="str">
        <f ca="1">_xlfn.IFNA(VLOOKUP(INDIRECT("G"&amp;ROW()),minfo!$A:$M,COLUMN()-8,0),"")</f>
        <v>《我和我的父辈》电影主题推广曲</v>
      </c>
      <c r="S1138" s="4" t="str">
        <f ca="1">_xlfn.IFNA(VLOOKUP(INDIRECT("G"&amp;ROW()),minfo!$A:$M,COLUMN()-8,0),"")</f>
        <v>如愿</v>
      </c>
      <c r="T1138" s="4">
        <f ca="1">_xlfn.IFNA(VLOOKUP(INDIRECT("G"&amp;ROW()),minfo!$A:$M,COLUMN()-8,0),"")</f>
        <v>520502983</v>
      </c>
      <c r="U1138" s="4">
        <f ca="1">_xlfn.IFNA(VLOOKUP(INDIRECT("G"&amp;ROW()),minfo!$A:$M,COLUMN()-8,0),"")</f>
        <v>0</v>
      </c>
    </row>
    <row r="1139" spans="1:21" ht="15.75" customHeight="1">
      <c r="A1139" s="15">
        <v>1138</v>
      </c>
      <c r="B1139" s="4" t="s">
        <v>4748</v>
      </c>
      <c r="C1139" s="4">
        <v>1139</v>
      </c>
      <c r="D1139" s="4">
        <v>153</v>
      </c>
      <c r="E1139" s="4" t="s">
        <v>2230</v>
      </c>
      <c r="F1139" s="16">
        <v>44734</v>
      </c>
      <c r="G1139" s="5" t="s">
        <v>2229</v>
      </c>
      <c r="H1139" s="5" t="s">
        <v>4585</v>
      </c>
      <c r="I1139" s="24" t="str">
        <f>HYPERLINK("https://www.bilibili.com/video/BV1o3411T7Yn?p=153", "BV1o3411T7Yn?p=153")</f>
        <v>BV1o3411T7Yn?p=153</v>
      </c>
      <c r="J1139" s="4" t="str">
        <f ca="1">_xlfn.IFNA(VLOOKUP(INDIRECT("G"&amp;ROW()),minfo!$A:$M,COLUMN()-8,0),"")</f>
        <v>匆匆那年</v>
      </c>
      <c r="K1139" s="4" t="str">
        <f ca="1">_xlfn.IFNA(VLOOKUP(INDIRECT("G"&amp;ROW()),minfo!$A:$M,COLUMN()-8,0),"")</f>
        <v>王菲</v>
      </c>
      <c r="L1139" s="4">
        <f ca="1">_xlfn.IFNA(VLOOKUP(INDIRECT("G"&amp;ROW()),minfo!$A:$M,COLUMN()-8,0),"")</f>
        <v>0</v>
      </c>
      <c r="M1139" s="4">
        <f ca="1">_xlfn.IFNA(VLOOKUP(INDIRECT("G"&amp;ROW()),minfo!$A:$M,COLUMN()-8,0),"")</f>
        <v>0</v>
      </c>
      <c r="N1139" s="4">
        <f ca="1">_xlfn.IFNA(VLOOKUP(INDIRECT("G"&amp;ROW()),minfo!$A:$M,COLUMN()-8,0),"")</f>
        <v>0</v>
      </c>
      <c r="O1139" s="4" t="str">
        <f ca="1">_xlfn.IFNA(VLOOKUP(INDIRECT("G"&amp;ROW()),minfo!$A:$M,COLUMN()-8,0),"")</f>
        <v>https://i0.hdslb.com/bfs/station_src/music_metadata/cab45a20ca2d7c220522553551bea5b0.jpg</v>
      </c>
      <c r="P1139" s="4" t="str">
        <f ca="1">_xlfn.IFNA(VLOOKUP(INDIRECT("G"&amp;ROW()),minfo!$A:$M,COLUMN()-8,0),"")</f>
        <v>http://i0.hdslb.com/bfs/station_src/music_metadata/a8de399662b8d3e4904e3d3bc5933073</v>
      </c>
      <c r="Q1139" s="4">
        <f ca="1">_xlfn.IFNA(VLOOKUP(INDIRECT("G"&amp;ROW()),minfo!$A:$M,COLUMN()-8,0),"")</f>
        <v>2705</v>
      </c>
      <c r="R1139" s="4" t="str">
        <f ca="1">_xlfn.IFNA(VLOOKUP(INDIRECT("G"&amp;ROW()),minfo!$A:$M,COLUMN()-8,0),"")</f>
        <v>《匆匆那年》电影同名主题曲</v>
      </c>
      <c r="S1139" s="4" t="str">
        <f ca="1">_xlfn.IFNA(VLOOKUP(INDIRECT("G"&amp;ROW()),minfo!$A:$M,COLUMN()-8,0),"")</f>
        <v>匆匆那年</v>
      </c>
      <c r="T1139" s="4">
        <f ca="1">_xlfn.IFNA(VLOOKUP(INDIRECT("G"&amp;ROW()),minfo!$A:$M,COLUMN()-8,0),"")</f>
        <v>420865010</v>
      </c>
      <c r="U1139" s="4" t="str">
        <f ca="1">_xlfn.IFNA(VLOOKUP(INDIRECT("G"&amp;ROW()),minfo!$A:$M,COLUMN()-8,0),"")</f>
        <v>音乐榜最高NO.3</v>
      </c>
    </row>
    <row r="1140" spans="1:21" ht="15.75" customHeight="1">
      <c r="A1140" s="15">
        <v>1139</v>
      </c>
      <c r="B1140" s="4" t="s">
        <v>4749</v>
      </c>
      <c r="C1140" s="4">
        <v>1140</v>
      </c>
      <c r="D1140" s="4">
        <v>154</v>
      </c>
      <c r="E1140" s="4" t="s">
        <v>1345</v>
      </c>
      <c r="F1140" s="16">
        <v>44734</v>
      </c>
      <c r="G1140" s="5" t="s">
        <v>1344</v>
      </c>
      <c r="H1140" s="5" t="s">
        <v>4585</v>
      </c>
      <c r="I1140" s="24" t="str">
        <f>HYPERLINK("https://www.bilibili.com/video/BV1o3411T7Yn?p=154", "BV1o3411T7Yn?p=154")</f>
        <v>BV1o3411T7Yn?p=154</v>
      </c>
      <c r="J1140" s="4" t="str">
        <f ca="1">_xlfn.IFNA(VLOOKUP(INDIRECT("G"&amp;ROW()),minfo!$A:$M,COLUMN()-8,0),"")</f>
        <v>我们的明天</v>
      </c>
      <c r="K1140" s="4" t="str">
        <f ca="1">_xlfn.IFNA(VLOOKUP(INDIRECT("G"&amp;ROW()),minfo!$A:$M,COLUMN()-8,0),"")</f>
        <v>鹿晗</v>
      </c>
      <c r="L1140" s="4">
        <f ca="1">_xlfn.IFNA(VLOOKUP(INDIRECT("G"&amp;ROW()),minfo!$A:$M,COLUMN()-8,0),"")</f>
        <v>0</v>
      </c>
      <c r="M1140" s="4">
        <f ca="1">_xlfn.IFNA(VLOOKUP(INDIRECT("G"&amp;ROW()),minfo!$A:$M,COLUMN()-8,0),"")</f>
        <v>0</v>
      </c>
      <c r="N1140" s="4">
        <f ca="1">_xlfn.IFNA(VLOOKUP(INDIRECT("G"&amp;ROW()),minfo!$A:$M,COLUMN()-8,0),"")</f>
        <v>0</v>
      </c>
      <c r="O1140" s="4" t="str">
        <f ca="1">_xlfn.IFNA(VLOOKUP(INDIRECT("G"&amp;ROW()),minfo!$A:$M,COLUMN()-8,0),"")</f>
        <v>http://i0.hdslb.com/bfs/station_src/music_metadata/1950a7ea2f58f22a4e539e4aaf7f50a1.jpg</v>
      </c>
      <c r="P1140" s="4" t="str">
        <f ca="1">_xlfn.IFNA(VLOOKUP(INDIRECT("G"&amp;ROW()),minfo!$A:$M,COLUMN()-8,0),"")</f>
        <v>http://i0.hdslb.com/bfs/station_src/music_metadata/fbfaa234036df108d401e351201e3bdb</v>
      </c>
      <c r="Q1140" s="4">
        <f ca="1">_xlfn.IFNA(VLOOKUP(INDIRECT("G"&amp;ROW()),minfo!$A:$M,COLUMN()-8,0),"")</f>
        <v>293</v>
      </c>
      <c r="R1140" s="4">
        <f ca="1">_xlfn.IFNA(VLOOKUP(INDIRECT("G"&amp;ROW()),minfo!$A:$M,COLUMN()-8,0),"")</f>
        <v>0</v>
      </c>
      <c r="S1140" s="4">
        <f ca="1">_xlfn.IFNA(VLOOKUP(INDIRECT("G"&amp;ROW()),minfo!$A:$M,COLUMN()-8,0),"")</f>
        <v>0</v>
      </c>
      <c r="T1140" s="4">
        <f ca="1">_xlfn.IFNA(VLOOKUP(INDIRECT("G"&amp;ROW()),minfo!$A:$M,COLUMN()-8,0),"")</f>
        <v>59748120</v>
      </c>
      <c r="U1140" s="4">
        <f ca="1">_xlfn.IFNA(VLOOKUP(INDIRECT("G"&amp;ROW()),minfo!$A:$M,COLUMN()-8,0),"")</f>
        <v>0</v>
      </c>
    </row>
    <row r="1141" spans="1:21" ht="15.75" customHeight="1">
      <c r="A1141" s="15">
        <v>1140</v>
      </c>
      <c r="B1141" s="4" t="s">
        <v>4750</v>
      </c>
      <c r="C1141" s="4">
        <v>1141</v>
      </c>
      <c r="D1141" s="4">
        <v>155</v>
      </c>
      <c r="E1141" s="4" t="s">
        <v>1465</v>
      </c>
      <c r="F1141" s="16">
        <v>44734</v>
      </c>
      <c r="G1141" s="5" t="s">
        <v>1464</v>
      </c>
      <c r="H1141" s="5" t="s">
        <v>4585</v>
      </c>
      <c r="I1141" s="24" t="str">
        <f>HYPERLINK("https://www.bilibili.com/video/BV1o3411T7Yn?p=155", "BV1o3411T7Yn?p=155")</f>
        <v>BV1o3411T7Yn?p=155</v>
      </c>
      <c r="J1141" s="4" t="str">
        <f ca="1">_xlfn.IFNA(VLOOKUP(INDIRECT("G"&amp;ROW()),minfo!$A:$M,COLUMN()-8,0),"")</f>
        <v>岁月神偷</v>
      </c>
      <c r="K1141" s="4" t="str">
        <f ca="1">_xlfn.IFNA(VLOOKUP(INDIRECT("G"&amp;ROW()),minfo!$A:$M,COLUMN()-8,0),"")</f>
        <v>金玟岐</v>
      </c>
      <c r="L1141" s="4">
        <f ca="1">_xlfn.IFNA(VLOOKUP(INDIRECT("G"&amp;ROW()),minfo!$A:$M,COLUMN()-8,0),"")</f>
        <v>0</v>
      </c>
      <c r="M1141" s="4">
        <f ca="1">_xlfn.IFNA(VLOOKUP(INDIRECT("G"&amp;ROW()),minfo!$A:$M,COLUMN()-8,0),"")</f>
        <v>0</v>
      </c>
      <c r="N1141" s="4">
        <f ca="1">_xlfn.IFNA(VLOOKUP(INDIRECT("G"&amp;ROW()),minfo!$A:$M,COLUMN()-8,0),"")</f>
        <v>0</v>
      </c>
      <c r="O1141" s="4" t="str">
        <f ca="1">_xlfn.IFNA(VLOOKUP(INDIRECT("G"&amp;ROW()),minfo!$A:$M,COLUMN()-8,0),"")</f>
        <v>https://i0.hdslb.com/bfs/station_src/music_metadata/327ad462fdbb00a2610dd5b7139ebc74.jpg</v>
      </c>
      <c r="P1141" s="4">
        <f ca="1">_xlfn.IFNA(VLOOKUP(INDIRECT("G"&amp;ROW()),minfo!$A:$M,COLUMN()-8,0),"")</f>
        <v>0</v>
      </c>
      <c r="Q1141" s="4">
        <f ca="1">_xlfn.IFNA(VLOOKUP(INDIRECT("G"&amp;ROW()),minfo!$A:$M,COLUMN()-8,0),"")</f>
        <v>705</v>
      </c>
      <c r="R1141" s="4">
        <f ca="1">_xlfn.IFNA(VLOOKUP(INDIRECT("G"&amp;ROW()),minfo!$A:$M,COLUMN()-8,0),"")</f>
        <v>0</v>
      </c>
      <c r="S1141" s="4" t="str">
        <f ca="1">_xlfn.IFNA(VLOOKUP(INDIRECT("G"&amp;ROW()),minfo!$A:$M,COLUMN()-8,0),"")</f>
        <v>完美世界</v>
      </c>
      <c r="T1141" s="4">
        <f ca="1">_xlfn.IFNA(VLOOKUP(INDIRECT("G"&amp;ROW()),minfo!$A:$M,COLUMN()-8,0),"")</f>
        <v>270809489</v>
      </c>
      <c r="U1141" s="4">
        <f ca="1">_xlfn.IFNA(VLOOKUP(INDIRECT("G"&amp;ROW()),minfo!$A:$M,COLUMN()-8,0),"")</f>
        <v>0</v>
      </c>
    </row>
    <row r="1142" spans="1:21" ht="15.75" customHeight="1">
      <c r="A1142" s="15">
        <v>1141</v>
      </c>
      <c r="B1142" s="4" t="s">
        <v>4751</v>
      </c>
      <c r="C1142" s="4">
        <v>1142</v>
      </c>
      <c r="D1142" s="4">
        <v>156</v>
      </c>
      <c r="E1142" s="4" t="s">
        <v>3947</v>
      </c>
      <c r="F1142" s="16">
        <v>44734</v>
      </c>
      <c r="G1142" s="5" t="s">
        <v>2543</v>
      </c>
      <c r="H1142" s="5" t="s">
        <v>4585</v>
      </c>
      <c r="I1142" s="24" t="str">
        <f>HYPERLINK("https://www.bilibili.com/video/BV1o3411T7Yn?p=156", "BV1o3411T7Yn?p=156")</f>
        <v>BV1o3411T7Yn?p=156</v>
      </c>
      <c r="J1142" s="4" t="str">
        <f ca="1">_xlfn.IFNA(VLOOKUP(INDIRECT("G"&amp;ROW()),minfo!$A:$M,COLUMN()-8,0),"")</f>
        <v>记念</v>
      </c>
      <c r="K1142" s="4" t="str">
        <f ca="1">_xlfn.IFNA(VLOOKUP(INDIRECT("G"&amp;ROW()),minfo!$A:$M,COLUMN()-8,0),"")</f>
        <v>雷雨心</v>
      </c>
      <c r="L1142" s="4">
        <f ca="1">_xlfn.IFNA(VLOOKUP(INDIRECT("G"&amp;ROW()),minfo!$A:$M,COLUMN()-8,0),"")</f>
        <v>0</v>
      </c>
      <c r="M1142" s="4">
        <f ca="1">_xlfn.IFNA(VLOOKUP(INDIRECT("G"&amp;ROW()),minfo!$A:$M,COLUMN()-8,0),"")</f>
        <v>0</v>
      </c>
      <c r="N1142" s="4">
        <f ca="1">_xlfn.IFNA(VLOOKUP(INDIRECT("G"&amp;ROW()),minfo!$A:$M,COLUMN()-8,0),"")</f>
        <v>0</v>
      </c>
      <c r="O1142" s="4" t="str">
        <f ca="1">_xlfn.IFNA(VLOOKUP(INDIRECT("G"&amp;ROW()),minfo!$A:$M,COLUMN()-8,0),"")</f>
        <v>https://i0.hdslb.com/bfs/station_src/music_metadata/df461555388d556675705b1e413e876d.jpg</v>
      </c>
      <c r="P1142" s="4" t="str">
        <f ca="1">_xlfn.IFNA(VLOOKUP(INDIRECT("G"&amp;ROW()),minfo!$A:$M,COLUMN()-8,0),"")</f>
        <v>http://i0.hdslb.com/bfs/station_src/music_metadata/aad0c256d8916e3d3a7c730320b46445</v>
      </c>
      <c r="Q1142" s="4">
        <f ca="1">_xlfn.IFNA(VLOOKUP(INDIRECT("G"&amp;ROW()),minfo!$A:$M,COLUMN()-8,0),"")</f>
        <v>2133</v>
      </c>
      <c r="R1142" s="4">
        <f ca="1">_xlfn.IFNA(VLOOKUP(INDIRECT("G"&amp;ROW()),minfo!$A:$M,COLUMN()-8,0),"")</f>
        <v>0</v>
      </c>
      <c r="S1142" s="4" t="str">
        <f ca="1">_xlfn.IFNA(VLOOKUP(INDIRECT("G"&amp;ROW()),minfo!$A:$M,COLUMN()-8,0),"")</f>
        <v>记念</v>
      </c>
      <c r="T1142" s="4">
        <f ca="1">_xlfn.IFNA(VLOOKUP(INDIRECT("G"&amp;ROW()),minfo!$A:$M,COLUMN()-8,0),"")</f>
        <v>182047718</v>
      </c>
      <c r="U1142" s="4">
        <f ca="1">_xlfn.IFNA(VLOOKUP(INDIRECT("G"&amp;ROW()),minfo!$A:$M,COLUMN()-8,0),"")</f>
        <v>0</v>
      </c>
    </row>
    <row r="1143" spans="1:21" ht="15.75" customHeight="1">
      <c r="A1143" s="15">
        <v>1142</v>
      </c>
      <c r="B1143" s="4" t="s">
        <v>4752</v>
      </c>
      <c r="C1143" s="4">
        <v>1143</v>
      </c>
      <c r="D1143" s="4">
        <v>157</v>
      </c>
      <c r="E1143" s="4" t="s">
        <v>2547</v>
      </c>
      <c r="F1143" s="16">
        <v>44734</v>
      </c>
      <c r="G1143" s="5" t="s">
        <v>2546</v>
      </c>
      <c r="H1143" s="5" t="s">
        <v>4585</v>
      </c>
      <c r="I1143" s="24" t="str">
        <f>HYPERLINK("https://www.bilibili.com/video/BV1o3411T7Yn?p=157", "BV1o3411T7Yn?p=157")</f>
        <v>BV1o3411T7Yn?p=157</v>
      </c>
      <c r="J1143" s="4" t="str">
        <f ca="1">_xlfn.IFNA(VLOOKUP(INDIRECT("G"&amp;ROW()),minfo!$A:$M,COLUMN()-8,0),"")</f>
        <v>后来</v>
      </c>
      <c r="K1143" s="4" t="str">
        <f ca="1">_xlfn.IFNA(VLOOKUP(INDIRECT("G"&amp;ROW()),minfo!$A:$M,COLUMN()-8,0),"")</f>
        <v>刘若英</v>
      </c>
      <c r="L1143" s="4">
        <f ca="1">_xlfn.IFNA(VLOOKUP(INDIRECT("G"&amp;ROW()),minfo!$A:$M,COLUMN()-8,0),"")</f>
        <v>0</v>
      </c>
      <c r="M1143" s="4">
        <f ca="1">_xlfn.IFNA(VLOOKUP(INDIRECT("G"&amp;ROW()),minfo!$A:$M,COLUMN()-8,0),"")</f>
        <v>227</v>
      </c>
      <c r="N1143" s="4">
        <f ca="1">_xlfn.IFNA(VLOOKUP(INDIRECT("G"&amp;ROW()),minfo!$A:$M,COLUMN()-8,0),"")</f>
        <v>62</v>
      </c>
      <c r="O1143" s="4" t="str">
        <f ca="1">_xlfn.IFNA(VLOOKUP(INDIRECT("G"&amp;ROW()),minfo!$A:$M,COLUMN()-8,0),"")</f>
        <v>http://i0.hdslb.com/bfs/station_src/music_metadata/9edff8fe120061962ee52080c1a4411a.jpg</v>
      </c>
      <c r="P1143" s="4" t="str">
        <f ca="1">_xlfn.IFNA(VLOOKUP(INDIRECT("G"&amp;ROW()),minfo!$A:$M,COLUMN()-8,0),"")</f>
        <v>http://i0.hdslb.com/bfs/station_src/music_metadata/636bb48052d9718bf2c8dc30460f6a7b</v>
      </c>
      <c r="Q1143" s="4">
        <f ca="1">_xlfn.IFNA(VLOOKUP(INDIRECT("G"&amp;ROW()),minfo!$A:$M,COLUMN()-8,0),"")</f>
        <v>955</v>
      </c>
      <c r="R1143" s="4">
        <f ca="1">_xlfn.IFNA(VLOOKUP(INDIRECT("G"&amp;ROW()),minfo!$A:$M,COLUMN()-8,0),"")</f>
        <v>0</v>
      </c>
      <c r="S1143" s="4" t="str">
        <f ca="1">_xlfn.IFNA(VLOOKUP(INDIRECT("G"&amp;ROW()),minfo!$A:$M,COLUMN()-8,0),"")</f>
        <v>我等你</v>
      </c>
      <c r="T1143" s="4">
        <f ca="1">_xlfn.IFNA(VLOOKUP(INDIRECT("G"&amp;ROW()),minfo!$A:$M,COLUMN()-8,0),"")</f>
        <v>442011874</v>
      </c>
      <c r="U1143" s="4">
        <f ca="1">_xlfn.IFNA(VLOOKUP(INDIRECT("G"&amp;ROW()),minfo!$A:$M,COLUMN()-8,0),"")</f>
        <v>0</v>
      </c>
    </row>
    <row r="1144" spans="1:21" ht="15.75" customHeight="1">
      <c r="A1144" s="15">
        <v>1143</v>
      </c>
      <c r="B1144" s="4" t="s">
        <v>4753</v>
      </c>
      <c r="C1144" s="4">
        <v>1144</v>
      </c>
      <c r="D1144" s="4">
        <v>158</v>
      </c>
      <c r="E1144" s="4" t="s">
        <v>2553</v>
      </c>
      <c r="F1144" s="16">
        <v>44734</v>
      </c>
      <c r="G1144" s="5" t="s">
        <v>2552</v>
      </c>
      <c r="H1144" s="5" t="s">
        <v>4585</v>
      </c>
      <c r="I1144" s="24" t="str">
        <f>HYPERLINK("https://www.bilibili.com/video/BV1o3411T7Yn?p=158", "BV1o3411T7Yn?p=158")</f>
        <v>BV1o3411T7Yn?p=158</v>
      </c>
      <c r="J1144" s="4" t="str">
        <f ca="1">_xlfn.IFNA(VLOOKUP(INDIRECT("G"&amp;ROW()),minfo!$A:$M,COLUMN()-8,0),"")</f>
        <v>你一定要幸福</v>
      </c>
      <c r="K1144" s="4" t="str">
        <f ca="1">_xlfn.IFNA(VLOOKUP(INDIRECT("G"&amp;ROW()),minfo!$A:$M,COLUMN()-8,0),"")</f>
        <v>何洁</v>
      </c>
      <c r="L1144" s="4">
        <f ca="1">_xlfn.IFNA(VLOOKUP(INDIRECT("G"&amp;ROW()),minfo!$A:$M,COLUMN()-8,0),"")</f>
        <v>0</v>
      </c>
      <c r="M1144" s="4">
        <f ca="1">_xlfn.IFNA(VLOOKUP(INDIRECT("G"&amp;ROW()),minfo!$A:$M,COLUMN()-8,0),"")</f>
        <v>0</v>
      </c>
      <c r="N1144" s="4">
        <f ca="1">_xlfn.IFNA(VLOOKUP(INDIRECT("G"&amp;ROW()),minfo!$A:$M,COLUMN()-8,0),"")</f>
        <v>0</v>
      </c>
      <c r="O1144" s="4" t="str">
        <f ca="1">_xlfn.IFNA(VLOOKUP(INDIRECT("G"&amp;ROW()),minfo!$A:$M,COLUMN()-8,0),"")</f>
        <v>https://i0.hdslb.com/bfs/station_src/music_metadata/a8abab24a1b32763336ef9a71d4d1a8f.jpg</v>
      </c>
      <c r="P1144" s="4" t="str">
        <f ca="1">_xlfn.IFNA(VLOOKUP(INDIRECT("G"&amp;ROW()),minfo!$A:$M,COLUMN()-8,0),"")</f>
        <v>http://i0.hdslb.com/bfs/station_src/music_metadata/b0cfac5d0355c8a1f230320565a79811</v>
      </c>
      <c r="Q1144" s="4">
        <f ca="1">_xlfn.IFNA(VLOOKUP(INDIRECT("G"&amp;ROW()),minfo!$A:$M,COLUMN()-8,0),"")</f>
        <v>109</v>
      </c>
      <c r="R1144" s="4">
        <f ca="1">_xlfn.IFNA(VLOOKUP(INDIRECT("G"&amp;ROW()),minfo!$A:$M,COLUMN()-8,0),"")</f>
        <v>0</v>
      </c>
      <c r="S1144" s="4" t="str">
        <f ca="1">_xlfn.IFNA(VLOOKUP(INDIRECT("G"&amp;ROW()),minfo!$A:$M,COLUMN()-8,0),"")</f>
        <v>美丽分贝 原声大碟</v>
      </c>
      <c r="T1144" s="4">
        <f ca="1">_xlfn.IFNA(VLOOKUP(INDIRECT("G"&amp;ROW()),minfo!$A:$M,COLUMN()-8,0),"")</f>
        <v>70388362</v>
      </c>
      <c r="U1144" s="4">
        <f ca="1">_xlfn.IFNA(VLOOKUP(INDIRECT("G"&amp;ROW()),minfo!$A:$M,COLUMN()-8,0),"")</f>
        <v>0</v>
      </c>
    </row>
    <row r="1145" spans="1:21" ht="15.75" customHeight="1">
      <c r="A1145" s="15">
        <v>1144</v>
      </c>
      <c r="B1145" s="4" t="s">
        <v>4754</v>
      </c>
      <c r="C1145" s="4">
        <v>1145</v>
      </c>
      <c r="D1145" s="4">
        <v>159</v>
      </c>
      <c r="E1145" s="4" t="s">
        <v>1229</v>
      </c>
      <c r="F1145" s="16">
        <v>44734</v>
      </c>
      <c r="G1145" s="5" t="s">
        <v>1228</v>
      </c>
      <c r="H1145" s="5" t="s">
        <v>4585</v>
      </c>
      <c r="I1145" s="24" t="str">
        <f>HYPERLINK("https://www.bilibili.com/video/BV1o3411T7Yn?p=159", "BV1o3411T7Yn?p=159")</f>
        <v>BV1o3411T7Yn?p=159</v>
      </c>
      <c r="J1145" s="4" t="str">
        <f ca="1">_xlfn.IFNA(VLOOKUP(INDIRECT("G"&amp;ROW()),minfo!$A:$M,COLUMN()-8,0),"")</f>
        <v>昨日青空</v>
      </c>
      <c r="K1145" s="4" t="str">
        <f ca="1">_xlfn.IFNA(VLOOKUP(INDIRECT("G"&amp;ROW()),minfo!$A:$M,COLUMN()-8,0),"")</f>
        <v>尤长靖</v>
      </c>
      <c r="L1145" s="4">
        <f ca="1">_xlfn.IFNA(VLOOKUP(INDIRECT("G"&amp;ROW()),minfo!$A:$M,COLUMN()-8,0),"")</f>
        <v>0</v>
      </c>
      <c r="M1145" s="4">
        <f ca="1">_xlfn.IFNA(VLOOKUP(INDIRECT("G"&amp;ROW()),minfo!$A:$M,COLUMN()-8,0),"")</f>
        <v>0</v>
      </c>
      <c r="N1145" s="4">
        <f ca="1">_xlfn.IFNA(VLOOKUP(INDIRECT("G"&amp;ROW()),minfo!$A:$M,COLUMN()-8,0),"")</f>
        <v>0</v>
      </c>
      <c r="O1145" s="4" t="str">
        <f ca="1">_xlfn.IFNA(VLOOKUP(INDIRECT("G"&amp;ROW()),minfo!$A:$M,COLUMN()-8,0),"")</f>
        <v>https://i0.hdslb.com/bfs/station_src/music_metadata/abc73110210c595e7074ddc5a01dd754.jpg</v>
      </c>
      <c r="P1145" s="4" t="str">
        <f ca="1">_xlfn.IFNA(VLOOKUP(INDIRECT("G"&amp;ROW()),minfo!$A:$M,COLUMN()-8,0),"")</f>
        <v>http://i0.hdslb.com/bfs/station_src/music_metadata/042fb26c880b233a48dc106af6e82bca</v>
      </c>
      <c r="Q1145" s="4">
        <f ca="1">_xlfn.IFNA(VLOOKUP(INDIRECT("G"&amp;ROW()),minfo!$A:$M,COLUMN()-8,0),"")</f>
        <v>558</v>
      </c>
      <c r="R1145" s="4" t="str">
        <f ca="1">_xlfn.IFNA(VLOOKUP(INDIRECT("G"&amp;ROW()),minfo!$A:$M,COLUMN()-8,0),"")</f>
        <v>《昨日青空》电影同名青春主题曲</v>
      </c>
      <c r="S1145" s="4" t="str">
        <f ca="1">_xlfn.IFNA(VLOOKUP(INDIRECT("G"&amp;ROW()),minfo!$A:$M,COLUMN()-8,0),"")</f>
        <v>昨日青空</v>
      </c>
      <c r="T1145" s="4">
        <f ca="1">_xlfn.IFNA(VLOOKUP(INDIRECT("G"&amp;ROW()),minfo!$A:$M,COLUMN()-8,0),"")</f>
        <v>70470580</v>
      </c>
      <c r="U1145" s="4">
        <f ca="1">_xlfn.IFNA(VLOOKUP(INDIRECT("G"&amp;ROW()),minfo!$A:$M,COLUMN()-8,0),"")</f>
        <v>0</v>
      </c>
    </row>
    <row r="1146" spans="1:21" ht="15.75" customHeight="1">
      <c r="A1146" s="15">
        <v>1145</v>
      </c>
      <c r="B1146" s="4" t="s">
        <v>4755</v>
      </c>
      <c r="C1146" s="4">
        <v>1146</v>
      </c>
      <c r="D1146" s="4">
        <v>160</v>
      </c>
      <c r="E1146" s="4" t="s">
        <v>1658</v>
      </c>
      <c r="F1146" s="16">
        <v>44734</v>
      </c>
      <c r="G1146" s="5" t="s">
        <v>1657</v>
      </c>
      <c r="H1146" s="5" t="s">
        <v>4585</v>
      </c>
      <c r="I1146" s="24" t="str">
        <f>HYPERLINK("https://www.bilibili.com/video/BV1o3411T7Yn?p=160", "BV1o3411T7Yn?p=160")</f>
        <v>BV1o3411T7Yn?p=160</v>
      </c>
      <c r="J1146" s="4" t="str">
        <f ca="1">_xlfn.IFNA(VLOOKUP(INDIRECT("G"&amp;ROW()),minfo!$A:$M,COLUMN()-8,0),"")</f>
        <v>一千年以后</v>
      </c>
      <c r="K1146" s="4" t="str">
        <f ca="1">_xlfn.IFNA(VLOOKUP(INDIRECT("G"&amp;ROW()),minfo!$A:$M,COLUMN()-8,0),"")</f>
        <v>林俊杰</v>
      </c>
      <c r="L1146" s="4">
        <f ca="1">_xlfn.IFNA(VLOOKUP(INDIRECT("G"&amp;ROW()),minfo!$A:$M,COLUMN()-8,0),"")</f>
        <v>0</v>
      </c>
      <c r="M1146" s="4">
        <f ca="1">_xlfn.IFNA(VLOOKUP(INDIRECT("G"&amp;ROW()),minfo!$A:$M,COLUMN()-8,0),"")</f>
        <v>0</v>
      </c>
      <c r="N1146" s="4">
        <f ca="1">_xlfn.IFNA(VLOOKUP(INDIRECT("G"&amp;ROW()),minfo!$A:$M,COLUMN()-8,0),"")</f>
        <v>0</v>
      </c>
      <c r="O1146" s="4" t="str">
        <f ca="1">_xlfn.IFNA(VLOOKUP(INDIRECT("G"&amp;ROW()),minfo!$A:$M,COLUMN()-8,0),"")</f>
        <v>https://i0.hdslb.com/bfs/station_src/music_metadata/54b42be7ad4fe7e8ee215dbd158a2959.jpg</v>
      </c>
      <c r="P1146" s="4" t="str">
        <f ca="1">_xlfn.IFNA(VLOOKUP(INDIRECT("G"&amp;ROW()),minfo!$A:$M,COLUMN()-8,0),"")</f>
        <v>https://i0.hdslb.com/bfs/station_src/music_metadata/53145e62b4c828bee8955473c1f3343e.txt</v>
      </c>
      <c r="Q1146" s="4">
        <f ca="1">_xlfn.IFNA(VLOOKUP(INDIRECT("G"&amp;ROW()),minfo!$A:$M,COLUMN()-8,0),"")</f>
        <v>190</v>
      </c>
      <c r="R1146" s="4" t="str">
        <f ca="1">_xlfn.IFNA(VLOOKUP(INDIRECT("G"&amp;ROW()),minfo!$A:$M,COLUMN()-8,0),"")</f>
        <v>《海的誓言》电视剧片尾曲</v>
      </c>
      <c r="S1146" s="4" t="str">
        <f ca="1">_xlfn.IFNA(VLOOKUP(INDIRECT("G"&amp;ROW()),minfo!$A:$M,COLUMN()-8,0),"")</f>
        <v>编号89757</v>
      </c>
      <c r="T1146" s="4">
        <f ca="1">_xlfn.IFNA(VLOOKUP(INDIRECT("G"&amp;ROW()),minfo!$A:$M,COLUMN()-8,0),"")</f>
        <v>105496599</v>
      </c>
      <c r="U1146" s="4">
        <f ca="1">_xlfn.IFNA(VLOOKUP(INDIRECT("G"&amp;ROW()),minfo!$A:$M,COLUMN()-8,0),"")</f>
        <v>0</v>
      </c>
    </row>
    <row r="1147" spans="1:21" ht="15.75" customHeight="1">
      <c r="A1147" s="15">
        <v>1146</v>
      </c>
      <c r="B1147" s="4" t="s">
        <v>4756</v>
      </c>
      <c r="C1147" s="4">
        <v>1147</v>
      </c>
      <c r="D1147" s="4">
        <v>161</v>
      </c>
      <c r="E1147" s="4" t="s">
        <v>1423</v>
      </c>
      <c r="F1147" s="16">
        <v>44734</v>
      </c>
      <c r="G1147" s="5" t="s">
        <v>1422</v>
      </c>
      <c r="H1147" s="5" t="s">
        <v>4585</v>
      </c>
      <c r="I1147" s="24" t="str">
        <f>HYPERLINK("https://www.bilibili.com/video/BV1o3411T7Yn?p=161", "BV1o3411T7Yn?p=161")</f>
        <v>BV1o3411T7Yn?p=161</v>
      </c>
      <c r="J1147" s="4" t="str">
        <f ca="1">_xlfn.IFNA(VLOOKUP(INDIRECT("G"&amp;ROW()),minfo!$A:$M,COLUMN()-8,0),"")</f>
        <v>修炼爱情</v>
      </c>
      <c r="K1147" s="4" t="str">
        <f ca="1">_xlfn.IFNA(VLOOKUP(INDIRECT("G"&amp;ROW()),minfo!$A:$M,COLUMN()-8,0),"")</f>
        <v>林俊杰</v>
      </c>
      <c r="L1147" s="4">
        <f ca="1">_xlfn.IFNA(VLOOKUP(INDIRECT("G"&amp;ROW()),minfo!$A:$M,COLUMN()-8,0),"")</f>
        <v>0</v>
      </c>
      <c r="M1147" s="4">
        <f ca="1">_xlfn.IFNA(VLOOKUP(INDIRECT("G"&amp;ROW()),minfo!$A:$M,COLUMN()-8,0),"")</f>
        <v>0</v>
      </c>
      <c r="N1147" s="4">
        <f ca="1">_xlfn.IFNA(VLOOKUP(INDIRECT("G"&amp;ROW()),minfo!$A:$M,COLUMN()-8,0),"")</f>
        <v>0</v>
      </c>
      <c r="O1147" s="4" t="str">
        <f ca="1">_xlfn.IFNA(VLOOKUP(INDIRECT("G"&amp;ROW()),minfo!$A:$M,COLUMN()-8,0),"")</f>
        <v>http://i0.hdslb.com/bfs/station_src/music_metadata/713cd2835e797b42166abbd9090b7ff1.jpg</v>
      </c>
      <c r="P1147" s="4" t="str">
        <f ca="1">_xlfn.IFNA(VLOOKUP(INDIRECT("G"&amp;ROW()),minfo!$A:$M,COLUMN()-8,0),"")</f>
        <v>http://i0.hdslb.com/bfs/station_src/music_metadata/e8eecc0895b84fc8099f903f807b10ff</v>
      </c>
      <c r="Q1147" s="4">
        <f ca="1">_xlfn.IFNA(VLOOKUP(INDIRECT("G"&amp;ROW()),minfo!$A:$M,COLUMN()-8,0),"")</f>
        <v>1053</v>
      </c>
      <c r="R1147" s="4">
        <f ca="1">_xlfn.IFNA(VLOOKUP(INDIRECT("G"&amp;ROW()),minfo!$A:$M,COLUMN()-8,0),"")</f>
        <v>0</v>
      </c>
      <c r="S1147" s="4" t="str">
        <f ca="1">_xlfn.IFNA(VLOOKUP(INDIRECT("G"&amp;ROW()),minfo!$A:$M,COLUMN()-8,0),"")</f>
        <v>因你 而在</v>
      </c>
      <c r="T1147" s="4">
        <f ca="1">_xlfn.IFNA(VLOOKUP(INDIRECT("G"&amp;ROW()),minfo!$A:$M,COLUMN()-8,0),"")</f>
        <v>371141890</v>
      </c>
      <c r="U1147" s="4" t="str">
        <f ca="1">_xlfn.IFNA(VLOOKUP(INDIRECT("G"&amp;ROW()),minfo!$A:$M,COLUMN()-8,0),"")</f>
        <v>音乐榜最高NO.4</v>
      </c>
    </row>
    <row r="1148" spans="1:21" ht="15.75" customHeight="1">
      <c r="A1148" s="15">
        <v>1147</v>
      </c>
      <c r="B1148" s="4" t="s">
        <v>4757</v>
      </c>
      <c r="C1148" s="4">
        <v>1148</v>
      </c>
      <c r="D1148" s="4">
        <v>162</v>
      </c>
      <c r="E1148" s="4" t="s">
        <v>1714</v>
      </c>
      <c r="F1148" s="16">
        <v>44734</v>
      </c>
      <c r="G1148" s="5" t="s">
        <v>1713</v>
      </c>
      <c r="H1148" s="5" t="s">
        <v>4585</v>
      </c>
      <c r="I1148" s="24" t="str">
        <f>HYPERLINK("https://www.bilibili.com/video/BV1o3411T7Yn?p=162", "BV1o3411T7Yn?p=162")</f>
        <v>BV1o3411T7Yn?p=162</v>
      </c>
      <c r="J1148" s="4" t="str">
        <f ca="1">_xlfn.IFNA(VLOOKUP(INDIRECT("G"&amp;ROW()),minfo!$A:$M,COLUMN()-8,0),"")</f>
        <v>背对背拥抱</v>
      </c>
      <c r="K1148" s="4" t="str">
        <f ca="1">_xlfn.IFNA(VLOOKUP(INDIRECT("G"&amp;ROW()),minfo!$A:$M,COLUMN()-8,0),"")</f>
        <v>林俊杰</v>
      </c>
      <c r="L1148" s="4">
        <f ca="1">_xlfn.IFNA(VLOOKUP(INDIRECT("G"&amp;ROW()),minfo!$A:$M,COLUMN()-8,0),"")</f>
        <v>0</v>
      </c>
      <c r="M1148" s="4">
        <f ca="1">_xlfn.IFNA(VLOOKUP(INDIRECT("G"&amp;ROW()),minfo!$A:$M,COLUMN()-8,0),"")</f>
        <v>35</v>
      </c>
      <c r="N1148" s="4">
        <f ca="1">_xlfn.IFNA(VLOOKUP(INDIRECT("G"&amp;ROW()),minfo!$A:$M,COLUMN()-8,0),"")</f>
        <v>4</v>
      </c>
      <c r="O1148" s="4" t="str">
        <f ca="1">_xlfn.IFNA(VLOOKUP(INDIRECT("G"&amp;ROW()),minfo!$A:$M,COLUMN()-8,0),"")</f>
        <v>https://i0.hdslb.com/bfs/station_src/music_metadata/924769c21d602b7dc9ce70fb6d242c2c.jpg</v>
      </c>
      <c r="P1148" s="4" t="str">
        <f ca="1">_xlfn.IFNA(VLOOKUP(INDIRECT("G"&amp;ROW()),minfo!$A:$M,COLUMN()-8,0),"")</f>
        <v>http://i0.hdslb.com/bfs/station_src/music_metadata/f0b49e4e56b1d666fa473bc3e1befeff</v>
      </c>
      <c r="Q1148" s="4">
        <f ca="1">_xlfn.IFNA(VLOOKUP(INDIRECT("G"&amp;ROW()),minfo!$A:$M,COLUMN()-8,0),"")</f>
        <v>214</v>
      </c>
      <c r="R1148" s="4">
        <f ca="1">_xlfn.IFNA(VLOOKUP(INDIRECT("G"&amp;ROW()),minfo!$A:$M,COLUMN()-8,0),"")</f>
        <v>0</v>
      </c>
      <c r="S1148" s="4" t="str">
        <f ca="1">_xlfn.IFNA(VLOOKUP(INDIRECT("G"&amp;ROW()),minfo!$A:$M,COLUMN()-8,0),"")</f>
        <v>100天</v>
      </c>
      <c r="T1148" s="4">
        <f ca="1">_xlfn.IFNA(VLOOKUP(INDIRECT("G"&amp;ROW()),minfo!$A:$M,COLUMN()-8,0),"")</f>
        <v>217880128</v>
      </c>
      <c r="U1148" s="4">
        <f ca="1">_xlfn.IFNA(VLOOKUP(INDIRECT("G"&amp;ROW()),minfo!$A:$M,COLUMN()-8,0),"")</f>
        <v>0</v>
      </c>
    </row>
    <row r="1149" spans="1:21" ht="15.75" customHeight="1">
      <c r="A1149" s="15">
        <v>1148</v>
      </c>
      <c r="B1149" s="4" t="s">
        <v>4758</v>
      </c>
      <c r="C1149" s="4">
        <v>1149</v>
      </c>
      <c r="D1149" s="4">
        <v>163</v>
      </c>
      <c r="E1149" s="4" t="s">
        <v>1637</v>
      </c>
      <c r="F1149" s="16">
        <v>44736</v>
      </c>
      <c r="G1149" s="5" t="s">
        <v>1636</v>
      </c>
      <c r="H1149" s="5" t="s">
        <v>4585</v>
      </c>
      <c r="I1149" s="24" t="str">
        <f>HYPERLINK("https://www.bilibili.com/video/BV1o3411T7Yn?p=163", "BV1o3411T7Yn?p=163")</f>
        <v>BV1o3411T7Yn?p=163</v>
      </c>
      <c r="J1149" s="4" t="str">
        <f ca="1">_xlfn.IFNA(VLOOKUP(INDIRECT("G"&amp;ROW()),minfo!$A:$M,COLUMN()-8,0),"")</f>
        <v>一吻之间</v>
      </c>
      <c r="K1149" s="4" t="str">
        <f ca="1">_xlfn.IFNA(VLOOKUP(INDIRECT("G"&amp;ROW()),minfo!$A:$M,COLUMN()-8,0),"")</f>
        <v>张碧晨</v>
      </c>
      <c r="L1149" s="4">
        <f ca="1">_xlfn.IFNA(VLOOKUP(INDIRECT("G"&amp;ROW()),minfo!$A:$M,COLUMN()-8,0),"")</f>
        <v>0</v>
      </c>
      <c r="M1149" s="4">
        <f ca="1">_xlfn.IFNA(VLOOKUP(INDIRECT("G"&amp;ROW()),minfo!$A:$M,COLUMN()-8,0),"")</f>
        <v>0</v>
      </c>
      <c r="N1149" s="4">
        <f ca="1">_xlfn.IFNA(VLOOKUP(INDIRECT("G"&amp;ROW()),minfo!$A:$M,COLUMN()-8,0),"")</f>
        <v>0</v>
      </c>
      <c r="O1149" s="4" t="str">
        <f ca="1">_xlfn.IFNA(VLOOKUP(INDIRECT("G"&amp;ROW()),minfo!$A:$M,COLUMN()-8,0),"")</f>
        <v>https://i0.hdslb.com/bfs/station_src/music_metadata/a3d43ce9eb78ab875eed490b32b4a29c.jpg</v>
      </c>
      <c r="P1149" s="4" t="str">
        <f ca="1">_xlfn.IFNA(VLOOKUP(INDIRECT("G"&amp;ROW()),minfo!$A:$M,COLUMN()-8,0),"")</f>
        <v>https://i0.hdslb.com/bfs/station_src/music_metadata/72848db79c86b2616cfc18f059965ad3.txt</v>
      </c>
      <c r="Q1149" s="4">
        <f ca="1">_xlfn.IFNA(VLOOKUP(INDIRECT("G"&amp;ROW()),minfo!$A:$M,COLUMN()-8,0),"")</f>
        <v>2</v>
      </c>
      <c r="R1149" s="4" t="str">
        <f ca="1">_xlfn.IFNA(VLOOKUP(INDIRECT("G"&amp;ROW()),minfo!$A:$M,COLUMN()-8,0),"")</f>
        <v>《青年医生》电视剧插曲</v>
      </c>
      <c r="S1149" s="4" t="str">
        <f ca="1">_xlfn.IFNA(VLOOKUP(INDIRECT("G"&amp;ROW()),minfo!$A:$M,COLUMN()-8,0),"")</f>
        <v>青年医生 电视剧原声带</v>
      </c>
      <c r="T1149" s="4">
        <f ca="1">_xlfn.IFNA(VLOOKUP(INDIRECT("G"&amp;ROW()),minfo!$A:$M,COLUMN()-8,0),"")</f>
        <v>3055477</v>
      </c>
      <c r="U1149" s="4">
        <f ca="1">_xlfn.IFNA(VLOOKUP(INDIRECT("G"&amp;ROW()),minfo!$A:$M,COLUMN()-8,0),"")</f>
        <v>0</v>
      </c>
    </row>
    <row r="1150" spans="1:21" ht="15.75" customHeight="1">
      <c r="A1150" s="15">
        <v>1149</v>
      </c>
      <c r="B1150" s="4" t="s">
        <v>4759</v>
      </c>
      <c r="C1150" s="4">
        <v>1150</v>
      </c>
      <c r="D1150" s="4">
        <v>164</v>
      </c>
      <c r="E1150" s="4" t="s">
        <v>2559</v>
      </c>
      <c r="F1150" s="16">
        <v>44736</v>
      </c>
      <c r="G1150" s="5" t="s">
        <v>2558</v>
      </c>
      <c r="H1150" s="5" t="s">
        <v>4585</v>
      </c>
      <c r="I1150" s="24" t="str">
        <f>HYPERLINK("https://www.bilibili.com/video/BV1o3411T7Yn?p=164", "BV1o3411T7Yn?p=164")</f>
        <v>BV1o3411T7Yn?p=164</v>
      </c>
      <c r="J1150" s="4" t="str">
        <f ca="1">_xlfn.IFNA(VLOOKUP(INDIRECT("G"&amp;ROW()),minfo!$A:$M,COLUMN()-8,0),"")</f>
        <v>只要平凡</v>
      </c>
      <c r="K1150" s="4" t="str">
        <f ca="1">_xlfn.IFNA(VLOOKUP(INDIRECT("G"&amp;ROW()),minfo!$A:$M,COLUMN()-8,0),"")</f>
        <v>张杰,张碧晨</v>
      </c>
      <c r="L1150" s="4">
        <f ca="1">_xlfn.IFNA(VLOOKUP(INDIRECT("G"&amp;ROW()),minfo!$A:$M,COLUMN()-8,0),"")</f>
        <v>0</v>
      </c>
      <c r="M1150" s="4">
        <f ca="1">_xlfn.IFNA(VLOOKUP(INDIRECT("G"&amp;ROW()),minfo!$A:$M,COLUMN()-8,0),"")</f>
        <v>0</v>
      </c>
      <c r="N1150" s="4">
        <f ca="1">_xlfn.IFNA(VLOOKUP(INDIRECT("G"&amp;ROW()),minfo!$A:$M,COLUMN()-8,0),"")</f>
        <v>0</v>
      </c>
      <c r="O1150" s="4" t="str">
        <f ca="1">_xlfn.IFNA(VLOOKUP(INDIRECT("G"&amp;ROW()),minfo!$A:$M,COLUMN()-8,0),"")</f>
        <v>https://i0.hdslb.com/bfs/station_src/music_metadata/f1cbee22b5aff630bfa615504a2d1560.jpg</v>
      </c>
      <c r="P1150" s="4" t="str">
        <f ca="1">_xlfn.IFNA(VLOOKUP(INDIRECT("G"&amp;ROW()),minfo!$A:$M,COLUMN()-8,0),"")</f>
        <v>http://i0.hdslb.com/bfs/station_src/music_metadata/597bbbaf66f46bcbe5bdb9bb4323b982</v>
      </c>
      <c r="Q1150" s="4">
        <f ca="1">_xlfn.IFNA(VLOOKUP(INDIRECT("G"&amp;ROW()),minfo!$A:$M,COLUMN()-8,0),"")</f>
        <v>1896</v>
      </c>
      <c r="R1150" s="4" t="str">
        <f ca="1">_xlfn.IFNA(VLOOKUP(INDIRECT("G"&amp;ROW()),minfo!$A:$M,COLUMN()-8,0),"")</f>
        <v>《我不是药神》电影主题曲</v>
      </c>
      <c r="S1150" s="4" t="str">
        <f ca="1">_xlfn.IFNA(VLOOKUP(INDIRECT("G"&amp;ROW()),minfo!$A:$M,COLUMN()-8,0),"")</f>
        <v>只要平凡</v>
      </c>
      <c r="T1150" s="4">
        <f ca="1">_xlfn.IFNA(VLOOKUP(INDIRECT("G"&amp;ROW()),minfo!$A:$M,COLUMN()-8,0),"")</f>
        <v>648048491</v>
      </c>
      <c r="U1150" s="4" t="str">
        <f ca="1">_xlfn.IFNA(VLOOKUP(INDIRECT("G"&amp;ROW()),minfo!$A:$M,COLUMN()-8,0),"")</f>
        <v>音乐榜最高NO.7</v>
      </c>
    </row>
    <row r="1151" spans="1:21" ht="15.75" customHeight="1">
      <c r="A1151" s="15">
        <v>1150</v>
      </c>
      <c r="B1151" s="4" t="s">
        <v>4760</v>
      </c>
      <c r="C1151" s="4">
        <v>1151</v>
      </c>
      <c r="D1151" s="4">
        <v>165</v>
      </c>
      <c r="E1151" s="4" t="s">
        <v>914</v>
      </c>
      <c r="F1151" s="16">
        <v>44736</v>
      </c>
      <c r="G1151" s="5" t="s">
        <v>913</v>
      </c>
      <c r="H1151" s="5" t="s">
        <v>4585</v>
      </c>
      <c r="I1151" s="24" t="str">
        <f>HYPERLINK("https://www.bilibili.com/video/BV1o3411T7Yn?p=165", "BV1o3411T7Yn?p=165")</f>
        <v>BV1o3411T7Yn?p=165</v>
      </c>
      <c r="J1151" s="4" t="str">
        <f ca="1">_xlfn.IFNA(VLOOKUP(INDIRECT("G"&amp;ROW()),minfo!$A:$M,COLUMN()-8,0),"")</f>
        <v>小城谣</v>
      </c>
      <c r="K1151" s="4" t="str">
        <f ca="1">_xlfn.IFNA(VLOOKUP(INDIRECT("G"&amp;ROW()),minfo!$A:$M,COLUMN()-8,0),"")</f>
        <v>胡碧乔</v>
      </c>
      <c r="L1151" s="4">
        <f ca="1">_xlfn.IFNA(VLOOKUP(INDIRECT("G"&amp;ROW()),minfo!$A:$M,COLUMN()-8,0),"")</f>
        <v>0</v>
      </c>
      <c r="M1151" s="4">
        <f ca="1">_xlfn.IFNA(VLOOKUP(INDIRECT("G"&amp;ROW()),minfo!$A:$M,COLUMN()-8,0),"")</f>
        <v>0</v>
      </c>
      <c r="N1151" s="4">
        <f ca="1">_xlfn.IFNA(VLOOKUP(INDIRECT("G"&amp;ROW()),minfo!$A:$M,COLUMN()-8,0),"")</f>
        <v>0</v>
      </c>
      <c r="O1151" s="4" t="str">
        <f ca="1">_xlfn.IFNA(VLOOKUP(INDIRECT("G"&amp;ROW()),minfo!$A:$M,COLUMN()-8,0),"")</f>
        <v>http://i0.hdslb.com/bfs/station_src/music_metadata/0827363f1b1b8f54bad2bfe6114098fe.jpg</v>
      </c>
      <c r="P1151" s="4">
        <f ca="1">_xlfn.IFNA(VLOOKUP(INDIRECT("G"&amp;ROW()),minfo!$A:$M,COLUMN()-8,0),"")</f>
        <v>0</v>
      </c>
      <c r="Q1151" s="4">
        <f ca="1">_xlfn.IFNA(VLOOKUP(INDIRECT("G"&amp;ROW()),minfo!$A:$M,COLUMN()-8,0),"")</f>
        <v>1552</v>
      </c>
      <c r="R1151" s="4">
        <f ca="1">_xlfn.IFNA(VLOOKUP(INDIRECT("G"&amp;ROW()),minfo!$A:$M,COLUMN()-8,0),"")</f>
        <v>0</v>
      </c>
      <c r="S1151" s="4" t="str">
        <f ca="1">_xlfn.IFNA(VLOOKUP(INDIRECT("G"&amp;ROW()),minfo!$A:$M,COLUMN()-8,0),"")</f>
        <v>小城谣</v>
      </c>
      <c r="T1151" s="4">
        <f ca="1">_xlfn.IFNA(VLOOKUP(INDIRECT("G"&amp;ROW()),minfo!$A:$M,COLUMN()-8,0),"")</f>
        <v>219738813</v>
      </c>
      <c r="U1151" s="4">
        <f ca="1">_xlfn.IFNA(VLOOKUP(INDIRECT("G"&amp;ROW()),minfo!$A:$M,COLUMN()-8,0),"")</f>
        <v>0</v>
      </c>
    </row>
    <row r="1152" spans="1:21" ht="15.75" customHeight="1">
      <c r="A1152" s="15">
        <v>1151</v>
      </c>
      <c r="B1152" s="4" t="s">
        <v>4761</v>
      </c>
      <c r="C1152" s="4">
        <v>1152</v>
      </c>
      <c r="D1152" s="4">
        <v>166</v>
      </c>
      <c r="E1152" s="4" t="s">
        <v>2067</v>
      </c>
      <c r="F1152" s="16">
        <v>44736</v>
      </c>
      <c r="G1152" s="5" t="s">
        <v>2066</v>
      </c>
      <c r="H1152" s="5" t="s">
        <v>4585</v>
      </c>
      <c r="I1152" s="24" t="str">
        <f>HYPERLINK("https://www.bilibili.com/video/BV1o3411T7Yn?p=166", "BV1o3411T7Yn?p=166")</f>
        <v>BV1o3411T7Yn?p=166</v>
      </c>
      <c r="J1152" s="4" t="str">
        <f ca="1">_xlfn.IFNA(VLOOKUP(INDIRECT("G"&amp;ROW()),minfo!$A:$M,COLUMN()-8,0),"")</f>
        <v>勾指起誓</v>
      </c>
      <c r="K1152" s="4" t="str">
        <f ca="1">_xlfn.IFNA(VLOOKUP(INDIRECT("G"&amp;ROW()),minfo!$A:$M,COLUMN()-8,0),"")</f>
        <v>洛天依,ilem</v>
      </c>
      <c r="L1152" s="4">
        <f ca="1">_xlfn.IFNA(VLOOKUP(INDIRECT("G"&amp;ROW()),minfo!$A:$M,COLUMN()-8,0),"")</f>
        <v>0</v>
      </c>
      <c r="M1152" s="4">
        <f ca="1">_xlfn.IFNA(VLOOKUP(INDIRECT("G"&amp;ROW()),minfo!$A:$M,COLUMN()-8,0),"")</f>
        <v>0</v>
      </c>
      <c r="N1152" s="4">
        <f ca="1">_xlfn.IFNA(VLOOKUP(INDIRECT("G"&amp;ROW()),minfo!$A:$M,COLUMN()-8,0),"")</f>
        <v>0</v>
      </c>
      <c r="O1152" s="4" t="str">
        <f ca="1">_xlfn.IFNA(VLOOKUP(INDIRECT("G"&amp;ROW()),minfo!$A:$M,COLUMN()-8,0),"")</f>
        <v>https://i0.hdslb.com/bfs/station_src/music_metadata/2bf703ca0968210e39946b5a88262f56.jpg</v>
      </c>
      <c r="P1152" s="4">
        <f ca="1">_xlfn.IFNA(VLOOKUP(INDIRECT("G"&amp;ROW()),minfo!$A:$M,COLUMN()-8,0),"")</f>
        <v>0</v>
      </c>
      <c r="Q1152" s="4">
        <f ca="1">_xlfn.IFNA(VLOOKUP(INDIRECT("G"&amp;ROW()),minfo!$A:$M,COLUMN()-8,0),"")</f>
        <v>5625</v>
      </c>
      <c r="R1152" s="4">
        <f ca="1">_xlfn.IFNA(VLOOKUP(INDIRECT("G"&amp;ROW()),minfo!$A:$M,COLUMN()-8,0),"")</f>
        <v>0</v>
      </c>
      <c r="S1152" s="4" t="str">
        <f ca="1">_xlfn.IFNA(VLOOKUP(INDIRECT("G"&amp;ROW()),minfo!$A:$M,COLUMN()-8,0),"")</f>
        <v>2:3</v>
      </c>
      <c r="T1152" s="4">
        <f ca="1">_xlfn.IFNA(VLOOKUP(INDIRECT("G"&amp;ROW()),minfo!$A:$M,COLUMN()-8,0),"")</f>
        <v>733581386</v>
      </c>
      <c r="U1152" s="4">
        <f ca="1">_xlfn.IFNA(VLOOKUP(INDIRECT("G"&amp;ROW()),minfo!$A:$M,COLUMN()-8,0),"")</f>
        <v>0</v>
      </c>
    </row>
    <row r="1153" spans="1:21" ht="15.75" customHeight="1">
      <c r="A1153" s="15">
        <v>1152</v>
      </c>
      <c r="B1153" s="4" t="s">
        <v>4762</v>
      </c>
      <c r="C1153" s="4">
        <v>1153</v>
      </c>
      <c r="D1153" s="4">
        <v>167</v>
      </c>
      <c r="E1153" s="4" t="s">
        <v>1534</v>
      </c>
      <c r="F1153" s="16">
        <v>44736</v>
      </c>
      <c r="G1153" s="5" t="s">
        <v>1533</v>
      </c>
      <c r="H1153" s="5" t="s">
        <v>4585</v>
      </c>
      <c r="I1153" s="24" t="str">
        <f>HYPERLINK("https://www.bilibili.com/video/BV1o3411T7Yn?p=167", "BV1o3411T7Yn?p=167")</f>
        <v>BV1o3411T7Yn?p=167</v>
      </c>
      <c r="J1153" s="4" t="str">
        <f ca="1">_xlfn.IFNA(VLOOKUP(INDIRECT("G"&amp;ROW()),minfo!$A:$M,COLUMN()-8,0),"")</f>
        <v>夏天的风</v>
      </c>
      <c r="K1153" s="4" t="str">
        <f ca="1">_xlfn.IFNA(VLOOKUP(INDIRECT("G"&amp;ROW()),minfo!$A:$M,COLUMN()-8,0),"")</f>
        <v>温岚</v>
      </c>
      <c r="L1153" s="4">
        <f ca="1">_xlfn.IFNA(VLOOKUP(INDIRECT("G"&amp;ROW()),minfo!$A:$M,COLUMN()-8,0),"")</f>
        <v>0</v>
      </c>
      <c r="M1153" s="4">
        <f ca="1">_xlfn.IFNA(VLOOKUP(INDIRECT("G"&amp;ROW()),minfo!$A:$M,COLUMN()-8,0),"")</f>
        <v>0</v>
      </c>
      <c r="N1153" s="4">
        <f ca="1">_xlfn.IFNA(VLOOKUP(INDIRECT("G"&amp;ROW()),minfo!$A:$M,COLUMN()-8,0),"")</f>
        <v>0</v>
      </c>
      <c r="O1153" s="4" t="str">
        <f ca="1">_xlfn.IFNA(VLOOKUP(INDIRECT("G"&amp;ROW()),minfo!$A:$M,COLUMN()-8,0),"")</f>
        <v>http://i0.hdslb.com/bfs/station_src/music_metadata/299064b429626e564b820aa490025cf3.jpg</v>
      </c>
      <c r="P1153" s="4" t="str">
        <f ca="1">_xlfn.IFNA(VLOOKUP(INDIRECT("G"&amp;ROW()),minfo!$A:$M,COLUMN()-8,0),"")</f>
        <v>http://i0.hdslb.com/bfs/station_src/music_metadata/1738086c832f4a90ef3a8c8e24d13a84</v>
      </c>
      <c r="Q1153" s="4">
        <f ca="1">_xlfn.IFNA(VLOOKUP(INDIRECT("G"&amp;ROW()),minfo!$A:$M,COLUMN()-8,0),"")</f>
        <v>1370</v>
      </c>
      <c r="R1153" s="4">
        <f ca="1">_xlfn.IFNA(VLOOKUP(INDIRECT("G"&amp;ROW()),minfo!$A:$M,COLUMN()-8,0),"")</f>
        <v>0</v>
      </c>
      <c r="S1153" s="4" t="str">
        <f ca="1">_xlfn.IFNA(VLOOKUP(INDIRECT("G"&amp;ROW()),minfo!$A:$M,COLUMN()-8,0),"")</f>
        <v>温式效应</v>
      </c>
      <c r="T1153" s="4">
        <f ca="1">_xlfn.IFNA(VLOOKUP(INDIRECT("G"&amp;ROW()),minfo!$A:$M,COLUMN()-8,0),"")</f>
        <v>529974853</v>
      </c>
      <c r="U1153" s="4">
        <f ca="1">_xlfn.IFNA(VLOOKUP(INDIRECT("G"&amp;ROW()),minfo!$A:$M,COLUMN()-8,0),"")</f>
        <v>0</v>
      </c>
    </row>
    <row r="1154" spans="1:21" ht="15.75" customHeight="1">
      <c r="A1154" s="15">
        <v>1153</v>
      </c>
      <c r="B1154" s="4" t="s">
        <v>4763</v>
      </c>
      <c r="C1154" s="4">
        <v>1154</v>
      </c>
      <c r="D1154" s="4">
        <v>168</v>
      </c>
      <c r="E1154" s="4" t="s">
        <v>2565</v>
      </c>
      <c r="F1154" s="16">
        <v>44736</v>
      </c>
      <c r="G1154" s="5" t="s">
        <v>2564</v>
      </c>
      <c r="H1154" s="5" t="s">
        <v>4585</v>
      </c>
      <c r="I1154" s="24" t="str">
        <f>HYPERLINK("https://www.bilibili.com/video/BV1o3411T7Yn?p=168", "BV1o3411T7Yn?p=168")</f>
        <v>BV1o3411T7Yn?p=168</v>
      </c>
      <c r="J1154" s="4" t="str">
        <f ca="1">_xlfn.IFNA(VLOOKUP(INDIRECT("G"&amp;ROW()),minfo!$A:$M,COLUMN()-8,0),"")</f>
        <v>江南</v>
      </c>
      <c r="K1154" s="4" t="str">
        <f ca="1">_xlfn.IFNA(VLOOKUP(INDIRECT("G"&amp;ROW()),minfo!$A:$M,COLUMN()-8,0),"")</f>
        <v>林俊杰</v>
      </c>
      <c r="L1154" s="4">
        <f ca="1">_xlfn.IFNA(VLOOKUP(INDIRECT("G"&amp;ROW()),minfo!$A:$M,COLUMN()-8,0),"")</f>
        <v>0</v>
      </c>
      <c r="M1154" s="4">
        <f ca="1">_xlfn.IFNA(VLOOKUP(INDIRECT("G"&amp;ROW()),minfo!$A:$M,COLUMN()-8,0),"")</f>
        <v>30</v>
      </c>
      <c r="N1154" s="4">
        <f ca="1">_xlfn.IFNA(VLOOKUP(INDIRECT("G"&amp;ROW()),minfo!$A:$M,COLUMN()-8,0),"")</f>
        <v>15</v>
      </c>
      <c r="O1154" s="4" t="str">
        <f ca="1">_xlfn.IFNA(VLOOKUP(INDIRECT("G"&amp;ROW()),minfo!$A:$M,COLUMN()-8,0),"")</f>
        <v>https://i0.hdslb.com/bfs/station_src/music_metadata/9048beac283ff1336cc742f16ced5304.jpg</v>
      </c>
      <c r="P1154" s="4" t="str">
        <f ca="1">_xlfn.IFNA(VLOOKUP(INDIRECT("G"&amp;ROW()),minfo!$A:$M,COLUMN()-8,0),"")</f>
        <v>http://i0.hdslb.com/bfs/station_src/music_metadata/89a96593b32c6ad188782f915579ba39</v>
      </c>
      <c r="Q1154" s="4">
        <f ca="1">_xlfn.IFNA(VLOOKUP(INDIRECT("G"&amp;ROW()),minfo!$A:$M,COLUMN()-8,0),"")</f>
        <v>1889</v>
      </c>
      <c r="R1154" s="4">
        <f ca="1">_xlfn.IFNA(VLOOKUP(INDIRECT("G"&amp;ROW()),minfo!$A:$M,COLUMN()-8,0),"")</f>
        <v>0</v>
      </c>
      <c r="S1154" s="4" t="str">
        <f ca="1">_xlfn.IFNA(VLOOKUP(INDIRECT("G"&amp;ROW()),minfo!$A:$M,COLUMN()-8,0),"")</f>
        <v>第二天堂</v>
      </c>
      <c r="T1154" s="4">
        <f ca="1">_xlfn.IFNA(VLOOKUP(INDIRECT("G"&amp;ROW()),minfo!$A:$M,COLUMN()-8,0),"")</f>
        <v>509219500</v>
      </c>
      <c r="U1154" s="4">
        <f ca="1">_xlfn.IFNA(VLOOKUP(INDIRECT("G"&amp;ROW()),minfo!$A:$M,COLUMN()-8,0),"")</f>
        <v>0</v>
      </c>
    </row>
    <row r="1155" spans="1:21" ht="15.75" customHeight="1">
      <c r="A1155" s="15">
        <v>1154</v>
      </c>
      <c r="B1155" s="4" t="s">
        <v>4764</v>
      </c>
      <c r="C1155" s="4">
        <v>1155</v>
      </c>
      <c r="D1155" s="4">
        <v>169</v>
      </c>
      <c r="E1155" s="4" t="s">
        <v>220</v>
      </c>
      <c r="F1155" s="16">
        <v>44736</v>
      </c>
      <c r="G1155" s="5" t="s">
        <v>219</v>
      </c>
      <c r="H1155" s="5" t="s">
        <v>4585</v>
      </c>
      <c r="I1155" s="24" t="str">
        <f>HYPERLINK("https://www.bilibili.com/video/BV1o3411T7Yn?p=169", "BV1o3411T7Yn?p=169")</f>
        <v>BV1o3411T7Yn?p=169</v>
      </c>
      <c r="J1155" s="4" t="str">
        <f ca="1">_xlfn.IFNA(VLOOKUP(INDIRECT("G"&amp;ROW()),minfo!$A:$M,COLUMN()-8,0),"")</f>
        <v>一荤一素</v>
      </c>
      <c r="K1155" s="4" t="str">
        <f ca="1">_xlfn.IFNA(VLOOKUP(INDIRECT("G"&amp;ROW()),minfo!$A:$M,COLUMN()-8,0),"")</f>
        <v>毛不易</v>
      </c>
      <c r="L1155" s="4">
        <f ca="1">_xlfn.IFNA(VLOOKUP(INDIRECT("G"&amp;ROW()),minfo!$A:$M,COLUMN()-8,0),"")</f>
        <v>0</v>
      </c>
      <c r="M1155" s="4">
        <f ca="1">_xlfn.IFNA(VLOOKUP(INDIRECT("G"&amp;ROW()),minfo!$A:$M,COLUMN()-8,0),"")</f>
        <v>1071</v>
      </c>
      <c r="N1155" s="4">
        <f ca="1">_xlfn.IFNA(VLOOKUP(INDIRECT("G"&amp;ROW()),minfo!$A:$M,COLUMN()-8,0),"")</f>
        <v>194</v>
      </c>
      <c r="O1155" s="4" t="str">
        <f ca="1">_xlfn.IFNA(VLOOKUP(INDIRECT("G"&amp;ROW()),minfo!$A:$M,COLUMN()-8,0),"")</f>
        <v>https://i0.hdslb.com/bfs/station_src/music_metadata/7f59fe0f47fb65bdae2eeac57b76228c.jpg</v>
      </c>
      <c r="P1155" s="4" t="str">
        <f ca="1">_xlfn.IFNA(VLOOKUP(INDIRECT("G"&amp;ROW()),minfo!$A:$M,COLUMN()-8,0),"")</f>
        <v>http://i0.hdslb.com/bfs/station_src/music_metadata/592263cf9a711b6ee593a6429c442efb</v>
      </c>
      <c r="Q1155" s="4">
        <f ca="1">_xlfn.IFNA(VLOOKUP(INDIRECT("G"&amp;ROW()),minfo!$A:$M,COLUMN()-8,0),"")</f>
        <v>905</v>
      </c>
      <c r="R1155" s="4">
        <f ca="1">_xlfn.IFNA(VLOOKUP(INDIRECT("G"&amp;ROW()),minfo!$A:$M,COLUMN()-8,0),"")</f>
        <v>0</v>
      </c>
      <c r="S1155" s="4" t="str">
        <f ca="1">_xlfn.IFNA(VLOOKUP(INDIRECT("G"&amp;ROW()),minfo!$A:$M,COLUMN()-8,0),"")</f>
        <v>平凡的一天</v>
      </c>
      <c r="T1155" s="4">
        <f ca="1">_xlfn.IFNA(VLOOKUP(INDIRECT("G"&amp;ROW()),minfo!$A:$M,COLUMN()-8,0),"")</f>
        <v>132554728</v>
      </c>
      <c r="U1155" s="4">
        <f ca="1">_xlfn.IFNA(VLOOKUP(INDIRECT("G"&amp;ROW()),minfo!$A:$M,COLUMN()-8,0),"")</f>
        <v>0</v>
      </c>
    </row>
    <row r="1156" spans="1:21" ht="15.75" customHeight="1">
      <c r="A1156" s="15">
        <v>1155</v>
      </c>
      <c r="B1156" s="4" t="s">
        <v>4765</v>
      </c>
      <c r="C1156" s="4">
        <v>1156</v>
      </c>
      <c r="D1156" s="4">
        <v>170</v>
      </c>
      <c r="E1156" s="4" t="s">
        <v>250</v>
      </c>
      <c r="F1156" s="16">
        <v>44737</v>
      </c>
      <c r="G1156" s="5" t="s">
        <v>249</v>
      </c>
      <c r="H1156" s="5" t="s">
        <v>4585</v>
      </c>
      <c r="I1156" s="24" t="str">
        <f>HYPERLINK("https://www.bilibili.com/video/BV1o3411T7Yn?p=170", "BV1o3411T7Yn?p=170")</f>
        <v>BV1o3411T7Yn?p=170</v>
      </c>
      <c r="J1156" s="4" t="str">
        <f ca="1">_xlfn.IFNA(VLOOKUP(INDIRECT("G"&amp;ROW()),minfo!$A:$M,COLUMN()-8,0),"")</f>
        <v>入画江南</v>
      </c>
      <c r="K1156" s="4" t="str">
        <f ca="1">_xlfn.IFNA(VLOOKUP(INDIRECT("G"&amp;ROW()),minfo!$A:$M,COLUMN()-8,0),"")</f>
        <v>黄龄</v>
      </c>
      <c r="L1156" s="4">
        <f ca="1">_xlfn.IFNA(VLOOKUP(INDIRECT("G"&amp;ROW()),minfo!$A:$M,COLUMN()-8,0),"")</f>
        <v>0</v>
      </c>
      <c r="M1156" s="4">
        <f ca="1">_xlfn.IFNA(VLOOKUP(INDIRECT("G"&amp;ROW()),minfo!$A:$M,COLUMN()-8,0),"")</f>
        <v>0</v>
      </c>
      <c r="N1156" s="4">
        <f ca="1">_xlfn.IFNA(VLOOKUP(INDIRECT("G"&amp;ROW()),minfo!$A:$M,COLUMN()-8,0),"")</f>
        <v>0</v>
      </c>
      <c r="O1156" s="4" t="str">
        <f ca="1">_xlfn.IFNA(VLOOKUP(INDIRECT("G"&amp;ROW()),minfo!$A:$M,COLUMN()-8,0),"")</f>
        <v>https://i0.hdslb.com/bfs/station_src/music_metadata/9bad5d5de3b3ad30ddb1728f2601e072.jpg</v>
      </c>
      <c r="P1156" s="4" t="str">
        <f ca="1">_xlfn.IFNA(VLOOKUP(INDIRECT("G"&amp;ROW()),minfo!$A:$M,COLUMN()-8,0),"")</f>
        <v>http://i0.hdslb.com/bfs/station_src/music_metadata/c67ce1dd9cbfd2414bb3914f717f4817</v>
      </c>
      <c r="Q1156" s="4">
        <f ca="1">_xlfn.IFNA(VLOOKUP(INDIRECT("G"&amp;ROW()),minfo!$A:$M,COLUMN()-8,0),"")</f>
        <v>2739</v>
      </c>
      <c r="R1156" s="4" t="str">
        <f ca="1">_xlfn.IFNA(VLOOKUP(INDIRECT("G"&amp;ROW()),minfo!$A:$M,COLUMN()-8,0),"")</f>
        <v>《江南百景图》手游推广曲</v>
      </c>
      <c r="S1156" s="4" t="str">
        <f ca="1">_xlfn.IFNA(VLOOKUP(INDIRECT("G"&amp;ROW()),minfo!$A:$M,COLUMN()-8,0),"")</f>
        <v>入画江南</v>
      </c>
      <c r="T1156" s="4">
        <f ca="1">_xlfn.IFNA(VLOOKUP(INDIRECT("G"&amp;ROW()),minfo!$A:$M,COLUMN()-8,0),"")</f>
        <v>119060924</v>
      </c>
      <c r="U1156" s="4">
        <f ca="1">_xlfn.IFNA(VLOOKUP(INDIRECT("G"&amp;ROW()),minfo!$A:$M,COLUMN()-8,0),"")</f>
        <v>0</v>
      </c>
    </row>
    <row r="1157" spans="1:21" ht="15.75" customHeight="1">
      <c r="A1157" s="15">
        <v>1156</v>
      </c>
      <c r="B1157" s="4" t="s">
        <v>4766</v>
      </c>
      <c r="C1157" s="4">
        <v>1157</v>
      </c>
      <c r="D1157" s="4">
        <v>171</v>
      </c>
      <c r="E1157" s="4" t="s">
        <v>4767</v>
      </c>
      <c r="F1157" s="16">
        <v>44740</v>
      </c>
      <c r="G1157" s="5" t="s">
        <v>1742</v>
      </c>
      <c r="H1157" s="5" t="s">
        <v>4585</v>
      </c>
      <c r="I1157" s="24" t="str">
        <f>HYPERLINK("https://www.bilibili.com/video/BV1o3411T7Yn?p=171", "BV1o3411T7Yn?p=171")</f>
        <v>BV1o3411T7Yn?p=171</v>
      </c>
      <c r="J1157" s="4" t="str">
        <f ca="1">_xlfn.IFNA(VLOOKUP(INDIRECT("G"&amp;ROW()),minfo!$A:$M,COLUMN()-8,0),"")</f>
        <v>知足</v>
      </c>
      <c r="K1157" s="4" t="str">
        <f ca="1">_xlfn.IFNA(VLOOKUP(INDIRECT("G"&amp;ROW()),minfo!$A:$M,COLUMN()-8,0),"")</f>
        <v>五月天</v>
      </c>
      <c r="L1157" s="4">
        <f ca="1">_xlfn.IFNA(VLOOKUP(INDIRECT("G"&amp;ROW()),minfo!$A:$M,COLUMN()-8,0),"")</f>
        <v>0</v>
      </c>
      <c r="M1157" s="4">
        <f ca="1">_xlfn.IFNA(VLOOKUP(INDIRECT("G"&amp;ROW()),minfo!$A:$M,COLUMN()-8,0),"")</f>
        <v>3030</v>
      </c>
      <c r="N1157" s="4">
        <f ca="1">_xlfn.IFNA(VLOOKUP(INDIRECT("G"&amp;ROW()),minfo!$A:$M,COLUMN()-8,0),"")</f>
        <v>1949</v>
      </c>
      <c r="O1157" s="4" t="str">
        <f ca="1">_xlfn.IFNA(VLOOKUP(INDIRECT("G"&amp;ROW()),minfo!$A:$M,COLUMN()-8,0),"")</f>
        <v>http://i0.hdslb.com/bfs/station_src/music_metadata/dab8db4a9a448c1f836e56049070aa26.jpg</v>
      </c>
      <c r="P1157" s="4" t="str">
        <f ca="1">_xlfn.IFNA(VLOOKUP(INDIRECT("G"&amp;ROW()),minfo!$A:$M,COLUMN()-8,0),"")</f>
        <v>http://i0.hdslb.com/bfs/station_src/music_metadata/b378a92a47e277d62037de8697e6967f</v>
      </c>
      <c r="Q1157" s="4">
        <f ca="1">_xlfn.IFNA(VLOOKUP(INDIRECT("G"&amp;ROW()),minfo!$A:$M,COLUMN()-8,0),"")</f>
        <v>556</v>
      </c>
      <c r="R1157" s="4">
        <f ca="1">_xlfn.IFNA(VLOOKUP(INDIRECT("G"&amp;ROW()),minfo!$A:$M,COLUMN()-8,0),"")</f>
        <v>0</v>
      </c>
      <c r="S1157" s="4" t="str">
        <f ca="1">_xlfn.IFNA(VLOOKUP(INDIRECT("G"&amp;ROW()),minfo!$A:$M,COLUMN()-8,0),"")</f>
        <v>步步 自选作品辑 the Best of 1999-2013</v>
      </c>
      <c r="T1157" s="4">
        <f ca="1">_xlfn.IFNA(VLOOKUP(INDIRECT("G"&amp;ROW()),minfo!$A:$M,COLUMN()-8,0),"")</f>
        <v>243513643</v>
      </c>
      <c r="U1157" s="4">
        <f ca="1">_xlfn.IFNA(VLOOKUP(INDIRECT("G"&amp;ROW()),minfo!$A:$M,COLUMN()-8,0),"")</f>
        <v>0</v>
      </c>
    </row>
    <row r="1158" spans="1:21" ht="15.75" customHeight="1">
      <c r="A1158" s="15">
        <v>1157</v>
      </c>
      <c r="B1158" s="4" t="s">
        <v>4768</v>
      </c>
      <c r="C1158" s="4">
        <v>1158</v>
      </c>
      <c r="D1158" s="4">
        <v>172</v>
      </c>
      <c r="E1158" s="4" t="s">
        <v>3041</v>
      </c>
      <c r="F1158" s="16">
        <v>44740</v>
      </c>
      <c r="G1158" s="5" t="s">
        <v>3040</v>
      </c>
      <c r="H1158" s="5" t="s">
        <v>4585</v>
      </c>
      <c r="I1158" s="24" t="str">
        <f>HYPERLINK("https://www.bilibili.com/video/BV1o3411T7Yn?p=172", "BV1o3411T7Yn?p=172")</f>
        <v>BV1o3411T7Yn?p=172</v>
      </c>
      <c r="J1158" s="4" t="str">
        <f ca="1">_xlfn.IFNA(VLOOKUP(INDIRECT("G"&amp;ROW()),minfo!$A:$M,COLUMN()-8,0),"")</f>
        <v>陪我歌唱</v>
      </c>
      <c r="K1158" s="4" t="str">
        <f ca="1">_xlfn.IFNA(VLOOKUP(INDIRECT("G"&amp;ROW()),minfo!$A:$M,COLUMN()-8,0),"")</f>
        <v>苏打绿</v>
      </c>
      <c r="L1158" s="4">
        <f ca="1">_xlfn.IFNA(VLOOKUP(INDIRECT("G"&amp;ROW()),minfo!$A:$M,COLUMN()-8,0),"")</f>
        <v>0</v>
      </c>
      <c r="M1158" s="4">
        <f ca="1">_xlfn.IFNA(VLOOKUP(INDIRECT("G"&amp;ROW()),minfo!$A:$M,COLUMN()-8,0),"")</f>
        <v>0</v>
      </c>
      <c r="N1158" s="4">
        <f ca="1">_xlfn.IFNA(VLOOKUP(INDIRECT("G"&amp;ROW()),minfo!$A:$M,COLUMN()-8,0),"")</f>
        <v>0</v>
      </c>
      <c r="O1158" s="4" t="str">
        <f ca="1">_xlfn.IFNA(VLOOKUP(INDIRECT("G"&amp;ROW()),minfo!$A:$M,COLUMN()-8,0),"")</f>
        <v>https://i0.hdslb.com/bfs/station_src/music_metadata/d1866137a55e3bfd54656084f70d6f21.jpg</v>
      </c>
      <c r="P1158" s="4" t="str">
        <f ca="1">_xlfn.IFNA(VLOOKUP(INDIRECT("G"&amp;ROW()),minfo!$A:$M,COLUMN()-8,0),"")</f>
        <v>https://i0.hdslb.com/bfs/station_src/music_metadata/a46b2487416574fd19a099188181565d.txt</v>
      </c>
      <c r="Q1158" s="4">
        <f ca="1">_xlfn.IFNA(VLOOKUP(INDIRECT("G"&amp;ROW()),minfo!$A:$M,COLUMN()-8,0),"")</f>
        <v>0</v>
      </c>
      <c r="R1158" s="4">
        <f ca="1">_xlfn.IFNA(VLOOKUP(INDIRECT("G"&amp;ROW()),minfo!$A:$M,COLUMN()-8,0),"")</f>
        <v>0</v>
      </c>
      <c r="S1158" s="4" t="str">
        <f ca="1">_xlfn.IFNA(VLOOKUP(INDIRECT("G"&amp;ROW()),minfo!$A:$M,COLUMN()-8,0),"")</f>
        <v>陪我歌唱 (苏打绿版)</v>
      </c>
      <c r="T1158" s="4">
        <f ca="1">_xlfn.IFNA(VLOOKUP(INDIRECT("G"&amp;ROW()),minfo!$A:$M,COLUMN()-8,0),"")</f>
        <v>493220</v>
      </c>
      <c r="U1158" s="4">
        <f ca="1">_xlfn.IFNA(VLOOKUP(INDIRECT("G"&amp;ROW()),minfo!$A:$M,COLUMN()-8,0),"")</f>
        <v>0</v>
      </c>
    </row>
    <row r="1159" spans="1:21" ht="15.75" customHeight="1">
      <c r="A1159" s="15">
        <v>1158</v>
      </c>
      <c r="B1159" s="4" t="s">
        <v>4769</v>
      </c>
      <c r="C1159" s="4">
        <v>1159</v>
      </c>
      <c r="D1159" s="4">
        <v>1</v>
      </c>
      <c r="E1159" s="4" t="s">
        <v>3024</v>
      </c>
      <c r="F1159" s="16">
        <v>44835</v>
      </c>
      <c r="G1159" s="5" t="s">
        <v>3023</v>
      </c>
      <c r="H1159" s="5" t="s">
        <v>4770</v>
      </c>
      <c r="I1159" s="24" t="str">
        <f>HYPERLINK("https://www.bilibili.com/video/BV1ie4y1B7SZ?p=1", "BV1ie4y1B7SZ?p=1")</f>
        <v>BV1ie4y1B7SZ?p=1</v>
      </c>
      <c r="J1159" s="4" t="str">
        <f ca="1">_xlfn.IFNA(VLOOKUP(INDIRECT("G"&amp;ROW()),minfo!$A:$M,COLUMN()-8,0),"")</f>
        <v>我的祖国</v>
      </c>
      <c r="K1159" s="4" t="str">
        <f ca="1">_xlfn.IFNA(VLOOKUP(INDIRECT("G"&amp;ROW()),minfo!$A:$M,COLUMN()-8,0),"")</f>
        <v>郭兰英</v>
      </c>
      <c r="L1159" s="4">
        <f ca="1">_xlfn.IFNA(VLOOKUP(INDIRECT("G"&amp;ROW()),minfo!$A:$M,COLUMN()-8,0),"")</f>
        <v>0</v>
      </c>
      <c r="M1159" s="4">
        <f ca="1">_xlfn.IFNA(VLOOKUP(INDIRECT("G"&amp;ROW()),minfo!$A:$M,COLUMN()-8,0),"")</f>
        <v>0</v>
      </c>
      <c r="N1159" s="4">
        <f ca="1">_xlfn.IFNA(VLOOKUP(INDIRECT("G"&amp;ROW()),minfo!$A:$M,COLUMN()-8,0),"")</f>
        <v>0</v>
      </c>
      <c r="O1159" s="4" t="str">
        <f ca="1">_xlfn.IFNA(VLOOKUP(INDIRECT("G"&amp;ROW()),minfo!$A:$M,COLUMN()-8,0),"")</f>
        <v>https://i0.hdslb.com/bfs/station_src/music_metadata/f1f0babcd6982acdd0de35063dea0c85.jpg</v>
      </c>
      <c r="P1159" s="4" t="str">
        <f ca="1">_xlfn.IFNA(VLOOKUP(INDIRECT("G"&amp;ROW()),minfo!$A:$M,COLUMN()-8,0),"")</f>
        <v>http://i0.hdslb.com/bfs/station_src/music_metadata/d60ead561af337ae57599b642db57734</v>
      </c>
      <c r="Q1159" s="4">
        <f ca="1">_xlfn.IFNA(VLOOKUP(INDIRECT("G"&amp;ROW()),minfo!$A:$M,COLUMN()-8,0),"")</f>
        <v>500</v>
      </c>
      <c r="R1159" s="4">
        <f ca="1">_xlfn.IFNA(VLOOKUP(INDIRECT("G"&amp;ROW()),minfo!$A:$M,COLUMN()-8,0),"")</f>
        <v>0</v>
      </c>
      <c r="S1159" s="4" t="str">
        <f ca="1">_xlfn.IFNA(VLOOKUP(INDIRECT("G"&amp;ROW()),minfo!$A:$M,COLUMN()-8,0),"")</f>
        <v>一人一首成名曲1</v>
      </c>
      <c r="T1159" s="4">
        <f ca="1">_xlfn.IFNA(VLOOKUP(INDIRECT("G"&amp;ROW()),minfo!$A:$M,COLUMN()-8,0),"")</f>
        <v>178826067</v>
      </c>
      <c r="U1159" s="4">
        <f ca="1">_xlfn.IFNA(VLOOKUP(INDIRECT("G"&amp;ROW()),minfo!$A:$M,COLUMN()-8,0),"")</f>
        <v>0</v>
      </c>
    </row>
    <row r="1160" spans="1:21" ht="15.75" customHeight="1">
      <c r="A1160" s="15">
        <v>1159</v>
      </c>
      <c r="B1160" s="4" t="s">
        <v>4771</v>
      </c>
      <c r="C1160" s="4">
        <v>1160</v>
      </c>
      <c r="D1160" s="4">
        <v>2</v>
      </c>
      <c r="E1160" s="4" t="s">
        <v>2570</v>
      </c>
      <c r="F1160" s="16">
        <v>44835</v>
      </c>
      <c r="G1160" s="5" t="s">
        <v>2569</v>
      </c>
      <c r="H1160" s="5" t="s">
        <v>4770</v>
      </c>
      <c r="I1160" s="24" t="str">
        <f>HYPERLINK("https://www.bilibili.com/video/BV1ie4y1B7SZ?p=2", "BV1ie4y1B7SZ?p=2")</f>
        <v>BV1ie4y1B7SZ?p=2</v>
      </c>
      <c r="J1160" s="4" t="str">
        <f ca="1">_xlfn.IFNA(VLOOKUP(INDIRECT("G"&amp;ROW()),minfo!$A:$M,COLUMN()-8,0),"")</f>
        <v>我和我的祖国</v>
      </c>
      <c r="K1160" s="4" t="str">
        <f ca="1">_xlfn.IFNA(VLOOKUP(INDIRECT("G"&amp;ROW()),minfo!$A:$M,COLUMN()-8,0),"")</f>
        <v>李谷一,少年合唱团</v>
      </c>
      <c r="L1160" s="4">
        <f ca="1">_xlfn.IFNA(VLOOKUP(INDIRECT("G"&amp;ROW()),minfo!$A:$M,COLUMN()-8,0),"")</f>
        <v>0</v>
      </c>
      <c r="M1160" s="4">
        <f ca="1">_xlfn.IFNA(VLOOKUP(INDIRECT("G"&amp;ROW()),minfo!$A:$M,COLUMN()-8,0),"")</f>
        <v>0</v>
      </c>
      <c r="N1160" s="4">
        <f ca="1">_xlfn.IFNA(VLOOKUP(INDIRECT("G"&amp;ROW()),minfo!$A:$M,COLUMN()-8,0),"")</f>
        <v>0</v>
      </c>
      <c r="O1160" s="4" t="str">
        <f ca="1">_xlfn.IFNA(VLOOKUP(INDIRECT("G"&amp;ROW()),minfo!$A:$M,COLUMN()-8,0),"")</f>
        <v>https://i0.hdslb.com/bfs/station_src/music_metadata/771b26d560f1fee8f4b8772d941687b2.jpg</v>
      </c>
      <c r="P1160" s="4" t="str">
        <f ca="1">_xlfn.IFNA(VLOOKUP(INDIRECT("G"&amp;ROW()),minfo!$A:$M,COLUMN()-8,0),"")</f>
        <v>http://i0.hdslb.com/bfs/station_src/music_metadata/3de622a3a168b53cc76ecc7cbc19b2de</v>
      </c>
      <c r="Q1160" s="4">
        <f ca="1">_xlfn.IFNA(VLOOKUP(INDIRECT("G"&amp;ROW()),minfo!$A:$M,COLUMN()-8,0),"")</f>
        <v>569</v>
      </c>
      <c r="R1160" s="4">
        <f ca="1">_xlfn.IFNA(VLOOKUP(INDIRECT("G"&amp;ROW()),minfo!$A:$M,COLUMN()-8,0),"")</f>
        <v>0</v>
      </c>
      <c r="S1160" s="4" t="str">
        <f ca="1">_xlfn.IFNA(VLOOKUP(INDIRECT("G"&amp;ROW()),minfo!$A:$M,COLUMN()-8,0),"")</f>
        <v>2016 开学第一课</v>
      </c>
      <c r="T1160" s="4">
        <f ca="1">_xlfn.IFNA(VLOOKUP(INDIRECT("G"&amp;ROW()),minfo!$A:$M,COLUMN()-8,0),"")</f>
        <v>274618058</v>
      </c>
      <c r="U1160" s="4">
        <f ca="1">_xlfn.IFNA(VLOOKUP(INDIRECT("G"&amp;ROW()),minfo!$A:$M,COLUMN()-8,0),"")</f>
        <v>0</v>
      </c>
    </row>
    <row r="1161" spans="1:21" ht="15.75" customHeight="1">
      <c r="A1161" s="15">
        <v>1160</v>
      </c>
      <c r="B1161" s="4" t="s">
        <v>4772</v>
      </c>
      <c r="C1161" s="4">
        <v>1161</v>
      </c>
      <c r="D1161" s="4">
        <v>3</v>
      </c>
      <c r="E1161" s="4" t="s">
        <v>1371</v>
      </c>
      <c r="F1161" s="16">
        <v>44835</v>
      </c>
      <c r="G1161" s="5" t="s">
        <v>1370</v>
      </c>
      <c r="H1161" s="5" t="s">
        <v>4770</v>
      </c>
      <c r="I1161" s="24" t="str">
        <f>HYPERLINK("https://www.bilibili.com/video/BV1ie4y1B7SZ?p=3", "BV1ie4y1B7SZ?p=3")</f>
        <v>BV1ie4y1B7SZ?p=3</v>
      </c>
      <c r="J1161" s="4" t="str">
        <f ca="1">_xlfn.IFNA(VLOOKUP(INDIRECT("G"&amp;ROW()),minfo!$A:$M,COLUMN()-8,0),"")</f>
        <v>大地飞歌</v>
      </c>
      <c r="K1161" s="4" t="str">
        <f ca="1">_xlfn.IFNA(VLOOKUP(INDIRECT("G"&amp;ROW()),minfo!$A:$M,COLUMN()-8,0),"")</f>
        <v>宋祖英</v>
      </c>
      <c r="L1161" s="4">
        <f ca="1">_xlfn.IFNA(VLOOKUP(INDIRECT("G"&amp;ROW()),minfo!$A:$M,COLUMN()-8,0),"")</f>
        <v>0</v>
      </c>
      <c r="M1161" s="4">
        <f ca="1">_xlfn.IFNA(VLOOKUP(INDIRECT("G"&amp;ROW()),minfo!$A:$M,COLUMN()-8,0),"")</f>
        <v>0</v>
      </c>
      <c r="N1161" s="4">
        <f ca="1">_xlfn.IFNA(VLOOKUP(INDIRECT("G"&amp;ROW()),minfo!$A:$M,COLUMN()-8,0),"")</f>
        <v>0</v>
      </c>
      <c r="O1161" s="4" t="str">
        <f ca="1">_xlfn.IFNA(VLOOKUP(INDIRECT("G"&amp;ROW()),minfo!$A:$M,COLUMN()-8,0),"")</f>
        <v>https://i0.hdslb.com/bfs/station_src/music_metadata/b346c034f2cc826bb53de1c250ee108f.jpg</v>
      </c>
      <c r="P1161" s="4" t="str">
        <f ca="1">_xlfn.IFNA(VLOOKUP(INDIRECT("G"&amp;ROW()),minfo!$A:$M,COLUMN()-8,0),"")</f>
        <v>http://i0.hdslb.com/bfs/station_src/music_metadata/6092aa62fa54d28c6b8c742cffe5b12e</v>
      </c>
      <c r="Q1161" s="4">
        <f ca="1">_xlfn.IFNA(VLOOKUP(INDIRECT("G"&amp;ROW()),minfo!$A:$M,COLUMN()-8,0),"")</f>
        <v>218</v>
      </c>
      <c r="R1161" s="4">
        <f ca="1">_xlfn.IFNA(VLOOKUP(INDIRECT("G"&amp;ROW()),minfo!$A:$M,COLUMN()-8,0),"")</f>
        <v>0</v>
      </c>
      <c r="S1161" s="4" t="str">
        <f ca="1">_xlfn.IFNA(VLOOKUP(INDIRECT("G"&amp;ROW()),minfo!$A:$M,COLUMN()-8,0),"")</f>
        <v>节日欢歌 如意吉祥贺佳节1</v>
      </c>
      <c r="T1161" s="4">
        <f ca="1">_xlfn.IFNA(VLOOKUP(INDIRECT("G"&amp;ROW()),minfo!$A:$M,COLUMN()-8,0),"")</f>
        <v>79469412</v>
      </c>
      <c r="U1161" s="4">
        <f ca="1">_xlfn.IFNA(VLOOKUP(INDIRECT("G"&amp;ROW()),minfo!$A:$M,COLUMN()-8,0),"")</f>
        <v>0</v>
      </c>
    </row>
    <row r="1162" spans="1:21" ht="15.75" customHeight="1">
      <c r="A1162" s="15">
        <v>1161</v>
      </c>
      <c r="B1162" s="4" t="s">
        <v>4773</v>
      </c>
      <c r="C1162" s="4">
        <v>1162</v>
      </c>
      <c r="D1162" s="4">
        <v>4</v>
      </c>
      <c r="E1162" s="4" t="s">
        <v>1024</v>
      </c>
      <c r="F1162" s="16">
        <v>44835</v>
      </c>
      <c r="G1162" s="5" t="s">
        <v>1023</v>
      </c>
      <c r="H1162" s="5" t="s">
        <v>4770</v>
      </c>
      <c r="I1162" s="24" t="str">
        <f>HYPERLINK("https://www.bilibili.com/video/BV1ie4y1B7SZ?p=4", "BV1ie4y1B7SZ?p=4")</f>
        <v>BV1ie4y1B7SZ?p=4</v>
      </c>
      <c r="J1162" s="4" t="str">
        <f ca="1">_xlfn.IFNA(VLOOKUP(INDIRECT("G"&amp;ROW()),minfo!$A:$M,COLUMN()-8,0),"")</f>
        <v>兰亭序</v>
      </c>
      <c r="K1162" s="4" t="str">
        <f ca="1">_xlfn.IFNA(VLOOKUP(INDIRECT("G"&amp;ROW()),minfo!$A:$M,COLUMN()-8,0),"")</f>
        <v>周杰伦</v>
      </c>
      <c r="L1162" s="4">
        <f ca="1">_xlfn.IFNA(VLOOKUP(INDIRECT("G"&amp;ROW()),minfo!$A:$M,COLUMN()-8,0),"")</f>
        <v>0</v>
      </c>
      <c r="M1162" s="4">
        <f ca="1">_xlfn.IFNA(VLOOKUP(INDIRECT("G"&amp;ROW()),minfo!$A:$M,COLUMN()-8,0),"")</f>
        <v>0</v>
      </c>
      <c r="N1162" s="4">
        <f ca="1">_xlfn.IFNA(VLOOKUP(INDIRECT("G"&amp;ROW()),minfo!$A:$M,COLUMN()-8,0),"")</f>
        <v>0</v>
      </c>
      <c r="O1162" s="4" t="str">
        <f ca="1">_xlfn.IFNA(VLOOKUP(INDIRECT("G"&amp;ROW()),minfo!$A:$M,COLUMN()-8,0),"")</f>
        <v>https://i0.hdslb.com/bfs/station_src/music_metadata/a03f7d174c3b01e4c6b3907a115c5434.jpg</v>
      </c>
      <c r="P1162" s="4">
        <f ca="1">_xlfn.IFNA(VLOOKUP(INDIRECT("G"&amp;ROW()),minfo!$A:$M,COLUMN()-8,0),"")</f>
        <v>0</v>
      </c>
      <c r="Q1162" s="4">
        <f ca="1">_xlfn.IFNA(VLOOKUP(INDIRECT("G"&amp;ROW()),minfo!$A:$M,COLUMN()-8,0),"")</f>
        <v>28515</v>
      </c>
      <c r="R1162" s="4">
        <f ca="1">_xlfn.IFNA(VLOOKUP(INDIRECT("G"&amp;ROW()),minfo!$A:$M,COLUMN()-8,0),"")</f>
        <v>0</v>
      </c>
      <c r="S1162" s="4" t="str">
        <f ca="1">_xlfn.IFNA(VLOOKUP(INDIRECT("G"&amp;ROW()),minfo!$A:$M,COLUMN()-8,0),"")</f>
        <v>魔杰座</v>
      </c>
      <c r="T1162" s="4">
        <f ca="1">_xlfn.IFNA(VLOOKUP(INDIRECT("G"&amp;ROW()),minfo!$A:$M,COLUMN()-8,0),"")</f>
        <v>2546158396</v>
      </c>
      <c r="U1162" s="4" t="str">
        <f ca="1">_xlfn.IFNA(VLOOKUP(INDIRECT("G"&amp;ROW()),minfo!$A:$M,COLUMN()-8,0),"")</f>
        <v>音乐榜最高NO.4</v>
      </c>
    </row>
    <row r="1163" spans="1:21" ht="15.75" customHeight="1">
      <c r="A1163" s="15">
        <v>1162</v>
      </c>
      <c r="B1163" s="4" t="s">
        <v>4774</v>
      </c>
      <c r="C1163" s="4">
        <v>1163</v>
      </c>
      <c r="D1163" s="4">
        <v>5</v>
      </c>
      <c r="E1163" s="4" t="s">
        <v>4362</v>
      </c>
      <c r="F1163" s="16">
        <v>44835</v>
      </c>
      <c r="G1163" s="5" t="s">
        <v>1886</v>
      </c>
      <c r="H1163" s="5" t="s">
        <v>4770</v>
      </c>
      <c r="I1163" s="24" t="str">
        <f>HYPERLINK("https://www.bilibili.com/video/BV1ie4y1B7SZ?p=5", "BV1ie4y1B7SZ?p=5")</f>
        <v>BV1ie4y1B7SZ?p=5</v>
      </c>
      <c r="J1163" s="4" t="str">
        <f ca="1">_xlfn.IFNA(VLOOKUP(INDIRECT("G"&amp;ROW()),minfo!$A:$M,COLUMN()-8,0),"")</f>
        <v>快乐手账</v>
      </c>
      <c r="K1163" s="4" t="str">
        <f ca="1">_xlfn.IFNA(VLOOKUP(INDIRECT("G"&amp;ROW()),minfo!$A:$M,COLUMN()-8,0),"")</f>
        <v>初音未来</v>
      </c>
      <c r="L1163" s="4">
        <f ca="1">_xlfn.IFNA(VLOOKUP(INDIRECT("G"&amp;ROW()),minfo!$A:$M,COLUMN()-8,0),"")</f>
        <v>0</v>
      </c>
      <c r="M1163" s="4">
        <f ca="1">_xlfn.IFNA(VLOOKUP(INDIRECT("G"&amp;ROW()),minfo!$A:$M,COLUMN()-8,0),"")</f>
        <v>0</v>
      </c>
      <c r="N1163" s="4">
        <f ca="1">_xlfn.IFNA(VLOOKUP(INDIRECT("G"&amp;ROW()),minfo!$A:$M,COLUMN()-8,0),"")</f>
        <v>0</v>
      </c>
      <c r="O1163" s="4" t="str">
        <f ca="1">_xlfn.IFNA(VLOOKUP(INDIRECT("G"&amp;ROW()),minfo!$A:$M,COLUMN()-8,0),"")</f>
        <v>http://i0.hdslb.com/bfs/station_src/music_metadata/6d0fe4d5c4dc61f5d1d037d0e6855532.jpg</v>
      </c>
      <c r="P1163" s="4">
        <f ca="1">_xlfn.IFNA(VLOOKUP(INDIRECT("G"&amp;ROW()),minfo!$A:$M,COLUMN()-8,0),"")</f>
        <v>0</v>
      </c>
      <c r="Q1163" s="4">
        <f ca="1">_xlfn.IFNA(VLOOKUP(INDIRECT("G"&amp;ROW()),minfo!$A:$M,COLUMN()-8,0),"")</f>
        <v>42</v>
      </c>
      <c r="R1163" s="4">
        <f ca="1">_xlfn.IFNA(VLOOKUP(INDIRECT("G"&amp;ROW()),minfo!$A:$M,COLUMN()-8,0),"")</f>
        <v>0</v>
      </c>
      <c r="S1163" s="4" t="str">
        <f ca="1">_xlfn.IFNA(VLOOKUP(INDIRECT("G"&amp;ROW()),minfo!$A:$M,COLUMN()-8,0),"")</f>
        <v>快乐手账</v>
      </c>
      <c r="T1163" s="4">
        <f ca="1">_xlfn.IFNA(VLOOKUP(INDIRECT("G"&amp;ROW()),minfo!$A:$M,COLUMN()-8,0),"")</f>
        <v>6085354</v>
      </c>
      <c r="U1163" s="4">
        <f ca="1">_xlfn.IFNA(VLOOKUP(INDIRECT("G"&amp;ROW()),minfo!$A:$M,COLUMN()-8,0),"")</f>
        <v>0</v>
      </c>
    </row>
    <row r="1164" spans="1:21" ht="15.75" customHeight="1">
      <c r="A1164" s="15">
        <v>1163</v>
      </c>
      <c r="B1164" s="4" t="s">
        <v>4775</v>
      </c>
      <c r="C1164" s="4">
        <v>1164</v>
      </c>
      <c r="D1164" s="4">
        <v>6</v>
      </c>
      <c r="E1164" s="4" t="s">
        <v>860</v>
      </c>
      <c r="F1164" s="16">
        <v>44835</v>
      </c>
      <c r="G1164" s="5" t="s">
        <v>859</v>
      </c>
      <c r="H1164" s="5" t="s">
        <v>4770</v>
      </c>
      <c r="I1164" s="24" t="str">
        <f>HYPERLINK("https://www.bilibili.com/video/BV1ie4y1B7SZ?p=6", "BV1ie4y1B7SZ?p=6")</f>
        <v>BV1ie4y1B7SZ?p=6</v>
      </c>
      <c r="J1164" s="4" t="str">
        <f ca="1">_xlfn.IFNA(VLOOKUP(INDIRECT("G"&amp;ROW()),minfo!$A:$M,COLUMN()-8,0),"")</f>
        <v>秋水长天</v>
      </c>
      <c r="K1164" s="4" t="str">
        <f ca="1">_xlfn.IFNA(VLOOKUP(INDIRECT("G"&amp;ROW()),minfo!$A:$M,COLUMN()-8,0),"")</f>
        <v>常思思</v>
      </c>
      <c r="L1164" s="4">
        <f ca="1">_xlfn.IFNA(VLOOKUP(INDIRECT("G"&amp;ROW()),minfo!$A:$M,COLUMN()-8,0),"")</f>
        <v>0</v>
      </c>
      <c r="M1164" s="4">
        <f ca="1">_xlfn.IFNA(VLOOKUP(INDIRECT("G"&amp;ROW()),minfo!$A:$M,COLUMN()-8,0),"")</f>
        <v>0</v>
      </c>
      <c r="N1164" s="4">
        <f ca="1">_xlfn.IFNA(VLOOKUP(INDIRECT("G"&amp;ROW()),minfo!$A:$M,COLUMN()-8,0),"")</f>
        <v>0</v>
      </c>
      <c r="O1164" s="4" t="str">
        <f ca="1">_xlfn.IFNA(VLOOKUP(INDIRECT("G"&amp;ROW()),minfo!$A:$M,COLUMN()-8,0),"")</f>
        <v>https://i0.hdslb.com/bfs/station_src/music_metadata/d520e489abaf715fb24ccc60f72dc6e4.jpg</v>
      </c>
      <c r="P1164" s="4" t="str">
        <f ca="1">_xlfn.IFNA(VLOOKUP(INDIRECT("G"&amp;ROW()),minfo!$A:$M,COLUMN()-8,0),"")</f>
        <v>https://i0.hdslb.com/bfs/station_src/music_metadata/56ca13041f9dd35abfd03e02fe5cf59f.txt</v>
      </c>
      <c r="Q1164" s="4">
        <f ca="1">_xlfn.IFNA(VLOOKUP(INDIRECT("G"&amp;ROW()),minfo!$A:$M,COLUMN()-8,0),"")</f>
        <v>1</v>
      </c>
      <c r="R1164" s="4">
        <f ca="1">_xlfn.IFNA(VLOOKUP(INDIRECT("G"&amp;ROW()),minfo!$A:$M,COLUMN()-8,0),"")</f>
        <v>0</v>
      </c>
      <c r="S1164" s="4" t="str">
        <f ca="1">_xlfn.IFNA(VLOOKUP(INDIRECT("G"&amp;ROW()),minfo!$A:$M,COLUMN()-8,0),"")</f>
        <v>常思思精选歌曲集</v>
      </c>
      <c r="T1164" s="4">
        <f ca="1">_xlfn.IFNA(VLOOKUP(INDIRECT("G"&amp;ROW()),minfo!$A:$M,COLUMN()-8,0),"")</f>
        <v>1335190</v>
      </c>
      <c r="U1164" s="4">
        <f ca="1">_xlfn.IFNA(VLOOKUP(INDIRECT("G"&amp;ROW()),minfo!$A:$M,COLUMN()-8,0),"")</f>
        <v>0</v>
      </c>
    </row>
    <row r="1165" spans="1:21" ht="15.75" customHeight="1">
      <c r="A1165" s="15">
        <v>1164</v>
      </c>
      <c r="B1165" s="4" t="s">
        <v>4776</v>
      </c>
      <c r="C1165" s="4">
        <v>1165</v>
      </c>
      <c r="D1165" s="4">
        <v>7</v>
      </c>
      <c r="E1165" s="4" t="s">
        <v>726</v>
      </c>
      <c r="F1165" s="16">
        <v>44835</v>
      </c>
      <c r="G1165" s="5" t="s">
        <v>725</v>
      </c>
      <c r="H1165" s="5" t="s">
        <v>4770</v>
      </c>
      <c r="I1165" s="24" t="str">
        <f>HYPERLINK("https://www.bilibili.com/video/BV1ie4y1B7SZ?p=7", "BV1ie4y1B7SZ?p=7")</f>
        <v>BV1ie4y1B7SZ?p=7</v>
      </c>
      <c r="J1165" s="4" t="str">
        <f ca="1">_xlfn.IFNA(VLOOKUP(INDIRECT("G"&amp;ROW()),minfo!$A:$M,COLUMN()-8,0),"")</f>
        <v>茉莉花</v>
      </c>
      <c r="K1165" s="4" t="str">
        <f ca="1">_xlfn.IFNA(VLOOKUP(INDIRECT("G"&amp;ROW()),minfo!$A:$M,COLUMN()-8,0),"")</f>
        <v>群星</v>
      </c>
      <c r="L1165" s="4">
        <f ca="1">_xlfn.IFNA(VLOOKUP(INDIRECT("G"&amp;ROW()),minfo!$A:$M,COLUMN()-8,0),"")</f>
        <v>0</v>
      </c>
      <c r="M1165" s="4">
        <f ca="1">_xlfn.IFNA(VLOOKUP(INDIRECT("G"&amp;ROW()),minfo!$A:$M,COLUMN()-8,0),"")</f>
        <v>0</v>
      </c>
      <c r="N1165" s="4">
        <f ca="1">_xlfn.IFNA(VLOOKUP(INDIRECT("G"&amp;ROW()),minfo!$A:$M,COLUMN()-8,0),"")</f>
        <v>0</v>
      </c>
      <c r="O1165" s="4" t="str">
        <f ca="1">_xlfn.IFNA(VLOOKUP(INDIRECT("G"&amp;ROW()),minfo!$A:$M,COLUMN()-8,0),"")</f>
        <v>https://i0.hdslb.com/bfs/station_src/music_metadata/e03b06a414da98ba449eefdff7d60f88.jpg</v>
      </c>
      <c r="P1165" s="4" t="str">
        <f ca="1">_xlfn.IFNA(VLOOKUP(INDIRECT("G"&amp;ROW()),minfo!$A:$M,COLUMN()-8,0),"")</f>
        <v>https://i0.hdslb.com/bfs/station_src/music_metadata/f7e4d3ca608b74e750bc6ef547b43dbd.txt</v>
      </c>
      <c r="Q1165" s="4">
        <f ca="1">_xlfn.IFNA(VLOOKUP(INDIRECT("G"&amp;ROW()),minfo!$A:$M,COLUMN()-8,0),"")</f>
        <v>39</v>
      </c>
      <c r="R1165" s="4">
        <f ca="1">_xlfn.IFNA(VLOOKUP(INDIRECT("G"&amp;ROW()),minfo!$A:$M,COLUMN()-8,0),"")</f>
        <v>0</v>
      </c>
      <c r="S1165" s="4" t="str">
        <f ca="1">_xlfn.IFNA(VLOOKUP(INDIRECT("G"&amp;ROW()),minfo!$A:$M,COLUMN()-8,0),"")</f>
        <v>试机二号</v>
      </c>
      <c r="T1165" s="4">
        <f ca="1">_xlfn.IFNA(VLOOKUP(INDIRECT("G"&amp;ROW()),minfo!$A:$M,COLUMN()-8,0),"")</f>
        <v>14230993</v>
      </c>
      <c r="U1165" s="4">
        <f ca="1">_xlfn.IFNA(VLOOKUP(INDIRECT("G"&amp;ROW()),minfo!$A:$M,COLUMN()-8,0),"")</f>
        <v>0</v>
      </c>
    </row>
    <row r="1166" spans="1:21" ht="15.75" customHeight="1">
      <c r="A1166" s="15">
        <v>1165</v>
      </c>
      <c r="B1166" s="4" t="s">
        <v>4777</v>
      </c>
      <c r="C1166" s="4">
        <v>1166</v>
      </c>
      <c r="D1166" s="4">
        <v>8</v>
      </c>
      <c r="E1166" s="4" t="s">
        <v>167</v>
      </c>
      <c r="F1166" s="16">
        <v>44835</v>
      </c>
      <c r="G1166" s="5" t="s">
        <v>166</v>
      </c>
      <c r="H1166" s="5" t="s">
        <v>4770</v>
      </c>
      <c r="I1166" s="24" t="str">
        <f>HYPERLINK("https://www.bilibili.com/video/BV1ie4y1B7SZ?p=8", "BV1ie4y1B7SZ?p=8")</f>
        <v>BV1ie4y1B7SZ?p=8</v>
      </c>
      <c r="J1166" s="4" t="str">
        <f ca="1">_xlfn.IFNA(VLOOKUP(INDIRECT("G"&amp;ROW()),minfo!$A:$M,COLUMN()-8,0),"")</f>
        <v>枉凝眉</v>
      </c>
      <c r="K1166" s="4" t="str">
        <f ca="1">_xlfn.IFNA(VLOOKUP(INDIRECT("G"&amp;ROW()),minfo!$A:$M,COLUMN()-8,0),"")</f>
        <v>陈力</v>
      </c>
      <c r="L1166" s="4">
        <f ca="1">_xlfn.IFNA(VLOOKUP(INDIRECT("G"&amp;ROW()),minfo!$A:$M,COLUMN()-8,0),"")</f>
        <v>0</v>
      </c>
      <c r="M1166" s="4">
        <f ca="1">_xlfn.IFNA(VLOOKUP(INDIRECT("G"&amp;ROW()),minfo!$A:$M,COLUMN()-8,0),"")</f>
        <v>0</v>
      </c>
      <c r="N1166" s="4">
        <f ca="1">_xlfn.IFNA(VLOOKUP(INDIRECT("G"&amp;ROW()),minfo!$A:$M,COLUMN()-8,0),"")</f>
        <v>0</v>
      </c>
      <c r="O1166" s="4" t="str">
        <f ca="1">_xlfn.IFNA(VLOOKUP(INDIRECT("G"&amp;ROW()),minfo!$A:$M,COLUMN()-8,0),"")</f>
        <v>https://i0.hdslb.com/bfs/station_src/music_metadata/a5785f300c36a338ca6af40d3a254971.jpg</v>
      </c>
      <c r="P1166" s="4" t="str">
        <f ca="1">_xlfn.IFNA(VLOOKUP(INDIRECT("G"&amp;ROW()),minfo!$A:$M,COLUMN()-8,0),"")</f>
        <v>http://i0.hdslb.com/bfs/station_src/music_metadata/ac94f1b9302ef4c0640dc2afded16037</v>
      </c>
      <c r="Q1166" s="4">
        <f ca="1">_xlfn.IFNA(VLOOKUP(INDIRECT("G"&amp;ROW()),minfo!$A:$M,COLUMN()-8,0),"")</f>
        <v>224</v>
      </c>
      <c r="R1166" s="4" t="str">
        <f ca="1">_xlfn.IFNA(VLOOKUP(INDIRECT("G"&amp;ROW()),minfo!$A:$M,COLUMN()-8,0),"")</f>
        <v>《红楼梦》电视剧主题曲</v>
      </c>
      <c r="S1166" s="4" t="str">
        <f ca="1">_xlfn.IFNA(VLOOKUP(INDIRECT("G"&amp;ROW()),minfo!$A:$M,COLUMN()-8,0),"")</f>
        <v>红楼梦 电视连续剧歌曲集原声带</v>
      </c>
      <c r="T1166" s="4">
        <f ca="1">_xlfn.IFNA(VLOOKUP(INDIRECT("G"&amp;ROW()),minfo!$A:$M,COLUMN()-8,0),"")</f>
        <v>116853011</v>
      </c>
      <c r="U1166" s="4">
        <f ca="1">_xlfn.IFNA(VLOOKUP(INDIRECT("G"&amp;ROW()),minfo!$A:$M,COLUMN()-8,0),"")</f>
        <v>0</v>
      </c>
    </row>
    <row r="1167" spans="1:21" ht="15.75" customHeight="1">
      <c r="A1167" s="15">
        <v>1166</v>
      </c>
      <c r="B1167" s="4" t="s">
        <v>4778</v>
      </c>
      <c r="C1167" s="4">
        <v>1167</v>
      </c>
      <c r="D1167" s="4">
        <v>9</v>
      </c>
      <c r="E1167" s="4" t="s">
        <v>226</v>
      </c>
      <c r="F1167" s="16">
        <v>44835</v>
      </c>
      <c r="G1167" s="5" t="s">
        <v>225</v>
      </c>
      <c r="H1167" s="5" t="s">
        <v>4770</v>
      </c>
      <c r="I1167" s="24" t="str">
        <f>HYPERLINK("https://www.bilibili.com/video/BV1ie4y1B7SZ?p=9", "BV1ie4y1B7SZ?p=9")</f>
        <v>BV1ie4y1B7SZ?p=9</v>
      </c>
      <c r="J1167" s="4" t="str">
        <f ca="1">_xlfn.IFNA(VLOOKUP(INDIRECT("G"&amp;ROW()),minfo!$A:$M,COLUMN()-8,0),"")</f>
        <v>如愿</v>
      </c>
      <c r="K1167" s="4" t="str">
        <f ca="1">_xlfn.IFNA(VLOOKUP(INDIRECT("G"&amp;ROW()),minfo!$A:$M,COLUMN()-8,0),"")</f>
        <v>王菲</v>
      </c>
      <c r="L1167" s="4">
        <f ca="1">_xlfn.IFNA(VLOOKUP(INDIRECT("G"&amp;ROW()),minfo!$A:$M,COLUMN()-8,0),"")</f>
        <v>0</v>
      </c>
      <c r="M1167" s="4">
        <f ca="1">_xlfn.IFNA(VLOOKUP(INDIRECT("G"&amp;ROW()),minfo!$A:$M,COLUMN()-8,0),"")</f>
        <v>0</v>
      </c>
      <c r="N1167" s="4">
        <f ca="1">_xlfn.IFNA(VLOOKUP(INDIRECT("G"&amp;ROW()),minfo!$A:$M,COLUMN()-8,0),"")</f>
        <v>0</v>
      </c>
      <c r="O1167" s="4" t="str">
        <f ca="1">_xlfn.IFNA(VLOOKUP(INDIRECT("G"&amp;ROW()),minfo!$A:$M,COLUMN()-8,0),"")</f>
        <v>http://i0.hdslb.com/bfs/station_src/music_metadata/4c29d6e8ea08a5ae0f90cb123bf5f52d.jpg</v>
      </c>
      <c r="P1167" s="4" t="str">
        <f ca="1">_xlfn.IFNA(VLOOKUP(INDIRECT("G"&amp;ROW()),minfo!$A:$M,COLUMN()-8,0),"")</f>
        <v>http://i0.hdslb.com/bfs/station_src/music_metadata/7dfb091f97b87d41cdb10f22a04b20e6</v>
      </c>
      <c r="Q1167" s="4">
        <f ca="1">_xlfn.IFNA(VLOOKUP(INDIRECT("G"&amp;ROW()),minfo!$A:$M,COLUMN()-8,0),"")</f>
        <v>8985</v>
      </c>
      <c r="R1167" s="4" t="str">
        <f ca="1">_xlfn.IFNA(VLOOKUP(INDIRECT("G"&amp;ROW()),minfo!$A:$M,COLUMN()-8,0),"")</f>
        <v>《我和我的父辈》电影主题推广曲</v>
      </c>
      <c r="S1167" s="4" t="str">
        <f ca="1">_xlfn.IFNA(VLOOKUP(INDIRECT("G"&amp;ROW()),minfo!$A:$M,COLUMN()-8,0),"")</f>
        <v>如愿</v>
      </c>
      <c r="T1167" s="4">
        <f ca="1">_xlfn.IFNA(VLOOKUP(INDIRECT("G"&amp;ROW()),minfo!$A:$M,COLUMN()-8,0),"")</f>
        <v>520502983</v>
      </c>
      <c r="U1167" s="4">
        <f ca="1">_xlfn.IFNA(VLOOKUP(INDIRECT("G"&amp;ROW()),minfo!$A:$M,COLUMN()-8,0),"")</f>
        <v>0</v>
      </c>
    </row>
    <row r="1168" spans="1:21" ht="15.75" customHeight="1">
      <c r="A1168" s="15">
        <v>1167</v>
      </c>
      <c r="B1168" s="4" t="s">
        <v>4779</v>
      </c>
      <c r="C1168" s="4">
        <v>1168</v>
      </c>
      <c r="D1168" s="4">
        <v>10</v>
      </c>
      <c r="E1168" s="4" t="s">
        <v>2576</v>
      </c>
      <c r="F1168" s="16">
        <v>44835</v>
      </c>
      <c r="G1168" s="5" t="s">
        <v>2575</v>
      </c>
      <c r="H1168" s="5" t="s">
        <v>4770</v>
      </c>
      <c r="I1168" s="24" t="str">
        <f>HYPERLINK("https://www.bilibili.com/video/BV1ie4y1B7SZ?p=10", "BV1ie4y1B7SZ?p=10")</f>
        <v>BV1ie4y1B7SZ?p=10</v>
      </c>
      <c r="J1168" s="4" t="str">
        <f ca="1">_xlfn.IFNA(VLOOKUP(INDIRECT("G"&amp;ROW()),minfo!$A:$M,COLUMN()-8,0),"")</f>
        <v>映山红</v>
      </c>
      <c r="K1168" s="4" t="str">
        <f ca="1">_xlfn.IFNA(VLOOKUP(INDIRECT("G"&amp;ROW()),minfo!$A:$M,COLUMN()-8,0),"")</f>
        <v>邓玉华</v>
      </c>
      <c r="L1168" s="4">
        <f ca="1">_xlfn.IFNA(VLOOKUP(INDIRECT("G"&amp;ROW()),minfo!$A:$M,COLUMN()-8,0),"")</f>
        <v>0</v>
      </c>
      <c r="M1168" s="4">
        <f ca="1">_xlfn.IFNA(VLOOKUP(INDIRECT("G"&amp;ROW()),minfo!$A:$M,COLUMN()-8,0),"")</f>
        <v>0</v>
      </c>
      <c r="N1168" s="4">
        <f ca="1">_xlfn.IFNA(VLOOKUP(INDIRECT("G"&amp;ROW()),minfo!$A:$M,COLUMN()-8,0),"")</f>
        <v>0</v>
      </c>
      <c r="O1168" s="4" t="str">
        <f ca="1">_xlfn.IFNA(VLOOKUP(INDIRECT("G"&amp;ROW()),minfo!$A:$M,COLUMN()-8,0),"")</f>
        <v>http://i0.hdslb.com/bfs/station_src/music_metadata/dcc6f2d58672422f895a7e6108acb005.jpg</v>
      </c>
      <c r="P1168" s="4">
        <f ca="1">_xlfn.IFNA(VLOOKUP(INDIRECT("G"&amp;ROW()),minfo!$A:$M,COLUMN()-8,0),"")</f>
        <v>0</v>
      </c>
      <c r="Q1168" s="4">
        <f ca="1">_xlfn.IFNA(VLOOKUP(INDIRECT("G"&amp;ROW()),minfo!$A:$M,COLUMN()-8,0),"")</f>
        <v>44</v>
      </c>
      <c r="R1168" s="4">
        <f ca="1">_xlfn.IFNA(VLOOKUP(INDIRECT("G"&amp;ROW()),minfo!$A:$M,COLUMN()-8,0),"")</f>
        <v>0</v>
      </c>
      <c r="S1168" s="4" t="str">
        <f ca="1">_xlfn.IFNA(VLOOKUP(INDIRECT("G"&amp;ROW()),minfo!$A:$M,COLUMN()-8,0),"")</f>
        <v>红歌②</v>
      </c>
      <c r="T1168" s="4">
        <f ca="1">_xlfn.IFNA(VLOOKUP(INDIRECT("G"&amp;ROW()),minfo!$A:$M,COLUMN()-8,0),"")</f>
        <v>9633281</v>
      </c>
      <c r="U1168" s="4">
        <f ca="1">_xlfn.IFNA(VLOOKUP(INDIRECT("G"&amp;ROW()),minfo!$A:$M,COLUMN()-8,0),"")</f>
        <v>0</v>
      </c>
    </row>
    <row r="1169" spans="1:21" ht="15.75" customHeight="1">
      <c r="A1169" s="15">
        <v>1168</v>
      </c>
      <c r="B1169" s="4" t="s">
        <v>4780</v>
      </c>
      <c r="C1169" s="4">
        <v>1169</v>
      </c>
      <c r="D1169" s="4">
        <v>11</v>
      </c>
      <c r="E1169" s="4" t="s">
        <v>3551</v>
      </c>
      <c r="F1169" s="16">
        <v>44835</v>
      </c>
      <c r="G1169" s="5" t="s">
        <v>186</v>
      </c>
      <c r="H1169" s="5" t="s">
        <v>4770</v>
      </c>
      <c r="I1169" s="24" t="str">
        <f>HYPERLINK("https://www.bilibili.com/video/BV1ie4y1B7SZ?p=11", "BV1ie4y1B7SZ?p=11")</f>
        <v>BV1ie4y1B7SZ?p=11</v>
      </c>
      <c r="J1169" s="4" t="str">
        <f ca="1">_xlfn.IFNA(VLOOKUP(INDIRECT("G"&amp;ROW()),minfo!$A:$M,COLUMN()-8,0),"")</f>
        <v>Rubia</v>
      </c>
      <c r="K1169" s="4" t="str">
        <f ca="1">_xlfn.IFNA(VLOOKUP(INDIRECT("G"&amp;ROW()),minfo!$A:$M,COLUMN()-8,0),"")</f>
        <v>周深</v>
      </c>
      <c r="L1169" s="4">
        <f ca="1">_xlfn.IFNA(VLOOKUP(INDIRECT("G"&amp;ROW()),minfo!$A:$M,COLUMN()-8,0),"")</f>
        <v>0</v>
      </c>
      <c r="M1169" s="4">
        <f ca="1">_xlfn.IFNA(VLOOKUP(INDIRECT("G"&amp;ROW()),minfo!$A:$M,COLUMN()-8,0),"")</f>
        <v>516030</v>
      </c>
      <c r="N1169" s="4">
        <f ca="1">_xlfn.IFNA(VLOOKUP(INDIRECT("G"&amp;ROW()),minfo!$A:$M,COLUMN()-8,0),"")</f>
        <v>96155</v>
      </c>
      <c r="O1169" s="4" t="str">
        <f ca="1">_xlfn.IFNA(VLOOKUP(INDIRECT("G"&amp;ROW()),minfo!$A:$M,COLUMN()-8,0),"")</f>
        <v>https://i0.hdslb.com/bfs/station_src/music_metadata/58bc0047ef309717106ab37f9f0eaaef.jpg</v>
      </c>
      <c r="P1169" s="4" t="str">
        <f ca="1">_xlfn.IFNA(VLOOKUP(INDIRECT("G"&amp;ROW()),minfo!$A:$M,COLUMN()-8,0),"")</f>
        <v>http://i0.hdslb.com/bfs/station_src/music_metadata/004573c098a52ded7995aead78b01386</v>
      </c>
      <c r="Q1169" s="4">
        <f ca="1">_xlfn.IFNA(VLOOKUP(INDIRECT("G"&amp;ROW()),minfo!$A:$M,COLUMN()-8,0),"")</f>
        <v>4410</v>
      </c>
      <c r="R1169" s="4">
        <f ca="1">_xlfn.IFNA(VLOOKUP(INDIRECT("G"&amp;ROW()),minfo!$A:$M,COLUMN()-8,0),"")</f>
        <v>0</v>
      </c>
      <c r="S1169" s="4" t="str">
        <f ca="1">_xlfn.IFNA(VLOOKUP(INDIRECT("G"&amp;ROW()),minfo!$A:$M,COLUMN()-8,0),"")</f>
        <v>Rubia</v>
      </c>
      <c r="T1169" s="4">
        <f ca="1">_xlfn.IFNA(VLOOKUP(INDIRECT("G"&amp;ROW()),minfo!$A:$M,COLUMN()-8,0),"")</f>
        <v>217211932</v>
      </c>
      <c r="U1169" s="4">
        <f ca="1">_xlfn.IFNA(VLOOKUP(INDIRECT("G"&amp;ROW()),minfo!$A:$M,COLUMN()-8,0),"")</f>
        <v>0</v>
      </c>
    </row>
    <row r="1170" spans="1:21" ht="15.75" customHeight="1">
      <c r="A1170" s="15">
        <v>1169</v>
      </c>
      <c r="B1170" s="4" t="s">
        <v>4781</v>
      </c>
      <c r="C1170" s="4">
        <v>1170</v>
      </c>
      <c r="D1170" s="4">
        <v>12</v>
      </c>
      <c r="E1170" s="4" t="s">
        <v>4782</v>
      </c>
      <c r="F1170" s="16">
        <v>44835</v>
      </c>
      <c r="G1170" s="5" t="s">
        <v>2580</v>
      </c>
      <c r="H1170" s="5" t="s">
        <v>4770</v>
      </c>
      <c r="I1170" s="24" t="str">
        <f>HYPERLINK("https://www.bilibili.com/video/BV1ie4y1B7SZ?p=12", "BV1ie4y1B7SZ?p=12")</f>
        <v>BV1ie4y1B7SZ?p=12</v>
      </c>
      <c r="J1170" s="4" t="str">
        <f ca="1">_xlfn.IFNA(VLOOKUP(INDIRECT("G"&amp;ROW()),minfo!$A:$M,COLUMN()-8,0),"")</f>
        <v>今天是你的生日—中国</v>
      </c>
      <c r="K1170" s="4" t="str">
        <f ca="1">_xlfn.IFNA(VLOOKUP(INDIRECT("G"&amp;ROW()),minfo!$A:$M,COLUMN()-8,0),"")</f>
        <v>董文华</v>
      </c>
      <c r="L1170" s="4">
        <f ca="1">_xlfn.IFNA(VLOOKUP(INDIRECT("G"&amp;ROW()),minfo!$A:$M,COLUMN()-8,0),"")</f>
        <v>0</v>
      </c>
      <c r="M1170" s="4">
        <f ca="1">_xlfn.IFNA(VLOOKUP(INDIRECT("G"&amp;ROW()),minfo!$A:$M,COLUMN()-8,0),"")</f>
        <v>0</v>
      </c>
      <c r="N1170" s="4">
        <f ca="1">_xlfn.IFNA(VLOOKUP(INDIRECT("G"&amp;ROW()),minfo!$A:$M,COLUMN()-8,0),"")</f>
        <v>0</v>
      </c>
      <c r="O1170" s="4" t="str">
        <f ca="1">_xlfn.IFNA(VLOOKUP(INDIRECT("G"&amp;ROW()),minfo!$A:$M,COLUMN()-8,0),"")</f>
        <v>https://i0.hdslb.com/bfs/station_src/music_metadata/e643ad96aadfeac83dfb86e1733dc534.jpg</v>
      </c>
      <c r="P1170" s="4" t="str">
        <f ca="1">_xlfn.IFNA(VLOOKUP(INDIRECT("G"&amp;ROW()),minfo!$A:$M,COLUMN()-8,0),"")</f>
        <v>https://i0.hdslb.com/bfs/station_src/music_metadata/486927616183882e57d4e9c9f82115c3.txt</v>
      </c>
      <c r="Q1170" s="4">
        <f ca="1">_xlfn.IFNA(VLOOKUP(INDIRECT("G"&amp;ROW()),minfo!$A:$M,COLUMN()-8,0),"")</f>
        <v>15</v>
      </c>
      <c r="R1170" s="4">
        <f ca="1">_xlfn.IFNA(VLOOKUP(INDIRECT("G"&amp;ROW()),minfo!$A:$M,COLUMN()-8,0),"")</f>
        <v>0</v>
      </c>
      <c r="S1170" s="4" t="str">
        <f ca="1">_xlfn.IFNA(VLOOKUP(INDIRECT("G"&amp;ROW()),minfo!$A:$M,COLUMN()-8,0),"")</f>
        <v>谷建芬作品选 (一)</v>
      </c>
      <c r="T1170" s="4">
        <f ca="1">_xlfn.IFNA(VLOOKUP(INDIRECT("G"&amp;ROW()),minfo!$A:$M,COLUMN()-8,0),"")</f>
        <v>4642449</v>
      </c>
      <c r="U1170" s="4">
        <f ca="1">_xlfn.IFNA(VLOOKUP(INDIRECT("G"&amp;ROW()),minfo!$A:$M,COLUMN()-8,0),"")</f>
        <v>0</v>
      </c>
    </row>
    <row r="1171" spans="1:21" ht="15.75" customHeight="1">
      <c r="A1171" s="15">
        <v>1170</v>
      </c>
      <c r="B1171" s="4" t="s">
        <v>4783</v>
      </c>
      <c r="C1171" s="4">
        <v>1171</v>
      </c>
      <c r="D1171" s="4">
        <v>13</v>
      </c>
      <c r="E1171" s="4" t="s">
        <v>332</v>
      </c>
      <c r="F1171" s="16">
        <v>44835</v>
      </c>
      <c r="G1171" s="5" t="s">
        <v>331</v>
      </c>
      <c r="H1171" s="5" t="s">
        <v>4770</v>
      </c>
      <c r="I1171" s="24" t="str">
        <f>HYPERLINK("https://www.bilibili.com/video/BV1ie4y1B7SZ?p=13", "BV1ie4y1B7SZ?p=13")</f>
        <v>BV1ie4y1B7SZ?p=13</v>
      </c>
      <c r="J1171" s="4" t="str">
        <f ca="1">_xlfn.IFNA(VLOOKUP(INDIRECT("G"&amp;ROW()),minfo!$A:$M,COLUMN()-8,0),"")</f>
        <v>春天的芭蕾</v>
      </c>
      <c r="K1171" s="4" t="str">
        <f ca="1">_xlfn.IFNA(VLOOKUP(INDIRECT("G"&amp;ROW()),minfo!$A:$M,COLUMN()-8,0),"")</f>
        <v>常思思</v>
      </c>
      <c r="L1171" s="4">
        <f ca="1">_xlfn.IFNA(VLOOKUP(INDIRECT("G"&amp;ROW()),minfo!$A:$M,COLUMN()-8,0),"")</f>
        <v>0</v>
      </c>
      <c r="M1171" s="4">
        <f ca="1">_xlfn.IFNA(VLOOKUP(INDIRECT("G"&amp;ROW()),minfo!$A:$M,COLUMN()-8,0),"")</f>
        <v>0</v>
      </c>
      <c r="N1171" s="4">
        <f ca="1">_xlfn.IFNA(VLOOKUP(INDIRECT("G"&amp;ROW()),minfo!$A:$M,COLUMN()-8,0),"")</f>
        <v>0</v>
      </c>
      <c r="O1171" s="4" t="str">
        <f ca="1">_xlfn.IFNA(VLOOKUP(INDIRECT("G"&amp;ROW()),minfo!$A:$M,COLUMN()-8,0),"")</f>
        <v>http://i0.hdslb.com/bfs/station_src/music_metadata/7202bafed8b495edfdc98691518442b5.jpg</v>
      </c>
      <c r="P1171" s="4" t="str">
        <f ca="1">_xlfn.IFNA(VLOOKUP(INDIRECT("G"&amp;ROW()),minfo!$A:$M,COLUMN()-8,0),"")</f>
        <v>http://i0.hdslb.com/bfs/station_src/music_metadata/1faf7f1d5734fb67fc3aa5824aaf8ed2</v>
      </c>
      <c r="Q1171" s="4">
        <f ca="1">_xlfn.IFNA(VLOOKUP(INDIRECT("G"&amp;ROW()),minfo!$A:$M,COLUMN()-8,0),"")</f>
        <v>173</v>
      </c>
      <c r="R1171" s="4">
        <f ca="1">_xlfn.IFNA(VLOOKUP(INDIRECT("G"&amp;ROW()),minfo!$A:$M,COLUMN()-8,0),"")</f>
        <v>0</v>
      </c>
      <c r="S1171" s="4">
        <f ca="1">_xlfn.IFNA(VLOOKUP(INDIRECT("G"&amp;ROW()),minfo!$A:$M,COLUMN()-8,0),"")</f>
        <v>0</v>
      </c>
      <c r="T1171" s="4">
        <f ca="1">_xlfn.IFNA(VLOOKUP(INDIRECT("G"&amp;ROW()),minfo!$A:$M,COLUMN()-8,0),"")</f>
        <v>25997684</v>
      </c>
      <c r="U1171" s="4">
        <f ca="1">_xlfn.IFNA(VLOOKUP(INDIRECT("G"&amp;ROW()),minfo!$A:$M,COLUMN()-8,0),"")</f>
        <v>0</v>
      </c>
    </row>
    <row r="1172" spans="1:21" ht="15.75" customHeight="1">
      <c r="A1172" s="15">
        <v>1171</v>
      </c>
      <c r="B1172" s="4" t="s">
        <v>4784</v>
      </c>
      <c r="C1172" s="4">
        <v>1172</v>
      </c>
      <c r="D1172" s="4">
        <v>14</v>
      </c>
      <c r="E1172" s="4" t="s">
        <v>366</v>
      </c>
      <c r="F1172" s="16">
        <v>44835</v>
      </c>
      <c r="G1172" s="5" t="s">
        <v>365</v>
      </c>
      <c r="H1172" s="5" t="s">
        <v>4770</v>
      </c>
      <c r="I1172" s="24" t="str">
        <f>HYPERLINK("https://www.bilibili.com/video/BV1ie4y1B7SZ?p=14", "BV1ie4y1B7SZ?p=14")</f>
        <v>BV1ie4y1B7SZ?p=14</v>
      </c>
      <c r="J1172" s="4" t="str">
        <f ca="1">_xlfn.IFNA(VLOOKUP(INDIRECT("G"&amp;ROW()),minfo!$A:$M,COLUMN()-8,0),"")</f>
        <v>难忘今宵</v>
      </c>
      <c r="K1172" s="4" t="str">
        <f ca="1">_xlfn.IFNA(VLOOKUP(INDIRECT("G"&amp;ROW()),minfo!$A:$M,COLUMN()-8,0),"")</f>
        <v>二珂</v>
      </c>
      <c r="L1172" s="4">
        <f ca="1">_xlfn.IFNA(VLOOKUP(INDIRECT("G"&amp;ROW()),minfo!$A:$M,COLUMN()-8,0),"")</f>
        <v>0</v>
      </c>
      <c r="M1172" s="4">
        <f ca="1">_xlfn.IFNA(VLOOKUP(INDIRECT("G"&amp;ROW()),minfo!$A:$M,COLUMN()-8,0),"")</f>
        <v>0</v>
      </c>
      <c r="N1172" s="4">
        <f ca="1">_xlfn.IFNA(VLOOKUP(INDIRECT("G"&amp;ROW()),minfo!$A:$M,COLUMN()-8,0),"")</f>
        <v>0</v>
      </c>
      <c r="O1172" s="4" t="str">
        <f ca="1">_xlfn.IFNA(VLOOKUP(INDIRECT("G"&amp;ROW()),minfo!$A:$M,COLUMN()-8,0),"")</f>
        <v>http://y.gtimg.cn/music/photo_new/T002R300x300M000.jpg</v>
      </c>
      <c r="P1172" s="4">
        <f ca="1">_xlfn.IFNA(VLOOKUP(INDIRECT("G"&amp;ROW()),minfo!$A:$M,COLUMN()-8,0),"")</f>
        <v>0</v>
      </c>
      <c r="Q1172" s="4">
        <f ca="1">_xlfn.IFNA(VLOOKUP(INDIRECT("G"&amp;ROW()),minfo!$A:$M,COLUMN()-8,0),"")</f>
        <v>4</v>
      </c>
      <c r="R1172" s="4">
        <f ca="1">_xlfn.IFNA(VLOOKUP(INDIRECT("G"&amp;ROW()),minfo!$A:$M,COLUMN()-8,0),"")</f>
        <v>0</v>
      </c>
      <c r="S1172" s="4">
        <f ca="1">_xlfn.IFNA(VLOOKUP(INDIRECT("G"&amp;ROW()),minfo!$A:$M,COLUMN()-8,0),"")</f>
        <v>0</v>
      </c>
      <c r="T1172" s="4">
        <f ca="1">_xlfn.IFNA(VLOOKUP(INDIRECT("G"&amp;ROW()),minfo!$A:$M,COLUMN()-8,0),"")</f>
        <v>5415807</v>
      </c>
      <c r="U1172" s="4">
        <f ca="1">_xlfn.IFNA(VLOOKUP(INDIRECT("G"&amp;ROW()),minfo!$A:$M,COLUMN()-8,0),"")</f>
        <v>0</v>
      </c>
    </row>
    <row r="1173" spans="1:21" ht="15.75" customHeight="1">
      <c r="A1173" s="15">
        <v>1172</v>
      </c>
      <c r="B1173" s="4" t="s">
        <v>4785</v>
      </c>
      <c r="C1173" s="4">
        <v>1173</v>
      </c>
      <c r="D1173" s="4">
        <v>15</v>
      </c>
      <c r="E1173" s="4" t="s">
        <v>2370</v>
      </c>
      <c r="F1173" s="16">
        <v>44836</v>
      </c>
      <c r="G1173" s="5" t="s">
        <v>2585</v>
      </c>
      <c r="H1173" s="5" t="s">
        <v>4770</v>
      </c>
      <c r="I1173" s="24" t="str">
        <f>HYPERLINK("https://www.bilibili.com/video/BV1ie4y1B7SZ?p=15", "BV1ie4y1B7SZ?p=15")</f>
        <v>BV1ie4y1B7SZ?p=15</v>
      </c>
      <c r="J1173" s="4" t="str">
        <f ca="1">_xlfn.IFNA(VLOOKUP(INDIRECT("G"&amp;ROW()),minfo!$A:$M,COLUMN()-8,0),"")</f>
        <v>黄昏晓</v>
      </c>
      <c r="K1173" s="4" t="str">
        <f ca="1">_xlfn.IFNA(VLOOKUP(INDIRECT("G"&amp;ROW()),minfo!$A:$M,COLUMN()-8,0),"")</f>
        <v>王心凌</v>
      </c>
      <c r="L1173" s="4">
        <f ca="1">_xlfn.IFNA(VLOOKUP(INDIRECT("G"&amp;ROW()),minfo!$A:$M,COLUMN()-8,0),"")</f>
        <v>0</v>
      </c>
      <c r="M1173" s="4">
        <f ca="1">_xlfn.IFNA(VLOOKUP(INDIRECT("G"&amp;ROW()),minfo!$A:$M,COLUMN()-8,0),"")</f>
        <v>0</v>
      </c>
      <c r="N1173" s="4">
        <f ca="1">_xlfn.IFNA(VLOOKUP(INDIRECT("G"&amp;ROW()),minfo!$A:$M,COLUMN()-8,0),"")</f>
        <v>0</v>
      </c>
      <c r="O1173" s="4" t="str">
        <f ca="1">_xlfn.IFNA(VLOOKUP(INDIRECT("G"&amp;ROW()),minfo!$A:$M,COLUMN()-8,0),"")</f>
        <v>https://i0.hdslb.com/bfs/station_src/music_metadata/7b334490ab9b375af214a6ee9f507c2c.jpg</v>
      </c>
      <c r="P1173" s="4">
        <f ca="1">_xlfn.IFNA(VLOOKUP(INDIRECT("G"&amp;ROW()),minfo!$A:$M,COLUMN()-8,0),"")</f>
        <v>0</v>
      </c>
      <c r="Q1173" s="4">
        <f ca="1">_xlfn.IFNA(VLOOKUP(INDIRECT("G"&amp;ROW()),minfo!$A:$M,COLUMN()-8,0),"")</f>
        <v>25</v>
      </c>
      <c r="R1173" s="4" t="str">
        <f ca="1">_xlfn.IFNA(VLOOKUP(INDIRECT("G"&amp;ROW()),minfo!$A:$M,COLUMN()-8,0),"")</f>
        <v>黄昏晓</v>
      </c>
      <c r="S1173" s="4" t="str">
        <f ca="1">_xlfn.IFNA(VLOOKUP(INDIRECT("G"&amp;ROW()),minfo!$A:$M,COLUMN()-8,0),"")</f>
        <v>My! Cyndi!</v>
      </c>
      <c r="T1173" s="4">
        <f ca="1">_xlfn.IFNA(VLOOKUP(INDIRECT("G"&amp;ROW()),minfo!$A:$M,COLUMN()-8,0),"")</f>
        <v>11854634</v>
      </c>
      <c r="U1173" s="4">
        <f ca="1">_xlfn.IFNA(VLOOKUP(INDIRECT("G"&amp;ROW()),minfo!$A:$M,COLUMN()-8,0),"")</f>
        <v>0</v>
      </c>
    </row>
    <row r="1174" spans="1:21" ht="15.75" customHeight="1">
      <c r="A1174" s="15">
        <v>1173</v>
      </c>
      <c r="B1174" s="4" t="s">
        <v>4786</v>
      </c>
      <c r="C1174" s="4">
        <v>1174</v>
      </c>
      <c r="D1174" s="4">
        <v>16</v>
      </c>
      <c r="E1174" s="4" t="s">
        <v>2375</v>
      </c>
      <c r="F1174" s="16">
        <v>44836</v>
      </c>
      <c r="G1174" s="5" t="s">
        <v>2374</v>
      </c>
      <c r="H1174" s="5" t="s">
        <v>4770</v>
      </c>
      <c r="I1174" s="24" t="str">
        <f>HYPERLINK("https://www.bilibili.com/video/BV1ie4y1B7SZ?p=16", "BV1ie4y1B7SZ?p=16")</f>
        <v>BV1ie4y1B7SZ?p=16</v>
      </c>
      <c r="J1174" s="4" t="str">
        <f ca="1">_xlfn.IFNA(VLOOKUP(INDIRECT("G"&amp;ROW()),minfo!$A:$M,COLUMN()-8,0),"")</f>
        <v>那年夏天宁静的海</v>
      </c>
      <c r="K1174" s="4" t="str">
        <f ca="1">_xlfn.IFNA(VLOOKUP(INDIRECT("G"&amp;ROW()),minfo!$A:$M,COLUMN()-8,0),"")</f>
        <v>王心凌</v>
      </c>
      <c r="L1174" s="4">
        <f ca="1">_xlfn.IFNA(VLOOKUP(INDIRECT("G"&amp;ROW()),minfo!$A:$M,COLUMN()-8,0),"")</f>
        <v>0</v>
      </c>
      <c r="M1174" s="4">
        <f ca="1">_xlfn.IFNA(VLOOKUP(INDIRECT("G"&amp;ROW()),minfo!$A:$M,COLUMN()-8,0),"")</f>
        <v>11</v>
      </c>
      <c r="N1174" s="4">
        <f ca="1">_xlfn.IFNA(VLOOKUP(INDIRECT("G"&amp;ROW()),minfo!$A:$M,COLUMN()-8,0),"")</f>
        <v>3</v>
      </c>
      <c r="O1174" s="4" t="str">
        <f ca="1">_xlfn.IFNA(VLOOKUP(INDIRECT("G"&amp;ROW()),minfo!$A:$M,COLUMN()-8,0),"")</f>
        <v>https://i0.hdslb.com/bfs/station_src/music_metadata/08f5cfe3aeebd61a373ab5fe0b7ca72e.jpg</v>
      </c>
      <c r="P1174" s="4" t="str">
        <f ca="1">_xlfn.IFNA(VLOOKUP(INDIRECT("G"&amp;ROW()),minfo!$A:$M,COLUMN()-8,0),"")</f>
        <v>http://i0.hdslb.com/bfs/station_src/music_metadata/9772e8ba809b3fbd6ee51d206ab6e5b7</v>
      </c>
      <c r="Q1174" s="4">
        <f ca="1">_xlfn.IFNA(VLOOKUP(INDIRECT("G"&amp;ROW()),minfo!$A:$M,COLUMN()-8,0),"")</f>
        <v>328</v>
      </c>
      <c r="R1174" s="4">
        <f ca="1">_xlfn.IFNA(VLOOKUP(INDIRECT("G"&amp;ROW()),minfo!$A:$M,COLUMN()-8,0),"")</f>
        <v>0</v>
      </c>
      <c r="S1174" s="4" t="str">
        <f ca="1">_xlfn.IFNA(VLOOKUP(INDIRECT("G"&amp;ROW()),minfo!$A:$M,COLUMN()-8,0),"")</f>
        <v>Magic Cyndi</v>
      </c>
      <c r="T1174" s="4">
        <f ca="1">_xlfn.IFNA(VLOOKUP(INDIRECT("G"&amp;ROW()),minfo!$A:$M,COLUMN()-8,0),"")</f>
        <v>26340486</v>
      </c>
      <c r="U1174" s="4" t="str">
        <f ca="1">_xlfn.IFNA(VLOOKUP(INDIRECT("G"&amp;ROW()),minfo!$A:$M,COLUMN()-8,0),"")</f>
        <v>音乐榜最高NO.15</v>
      </c>
    </row>
    <row r="1175" spans="1:21" ht="15.75" customHeight="1">
      <c r="A1175" s="15">
        <v>1174</v>
      </c>
      <c r="B1175" s="4" t="s">
        <v>4787</v>
      </c>
      <c r="C1175" s="4">
        <v>1175</v>
      </c>
      <c r="D1175" s="4">
        <v>17</v>
      </c>
      <c r="E1175" s="4" t="s">
        <v>633</v>
      </c>
      <c r="F1175" s="16">
        <v>44837</v>
      </c>
      <c r="G1175" s="5" t="s">
        <v>632</v>
      </c>
      <c r="H1175" s="5" t="s">
        <v>4770</v>
      </c>
      <c r="I1175" s="24" t="str">
        <f>HYPERLINK("https://www.bilibili.com/video/BV1ie4y1B7SZ?p=17", "BV1ie4y1B7SZ?p=17")</f>
        <v>BV1ie4y1B7SZ?p=17</v>
      </c>
      <c r="J1175" s="4" t="str">
        <f ca="1">_xlfn.IFNA(VLOOKUP(INDIRECT("G"&amp;ROW()),minfo!$A:$M,COLUMN()-8,0),"")</f>
        <v>菊花台</v>
      </c>
      <c r="K1175" s="4" t="str">
        <f ca="1">_xlfn.IFNA(VLOOKUP(INDIRECT("G"&amp;ROW()),minfo!$A:$M,COLUMN()-8,0),"")</f>
        <v>周杰伦</v>
      </c>
      <c r="L1175" s="4">
        <f ca="1">_xlfn.IFNA(VLOOKUP(INDIRECT("G"&amp;ROW()),minfo!$A:$M,COLUMN()-8,0),"")</f>
        <v>0</v>
      </c>
      <c r="M1175" s="4">
        <f ca="1">_xlfn.IFNA(VLOOKUP(INDIRECT("G"&amp;ROW()),minfo!$A:$M,COLUMN()-8,0),"")</f>
        <v>2979</v>
      </c>
      <c r="N1175" s="4">
        <f ca="1">_xlfn.IFNA(VLOOKUP(INDIRECT("G"&amp;ROW()),minfo!$A:$M,COLUMN()-8,0),"")</f>
        <v>36</v>
      </c>
      <c r="O1175" s="4" t="str">
        <f ca="1">_xlfn.IFNA(VLOOKUP(INDIRECT("G"&amp;ROW()),minfo!$A:$M,COLUMN()-8,0),"")</f>
        <v>https://i0.hdslb.com/bfs/station_src/music_metadata/20d128e1483e9a2518cb37688cbed34d.jpg</v>
      </c>
      <c r="P1175" s="4" t="str">
        <f ca="1">_xlfn.IFNA(VLOOKUP(INDIRECT("G"&amp;ROW()),minfo!$A:$M,COLUMN()-8,0),"")</f>
        <v>copyright-crawler/music/task-lyric/623f921e903bdc3e606d8940.txt</v>
      </c>
      <c r="Q1175" s="4">
        <f ca="1">_xlfn.IFNA(VLOOKUP(INDIRECT("G"&amp;ROW()),minfo!$A:$M,COLUMN()-8,0),"")</f>
        <v>976</v>
      </c>
      <c r="R1175" s="4" t="str">
        <f ca="1">_xlfn.IFNA(VLOOKUP(INDIRECT("G"&amp;ROW()),minfo!$A:$M,COLUMN()-8,0),"")</f>
        <v>菊花台</v>
      </c>
      <c r="S1175" s="4" t="str">
        <f ca="1">_xlfn.IFNA(VLOOKUP(INDIRECT("G"&amp;ROW()),minfo!$A:$M,COLUMN()-8,0),"")</f>
        <v>依然范特西</v>
      </c>
      <c r="T1175" s="4">
        <f ca="1">_xlfn.IFNA(VLOOKUP(INDIRECT("G"&amp;ROW()),minfo!$A:$M,COLUMN()-8,0),"")</f>
        <v>335567107</v>
      </c>
      <c r="U1175" s="4" t="str">
        <f ca="1">_xlfn.IFNA(VLOOKUP(INDIRECT("G"&amp;ROW()),minfo!$A:$M,COLUMN()-8,0),"")</f>
        <v>音乐榜最高NO.14</v>
      </c>
    </row>
    <row r="1176" spans="1:21" ht="15.75" customHeight="1">
      <c r="A1176" s="15">
        <v>1175</v>
      </c>
      <c r="B1176" s="4" t="s">
        <v>4788</v>
      </c>
      <c r="C1176" s="4">
        <v>1176</v>
      </c>
      <c r="D1176" s="4">
        <v>18</v>
      </c>
      <c r="E1176" s="4" t="s">
        <v>2588</v>
      </c>
      <c r="F1176" s="16">
        <v>44837</v>
      </c>
      <c r="G1176" s="5" t="s">
        <v>2587</v>
      </c>
      <c r="H1176" s="5" t="s">
        <v>4770</v>
      </c>
      <c r="I1176" s="24" t="str">
        <f>HYPERLINK("https://www.bilibili.com/video/BV1ie4y1B7SZ?p=18", "BV1ie4y1B7SZ?p=18")</f>
        <v>BV1ie4y1B7SZ?p=18</v>
      </c>
      <c r="J1176" s="4" t="str">
        <f ca="1">_xlfn.IFNA(VLOOKUP(INDIRECT("G"&amp;ROW()),minfo!$A:$M,COLUMN()-8,0),"")</f>
        <v>默</v>
      </c>
      <c r="K1176" s="4" t="str">
        <f ca="1">_xlfn.IFNA(VLOOKUP(INDIRECT("G"&amp;ROW()),minfo!$A:$M,COLUMN()-8,0),"")</f>
        <v>那英</v>
      </c>
      <c r="L1176" s="4">
        <f ca="1">_xlfn.IFNA(VLOOKUP(INDIRECT("G"&amp;ROW()),minfo!$A:$M,COLUMN()-8,0),"")</f>
        <v>0</v>
      </c>
      <c r="M1176" s="4">
        <f ca="1">_xlfn.IFNA(VLOOKUP(INDIRECT("G"&amp;ROW()),minfo!$A:$M,COLUMN()-8,0),"")</f>
        <v>0</v>
      </c>
      <c r="N1176" s="4">
        <f ca="1">_xlfn.IFNA(VLOOKUP(INDIRECT("G"&amp;ROW()),minfo!$A:$M,COLUMN()-8,0),"")</f>
        <v>0</v>
      </c>
      <c r="O1176" s="4" t="str">
        <f ca="1">_xlfn.IFNA(VLOOKUP(INDIRECT("G"&amp;ROW()),minfo!$A:$M,COLUMN()-8,0),"")</f>
        <v>http://i0.hdslb.com/bfs/station_src/music_metadata/dcf20adaad19567179fdc54f7bf1704f.jpg</v>
      </c>
      <c r="P1176" s="4" t="str">
        <f ca="1">_xlfn.IFNA(VLOOKUP(INDIRECT("G"&amp;ROW()),minfo!$A:$M,COLUMN()-8,0),"")</f>
        <v>http://i0.hdslb.com/bfs/station_src/music_metadata/e39ee9d0c9c0216585b37d5ee4e2a9f5</v>
      </c>
      <c r="Q1176" s="4">
        <f ca="1">_xlfn.IFNA(VLOOKUP(INDIRECT("G"&amp;ROW()),minfo!$A:$M,COLUMN()-8,0),"")</f>
        <v>1152</v>
      </c>
      <c r="R1176" s="4" t="str">
        <f ca="1">_xlfn.IFNA(VLOOKUP(INDIRECT("G"&amp;ROW()),minfo!$A:$M,COLUMN()-8,0),"")</f>
        <v>《何以笙箫默》电影插曲|《这！就是街舞》第四期背景音乐</v>
      </c>
      <c r="S1176" s="4" t="str">
        <f ca="1">_xlfn.IFNA(VLOOKUP(INDIRECT("G"&amp;ROW()),minfo!$A:$M,COLUMN()-8,0),"")</f>
        <v>默</v>
      </c>
      <c r="T1176" s="4">
        <f ca="1">_xlfn.IFNA(VLOOKUP(INDIRECT("G"&amp;ROW()),minfo!$A:$M,COLUMN()-8,0),"")</f>
        <v>305839358</v>
      </c>
      <c r="U1176" s="4">
        <f ca="1">_xlfn.IFNA(VLOOKUP(INDIRECT("G"&amp;ROW()),minfo!$A:$M,COLUMN()-8,0),"")</f>
        <v>0</v>
      </c>
    </row>
    <row r="1177" spans="1:21" ht="15.75" customHeight="1">
      <c r="A1177" s="15">
        <v>1176</v>
      </c>
      <c r="B1177" s="4" t="s">
        <v>4789</v>
      </c>
      <c r="C1177" s="4">
        <v>1177</v>
      </c>
      <c r="D1177" s="4">
        <v>19</v>
      </c>
      <c r="E1177" s="4" t="s">
        <v>655</v>
      </c>
      <c r="F1177" s="16">
        <v>44837</v>
      </c>
      <c r="G1177" s="5" t="s">
        <v>654</v>
      </c>
      <c r="H1177" s="5" t="s">
        <v>4770</v>
      </c>
      <c r="I1177" s="24" t="str">
        <f>HYPERLINK("https://www.bilibili.com/video/BV1ie4y1B7SZ?p=19", "BV1ie4y1B7SZ?p=19")</f>
        <v>BV1ie4y1B7SZ?p=19</v>
      </c>
      <c r="J1177" s="4" t="str">
        <f ca="1">_xlfn.IFNA(VLOOKUP(INDIRECT("G"&amp;ROW()),minfo!$A:$M,COLUMN()-8,0),"")</f>
        <v>路过人间</v>
      </c>
      <c r="K1177" s="4" t="str">
        <f ca="1">_xlfn.IFNA(VLOOKUP(INDIRECT("G"&amp;ROW()),minfo!$A:$M,COLUMN()-8,0),"")</f>
        <v>郁可唯</v>
      </c>
      <c r="L1177" s="4">
        <f ca="1">_xlfn.IFNA(VLOOKUP(INDIRECT("G"&amp;ROW()),minfo!$A:$M,COLUMN()-8,0),"")</f>
        <v>0</v>
      </c>
      <c r="M1177" s="4">
        <f ca="1">_xlfn.IFNA(VLOOKUP(INDIRECT("G"&amp;ROW()),minfo!$A:$M,COLUMN()-8,0),"")</f>
        <v>17966</v>
      </c>
      <c r="N1177" s="4">
        <f ca="1">_xlfn.IFNA(VLOOKUP(INDIRECT("G"&amp;ROW()),minfo!$A:$M,COLUMN()-8,0),"")</f>
        <v>8458</v>
      </c>
      <c r="O1177" s="4" t="str">
        <f ca="1">_xlfn.IFNA(VLOOKUP(INDIRECT("G"&amp;ROW()),minfo!$A:$M,COLUMN()-8,0),"")</f>
        <v>http://i0.hdslb.com/bfs/station_src/music_metadata/570f6a193a95780dfeae2a4dfe0cb932.jpg</v>
      </c>
      <c r="P1177" s="4" t="str">
        <f ca="1">_xlfn.IFNA(VLOOKUP(INDIRECT("G"&amp;ROW()),minfo!$A:$M,COLUMN()-8,0),"")</f>
        <v>http://i0.hdslb.com/bfs/station_src/music_metadata/0386d6bc66823747cb1d61d511d20a21</v>
      </c>
      <c r="Q1177" s="4">
        <f ca="1">_xlfn.IFNA(VLOOKUP(INDIRECT("G"&amp;ROW()),minfo!$A:$M,COLUMN()-8,0),"")</f>
        <v>1296</v>
      </c>
      <c r="R1177" s="4">
        <f ca="1">_xlfn.IFNA(VLOOKUP(INDIRECT("G"&amp;ROW()),minfo!$A:$M,COLUMN()-8,0),"")</f>
        <v>0</v>
      </c>
      <c r="S1177" s="4" t="str">
        <f ca="1">_xlfn.IFNA(VLOOKUP(INDIRECT("G"&amp;ROW()),minfo!$A:$M,COLUMN()-8,0),"")</f>
        <v>路过人间</v>
      </c>
      <c r="T1177" s="4">
        <f ca="1">_xlfn.IFNA(VLOOKUP(INDIRECT("G"&amp;ROW()),minfo!$A:$M,COLUMN()-8,0),"")</f>
        <v>218547878</v>
      </c>
      <c r="U1177" s="4" t="str">
        <f ca="1">_xlfn.IFNA(VLOOKUP(INDIRECT("G"&amp;ROW()),minfo!$A:$M,COLUMN()-8,0),"")</f>
        <v>音乐榜最高NO.10</v>
      </c>
    </row>
    <row r="1178" spans="1:21" ht="15.75" customHeight="1">
      <c r="A1178" s="15">
        <v>1177</v>
      </c>
      <c r="B1178" s="4" t="s">
        <v>4790</v>
      </c>
      <c r="C1178" s="4">
        <v>1178</v>
      </c>
      <c r="D1178" s="4">
        <v>20</v>
      </c>
      <c r="E1178" s="4" t="s">
        <v>4791</v>
      </c>
      <c r="F1178" s="16">
        <v>44837</v>
      </c>
      <c r="G1178" s="5" t="s">
        <v>2592</v>
      </c>
      <c r="H1178" s="5" t="s">
        <v>4770</v>
      </c>
      <c r="I1178" s="24" t="str">
        <f>HYPERLINK("https://www.bilibili.com/video/BV1ie4y1B7SZ?p=20", "BV1ie4y1B7SZ?p=20")</f>
        <v>BV1ie4y1B7SZ?p=20</v>
      </c>
      <c r="J1178" s="4" t="str">
        <f ca="1">_xlfn.IFNA(VLOOKUP(INDIRECT("G"&amp;ROW()),minfo!$A:$M,COLUMN()-8,0),"")</f>
        <v>IF YOU</v>
      </c>
      <c r="K1178" s="4" t="str">
        <f ca="1">_xlfn.IFNA(VLOOKUP(INDIRECT("G"&amp;ROW()),minfo!$A:$M,COLUMN()-8,0),"")</f>
        <v>BIGBANG</v>
      </c>
      <c r="L1178" s="4">
        <f ca="1">_xlfn.IFNA(VLOOKUP(INDIRECT("G"&amp;ROW()),minfo!$A:$M,COLUMN()-8,0),"")</f>
        <v>0</v>
      </c>
      <c r="M1178" s="4">
        <f ca="1">_xlfn.IFNA(VLOOKUP(INDIRECT("G"&amp;ROW()),minfo!$A:$M,COLUMN()-8,0),"")</f>
        <v>0</v>
      </c>
      <c r="N1178" s="4">
        <f ca="1">_xlfn.IFNA(VLOOKUP(INDIRECT("G"&amp;ROW()),minfo!$A:$M,COLUMN()-8,0),"")</f>
        <v>0</v>
      </c>
      <c r="O1178" s="4" t="str">
        <f ca="1">_xlfn.IFNA(VLOOKUP(INDIRECT("G"&amp;ROW()),minfo!$A:$M,COLUMN()-8,0),"")</f>
        <v>https://i0.hdslb.com/bfs/station_src/music_metadata/bd59c86a27ba4cc684fb2b4e00d1020c.jpg</v>
      </c>
      <c r="P1178" s="4" t="str">
        <f ca="1">_xlfn.IFNA(VLOOKUP(INDIRECT("G"&amp;ROW()),minfo!$A:$M,COLUMN()-8,0),"")</f>
        <v>http://i0.hdslb.com/bfs/station_src/music_metadata/ab9c22eb2b326cc4e7cec3116a75a30f</v>
      </c>
      <c r="Q1178" s="4">
        <f ca="1">_xlfn.IFNA(VLOOKUP(INDIRECT("G"&amp;ROW()),minfo!$A:$M,COLUMN()-8,0),"")</f>
        <v>2246</v>
      </c>
      <c r="R1178" s="4">
        <f ca="1">_xlfn.IFNA(VLOOKUP(INDIRECT("G"&amp;ROW()),minfo!$A:$M,COLUMN()-8,0),"")</f>
        <v>0</v>
      </c>
      <c r="S1178" s="4" t="str">
        <f ca="1">_xlfn.IFNA(VLOOKUP(INDIRECT("G"&amp;ROW()),minfo!$A:$M,COLUMN()-8,0),"")</f>
        <v>MADE SERIES 《D》</v>
      </c>
      <c r="T1178" s="4">
        <f ca="1">_xlfn.IFNA(VLOOKUP(INDIRECT("G"&amp;ROW()),minfo!$A:$M,COLUMN()-8,0),"")</f>
        <v>226811237</v>
      </c>
      <c r="U1178" s="4" t="str">
        <f ca="1">_xlfn.IFNA(VLOOKUP(INDIRECT("G"&amp;ROW()),minfo!$A:$M,COLUMN()-8,0),"")</f>
        <v>音乐榜最高NO.12</v>
      </c>
    </row>
    <row r="1179" spans="1:21" ht="15.75" customHeight="1">
      <c r="A1179" s="15">
        <v>1178</v>
      </c>
      <c r="B1179" s="4" t="s">
        <v>4792</v>
      </c>
      <c r="C1179" s="4">
        <v>1179</v>
      </c>
      <c r="D1179" s="4">
        <v>21</v>
      </c>
      <c r="E1179" s="4" t="s">
        <v>409</v>
      </c>
      <c r="F1179" s="16">
        <v>44837</v>
      </c>
      <c r="G1179" s="5" t="s">
        <v>408</v>
      </c>
      <c r="H1179" s="5" t="s">
        <v>4770</v>
      </c>
      <c r="I1179" s="24" t="str">
        <f>HYPERLINK("https://www.bilibili.com/video/BV1ie4y1B7SZ?p=21", "BV1ie4y1B7SZ?p=21")</f>
        <v>BV1ie4y1B7SZ?p=21</v>
      </c>
      <c r="J1179" s="4" t="str">
        <f ca="1">_xlfn.IFNA(VLOOKUP(INDIRECT("G"&amp;ROW()),minfo!$A:$M,COLUMN()-8,0),"")</f>
        <v>呼吸决定</v>
      </c>
      <c r="K1179" s="4" t="str">
        <f ca="1">_xlfn.IFNA(VLOOKUP(INDIRECT("G"&amp;ROW()),minfo!$A:$M,COLUMN()-8,0),"")</f>
        <v>Fine乐团</v>
      </c>
      <c r="L1179" s="4">
        <f ca="1">_xlfn.IFNA(VLOOKUP(INDIRECT("G"&amp;ROW()),minfo!$A:$M,COLUMN()-8,0),"")</f>
        <v>0</v>
      </c>
      <c r="M1179" s="4">
        <f ca="1">_xlfn.IFNA(VLOOKUP(INDIRECT("G"&amp;ROW()),minfo!$A:$M,COLUMN()-8,0),"")</f>
        <v>0</v>
      </c>
      <c r="N1179" s="4">
        <f ca="1">_xlfn.IFNA(VLOOKUP(INDIRECT("G"&amp;ROW()),minfo!$A:$M,COLUMN()-8,0),"")</f>
        <v>0</v>
      </c>
      <c r="O1179" s="4" t="str">
        <f ca="1">_xlfn.IFNA(VLOOKUP(INDIRECT("G"&amp;ROW()),minfo!$A:$M,COLUMN()-8,0),"")</f>
        <v>http://i0.hdslb.com/bfs/station_src/music_metadata/de6c3020bce1962dc02b42568606781f.jpg</v>
      </c>
      <c r="P1179" s="4" t="str">
        <f ca="1">_xlfn.IFNA(VLOOKUP(INDIRECT("G"&amp;ROW()),minfo!$A:$M,COLUMN()-8,0),"")</f>
        <v>http://i0.hdslb.com/bfs/station_src/music_metadata/9dfd516512eb23be6e624848db3bed57</v>
      </c>
      <c r="Q1179" s="4">
        <f ca="1">_xlfn.IFNA(VLOOKUP(INDIRECT("G"&amp;ROW()),minfo!$A:$M,COLUMN()-8,0),"")</f>
        <v>838</v>
      </c>
      <c r="R1179" s="4">
        <f ca="1">_xlfn.IFNA(VLOOKUP(INDIRECT("G"&amp;ROW()),minfo!$A:$M,COLUMN()-8,0),"")</f>
        <v>0</v>
      </c>
      <c r="S1179" s="4">
        <f ca="1">_xlfn.IFNA(VLOOKUP(INDIRECT("G"&amp;ROW()),minfo!$A:$M,COLUMN()-8,0),"")</f>
        <v>0</v>
      </c>
      <c r="T1179" s="4">
        <f ca="1">_xlfn.IFNA(VLOOKUP(INDIRECT("G"&amp;ROW()),minfo!$A:$M,COLUMN()-8,0),"")</f>
        <v>100019249</v>
      </c>
      <c r="U1179" s="4">
        <f ca="1">_xlfn.IFNA(VLOOKUP(INDIRECT("G"&amp;ROW()),minfo!$A:$M,COLUMN()-8,0),"")</f>
        <v>0</v>
      </c>
    </row>
    <row r="1180" spans="1:21" ht="15.75" customHeight="1">
      <c r="A1180" s="15">
        <v>1179</v>
      </c>
      <c r="B1180" s="4" t="s">
        <v>4793</v>
      </c>
      <c r="C1180" s="4">
        <v>1180</v>
      </c>
      <c r="D1180" s="4">
        <v>22</v>
      </c>
      <c r="E1180" s="4" t="s">
        <v>638</v>
      </c>
      <c r="F1180" s="16">
        <v>44838</v>
      </c>
      <c r="G1180" s="5" t="s">
        <v>637</v>
      </c>
      <c r="H1180" s="5" t="s">
        <v>4770</v>
      </c>
      <c r="I1180" s="24" t="str">
        <f>HYPERLINK("https://www.bilibili.com/video/BV1ie4y1B7SZ?p=22", "BV1ie4y1B7SZ?p=22")</f>
        <v>BV1ie4y1B7SZ?p=22</v>
      </c>
      <c r="J1180" s="4" t="str">
        <f ca="1">_xlfn.IFNA(VLOOKUP(INDIRECT("G"&amp;ROW()),minfo!$A:$M,COLUMN()-8,0),"")</f>
        <v>搁浅</v>
      </c>
      <c r="K1180" s="4" t="str">
        <f ca="1">_xlfn.IFNA(VLOOKUP(INDIRECT("G"&amp;ROW()),minfo!$A:$M,COLUMN()-8,0),"")</f>
        <v>周杰伦</v>
      </c>
      <c r="L1180" s="4">
        <f ca="1">_xlfn.IFNA(VLOOKUP(INDIRECT("G"&amp;ROW()),minfo!$A:$M,COLUMN()-8,0),"")</f>
        <v>0</v>
      </c>
      <c r="M1180" s="4">
        <f ca="1">_xlfn.IFNA(VLOOKUP(INDIRECT("G"&amp;ROW()),minfo!$A:$M,COLUMN()-8,0),"")</f>
        <v>0</v>
      </c>
      <c r="N1180" s="4">
        <f ca="1">_xlfn.IFNA(VLOOKUP(INDIRECT("G"&amp;ROW()),minfo!$A:$M,COLUMN()-8,0),"")</f>
        <v>0</v>
      </c>
      <c r="O1180" s="4" t="str">
        <f ca="1">_xlfn.IFNA(VLOOKUP(INDIRECT("G"&amp;ROW()),minfo!$A:$M,COLUMN()-8,0),"")</f>
        <v>https://i0.hdslb.com/bfs/station_src/music_metadata/5ea93d49aa366e4340787bbc3d63de25.jpg</v>
      </c>
      <c r="P1180" s="4">
        <f ca="1">_xlfn.IFNA(VLOOKUP(INDIRECT("G"&amp;ROW()),minfo!$A:$M,COLUMN()-8,0),"")</f>
        <v>0</v>
      </c>
      <c r="Q1180" s="4">
        <f ca="1">_xlfn.IFNA(VLOOKUP(INDIRECT("G"&amp;ROW()),minfo!$A:$M,COLUMN()-8,0),"")</f>
        <v>4120</v>
      </c>
      <c r="R1180" s="4">
        <f ca="1">_xlfn.IFNA(VLOOKUP(INDIRECT("G"&amp;ROW()),minfo!$A:$M,COLUMN()-8,0),"")</f>
        <v>0</v>
      </c>
      <c r="S1180" s="4" t="str">
        <f ca="1">_xlfn.IFNA(VLOOKUP(INDIRECT("G"&amp;ROW()),minfo!$A:$M,COLUMN()-8,0),"")</f>
        <v>七里香</v>
      </c>
      <c r="T1180" s="4">
        <f ca="1">_xlfn.IFNA(VLOOKUP(INDIRECT("G"&amp;ROW()),minfo!$A:$M,COLUMN()-8,0),"")</f>
        <v>593603418</v>
      </c>
      <c r="U1180" s="4">
        <f ca="1">_xlfn.IFNA(VLOOKUP(INDIRECT("G"&amp;ROW()),minfo!$A:$M,COLUMN()-8,0),"")</f>
        <v>0</v>
      </c>
    </row>
    <row r="1181" spans="1:21" ht="15.75" customHeight="1">
      <c r="A1181" s="15">
        <v>1180</v>
      </c>
      <c r="B1181" s="4" t="s">
        <v>4794</v>
      </c>
      <c r="C1181" s="4">
        <v>1181</v>
      </c>
      <c r="D1181" s="4">
        <v>23</v>
      </c>
      <c r="E1181" s="4" t="s">
        <v>1078</v>
      </c>
      <c r="F1181" s="16">
        <v>44838</v>
      </c>
      <c r="G1181" s="5" t="s">
        <v>1077</v>
      </c>
      <c r="H1181" s="5" t="s">
        <v>4770</v>
      </c>
      <c r="I1181" s="24" t="str">
        <f>HYPERLINK("https://www.bilibili.com/video/BV1ie4y1B7SZ?p=23", "BV1ie4y1B7SZ?p=23")</f>
        <v>BV1ie4y1B7SZ?p=23</v>
      </c>
      <c r="J1181" s="4" t="str">
        <f ca="1">_xlfn.IFNA(VLOOKUP(INDIRECT("G"&amp;ROW()),minfo!$A:$M,COLUMN()-8,0),"")</f>
        <v>最长的电影</v>
      </c>
      <c r="K1181" s="4" t="str">
        <f ca="1">_xlfn.IFNA(VLOOKUP(INDIRECT("G"&amp;ROW()),minfo!$A:$M,COLUMN()-8,0),"")</f>
        <v>周杰伦</v>
      </c>
      <c r="L1181" s="4">
        <f ca="1">_xlfn.IFNA(VLOOKUP(INDIRECT("G"&amp;ROW()),minfo!$A:$M,COLUMN()-8,0),"")</f>
        <v>0</v>
      </c>
      <c r="M1181" s="4">
        <f ca="1">_xlfn.IFNA(VLOOKUP(INDIRECT("G"&amp;ROW()),minfo!$A:$M,COLUMN()-8,0),"")</f>
        <v>0</v>
      </c>
      <c r="N1181" s="4">
        <f ca="1">_xlfn.IFNA(VLOOKUP(INDIRECT("G"&amp;ROW()),minfo!$A:$M,COLUMN()-8,0),"")</f>
        <v>0</v>
      </c>
      <c r="O1181" s="4" t="str">
        <f ca="1">_xlfn.IFNA(VLOOKUP(INDIRECT("G"&amp;ROW()),minfo!$A:$M,COLUMN()-8,0),"")</f>
        <v>https://i0.hdslb.com/bfs/station_src/music_metadata/7eaa1a96d6dc901ac8d38b532ba49f47.jpg</v>
      </c>
      <c r="P1181" s="4" t="str">
        <f ca="1">_xlfn.IFNA(VLOOKUP(INDIRECT("G"&amp;ROW()),minfo!$A:$M,COLUMN()-8,0),"")</f>
        <v>http://i0.hdslb.com/bfs/station_src/music_metadata/62e80a61723a09aff7da0f2c4f4612c9</v>
      </c>
      <c r="Q1181" s="4">
        <f ca="1">_xlfn.IFNA(VLOOKUP(INDIRECT("G"&amp;ROW()),minfo!$A:$M,COLUMN()-8,0),"")</f>
        <v>2026</v>
      </c>
      <c r="R1181" s="4">
        <f ca="1">_xlfn.IFNA(VLOOKUP(INDIRECT("G"&amp;ROW()),minfo!$A:$M,COLUMN()-8,0),"")</f>
        <v>0</v>
      </c>
      <c r="S1181" s="4" t="str">
        <f ca="1">_xlfn.IFNA(VLOOKUP(INDIRECT("G"&amp;ROW()),minfo!$A:$M,COLUMN()-8,0),"")</f>
        <v>我很忙</v>
      </c>
      <c r="T1181" s="4">
        <f ca="1">_xlfn.IFNA(VLOOKUP(INDIRECT("G"&amp;ROW()),minfo!$A:$M,COLUMN()-8,0),"")</f>
        <v>437092203</v>
      </c>
      <c r="U1181" s="4">
        <f ca="1">_xlfn.IFNA(VLOOKUP(INDIRECT("G"&amp;ROW()),minfo!$A:$M,COLUMN()-8,0),"")</f>
        <v>0</v>
      </c>
    </row>
    <row r="1182" spans="1:21" ht="15.75" customHeight="1">
      <c r="A1182" s="15">
        <v>1181</v>
      </c>
      <c r="B1182" s="4" t="s">
        <v>4795</v>
      </c>
      <c r="C1182" s="4">
        <v>1182</v>
      </c>
      <c r="D1182" s="4">
        <v>24</v>
      </c>
      <c r="E1182" s="4" t="s">
        <v>259</v>
      </c>
      <c r="F1182" s="16">
        <v>44838</v>
      </c>
      <c r="G1182" s="5" t="s">
        <v>258</v>
      </c>
      <c r="H1182" s="5" t="s">
        <v>4770</v>
      </c>
      <c r="I1182" s="24" t="str">
        <f>HYPERLINK("https://www.bilibili.com/video/BV1ie4y1B7SZ?p=24", "BV1ie4y1B7SZ?p=24")</f>
        <v>BV1ie4y1B7SZ?p=24</v>
      </c>
      <c r="J1182" s="4" t="str">
        <f ca="1">_xlfn.IFNA(VLOOKUP(INDIRECT("G"&amp;ROW()),minfo!$A:$M,COLUMN()-8,0),"")</f>
        <v>枫</v>
      </c>
      <c r="K1182" s="4" t="str">
        <f ca="1">_xlfn.IFNA(VLOOKUP(INDIRECT("G"&amp;ROW()),minfo!$A:$M,COLUMN()-8,0),"")</f>
        <v>周杰伦</v>
      </c>
      <c r="L1182" s="4">
        <f ca="1">_xlfn.IFNA(VLOOKUP(INDIRECT("G"&amp;ROW()),minfo!$A:$M,COLUMN()-8,0),"")</f>
        <v>0</v>
      </c>
      <c r="M1182" s="4">
        <f ca="1">_xlfn.IFNA(VLOOKUP(INDIRECT("G"&amp;ROW()),minfo!$A:$M,COLUMN()-8,0),"")</f>
        <v>0</v>
      </c>
      <c r="N1182" s="4">
        <f ca="1">_xlfn.IFNA(VLOOKUP(INDIRECT("G"&amp;ROW()),minfo!$A:$M,COLUMN()-8,0),"")</f>
        <v>0</v>
      </c>
      <c r="O1182" s="4" t="str">
        <f ca="1">_xlfn.IFNA(VLOOKUP(INDIRECT("G"&amp;ROW()),minfo!$A:$M,COLUMN()-8,0),"")</f>
        <v>https://i0.hdslb.com/bfs/station_src/music_metadata/fb82b0fb2908b09d88ba13ef0db91863.jpg</v>
      </c>
      <c r="P1182" s="4" t="str">
        <f ca="1">_xlfn.IFNA(VLOOKUP(INDIRECT("G"&amp;ROW()),minfo!$A:$M,COLUMN()-8,0),"")</f>
        <v>http://i0.hdslb.com/bfs/station_src/music_metadata/9b1e7a89ea3eead8b8c6b32cdb30abd9</v>
      </c>
      <c r="Q1182" s="4">
        <f ca="1">_xlfn.IFNA(VLOOKUP(INDIRECT("G"&amp;ROW()),minfo!$A:$M,COLUMN()-8,0),"")</f>
        <v>6002</v>
      </c>
      <c r="R1182" s="4">
        <f ca="1">_xlfn.IFNA(VLOOKUP(INDIRECT("G"&amp;ROW()),minfo!$A:$M,COLUMN()-8,0),"")</f>
        <v>0</v>
      </c>
      <c r="S1182" s="4" t="str">
        <f ca="1">_xlfn.IFNA(VLOOKUP(INDIRECT("G"&amp;ROW()),minfo!$A:$M,COLUMN()-8,0),"")</f>
        <v>十一月的萧邦</v>
      </c>
      <c r="T1182" s="4">
        <f ca="1">_xlfn.IFNA(VLOOKUP(INDIRECT("G"&amp;ROW()),minfo!$A:$M,COLUMN()-8,0),"")</f>
        <v>560749777</v>
      </c>
      <c r="U1182" s="4">
        <f ca="1">_xlfn.IFNA(VLOOKUP(INDIRECT("G"&amp;ROW()),minfo!$A:$M,COLUMN()-8,0),"")</f>
        <v>0</v>
      </c>
    </row>
    <row r="1183" spans="1:21" ht="15.75" customHeight="1">
      <c r="A1183" s="15">
        <v>1182</v>
      </c>
      <c r="B1183" s="4" t="s">
        <v>4796</v>
      </c>
      <c r="C1183" s="4">
        <v>1183</v>
      </c>
      <c r="D1183" s="4">
        <v>25</v>
      </c>
      <c r="E1183" s="4" t="s">
        <v>30</v>
      </c>
      <c r="F1183" s="16">
        <v>44838</v>
      </c>
      <c r="G1183" s="5" t="s">
        <v>29</v>
      </c>
      <c r="H1183" s="5" t="s">
        <v>4770</v>
      </c>
      <c r="I1183" s="24" t="str">
        <f>HYPERLINK("https://www.bilibili.com/video/BV1ie4y1B7SZ?p=25", "BV1ie4y1B7SZ?p=25")</f>
        <v>BV1ie4y1B7SZ?p=25</v>
      </c>
      <c r="J1183" s="4" t="str">
        <f ca="1">_xlfn.IFNA(VLOOKUP(INDIRECT("G"&amp;ROW()),minfo!$A:$M,COLUMN()-8,0),"")</f>
        <v>下雨天</v>
      </c>
      <c r="K1183" s="4" t="str">
        <f ca="1">_xlfn.IFNA(VLOOKUP(INDIRECT("G"&amp;ROW()),minfo!$A:$M,COLUMN()-8,0),"")</f>
        <v>南拳妈妈</v>
      </c>
      <c r="L1183" s="4">
        <f ca="1">_xlfn.IFNA(VLOOKUP(INDIRECT("G"&amp;ROW()),minfo!$A:$M,COLUMN()-8,0),"")</f>
        <v>0</v>
      </c>
      <c r="M1183" s="4">
        <f ca="1">_xlfn.IFNA(VLOOKUP(INDIRECT("G"&amp;ROW()),minfo!$A:$M,COLUMN()-8,0),"")</f>
        <v>0</v>
      </c>
      <c r="N1183" s="4">
        <f ca="1">_xlfn.IFNA(VLOOKUP(INDIRECT("G"&amp;ROW()),minfo!$A:$M,COLUMN()-8,0),"")</f>
        <v>0</v>
      </c>
      <c r="O1183" s="4" t="str">
        <f ca="1">_xlfn.IFNA(VLOOKUP(INDIRECT("G"&amp;ROW()),minfo!$A:$M,COLUMN()-8,0),"")</f>
        <v>http://i0.hdslb.com/bfs/station_src/music_metadata/11894af49c3a6335acdcff5503de93ca.jpg</v>
      </c>
      <c r="P1183" s="4" t="str">
        <f ca="1">_xlfn.IFNA(VLOOKUP(INDIRECT("G"&amp;ROW()),minfo!$A:$M,COLUMN()-8,0),"")</f>
        <v>http://i0.hdslb.com/bfs/station_src/music_metadata/7562376c6e398641a1432bf3281bc565</v>
      </c>
      <c r="Q1183" s="4">
        <f ca="1">_xlfn.IFNA(VLOOKUP(INDIRECT("G"&amp;ROW()),minfo!$A:$M,COLUMN()-8,0),"")</f>
        <v>1858</v>
      </c>
      <c r="R1183" s="4">
        <f ca="1">_xlfn.IFNA(VLOOKUP(INDIRECT("G"&amp;ROW()),minfo!$A:$M,COLUMN()-8,0),"")</f>
        <v>0</v>
      </c>
      <c r="S1183" s="4" t="str">
        <f ca="1">_xlfn.IFNA(VLOOKUP(INDIRECT("G"&amp;ROW()),minfo!$A:$M,COLUMN()-8,0),"")</f>
        <v>优の良曲 南搞小孩</v>
      </c>
      <c r="T1183" s="4">
        <f ca="1">_xlfn.IFNA(VLOOKUP(INDIRECT("G"&amp;ROW()),minfo!$A:$M,COLUMN()-8,0),"")</f>
        <v>282780877</v>
      </c>
      <c r="U1183" s="4" t="str">
        <f ca="1">_xlfn.IFNA(VLOOKUP(INDIRECT("G"&amp;ROW()),minfo!$A:$M,COLUMN()-8,0),"")</f>
        <v>音乐榜最高NO.14</v>
      </c>
    </row>
    <row r="1184" spans="1:21" ht="15.75" customHeight="1">
      <c r="A1184" s="15">
        <v>1183</v>
      </c>
      <c r="B1184" s="4" t="s">
        <v>4797</v>
      </c>
      <c r="C1184" s="4">
        <v>1184</v>
      </c>
      <c r="D1184" s="4">
        <v>26</v>
      </c>
      <c r="E1184" s="4" t="s">
        <v>375</v>
      </c>
      <c r="F1184" s="16">
        <v>44839</v>
      </c>
      <c r="G1184" s="5" t="s">
        <v>374</v>
      </c>
      <c r="H1184" s="5" t="s">
        <v>4770</v>
      </c>
      <c r="I1184" s="24" t="str">
        <f>HYPERLINK("https://www.bilibili.com/video/BV1ie4y1B7SZ?p=26", "BV1ie4y1B7SZ?p=26")</f>
        <v>BV1ie4y1B7SZ?p=26</v>
      </c>
      <c r="J1184" s="4" t="str">
        <f ca="1">_xlfn.IFNA(VLOOKUP(INDIRECT("G"&amp;ROW()),minfo!$A:$M,COLUMN()-8,0),"")</f>
        <v>彩虹</v>
      </c>
      <c r="K1184" s="4" t="str">
        <f ca="1">_xlfn.IFNA(VLOOKUP(INDIRECT("G"&amp;ROW()),minfo!$A:$M,COLUMN()-8,0),"")</f>
        <v>周杰伦</v>
      </c>
      <c r="L1184" s="4">
        <f ca="1">_xlfn.IFNA(VLOOKUP(INDIRECT("G"&amp;ROW()),minfo!$A:$M,COLUMN()-8,0),"")</f>
        <v>0</v>
      </c>
      <c r="M1184" s="4">
        <f ca="1">_xlfn.IFNA(VLOOKUP(INDIRECT("G"&amp;ROW()),minfo!$A:$M,COLUMN()-8,0),"")</f>
        <v>0</v>
      </c>
      <c r="N1184" s="4">
        <f ca="1">_xlfn.IFNA(VLOOKUP(INDIRECT("G"&amp;ROW()),minfo!$A:$M,COLUMN()-8,0),"")</f>
        <v>0</v>
      </c>
      <c r="O1184" s="4" t="str">
        <f ca="1">_xlfn.IFNA(VLOOKUP(INDIRECT("G"&amp;ROW()),minfo!$A:$M,COLUMN()-8,0),"")</f>
        <v>https://i0.hdslb.com/bfs/station_src/music_metadata/2b7d7250423bd10995c607eb49b4e004.jpg</v>
      </c>
      <c r="P1184" s="4">
        <f ca="1">_xlfn.IFNA(VLOOKUP(INDIRECT("G"&amp;ROW()),minfo!$A:$M,COLUMN()-8,0),"")</f>
        <v>0</v>
      </c>
      <c r="Q1184" s="4">
        <f ca="1">_xlfn.IFNA(VLOOKUP(INDIRECT("G"&amp;ROW()),minfo!$A:$M,COLUMN()-8,0),"")</f>
        <v>1340</v>
      </c>
      <c r="R1184" s="4" t="str">
        <f ca="1">_xlfn.IFNA(VLOOKUP(INDIRECT("G"&amp;ROW()),minfo!$A:$M,COLUMN()-8,0),"")</f>
        <v>《命运呼叫转移》电影主题曲</v>
      </c>
      <c r="S1184" s="4" t="str">
        <f ca="1">_xlfn.IFNA(VLOOKUP(INDIRECT("G"&amp;ROW()),minfo!$A:$M,COLUMN()-8,0),"")</f>
        <v>我很忙</v>
      </c>
      <c r="T1184" s="4">
        <f ca="1">_xlfn.IFNA(VLOOKUP(INDIRECT("G"&amp;ROW()),minfo!$A:$M,COLUMN()-8,0),"")</f>
        <v>394249952</v>
      </c>
      <c r="U1184" s="4">
        <f ca="1">_xlfn.IFNA(VLOOKUP(INDIRECT("G"&amp;ROW()),minfo!$A:$M,COLUMN()-8,0),"")</f>
        <v>0</v>
      </c>
    </row>
    <row r="1185" spans="1:21" ht="15.75" customHeight="1">
      <c r="A1185" s="15">
        <v>1184</v>
      </c>
      <c r="B1185" s="4" t="s">
        <v>4798</v>
      </c>
      <c r="C1185" s="4">
        <v>1185</v>
      </c>
      <c r="D1185" s="4">
        <v>27</v>
      </c>
      <c r="E1185" s="4" t="s">
        <v>2131</v>
      </c>
      <c r="F1185" s="16">
        <v>44841</v>
      </c>
      <c r="G1185" s="5" t="s">
        <v>2130</v>
      </c>
      <c r="H1185" s="5" t="s">
        <v>4770</v>
      </c>
      <c r="I1185" s="24" t="str">
        <f>HYPERLINK("https://www.bilibili.com/video/BV1ie4y1B7SZ?p=27", "BV1ie4y1B7SZ?p=27")</f>
        <v>BV1ie4y1B7SZ?p=27</v>
      </c>
      <c r="J1185" s="4" t="str">
        <f ca="1">_xlfn.IFNA(VLOOKUP(INDIRECT("G"&amp;ROW()),minfo!$A:$M,COLUMN()-8,0),"")</f>
        <v>虫儿飞</v>
      </c>
      <c r="K1185" s="4" t="str">
        <f ca="1">_xlfn.IFNA(VLOOKUP(INDIRECT("G"&amp;ROW()),minfo!$A:$M,COLUMN()-8,0),"")</f>
        <v>郑伊健</v>
      </c>
      <c r="L1185" s="4">
        <f ca="1">_xlfn.IFNA(VLOOKUP(INDIRECT("G"&amp;ROW()),minfo!$A:$M,COLUMN()-8,0),"")</f>
        <v>0</v>
      </c>
      <c r="M1185" s="4">
        <f ca="1">_xlfn.IFNA(VLOOKUP(INDIRECT("G"&amp;ROW()),minfo!$A:$M,COLUMN()-8,0),"")</f>
        <v>0</v>
      </c>
      <c r="N1185" s="4">
        <f ca="1">_xlfn.IFNA(VLOOKUP(INDIRECT("G"&amp;ROW()),minfo!$A:$M,COLUMN()-8,0),"")</f>
        <v>0</v>
      </c>
      <c r="O1185" s="4" t="str">
        <f ca="1">_xlfn.IFNA(VLOOKUP(INDIRECT("G"&amp;ROW()),minfo!$A:$M,COLUMN()-8,0),"")</f>
        <v>https://i0.hdslb.com/bfs/station_src/music_metadata/0eb231200bbd0f5b27d34f14e934273f.jpg</v>
      </c>
      <c r="P1185" s="4" t="str">
        <f ca="1">_xlfn.IFNA(VLOOKUP(INDIRECT("G"&amp;ROW()),minfo!$A:$M,COLUMN()-8,0),"")</f>
        <v>http://i0.hdslb.com/bfs/station_src/music_metadata/df89a0b8e3382bb26395eafd13a35ea2</v>
      </c>
      <c r="Q1185" s="4">
        <f ca="1">_xlfn.IFNA(VLOOKUP(INDIRECT("G"&amp;ROW()),minfo!$A:$M,COLUMN()-8,0),"")</f>
        <v>866</v>
      </c>
      <c r="R1185" s="4">
        <f ca="1">_xlfn.IFNA(VLOOKUP(INDIRECT("G"&amp;ROW()),minfo!$A:$M,COLUMN()-8,0),"")</f>
        <v>0</v>
      </c>
      <c r="S1185" s="4" t="str">
        <f ca="1">_xlfn.IFNA(VLOOKUP(INDIRECT("G"&amp;ROW()),minfo!$A:$M,COLUMN()-8,0),"")</f>
        <v>风云雄霸天下电影原声大碟</v>
      </c>
      <c r="T1185" s="4">
        <f ca="1">_xlfn.IFNA(VLOOKUP(INDIRECT("G"&amp;ROW()),minfo!$A:$M,COLUMN()-8,0),"")</f>
        <v>124839208</v>
      </c>
      <c r="U1185" s="4">
        <f ca="1">_xlfn.IFNA(VLOOKUP(INDIRECT("G"&amp;ROW()),minfo!$A:$M,COLUMN()-8,0),"")</f>
        <v>0</v>
      </c>
    </row>
    <row r="1186" spans="1:21" ht="15.75" customHeight="1">
      <c r="A1186" s="15">
        <v>1185</v>
      </c>
      <c r="B1186" s="4" t="s">
        <v>4799</v>
      </c>
      <c r="C1186" s="4">
        <v>1186</v>
      </c>
      <c r="D1186" s="4">
        <v>28</v>
      </c>
      <c r="E1186" s="4" t="s">
        <v>1245</v>
      </c>
      <c r="F1186" s="16">
        <v>44841</v>
      </c>
      <c r="G1186" s="5" t="s">
        <v>1244</v>
      </c>
      <c r="H1186" s="5" t="s">
        <v>4770</v>
      </c>
      <c r="I1186" s="24" t="str">
        <f>HYPERLINK("https://www.bilibili.com/video/BV1ie4y1B7SZ?p=28", "BV1ie4y1B7SZ?p=28")</f>
        <v>BV1ie4y1B7SZ?p=28</v>
      </c>
      <c r="J1186" s="4" t="str">
        <f ca="1">_xlfn.IFNA(VLOOKUP(INDIRECT("G"&amp;ROW()),minfo!$A:$M,COLUMN()-8,0),"")</f>
        <v>迷迭香</v>
      </c>
      <c r="K1186" s="4" t="str">
        <f ca="1">_xlfn.IFNA(VLOOKUP(INDIRECT("G"&amp;ROW()),minfo!$A:$M,COLUMN()-8,0),"")</f>
        <v>周杰伦</v>
      </c>
      <c r="L1186" s="4">
        <f ca="1">_xlfn.IFNA(VLOOKUP(INDIRECT("G"&amp;ROW()),minfo!$A:$M,COLUMN()-8,0),"")</f>
        <v>0</v>
      </c>
      <c r="M1186" s="4">
        <f ca="1">_xlfn.IFNA(VLOOKUP(INDIRECT("G"&amp;ROW()),minfo!$A:$M,COLUMN()-8,0),"")</f>
        <v>0</v>
      </c>
      <c r="N1186" s="4">
        <f ca="1">_xlfn.IFNA(VLOOKUP(INDIRECT("G"&amp;ROW()),minfo!$A:$M,COLUMN()-8,0),"")</f>
        <v>0</v>
      </c>
      <c r="O1186" s="4" t="str">
        <f ca="1">_xlfn.IFNA(VLOOKUP(INDIRECT("G"&amp;ROW()),minfo!$A:$M,COLUMN()-8,0),"")</f>
        <v>http://i0.hdslb.com/bfs/station_src/music_metadata/0926861efce67153beddcc1bf5676937.jpg</v>
      </c>
      <c r="P1186" s="4" t="str">
        <f ca="1">_xlfn.IFNA(VLOOKUP(INDIRECT("G"&amp;ROW()),minfo!$A:$M,COLUMN()-8,0),"")</f>
        <v>http://i0.hdslb.com/bfs/station_src/music_metadata/fd3c3fade748fdd9e948719c9ad02b33</v>
      </c>
      <c r="Q1186" s="4">
        <f ca="1">_xlfn.IFNA(VLOOKUP(INDIRECT("G"&amp;ROW()),minfo!$A:$M,COLUMN()-8,0),"")</f>
        <v>566</v>
      </c>
      <c r="R1186" s="4">
        <f ca="1">_xlfn.IFNA(VLOOKUP(INDIRECT("G"&amp;ROW()),minfo!$A:$M,COLUMN()-8,0),"")</f>
        <v>0</v>
      </c>
      <c r="S1186" s="4" t="str">
        <f ca="1">_xlfn.IFNA(VLOOKUP(INDIRECT("G"&amp;ROW()),minfo!$A:$M,COLUMN()-8,0),"")</f>
        <v>依然范特西</v>
      </c>
      <c r="T1186" s="4">
        <f ca="1">_xlfn.IFNA(VLOOKUP(INDIRECT("G"&amp;ROW()),minfo!$A:$M,COLUMN()-8,0),"")</f>
        <v>295581552</v>
      </c>
      <c r="U1186" s="4">
        <f ca="1">_xlfn.IFNA(VLOOKUP(INDIRECT("G"&amp;ROW()),minfo!$A:$M,COLUMN()-8,0),"")</f>
        <v>0</v>
      </c>
    </row>
    <row r="1187" spans="1:21" ht="15.75" customHeight="1">
      <c r="A1187" s="15">
        <v>1186</v>
      </c>
      <c r="B1187" s="4" t="s">
        <v>4800</v>
      </c>
      <c r="C1187" s="4">
        <v>1187</v>
      </c>
      <c r="D1187" s="4">
        <v>29</v>
      </c>
      <c r="E1187" s="4" t="s">
        <v>2599</v>
      </c>
      <c r="F1187" s="16">
        <v>44841</v>
      </c>
      <c r="G1187" s="5" t="s">
        <v>2598</v>
      </c>
      <c r="H1187" s="5" t="s">
        <v>4770</v>
      </c>
      <c r="I1187" s="24" t="str">
        <f>HYPERLINK("https://www.bilibili.com/video/BV1ie4y1B7SZ?p=29", "BV1ie4y1B7SZ?p=29")</f>
        <v>BV1ie4y1B7SZ?p=29</v>
      </c>
      <c r="J1187" s="4" t="str">
        <f ca="1">_xlfn.IFNA(VLOOKUP(INDIRECT("G"&amp;ROW()),minfo!$A:$M,COLUMN()-8,0),"")</f>
        <v>小时候</v>
      </c>
      <c r="K1187" s="4" t="str">
        <f ca="1">_xlfn.IFNA(VLOOKUP(INDIRECT("G"&amp;ROW()),minfo!$A:$M,COLUMN()-8,0),"")</f>
        <v>黄晓明</v>
      </c>
      <c r="L1187" s="4">
        <f ca="1">_xlfn.IFNA(VLOOKUP(INDIRECT("G"&amp;ROW()),minfo!$A:$M,COLUMN()-8,0),"")</f>
        <v>0</v>
      </c>
      <c r="M1187" s="4">
        <f ca="1">_xlfn.IFNA(VLOOKUP(INDIRECT("G"&amp;ROW()),minfo!$A:$M,COLUMN()-8,0),"")</f>
        <v>0</v>
      </c>
      <c r="N1187" s="4">
        <f ca="1">_xlfn.IFNA(VLOOKUP(INDIRECT("G"&amp;ROW()),minfo!$A:$M,COLUMN()-8,0),"")</f>
        <v>0</v>
      </c>
      <c r="O1187" s="4" t="str">
        <f ca="1">_xlfn.IFNA(VLOOKUP(INDIRECT("G"&amp;ROW()),minfo!$A:$M,COLUMN()-8,0),"")</f>
        <v>https://i0.hdslb.com/bfs/station_src/music_metadata/f689066d83e1cfa3c0fca83925d4aa23.jpg</v>
      </c>
      <c r="P1187" s="4" t="str">
        <f ca="1">_xlfn.IFNA(VLOOKUP(INDIRECT("G"&amp;ROW()),minfo!$A:$M,COLUMN()-8,0),"")</f>
        <v>https://i0.hdslb.com/bfs/station_src/music_metadata/3d81746cb471a4e6f324aa92573fa356.txt</v>
      </c>
      <c r="Q1187" s="4">
        <f ca="1">_xlfn.IFNA(VLOOKUP(INDIRECT("G"&amp;ROW()),minfo!$A:$M,COLUMN()-8,0),"")</f>
        <v>1</v>
      </c>
      <c r="R1187" s="4">
        <f ca="1">_xlfn.IFNA(VLOOKUP(INDIRECT("G"&amp;ROW()),minfo!$A:$M,COLUMN()-8,0),"")</f>
        <v>0</v>
      </c>
      <c r="S1187" s="4" t="str">
        <f ca="1">_xlfn.IFNA(VLOOKUP(INDIRECT("G"&amp;ROW()),minfo!$A:$M,COLUMN()-8,0),"")</f>
        <v>2016湖南卫视小年夜春晚</v>
      </c>
      <c r="T1187" s="4">
        <f ca="1">_xlfn.IFNA(VLOOKUP(INDIRECT("G"&amp;ROW()),minfo!$A:$M,COLUMN()-8,0),"")</f>
        <v>1921450</v>
      </c>
      <c r="U1187" s="4">
        <f ca="1">_xlfn.IFNA(VLOOKUP(INDIRECT("G"&amp;ROW()),minfo!$A:$M,COLUMN()-8,0),"")</f>
        <v>0</v>
      </c>
    </row>
    <row r="1188" spans="1:21" ht="15.75" customHeight="1">
      <c r="A1188" s="15">
        <v>1187</v>
      </c>
      <c r="B1188" s="4" t="s">
        <v>4801</v>
      </c>
      <c r="C1188" s="4">
        <v>1188</v>
      </c>
      <c r="D1188" s="4">
        <v>30</v>
      </c>
      <c r="E1188" s="4" t="s">
        <v>2605</v>
      </c>
      <c r="F1188" s="16">
        <v>44841</v>
      </c>
      <c r="G1188" s="5" t="s">
        <v>2604</v>
      </c>
      <c r="H1188" s="5" t="s">
        <v>4770</v>
      </c>
      <c r="I1188" s="24" t="str">
        <f>HYPERLINK("https://www.bilibili.com/video/BV1ie4y1B7SZ?p=30", "BV1ie4y1B7SZ?p=30")</f>
        <v>BV1ie4y1B7SZ?p=30</v>
      </c>
      <c r="J1188" s="4" t="str">
        <f ca="1">_xlfn.IFNA(VLOOKUP(INDIRECT("G"&amp;ROW()),minfo!$A:$M,COLUMN()-8,0),"")</f>
        <v>记得</v>
      </c>
      <c r="K1188" s="4" t="str">
        <f ca="1">_xlfn.IFNA(VLOOKUP(INDIRECT("G"&amp;ROW()),minfo!$A:$M,COLUMN()-8,0),"")</f>
        <v>张惠妹</v>
      </c>
      <c r="L1188" s="4">
        <f ca="1">_xlfn.IFNA(VLOOKUP(INDIRECT("G"&amp;ROW()),minfo!$A:$M,COLUMN()-8,0),"")</f>
        <v>0</v>
      </c>
      <c r="M1188" s="4">
        <f ca="1">_xlfn.IFNA(VLOOKUP(INDIRECT("G"&amp;ROW()),minfo!$A:$M,COLUMN()-8,0),"")</f>
        <v>0</v>
      </c>
      <c r="N1188" s="4">
        <f ca="1">_xlfn.IFNA(VLOOKUP(INDIRECT("G"&amp;ROW()),minfo!$A:$M,COLUMN()-8,0),"")</f>
        <v>0</v>
      </c>
      <c r="O1188" s="4" t="str">
        <f ca="1">_xlfn.IFNA(VLOOKUP(INDIRECT("G"&amp;ROW()),minfo!$A:$M,COLUMN()-8,0),"")</f>
        <v>https://i0.hdslb.com/bfs/station_src/music_metadata/a4563c3ebf865d156819a10b3fece14a.jpg</v>
      </c>
      <c r="P1188" s="4" t="str">
        <f ca="1">_xlfn.IFNA(VLOOKUP(INDIRECT("G"&amp;ROW()),minfo!$A:$M,COLUMN()-8,0),"")</f>
        <v>http://i0.hdslb.com/bfs/station_src/music_metadata/a32e863c3e9a91d1533e4b2dd67c41ab</v>
      </c>
      <c r="Q1188" s="4">
        <f ca="1">_xlfn.IFNA(VLOOKUP(INDIRECT("G"&amp;ROW()),minfo!$A:$M,COLUMN()-8,0),"")</f>
        <v>225</v>
      </c>
      <c r="R1188" s="4">
        <f ca="1">_xlfn.IFNA(VLOOKUP(INDIRECT("G"&amp;ROW()),minfo!$A:$M,COLUMN()-8,0),"")</f>
        <v>0</v>
      </c>
      <c r="S1188" s="4" t="str">
        <f ca="1">_xlfn.IFNA(VLOOKUP(INDIRECT("G"&amp;ROW()),minfo!$A:$M,COLUMN()-8,0),"")</f>
        <v>爱的力量 10年情歌最精选</v>
      </c>
      <c r="T1188" s="4">
        <f ca="1">_xlfn.IFNA(VLOOKUP(INDIRECT("G"&amp;ROW()),minfo!$A:$M,COLUMN()-8,0),"")</f>
        <v>93174881</v>
      </c>
      <c r="U1188" s="4">
        <f ca="1">_xlfn.IFNA(VLOOKUP(INDIRECT("G"&amp;ROW()),minfo!$A:$M,COLUMN()-8,0),"")</f>
        <v>0</v>
      </c>
    </row>
    <row r="1189" spans="1:21" ht="15.75" customHeight="1">
      <c r="A1189" s="15">
        <v>1188</v>
      </c>
      <c r="B1189" s="4" t="s">
        <v>4802</v>
      </c>
      <c r="C1189" s="4">
        <v>1189</v>
      </c>
      <c r="D1189" s="4">
        <v>31</v>
      </c>
      <c r="E1189" s="4" t="s">
        <v>2517</v>
      </c>
      <c r="F1189" s="16">
        <v>44845</v>
      </c>
      <c r="G1189" s="5" t="s">
        <v>2608</v>
      </c>
      <c r="H1189" s="5" t="s">
        <v>4770</v>
      </c>
      <c r="I1189" s="24" t="str">
        <f>HYPERLINK("https://www.bilibili.com/video/BV1ie4y1B7SZ?p=31", "BV1ie4y1B7SZ?p=31")</f>
        <v>BV1ie4y1B7SZ?p=31</v>
      </c>
      <c r="J1189" s="4" t="str">
        <f ca="1">_xlfn.IFNA(VLOOKUP(INDIRECT("G"&amp;ROW()),minfo!$A:$M,COLUMN()-8,0),"")</f>
        <v>勇气</v>
      </c>
      <c r="K1189" s="4" t="str">
        <f ca="1">_xlfn.IFNA(VLOOKUP(INDIRECT("G"&amp;ROW()),minfo!$A:$M,COLUMN()-8,0),"")</f>
        <v>梁静茹</v>
      </c>
      <c r="L1189" s="4">
        <f ca="1">_xlfn.IFNA(VLOOKUP(INDIRECT("G"&amp;ROW()),minfo!$A:$M,COLUMN()-8,0),"")</f>
        <v>0</v>
      </c>
      <c r="M1189" s="4">
        <f ca="1">_xlfn.IFNA(VLOOKUP(INDIRECT("G"&amp;ROW()),minfo!$A:$M,COLUMN()-8,0),"")</f>
        <v>0</v>
      </c>
      <c r="N1189" s="4">
        <f ca="1">_xlfn.IFNA(VLOOKUP(INDIRECT("G"&amp;ROW()),minfo!$A:$M,COLUMN()-8,0),"")</f>
        <v>0</v>
      </c>
      <c r="O1189" s="4" t="str">
        <f ca="1">_xlfn.IFNA(VLOOKUP(INDIRECT("G"&amp;ROW()),minfo!$A:$M,COLUMN()-8,0),"")</f>
        <v>https://i0.hdslb.com/bfs/station_src/music_metadata/940936edf335c5bcdab39a6d7ef79866.jpg</v>
      </c>
      <c r="P1189" s="4" t="str">
        <f ca="1">_xlfn.IFNA(VLOOKUP(INDIRECT("G"&amp;ROW()),minfo!$A:$M,COLUMN()-8,0),"")</f>
        <v>https://i0.hdslb.com/bfs/station_src/music_metadata/2f72d3a1d6bcbcc356e539378d480b41.txt</v>
      </c>
      <c r="Q1189" s="4">
        <f ca="1">_xlfn.IFNA(VLOOKUP(INDIRECT("G"&amp;ROW()),minfo!$A:$M,COLUMN()-8,0),"")</f>
        <v>0</v>
      </c>
      <c r="R1189" s="4">
        <f ca="1">_xlfn.IFNA(VLOOKUP(INDIRECT("G"&amp;ROW()),minfo!$A:$M,COLUMN()-8,0),"")</f>
        <v>0</v>
      </c>
      <c r="S1189" s="4" t="str">
        <f ca="1">_xlfn.IFNA(VLOOKUP(INDIRECT("G"&amp;ROW()),minfo!$A:$M,COLUMN()-8,0),"")</f>
        <v>新城唱好张敬轩．情轩一发．音乐会</v>
      </c>
      <c r="T1189" s="4">
        <f ca="1">_xlfn.IFNA(VLOOKUP(INDIRECT("G"&amp;ROW()),minfo!$A:$M,COLUMN()-8,0),"")</f>
        <v>813082</v>
      </c>
      <c r="U1189" s="4">
        <f ca="1">_xlfn.IFNA(VLOOKUP(INDIRECT("G"&amp;ROW()),minfo!$A:$M,COLUMN()-8,0),"")</f>
        <v>0</v>
      </c>
    </row>
    <row r="1190" spans="1:21" ht="15.75" customHeight="1">
      <c r="A1190" s="15">
        <v>1189</v>
      </c>
      <c r="B1190" s="4" t="s">
        <v>4803</v>
      </c>
      <c r="C1190" s="4">
        <v>1190</v>
      </c>
      <c r="D1190" s="4">
        <v>32</v>
      </c>
      <c r="E1190" s="4" t="s">
        <v>180</v>
      </c>
      <c r="F1190" s="16">
        <v>44845</v>
      </c>
      <c r="G1190" s="5" t="s">
        <v>179</v>
      </c>
      <c r="H1190" s="5" t="s">
        <v>4770</v>
      </c>
      <c r="I1190" s="24" t="str">
        <f>HYPERLINK("https://www.bilibili.com/video/BV1ie4y1B7SZ?p=32", "BV1ie4y1B7SZ?p=32")</f>
        <v>BV1ie4y1B7SZ?p=32</v>
      </c>
      <c r="J1190" s="4" t="str">
        <f ca="1">_xlfn.IFNA(VLOOKUP(INDIRECT("G"&amp;ROW()),minfo!$A:$M,COLUMN()-8,0),"")</f>
        <v>雪落下的声音</v>
      </c>
      <c r="K1190" s="4" t="str">
        <f ca="1">_xlfn.IFNA(VLOOKUP(INDIRECT("G"&amp;ROW()),minfo!$A:$M,COLUMN()-8,0),"")</f>
        <v>陆虎</v>
      </c>
      <c r="L1190" s="4">
        <f ca="1">_xlfn.IFNA(VLOOKUP(INDIRECT("G"&amp;ROW()),minfo!$A:$M,COLUMN()-8,0),"")</f>
        <v>0</v>
      </c>
      <c r="M1190" s="4">
        <f ca="1">_xlfn.IFNA(VLOOKUP(INDIRECT("G"&amp;ROW()),minfo!$A:$M,COLUMN()-8,0),"")</f>
        <v>0</v>
      </c>
      <c r="N1190" s="4">
        <f ca="1">_xlfn.IFNA(VLOOKUP(INDIRECT("G"&amp;ROW()),minfo!$A:$M,COLUMN()-8,0),"")</f>
        <v>0</v>
      </c>
      <c r="O1190" s="4" t="str">
        <f ca="1">_xlfn.IFNA(VLOOKUP(INDIRECT("G"&amp;ROW()),minfo!$A:$M,COLUMN()-8,0),"")</f>
        <v>http://i0.hdslb.com/bfs/station_src/music_metadata/f4572c77b0f3a173236700166377c6c1.jpg</v>
      </c>
      <c r="P1190" s="4" t="str">
        <f ca="1">_xlfn.IFNA(VLOOKUP(INDIRECT("G"&amp;ROW()),minfo!$A:$M,COLUMN()-8,0),"")</f>
        <v>http://i0.hdslb.com/bfs/station_src/music_metadata/0ede01b76f5911ecd8df09f7308038d9</v>
      </c>
      <c r="Q1190" s="4">
        <f ca="1">_xlfn.IFNA(VLOOKUP(INDIRECT("G"&amp;ROW()),minfo!$A:$M,COLUMN()-8,0),"")</f>
        <v>1394</v>
      </c>
      <c r="R1190" s="4" t="str">
        <f ca="1">_xlfn.IFNA(VLOOKUP(INDIRECT("G"&amp;ROW()),minfo!$A:$M,COLUMN()-8,0),"")</f>
        <v>《延禧攻略》电视剧片尾曲</v>
      </c>
      <c r="S1190" s="4" t="str">
        <f ca="1">_xlfn.IFNA(VLOOKUP(INDIRECT("G"&amp;ROW()),minfo!$A:$M,COLUMN()-8,0),"")</f>
        <v>延禧攻略OST</v>
      </c>
      <c r="T1190" s="4">
        <f ca="1">_xlfn.IFNA(VLOOKUP(INDIRECT("G"&amp;ROW()),minfo!$A:$M,COLUMN()-8,0),"")</f>
        <v>365899290</v>
      </c>
      <c r="U1190" s="4">
        <f ca="1">_xlfn.IFNA(VLOOKUP(INDIRECT("G"&amp;ROW()),minfo!$A:$M,COLUMN()-8,0),"")</f>
        <v>0</v>
      </c>
    </row>
    <row r="1191" spans="1:21" ht="15.75" customHeight="1">
      <c r="A1191" s="15">
        <v>1190</v>
      </c>
      <c r="B1191" s="4" t="s">
        <v>4804</v>
      </c>
      <c r="C1191" s="4">
        <v>1191</v>
      </c>
      <c r="D1191" s="4">
        <v>33</v>
      </c>
      <c r="E1191" s="4" t="s">
        <v>1206</v>
      </c>
      <c r="F1191" s="16">
        <v>44845</v>
      </c>
      <c r="G1191" s="5" t="s">
        <v>1205</v>
      </c>
      <c r="H1191" s="5" t="s">
        <v>4770</v>
      </c>
      <c r="I1191" s="24" t="str">
        <f>HYPERLINK("https://www.bilibili.com/video/BV1ie4y1B7SZ?p=33", "BV1ie4y1B7SZ?p=33")</f>
        <v>BV1ie4y1B7SZ?p=33</v>
      </c>
      <c r="J1191" s="4" t="str">
        <f ca="1">_xlfn.IFNA(VLOOKUP(INDIRECT("G"&amp;ROW()),minfo!$A:$M,COLUMN()-8,0),"")</f>
        <v>给我一个理由忘记</v>
      </c>
      <c r="K1191" s="4" t="str">
        <f ca="1">_xlfn.IFNA(VLOOKUP(INDIRECT("G"&amp;ROW()),minfo!$A:$M,COLUMN()-8,0),"")</f>
        <v>A-Lin</v>
      </c>
      <c r="L1191" s="4">
        <f ca="1">_xlfn.IFNA(VLOOKUP(INDIRECT("G"&amp;ROW()),minfo!$A:$M,COLUMN()-8,0),"")</f>
        <v>0</v>
      </c>
      <c r="M1191" s="4">
        <f ca="1">_xlfn.IFNA(VLOOKUP(INDIRECT("G"&amp;ROW()),minfo!$A:$M,COLUMN()-8,0),"")</f>
        <v>0</v>
      </c>
      <c r="N1191" s="4">
        <f ca="1">_xlfn.IFNA(VLOOKUP(INDIRECT("G"&amp;ROW()),minfo!$A:$M,COLUMN()-8,0),"")</f>
        <v>0</v>
      </c>
      <c r="O1191" s="4" t="str">
        <f ca="1">_xlfn.IFNA(VLOOKUP(INDIRECT("G"&amp;ROW()),minfo!$A:$M,COLUMN()-8,0),"")</f>
        <v>http://i0.hdslb.com/bfs/station_src/music_metadata/bd76bf11fc6f5c6df48b11ced3d8af44.jpg</v>
      </c>
      <c r="P1191" s="4" t="str">
        <f ca="1">_xlfn.IFNA(VLOOKUP(INDIRECT("G"&amp;ROW()),minfo!$A:$M,COLUMN()-8,0),"")</f>
        <v>http://i0.hdslb.com/bfs/station_src/music_metadata/36b0dd2ce9b34c735a4eceb168e31c57</v>
      </c>
      <c r="Q1191" s="4">
        <f ca="1">_xlfn.IFNA(VLOOKUP(INDIRECT("G"&amp;ROW()),minfo!$A:$M,COLUMN()-8,0),"")</f>
        <v>388</v>
      </c>
      <c r="R1191" s="4">
        <f ca="1">_xlfn.IFNA(VLOOKUP(INDIRECT("G"&amp;ROW()),minfo!$A:$M,COLUMN()-8,0),"")</f>
        <v>0</v>
      </c>
      <c r="S1191" s="4" t="str">
        <f ca="1">_xlfn.IFNA(VLOOKUP(INDIRECT("G"&amp;ROW()),minfo!$A:$M,COLUMN()-8,0),"")</f>
        <v>寂寞不痛</v>
      </c>
      <c r="T1191" s="4">
        <f ca="1">_xlfn.IFNA(VLOOKUP(INDIRECT("G"&amp;ROW()),minfo!$A:$M,COLUMN()-8,0),"")</f>
        <v>75022447</v>
      </c>
      <c r="U1191" s="4">
        <f ca="1">_xlfn.IFNA(VLOOKUP(INDIRECT("G"&amp;ROW()),minfo!$A:$M,COLUMN()-8,0),"")</f>
        <v>0</v>
      </c>
    </row>
    <row r="1192" spans="1:21" ht="15.75" customHeight="1">
      <c r="A1192" s="15">
        <v>1191</v>
      </c>
      <c r="B1192" s="4" t="s">
        <v>4805</v>
      </c>
      <c r="C1192" s="4">
        <v>1192</v>
      </c>
      <c r="D1192" s="4">
        <v>34</v>
      </c>
      <c r="E1192" s="4" t="s">
        <v>1180</v>
      </c>
      <c r="F1192" s="16">
        <v>44845</v>
      </c>
      <c r="G1192" s="5" t="s">
        <v>1179</v>
      </c>
      <c r="H1192" s="5" t="s">
        <v>4770</v>
      </c>
      <c r="I1192" s="24" t="str">
        <f>HYPERLINK("https://www.bilibili.com/video/BV1ie4y1B7SZ?p=34", "BV1ie4y1B7SZ?p=34")</f>
        <v>BV1ie4y1B7SZ?p=34</v>
      </c>
      <c r="J1192" s="4" t="str">
        <f ca="1">_xlfn.IFNA(VLOOKUP(INDIRECT("G"&amp;ROW()),minfo!$A:$M,COLUMN()-8,0),"")</f>
        <v>真实</v>
      </c>
      <c r="K1192" s="4" t="str">
        <f ca="1">_xlfn.IFNA(VLOOKUP(INDIRECT("G"&amp;ROW()),minfo!$A:$M,COLUMN()-8,0),"")</f>
        <v>张惠妹</v>
      </c>
      <c r="L1192" s="4">
        <f ca="1">_xlfn.IFNA(VLOOKUP(INDIRECT("G"&amp;ROW()),minfo!$A:$M,COLUMN()-8,0),"")</f>
        <v>0</v>
      </c>
      <c r="M1192" s="4">
        <f ca="1">_xlfn.IFNA(VLOOKUP(INDIRECT("G"&amp;ROW()),minfo!$A:$M,COLUMN()-8,0),"")</f>
        <v>0</v>
      </c>
      <c r="N1192" s="4">
        <f ca="1">_xlfn.IFNA(VLOOKUP(INDIRECT("G"&amp;ROW()),minfo!$A:$M,COLUMN()-8,0),"")</f>
        <v>0</v>
      </c>
      <c r="O1192" s="4" t="str">
        <f ca="1">_xlfn.IFNA(VLOOKUP(INDIRECT("G"&amp;ROW()),minfo!$A:$M,COLUMN()-8,0),"")</f>
        <v>https://i0.hdslb.com/bfs/station_src/music_metadata/9f4eabc9a46c0571d7f7f67bb2ebab60.jpg</v>
      </c>
      <c r="P1192" s="4" t="str">
        <f ca="1">_xlfn.IFNA(VLOOKUP(INDIRECT("G"&amp;ROW()),minfo!$A:$M,COLUMN()-8,0),"")</f>
        <v>https://i0.hdslb.com/bfs/station_src/music_metadata/bfc8e2894c10a612c011fcc912b0f45d.txt</v>
      </c>
      <c r="Q1192" s="4">
        <f ca="1">_xlfn.IFNA(VLOOKUP(INDIRECT("G"&amp;ROW()),minfo!$A:$M,COLUMN()-8,0),"")</f>
        <v>17</v>
      </c>
      <c r="R1192" s="4">
        <f ca="1">_xlfn.IFNA(VLOOKUP(INDIRECT("G"&amp;ROW()),minfo!$A:$M,COLUMN()-8,0),"")</f>
        <v>0</v>
      </c>
      <c r="S1192" s="4" t="str">
        <f ca="1">_xlfn.IFNA(VLOOKUP(INDIRECT("G"&amp;ROW()),minfo!$A:$M,COLUMN()-8,0),"")</f>
        <v>真实</v>
      </c>
      <c r="T1192" s="4">
        <f ca="1">_xlfn.IFNA(VLOOKUP(INDIRECT("G"&amp;ROW()),minfo!$A:$M,COLUMN()-8,0),"")</f>
        <v>6260891</v>
      </c>
      <c r="U1192" s="4">
        <f ca="1">_xlfn.IFNA(VLOOKUP(INDIRECT("G"&amp;ROW()),minfo!$A:$M,COLUMN()-8,0),"")</f>
        <v>0</v>
      </c>
    </row>
    <row r="1193" spans="1:21" ht="15.75" customHeight="1">
      <c r="A1193" s="15">
        <v>1192</v>
      </c>
      <c r="B1193" s="4" t="s">
        <v>4806</v>
      </c>
      <c r="C1193" s="4">
        <v>1193</v>
      </c>
      <c r="D1193" s="4">
        <v>35</v>
      </c>
      <c r="E1193" s="4" t="s">
        <v>749</v>
      </c>
      <c r="F1193" s="16">
        <v>44845</v>
      </c>
      <c r="G1193" s="5" t="s">
        <v>2612</v>
      </c>
      <c r="H1193" s="5" t="s">
        <v>4770</v>
      </c>
      <c r="I1193" s="24" t="str">
        <f>HYPERLINK("https://www.bilibili.com/video/BV1ie4y1B7SZ?p=35", "BV1ie4y1B7SZ?p=35")</f>
        <v>BV1ie4y1B7SZ?p=35</v>
      </c>
      <c r="J1193" s="4" t="str">
        <f ca="1">_xlfn.IFNA(VLOOKUP(INDIRECT("G"&amp;ROW()),minfo!$A:$M,COLUMN()-8,0),"")</f>
        <v>我好想你</v>
      </c>
      <c r="K1193" s="4" t="str">
        <f ca="1">_xlfn.IFNA(VLOOKUP(INDIRECT("G"&amp;ROW()),minfo!$A:$M,COLUMN()-8,0),"")</f>
        <v>苏打绿</v>
      </c>
      <c r="L1193" s="4">
        <f ca="1">_xlfn.IFNA(VLOOKUP(INDIRECT("G"&amp;ROW()),minfo!$A:$M,COLUMN()-8,0),"")</f>
        <v>0</v>
      </c>
      <c r="M1193" s="4">
        <f ca="1">_xlfn.IFNA(VLOOKUP(INDIRECT("G"&amp;ROW()),minfo!$A:$M,COLUMN()-8,0),"")</f>
        <v>0</v>
      </c>
      <c r="N1193" s="4">
        <f ca="1">_xlfn.IFNA(VLOOKUP(INDIRECT("G"&amp;ROW()),minfo!$A:$M,COLUMN()-8,0),"")</f>
        <v>0</v>
      </c>
      <c r="O1193" s="4" t="str">
        <f ca="1">_xlfn.IFNA(VLOOKUP(INDIRECT("G"&amp;ROW()),minfo!$A:$M,COLUMN()-8,0),"")</f>
        <v>https://i0.hdslb.com/bfs/station_src/music_metadata/07d2d6236c11df800e575eecd6067154.jpg</v>
      </c>
      <c r="P1193" s="4" t="str">
        <f ca="1">_xlfn.IFNA(VLOOKUP(INDIRECT("G"&amp;ROW()),minfo!$A:$M,COLUMN()-8,0),"")</f>
        <v>https://i0.hdslb.com/bfs/station_src/music_metadata/5406b67c957e089e55ffe0094ebbbcac.txt</v>
      </c>
      <c r="Q1193" s="4">
        <f ca="1">_xlfn.IFNA(VLOOKUP(INDIRECT("G"&amp;ROW()),minfo!$A:$M,COLUMN()-8,0),"")</f>
        <v>3</v>
      </c>
      <c r="R1193" s="4">
        <f ca="1">_xlfn.IFNA(VLOOKUP(INDIRECT("G"&amp;ROW()),minfo!$A:$M,COLUMN()-8,0),"")</f>
        <v>0</v>
      </c>
      <c r="S1193" s="4" t="str">
        <f ca="1">_xlfn.IFNA(VLOOKUP(INDIRECT("G"&amp;ROW()),minfo!$A:$M,COLUMN()-8,0),"")</f>
        <v>我好想你/我好恨你</v>
      </c>
      <c r="T1193" s="4">
        <f ca="1">_xlfn.IFNA(VLOOKUP(INDIRECT("G"&amp;ROW()),minfo!$A:$M,COLUMN()-8,0),"")</f>
        <v>379480</v>
      </c>
      <c r="U1193" s="4">
        <f ca="1">_xlfn.IFNA(VLOOKUP(INDIRECT("G"&amp;ROW()),minfo!$A:$M,COLUMN()-8,0),"")</f>
        <v>0</v>
      </c>
    </row>
    <row r="1194" spans="1:21" ht="15.75" customHeight="1">
      <c r="A1194" s="15">
        <v>1193</v>
      </c>
      <c r="B1194" s="4" t="s">
        <v>4807</v>
      </c>
      <c r="C1194" s="4">
        <v>1194</v>
      </c>
      <c r="D1194" s="4">
        <v>36</v>
      </c>
      <c r="E1194" s="4" t="s">
        <v>2617</v>
      </c>
      <c r="F1194" s="16">
        <v>44845</v>
      </c>
      <c r="G1194" s="5" t="s">
        <v>2616</v>
      </c>
      <c r="H1194" s="5" t="s">
        <v>4770</v>
      </c>
      <c r="I1194" s="24" t="str">
        <f>HYPERLINK("https://www.bilibili.com/video/BV1ie4y1B7SZ?p=36", "BV1ie4y1B7SZ?p=36")</f>
        <v>BV1ie4y1B7SZ?p=36</v>
      </c>
      <c r="J1194" s="4" t="str">
        <f ca="1">_xlfn.IFNA(VLOOKUP(INDIRECT("G"&amp;ROW()),minfo!$A:$M,COLUMN()-8,0),"")</f>
        <v>你</v>
      </c>
      <c r="K1194" s="4" t="str">
        <f ca="1">_xlfn.IFNA(VLOOKUP(INDIRECT("G"&amp;ROW()),minfo!$A:$M,COLUMN()-8,0),"")</f>
        <v>低才生</v>
      </c>
      <c r="L1194" s="4">
        <f ca="1">_xlfn.IFNA(VLOOKUP(INDIRECT("G"&amp;ROW()),minfo!$A:$M,COLUMN()-8,0),"")</f>
        <v>0</v>
      </c>
      <c r="M1194" s="4">
        <f ca="1">_xlfn.IFNA(VLOOKUP(INDIRECT("G"&amp;ROW()),minfo!$A:$M,COLUMN()-8,0),"")</f>
        <v>0</v>
      </c>
      <c r="N1194" s="4">
        <f ca="1">_xlfn.IFNA(VLOOKUP(INDIRECT("G"&amp;ROW()),minfo!$A:$M,COLUMN()-8,0),"")</f>
        <v>0</v>
      </c>
      <c r="O1194" s="4" t="str">
        <f ca="1">_xlfn.IFNA(VLOOKUP(INDIRECT("G"&amp;ROW()),minfo!$A:$M,COLUMN()-8,0),"")</f>
        <v>https://i0.hdslb.com/bfs/station_src/music_metadata/e461d01c27eebdf680b9228d6dfda257.jpg</v>
      </c>
      <c r="P1194" s="4" t="str">
        <f ca="1">_xlfn.IFNA(VLOOKUP(INDIRECT("G"&amp;ROW()),minfo!$A:$M,COLUMN()-8,0),"")</f>
        <v>https://i0.hdslb.com/bfs/station_src/music_metadata/3892f4dbd4e598884747077ea7332c22.txt</v>
      </c>
      <c r="Q1194" s="4">
        <f ca="1">_xlfn.IFNA(VLOOKUP(INDIRECT("G"&amp;ROW()),minfo!$A:$M,COLUMN()-8,0),"")</f>
        <v>0</v>
      </c>
      <c r="R1194" s="4">
        <f ca="1">_xlfn.IFNA(VLOOKUP(INDIRECT("G"&amp;ROW()),minfo!$A:$M,COLUMN()-8,0),"")</f>
        <v>0</v>
      </c>
      <c r="S1194" s="4" t="str">
        <f ca="1">_xlfn.IFNA(VLOOKUP(INDIRECT("G"&amp;ROW()),minfo!$A:$M,COLUMN()-8,0),"")</f>
        <v>阿七</v>
      </c>
      <c r="T1194" s="4">
        <f ca="1">_xlfn.IFNA(VLOOKUP(INDIRECT("G"&amp;ROW()),minfo!$A:$M,COLUMN()-8,0),"")</f>
        <v>1282697</v>
      </c>
      <c r="U1194" s="4">
        <f ca="1">_xlfn.IFNA(VLOOKUP(INDIRECT("G"&amp;ROW()),minfo!$A:$M,COLUMN()-8,0),"")</f>
        <v>0</v>
      </c>
    </row>
    <row r="1195" spans="1:21" ht="15.75" customHeight="1">
      <c r="A1195" s="15">
        <v>1194</v>
      </c>
      <c r="B1195" s="4" t="s">
        <v>4808</v>
      </c>
      <c r="C1195" s="4">
        <v>1195</v>
      </c>
      <c r="D1195" s="4">
        <v>37</v>
      </c>
      <c r="E1195" s="4" t="s">
        <v>754</v>
      </c>
      <c r="F1195" s="16">
        <v>44847</v>
      </c>
      <c r="G1195" s="5" t="s">
        <v>753</v>
      </c>
      <c r="H1195" s="5" t="s">
        <v>4770</v>
      </c>
      <c r="I1195" s="24" t="str">
        <f>HYPERLINK("https://www.bilibili.com/video/BV1ie4y1B7SZ?p=37", "BV1ie4y1B7SZ?p=37")</f>
        <v>BV1ie4y1B7SZ?p=37</v>
      </c>
      <c r="J1195" s="4" t="str">
        <f ca="1">_xlfn.IFNA(VLOOKUP(INDIRECT("G"&amp;ROW()),minfo!$A:$M,COLUMN()-8,0),"")</f>
        <v>台风</v>
      </c>
      <c r="K1195" s="4" t="str">
        <f ca="1">_xlfn.IFNA(VLOOKUP(INDIRECT("G"&amp;ROW()),minfo!$A:$M,COLUMN()-8,0),"")</f>
        <v>郁一凡</v>
      </c>
      <c r="L1195" s="4">
        <f ca="1">_xlfn.IFNA(VLOOKUP(INDIRECT("G"&amp;ROW()),minfo!$A:$M,COLUMN()-8,0),"")</f>
        <v>0</v>
      </c>
      <c r="M1195" s="4">
        <f ca="1">_xlfn.IFNA(VLOOKUP(INDIRECT("G"&amp;ROW()),minfo!$A:$M,COLUMN()-8,0),"")</f>
        <v>0</v>
      </c>
      <c r="N1195" s="4">
        <f ca="1">_xlfn.IFNA(VLOOKUP(INDIRECT("G"&amp;ROW()),minfo!$A:$M,COLUMN()-8,0),"")</f>
        <v>0</v>
      </c>
      <c r="O1195" s="4" t="str">
        <f ca="1">_xlfn.IFNA(VLOOKUP(INDIRECT("G"&amp;ROW()),minfo!$A:$M,COLUMN()-8,0),"")</f>
        <v>https://i0.hdslb.com/bfs/station_src/music_metadata/e62e120e862336e6b171c835ae52b792.jpg</v>
      </c>
      <c r="P1195" s="4" t="str">
        <f ca="1">_xlfn.IFNA(VLOOKUP(INDIRECT("G"&amp;ROW()),minfo!$A:$M,COLUMN()-8,0),"")</f>
        <v>https://i0.hdslb.com/bfs/station_src/music_metadata/4025503f8f2dced9cfa0f785fcbd250a.txt</v>
      </c>
      <c r="Q1195" s="4">
        <f ca="1">_xlfn.IFNA(VLOOKUP(INDIRECT("G"&amp;ROW()),minfo!$A:$M,COLUMN()-8,0),"")</f>
        <v>18</v>
      </c>
      <c r="R1195" s="4">
        <f ca="1">_xlfn.IFNA(VLOOKUP(INDIRECT("G"&amp;ROW()),minfo!$A:$M,COLUMN()-8,0),"")</f>
        <v>0</v>
      </c>
      <c r="S1195" s="4" t="str">
        <f ca="1">_xlfn.IFNA(VLOOKUP(INDIRECT("G"&amp;ROW()),minfo!$A:$M,COLUMN()-8,0),"")</f>
        <v>我的音乐你听吗 第2期</v>
      </c>
      <c r="T1195" s="4">
        <f ca="1">_xlfn.IFNA(VLOOKUP(INDIRECT("G"&amp;ROW()),minfo!$A:$M,COLUMN()-8,0),"")</f>
        <v>11454087</v>
      </c>
      <c r="U1195" s="4">
        <f ca="1">_xlfn.IFNA(VLOOKUP(INDIRECT("G"&amp;ROW()),minfo!$A:$M,COLUMN()-8,0),"")</f>
        <v>0</v>
      </c>
    </row>
    <row r="1196" spans="1:21" ht="15.75" customHeight="1">
      <c r="A1196" s="15">
        <v>1195</v>
      </c>
      <c r="B1196" s="4" t="s">
        <v>4809</v>
      </c>
      <c r="C1196" s="4">
        <v>1196</v>
      </c>
      <c r="D1196" s="4">
        <v>38</v>
      </c>
      <c r="E1196" s="4" t="s">
        <v>208</v>
      </c>
      <c r="F1196" s="16">
        <v>44847</v>
      </c>
      <c r="G1196" s="5" t="s">
        <v>207</v>
      </c>
      <c r="H1196" s="5" t="s">
        <v>4770</v>
      </c>
      <c r="I1196" s="24" t="str">
        <f>HYPERLINK("https://www.bilibili.com/video/BV1ie4y1B7SZ?p=38", "BV1ie4y1B7SZ?p=38")</f>
        <v>BV1ie4y1B7SZ?p=38</v>
      </c>
      <c r="J1196" s="4" t="str">
        <f ca="1">_xlfn.IFNA(VLOOKUP(INDIRECT("G"&amp;ROW()),minfo!$A:$M,COLUMN()-8,0),"")</f>
        <v>九万字</v>
      </c>
      <c r="K1196" s="4" t="str">
        <f ca="1">_xlfn.IFNA(VLOOKUP(INDIRECT("G"&amp;ROW()),minfo!$A:$M,COLUMN()-8,0),"")</f>
        <v>黄诗扶</v>
      </c>
      <c r="L1196" s="4">
        <f ca="1">_xlfn.IFNA(VLOOKUP(INDIRECT("G"&amp;ROW()),minfo!$A:$M,COLUMN()-8,0),"")</f>
        <v>0</v>
      </c>
      <c r="M1196" s="4">
        <f ca="1">_xlfn.IFNA(VLOOKUP(INDIRECT("G"&amp;ROW()),minfo!$A:$M,COLUMN()-8,0),"")</f>
        <v>0</v>
      </c>
      <c r="N1196" s="4">
        <f ca="1">_xlfn.IFNA(VLOOKUP(INDIRECT("G"&amp;ROW()),minfo!$A:$M,COLUMN()-8,0),"")</f>
        <v>0</v>
      </c>
      <c r="O1196" s="4" t="str">
        <f ca="1">_xlfn.IFNA(VLOOKUP(INDIRECT("G"&amp;ROW()),minfo!$A:$M,COLUMN()-8,0),"")</f>
        <v>https://i0.hdslb.com/bfs/station_src/music_metadata/83a5f6d1f6977ede1ad685d90a46a593.jpg</v>
      </c>
      <c r="P1196" s="4" t="str">
        <f ca="1">_xlfn.IFNA(VLOOKUP(INDIRECT("G"&amp;ROW()),minfo!$A:$M,COLUMN()-8,0),"")</f>
        <v>http://i0.hdslb.com/bfs/station_src/music_metadata/98ec7b6623082ffe27055a48eaf15a9f</v>
      </c>
      <c r="Q1196" s="4">
        <f ca="1">_xlfn.IFNA(VLOOKUP(INDIRECT("G"&amp;ROW()),minfo!$A:$M,COLUMN()-8,0),"")</f>
        <v>1270</v>
      </c>
      <c r="R1196" s="4">
        <f ca="1">_xlfn.IFNA(VLOOKUP(INDIRECT("G"&amp;ROW()),minfo!$A:$M,COLUMN()-8,0),"")</f>
        <v>0</v>
      </c>
      <c r="S1196" s="4" t="str">
        <f ca="1">_xlfn.IFNA(VLOOKUP(INDIRECT("G"&amp;ROW()),minfo!$A:$M,COLUMN()-8,0),"")</f>
        <v>人间不值得</v>
      </c>
      <c r="T1196" s="4">
        <f ca="1">_xlfn.IFNA(VLOOKUP(INDIRECT("G"&amp;ROW()),minfo!$A:$M,COLUMN()-8,0),"")</f>
        <v>256686027</v>
      </c>
      <c r="U1196" s="4">
        <f ca="1">_xlfn.IFNA(VLOOKUP(INDIRECT("G"&amp;ROW()),minfo!$A:$M,COLUMN()-8,0),"")</f>
        <v>0</v>
      </c>
    </row>
    <row r="1197" spans="1:21" ht="15.75" customHeight="1">
      <c r="A1197" s="15">
        <v>1196</v>
      </c>
      <c r="B1197" s="4" t="s">
        <v>4810</v>
      </c>
      <c r="C1197" s="4">
        <v>1197</v>
      </c>
      <c r="D1197" s="4">
        <v>39</v>
      </c>
      <c r="E1197" s="4" t="s">
        <v>2623</v>
      </c>
      <c r="F1197" s="16">
        <v>44847</v>
      </c>
      <c r="G1197" s="5" t="s">
        <v>2622</v>
      </c>
      <c r="H1197" s="5" t="s">
        <v>4770</v>
      </c>
      <c r="I1197" s="24" t="str">
        <f>HYPERLINK("https://www.bilibili.com/video/BV1ie4y1B7SZ?p=39", "BV1ie4y1B7SZ?p=39")</f>
        <v>BV1ie4y1B7SZ?p=39</v>
      </c>
      <c r="J1197" s="4" t="str">
        <f ca="1">_xlfn.IFNA(VLOOKUP(INDIRECT("G"&amp;ROW()),minfo!$A:$M,COLUMN()-8,0),"")</f>
        <v>蓝眼睛</v>
      </c>
      <c r="K1197" s="4" t="str">
        <f ca="1">_xlfn.IFNA(VLOOKUP(INDIRECT("G"&amp;ROW()),minfo!$A:$M,COLUMN()-8,0),"")</f>
        <v>张韶涵,苏打绿</v>
      </c>
      <c r="L1197" s="4">
        <f ca="1">_xlfn.IFNA(VLOOKUP(INDIRECT("G"&amp;ROW()),minfo!$A:$M,COLUMN()-8,0),"")</f>
        <v>0</v>
      </c>
      <c r="M1197" s="4">
        <f ca="1">_xlfn.IFNA(VLOOKUP(INDIRECT("G"&amp;ROW()),minfo!$A:$M,COLUMN()-8,0),"")</f>
        <v>0</v>
      </c>
      <c r="N1197" s="4">
        <f ca="1">_xlfn.IFNA(VLOOKUP(INDIRECT("G"&amp;ROW()),minfo!$A:$M,COLUMN()-8,0),"")</f>
        <v>0</v>
      </c>
      <c r="O1197" s="4" t="str">
        <f ca="1">_xlfn.IFNA(VLOOKUP(INDIRECT("G"&amp;ROW()),minfo!$A:$M,COLUMN()-8,0),"")</f>
        <v>https://i0.hdslb.com/bfs/station_src/music_metadata/0de9a5b749cdf538b8d77be5c12be0f7.jpg</v>
      </c>
      <c r="P1197" s="4" t="str">
        <f ca="1">_xlfn.IFNA(VLOOKUP(INDIRECT("G"&amp;ROW()),minfo!$A:$M,COLUMN()-8,0),"")</f>
        <v>https://i0.hdslb.com/bfs/station_src/music_metadata/4fddaec45c983582e65894c26c294d3d.txt</v>
      </c>
      <c r="Q1197" s="4">
        <f ca="1">_xlfn.IFNA(VLOOKUP(INDIRECT("G"&amp;ROW()),minfo!$A:$M,COLUMN()-8,0),"")</f>
        <v>4</v>
      </c>
      <c r="R1197" s="4">
        <f ca="1">_xlfn.IFNA(VLOOKUP(INDIRECT("G"&amp;ROW()),minfo!$A:$M,COLUMN()-8,0),"")</f>
        <v>0</v>
      </c>
      <c r="S1197" s="4" t="str">
        <f ca="1">_xlfn.IFNA(VLOOKUP(INDIRECT("G"&amp;ROW()),minfo!$A:$M,COLUMN()-8,0),"")</f>
        <v>蓝眼睛</v>
      </c>
      <c r="T1197" s="4">
        <f ca="1">_xlfn.IFNA(VLOOKUP(INDIRECT("G"&amp;ROW()),minfo!$A:$M,COLUMN()-8,0),"")</f>
        <v>3366421</v>
      </c>
      <c r="U1197" s="4">
        <f ca="1">_xlfn.IFNA(VLOOKUP(INDIRECT("G"&amp;ROW()),minfo!$A:$M,COLUMN()-8,0),"")</f>
        <v>0</v>
      </c>
    </row>
    <row r="1198" spans="1:21" ht="15.75" customHeight="1">
      <c r="A1198" s="15">
        <v>1197</v>
      </c>
      <c r="B1198" s="4" t="s">
        <v>4811</v>
      </c>
      <c r="C1198" s="4">
        <v>1198</v>
      </c>
      <c r="D1198" s="4">
        <v>40</v>
      </c>
      <c r="E1198" s="4" t="s">
        <v>711</v>
      </c>
      <c r="F1198" s="16">
        <v>44847</v>
      </c>
      <c r="G1198" s="5" t="s">
        <v>2051</v>
      </c>
      <c r="H1198" s="5" t="s">
        <v>4770</v>
      </c>
      <c r="I1198" s="24" t="str">
        <f>HYPERLINK("https://www.bilibili.com/video/BV1ie4y1B7SZ?p=40", "BV1ie4y1B7SZ?p=40")</f>
        <v>BV1ie4y1B7SZ?p=40</v>
      </c>
      <c r="J1198" s="4" t="str">
        <f ca="1">_xlfn.IFNA(VLOOKUP(INDIRECT("G"&amp;ROW()),minfo!$A:$M,COLUMN()-8,0),"")</f>
        <v>阿刁</v>
      </c>
      <c r="K1198" s="4" t="str">
        <f ca="1">_xlfn.IFNA(VLOOKUP(INDIRECT("G"&amp;ROW()),minfo!$A:$M,COLUMN()-8,0),"")</f>
        <v>张韶涵</v>
      </c>
      <c r="L1198" s="4">
        <f ca="1">_xlfn.IFNA(VLOOKUP(INDIRECT("G"&amp;ROW()),minfo!$A:$M,COLUMN()-8,0),"")</f>
        <v>0</v>
      </c>
      <c r="M1198" s="4">
        <f ca="1">_xlfn.IFNA(VLOOKUP(INDIRECT("G"&amp;ROW()),minfo!$A:$M,COLUMN()-8,0),"")</f>
        <v>0</v>
      </c>
      <c r="N1198" s="4">
        <f ca="1">_xlfn.IFNA(VLOOKUP(INDIRECT("G"&amp;ROW()),minfo!$A:$M,COLUMN()-8,0),"")</f>
        <v>0</v>
      </c>
      <c r="O1198" s="4" t="str">
        <f ca="1">_xlfn.IFNA(VLOOKUP(INDIRECT("G"&amp;ROW()),minfo!$A:$M,COLUMN()-8,0),"")</f>
        <v>https://i0.hdslb.com/bfs/station_src/music_metadata/6c24faf59e5fa21424cc5032ad5bcef5.jpg</v>
      </c>
      <c r="P1198" s="4" t="str">
        <f ca="1">_xlfn.IFNA(VLOOKUP(INDIRECT("G"&amp;ROW()),minfo!$A:$M,COLUMN()-8,0),"")</f>
        <v>https://i0.hdslb.com/bfs/station_src/music_metadata/de8d4d08b4e50ba36afa87d4c2a63d1e.txt</v>
      </c>
      <c r="Q1198" s="4">
        <f ca="1">_xlfn.IFNA(VLOOKUP(INDIRECT("G"&amp;ROW()),minfo!$A:$M,COLUMN()-8,0),"")</f>
        <v>13</v>
      </c>
      <c r="R1198" s="4">
        <f ca="1">_xlfn.IFNA(VLOOKUP(INDIRECT("G"&amp;ROW()),minfo!$A:$M,COLUMN()-8,0),"")</f>
        <v>0</v>
      </c>
      <c r="S1198" s="4" t="str">
        <f ca="1">_xlfn.IFNA(VLOOKUP(INDIRECT("G"&amp;ROW()),minfo!$A:$M,COLUMN()-8,0),"")</f>
        <v>阿刁（翻张韶涵版本）</v>
      </c>
      <c r="T1198" s="4">
        <f ca="1">_xlfn.IFNA(VLOOKUP(INDIRECT("G"&amp;ROW()),minfo!$A:$M,COLUMN()-8,0),"")</f>
        <v>69550159</v>
      </c>
      <c r="U1198" s="4">
        <f ca="1">_xlfn.IFNA(VLOOKUP(INDIRECT("G"&amp;ROW()),minfo!$A:$M,COLUMN()-8,0),"")</f>
        <v>0</v>
      </c>
    </row>
    <row r="1199" spans="1:21" ht="15.75" customHeight="1">
      <c r="A1199" s="15">
        <v>1198</v>
      </c>
      <c r="B1199" s="4" t="s">
        <v>4812</v>
      </c>
      <c r="C1199" s="4">
        <v>1199</v>
      </c>
      <c r="D1199" s="4">
        <v>41</v>
      </c>
      <c r="E1199" s="4" t="s">
        <v>716</v>
      </c>
      <c r="F1199" s="16">
        <v>44847</v>
      </c>
      <c r="G1199" s="5" t="s">
        <v>715</v>
      </c>
      <c r="H1199" s="5" t="s">
        <v>4770</v>
      </c>
      <c r="I1199" s="24" t="str">
        <f>HYPERLINK("https://www.bilibili.com/video/BV1ie4y1B7SZ?p=41", "BV1ie4y1B7SZ?p=41")</f>
        <v>BV1ie4y1B7SZ?p=41</v>
      </c>
      <c r="J1199" s="4" t="str">
        <f ca="1">_xlfn.IFNA(VLOOKUP(INDIRECT("G"&amp;ROW()),minfo!$A:$M,COLUMN()-8,0),"")</f>
        <v>梦里花</v>
      </c>
      <c r="K1199" s="4" t="str">
        <f ca="1">_xlfn.IFNA(VLOOKUP(INDIRECT("G"&amp;ROW()),minfo!$A:$M,COLUMN()-8,0),"")</f>
        <v>张韶涵</v>
      </c>
      <c r="L1199" s="4">
        <f ca="1">_xlfn.IFNA(VLOOKUP(INDIRECT("G"&amp;ROW()),minfo!$A:$M,COLUMN()-8,0),"")</f>
        <v>0</v>
      </c>
      <c r="M1199" s="4">
        <f ca="1">_xlfn.IFNA(VLOOKUP(INDIRECT("G"&amp;ROW()),minfo!$A:$M,COLUMN()-8,0),"")</f>
        <v>0</v>
      </c>
      <c r="N1199" s="4">
        <f ca="1">_xlfn.IFNA(VLOOKUP(INDIRECT("G"&amp;ROW()),minfo!$A:$M,COLUMN()-8,0),"")</f>
        <v>0</v>
      </c>
      <c r="O1199" s="4" t="str">
        <f ca="1">_xlfn.IFNA(VLOOKUP(INDIRECT("G"&amp;ROW()),minfo!$A:$M,COLUMN()-8,0),"")</f>
        <v>https://i0.hdslb.com/bfs/station_src/music_metadata/371c7789b9d6392ec0e4f64347fe10b7.jpg</v>
      </c>
      <c r="P1199" s="4" t="str">
        <f ca="1">_xlfn.IFNA(VLOOKUP(INDIRECT("G"&amp;ROW()),minfo!$A:$M,COLUMN()-8,0),"")</f>
        <v>https://i0.hdslb.com/bfs/station_src/music_metadata/107ce5fdef68e361b024d6e36ead18fb.txt</v>
      </c>
      <c r="Q1199" s="4">
        <f ca="1">_xlfn.IFNA(VLOOKUP(INDIRECT("G"&amp;ROW()),minfo!$A:$M,COLUMN()-8,0),"")</f>
        <v>2669</v>
      </c>
      <c r="R1199" s="4">
        <f ca="1">_xlfn.IFNA(VLOOKUP(INDIRECT("G"&amp;ROW()),minfo!$A:$M,COLUMN()-8,0),"")</f>
        <v>0</v>
      </c>
      <c r="S1199" s="4" t="str">
        <f ca="1">_xlfn.IFNA(VLOOKUP(INDIRECT("G"&amp;ROW()),minfo!$A:$M,COLUMN()-8,0),"")</f>
        <v>梦里花</v>
      </c>
      <c r="T1199" s="4">
        <f ca="1">_xlfn.IFNA(VLOOKUP(INDIRECT("G"&amp;ROW()),minfo!$A:$M,COLUMN()-8,0),"")</f>
        <v>157739697</v>
      </c>
      <c r="U1199" s="4">
        <f ca="1">_xlfn.IFNA(VLOOKUP(INDIRECT("G"&amp;ROW()),minfo!$A:$M,COLUMN()-8,0),"")</f>
        <v>0</v>
      </c>
    </row>
    <row r="1200" spans="1:21" ht="15.75" customHeight="1">
      <c r="A1200" s="15">
        <v>1199</v>
      </c>
      <c r="B1200" s="4" t="s">
        <v>4813</v>
      </c>
      <c r="C1200" s="4">
        <v>1200</v>
      </c>
      <c r="D1200" s="4">
        <v>42</v>
      </c>
      <c r="E1200" s="4" t="s">
        <v>1229</v>
      </c>
      <c r="F1200" s="16">
        <v>44847</v>
      </c>
      <c r="G1200" s="5" t="s">
        <v>1228</v>
      </c>
      <c r="H1200" s="5" t="s">
        <v>4770</v>
      </c>
      <c r="I1200" s="24" t="str">
        <f>HYPERLINK("https://www.bilibili.com/video/BV1ie4y1B7SZ?p=42", "BV1ie4y1B7SZ?p=42")</f>
        <v>BV1ie4y1B7SZ?p=42</v>
      </c>
      <c r="J1200" s="4" t="str">
        <f ca="1">_xlfn.IFNA(VLOOKUP(INDIRECT("G"&amp;ROW()),minfo!$A:$M,COLUMN()-8,0),"")</f>
        <v>昨日青空</v>
      </c>
      <c r="K1200" s="4" t="str">
        <f ca="1">_xlfn.IFNA(VLOOKUP(INDIRECT("G"&amp;ROW()),minfo!$A:$M,COLUMN()-8,0),"")</f>
        <v>尤长靖</v>
      </c>
      <c r="L1200" s="4">
        <f ca="1">_xlfn.IFNA(VLOOKUP(INDIRECT("G"&amp;ROW()),minfo!$A:$M,COLUMN()-8,0),"")</f>
        <v>0</v>
      </c>
      <c r="M1200" s="4">
        <f ca="1">_xlfn.IFNA(VLOOKUP(INDIRECT("G"&amp;ROW()),minfo!$A:$M,COLUMN()-8,0),"")</f>
        <v>0</v>
      </c>
      <c r="N1200" s="4">
        <f ca="1">_xlfn.IFNA(VLOOKUP(INDIRECT("G"&amp;ROW()),minfo!$A:$M,COLUMN()-8,0),"")</f>
        <v>0</v>
      </c>
      <c r="O1200" s="4" t="str">
        <f ca="1">_xlfn.IFNA(VLOOKUP(INDIRECT("G"&amp;ROW()),minfo!$A:$M,COLUMN()-8,0),"")</f>
        <v>https://i0.hdslb.com/bfs/station_src/music_metadata/abc73110210c595e7074ddc5a01dd754.jpg</v>
      </c>
      <c r="P1200" s="4" t="str">
        <f ca="1">_xlfn.IFNA(VLOOKUP(INDIRECT("G"&amp;ROW()),minfo!$A:$M,COLUMN()-8,0),"")</f>
        <v>http://i0.hdslb.com/bfs/station_src/music_metadata/042fb26c880b233a48dc106af6e82bca</v>
      </c>
      <c r="Q1200" s="4">
        <f ca="1">_xlfn.IFNA(VLOOKUP(INDIRECT("G"&amp;ROW()),minfo!$A:$M,COLUMN()-8,0),"")</f>
        <v>558</v>
      </c>
      <c r="R1200" s="4" t="str">
        <f ca="1">_xlfn.IFNA(VLOOKUP(INDIRECT("G"&amp;ROW()),minfo!$A:$M,COLUMN()-8,0),"")</f>
        <v>《昨日青空》电影同名青春主题曲</v>
      </c>
      <c r="S1200" s="4" t="str">
        <f ca="1">_xlfn.IFNA(VLOOKUP(INDIRECT("G"&amp;ROW()),minfo!$A:$M,COLUMN()-8,0),"")</f>
        <v>昨日青空</v>
      </c>
      <c r="T1200" s="4">
        <f ca="1">_xlfn.IFNA(VLOOKUP(INDIRECT("G"&amp;ROW()),minfo!$A:$M,COLUMN()-8,0),"")</f>
        <v>70470580</v>
      </c>
      <c r="U1200" s="4">
        <f ca="1">_xlfn.IFNA(VLOOKUP(INDIRECT("G"&amp;ROW()),minfo!$A:$M,COLUMN()-8,0),"")</f>
        <v>0</v>
      </c>
    </row>
    <row r="1201" spans="1:21" ht="15.75" customHeight="1">
      <c r="A1201" s="15">
        <v>1200</v>
      </c>
      <c r="B1201" s="4" t="s">
        <v>4814</v>
      </c>
      <c r="C1201" s="4">
        <v>1201</v>
      </c>
      <c r="D1201" s="4">
        <v>43</v>
      </c>
      <c r="E1201" s="4" t="s">
        <v>530</v>
      </c>
      <c r="F1201" s="16">
        <v>44847</v>
      </c>
      <c r="G1201" s="5" t="s">
        <v>529</v>
      </c>
      <c r="H1201" s="5" t="s">
        <v>4770</v>
      </c>
      <c r="I1201" s="24" t="str">
        <f>HYPERLINK("https://www.bilibili.com/video/BV1ie4y1B7SZ?p=43", "BV1ie4y1B7SZ?p=43")</f>
        <v>BV1ie4y1B7SZ?p=43</v>
      </c>
      <c r="J1201" s="4" t="str">
        <f ca="1">_xlfn.IFNA(VLOOKUP(INDIRECT("G"&amp;ROW()),minfo!$A:$M,COLUMN()-8,0),"")</f>
        <v>身骑白马</v>
      </c>
      <c r="K1201" s="4" t="str">
        <f ca="1">_xlfn.IFNA(VLOOKUP(INDIRECT("G"&amp;ROW()),minfo!$A:$M,COLUMN()-8,0),"")</f>
        <v>徐佳莹</v>
      </c>
      <c r="L1201" s="4">
        <f ca="1">_xlfn.IFNA(VLOOKUP(INDIRECT("G"&amp;ROW()),minfo!$A:$M,COLUMN()-8,0),"")</f>
        <v>0</v>
      </c>
      <c r="M1201" s="4">
        <f ca="1">_xlfn.IFNA(VLOOKUP(INDIRECT("G"&amp;ROW()),minfo!$A:$M,COLUMN()-8,0),"")</f>
        <v>0</v>
      </c>
      <c r="N1201" s="4">
        <f ca="1">_xlfn.IFNA(VLOOKUP(INDIRECT("G"&amp;ROW()),minfo!$A:$M,COLUMN()-8,0),"")</f>
        <v>0</v>
      </c>
      <c r="O1201" s="4" t="str">
        <f ca="1">_xlfn.IFNA(VLOOKUP(INDIRECT("G"&amp;ROW()),minfo!$A:$M,COLUMN()-8,0),"")</f>
        <v>http://i0.hdslb.com/bfs/station_src/music_metadata/5309866334d8550fdb4abccc389a5193.jpg</v>
      </c>
      <c r="P1201" s="4" t="str">
        <f ca="1">_xlfn.IFNA(VLOOKUP(INDIRECT("G"&amp;ROW()),minfo!$A:$M,COLUMN()-8,0),"")</f>
        <v>http://i0.hdslb.com/bfs/station_src/music_metadata/54d4cd6cf66cfb9eadbebde296a31478</v>
      </c>
      <c r="Q1201" s="4">
        <f ca="1">_xlfn.IFNA(VLOOKUP(INDIRECT("G"&amp;ROW()),minfo!$A:$M,COLUMN()-8,0),"")</f>
        <v>1245</v>
      </c>
      <c r="R1201" s="4">
        <f ca="1">_xlfn.IFNA(VLOOKUP(INDIRECT("G"&amp;ROW()),minfo!$A:$M,COLUMN()-8,0),"")</f>
        <v>0</v>
      </c>
      <c r="S1201" s="4" t="str">
        <f ca="1">_xlfn.IFNA(VLOOKUP(INDIRECT("G"&amp;ROW()),minfo!$A:$M,COLUMN()-8,0),"")</f>
        <v>LaLa首张创作专辑</v>
      </c>
      <c r="T1201" s="4">
        <f ca="1">_xlfn.IFNA(VLOOKUP(INDIRECT("G"&amp;ROW()),minfo!$A:$M,COLUMN()-8,0),"")</f>
        <v>198103765</v>
      </c>
      <c r="U1201" s="4" t="str">
        <f ca="1">_xlfn.IFNA(VLOOKUP(INDIRECT("G"&amp;ROW()),minfo!$A:$M,COLUMN()-8,0),"")</f>
        <v>音乐榜最高NO.10</v>
      </c>
    </row>
    <row r="1202" spans="1:21" ht="15.75" customHeight="1">
      <c r="A1202" s="15">
        <v>1201</v>
      </c>
      <c r="B1202" s="4" t="s">
        <v>4815</v>
      </c>
      <c r="C1202" s="4">
        <v>1202</v>
      </c>
      <c r="D1202" s="4">
        <v>44</v>
      </c>
      <c r="E1202" s="4" t="s">
        <v>1245</v>
      </c>
      <c r="F1202" s="16">
        <v>44848</v>
      </c>
      <c r="G1202" s="5" t="s">
        <v>1244</v>
      </c>
      <c r="H1202" s="5" t="s">
        <v>4770</v>
      </c>
      <c r="I1202" s="24" t="str">
        <f>HYPERLINK("https://www.bilibili.com/video/BV1ie4y1B7SZ?p=44", "BV1ie4y1B7SZ?p=44")</f>
        <v>BV1ie4y1B7SZ?p=44</v>
      </c>
      <c r="J1202" s="4" t="str">
        <f ca="1">_xlfn.IFNA(VLOOKUP(INDIRECT("G"&amp;ROW()),minfo!$A:$M,COLUMN()-8,0),"")</f>
        <v>迷迭香</v>
      </c>
      <c r="K1202" s="4" t="str">
        <f ca="1">_xlfn.IFNA(VLOOKUP(INDIRECT("G"&amp;ROW()),minfo!$A:$M,COLUMN()-8,0),"")</f>
        <v>周杰伦</v>
      </c>
      <c r="L1202" s="4">
        <f ca="1">_xlfn.IFNA(VLOOKUP(INDIRECT("G"&amp;ROW()),minfo!$A:$M,COLUMN()-8,0),"")</f>
        <v>0</v>
      </c>
      <c r="M1202" s="4">
        <f ca="1">_xlfn.IFNA(VLOOKUP(INDIRECT("G"&amp;ROW()),minfo!$A:$M,COLUMN()-8,0),"")</f>
        <v>0</v>
      </c>
      <c r="N1202" s="4">
        <f ca="1">_xlfn.IFNA(VLOOKUP(INDIRECT("G"&amp;ROW()),minfo!$A:$M,COLUMN()-8,0),"")</f>
        <v>0</v>
      </c>
      <c r="O1202" s="4" t="str">
        <f ca="1">_xlfn.IFNA(VLOOKUP(INDIRECT("G"&amp;ROW()),minfo!$A:$M,COLUMN()-8,0),"")</f>
        <v>http://i0.hdslb.com/bfs/station_src/music_metadata/0926861efce67153beddcc1bf5676937.jpg</v>
      </c>
      <c r="P1202" s="4" t="str">
        <f ca="1">_xlfn.IFNA(VLOOKUP(INDIRECT("G"&amp;ROW()),minfo!$A:$M,COLUMN()-8,0),"")</f>
        <v>http://i0.hdslb.com/bfs/station_src/music_metadata/fd3c3fade748fdd9e948719c9ad02b33</v>
      </c>
      <c r="Q1202" s="4">
        <f ca="1">_xlfn.IFNA(VLOOKUP(INDIRECT("G"&amp;ROW()),minfo!$A:$M,COLUMN()-8,0),"")</f>
        <v>566</v>
      </c>
      <c r="R1202" s="4">
        <f ca="1">_xlfn.IFNA(VLOOKUP(INDIRECT("G"&amp;ROW()),minfo!$A:$M,COLUMN()-8,0),"")</f>
        <v>0</v>
      </c>
      <c r="S1202" s="4" t="str">
        <f ca="1">_xlfn.IFNA(VLOOKUP(INDIRECT("G"&amp;ROW()),minfo!$A:$M,COLUMN()-8,0),"")</f>
        <v>依然范特西</v>
      </c>
      <c r="T1202" s="4">
        <f ca="1">_xlfn.IFNA(VLOOKUP(INDIRECT("G"&amp;ROW()),minfo!$A:$M,COLUMN()-8,0),"")</f>
        <v>295581552</v>
      </c>
      <c r="U1202" s="4">
        <f ca="1">_xlfn.IFNA(VLOOKUP(INDIRECT("G"&amp;ROW()),minfo!$A:$M,COLUMN()-8,0),"")</f>
        <v>0</v>
      </c>
    </row>
    <row r="1203" spans="1:21" ht="15.75" customHeight="1">
      <c r="A1203" s="15">
        <v>1202</v>
      </c>
      <c r="B1203" s="4" t="s">
        <v>4816</v>
      </c>
      <c r="C1203" s="4">
        <v>1203</v>
      </c>
      <c r="D1203" s="4">
        <v>45</v>
      </c>
      <c r="E1203" s="4" t="s">
        <v>1102</v>
      </c>
      <c r="F1203" s="16">
        <v>44849</v>
      </c>
      <c r="G1203" s="5" t="s">
        <v>1101</v>
      </c>
      <c r="H1203" s="5" t="s">
        <v>4770</v>
      </c>
      <c r="I1203" s="24" t="str">
        <f>HYPERLINK("https://www.bilibili.com/video/BV1ie4y1B7SZ?p=45", "BV1ie4y1B7SZ?p=45")</f>
        <v>BV1ie4y1B7SZ?p=45</v>
      </c>
      <c r="J1203" s="4" t="str">
        <f ca="1">_xlfn.IFNA(VLOOKUP(INDIRECT("G"&amp;ROW()),minfo!$A:$M,COLUMN()-8,0),"")</f>
        <v>一生等你</v>
      </c>
      <c r="K1203" s="4" t="str">
        <f ca="1">_xlfn.IFNA(VLOOKUP(INDIRECT("G"&amp;ROW()),minfo!$A:$M,COLUMN()-8,0),"")</f>
        <v>袁娅维TIA RAY</v>
      </c>
      <c r="L1203" s="4">
        <f ca="1">_xlfn.IFNA(VLOOKUP(INDIRECT("G"&amp;ROW()),minfo!$A:$M,COLUMN()-8,0),"")</f>
        <v>0</v>
      </c>
      <c r="M1203" s="4">
        <f ca="1">_xlfn.IFNA(VLOOKUP(INDIRECT("G"&amp;ROW()),minfo!$A:$M,COLUMN()-8,0),"")</f>
        <v>0</v>
      </c>
      <c r="N1203" s="4">
        <f ca="1">_xlfn.IFNA(VLOOKUP(INDIRECT("G"&amp;ROW()),minfo!$A:$M,COLUMN()-8,0),"")</f>
        <v>0</v>
      </c>
      <c r="O1203" s="4" t="str">
        <f ca="1">_xlfn.IFNA(VLOOKUP(INDIRECT("G"&amp;ROW()),minfo!$A:$M,COLUMN()-8,0),"")</f>
        <v>http://i0.hdslb.com/bfs/station_src/music_metadata/6b290dc35e11386d12c150c4f46c485e.jpg</v>
      </c>
      <c r="P1203" s="4">
        <f ca="1">_xlfn.IFNA(VLOOKUP(INDIRECT("G"&amp;ROW()),minfo!$A:$M,COLUMN()-8,0),"")</f>
        <v>0</v>
      </c>
      <c r="Q1203" s="4">
        <f ca="1">_xlfn.IFNA(VLOOKUP(INDIRECT("G"&amp;ROW()),minfo!$A:$M,COLUMN()-8,0),"")</f>
        <v>541</v>
      </c>
      <c r="R1203" s="4" t="str">
        <f ca="1">_xlfn.IFNA(VLOOKUP(INDIRECT("G"&amp;ROW()),minfo!$A:$M,COLUMN()-8,0),"")</f>
        <v>《媚者无疆》电视剧主题曲</v>
      </c>
      <c r="S1203" s="4" t="str">
        <f ca="1">_xlfn.IFNA(VLOOKUP(INDIRECT("G"&amp;ROW()),minfo!$A:$M,COLUMN()-8,0),"")</f>
        <v>媚者无疆 电视剧原声带</v>
      </c>
      <c r="T1203" s="4">
        <f ca="1">_xlfn.IFNA(VLOOKUP(INDIRECT("G"&amp;ROW()),minfo!$A:$M,COLUMN()-8,0),"")</f>
        <v>100001088</v>
      </c>
      <c r="U1203" s="4">
        <f ca="1">_xlfn.IFNA(VLOOKUP(INDIRECT("G"&amp;ROW()),minfo!$A:$M,COLUMN()-8,0),"")</f>
        <v>0</v>
      </c>
    </row>
    <row r="1204" spans="1:21" ht="15.75" customHeight="1">
      <c r="A1204" s="15">
        <v>1203</v>
      </c>
      <c r="B1204" s="4" t="s">
        <v>4817</v>
      </c>
      <c r="C1204" s="4">
        <v>1204</v>
      </c>
      <c r="D1204" s="4">
        <v>46</v>
      </c>
      <c r="E1204" s="4" t="s">
        <v>1005</v>
      </c>
      <c r="F1204" s="16">
        <v>44849</v>
      </c>
      <c r="G1204" s="5" t="s">
        <v>1004</v>
      </c>
      <c r="H1204" s="5" t="s">
        <v>4770</v>
      </c>
      <c r="I1204" s="24" t="str">
        <f>HYPERLINK("https://www.bilibili.com/video/BV1ie4y1B7SZ?p=46", "BV1ie4y1B7SZ?p=46")</f>
        <v>BV1ie4y1B7SZ?p=46</v>
      </c>
      <c r="J1204" s="4" t="str">
        <f ca="1">_xlfn.IFNA(VLOOKUP(INDIRECT("G"&amp;ROW()),minfo!$A:$M,COLUMN()-8,0),"")</f>
        <v>如果有来生</v>
      </c>
      <c r="K1204" s="4" t="str">
        <f ca="1">_xlfn.IFNA(VLOOKUP(INDIRECT("G"&amp;ROW()),minfo!$A:$M,COLUMN()-8,0),"")</f>
        <v>谭维维</v>
      </c>
      <c r="L1204" s="4">
        <f ca="1">_xlfn.IFNA(VLOOKUP(INDIRECT("G"&amp;ROW()),minfo!$A:$M,COLUMN()-8,0),"")</f>
        <v>0</v>
      </c>
      <c r="M1204" s="4">
        <f ca="1">_xlfn.IFNA(VLOOKUP(INDIRECT("G"&amp;ROW()),minfo!$A:$M,COLUMN()-8,0),"")</f>
        <v>0</v>
      </c>
      <c r="N1204" s="4">
        <f ca="1">_xlfn.IFNA(VLOOKUP(INDIRECT("G"&amp;ROW()),minfo!$A:$M,COLUMN()-8,0),"")</f>
        <v>0</v>
      </c>
      <c r="O1204" s="4" t="str">
        <f ca="1">_xlfn.IFNA(VLOOKUP(INDIRECT("G"&amp;ROW()),minfo!$A:$M,COLUMN()-8,0),"")</f>
        <v>https://i0.hdslb.com/bfs/station_src/music_metadata/e2cfe88bc057d9c01d2360f94c6d6006.jpg</v>
      </c>
      <c r="P1204" s="4" t="str">
        <f ca="1">_xlfn.IFNA(VLOOKUP(INDIRECT("G"&amp;ROW()),minfo!$A:$M,COLUMN()-8,0),"")</f>
        <v>https://i0.hdslb.com/bfs/station_src/music_metadata/accd124b120d284323dbfb2e1955f047.txt</v>
      </c>
      <c r="Q1204" s="4">
        <f ca="1">_xlfn.IFNA(VLOOKUP(INDIRECT("G"&amp;ROW()),minfo!$A:$M,COLUMN()-8,0),"")</f>
        <v>251</v>
      </c>
      <c r="R1204" s="4">
        <f ca="1">_xlfn.IFNA(VLOOKUP(INDIRECT("G"&amp;ROW()),minfo!$A:$M,COLUMN()-8,0),"")</f>
        <v>0</v>
      </c>
      <c r="S1204" s="4" t="str">
        <f ca="1">_xlfn.IFNA(VLOOKUP(INDIRECT("G"&amp;ROW()),minfo!$A:$M,COLUMN()-8,0),"")</f>
        <v>谭某某</v>
      </c>
      <c r="T1204" s="4">
        <f ca="1">_xlfn.IFNA(VLOOKUP(INDIRECT("G"&amp;ROW()),minfo!$A:$M,COLUMN()-8,0),"")</f>
        <v>55662569</v>
      </c>
      <c r="U1204" s="4">
        <f ca="1">_xlfn.IFNA(VLOOKUP(INDIRECT("G"&amp;ROW()),minfo!$A:$M,COLUMN()-8,0),"")</f>
        <v>0</v>
      </c>
    </row>
    <row r="1205" spans="1:21" ht="15.75" customHeight="1">
      <c r="A1205" s="15">
        <v>1204</v>
      </c>
      <c r="B1205" s="4" t="s">
        <v>4818</v>
      </c>
      <c r="C1205" s="4">
        <v>1205</v>
      </c>
      <c r="D1205" s="4">
        <v>47</v>
      </c>
      <c r="E1205" s="4" t="s">
        <v>1226</v>
      </c>
      <c r="F1205" s="16">
        <v>44849</v>
      </c>
      <c r="G1205" s="5" t="s">
        <v>1225</v>
      </c>
      <c r="H1205" s="5" t="s">
        <v>4770</v>
      </c>
      <c r="I1205" s="24" t="str">
        <f>HYPERLINK("https://www.bilibili.com/video/BV1ie4y1B7SZ?p=47", "BV1ie4y1B7SZ?p=47")</f>
        <v>BV1ie4y1B7SZ?p=47</v>
      </c>
      <c r="J1205" s="4" t="str">
        <f ca="1">_xlfn.IFNA(VLOOKUP(INDIRECT("G"&amp;ROW()),minfo!$A:$M,COLUMN()-8,0),"")</f>
        <v>你不知道的事</v>
      </c>
      <c r="K1205" s="4" t="str">
        <f ca="1">_xlfn.IFNA(VLOOKUP(INDIRECT("G"&amp;ROW()),minfo!$A:$M,COLUMN()-8,0),"")</f>
        <v>王力宏</v>
      </c>
      <c r="L1205" s="4">
        <f ca="1">_xlfn.IFNA(VLOOKUP(INDIRECT("G"&amp;ROW()),minfo!$A:$M,COLUMN()-8,0),"")</f>
        <v>0</v>
      </c>
      <c r="M1205" s="4">
        <f ca="1">_xlfn.IFNA(VLOOKUP(INDIRECT("G"&amp;ROW()),minfo!$A:$M,COLUMN()-8,0),"")</f>
        <v>547</v>
      </c>
      <c r="N1205" s="4">
        <f ca="1">_xlfn.IFNA(VLOOKUP(INDIRECT("G"&amp;ROW()),minfo!$A:$M,COLUMN()-8,0),"")</f>
        <v>47</v>
      </c>
      <c r="O1205" s="4" t="str">
        <f ca="1">_xlfn.IFNA(VLOOKUP(INDIRECT("G"&amp;ROW()),minfo!$A:$M,COLUMN()-8,0),"")</f>
        <v>http://i1.hdslb.com/bfs/archive/d601f75e582fef1ea0319e5334def584fa16659b.jpg</v>
      </c>
      <c r="P1205" s="4">
        <f ca="1">_xlfn.IFNA(VLOOKUP(INDIRECT("G"&amp;ROW()),minfo!$A:$M,COLUMN()-8,0),"")</f>
        <v>0</v>
      </c>
      <c r="Q1205" s="4">
        <f ca="1">_xlfn.IFNA(VLOOKUP(INDIRECT("G"&amp;ROW()),minfo!$A:$M,COLUMN()-8,0),"")</f>
        <v>157</v>
      </c>
      <c r="R1205" s="4" t="str">
        <f ca="1">_xlfn.IFNA(VLOOKUP(INDIRECT("G"&amp;ROW()),minfo!$A:$M,COLUMN()-8,0),"")</f>
        <v>你不知道的事</v>
      </c>
      <c r="S1205" s="4">
        <f ca="1">_xlfn.IFNA(VLOOKUP(INDIRECT("G"&amp;ROW()),minfo!$A:$M,COLUMN()-8,0),"")</f>
        <v>0</v>
      </c>
      <c r="T1205" s="4">
        <f ca="1">_xlfn.IFNA(VLOOKUP(INDIRECT("G"&amp;ROW()),minfo!$A:$M,COLUMN()-8,0),"")</f>
        <v>96065912</v>
      </c>
      <c r="U1205" s="4">
        <f ca="1">_xlfn.IFNA(VLOOKUP(INDIRECT("G"&amp;ROW()),minfo!$A:$M,COLUMN()-8,0),"")</f>
        <v>0</v>
      </c>
    </row>
    <row r="1206" spans="1:21" ht="15.75" customHeight="1">
      <c r="A1206" s="15">
        <v>1205</v>
      </c>
      <c r="B1206" s="4" t="s">
        <v>4819</v>
      </c>
      <c r="C1206" s="4">
        <v>1206</v>
      </c>
      <c r="D1206" s="4">
        <v>48</v>
      </c>
      <c r="E1206" s="4" t="s">
        <v>706</v>
      </c>
      <c r="F1206" s="16">
        <v>44849</v>
      </c>
      <c r="G1206" s="5" t="s">
        <v>705</v>
      </c>
      <c r="H1206" s="5" t="s">
        <v>4770</v>
      </c>
      <c r="I1206" s="24" t="str">
        <f>HYPERLINK("https://www.bilibili.com/video/BV1ie4y1B7SZ?p=48", "BV1ie4y1B7SZ?p=48")</f>
        <v>BV1ie4y1B7SZ?p=48</v>
      </c>
      <c r="J1206" s="4" t="str">
        <f ca="1">_xlfn.IFNA(VLOOKUP(INDIRECT("G"&amp;ROW()),minfo!$A:$M,COLUMN()-8,0),"")</f>
        <v>易燃易爆炸</v>
      </c>
      <c r="K1206" s="4" t="str">
        <f ca="1">_xlfn.IFNA(VLOOKUP(INDIRECT("G"&amp;ROW()),minfo!$A:$M,COLUMN()-8,0),"")</f>
        <v>陈粒</v>
      </c>
      <c r="L1206" s="4">
        <f ca="1">_xlfn.IFNA(VLOOKUP(INDIRECT("G"&amp;ROW()),minfo!$A:$M,COLUMN()-8,0),"")</f>
        <v>0</v>
      </c>
      <c r="M1206" s="4">
        <f ca="1">_xlfn.IFNA(VLOOKUP(INDIRECT("G"&amp;ROW()),minfo!$A:$M,COLUMN()-8,0),"")</f>
        <v>0</v>
      </c>
      <c r="N1206" s="4">
        <f ca="1">_xlfn.IFNA(VLOOKUP(INDIRECT("G"&amp;ROW()),minfo!$A:$M,COLUMN()-8,0),"")</f>
        <v>0</v>
      </c>
      <c r="O1206" s="4" t="str">
        <f ca="1">_xlfn.IFNA(VLOOKUP(INDIRECT("G"&amp;ROW()),minfo!$A:$M,COLUMN()-8,0),"")</f>
        <v>https://i0.hdslb.com/bfs/station_src/music_metadata/e4e51e2c02608106bb1f72aeac58a8b9.jpg</v>
      </c>
      <c r="P1206" s="4">
        <f ca="1">_xlfn.IFNA(VLOOKUP(INDIRECT("G"&amp;ROW()),minfo!$A:$M,COLUMN()-8,0),"")</f>
        <v>0</v>
      </c>
      <c r="Q1206" s="4">
        <f ca="1">_xlfn.IFNA(VLOOKUP(INDIRECT("G"&amp;ROW()),minfo!$A:$M,COLUMN()-8,0),"")</f>
        <v>1656</v>
      </c>
      <c r="R1206" s="4">
        <f ca="1">_xlfn.IFNA(VLOOKUP(INDIRECT("G"&amp;ROW()),minfo!$A:$M,COLUMN()-8,0),"")</f>
        <v>0</v>
      </c>
      <c r="S1206" s="4" t="str">
        <f ca="1">_xlfn.IFNA(VLOOKUP(INDIRECT("G"&amp;ROW()),minfo!$A:$M,COLUMN()-8,0),"")</f>
        <v>如也</v>
      </c>
      <c r="T1206" s="4">
        <f ca="1">_xlfn.IFNA(VLOOKUP(INDIRECT("G"&amp;ROW()),minfo!$A:$M,COLUMN()-8,0),"")</f>
        <v>409143030</v>
      </c>
      <c r="U1206" s="4">
        <f ca="1">_xlfn.IFNA(VLOOKUP(INDIRECT("G"&amp;ROW()),minfo!$A:$M,COLUMN()-8,0),"")</f>
        <v>0</v>
      </c>
    </row>
    <row r="1207" spans="1:21" ht="15.75" customHeight="1">
      <c r="A1207" s="15">
        <v>1206</v>
      </c>
      <c r="B1207" s="4" t="s">
        <v>4820</v>
      </c>
      <c r="C1207" s="4">
        <v>1207</v>
      </c>
      <c r="D1207" s="4">
        <v>49</v>
      </c>
      <c r="E1207" s="4" t="s">
        <v>2082</v>
      </c>
      <c r="F1207" s="16">
        <v>44849</v>
      </c>
      <c r="G1207" s="5" t="s">
        <v>2081</v>
      </c>
      <c r="H1207" s="5" t="s">
        <v>4770</v>
      </c>
      <c r="I1207" s="24" t="str">
        <f>HYPERLINK("https://www.bilibili.com/video/BV1ie4y1B7SZ?p=49", "BV1ie4y1B7SZ?p=49")</f>
        <v>BV1ie4y1B7SZ?p=49</v>
      </c>
      <c r="J1207" s="4" t="str">
        <f ca="1">_xlfn.IFNA(VLOOKUP(INDIRECT("G"&amp;ROW()),minfo!$A:$M,COLUMN()-8,0),"")</f>
        <v>依然爱你</v>
      </c>
      <c r="K1207" s="4" t="str">
        <f ca="1">_xlfn.IFNA(VLOOKUP(INDIRECT("G"&amp;ROW()),minfo!$A:$M,COLUMN()-8,0),"")</f>
        <v>韩宝仪</v>
      </c>
      <c r="L1207" s="4">
        <f ca="1">_xlfn.IFNA(VLOOKUP(INDIRECT("G"&amp;ROW()),minfo!$A:$M,COLUMN()-8,0),"")</f>
        <v>0</v>
      </c>
      <c r="M1207" s="4">
        <f ca="1">_xlfn.IFNA(VLOOKUP(INDIRECT("G"&amp;ROW()),minfo!$A:$M,COLUMN()-8,0),"")</f>
        <v>0</v>
      </c>
      <c r="N1207" s="4">
        <f ca="1">_xlfn.IFNA(VLOOKUP(INDIRECT("G"&amp;ROW()),minfo!$A:$M,COLUMN()-8,0),"")</f>
        <v>0</v>
      </c>
      <c r="O1207" s="4" t="str">
        <f ca="1">_xlfn.IFNA(VLOOKUP(INDIRECT("G"&amp;ROW()),minfo!$A:$M,COLUMN()-8,0),"")</f>
        <v>https://i0.hdslb.com/bfs/station_src/music_metadata/242392b0da3fcaa10a3784f95a249902.jpg</v>
      </c>
      <c r="P1207" s="4" t="str">
        <f ca="1">_xlfn.IFNA(VLOOKUP(INDIRECT("G"&amp;ROW()),minfo!$A:$M,COLUMN()-8,0),"")</f>
        <v>http://i0.hdslb.com/bfs/station_src/music_metadata/949caec540a59346f0baa126ef4029c8</v>
      </c>
      <c r="Q1207" s="4">
        <f ca="1">_xlfn.IFNA(VLOOKUP(INDIRECT("G"&amp;ROW()),minfo!$A:$M,COLUMN()-8,0),"")</f>
        <v>34</v>
      </c>
      <c r="R1207" s="4">
        <f ca="1">_xlfn.IFNA(VLOOKUP(INDIRECT("G"&amp;ROW()),minfo!$A:$M,COLUMN()-8,0),"")</f>
        <v>0</v>
      </c>
      <c r="S1207" s="4" t="str">
        <f ca="1">_xlfn.IFNA(VLOOKUP(INDIRECT("G"&amp;ROW()),minfo!$A:$M,COLUMN()-8,0),"")</f>
        <v>又见宝仪</v>
      </c>
      <c r="T1207" s="4">
        <f ca="1">_xlfn.IFNA(VLOOKUP(INDIRECT("G"&amp;ROW()),minfo!$A:$M,COLUMN()-8,0),"")</f>
        <v>46570561</v>
      </c>
      <c r="U1207" s="4">
        <f ca="1">_xlfn.IFNA(VLOOKUP(INDIRECT("G"&amp;ROW()),minfo!$A:$M,COLUMN()-8,0),"")</f>
        <v>0</v>
      </c>
    </row>
    <row r="1208" spans="1:21" ht="15.75" customHeight="1">
      <c r="A1208" s="15">
        <v>1207</v>
      </c>
      <c r="B1208" s="4" t="s">
        <v>4821</v>
      </c>
      <c r="C1208" s="4">
        <v>1208</v>
      </c>
      <c r="D1208" s="4">
        <v>50</v>
      </c>
      <c r="E1208" s="4" t="s">
        <v>2628</v>
      </c>
      <c r="F1208" s="16">
        <v>44849</v>
      </c>
      <c r="G1208" s="5" t="s">
        <v>2627</v>
      </c>
      <c r="H1208" s="5" t="s">
        <v>4770</v>
      </c>
      <c r="I1208" s="24" t="str">
        <f>HYPERLINK("https://www.bilibili.com/video/BV1ie4y1B7SZ?p=50", "BV1ie4y1B7SZ?p=50")</f>
        <v>BV1ie4y1B7SZ?p=50</v>
      </c>
      <c r="J1208" s="4" t="str">
        <f ca="1">_xlfn.IFNA(VLOOKUP(INDIRECT("G"&amp;ROW()),minfo!$A:$M,COLUMN()-8,0),"")</f>
        <v>星辰大海</v>
      </c>
      <c r="K1208" s="4" t="str">
        <f ca="1">_xlfn.IFNA(VLOOKUP(INDIRECT("G"&amp;ROW()),minfo!$A:$M,COLUMN()-8,0),"")</f>
        <v>黄霄雲</v>
      </c>
      <c r="L1208" s="4">
        <f ca="1">_xlfn.IFNA(VLOOKUP(INDIRECT("G"&amp;ROW()),minfo!$A:$M,COLUMN()-8,0),"")</f>
        <v>0</v>
      </c>
      <c r="M1208" s="4">
        <f ca="1">_xlfn.IFNA(VLOOKUP(INDIRECT("G"&amp;ROW()),minfo!$A:$M,COLUMN()-8,0),"")</f>
        <v>0</v>
      </c>
      <c r="N1208" s="4">
        <f ca="1">_xlfn.IFNA(VLOOKUP(INDIRECT("G"&amp;ROW()),minfo!$A:$M,COLUMN()-8,0),"")</f>
        <v>0</v>
      </c>
      <c r="O1208" s="4" t="str">
        <f ca="1">_xlfn.IFNA(VLOOKUP(INDIRECT("G"&amp;ROW()),minfo!$A:$M,COLUMN()-8,0),"")</f>
        <v>http://i0.hdslb.com/bfs/station_src/music_metadata/ca24fafb684d7c01cd5d36d80d309e9b.jpg</v>
      </c>
      <c r="P1208" s="4" t="str">
        <f ca="1">_xlfn.IFNA(VLOOKUP(INDIRECT("G"&amp;ROW()),minfo!$A:$M,COLUMN()-8,0),"")</f>
        <v>http://i0.hdslb.com/bfs/station_src/music_metadata/c2c80feecca32d72661cd9d636cb1470</v>
      </c>
      <c r="Q1208" s="4">
        <f ca="1">_xlfn.IFNA(VLOOKUP(INDIRECT("G"&amp;ROW()),minfo!$A:$M,COLUMN()-8,0),"")</f>
        <v>1782</v>
      </c>
      <c r="R1208" s="4">
        <f ca="1">_xlfn.IFNA(VLOOKUP(INDIRECT("G"&amp;ROW()),minfo!$A:$M,COLUMN()-8,0),"")</f>
        <v>0</v>
      </c>
      <c r="S1208" s="4" t="str">
        <f ca="1">_xlfn.IFNA(VLOOKUP(INDIRECT("G"&amp;ROW()),minfo!$A:$M,COLUMN()-8,0),"")</f>
        <v>星辰大海</v>
      </c>
      <c r="T1208" s="4">
        <f ca="1">_xlfn.IFNA(VLOOKUP(INDIRECT("G"&amp;ROW()),minfo!$A:$M,COLUMN()-8,0),"")</f>
        <v>468038910</v>
      </c>
      <c r="U1208" s="4">
        <f ca="1">_xlfn.IFNA(VLOOKUP(INDIRECT("G"&amp;ROW()),minfo!$A:$M,COLUMN()-8,0),"")</f>
        <v>0</v>
      </c>
    </row>
    <row r="1209" spans="1:21" ht="15.75" customHeight="1">
      <c r="A1209" s="15">
        <v>1208</v>
      </c>
      <c r="B1209" s="4" t="s">
        <v>4822</v>
      </c>
      <c r="C1209" s="4">
        <v>1209</v>
      </c>
      <c r="D1209" s="4">
        <v>51</v>
      </c>
      <c r="E1209" s="4" t="s">
        <v>846</v>
      </c>
      <c r="F1209" s="16">
        <v>44849</v>
      </c>
      <c r="G1209" s="5" t="s">
        <v>845</v>
      </c>
      <c r="H1209" s="5" t="s">
        <v>4770</v>
      </c>
      <c r="I1209" s="24" t="str">
        <f>HYPERLINK("https://www.bilibili.com/video/BV1ie4y1B7SZ?p=51", "BV1ie4y1B7SZ?p=51")</f>
        <v>BV1ie4y1B7SZ?p=51</v>
      </c>
      <c r="J1209" s="4" t="str">
        <f ca="1">_xlfn.IFNA(VLOOKUP(INDIRECT("G"&amp;ROW()),minfo!$A:$M,COLUMN()-8,0),"")</f>
        <v>左手指月</v>
      </c>
      <c r="K1209" s="4" t="str">
        <f ca="1">_xlfn.IFNA(VLOOKUP(INDIRECT("G"&amp;ROW()),minfo!$A:$M,COLUMN()-8,0),"")</f>
        <v>萨顶顶</v>
      </c>
      <c r="L1209" s="4">
        <f ca="1">_xlfn.IFNA(VLOOKUP(INDIRECT("G"&amp;ROW()),minfo!$A:$M,COLUMN()-8,0),"")</f>
        <v>0</v>
      </c>
      <c r="M1209" s="4">
        <f ca="1">_xlfn.IFNA(VLOOKUP(INDIRECT("G"&amp;ROW()),minfo!$A:$M,COLUMN()-8,0),"")</f>
        <v>0</v>
      </c>
      <c r="N1209" s="4">
        <f ca="1">_xlfn.IFNA(VLOOKUP(INDIRECT("G"&amp;ROW()),minfo!$A:$M,COLUMN()-8,0),"")</f>
        <v>0</v>
      </c>
      <c r="O1209" s="4" t="str">
        <f ca="1">_xlfn.IFNA(VLOOKUP(INDIRECT("G"&amp;ROW()),minfo!$A:$M,COLUMN()-8,0),"")</f>
        <v>http://i0.hdslb.com/bfs/station_src/music_metadata/fe8994db7a3105222f29993a7e9a6d6e.jpg</v>
      </c>
      <c r="P1209" s="4" t="str">
        <f ca="1">_xlfn.IFNA(VLOOKUP(INDIRECT("G"&amp;ROW()),minfo!$A:$M,COLUMN()-8,0),"")</f>
        <v>http://i0.hdslb.com/bfs/station_src/music_metadata/78e1f08a3ddf3473daad2f7995590a90</v>
      </c>
      <c r="Q1209" s="4">
        <f ca="1">_xlfn.IFNA(VLOOKUP(INDIRECT("G"&amp;ROW()),minfo!$A:$M,COLUMN()-8,0),"")</f>
        <v>1334</v>
      </c>
      <c r="R1209" s="4" t="str">
        <f ca="1">_xlfn.IFNA(VLOOKUP(INDIRECT("G"&amp;ROW()),minfo!$A:$M,COLUMN()-8,0),"")</f>
        <v>《香蜜沉沉烬如霜》电视剧片尾曲</v>
      </c>
      <c r="S1209" s="4" t="str">
        <f ca="1">_xlfn.IFNA(VLOOKUP(INDIRECT("G"&amp;ROW()),minfo!$A:$M,COLUMN()-8,0),"")</f>
        <v>香蜜沉沉烬如霜 电视原声音乐专辑</v>
      </c>
      <c r="T1209" s="4">
        <f ca="1">_xlfn.IFNA(VLOOKUP(INDIRECT("G"&amp;ROW()),minfo!$A:$M,COLUMN()-8,0),"")</f>
        <v>594956132</v>
      </c>
      <c r="U1209" s="4" t="str">
        <f ca="1">_xlfn.IFNA(VLOOKUP(INDIRECT("G"&amp;ROW()),minfo!$A:$M,COLUMN()-8,0),"")</f>
        <v>音乐榜最高NO.16</v>
      </c>
    </row>
    <row r="1210" spans="1:21" ht="15.75" customHeight="1">
      <c r="A1210" s="15">
        <v>1209</v>
      </c>
      <c r="B1210" s="4" t="s">
        <v>4823</v>
      </c>
      <c r="C1210" s="4">
        <v>1210</v>
      </c>
      <c r="D1210" s="4">
        <v>52</v>
      </c>
      <c r="E1210" s="4" t="s">
        <v>301</v>
      </c>
      <c r="F1210" s="16">
        <v>44849</v>
      </c>
      <c r="G1210" s="5" t="s">
        <v>300</v>
      </c>
      <c r="H1210" s="5" t="s">
        <v>4770</v>
      </c>
      <c r="I1210" s="24" t="str">
        <f>HYPERLINK("https://www.bilibili.com/video/BV1ie4y1B7SZ?p=52", "BV1ie4y1B7SZ?p=52")</f>
        <v>BV1ie4y1B7SZ?p=52</v>
      </c>
      <c r="J1210" s="4" t="str">
        <f ca="1">_xlfn.IFNA(VLOOKUP(INDIRECT("G"&amp;ROW()),minfo!$A:$M,COLUMN()-8,0),"")</f>
        <v>桃花笑</v>
      </c>
      <c r="K1210" s="4" t="str">
        <f ca="1">_xlfn.IFNA(VLOOKUP(INDIRECT("G"&amp;ROW()),minfo!$A:$M,COLUMN()-8,0),"")</f>
        <v>乐正绫,洛天依,言和</v>
      </c>
      <c r="L1210" s="4">
        <f ca="1">_xlfn.IFNA(VLOOKUP(INDIRECT("G"&amp;ROW()),minfo!$A:$M,COLUMN()-8,0),"")</f>
        <v>0</v>
      </c>
      <c r="M1210" s="4">
        <f ca="1">_xlfn.IFNA(VLOOKUP(INDIRECT("G"&amp;ROW()),minfo!$A:$M,COLUMN()-8,0),"")</f>
        <v>0</v>
      </c>
      <c r="N1210" s="4">
        <f ca="1">_xlfn.IFNA(VLOOKUP(INDIRECT("G"&amp;ROW()),minfo!$A:$M,COLUMN()-8,0),"")</f>
        <v>0</v>
      </c>
      <c r="O1210" s="4" t="str">
        <f ca="1">_xlfn.IFNA(VLOOKUP(INDIRECT("G"&amp;ROW()),minfo!$A:$M,COLUMN()-8,0),"")</f>
        <v>https://i0.hdslb.com/bfs/station_src/music_metadata/111f3216921740e3e7a034e11a371531.jpg</v>
      </c>
      <c r="P1210" s="4" t="str">
        <f ca="1">_xlfn.IFNA(VLOOKUP(INDIRECT("G"&amp;ROW()),minfo!$A:$M,COLUMN()-8,0),"")</f>
        <v>https://i0.hdslb.com/bfs/station_src/music_metadata/cd7881a3dd16a655167d4bc7b03aa735.txt</v>
      </c>
      <c r="Q1210" s="4">
        <f ca="1">_xlfn.IFNA(VLOOKUP(INDIRECT("G"&amp;ROW()),minfo!$A:$M,COLUMN()-8,0),"")</f>
        <v>3601</v>
      </c>
      <c r="R1210" s="4">
        <f ca="1">_xlfn.IFNA(VLOOKUP(INDIRECT("G"&amp;ROW()),minfo!$A:$M,COLUMN()-8,0),"")</f>
        <v>0</v>
      </c>
      <c r="S1210" s="4" t="str">
        <f ca="1">_xlfn.IFNA(VLOOKUP(INDIRECT("G"&amp;ROW()),minfo!$A:$M,COLUMN()-8,0),"")</f>
        <v>桃花笑</v>
      </c>
      <c r="T1210" s="4">
        <f ca="1">_xlfn.IFNA(VLOOKUP(INDIRECT("G"&amp;ROW()),minfo!$A:$M,COLUMN()-8,0),"")</f>
        <v>1067845676</v>
      </c>
      <c r="U1210" s="4">
        <f ca="1">_xlfn.IFNA(VLOOKUP(INDIRECT("G"&amp;ROW()),minfo!$A:$M,COLUMN()-8,0),"")</f>
        <v>0</v>
      </c>
    </row>
    <row r="1211" spans="1:21" ht="15.75" customHeight="1">
      <c r="A1211" s="15">
        <v>1210</v>
      </c>
      <c r="B1211" s="4" t="s">
        <v>4824</v>
      </c>
      <c r="C1211" s="4">
        <v>1211</v>
      </c>
      <c r="D1211" s="4">
        <v>53</v>
      </c>
      <c r="E1211" s="4" t="s">
        <v>781</v>
      </c>
      <c r="F1211" s="16">
        <v>44849</v>
      </c>
      <c r="G1211" s="5" t="s">
        <v>780</v>
      </c>
      <c r="H1211" s="5" t="s">
        <v>4770</v>
      </c>
      <c r="I1211" s="24" t="str">
        <f>HYPERLINK("https://www.bilibili.com/video/BV1ie4y1B7SZ?p=53", "BV1ie4y1B7SZ?p=53")</f>
        <v>BV1ie4y1B7SZ?p=53</v>
      </c>
      <c r="J1211" s="4" t="str">
        <f ca="1">_xlfn.IFNA(VLOOKUP(INDIRECT("G"&amp;ROW()),minfo!$A:$M,COLUMN()-8,0),"")</f>
        <v>小小</v>
      </c>
      <c r="K1211" s="4" t="str">
        <f ca="1">_xlfn.IFNA(VLOOKUP(INDIRECT("G"&amp;ROW()),minfo!$A:$M,COLUMN()-8,0),"")</f>
        <v>容祖儿</v>
      </c>
      <c r="L1211" s="4">
        <f ca="1">_xlfn.IFNA(VLOOKUP(INDIRECT("G"&amp;ROW()),minfo!$A:$M,COLUMN()-8,0),"")</f>
        <v>0</v>
      </c>
      <c r="M1211" s="4">
        <f ca="1">_xlfn.IFNA(VLOOKUP(INDIRECT("G"&amp;ROW()),minfo!$A:$M,COLUMN()-8,0),"")</f>
        <v>0</v>
      </c>
      <c r="N1211" s="4">
        <f ca="1">_xlfn.IFNA(VLOOKUP(INDIRECT("G"&amp;ROW()),minfo!$A:$M,COLUMN()-8,0),"")</f>
        <v>0</v>
      </c>
      <c r="O1211" s="4" t="str">
        <f ca="1">_xlfn.IFNA(VLOOKUP(INDIRECT("G"&amp;ROW()),minfo!$A:$M,COLUMN()-8,0),"")</f>
        <v>https://i0.hdslb.com/bfs/station_src/music_metadata/b9d714ef715f7687d8bb23e6a2aba371.jpg</v>
      </c>
      <c r="P1211" s="4" t="str">
        <f ca="1">_xlfn.IFNA(VLOOKUP(INDIRECT("G"&amp;ROW()),minfo!$A:$M,COLUMN()-8,0),"")</f>
        <v>http://i0.hdslb.com/bfs/station_src/music_metadata/bb836ee3f63bcd025917ff09534c243d</v>
      </c>
      <c r="Q1211" s="4">
        <f ca="1">_xlfn.IFNA(VLOOKUP(INDIRECT("G"&amp;ROW()),minfo!$A:$M,COLUMN()-8,0),"")</f>
        <v>668</v>
      </c>
      <c r="R1211" s="4">
        <f ca="1">_xlfn.IFNA(VLOOKUP(INDIRECT("G"&amp;ROW()),minfo!$A:$M,COLUMN()-8,0),"")</f>
        <v>0</v>
      </c>
      <c r="S1211" s="4" t="str">
        <f ca="1">_xlfn.IFNA(VLOOKUP(INDIRECT("G"&amp;ROW()),minfo!$A:$M,COLUMN()-8,0),"")</f>
        <v>小小</v>
      </c>
      <c r="T1211" s="4">
        <f ca="1">_xlfn.IFNA(VLOOKUP(INDIRECT("G"&amp;ROW()),minfo!$A:$M,COLUMN()-8,0),"")</f>
        <v>101119426</v>
      </c>
      <c r="U1211" s="4">
        <f ca="1">_xlfn.IFNA(VLOOKUP(INDIRECT("G"&amp;ROW()),minfo!$A:$M,COLUMN()-8,0),"")</f>
        <v>0</v>
      </c>
    </row>
    <row r="1212" spans="1:21" ht="15.75" customHeight="1">
      <c r="A1212" s="15">
        <v>1211</v>
      </c>
      <c r="B1212" s="4" t="s">
        <v>4825</v>
      </c>
      <c r="C1212" s="4">
        <v>1212</v>
      </c>
      <c r="D1212" s="4">
        <v>54</v>
      </c>
      <c r="E1212" s="4" t="s">
        <v>2633</v>
      </c>
      <c r="F1212" s="16">
        <v>44849</v>
      </c>
      <c r="G1212" s="5" t="s">
        <v>2632</v>
      </c>
      <c r="H1212" s="5" t="s">
        <v>4770</v>
      </c>
      <c r="I1212" s="24" t="str">
        <f>HYPERLINK("https://www.bilibili.com/video/BV1ie4y1B7SZ?p=54", "BV1ie4y1B7SZ?p=54")</f>
        <v>BV1ie4y1B7SZ?p=54</v>
      </c>
      <c r="J1212" s="4" t="str">
        <f ca="1">_xlfn.IFNA(VLOOKUP(INDIRECT("G"&amp;ROW()),minfo!$A:$M,COLUMN()-8,0),"")</f>
        <v>康美之恋</v>
      </c>
      <c r="K1212" s="4" t="str">
        <f ca="1">_xlfn.IFNA(VLOOKUP(INDIRECT("G"&amp;ROW()),minfo!$A:$M,COLUMN()-8,0),"")</f>
        <v>谭晶</v>
      </c>
      <c r="L1212" s="4">
        <f ca="1">_xlfn.IFNA(VLOOKUP(INDIRECT("G"&amp;ROW()),minfo!$A:$M,COLUMN()-8,0),"")</f>
        <v>0</v>
      </c>
      <c r="M1212" s="4">
        <f ca="1">_xlfn.IFNA(VLOOKUP(INDIRECT("G"&amp;ROW()),minfo!$A:$M,COLUMN()-8,0),"")</f>
        <v>0</v>
      </c>
      <c r="N1212" s="4">
        <f ca="1">_xlfn.IFNA(VLOOKUP(INDIRECT("G"&amp;ROW()),minfo!$A:$M,COLUMN()-8,0),"")</f>
        <v>0</v>
      </c>
      <c r="O1212" s="4" t="str">
        <f ca="1">_xlfn.IFNA(VLOOKUP(INDIRECT("G"&amp;ROW()),minfo!$A:$M,COLUMN()-8,0),"")</f>
        <v>https://i0.hdslb.com/bfs/station_src/music_metadata/1fff1a8e81bf36551f9cd0dc95c09a22.jpg</v>
      </c>
      <c r="P1212" s="4" t="str">
        <f ca="1">_xlfn.IFNA(VLOOKUP(INDIRECT("G"&amp;ROW()),minfo!$A:$M,COLUMN()-8,0),"")</f>
        <v>http://i0.hdslb.com/bfs/station_src/music_metadata/01f24e1d02b179503db0981c274ca7dc</v>
      </c>
      <c r="Q1212" s="4">
        <f ca="1">_xlfn.IFNA(VLOOKUP(INDIRECT("G"&amp;ROW()),minfo!$A:$M,COLUMN()-8,0),"")</f>
        <v>72</v>
      </c>
      <c r="R1212" s="4">
        <f ca="1">_xlfn.IFNA(VLOOKUP(INDIRECT("G"&amp;ROW()),minfo!$A:$M,COLUMN()-8,0),"")</f>
        <v>0</v>
      </c>
      <c r="S1212" s="4" t="str">
        <f ca="1">_xlfn.IFNA(VLOOKUP(INDIRECT("G"&amp;ROW()),minfo!$A:$M,COLUMN()-8,0),"")</f>
        <v>谭晶单曲集</v>
      </c>
      <c r="T1212" s="4">
        <f ca="1">_xlfn.IFNA(VLOOKUP(INDIRECT("G"&amp;ROW()),minfo!$A:$M,COLUMN()-8,0),"")</f>
        <v>18084890</v>
      </c>
      <c r="U1212" s="4">
        <f ca="1">_xlfn.IFNA(VLOOKUP(INDIRECT("G"&amp;ROW()),minfo!$A:$M,COLUMN()-8,0),"")</f>
        <v>0</v>
      </c>
    </row>
    <row r="1213" spans="1:21" ht="15.75" customHeight="1">
      <c r="A1213" s="15">
        <v>1212</v>
      </c>
      <c r="B1213" s="4" t="s">
        <v>4826</v>
      </c>
      <c r="C1213" s="4">
        <v>1213</v>
      </c>
      <c r="D1213" s="4">
        <v>55</v>
      </c>
      <c r="E1213" s="4" t="s">
        <v>2637</v>
      </c>
      <c r="F1213" s="16">
        <v>44849</v>
      </c>
      <c r="G1213" s="5" t="s">
        <v>2636</v>
      </c>
      <c r="H1213" s="5" t="s">
        <v>4770</v>
      </c>
      <c r="I1213" s="24" t="str">
        <f>HYPERLINK("https://www.bilibili.com/video/BV1ie4y1B7SZ?p=55", "BV1ie4y1B7SZ?p=55")</f>
        <v>BV1ie4y1B7SZ?p=55</v>
      </c>
      <c r="J1213" s="4" t="str">
        <f ca="1">_xlfn.IFNA(VLOOKUP(INDIRECT("G"&amp;ROW()),minfo!$A:$M,COLUMN()-8,0),"")</f>
        <v>天下无双</v>
      </c>
      <c r="K1213" s="4" t="str">
        <f ca="1">_xlfn.IFNA(VLOOKUP(INDIRECT("G"&amp;ROW()),minfo!$A:$M,COLUMN()-8,0),"")</f>
        <v>陈奕迅</v>
      </c>
      <c r="L1213" s="4">
        <f ca="1">_xlfn.IFNA(VLOOKUP(INDIRECT("G"&amp;ROW()),minfo!$A:$M,COLUMN()-8,0),"")</f>
        <v>0</v>
      </c>
      <c r="M1213" s="4">
        <f ca="1">_xlfn.IFNA(VLOOKUP(INDIRECT("G"&amp;ROW()),minfo!$A:$M,COLUMN()-8,0),"")</f>
        <v>0</v>
      </c>
      <c r="N1213" s="4">
        <f ca="1">_xlfn.IFNA(VLOOKUP(INDIRECT("G"&amp;ROW()),minfo!$A:$M,COLUMN()-8,0),"")</f>
        <v>0</v>
      </c>
      <c r="O1213" s="4" t="str">
        <f ca="1">_xlfn.IFNA(VLOOKUP(INDIRECT("G"&amp;ROW()),minfo!$A:$M,COLUMN()-8,0),"")</f>
        <v>https://i0.hdslb.com/bfs/station_src/music_metadata/8a9a05e416a5aae71d43891deec77cee.jpg</v>
      </c>
      <c r="P1213" s="4" t="str">
        <f ca="1">_xlfn.IFNA(VLOOKUP(INDIRECT("G"&amp;ROW()),minfo!$A:$M,COLUMN()-8,0),"")</f>
        <v>http://i0.hdslb.com/bfs/station_src/music_metadata/c5fc09532e5820e7a118ec34272ea752</v>
      </c>
      <c r="Q1213" s="4">
        <f ca="1">_xlfn.IFNA(VLOOKUP(INDIRECT("G"&amp;ROW()),minfo!$A:$M,COLUMN()-8,0),"")</f>
        <v>118</v>
      </c>
      <c r="R1213" s="4">
        <f ca="1">_xlfn.IFNA(VLOOKUP(INDIRECT("G"&amp;ROW()),minfo!$A:$M,COLUMN()-8,0),"")</f>
        <v>0</v>
      </c>
      <c r="S1213" s="4" t="str">
        <f ca="1">_xlfn.IFNA(VLOOKUP(INDIRECT("G"&amp;ROW()),minfo!$A:$M,COLUMN()-8,0),"")</f>
        <v>我的快乐时代</v>
      </c>
      <c r="T1213" s="4">
        <f ca="1">_xlfn.IFNA(VLOOKUP(INDIRECT("G"&amp;ROW()),minfo!$A:$M,COLUMN()-8,0),"")</f>
        <v>90665327</v>
      </c>
      <c r="U1213" s="4">
        <f ca="1">_xlfn.IFNA(VLOOKUP(INDIRECT("G"&amp;ROW()),minfo!$A:$M,COLUMN()-8,0),"")</f>
        <v>0</v>
      </c>
    </row>
    <row r="1214" spans="1:21" ht="15.75" customHeight="1">
      <c r="A1214" s="15">
        <v>1213</v>
      </c>
      <c r="B1214" s="4" t="s">
        <v>4827</v>
      </c>
      <c r="C1214" s="4">
        <v>1214</v>
      </c>
      <c r="D1214" s="4">
        <v>56</v>
      </c>
      <c r="E1214" s="4" t="s">
        <v>1040</v>
      </c>
      <c r="F1214" s="16">
        <v>44852</v>
      </c>
      <c r="G1214" s="5" t="s">
        <v>1039</v>
      </c>
      <c r="H1214" s="5" t="s">
        <v>4770</v>
      </c>
      <c r="I1214" s="24" t="str">
        <f>HYPERLINK("https://www.bilibili.com/video/BV1ie4y1B7SZ?p=56", "BV1ie4y1B7SZ?p=56")</f>
        <v>BV1ie4y1B7SZ?p=56</v>
      </c>
      <c r="J1214" s="4" t="str">
        <f ca="1">_xlfn.IFNA(VLOOKUP(INDIRECT("G"&amp;ROW()),minfo!$A:$M,COLUMN()-8,0),"")</f>
        <v>断了的弦</v>
      </c>
      <c r="K1214" s="4" t="str">
        <f ca="1">_xlfn.IFNA(VLOOKUP(INDIRECT("G"&amp;ROW()),minfo!$A:$M,COLUMN()-8,0),"")</f>
        <v>周杰伦</v>
      </c>
      <c r="L1214" s="4">
        <f ca="1">_xlfn.IFNA(VLOOKUP(INDIRECT("G"&amp;ROW()),minfo!$A:$M,COLUMN()-8,0),"")</f>
        <v>0</v>
      </c>
      <c r="M1214" s="4">
        <f ca="1">_xlfn.IFNA(VLOOKUP(INDIRECT("G"&amp;ROW()),minfo!$A:$M,COLUMN()-8,0),"")</f>
        <v>0</v>
      </c>
      <c r="N1214" s="4">
        <f ca="1">_xlfn.IFNA(VLOOKUP(INDIRECT("G"&amp;ROW()),minfo!$A:$M,COLUMN()-8,0),"")</f>
        <v>0</v>
      </c>
      <c r="O1214" s="4" t="str">
        <f ca="1">_xlfn.IFNA(VLOOKUP(INDIRECT("G"&amp;ROW()),minfo!$A:$M,COLUMN()-8,0),"")</f>
        <v>https://i0.hdslb.com/bfs/station_src/music_metadata/ebc5b74fc87de3b14aae385fe242095a.jpg</v>
      </c>
      <c r="P1214" s="4">
        <f ca="1">_xlfn.IFNA(VLOOKUP(INDIRECT("G"&amp;ROW()),minfo!$A:$M,COLUMN()-8,0),"")</f>
        <v>0</v>
      </c>
      <c r="Q1214" s="4">
        <f ca="1">_xlfn.IFNA(VLOOKUP(INDIRECT("G"&amp;ROW()),minfo!$A:$M,COLUMN()-8,0),"")</f>
        <v>1532</v>
      </c>
      <c r="R1214" s="4" t="str">
        <f ca="1">_xlfn.IFNA(VLOOKUP(INDIRECT("G"&amp;ROW()),minfo!$A:$M,COLUMN()-8,0),"")</f>
        <v>《寻找周杰伦》电影插曲</v>
      </c>
      <c r="S1214" s="4" t="str">
        <f ca="1">_xlfn.IFNA(VLOOKUP(INDIRECT("G"&amp;ROW()),minfo!$A:$M,COLUMN()-8,0),"")</f>
        <v>寻找周杰伦</v>
      </c>
      <c r="T1214" s="4">
        <f ca="1">_xlfn.IFNA(VLOOKUP(INDIRECT("G"&amp;ROW()),minfo!$A:$M,COLUMN()-8,0),"")</f>
        <v>336737849</v>
      </c>
      <c r="U1214" s="4">
        <f ca="1">_xlfn.IFNA(VLOOKUP(INDIRECT("G"&amp;ROW()),minfo!$A:$M,COLUMN()-8,0),"")</f>
        <v>0</v>
      </c>
    </row>
    <row r="1215" spans="1:21" ht="15.75" customHeight="1">
      <c r="A1215" s="15">
        <v>1214</v>
      </c>
      <c r="B1215" s="4" t="s">
        <v>4828</v>
      </c>
      <c r="C1215" s="4">
        <v>1215</v>
      </c>
      <c r="D1215" s="4">
        <v>57</v>
      </c>
      <c r="E1215" s="4" t="s">
        <v>1102</v>
      </c>
      <c r="F1215" s="16">
        <v>44855</v>
      </c>
      <c r="G1215" s="5" t="s">
        <v>1101</v>
      </c>
      <c r="H1215" s="5" t="s">
        <v>4770</v>
      </c>
      <c r="I1215" s="24" t="str">
        <f>HYPERLINK("https://www.bilibili.com/video/BV1ie4y1B7SZ?p=57", "BV1ie4y1B7SZ?p=57")</f>
        <v>BV1ie4y1B7SZ?p=57</v>
      </c>
      <c r="J1215" s="4" t="str">
        <f ca="1">_xlfn.IFNA(VLOOKUP(INDIRECT("G"&amp;ROW()),minfo!$A:$M,COLUMN()-8,0),"")</f>
        <v>一生等你</v>
      </c>
      <c r="K1215" s="4" t="str">
        <f ca="1">_xlfn.IFNA(VLOOKUP(INDIRECT("G"&amp;ROW()),minfo!$A:$M,COLUMN()-8,0),"")</f>
        <v>袁娅维TIA RAY</v>
      </c>
      <c r="L1215" s="4">
        <f ca="1">_xlfn.IFNA(VLOOKUP(INDIRECT("G"&amp;ROW()),minfo!$A:$M,COLUMN()-8,0),"")</f>
        <v>0</v>
      </c>
      <c r="M1215" s="4">
        <f ca="1">_xlfn.IFNA(VLOOKUP(INDIRECT("G"&amp;ROW()),minfo!$A:$M,COLUMN()-8,0),"")</f>
        <v>0</v>
      </c>
      <c r="N1215" s="4">
        <f ca="1">_xlfn.IFNA(VLOOKUP(INDIRECT("G"&amp;ROW()),minfo!$A:$M,COLUMN()-8,0),"")</f>
        <v>0</v>
      </c>
      <c r="O1215" s="4" t="str">
        <f ca="1">_xlfn.IFNA(VLOOKUP(INDIRECT("G"&amp;ROW()),minfo!$A:$M,COLUMN()-8,0),"")</f>
        <v>http://i0.hdslb.com/bfs/station_src/music_metadata/6b290dc35e11386d12c150c4f46c485e.jpg</v>
      </c>
      <c r="P1215" s="4">
        <f ca="1">_xlfn.IFNA(VLOOKUP(INDIRECT("G"&amp;ROW()),minfo!$A:$M,COLUMN()-8,0),"")</f>
        <v>0</v>
      </c>
      <c r="Q1215" s="4">
        <f ca="1">_xlfn.IFNA(VLOOKUP(INDIRECT("G"&amp;ROW()),minfo!$A:$M,COLUMN()-8,0),"")</f>
        <v>541</v>
      </c>
      <c r="R1215" s="4" t="str">
        <f ca="1">_xlfn.IFNA(VLOOKUP(INDIRECT("G"&amp;ROW()),minfo!$A:$M,COLUMN()-8,0),"")</f>
        <v>《媚者无疆》电视剧主题曲</v>
      </c>
      <c r="S1215" s="4" t="str">
        <f ca="1">_xlfn.IFNA(VLOOKUP(INDIRECT("G"&amp;ROW()),minfo!$A:$M,COLUMN()-8,0),"")</f>
        <v>媚者无疆 电视剧原声带</v>
      </c>
      <c r="T1215" s="4">
        <f ca="1">_xlfn.IFNA(VLOOKUP(INDIRECT("G"&amp;ROW()),minfo!$A:$M,COLUMN()-8,0),"")</f>
        <v>100001088</v>
      </c>
      <c r="U1215" s="4">
        <f ca="1">_xlfn.IFNA(VLOOKUP(INDIRECT("G"&amp;ROW()),minfo!$A:$M,COLUMN()-8,0),"")</f>
        <v>0</v>
      </c>
    </row>
    <row r="1216" spans="1:21" ht="15.75" customHeight="1">
      <c r="A1216" s="15">
        <v>1215</v>
      </c>
      <c r="B1216" s="4" t="s">
        <v>4829</v>
      </c>
      <c r="C1216" s="4">
        <v>1216</v>
      </c>
      <c r="D1216" s="4">
        <v>58</v>
      </c>
      <c r="E1216" s="4" t="s">
        <v>426</v>
      </c>
      <c r="F1216" s="16">
        <v>44855</v>
      </c>
      <c r="G1216" s="5" t="s">
        <v>425</v>
      </c>
      <c r="H1216" s="5" t="s">
        <v>4770</v>
      </c>
      <c r="I1216" s="24" t="str">
        <f>HYPERLINK("https://www.bilibili.com/video/BV1ie4y1B7SZ?p=58", "BV1ie4y1B7SZ?p=58")</f>
        <v>BV1ie4y1B7SZ?p=58</v>
      </c>
      <c r="J1216" s="4" t="str">
        <f ca="1">_xlfn.IFNA(VLOOKUP(INDIRECT("G"&amp;ROW()),minfo!$A:$M,COLUMN()-8,0),"")</f>
        <v>说散就散</v>
      </c>
      <c r="K1216" s="4" t="str">
        <f ca="1">_xlfn.IFNA(VLOOKUP(INDIRECT("G"&amp;ROW()),minfo!$A:$M,COLUMN()-8,0),"")</f>
        <v>袁娅维TIA RAY</v>
      </c>
      <c r="L1216" s="4">
        <f ca="1">_xlfn.IFNA(VLOOKUP(INDIRECT("G"&amp;ROW()),minfo!$A:$M,COLUMN()-8,0),"")</f>
        <v>0</v>
      </c>
      <c r="M1216" s="4">
        <f ca="1">_xlfn.IFNA(VLOOKUP(INDIRECT("G"&amp;ROW()),minfo!$A:$M,COLUMN()-8,0),"")</f>
        <v>0</v>
      </c>
      <c r="N1216" s="4">
        <f ca="1">_xlfn.IFNA(VLOOKUP(INDIRECT("G"&amp;ROW()),minfo!$A:$M,COLUMN()-8,0),"")</f>
        <v>0</v>
      </c>
      <c r="O1216" s="4" t="str">
        <f ca="1">_xlfn.IFNA(VLOOKUP(INDIRECT("G"&amp;ROW()),minfo!$A:$M,COLUMN()-8,0),"")</f>
        <v>http://i0.hdslb.com/bfs/station_src/music_metadata/0d2a98cfa94a37041a8fd9f6d060a0aa.jpg</v>
      </c>
      <c r="P1216" s="4" t="str">
        <f ca="1">_xlfn.IFNA(VLOOKUP(INDIRECT("G"&amp;ROW()),minfo!$A:$M,COLUMN()-8,0),"")</f>
        <v>http://i0.hdslb.com/bfs/station_src/music_metadata/ac9c061324965249882f646ffef11dd0</v>
      </c>
      <c r="Q1216" s="4">
        <f ca="1">_xlfn.IFNA(VLOOKUP(INDIRECT("G"&amp;ROW()),minfo!$A:$M,COLUMN()-8,0),"")</f>
        <v>876</v>
      </c>
      <c r="R1216" s="4" t="str">
        <f ca="1">_xlfn.IFNA(VLOOKUP(INDIRECT("G"&amp;ROW()),minfo!$A:$M,COLUMN()-8,0),"")</f>
        <v>《前任3：再见前任》主题曲)</v>
      </c>
      <c r="S1216" s="4" t="str">
        <f ca="1">_xlfn.IFNA(VLOOKUP(INDIRECT("G"&amp;ROW()),minfo!$A:$M,COLUMN()-8,0),"")</f>
        <v>说散就散</v>
      </c>
      <c r="T1216" s="4">
        <f ca="1">_xlfn.IFNA(VLOOKUP(INDIRECT("G"&amp;ROW()),minfo!$A:$M,COLUMN()-8,0),"")</f>
        <v>263880895</v>
      </c>
      <c r="U1216" s="4" t="str">
        <f ca="1">_xlfn.IFNA(VLOOKUP(INDIRECT("G"&amp;ROW()),minfo!$A:$M,COLUMN()-8,0),"")</f>
        <v>音乐榜最高NO.17</v>
      </c>
    </row>
    <row r="1217" spans="1:21" ht="15.75" customHeight="1">
      <c r="A1217" s="15">
        <v>1216</v>
      </c>
      <c r="B1217" s="4" t="s">
        <v>4830</v>
      </c>
      <c r="C1217" s="4">
        <v>1217</v>
      </c>
      <c r="D1217" s="4">
        <v>59</v>
      </c>
      <c r="E1217" s="4" t="s">
        <v>883</v>
      </c>
      <c r="F1217" s="16">
        <v>44855</v>
      </c>
      <c r="G1217" s="5" t="s">
        <v>882</v>
      </c>
      <c r="H1217" s="5" t="s">
        <v>4770</v>
      </c>
      <c r="I1217" s="24" t="str">
        <f>HYPERLINK("https://www.bilibili.com/video/BV1ie4y1B7SZ?p=59", "BV1ie4y1B7SZ?p=59")</f>
        <v>BV1ie4y1B7SZ?p=59</v>
      </c>
      <c r="J1217" s="4" t="str">
        <f ca="1">_xlfn.IFNA(VLOOKUP(INDIRECT("G"&amp;ROW()),minfo!$A:$M,COLUMN()-8,0),"")</f>
        <v>大眠</v>
      </c>
      <c r="K1217" s="4" t="str">
        <f ca="1">_xlfn.IFNA(VLOOKUP(INDIRECT("G"&amp;ROW()),minfo!$A:$M,COLUMN()-8,0),"")</f>
        <v>王心凌</v>
      </c>
      <c r="L1217" s="4">
        <f ca="1">_xlfn.IFNA(VLOOKUP(INDIRECT("G"&amp;ROW()),minfo!$A:$M,COLUMN()-8,0),"")</f>
        <v>0</v>
      </c>
      <c r="M1217" s="4">
        <f ca="1">_xlfn.IFNA(VLOOKUP(INDIRECT("G"&amp;ROW()),minfo!$A:$M,COLUMN()-8,0),"")</f>
        <v>0</v>
      </c>
      <c r="N1217" s="4">
        <f ca="1">_xlfn.IFNA(VLOOKUP(INDIRECT("G"&amp;ROW()),minfo!$A:$M,COLUMN()-8,0),"")</f>
        <v>0</v>
      </c>
      <c r="O1217" s="4" t="str">
        <f ca="1">_xlfn.IFNA(VLOOKUP(INDIRECT("G"&amp;ROW()),minfo!$A:$M,COLUMN()-8,0),"")</f>
        <v>https://i0.hdslb.com/bfs/station_src/music_metadata/af5d28f2df8d5c17a196bebcb46c7319.jpg</v>
      </c>
      <c r="P1217" s="4" t="str">
        <f ca="1">_xlfn.IFNA(VLOOKUP(INDIRECT("G"&amp;ROW()),minfo!$A:$M,COLUMN()-8,0),"")</f>
        <v>http://i0.hdslb.com/bfs/station_src/music_metadata/f1798c26021de0c1e651d2f042b7cf9b</v>
      </c>
      <c r="Q1217" s="4">
        <f ca="1">_xlfn.IFNA(VLOOKUP(INDIRECT("G"&amp;ROW()),minfo!$A:$M,COLUMN()-8,0),"")</f>
        <v>1078</v>
      </c>
      <c r="R1217" s="4">
        <f ca="1">_xlfn.IFNA(VLOOKUP(INDIRECT("G"&amp;ROW()),minfo!$A:$M,COLUMN()-8,0),"")</f>
        <v>0</v>
      </c>
      <c r="S1217" s="4" t="str">
        <f ca="1">_xlfn.IFNA(VLOOKUP(INDIRECT("G"&amp;ROW()),minfo!$A:$M,COLUMN()-8,0),"")</f>
        <v>CYNDILOVES2SING 爱。心凌</v>
      </c>
      <c r="T1217" s="4">
        <f ca="1">_xlfn.IFNA(VLOOKUP(INDIRECT("G"&amp;ROW()),minfo!$A:$M,COLUMN()-8,0),"")</f>
        <v>152298390</v>
      </c>
      <c r="U1217" s="4">
        <f ca="1">_xlfn.IFNA(VLOOKUP(INDIRECT("G"&amp;ROW()),minfo!$A:$M,COLUMN()-8,0),"")</f>
        <v>0</v>
      </c>
    </row>
    <row r="1218" spans="1:21" ht="15.75" customHeight="1">
      <c r="A1218" s="15">
        <v>1217</v>
      </c>
      <c r="B1218" s="4" t="s">
        <v>4831</v>
      </c>
      <c r="C1218" s="4">
        <v>1218</v>
      </c>
      <c r="D1218" s="4">
        <v>60</v>
      </c>
      <c r="E1218" s="4" t="s">
        <v>259</v>
      </c>
      <c r="F1218" s="16">
        <v>44855</v>
      </c>
      <c r="G1218" s="5" t="s">
        <v>258</v>
      </c>
      <c r="H1218" s="5" t="s">
        <v>4770</v>
      </c>
      <c r="I1218" s="24" t="str">
        <f>HYPERLINK("https://www.bilibili.com/video/BV1ie4y1B7SZ?p=60", "BV1ie4y1B7SZ?p=60")</f>
        <v>BV1ie4y1B7SZ?p=60</v>
      </c>
      <c r="J1218" s="4" t="str">
        <f ca="1">_xlfn.IFNA(VLOOKUP(INDIRECT("G"&amp;ROW()),minfo!$A:$M,COLUMN()-8,0),"")</f>
        <v>枫</v>
      </c>
      <c r="K1218" s="4" t="str">
        <f ca="1">_xlfn.IFNA(VLOOKUP(INDIRECT("G"&amp;ROW()),minfo!$A:$M,COLUMN()-8,0),"")</f>
        <v>周杰伦</v>
      </c>
      <c r="L1218" s="4">
        <f ca="1">_xlfn.IFNA(VLOOKUP(INDIRECT("G"&amp;ROW()),minfo!$A:$M,COLUMN()-8,0),"")</f>
        <v>0</v>
      </c>
      <c r="M1218" s="4">
        <f ca="1">_xlfn.IFNA(VLOOKUP(INDIRECT("G"&amp;ROW()),minfo!$A:$M,COLUMN()-8,0),"")</f>
        <v>0</v>
      </c>
      <c r="N1218" s="4">
        <f ca="1">_xlfn.IFNA(VLOOKUP(INDIRECT("G"&amp;ROW()),minfo!$A:$M,COLUMN()-8,0),"")</f>
        <v>0</v>
      </c>
      <c r="O1218" s="4" t="str">
        <f ca="1">_xlfn.IFNA(VLOOKUP(INDIRECT("G"&amp;ROW()),minfo!$A:$M,COLUMN()-8,0),"")</f>
        <v>https://i0.hdslb.com/bfs/station_src/music_metadata/fb82b0fb2908b09d88ba13ef0db91863.jpg</v>
      </c>
      <c r="P1218" s="4" t="str">
        <f ca="1">_xlfn.IFNA(VLOOKUP(INDIRECT("G"&amp;ROW()),minfo!$A:$M,COLUMN()-8,0),"")</f>
        <v>http://i0.hdslb.com/bfs/station_src/music_metadata/9b1e7a89ea3eead8b8c6b32cdb30abd9</v>
      </c>
      <c r="Q1218" s="4">
        <f ca="1">_xlfn.IFNA(VLOOKUP(INDIRECT("G"&amp;ROW()),minfo!$A:$M,COLUMN()-8,0),"")</f>
        <v>6002</v>
      </c>
      <c r="R1218" s="4">
        <f ca="1">_xlfn.IFNA(VLOOKUP(INDIRECT("G"&amp;ROW()),minfo!$A:$M,COLUMN()-8,0),"")</f>
        <v>0</v>
      </c>
      <c r="S1218" s="4" t="str">
        <f ca="1">_xlfn.IFNA(VLOOKUP(INDIRECT("G"&amp;ROW()),minfo!$A:$M,COLUMN()-8,0),"")</f>
        <v>十一月的萧邦</v>
      </c>
      <c r="T1218" s="4">
        <f ca="1">_xlfn.IFNA(VLOOKUP(INDIRECT("G"&amp;ROW()),minfo!$A:$M,COLUMN()-8,0),"")</f>
        <v>560749777</v>
      </c>
      <c r="U1218" s="4">
        <f ca="1">_xlfn.IFNA(VLOOKUP(INDIRECT("G"&amp;ROW()),minfo!$A:$M,COLUMN()-8,0),"")</f>
        <v>0</v>
      </c>
    </row>
    <row r="1219" spans="1:21" ht="15.75" customHeight="1">
      <c r="A1219" s="15">
        <v>1218</v>
      </c>
      <c r="B1219" s="4" t="s">
        <v>4832</v>
      </c>
      <c r="C1219" s="4">
        <v>1219</v>
      </c>
      <c r="D1219" s="4">
        <v>61</v>
      </c>
      <c r="E1219" s="4" t="s">
        <v>95</v>
      </c>
      <c r="F1219" s="16">
        <v>44855</v>
      </c>
      <c r="G1219" s="5" t="s">
        <v>203</v>
      </c>
      <c r="H1219" s="5" t="s">
        <v>4770</v>
      </c>
      <c r="I1219" s="24" t="str">
        <f>HYPERLINK("https://www.bilibili.com/video/BV1ie4y1B7SZ?p=61", "BV1ie4y1B7SZ?p=61")</f>
        <v>BV1ie4y1B7SZ?p=61</v>
      </c>
      <c r="J1219" s="4" t="str">
        <f ca="1">_xlfn.IFNA(VLOOKUP(INDIRECT("G"&amp;ROW()),minfo!$A:$M,COLUMN()-8,0),"")</f>
        <v>不问天</v>
      </c>
      <c r="K1219" s="4" t="str">
        <f ca="1">_xlfn.IFNA(VLOOKUP(INDIRECT("G"&amp;ROW()),minfo!$A:$M,COLUMN()-8,0),"")</f>
        <v>说说Crystal</v>
      </c>
      <c r="L1219" s="4">
        <f ca="1">_xlfn.IFNA(VLOOKUP(INDIRECT("G"&amp;ROW()),minfo!$A:$M,COLUMN()-8,0),"")</f>
        <v>0</v>
      </c>
      <c r="M1219" s="4">
        <f ca="1">_xlfn.IFNA(VLOOKUP(INDIRECT("G"&amp;ROW()),minfo!$A:$M,COLUMN()-8,0),"")</f>
        <v>0</v>
      </c>
      <c r="N1219" s="4">
        <f ca="1">_xlfn.IFNA(VLOOKUP(INDIRECT("G"&amp;ROW()),minfo!$A:$M,COLUMN()-8,0),"")</f>
        <v>0</v>
      </c>
      <c r="O1219" s="4" t="str">
        <f ca="1">_xlfn.IFNA(VLOOKUP(INDIRECT("G"&amp;ROW()),minfo!$A:$M,COLUMN()-8,0),"")</f>
        <v>https://i0.hdslb.com/bfs/station_src/music_metadata/ce3a0da2a7e64a49fa42a6e3db521f57.jpg</v>
      </c>
      <c r="P1219" s="4" t="str">
        <f ca="1">_xlfn.IFNA(VLOOKUP(INDIRECT("G"&amp;ROW()),minfo!$A:$M,COLUMN()-8,0),"")</f>
        <v>https://i0.hdslb.com/bfs/station_src/music_metadata/02cd9198a33924449443fc704a92a25a.txt</v>
      </c>
      <c r="Q1219" s="4">
        <f ca="1">_xlfn.IFNA(VLOOKUP(INDIRECT("G"&amp;ROW()),minfo!$A:$M,COLUMN()-8,0),"")</f>
        <v>149</v>
      </c>
      <c r="R1219" s="4">
        <f ca="1">_xlfn.IFNA(VLOOKUP(INDIRECT("G"&amp;ROW()),minfo!$A:$M,COLUMN()-8,0),"")</f>
        <v>0</v>
      </c>
      <c r="S1219" s="4" t="str">
        <f ca="1">_xlfn.IFNA(VLOOKUP(INDIRECT("G"&amp;ROW()),minfo!$A:$M,COLUMN()-8,0),"")</f>
        <v>2021哔哩哔哩拜年纪</v>
      </c>
      <c r="T1219" s="4">
        <f ca="1">_xlfn.IFNA(VLOOKUP(INDIRECT("G"&amp;ROW()),minfo!$A:$M,COLUMN()-8,0),"")</f>
        <v>33137051</v>
      </c>
      <c r="U1219" s="4">
        <f ca="1">_xlfn.IFNA(VLOOKUP(INDIRECT("G"&amp;ROW()),minfo!$A:$M,COLUMN()-8,0),"")</f>
        <v>0</v>
      </c>
    </row>
    <row r="1220" spans="1:21" ht="15.75" customHeight="1">
      <c r="A1220" s="15">
        <v>1219</v>
      </c>
      <c r="B1220" s="4" t="s">
        <v>4833</v>
      </c>
      <c r="C1220" s="4">
        <v>1220</v>
      </c>
      <c r="D1220" s="4">
        <v>62</v>
      </c>
      <c r="E1220" s="4" t="s">
        <v>390</v>
      </c>
      <c r="F1220" s="16">
        <v>44855</v>
      </c>
      <c r="G1220" s="5" t="s">
        <v>389</v>
      </c>
      <c r="H1220" s="5" t="s">
        <v>4770</v>
      </c>
      <c r="I1220" s="24" t="str">
        <f>HYPERLINK("https://www.bilibili.com/video/BV1ie4y1B7SZ?p=62", "BV1ie4y1B7SZ?p=62")</f>
        <v>BV1ie4y1B7SZ?p=62</v>
      </c>
      <c r="J1220" s="4" t="str">
        <f ca="1">_xlfn.IFNA(VLOOKUP(INDIRECT("G"&amp;ROW()),minfo!$A:$M,COLUMN()-8,0),"")</f>
        <v>龙卷风</v>
      </c>
      <c r="K1220" s="4" t="str">
        <f ca="1">_xlfn.IFNA(VLOOKUP(INDIRECT("G"&amp;ROW()),minfo!$A:$M,COLUMN()-8,0),"")</f>
        <v>周杰伦</v>
      </c>
      <c r="L1220" s="4">
        <f ca="1">_xlfn.IFNA(VLOOKUP(INDIRECT("G"&amp;ROW()),minfo!$A:$M,COLUMN()-8,0),"")</f>
        <v>0</v>
      </c>
      <c r="M1220" s="4">
        <f ca="1">_xlfn.IFNA(VLOOKUP(INDIRECT("G"&amp;ROW()),minfo!$A:$M,COLUMN()-8,0),"")</f>
        <v>0</v>
      </c>
      <c r="N1220" s="4">
        <f ca="1">_xlfn.IFNA(VLOOKUP(INDIRECT("G"&amp;ROW()),minfo!$A:$M,COLUMN()-8,0),"")</f>
        <v>0</v>
      </c>
      <c r="O1220" s="4" t="str">
        <f ca="1">_xlfn.IFNA(VLOOKUP(INDIRECT("G"&amp;ROW()),minfo!$A:$M,COLUMN()-8,0),"")</f>
        <v>https://i0.hdslb.com/bfs/station_src/music_metadata/d343e724b396706e5d98b10b1def1e6a.jpg</v>
      </c>
      <c r="P1220" s="4" t="str">
        <f ca="1">_xlfn.IFNA(VLOOKUP(INDIRECT("G"&amp;ROW()),minfo!$A:$M,COLUMN()-8,0),"")</f>
        <v>http://i0.hdslb.com/bfs/station_src/music_metadata/8c8d724377f706aa02f776532d7ecf5f</v>
      </c>
      <c r="Q1220" s="4">
        <f ca="1">_xlfn.IFNA(VLOOKUP(INDIRECT("G"&amp;ROW()),minfo!$A:$M,COLUMN()-8,0),"")</f>
        <v>4083</v>
      </c>
      <c r="R1220" s="4">
        <f ca="1">_xlfn.IFNA(VLOOKUP(INDIRECT("G"&amp;ROW()),minfo!$A:$M,COLUMN()-8,0),"")</f>
        <v>0</v>
      </c>
      <c r="S1220" s="4" t="str">
        <f ca="1">_xlfn.IFNA(VLOOKUP(INDIRECT("G"&amp;ROW()),minfo!$A:$M,COLUMN()-8,0),"")</f>
        <v>Jay</v>
      </c>
      <c r="T1220" s="4">
        <f ca="1">_xlfn.IFNA(VLOOKUP(INDIRECT("G"&amp;ROW()),minfo!$A:$M,COLUMN()-8,0),"")</f>
        <v>457122858</v>
      </c>
      <c r="U1220" s="4">
        <f ca="1">_xlfn.IFNA(VLOOKUP(INDIRECT("G"&amp;ROW()),minfo!$A:$M,COLUMN()-8,0),"")</f>
        <v>0</v>
      </c>
    </row>
    <row r="1221" spans="1:21" ht="15.75" customHeight="1">
      <c r="A1221" s="15">
        <v>1220</v>
      </c>
      <c r="B1221" s="4" t="s">
        <v>4834</v>
      </c>
      <c r="C1221" s="4">
        <v>1221</v>
      </c>
      <c r="D1221" s="4">
        <v>63</v>
      </c>
      <c r="E1221" s="4" t="s">
        <v>150</v>
      </c>
      <c r="F1221" s="16">
        <v>44855</v>
      </c>
      <c r="G1221" s="5" t="s">
        <v>149</v>
      </c>
      <c r="H1221" s="5" t="s">
        <v>4770</v>
      </c>
      <c r="I1221" s="24" t="str">
        <f>HYPERLINK("https://www.bilibili.com/video/BV1ie4y1B7SZ?p=63", "BV1ie4y1B7SZ?p=63")</f>
        <v>BV1ie4y1B7SZ?p=63</v>
      </c>
      <c r="J1221" s="4" t="str">
        <f ca="1">_xlfn.IFNA(VLOOKUP(INDIRECT("G"&amp;ROW()),minfo!$A:$M,COLUMN()-8,0),"")</f>
        <v>繁华唱遍</v>
      </c>
      <c r="K1221" s="4" t="str">
        <f ca="1">_xlfn.IFNA(VLOOKUP(INDIRECT("G"&amp;ROW()),minfo!$A:$M,COLUMN()-8,0),"")</f>
        <v>乐正绫</v>
      </c>
      <c r="L1221" s="4">
        <f ca="1">_xlfn.IFNA(VLOOKUP(INDIRECT("G"&amp;ROW()),minfo!$A:$M,COLUMN()-8,0),"")</f>
        <v>0</v>
      </c>
      <c r="M1221" s="4">
        <f ca="1">_xlfn.IFNA(VLOOKUP(INDIRECT("G"&amp;ROW()),minfo!$A:$M,COLUMN()-8,0),"")</f>
        <v>277</v>
      </c>
      <c r="N1221" s="4">
        <f ca="1">_xlfn.IFNA(VLOOKUP(INDIRECT("G"&amp;ROW()),minfo!$A:$M,COLUMN()-8,0),"")</f>
        <v>2</v>
      </c>
      <c r="O1221" s="4">
        <f ca="1">_xlfn.IFNA(VLOOKUP(INDIRECT("G"&amp;ROW()),minfo!$A:$M,COLUMN()-8,0),"")</f>
        <v>0</v>
      </c>
      <c r="P1221" s="4">
        <f ca="1">_xlfn.IFNA(VLOOKUP(INDIRECT("G"&amp;ROW()),minfo!$A:$M,COLUMN()-8,0),"")</f>
        <v>0</v>
      </c>
      <c r="Q1221" s="4">
        <f ca="1">_xlfn.IFNA(VLOOKUP(INDIRECT("G"&amp;ROW()),minfo!$A:$M,COLUMN()-8,0),"")</f>
        <v>156</v>
      </c>
      <c r="R1221" s="4">
        <f ca="1">_xlfn.IFNA(VLOOKUP(INDIRECT("G"&amp;ROW()),minfo!$A:$M,COLUMN()-8,0),"")</f>
        <v>0</v>
      </c>
      <c r="S1221" s="4">
        <f ca="1">_xlfn.IFNA(VLOOKUP(INDIRECT("G"&amp;ROW()),minfo!$A:$M,COLUMN()-8,0),"")</f>
        <v>0</v>
      </c>
      <c r="T1221" s="4">
        <f ca="1">_xlfn.IFNA(VLOOKUP(INDIRECT("G"&amp;ROW()),minfo!$A:$M,COLUMN()-8,0),"")</f>
        <v>71832236</v>
      </c>
      <c r="U1221" s="4">
        <f ca="1">_xlfn.IFNA(VLOOKUP(INDIRECT("G"&amp;ROW()),minfo!$A:$M,COLUMN()-8,0),"")</f>
        <v>0</v>
      </c>
    </row>
    <row r="1222" spans="1:21" ht="15.75" customHeight="1">
      <c r="A1222" s="15">
        <v>1221</v>
      </c>
      <c r="B1222" s="4" t="s">
        <v>4835</v>
      </c>
      <c r="C1222" s="4">
        <v>1222</v>
      </c>
      <c r="D1222" s="4">
        <v>64</v>
      </c>
      <c r="E1222" s="4" t="s">
        <v>378</v>
      </c>
      <c r="F1222" s="16">
        <v>44855</v>
      </c>
      <c r="G1222" s="5" t="s">
        <v>1210</v>
      </c>
      <c r="H1222" s="5" t="s">
        <v>4770</v>
      </c>
      <c r="I1222" s="24" t="str">
        <f>HYPERLINK("https://www.bilibili.com/video/BV1ie4y1B7SZ?p=64", "BV1ie4y1B7SZ?p=64")</f>
        <v>BV1ie4y1B7SZ?p=64</v>
      </c>
      <c r="J1222" s="4" t="str">
        <f ca="1">_xlfn.IFNA(VLOOKUP(INDIRECT("G"&amp;ROW()),minfo!$A:$M,COLUMN()-8,0),"")</f>
        <v>我很忙</v>
      </c>
      <c r="K1222" s="4" t="str">
        <f ca="1">_xlfn.IFNA(VLOOKUP(INDIRECT("G"&amp;ROW()),minfo!$A:$M,COLUMN()-8,0),"")</f>
        <v>黄丽玲</v>
      </c>
      <c r="L1222" s="4">
        <f ca="1">_xlfn.IFNA(VLOOKUP(INDIRECT("G"&amp;ROW()),minfo!$A:$M,COLUMN()-8,0),"")</f>
        <v>0</v>
      </c>
      <c r="M1222" s="4">
        <f ca="1">_xlfn.IFNA(VLOOKUP(INDIRECT("G"&amp;ROW()),minfo!$A:$M,COLUMN()-8,0),"")</f>
        <v>0</v>
      </c>
      <c r="N1222" s="4">
        <f ca="1">_xlfn.IFNA(VLOOKUP(INDIRECT("G"&amp;ROW()),minfo!$A:$M,COLUMN()-8,0),"")</f>
        <v>0</v>
      </c>
      <c r="O1222" s="4" t="str">
        <f ca="1">_xlfn.IFNA(VLOOKUP(INDIRECT("G"&amp;ROW()),minfo!$A:$M,COLUMN()-8,0),"")</f>
        <v>https://i0.hdslb.com/bfs/station_src/music_metadata/48397dbb63cd5969dc63b01aa1d0d8a5.jpg</v>
      </c>
      <c r="P1222" s="4" t="str">
        <f ca="1">_xlfn.IFNA(VLOOKUP(INDIRECT("G"&amp;ROW()),minfo!$A:$M,COLUMN()-8,0),"")</f>
        <v>https://i0.hdslb.com/bfs/station_src/music_metadata/bd60b926118ad39fd6e624910ce0f5b5.txt</v>
      </c>
      <c r="Q1222" s="4">
        <f ca="1">_xlfn.IFNA(VLOOKUP(INDIRECT("G"&amp;ROW()),minfo!$A:$M,COLUMN()-8,0),"")</f>
        <v>2</v>
      </c>
      <c r="R1222" s="4">
        <f ca="1">_xlfn.IFNA(VLOOKUP(INDIRECT("G"&amp;ROW()),minfo!$A:$M,COLUMN()-8,0),"")</f>
        <v>0</v>
      </c>
      <c r="S1222" s="4" t="str">
        <f ca="1">_xlfn.IFNA(VLOOKUP(INDIRECT("G"&amp;ROW()),minfo!$A:$M,COLUMN()-8,0),"")</f>
        <v>我们会更好的</v>
      </c>
      <c r="T1222" s="4">
        <f ca="1">_xlfn.IFNA(VLOOKUP(INDIRECT("G"&amp;ROW()),minfo!$A:$M,COLUMN()-8,0),"")</f>
        <v>2445092</v>
      </c>
      <c r="U1222" s="4">
        <f ca="1">_xlfn.IFNA(VLOOKUP(INDIRECT("G"&amp;ROW()),minfo!$A:$M,COLUMN()-8,0),"")</f>
        <v>0</v>
      </c>
    </row>
    <row r="1223" spans="1:21" ht="15.75" customHeight="1">
      <c r="A1223" s="15">
        <v>1222</v>
      </c>
      <c r="B1223" s="4" t="s">
        <v>4836</v>
      </c>
      <c r="C1223" s="4">
        <v>1223</v>
      </c>
      <c r="D1223" s="4">
        <v>65</v>
      </c>
      <c r="E1223" s="4" t="s">
        <v>1853</v>
      </c>
      <c r="F1223" s="16">
        <v>44855</v>
      </c>
      <c r="G1223" s="5" t="s">
        <v>1852</v>
      </c>
      <c r="H1223" s="5" t="s">
        <v>4770</v>
      </c>
      <c r="I1223" s="24" t="str">
        <f>HYPERLINK("https://www.bilibili.com/video/BV1ie4y1B7SZ?p=65", "BV1ie4y1B7SZ?p=65")</f>
        <v>BV1ie4y1B7SZ?p=65</v>
      </c>
      <c r="J1223" s="4" t="str">
        <f ca="1">_xlfn.IFNA(VLOOKUP(INDIRECT("G"&amp;ROW()),minfo!$A:$M,COLUMN()-8,0),"")</f>
        <v>煎熬</v>
      </c>
      <c r="K1223" s="4" t="str">
        <f ca="1">_xlfn.IFNA(VLOOKUP(INDIRECT("G"&amp;ROW()),minfo!$A:$M,COLUMN()-8,0),"")</f>
        <v>李佳薇</v>
      </c>
      <c r="L1223" s="4">
        <f ca="1">_xlfn.IFNA(VLOOKUP(INDIRECT("G"&amp;ROW()),minfo!$A:$M,COLUMN()-8,0),"")</f>
        <v>0</v>
      </c>
      <c r="M1223" s="4">
        <f ca="1">_xlfn.IFNA(VLOOKUP(INDIRECT("G"&amp;ROW()),minfo!$A:$M,COLUMN()-8,0),"")</f>
        <v>0</v>
      </c>
      <c r="N1223" s="4">
        <f ca="1">_xlfn.IFNA(VLOOKUP(INDIRECT("G"&amp;ROW()),minfo!$A:$M,COLUMN()-8,0),"")</f>
        <v>0</v>
      </c>
      <c r="O1223" s="4" t="str">
        <f ca="1">_xlfn.IFNA(VLOOKUP(INDIRECT("G"&amp;ROW()),minfo!$A:$M,COLUMN()-8,0),"")</f>
        <v>https://i0.hdslb.com/bfs/station_src/music_metadata/392896194db7b1c3645448301e7145bd.jpg</v>
      </c>
      <c r="P1223" s="4" t="str">
        <f ca="1">_xlfn.IFNA(VLOOKUP(INDIRECT("G"&amp;ROW()),minfo!$A:$M,COLUMN()-8,0),"")</f>
        <v>http://i0.hdslb.com/bfs/station_src/music_metadata/08d904e76245632fb8aa600eff409bb7</v>
      </c>
      <c r="Q1223" s="4">
        <f ca="1">_xlfn.IFNA(VLOOKUP(INDIRECT("G"&amp;ROW()),minfo!$A:$M,COLUMN()-8,0),"")</f>
        <v>166</v>
      </c>
      <c r="R1223" s="4">
        <f ca="1">_xlfn.IFNA(VLOOKUP(INDIRECT("G"&amp;ROW()),minfo!$A:$M,COLUMN()-8,0),"")</f>
        <v>0</v>
      </c>
      <c r="S1223" s="4">
        <f ca="1">_xlfn.IFNA(VLOOKUP(INDIRECT("G"&amp;ROW()),minfo!$A:$M,COLUMN()-8,0),"")</f>
        <v>0</v>
      </c>
      <c r="T1223" s="4">
        <f ca="1">_xlfn.IFNA(VLOOKUP(INDIRECT("G"&amp;ROW()),minfo!$A:$M,COLUMN()-8,0),"")</f>
        <v>141841699</v>
      </c>
      <c r="U1223" s="4">
        <f ca="1">_xlfn.IFNA(VLOOKUP(INDIRECT("G"&amp;ROW()),minfo!$A:$M,COLUMN()-8,0),"")</f>
        <v>0</v>
      </c>
    </row>
    <row r="1224" spans="1:21" ht="15.75" customHeight="1">
      <c r="A1224" s="15">
        <v>1223</v>
      </c>
      <c r="B1224" s="4" t="s">
        <v>4837</v>
      </c>
      <c r="C1224" s="4">
        <v>1224</v>
      </c>
      <c r="D1224" s="4">
        <v>66</v>
      </c>
      <c r="E1224" s="4" t="s">
        <v>536</v>
      </c>
      <c r="F1224" s="16">
        <v>44855</v>
      </c>
      <c r="G1224" s="5" t="s">
        <v>535</v>
      </c>
      <c r="H1224" s="5" t="s">
        <v>4770</v>
      </c>
      <c r="I1224" s="24" t="str">
        <f>HYPERLINK("https://www.bilibili.com/video/BV1ie4y1B7SZ?p=66", "BV1ie4y1B7SZ?p=66")</f>
        <v>BV1ie4y1B7SZ?p=66</v>
      </c>
      <c r="J1224" s="4" t="str">
        <f ca="1">_xlfn.IFNA(VLOOKUP(INDIRECT("G"&amp;ROW()),minfo!$A:$M,COLUMN()-8,0),"")</f>
        <v>红颜如霜</v>
      </c>
      <c r="K1224" s="4" t="str">
        <f ca="1">_xlfn.IFNA(VLOOKUP(INDIRECT("G"&amp;ROW()),minfo!$A:$M,COLUMN()-8,0),"")</f>
        <v>周杰伦</v>
      </c>
      <c r="L1224" s="4">
        <f ca="1">_xlfn.IFNA(VLOOKUP(INDIRECT("G"&amp;ROW()),minfo!$A:$M,COLUMN()-8,0),"")</f>
        <v>0</v>
      </c>
      <c r="M1224" s="4">
        <f ca="1">_xlfn.IFNA(VLOOKUP(INDIRECT("G"&amp;ROW()),minfo!$A:$M,COLUMN()-8,0),"")</f>
        <v>179425</v>
      </c>
      <c r="N1224" s="4">
        <f ca="1">_xlfn.IFNA(VLOOKUP(INDIRECT("G"&amp;ROW()),minfo!$A:$M,COLUMN()-8,0),"")</f>
        <v>61254</v>
      </c>
      <c r="O1224" s="4" t="str">
        <f ca="1">_xlfn.IFNA(VLOOKUP(INDIRECT("G"&amp;ROW()),minfo!$A:$M,COLUMN()-8,0),"")</f>
        <v>https://i0.hdslb.com/bfs/station_src/music_metadata/b0bbef33041121e4c8107f9d82ff0e60.jpg</v>
      </c>
      <c r="P1224" s="4">
        <f ca="1">_xlfn.IFNA(VLOOKUP(INDIRECT("G"&amp;ROW()),minfo!$A:$M,COLUMN()-8,0),"")</f>
        <v>0</v>
      </c>
      <c r="Q1224" s="4">
        <f ca="1">_xlfn.IFNA(VLOOKUP(INDIRECT("G"&amp;ROW()),minfo!$A:$M,COLUMN()-8,0),"")</f>
        <v>17510</v>
      </c>
      <c r="R1224" s="4">
        <f ca="1">_xlfn.IFNA(VLOOKUP(INDIRECT("G"&amp;ROW()),minfo!$A:$M,COLUMN()-8,0),"")</f>
        <v>0</v>
      </c>
      <c r="S1224" s="4" t="str">
        <f ca="1">_xlfn.IFNA(VLOOKUP(INDIRECT("G"&amp;ROW()),minfo!$A:$M,COLUMN()-8,0),"")</f>
        <v>最伟大的作品</v>
      </c>
      <c r="T1224" s="4">
        <f ca="1">_xlfn.IFNA(VLOOKUP(INDIRECT("G"&amp;ROW()),minfo!$A:$M,COLUMN()-8,0),"")</f>
        <v>237302125</v>
      </c>
      <c r="U1224" s="4" t="str">
        <f ca="1">_xlfn.IFNA(VLOOKUP(INDIRECT("G"&amp;ROW()),minfo!$A:$M,COLUMN()-8,0),"")</f>
        <v>音乐榜最高NO.2</v>
      </c>
    </row>
    <row r="1225" spans="1:21" ht="15.75" customHeight="1">
      <c r="A1225" s="15">
        <v>1224</v>
      </c>
      <c r="B1225" s="4" t="s">
        <v>4838</v>
      </c>
      <c r="C1225" s="4">
        <v>1225</v>
      </c>
      <c r="D1225" s="4">
        <v>67</v>
      </c>
      <c r="E1225" s="4" t="s">
        <v>1206</v>
      </c>
      <c r="F1225" s="16">
        <v>44856</v>
      </c>
      <c r="G1225" s="5" t="s">
        <v>1205</v>
      </c>
      <c r="H1225" s="5" t="s">
        <v>4770</v>
      </c>
      <c r="I1225" s="24" t="str">
        <f>HYPERLINK("https://www.bilibili.com/video/BV1ie4y1B7SZ?p=67", "BV1ie4y1B7SZ?p=67")</f>
        <v>BV1ie4y1B7SZ?p=67</v>
      </c>
      <c r="J1225" s="4" t="str">
        <f ca="1">_xlfn.IFNA(VLOOKUP(INDIRECT("G"&amp;ROW()),minfo!$A:$M,COLUMN()-8,0),"")</f>
        <v>给我一个理由忘记</v>
      </c>
      <c r="K1225" s="4" t="str">
        <f ca="1">_xlfn.IFNA(VLOOKUP(INDIRECT("G"&amp;ROW()),minfo!$A:$M,COLUMN()-8,0),"")</f>
        <v>A-Lin</v>
      </c>
      <c r="L1225" s="4">
        <f ca="1">_xlfn.IFNA(VLOOKUP(INDIRECT("G"&amp;ROW()),minfo!$A:$M,COLUMN()-8,0),"")</f>
        <v>0</v>
      </c>
      <c r="M1225" s="4">
        <f ca="1">_xlfn.IFNA(VLOOKUP(INDIRECT("G"&amp;ROW()),minfo!$A:$M,COLUMN()-8,0),"")</f>
        <v>0</v>
      </c>
      <c r="N1225" s="4">
        <f ca="1">_xlfn.IFNA(VLOOKUP(INDIRECT("G"&amp;ROW()),minfo!$A:$M,COLUMN()-8,0),"")</f>
        <v>0</v>
      </c>
      <c r="O1225" s="4" t="str">
        <f ca="1">_xlfn.IFNA(VLOOKUP(INDIRECT("G"&amp;ROW()),minfo!$A:$M,COLUMN()-8,0),"")</f>
        <v>http://i0.hdslb.com/bfs/station_src/music_metadata/bd76bf11fc6f5c6df48b11ced3d8af44.jpg</v>
      </c>
      <c r="P1225" s="4" t="str">
        <f ca="1">_xlfn.IFNA(VLOOKUP(INDIRECT("G"&amp;ROW()),minfo!$A:$M,COLUMN()-8,0),"")</f>
        <v>http://i0.hdslb.com/bfs/station_src/music_metadata/36b0dd2ce9b34c735a4eceb168e31c57</v>
      </c>
      <c r="Q1225" s="4">
        <f ca="1">_xlfn.IFNA(VLOOKUP(INDIRECT("G"&amp;ROW()),minfo!$A:$M,COLUMN()-8,0),"")</f>
        <v>388</v>
      </c>
      <c r="R1225" s="4">
        <f ca="1">_xlfn.IFNA(VLOOKUP(INDIRECT("G"&amp;ROW()),minfo!$A:$M,COLUMN()-8,0),"")</f>
        <v>0</v>
      </c>
      <c r="S1225" s="4" t="str">
        <f ca="1">_xlfn.IFNA(VLOOKUP(INDIRECT("G"&amp;ROW()),minfo!$A:$M,COLUMN()-8,0),"")</f>
        <v>寂寞不痛</v>
      </c>
      <c r="T1225" s="4">
        <f ca="1">_xlfn.IFNA(VLOOKUP(INDIRECT("G"&amp;ROW()),minfo!$A:$M,COLUMN()-8,0),"")</f>
        <v>75022447</v>
      </c>
      <c r="U1225" s="4">
        <f ca="1">_xlfn.IFNA(VLOOKUP(INDIRECT("G"&amp;ROW()),minfo!$A:$M,COLUMN()-8,0),"")</f>
        <v>0</v>
      </c>
    </row>
    <row r="1226" spans="1:21" ht="15.75" customHeight="1">
      <c r="A1226" s="15">
        <v>1225</v>
      </c>
      <c r="B1226" s="4" t="s">
        <v>4839</v>
      </c>
      <c r="C1226" s="4">
        <v>1226</v>
      </c>
      <c r="D1226" s="4">
        <v>68</v>
      </c>
      <c r="E1226" s="4" t="s">
        <v>488</v>
      </c>
      <c r="F1226" s="16">
        <v>44856</v>
      </c>
      <c r="G1226" s="5" t="s">
        <v>487</v>
      </c>
      <c r="H1226" s="5" t="s">
        <v>4770</v>
      </c>
      <c r="I1226" s="24" t="str">
        <f>HYPERLINK("https://www.bilibili.com/video/BV1ie4y1B7SZ?p=68", "BV1ie4y1B7SZ?p=68")</f>
        <v>BV1ie4y1B7SZ?p=68</v>
      </c>
      <c r="J1226" s="4" t="str">
        <f ca="1">_xlfn.IFNA(VLOOKUP(INDIRECT("G"&amp;ROW()),minfo!$A:$M,COLUMN()-8,0),"")</f>
        <v>如此</v>
      </c>
      <c r="K1226" s="4" t="str">
        <f ca="1">_xlfn.IFNA(VLOOKUP(INDIRECT("G"&amp;ROW()),minfo!$A:$M,COLUMN()-8,0),"")</f>
        <v>单依纯</v>
      </c>
      <c r="L1226" s="4">
        <f ca="1">_xlfn.IFNA(VLOOKUP(INDIRECT("G"&amp;ROW()),minfo!$A:$M,COLUMN()-8,0),"")</f>
        <v>0</v>
      </c>
      <c r="M1226" s="4">
        <f ca="1">_xlfn.IFNA(VLOOKUP(INDIRECT("G"&amp;ROW()),minfo!$A:$M,COLUMN()-8,0),"")</f>
        <v>0</v>
      </c>
      <c r="N1226" s="4">
        <f ca="1">_xlfn.IFNA(VLOOKUP(INDIRECT("G"&amp;ROW()),minfo!$A:$M,COLUMN()-8,0),"")</f>
        <v>0</v>
      </c>
      <c r="O1226" s="4" t="str">
        <f ca="1">_xlfn.IFNA(VLOOKUP(INDIRECT("G"&amp;ROW()),minfo!$A:$M,COLUMN()-8,0),"")</f>
        <v>https://i0.hdslb.com/bfs/station_src/music_metadata/02e014c37d605c9c48efcef4cb1658b5.jpg</v>
      </c>
      <c r="P1226" s="4">
        <f ca="1">_xlfn.IFNA(VLOOKUP(INDIRECT("G"&amp;ROW()),minfo!$A:$M,COLUMN()-8,0),"")</f>
        <v>0</v>
      </c>
      <c r="Q1226" s="4">
        <f ca="1">_xlfn.IFNA(VLOOKUP(INDIRECT("G"&amp;ROW()),minfo!$A:$M,COLUMN()-8,0),"")</f>
        <v>32</v>
      </c>
      <c r="R1226" s="4">
        <f ca="1">_xlfn.IFNA(VLOOKUP(INDIRECT("G"&amp;ROW()),minfo!$A:$M,COLUMN()-8,0),"")</f>
        <v>0</v>
      </c>
      <c r="S1226" s="4" t="str">
        <f ca="1">_xlfn.IFNA(VLOOKUP(INDIRECT("G"&amp;ROW()),minfo!$A:$M,COLUMN()-8,0),"")</f>
        <v>2020中国好声音 第10期</v>
      </c>
      <c r="T1226" s="4">
        <f ca="1">_xlfn.IFNA(VLOOKUP(INDIRECT("G"&amp;ROW()),minfo!$A:$M,COLUMN()-8,0),"")</f>
        <v>13362616</v>
      </c>
      <c r="U1226" s="4">
        <f ca="1">_xlfn.IFNA(VLOOKUP(INDIRECT("G"&amp;ROW()),minfo!$A:$M,COLUMN()-8,0),"")</f>
        <v>0</v>
      </c>
    </row>
    <row r="1227" spans="1:21" ht="15.75" customHeight="1">
      <c r="A1227" s="15">
        <v>1226</v>
      </c>
      <c r="B1227" s="4" t="s">
        <v>4840</v>
      </c>
      <c r="C1227" s="4">
        <v>1227</v>
      </c>
      <c r="D1227" s="4">
        <v>69</v>
      </c>
      <c r="E1227" s="4" t="s">
        <v>1834</v>
      </c>
      <c r="F1227" s="16">
        <v>44856</v>
      </c>
      <c r="G1227" s="5" t="s">
        <v>1833</v>
      </c>
      <c r="H1227" s="5" t="s">
        <v>4770</v>
      </c>
      <c r="I1227" s="24" t="str">
        <f>HYPERLINK("https://www.bilibili.com/video/BV1ie4y1B7SZ?p=69", "BV1ie4y1B7SZ?p=69")</f>
        <v>BV1ie4y1B7SZ?p=69</v>
      </c>
      <c r="J1227" s="4" t="str">
        <f ca="1">_xlfn.IFNA(VLOOKUP(INDIRECT("G"&amp;ROW()),minfo!$A:$M,COLUMN()-8,0),"")</f>
        <v>好久不见</v>
      </c>
      <c r="K1227" s="4" t="str">
        <f ca="1">_xlfn.IFNA(VLOOKUP(INDIRECT("G"&amp;ROW()),minfo!$A:$M,COLUMN()-8,0),"")</f>
        <v>陈奕迅</v>
      </c>
      <c r="L1227" s="4">
        <f ca="1">_xlfn.IFNA(VLOOKUP(INDIRECT("G"&amp;ROW()),minfo!$A:$M,COLUMN()-8,0),"")</f>
        <v>0</v>
      </c>
      <c r="M1227" s="4">
        <f ca="1">_xlfn.IFNA(VLOOKUP(INDIRECT("G"&amp;ROW()),minfo!$A:$M,COLUMN()-8,0),"")</f>
        <v>0</v>
      </c>
      <c r="N1227" s="4">
        <f ca="1">_xlfn.IFNA(VLOOKUP(INDIRECT("G"&amp;ROW()),minfo!$A:$M,COLUMN()-8,0),"")</f>
        <v>0</v>
      </c>
      <c r="O1227" s="4" t="str">
        <f ca="1">_xlfn.IFNA(VLOOKUP(INDIRECT("G"&amp;ROW()),minfo!$A:$M,COLUMN()-8,0),"")</f>
        <v>http://i0.hdslb.com/bfs/station_src/music_metadata/88d27fa622749c05378197f26416a668.jpg</v>
      </c>
      <c r="P1227" s="4" t="str">
        <f ca="1">_xlfn.IFNA(VLOOKUP(INDIRECT("G"&amp;ROW()),minfo!$A:$M,COLUMN()-8,0),"")</f>
        <v>http://i0.hdslb.com/bfs/station_src/music_metadata/df74b6beacc1517c61c7e5b9886f9e6c</v>
      </c>
      <c r="Q1227" s="4">
        <f ca="1">_xlfn.IFNA(VLOOKUP(INDIRECT("G"&amp;ROW()),minfo!$A:$M,COLUMN()-8,0),"")</f>
        <v>642</v>
      </c>
      <c r="R1227" s="4">
        <f ca="1">_xlfn.IFNA(VLOOKUP(INDIRECT("G"&amp;ROW()),minfo!$A:$M,COLUMN()-8,0),"")</f>
        <v>0</v>
      </c>
      <c r="S1227" s="4" t="str">
        <f ca="1">_xlfn.IFNA(VLOOKUP(INDIRECT("G"&amp;ROW()),minfo!$A:$M,COLUMN()-8,0),"")</f>
        <v>认了吧</v>
      </c>
      <c r="T1227" s="4">
        <f ca="1">_xlfn.IFNA(VLOOKUP(INDIRECT("G"&amp;ROW()),minfo!$A:$M,COLUMN()-8,0),"")</f>
        <v>197318709</v>
      </c>
      <c r="U1227" s="4">
        <f ca="1">_xlfn.IFNA(VLOOKUP(INDIRECT("G"&amp;ROW()),minfo!$A:$M,COLUMN()-8,0),"")</f>
        <v>0</v>
      </c>
    </row>
    <row r="1228" spans="1:21" ht="15.75" customHeight="1">
      <c r="A1228" s="15">
        <v>1227</v>
      </c>
      <c r="B1228" s="4" t="s">
        <v>4841</v>
      </c>
      <c r="C1228" s="4">
        <v>1228</v>
      </c>
      <c r="D1228" s="4">
        <v>70</v>
      </c>
      <c r="E1228" s="4" t="s">
        <v>573</v>
      </c>
      <c r="F1228" s="16">
        <v>44856</v>
      </c>
      <c r="G1228" s="5" t="s">
        <v>572</v>
      </c>
      <c r="H1228" s="5" t="s">
        <v>4770</v>
      </c>
      <c r="I1228" s="24" t="str">
        <f>HYPERLINK("https://www.bilibili.com/video/BV1ie4y1B7SZ?p=70", "BV1ie4y1B7SZ?p=70")</f>
        <v>BV1ie4y1B7SZ?p=70</v>
      </c>
      <c r="J1228" s="4" t="str">
        <f ca="1">_xlfn.IFNA(VLOOKUP(INDIRECT("G"&amp;ROW()),minfo!$A:$M,COLUMN()-8,0),"")</f>
        <v>红玫瑰</v>
      </c>
      <c r="K1228" s="4" t="str">
        <f ca="1">_xlfn.IFNA(VLOOKUP(INDIRECT("G"&amp;ROW()),minfo!$A:$M,COLUMN()-8,0),"")</f>
        <v>陈奕迅</v>
      </c>
      <c r="L1228" s="4">
        <f ca="1">_xlfn.IFNA(VLOOKUP(INDIRECT("G"&amp;ROW()),minfo!$A:$M,COLUMN()-8,0),"")</f>
        <v>0</v>
      </c>
      <c r="M1228" s="4">
        <f ca="1">_xlfn.IFNA(VLOOKUP(INDIRECT("G"&amp;ROW()),minfo!$A:$M,COLUMN()-8,0),"")</f>
        <v>0</v>
      </c>
      <c r="N1228" s="4">
        <f ca="1">_xlfn.IFNA(VLOOKUP(INDIRECT("G"&amp;ROW()),minfo!$A:$M,COLUMN()-8,0),"")</f>
        <v>0</v>
      </c>
      <c r="O1228" s="4" t="str">
        <f ca="1">_xlfn.IFNA(VLOOKUP(INDIRECT("G"&amp;ROW()),minfo!$A:$M,COLUMN()-8,0),"")</f>
        <v>https://i0.hdslb.com/bfs/station_src/music_metadata/daf19af215835bc6fc2fd9f40df9b04c.jpg</v>
      </c>
      <c r="P1228" s="4" t="str">
        <f ca="1">_xlfn.IFNA(VLOOKUP(INDIRECT("G"&amp;ROW()),minfo!$A:$M,COLUMN()-8,0),"")</f>
        <v>https://i0.hdslb.com/bfs/station_src/music_metadata/b2ebf3e83b28b1a8211f6c0893a42e7a.txt</v>
      </c>
      <c r="Q1228" s="4">
        <f ca="1">_xlfn.IFNA(VLOOKUP(INDIRECT("G"&amp;ROW()),minfo!$A:$M,COLUMN()-8,0),"")</f>
        <v>662</v>
      </c>
      <c r="R1228" s="4">
        <f ca="1">_xlfn.IFNA(VLOOKUP(INDIRECT("G"&amp;ROW()),minfo!$A:$M,COLUMN()-8,0),"")</f>
        <v>0</v>
      </c>
      <c r="S1228" s="4" t="str">
        <f ca="1">_xlfn.IFNA(VLOOKUP(INDIRECT("G"&amp;ROW()),minfo!$A:$M,COLUMN()-8,0),"")</f>
        <v>认了吧</v>
      </c>
      <c r="T1228" s="4">
        <f ca="1">_xlfn.IFNA(VLOOKUP(INDIRECT("G"&amp;ROW()),minfo!$A:$M,COLUMN()-8,0),"")</f>
        <v>297394501</v>
      </c>
      <c r="U1228" s="4">
        <f ca="1">_xlfn.IFNA(VLOOKUP(INDIRECT("G"&amp;ROW()),minfo!$A:$M,COLUMN()-8,0),"")</f>
        <v>0</v>
      </c>
    </row>
    <row r="1229" spans="1:21" ht="15.75" customHeight="1">
      <c r="A1229" s="15">
        <v>1228</v>
      </c>
      <c r="B1229" s="4" t="s">
        <v>4842</v>
      </c>
      <c r="C1229" s="4">
        <v>1229</v>
      </c>
      <c r="D1229" s="4">
        <v>71</v>
      </c>
      <c r="E1229" s="4" t="s">
        <v>2642</v>
      </c>
      <c r="F1229" s="16">
        <v>44856</v>
      </c>
      <c r="G1229" s="5" t="s">
        <v>2641</v>
      </c>
      <c r="H1229" s="5" t="s">
        <v>4770</v>
      </c>
      <c r="I1229" s="24" t="str">
        <f>HYPERLINK("https://www.bilibili.com/video/BV1ie4y1B7SZ?p=71", "BV1ie4y1B7SZ?p=71")</f>
        <v>BV1ie4y1B7SZ?p=71</v>
      </c>
      <c r="J1229" s="4" t="str">
        <f ca="1">_xlfn.IFNA(VLOOKUP(INDIRECT("G"&amp;ROW()),minfo!$A:$M,COLUMN()-8,0),"")</f>
        <v>海底</v>
      </c>
      <c r="K1229" s="4" t="str">
        <f ca="1">_xlfn.IFNA(VLOOKUP(INDIRECT("G"&amp;ROW()),minfo!$A:$M,COLUMN()-8,0),"")</f>
        <v>一支榴莲</v>
      </c>
      <c r="L1229" s="4">
        <f ca="1">_xlfn.IFNA(VLOOKUP(INDIRECT("G"&amp;ROW()),minfo!$A:$M,COLUMN()-8,0),"")</f>
        <v>0</v>
      </c>
      <c r="M1229" s="4">
        <f ca="1">_xlfn.IFNA(VLOOKUP(INDIRECT("G"&amp;ROW()),minfo!$A:$M,COLUMN()-8,0),"")</f>
        <v>0</v>
      </c>
      <c r="N1229" s="4">
        <f ca="1">_xlfn.IFNA(VLOOKUP(INDIRECT("G"&amp;ROW()),minfo!$A:$M,COLUMN()-8,0),"")</f>
        <v>0</v>
      </c>
      <c r="O1229" s="4" t="str">
        <f ca="1">_xlfn.IFNA(VLOOKUP(INDIRECT("G"&amp;ROW()),minfo!$A:$M,COLUMN()-8,0),"")</f>
        <v>https://i0.hdslb.com/bfs/station_src/music_metadata/d686086920339a08b47dba72e330b1c7.jpg</v>
      </c>
      <c r="P1229" s="4" t="str">
        <f ca="1">_xlfn.IFNA(VLOOKUP(INDIRECT("G"&amp;ROW()),minfo!$A:$M,COLUMN()-8,0),"")</f>
        <v>http://i0.hdslb.com/bfs/station_src/music_metadata/80aa9f5d4abeca66476cf049a6f72bc5</v>
      </c>
      <c r="Q1229" s="4">
        <f ca="1">_xlfn.IFNA(VLOOKUP(INDIRECT("G"&amp;ROW()),minfo!$A:$M,COLUMN()-8,0),"")</f>
        <v>13217</v>
      </c>
      <c r="R1229" s="4" t="str">
        <f ca="1">_xlfn.IFNA(VLOOKUP(INDIRECT("G"&amp;ROW()),minfo!$A:$M,COLUMN()-8,0),"")</f>
        <v>海底</v>
      </c>
      <c r="S1229" s="4" t="str">
        <f ca="1">_xlfn.IFNA(VLOOKUP(INDIRECT("G"&amp;ROW()),minfo!$A:$M,COLUMN()-8,0),"")</f>
        <v>海底</v>
      </c>
      <c r="T1229" s="4">
        <f ca="1">_xlfn.IFNA(VLOOKUP(INDIRECT("G"&amp;ROW()),minfo!$A:$M,COLUMN()-8,0),"")</f>
        <v>858384536</v>
      </c>
      <c r="U1229" s="4">
        <f ca="1">_xlfn.IFNA(VLOOKUP(INDIRECT("G"&amp;ROW()),minfo!$A:$M,COLUMN()-8,0),"")</f>
        <v>0</v>
      </c>
    </row>
    <row r="1230" spans="1:21" ht="15.75" customHeight="1">
      <c r="A1230" s="15">
        <v>1229</v>
      </c>
      <c r="B1230" s="4" t="s">
        <v>4843</v>
      </c>
      <c r="C1230" s="4">
        <v>1230</v>
      </c>
      <c r="D1230" s="4">
        <v>72</v>
      </c>
      <c r="E1230" s="4" t="s">
        <v>2419</v>
      </c>
      <c r="F1230" s="16">
        <v>44856</v>
      </c>
      <c r="G1230" s="5" t="s">
        <v>2418</v>
      </c>
      <c r="H1230" s="5" t="s">
        <v>4770</v>
      </c>
      <c r="I1230" s="24" t="str">
        <f>HYPERLINK("https://www.bilibili.com/video/BV1ie4y1B7SZ?p=72", "BV1ie4y1B7SZ?p=72")</f>
        <v>BV1ie4y1B7SZ?p=72</v>
      </c>
      <c r="J1230" s="4" t="str">
        <f ca="1">_xlfn.IFNA(VLOOKUP(INDIRECT("G"&amp;ROW()),minfo!$A:$M,COLUMN()-8,0),"")</f>
        <v>我们的爱</v>
      </c>
      <c r="K1230" s="4" t="str">
        <f ca="1">_xlfn.IFNA(VLOOKUP(INDIRECT("G"&amp;ROW()),minfo!$A:$M,COLUMN()-8,0),"")</f>
        <v>F.I.R.飞儿乐团</v>
      </c>
      <c r="L1230" s="4">
        <f ca="1">_xlfn.IFNA(VLOOKUP(INDIRECT("G"&amp;ROW()),minfo!$A:$M,COLUMN()-8,0),"")</f>
        <v>0</v>
      </c>
      <c r="M1230" s="4">
        <f ca="1">_xlfn.IFNA(VLOOKUP(INDIRECT("G"&amp;ROW()),minfo!$A:$M,COLUMN()-8,0),"")</f>
        <v>0</v>
      </c>
      <c r="N1230" s="4">
        <f ca="1">_xlfn.IFNA(VLOOKUP(INDIRECT("G"&amp;ROW()),minfo!$A:$M,COLUMN()-8,0),"")</f>
        <v>0</v>
      </c>
      <c r="O1230" s="4" t="str">
        <f ca="1">_xlfn.IFNA(VLOOKUP(INDIRECT("G"&amp;ROW()),minfo!$A:$M,COLUMN()-8,0),"")</f>
        <v>http://i0.hdslb.com/bfs/station_src/music_metadata/7e15a3c08fa866a6e72e36164864f52c.jpg</v>
      </c>
      <c r="P1230" s="4" t="str">
        <f ca="1">_xlfn.IFNA(VLOOKUP(INDIRECT("G"&amp;ROW()),minfo!$A:$M,COLUMN()-8,0),"")</f>
        <v>http://i0.hdslb.com/bfs/station_src/music_metadata/507900be55c2d63c526ed4eb5cf45ca9</v>
      </c>
      <c r="Q1230" s="4">
        <f ca="1">_xlfn.IFNA(VLOOKUP(INDIRECT("G"&amp;ROW()),minfo!$A:$M,COLUMN()-8,0),"")</f>
        <v>1314</v>
      </c>
      <c r="R1230" s="4">
        <f ca="1">_xlfn.IFNA(VLOOKUP(INDIRECT("G"&amp;ROW()),minfo!$A:$M,COLUMN()-8,0),"")</f>
        <v>0</v>
      </c>
      <c r="S1230" s="4" t="str">
        <f ca="1">_xlfn.IFNA(VLOOKUP(INDIRECT("G"&amp;ROW()),minfo!$A:$M,COLUMN()-8,0),"")</f>
        <v>飞儿乐团</v>
      </c>
      <c r="T1230" s="4">
        <f ca="1">_xlfn.IFNA(VLOOKUP(INDIRECT("G"&amp;ROW()),minfo!$A:$M,COLUMN()-8,0),"")</f>
        <v>615567054</v>
      </c>
      <c r="U1230" s="4">
        <f ca="1">_xlfn.IFNA(VLOOKUP(INDIRECT("G"&amp;ROW()),minfo!$A:$M,COLUMN()-8,0),"")</f>
        <v>0</v>
      </c>
    </row>
    <row r="1231" spans="1:21" ht="15.75" customHeight="1">
      <c r="A1231" s="15">
        <v>1230</v>
      </c>
      <c r="B1231" s="4" t="s">
        <v>4844</v>
      </c>
      <c r="C1231" s="4">
        <v>1231</v>
      </c>
      <c r="D1231" s="4">
        <v>73</v>
      </c>
      <c r="E1231" s="4" t="s">
        <v>36</v>
      </c>
      <c r="F1231" s="16">
        <v>44856</v>
      </c>
      <c r="G1231" s="5" t="s">
        <v>35</v>
      </c>
      <c r="H1231" s="5" t="s">
        <v>4770</v>
      </c>
      <c r="I1231" s="24" t="str">
        <f>HYPERLINK("https://www.bilibili.com/video/BV1ie4y1B7SZ?p=73", "BV1ie4y1B7SZ?p=73")</f>
        <v>BV1ie4y1B7SZ?p=73</v>
      </c>
      <c r="J1231" s="4" t="str">
        <f ca="1">_xlfn.IFNA(VLOOKUP(INDIRECT("G"&amp;ROW()),minfo!$A:$M,COLUMN()-8,0),"")</f>
        <v>刻在我心底的名字</v>
      </c>
      <c r="K1231" s="4" t="str">
        <f ca="1">_xlfn.IFNA(VLOOKUP(INDIRECT("G"&amp;ROW()),minfo!$A:$M,COLUMN()-8,0),"")</f>
        <v>卢广仲</v>
      </c>
      <c r="L1231" s="4">
        <f ca="1">_xlfn.IFNA(VLOOKUP(INDIRECT("G"&amp;ROW()),minfo!$A:$M,COLUMN()-8,0),"")</f>
        <v>0</v>
      </c>
      <c r="M1231" s="4">
        <f ca="1">_xlfn.IFNA(VLOOKUP(INDIRECT("G"&amp;ROW()),minfo!$A:$M,COLUMN()-8,0),"")</f>
        <v>0</v>
      </c>
      <c r="N1231" s="4">
        <f ca="1">_xlfn.IFNA(VLOOKUP(INDIRECT("G"&amp;ROW()),minfo!$A:$M,COLUMN()-8,0),"")</f>
        <v>0</v>
      </c>
      <c r="O1231" s="4" t="str">
        <f ca="1">_xlfn.IFNA(VLOOKUP(INDIRECT("G"&amp;ROW()),minfo!$A:$M,COLUMN()-8,0),"")</f>
        <v>http://i0.hdslb.com/bfs/station_src/music_metadata/37ea3e391ee95afdcce1b5218d7a6b89.jpg</v>
      </c>
      <c r="P1231" s="4" t="str">
        <f ca="1">_xlfn.IFNA(VLOOKUP(INDIRECT("G"&amp;ROW()),minfo!$A:$M,COLUMN()-8,0),"")</f>
        <v>http://i0.hdslb.com/bfs/station_src/music_metadata/5a0249850c66fe79f1f63995afb75828</v>
      </c>
      <c r="Q1231" s="4">
        <f ca="1">_xlfn.IFNA(VLOOKUP(INDIRECT("G"&amp;ROW()),minfo!$A:$M,COLUMN()-8,0),"")</f>
        <v>938</v>
      </c>
      <c r="R1231" s="4">
        <f ca="1">_xlfn.IFNA(VLOOKUP(INDIRECT("G"&amp;ROW()),minfo!$A:$M,COLUMN()-8,0),"")</f>
        <v>0</v>
      </c>
      <c r="S1231" s="4" t="str">
        <f ca="1">_xlfn.IFNA(VLOOKUP(INDIRECT("G"&amp;ROW()),minfo!$A:$M,COLUMN()-8,0),"")</f>
        <v>刻在我心底的名字</v>
      </c>
      <c r="T1231" s="4">
        <f ca="1">_xlfn.IFNA(VLOOKUP(INDIRECT("G"&amp;ROW()),minfo!$A:$M,COLUMN()-8,0),"")</f>
        <v>127569700</v>
      </c>
      <c r="U1231" s="4">
        <f ca="1">_xlfn.IFNA(VLOOKUP(INDIRECT("G"&amp;ROW()),minfo!$A:$M,COLUMN()-8,0),"")</f>
        <v>0</v>
      </c>
    </row>
    <row r="1232" spans="1:21" ht="15.75" customHeight="1">
      <c r="A1232" s="15">
        <v>1231</v>
      </c>
      <c r="B1232" s="4" t="s">
        <v>4845</v>
      </c>
      <c r="C1232" s="4">
        <v>1232</v>
      </c>
      <c r="D1232" s="4">
        <v>74</v>
      </c>
      <c r="E1232" s="4" t="s">
        <v>949</v>
      </c>
      <c r="F1232" s="16">
        <v>44856</v>
      </c>
      <c r="G1232" s="5" t="s">
        <v>948</v>
      </c>
      <c r="H1232" s="5" t="s">
        <v>4770</v>
      </c>
      <c r="I1232" s="24" t="str">
        <f>HYPERLINK("https://www.bilibili.com/video/BV1ie4y1B7SZ?p=74", "BV1ie4y1B7SZ?p=74")</f>
        <v>BV1ie4y1B7SZ?p=74</v>
      </c>
      <c r="J1232" s="4" t="str">
        <f ca="1">_xlfn.IFNA(VLOOKUP(INDIRECT("G"&amp;ROW()),minfo!$A:$M,COLUMN()-8,0),"")</f>
        <v>在树上唱歌</v>
      </c>
      <c r="K1232" s="4" t="str">
        <f ca="1">_xlfn.IFNA(VLOOKUP(INDIRECT("G"&amp;ROW()),minfo!$A:$M,COLUMN()-8,0),"")</f>
        <v>郭静</v>
      </c>
      <c r="L1232" s="4">
        <f ca="1">_xlfn.IFNA(VLOOKUP(INDIRECT("G"&amp;ROW()),minfo!$A:$M,COLUMN()-8,0),"")</f>
        <v>0</v>
      </c>
      <c r="M1232" s="4">
        <f ca="1">_xlfn.IFNA(VLOOKUP(INDIRECT("G"&amp;ROW()),minfo!$A:$M,COLUMN()-8,0),"")</f>
        <v>0</v>
      </c>
      <c r="N1232" s="4">
        <f ca="1">_xlfn.IFNA(VLOOKUP(INDIRECT("G"&amp;ROW()),minfo!$A:$M,COLUMN()-8,0),"")</f>
        <v>0</v>
      </c>
      <c r="O1232" s="4" t="str">
        <f ca="1">_xlfn.IFNA(VLOOKUP(INDIRECT("G"&amp;ROW()),minfo!$A:$M,COLUMN()-8,0),"")</f>
        <v>https://i0.hdslb.com/bfs/station_src/music_metadata/8a0a276d96ce39afb010437bbeb8613c.jpg</v>
      </c>
      <c r="P1232" s="4" t="str">
        <f ca="1">_xlfn.IFNA(VLOOKUP(INDIRECT("G"&amp;ROW()),minfo!$A:$M,COLUMN()-8,0),"")</f>
        <v>http://i0.hdslb.com/bfs/station_src/music_metadata/24a1cdae4802b62c3ae1b38b0958ab51</v>
      </c>
      <c r="Q1232" s="4">
        <f ca="1">_xlfn.IFNA(VLOOKUP(INDIRECT("G"&amp;ROW()),minfo!$A:$M,COLUMN()-8,0),"")</f>
        <v>363</v>
      </c>
      <c r="R1232" s="4">
        <f ca="1">_xlfn.IFNA(VLOOKUP(INDIRECT("G"&amp;ROW()),minfo!$A:$M,COLUMN()-8,0),"")</f>
        <v>0</v>
      </c>
      <c r="S1232" s="4" t="str">
        <f ca="1">_xlfn.IFNA(VLOOKUP(INDIRECT("G"&amp;ROW()),minfo!$A:$M,COLUMN()-8,0),"")</f>
        <v>在树上唱歌</v>
      </c>
      <c r="T1232" s="4">
        <f ca="1">_xlfn.IFNA(VLOOKUP(INDIRECT("G"&amp;ROW()),minfo!$A:$M,COLUMN()-8,0),"")</f>
        <v>68722656</v>
      </c>
      <c r="U1232" s="4">
        <f ca="1">_xlfn.IFNA(VLOOKUP(INDIRECT("G"&amp;ROW()),minfo!$A:$M,COLUMN()-8,0),"")</f>
        <v>0</v>
      </c>
    </row>
    <row r="1233" spans="1:21" ht="15.75" customHeight="1">
      <c r="A1233" s="15">
        <v>1232</v>
      </c>
      <c r="B1233" s="4" t="s">
        <v>4846</v>
      </c>
      <c r="C1233" s="4">
        <v>1233</v>
      </c>
      <c r="D1233" s="4">
        <v>75</v>
      </c>
      <c r="E1233" s="4" t="s">
        <v>2647</v>
      </c>
      <c r="F1233" s="16">
        <v>44856</v>
      </c>
      <c r="G1233" s="5" t="s">
        <v>2646</v>
      </c>
      <c r="H1233" s="5" t="s">
        <v>4770</v>
      </c>
      <c r="I1233" s="24" t="str">
        <f>HYPERLINK("https://www.bilibili.com/video/BV1ie4y1B7SZ?p=75", "BV1ie4y1B7SZ?p=75")</f>
        <v>BV1ie4y1B7SZ?p=75</v>
      </c>
      <c r="J1233" s="4" t="str">
        <f ca="1">_xlfn.IFNA(VLOOKUP(INDIRECT("G"&amp;ROW()),minfo!$A:$M,COLUMN()-8,0),"")</f>
        <v>春天在哪里</v>
      </c>
      <c r="K1233" s="4" t="str">
        <f ca="1">_xlfn.IFNA(VLOOKUP(INDIRECT("G"&amp;ROW()),minfo!$A:$M,COLUMN()-8,0),"")</f>
        <v>儿歌多多</v>
      </c>
      <c r="L1233" s="4">
        <f ca="1">_xlfn.IFNA(VLOOKUP(INDIRECT("G"&amp;ROW()),minfo!$A:$M,COLUMN()-8,0),"")</f>
        <v>0</v>
      </c>
      <c r="M1233" s="4">
        <f ca="1">_xlfn.IFNA(VLOOKUP(INDIRECT("G"&amp;ROW()),minfo!$A:$M,COLUMN()-8,0),"")</f>
        <v>0</v>
      </c>
      <c r="N1233" s="4">
        <f ca="1">_xlfn.IFNA(VLOOKUP(INDIRECT("G"&amp;ROW()),minfo!$A:$M,COLUMN()-8,0),"")</f>
        <v>0</v>
      </c>
      <c r="O1233" s="4" t="str">
        <f ca="1">_xlfn.IFNA(VLOOKUP(INDIRECT("G"&amp;ROW()),minfo!$A:$M,COLUMN()-8,0),"")</f>
        <v>https://i0.hdslb.com/bfs/station_src/music_metadata/d90656696067e09c6f9e44a71fc8dc9a.jpg</v>
      </c>
      <c r="P1233" s="4">
        <f ca="1">_xlfn.IFNA(VLOOKUP(INDIRECT("G"&amp;ROW()),minfo!$A:$M,COLUMN()-8,0),"")</f>
        <v>0</v>
      </c>
      <c r="Q1233" s="4">
        <f ca="1">_xlfn.IFNA(VLOOKUP(INDIRECT("G"&amp;ROW()),minfo!$A:$M,COLUMN()-8,0),"")</f>
        <v>76</v>
      </c>
      <c r="R1233" s="4">
        <f ca="1">_xlfn.IFNA(VLOOKUP(INDIRECT("G"&amp;ROW()),minfo!$A:$M,COLUMN()-8,0),"")</f>
        <v>0</v>
      </c>
      <c r="S1233" s="4" t="str">
        <f ca="1">_xlfn.IFNA(VLOOKUP(INDIRECT("G"&amp;ROW()),minfo!$A:$M,COLUMN()-8,0),"")</f>
        <v>儿歌多多经典儿歌大全</v>
      </c>
      <c r="T1233" s="4">
        <f ca="1">_xlfn.IFNA(VLOOKUP(INDIRECT("G"&amp;ROW()),minfo!$A:$M,COLUMN()-8,0),"")</f>
        <v>64516337</v>
      </c>
      <c r="U1233" s="4">
        <f ca="1">_xlfn.IFNA(VLOOKUP(INDIRECT("G"&amp;ROW()),minfo!$A:$M,COLUMN()-8,0),"")</f>
        <v>0</v>
      </c>
    </row>
    <row r="1234" spans="1:21" ht="15.75" customHeight="1">
      <c r="A1234" s="15">
        <v>1233</v>
      </c>
      <c r="B1234" s="4" t="s">
        <v>4847</v>
      </c>
      <c r="C1234" s="4">
        <v>1234</v>
      </c>
      <c r="D1234" s="4">
        <v>76</v>
      </c>
      <c r="E1234" s="4" t="s">
        <v>1434</v>
      </c>
      <c r="F1234" s="16">
        <v>44858</v>
      </c>
      <c r="G1234" s="5" t="s">
        <v>1433</v>
      </c>
      <c r="H1234" s="5" t="s">
        <v>4770</v>
      </c>
      <c r="I1234" s="24" t="str">
        <f>HYPERLINK("https://www.bilibili.com/video/BV1ie4y1B7SZ?p=76", "BV1ie4y1B7SZ?p=76")</f>
        <v>BV1ie4y1B7SZ?p=76</v>
      </c>
      <c r="J1234" s="4" t="str">
        <f ca="1">_xlfn.IFNA(VLOOKUP(INDIRECT("G"&amp;ROW()),minfo!$A:$M,COLUMN()-8,0),"")</f>
        <v>你啊你啊</v>
      </c>
      <c r="K1234" s="4" t="str">
        <f ca="1">_xlfn.IFNA(VLOOKUP(INDIRECT("G"&amp;ROW()),minfo!$A:$M,COLUMN()-8,0),"")</f>
        <v>魏如萱</v>
      </c>
      <c r="L1234" s="4">
        <f ca="1">_xlfn.IFNA(VLOOKUP(INDIRECT("G"&amp;ROW()),minfo!$A:$M,COLUMN()-8,0),"")</f>
        <v>0</v>
      </c>
      <c r="M1234" s="4">
        <f ca="1">_xlfn.IFNA(VLOOKUP(INDIRECT("G"&amp;ROW()),minfo!$A:$M,COLUMN()-8,0),"")</f>
        <v>0</v>
      </c>
      <c r="N1234" s="4">
        <f ca="1">_xlfn.IFNA(VLOOKUP(INDIRECT("G"&amp;ROW()),minfo!$A:$M,COLUMN()-8,0),"")</f>
        <v>0</v>
      </c>
      <c r="O1234" s="4" t="str">
        <f ca="1">_xlfn.IFNA(VLOOKUP(INDIRECT("G"&amp;ROW()),minfo!$A:$M,COLUMN()-8,0),"")</f>
        <v>https://i0.hdslb.com/bfs/station_src/music_metadata/9636f8642428f1f3347f6cc3b66a1b94.jpg</v>
      </c>
      <c r="P1234" s="4" t="str">
        <f ca="1">_xlfn.IFNA(VLOOKUP(INDIRECT("G"&amp;ROW()),minfo!$A:$M,COLUMN()-8,0),"")</f>
        <v>http://i0.hdslb.com/bfs/station_src/music_metadata/05ff6c9faa056ccafc6e20d96ce6e3f2</v>
      </c>
      <c r="Q1234" s="4">
        <f ca="1">_xlfn.IFNA(VLOOKUP(INDIRECT("G"&amp;ROW()),minfo!$A:$M,COLUMN()-8,0),"")</f>
        <v>576</v>
      </c>
      <c r="R1234" s="4" t="str">
        <f ca="1">_xlfn.IFNA(VLOOKUP(INDIRECT("G"&amp;ROW()),minfo!$A:$M,COLUMN()-8,0),"")</f>
        <v>《用九柑仔店》电视剧插曲</v>
      </c>
      <c r="S1234" s="4" t="str">
        <f ca="1">_xlfn.IFNA(VLOOKUP(INDIRECT("G"&amp;ROW()),minfo!$A:$M,COLUMN()-8,0),"")</f>
        <v>末路狂花</v>
      </c>
      <c r="T1234" s="4">
        <f ca="1">_xlfn.IFNA(VLOOKUP(INDIRECT("G"&amp;ROW()),minfo!$A:$M,COLUMN()-8,0),"")</f>
        <v>61646853</v>
      </c>
      <c r="U1234" s="4">
        <f ca="1">_xlfn.IFNA(VLOOKUP(INDIRECT("G"&amp;ROW()),minfo!$A:$M,COLUMN()-8,0),"")</f>
        <v>0</v>
      </c>
    </row>
    <row r="1235" spans="1:21" ht="15.75" customHeight="1">
      <c r="A1235" s="15">
        <v>1234</v>
      </c>
      <c r="B1235" s="4" t="s">
        <v>4848</v>
      </c>
      <c r="C1235" s="4">
        <v>1235</v>
      </c>
      <c r="D1235" s="4">
        <v>77</v>
      </c>
      <c r="E1235" s="4" t="s">
        <v>153</v>
      </c>
      <c r="F1235" s="16">
        <v>44858</v>
      </c>
      <c r="G1235" s="5" t="s">
        <v>152</v>
      </c>
      <c r="H1235" s="5" t="s">
        <v>4770</v>
      </c>
      <c r="I1235" s="24" t="str">
        <f>HYPERLINK("https://www.bilibili.com/video/BV1ie4y1B7SZ?p=77", "BV1ie4y1B7SZ?p=77")</f>
        <v>BV1ie4y1B7SZ?p=77</v>
      </c>
      <c r="J1235" s="4" t="str">
        <f ca="1">_xlfn.IFNA(VLOOKUP(INDIRECT("G"&amp;ROW()),minfo!$A:$M,COLUMN()-8,0),"")</f>
        <v>听见下雨的声音</v>
      </c>
      <c r="K1235" s="4" t="str">
        <f ca="1">_xlfn.IFNA(VLOOKUP(INDIRECT("G"&amp;ROW()),minfo!$A:$M,COLUMN()-8,0),"")</f>
        <v>周杰伦</v>
      </c>
      <c r="L1235" s="4">
        <f ca="1">_xlfn.IFNA(VLOOKUP(INDIRECT("G"&amp;ROW()),minfo!$A:$M,COLUMN()-8,0),"")</f>
        <v>0</v>
      </c>
      <c r="M1235" s="4">
        <f ca="1">_xlfn.IFNA(VLOOKUP(INDIRECT("G"&amp;ROW()),minfo!$A:$M,COLUMN()-8,0),"")</f>
        <v>0</v>
      </c>
      <c r="N1235" s="4">
        <f ca="1">_xlfn.IFNA(VLOOKUP(INDIRECT("G"&amp;ROW()),minfo!$A:$M,COLUMN()-8,0),"")</f>
        <v>0</v>
      </c>
      <c r="O1235" s="4" t="str">
        <f ca="1">_xlfn.IFNA(VLOOKUP(INDIRECT("G"&amp;ROW()),minfo!$A:$M,COLUMN()-8,0),"")</f>
        <v>http://i0.hdslb.com/bfs/station_src/music_metadata/f190c7459496ee7ff2a9ebb250df5398.jpg</v>
      </c>
      <c r="P1235" s="4" t="str">
        <f ca="1">_xlfn.IFNA(VLOOKUP(INDIRECT("G"&amp;ROW()),minfo!$A:$M,COLUMN()-8,0),"")</f>
        <v>http://i0.hdslb.com/bfs/station_src/music_metadata/0d0869a8c2bb7470dd66d7fec7591c32</v>
      </c>
      <c r="Q1235" s="4">
        <f ca="1">_xlfn.IFNA(VLOOKUP(INDIRECT("G"&amp;ROW()),minfo!$A:$M,COLUMN()-8,0),"")</f>
        <v>689</v>
      </c>
      <c r="R1235" s="4" t="str">
        <f ca="1">_xlfn.IFNA(VLOOKUP(INDIRECT("G"&amp;ROW()),minfo!$A:$M,COLUMN()-8,0),"")</f>
        <v>《听见下雨声音》电影主题曲</v>
      </c>
      <c r="S1235" s="4" t="str">
        <f ca="1">_xlfn.IFNA(VLOOKUP(INDIRECT("G"&amp;ROW()),minfo!$A:$M,COLUMN()-8,0),"")</f>
        <v>哎呦，不错哦</v>
      </c>
      <c r="T1235" s="4">
        <f ca="1">_xlfn.IFNA(VLOOKUP(INDIRECT("G"&amp;ROW()),minfo!$A:$M,COLUMN()-8,0),"")</f>
        <v>220057953</v>
      </c>
      <c r="U1235" s="4">
        <f ca="1">_xlfn.IFNA(VLOOKUP(INDIRECT("G"&amp;ROW()),minfo!$A:$M,COLUMN()-8,0),"")</f>
        <v>0</v>
      </c>
    </row>
    <row r="1236" spans="1:21" ht="15.75" customHeight="1">
      <c r="A1236" s="15">
        <v>1235</v>
      </c>
      <c r="B1236" s="4" t="s">
        <v>4849</v>
      </c>
      <c r="C1236" s="4">
        <v>1236</v>
      </c>
      <c r="D1236" s="4">
        <v>78</v>
      </c>
      <c r="E1236" s="4" t="s">
        <v>678</v>
      </c>
      <c r="F1236" s="16">
        <v>44858</v>
      </c>
      <c r="G1236" s="5" t="s">
        <v>677</v>
      </c>
      <c r="H1236" s="5" t="s">
        <v>4770</v>
      </c>
      <c r="I1236" s="24" t="str">
        <f>HYPERLINK("https://www.bilibili.com/video/BV1ie4y1B7SZ?p=78", "BV1ie4y1B7SZ?p=78")</f>
        <v>BV1ie4y1B7SZ?p=78</v>
      </c>
      <c r="J1236" s="4" t="str">
        <f ca="1">_xlfn.IFNA(VLOOKUP(INDIRECT("G"&amp;ROW()),minfo!$A:$M,COLUMN()-8,0),"")</f>
        <v>将故事写成我们</v>
      </c>
      <c r="K1236" s="4" t="str">
        <f ca="1">_xlfn.IFNA(VLOOKUP(INDIRECT("G"&amp;ROW()),minfo!$A:$M,COLUMN()-8,0),"")</f>
        <v>林俊杰</v>
      </c>
      <c r="L1236" s="4">
        <f ca="1">_xlfn.IFNA(VLOOKUP(INDIRECT("G"&amp;ROW()),minfo!$A:$M,COLUMN()-8,0),"")</f>
        <v>0</v>
      </c>
      <c r="M1236" s="4">
        <f ca="1">_xlfn.IFNA(VLOOKUP(INDIRECT("G"&amp;ROW()),minfo!$A:$M,COLUMN()-8,0),"")</f>
        <v>1032</v>
      </c>
      <c r="N1236" s="4">
        <f ca="1">_xlfn.IFNA(VLOOKUP(INDIRECT("G"&amp;ROW()),minfo!$A:$M,COLUMN()-8,0),"")</f>
        <v>165</v>
      </c>
      <c r="O1236" s="4" t="str">
        <f ca="1">_xlfn.IFNA(VLOOKUP(INDIRECT("G"&amp;ROW()),minfo!$A:$M,COLUMN()-8,0),"")</f>
        <v>http://i0.hdslb.com/bfs/station_src/music_metadata/63fe00af138c363552e6aff10baba93e.jpg</v>
      </c>
      <c r="P1236" s="4" t="str">
        <f ca="1">_xlfn.IFNA(VLOOKUP(INDIRECT("G"&amp;ROW()),minfo!$A:$M,COLUMN()-8,0),"")</f>
        <v>http://i0.hdslb.com/bfs/station_src/music_metadata/2c6ada3c80c79f0dd8b56da48df1f4ad</v>
      </c>
      <c r="Q1236" s="4">
        <f ca="1">_xlfn.IFNA(VLOOKUP(INDIRECT("G"&amp;ROW()),minfo!$A:$M,COLUMN()-8,0),"")</f>
        <v>138</v>
      </c>
      <c r="R1236" s="4">
        <f ca="1">_xlfn.IFNA(VLOOKUP(INDIRECT("G"&amp;ROW()),minfo!$A:$M,COLUMN()-8,0),"")</f>
        <v>0</v>
      </c>
      <c r="S1236" s="4" t="str">
        <f ca="1">_xlfn.IFNA(VLOOKUP(INDIRECT("G"&amp;ROW()),minfo!$A:$M,COLUMN()-8,0),"")</f>
        <v>将故事写成我们</v>
      </c>
      <c r="T1236" s="4">
        <f ca="1">_xlfn.IFNA(VLOOKUP(INDIRECT("G"&amp;ROW()),minfo!$A:$M,COLUMN()-8,0),"")</f>
        <v>64920351</v>
      </c>
      <c r="U1236" s="4">
        <f ca="1">_xlfn.IFNA(VLOOKUP(INDIRECT("G"&amp;ROW()),minfo!$A:$M,COLUMN()-8,0),"")</f>
        <v>0</v>
      </c>
    </row>
    <row r="1237" spans="1:21" ht="15.75" customHeight="1">
      <c r="A1237" s="15">
        <v>1236</v>
      </c>
      <c r="B1237" s="4" t="s">
        <v>4850</v>
      </c>
      <c r="C1237" s="4">
        <v>1237</v>
      </c>
      <c r="D1237" s="4">
        <v>79</v>
      </c>
      <c r="E1237" s="4" t="s">
        <v>2395</v>
      </c>
      <c r="F1237" s="16">
        <v>44858</v>
      </c>
      <c r="G1237" s="5" t="s">
        <v>2651</v>
      </c>
      <c r="H1237" s="5" t="s">
        <v>4770</v>
      </c>
      <c r="I1237" s="24" t="str">
        <f>HYPERLINK("https://www.bilibili.com/video/BV1ie4y1B7SZ?p=79", "BV1ie4y1B7SZ?p=79")</f>
        <v>BV1ie4y1B7SZ?p=79</v>
      </c>
      <c r="J1237" s="4" t="str">
        <f ca="1">_xlfn.IFNA(VLOOKUP(INDIRECT("G"&amp;ROW()),minfo!$A:$M,COLUMN()-8,0),"")</f>
        <v>美人鱼</v>
      </c>
      <c r="K1237" s="4" t="str">
        <f ca="1">_xlfn.IFNA(VLOOKUP(INDIRECT("G"&amp;ROW()),minfo!$A:$M,COLUMN()-8,0),"")</f>
        <v>林俊杰</v>
      </c>
      <c r="L1237" s="4">
        <f ca="1">_xlfn.IFNA(VLOOKUP(INDIRECT("G"&amp;ROW()),minfo!$A:$M,COLUMN()-8,0),"")</f>
        <v>0</v>
      </c>
      <c r="M1237" s="4">
        <f ca="1">_xlfn.IFNA(VLOOKUP(INDIRECT("G"&amp;ROW()),minfo!$A:$M,COLUMN()-8,0),"")</f>
        <v>0</v>
      </c>
      <c r="N1237" s="4">
        <f ca="1">_xlfn.IFNA(VLOOKUP(INDIRECT("G"&amp;ROW()),minfo!$A:$M,COLUMN()-8,0),"")</f>
        <v>0</v>
      </c>
      <c r="O1237" s="4" t="str">
        <f ca="1">_xlfn.IFNA(VLOOKUP(INDIRECT("G"&amp;ROW()),minfo!$A:$M,COLUMN()-8,0),"")</f>
        <v>http://i0.hdslb.com/bfs/station_src/music_metadata/61b7d61c87f86c10302a9e1f92e7a8a0.jpg</v>
      </c>
      <c r="P1237" s="4" t="str">
        <f ca="1">_xlfn.IFNA(VLOOKUP(INDIRECT("G"&amp;ROW()),minfo!$A:$M,COLUMN()-8,0),"")</f>
        <v>http://i0.hdslb.com/bfs/station_src/music_metadata/5babee9edc31491ab09d95b959e1fccc</v>
      </c>
      <c r="Q1237" s="4">
        <f ca="1">_xlfn.IFNA(VLOOKUP(INDIRECT("G"&amp;ROW()),minfo!$A:$M,COLUMN()-8,0),"")</f>
        <v>1634</v>
      </c>
      <c r="R1237" s="4" t="str">
        <f ca="1">_xlfn.IFNA(VLOOKUP(INDIRECT("G"&amp;ROW()),minfo!$A:$M,COLUMN()-8,0),"")</f>
        <v>2004-06-04</v>
      </c>
      <c r="S1237" s="4" t="str">
        <f ca="1">_xlfn.IFNA(VLOOKUP(INDIRECT("G"&amp;ROW()),minfo!$A:$M,COLUMN()-8,0),"")</f>
        <v xml:space="preserve"> 第二天堂</v>
      </c>
      <c r="T1237" s="4">
        <f ca="1">_xlfn.IFNA(VLOOKUP(INDIRECT("G"&amp;ROW()),minfo!$A:$M,COLUMN()-8,0),"")</f>
        <v>276969386</v>
      </c>
      <c r="U1237" s="4">
        <f ca="1">_xlfn.IFNA(VLOOKUP(INDIRECT("G"&amp;ROW()),minfo!$A:$M,COLUMN()-8,0),"")</f>
        <v>0</v>
      </c>
    </row>
    <row r="1238" spans="1:21" ht="15.75" customHeight="1">
      <c r="A1238" s="15">
        <v>1237</v>
      </c>
      <c r="B1238" s="4" t="s">
        <v>4851</v>
      </c>
      <c r="C1238" s="4">
        <v>1238</v>
      </c>
      <c r="D1238" s="4">
        <v>80</v>
      </c>
      <c r="E1238" s="4" t="s">
        <v>688</v>
      </c>
      <c r="F1238" s="16">
        <v>44858</v>
      </c>
      <c r="G1238" s="5" t="s">
        <v>687</v>
      </c>
      <c r="H1238" s="5" t="s">
        <v>4770</v>
      </c>
      <c r="I1238" s="24" t="str">
        <f>HYPERLINK("https://www.bilibili.com/video/BV1ie4y1B7SZ?p=80", "BV1ie4y1B7SZ?p=80")</f>
        <v>BV1ie4y1B7SZ?p=80</v>
      </c>
      <c r="J1238" s="4" t="str">
        <f ca="1">_xlfn.IFNA(VLOOKUP(INDIRECT("G"&amp;ROW()),minfo!$A:$M,COLUMN()-8,0),"")</f>
        <v>关键词</v>
      </c>
      <c r="K1238" s="4" t="str">
        <f ca="1">_xlfn.IFNA(VLOOKUP(INDIRECT("G"&amp;ROW()),minfo!$A:$M,COLUMN()-8,0),"")</f>
        <v>林俊杰</v>
      </c>
      <c r="L1238" s="4">
        <f ca="1">_xlfn.IFNA(VLOOKUP(INDIRECT("G"&amp;ROW()),minfo!$A:$M,COLUMN()-8,0),"")</f>
        <v>0</v>
      </c>
      <c r="M1238" s="4">
        <f ca="1">_xlfn.IFNA(VLOOKUP(INDIRECT("G"&amp;ROW()),minfo!$A:$M,COLUMN()-8,0),"")</f>
        <v>314</v>
      </c>
      <c r="N1238" s="4">
        <f ca="1">_xlfn.IFNA(VLOOKUP(INDIRECT("G"&amp;ROW()),minfo!$A:$M,COLUMN()-8,0),"")</f>
        <v>49</v>
      </c>
      <c r="O1238" s="4" t="str">
        <f ca="1">_xlfn.IFNA(VLOOKUP(INDIRECT("G"&amp;ROW()),minfo!$A:$M,COLUMN()-8,0),"")</f>
        <v>http://i0.hdslb.com/bfs/station_src/music_metadata/2a51c18f069a58269fc8cde88e0fb107.jpg</v>
      </c>
      <c r="P1238" s="4" t="str">
        <f ca="1">_xlfn.IFNA(VLOOKUP(INDIRECT("G"&amp;ROW()),minfo!$A:$M,COLUMN()-8,0),"")</f>
        <v>http://i0.hdslb.com/bfs/station_src/music_metadata/b66ef916b6cf54b30ab6d5ba87db00fd</v>
      </c>
      <c r="Q1238" s="4">
        <f ca="1">_xlfn.IFNA(VLOOKUP(INDIRECT("G"&amp;ROW()),minfo!$A:$M,COLUMN()-8,0),"")</f>
        <v>765</v>
      </c>
      <c r="R1238" s="4">
        <f ca="1">_xlfn.IFNA(VLOOKUP(INDIRECT("G"&amp;ROW()),minfo!$A:$M,COLUMN()-8,0),"")</f>
        <v>0</v>
      </c>
      <c r="S1238" s="4" t="str">
        <f ca="1">_xlfn.IFNA(VLOOKUP(INDIRECT("G"&amp;ROW()),minfo!$A:$M,COLUMN()-8,0),"")</f>
        <v>和自己对话 From M.E. To Myself</v>
      </c>
      <c r="T1238" s="4">
        <f ca="1">_xlfn.IFNA(VLOOKUP(INDIRECT("G"&amp;ROW()),minfo!$A:$M,COLUMN()-8,0),"")</f>
        <v>287090873</v>
      </c>
      <c r="U1238" s="4">
        <f ca="1">_xlfn.IFNA(VLOOKUP(INDIRECT("G"&amp;ROW()),minfo!$A:$M,COLUMN()-8,0),"")</f>
        <v>0</v>
      </c>
    </row>
    <row r="1239" spans="1:21" ht="15.75" customHeight="1">
      <c r="A1239" s="15">
        <v>1238</v>
      </c>
      <c r="B1239" s="4" t="s">
        <v>4852</v>
      </c>
      <c r="C1239" s="4">
        <v>1239</v>
      </c>
      <c r="D1239" s="4">
        <v>81</v>
      </c>
      <c r="E1239" s="4" t="s">
        <v>2207</v>
      </c>
      <c r="F1239" s="16">
        <v>44858</v>
      </c>
      <c r="G1239" s="5" t="s">
        <v>2206</v>
      </c>
      <c r="H1239" s="5" t="s">
        <v>4770</v>
      </c>
      <c r="I1239" s="24" t="str">
        <f>HYPERLINK("https://www.bilibili.com/video/BV1ie4y1B7SZ?p=81", "BV1ie4y1B7SZ?p=81")</f>
        <v>BV1ie4y1B7SZ?p=81</v>
      </c>
      <c r="J1239" s="4" t="str">
        <f ca="1">_xlfn.IFNA(VLOOKUP(INDIRECT("G"&amp;ROW()),minfo!$A:$M,COLUMN()-8,0),"")</f>
        <v>从前慢</v>
      </c>
      <c r="K1239" s="4" t="str">
        <f ca="1">_xlfn.IFNA(VLOOKUP(INDIRECT("G"&amp;ROW()),minfo!$A:$M,COLUMN()-8,0),"")</f>
        <v>叶炫清</v>
      </c>
      <c r="L1239" s="4">
        <f ca="1">_xlfn.IFNA(VLOOKUP(INDIRECT("G"&amp;ROW()),minfo!$A:$M,COLUMN()-8,0),"")</f>
        <v>0</v>
      </c>
      <c r="M1239" s="4">
        <f ca="1">_xlfn.IFNA(VLOOKUP(INDIRECT("G"&amp;ROW()),minfo!$A:$M,COLUMN()-8,0),"")</f>
        <v>0</v>
      </c>
      <c r="N1239" s="4">
        <f ca="1">_xlfn.IFNA(VLOOKUP(INDIRECT("G"&amp;ROW()),minfo!$A:$M,COLUMN()-8,0),"")</f>
        <v>0</v>
      </c>
      <c r="O1239" s="4" t="str">
        <f ca="1">_xlfn.IFNA(VLOOKUP(INDIRECT("G"&amp;ROW()),minfo!$A:$M,COLUMN()-8,0),"")</f>
        <v>https://i0.hdslb.com/bfs/station_src/music_metadata/faf9842a8445f6617532907f5fad7805.jpg</v>
      </c>
      <c r="P1239" s="4" t="str">
        <f ca="1">_xlfn.IFNA(VLOOKUP(INDIRECT("G"&amp;ROW()),minfo!$A:$M,COLUMN()-8,0),"")</f>
        <v>http://i0.hdslb.com/bfs/station_src/music_metadata/d7a54726ba2793501aa8c80d9329a5f8</v>
      </c>
      <c r="Q1239" s="4">
        <f ca="1">_xlfn.IFNA(VLOOKUP(INDIRECT("G"&amp;ROW()),minfo!$A:$M,COLUMN()-8,0),"")</f>
        <v>34</v>
      </c>
      <c r="R1239" s="4">
        <f ca="1">_xlfn.IFNA(VLOOKUP(INDIRECT("G"&amp;ROW()),minfo!$A:$M,COLUMN()-8,0),"")</f>
        <v>0</v>
      </c>
      <c r="S1239" s="4" t="str">
        <f ca="1">_xlfn.IFNA(VLOOKUP(INDIRECT("G"&amp;ROW()),minfo!$A:$M,COLUMN()-8,0),"")</f>
        <v>从前慢</v>
      </c>
      <c r="T1239" s="4">
        <f ca="1">_xlfn.IFNA(VLOOKUP(INDIRECT("G"&amp;ROW()),minfo!$A:$M,COLUMN()-8,0),"")</f>
        <v>36546010</v>
      </c>
      <c r="U1239" s="4">
        <f ca="1">_xlfn.IFNA(VLOOKUP(INDIRECT("G"&amp;ROW()),minfo!$A:$M,COLUMN()-8,0),"")</f>
        <v>0</v>
      </c>
    </row>
    <row r="1240" spans="1:21" ht="15.75" customHeight="1">
      <c r="A1240" s="15">
        <v>1239</v>
      </c>
      <c r="B1240" s="4" t="s">
        <v>4853</v>
      </c>
      <c r="C1240" s="4">
        <v>1240</v>
      </c>
      <c r="D1240" s="4">
        <v>82</v>
      </c>
      <c r="E1240" s="4" t="s">
        <v>980</v>
      </c>
      <c r="F1240" s="16">
        <v>44858</v>
      </c>
      <c r="G1240" s="5" t="s">
        <v>979</v>
      </c>
      <c r="H1240" s="5" t="s">
        <v>4770</v>
      </c>
      <c r="I1240" s="24" t="str">
        <f>HYPERLINK("https://www.bilibili.com/video/BV1ie4y1B7SZ?p=82", "BV1ie4y1B7SZ?p=82")</f>
        <v>BV1ie4y1B7SZ?p=82</v>
      </c>
      <c r="J1240" s="4" t="str">
        <f ca="1">_xlfn.IFNA(VLOOKUP(INDIRECT("G"&amp;ROW()),minfo!$A:$M,COLUMN()-8,0),"")</f>
        <v>寻一个天荒地老的地方</v>
      </c>
      <c r="K1240" s="4" t="str">
        <f ca="1">_xlfn.IFNA(VLOOKUP(INDIRECT("G"&amp;ROW()),minfo!$A:$M,COLUMN()-8,0),"")</f>
        <v>单依纯</v>
      </c>
      <c r="L1240" s="4">
        <f ca="1">_xlfn.IFNA(VLOOKUP(INDIRECT("G"&amp;ROW()),minfo!$A:$M,COLUMN()-8,0),"")</f>
        <v>0</v>
      </c>
      <c r="M1240" s="4">
        <f ca="1">_xlfn.IFNA(VLOOKUP(INDIRECT("G"&amp;ROW()),minfo!$A:$M,COLUMN()-8,0),"")</f>
        <v>0</v>
      </c>
      <c r="N1240" s="4">
        <f ca="1">_xlfn.IFNA(VLOOKUP(INDIRECT("G"&amp;ROW()),minfo!$A:$M,COLUMN()-8,0),"")</f>
        <v>0</v>
      </c>
      <c r="O1240" s="4" t="str">
        <f ca="1">_xlfn.IFNA(VLOOKUP(INDIRECT("G"&amp;ROW()),minfo!$A:$M,COLUMN()-8,0),"")</f>
        <v>https://i0.hdslb.com/bfs/station_src/music_metadata/1baf91b2d2f204c468162a37d5dc6011.jpg</v>
      </c>
      <c r="P1240" s="4" t="str">
        <f ca="1">_xlfn.IFNA(VLOOKUP(INDIRECT("G"&amp;ROW()),minfo!$A:$M,COLUMN()-8,0),"")</f>
        <v>https://i0.hdslb.com/bfs/station_src/music_metadata/e080f50db39ef189fa94151d5b77dc5d.txt</v>
      </c>
      <c r="Q1240" s="4">
        <f ca="1">_xlfn.IFNA(VLOOKUP(INDIRECT("G"&amp;ROW()),minfo!$A:$M,COLUMN()-8,0),"")</f>
        <v>3</v>
      </c>
      <c r="R1240" s="4">
        <f ca="1">_xlfn.IFNA(VLOOKUP(INDIRECT("G"&amp;ROW()),minfo!$A:$M,COLUMN()-8,0),"")</f>
        <v>0</v>
      </c>
      <c r="S1240" s="4" t="str">
        <f ca="1">_xlfn.IFNA(VLOOKUP(INDIRECT("G"&amp;ROW()),minfo!$A:$M,COLUMN()-8,0),"")</f>
        <v>2020中国好声音 第8期</v>
      </c>
      <c r="T1240" s="4">
        <f ca="1">_xlfn.IFNA(VLOOKUP(INDIRECT("G"&amp;ROW()),minfo!$A:$M,COLUMN()-8,0),"")</f>
        <v>1875423</v>
      </c>
      <c r="U1240" s="4">
        <f ca="1">_xlfn.IFNA(VLOOKUP(INDIRECT("G"&amp;ROW()),minfo!$A:$M,COLUMN()-8,0),"")</f>
        <v>0</v>
      </c>
    </row>
    <row r="1241" spans="1:21" ht="15.75" customHeight="1">
      <c r="A1241" s="15">
        <v>1240</v>
      </c>
      <c r="B1241" s="4" t="s">
        <v>4854</v>
      </c>
      <c r="C1241" s="4">
        <v>1241</v>
      </c>
      <c r="D1241" s="4">
        <v>83</v>
      </c>
      <c r="E1241" s="4" t="s">
        <v>655</v>
      </c>
      <c r="F1241" s="16">
        <v>44858</v>
      </c>
      <c r="G1241" s="5" t="s">
        <v>654</v>
      </c>
      <c r="H1241" s="5" t="s">
        <v>4770</v>
      </c>
      <c r="I1241" s="24" t="str">
        <f>HYPERLINK("https://www.bilibili.com/video/BV1ie4y1B7SZ?p=83", "BV1ie4y1B7SZ?p=83")</f>
        <v>BV1ie4y1B7SZ?p=83</v>
      </c>
      <c r="J1241" s="4" t="str">
        <f ca="1">_xlfn.IFNA(VLOOKUP(INDIRECT("G"&amp;ROW()),minfo!$A:$M,COLUMN()-8,0),"")</f>
        <v>路过人间</v>
      </c>
      <c r="K1241" s="4" t="str">
        <f ca="1">_xlfn.IFNA(VLOOKUP(INDIRECT("G"&amp;ROW()),minfo!$A:$M,COLUMN()-8,0),"")</f>
        <v>郁可唯</v>
      </c>
      <c r="L1241" s="4">
        <f ca="1">_xlfn.IFNA(VLOOKUP(INDIRECT("G"&amp;ROW()),minfo!$A:$M,COLUMN()-8,0),"")</f>
        <v>0</v>
      </c>
      <c r="M1241" s="4">
        <f ca="1">_xlfn.IFNA(VLOOKUP(INDIRECT("G"&amp;ROW()),minfo!$A:$M,COLUMN()-8,0),"")</f>
        <v>17966</v>
      </c>
      <c r="N1241" s="4">
        <f ca="1">_xlfn.IFNA(VLOOKUP(INDIRECT("G"&amp;ROW()),minfo!$A:$M,COLUMN()-8,0),"")</f>
        <v>8458</v>
      </c>
      <c r="O1241" s="4" t="str">
        <f ca="1">_xlfn.IFNA(VLOOKUP(INDIRECT("G"&amp;ROW()),minfo!$A:$M,COLUMN()-8,0),"")</f>
        <v>http://i0.hdslb.com/bfs/station_src/music_metadata/570f6a193a95780dfeae2a4dfe0cb932.jpg</v>
      </c>
      <c r="P1241" s="4" t="str">
        <f ca="1">_xlfn.IFNA(VLOOKUP(INDIRECT("G"&amp;ROW()),minfo!$A:$M,COLUMN()-8,0),"")</f>
        <v>http://i0.hdslb.com/bfs/station_src/music_metadata/0386d6bc66823747cb1d61d511d20a21</v>
      </c>
      <c r="Q1241" s="4">
        <f ca="1">_xlfn.IFNA(VLOOKUP(INDIRECT("G"&amp;ROW()),minfo!$A:$M,COLUMN()-8,0),"")</f>
        <v>1296</v>
      </c>
      <c r="R1241" s="4">
        <f ca="1">_xlfn.IFNA(VLOOKUP(INDIRECT("G"&amp;ROW()),minfo!$A:$M,COLUMN()-8,0),"")</f>
        <v>0</v>
      </c>
      <c r="S1241" s="4" t="str">
        <f ca="1">_xlfn.IFNA(VLOOKUP(INDIRECT("G"&amp;ROW()),minfo!$A:$M,COLUMN()-8,0),"")</f>
        <v>路过人间</v>
      </c>
      <c r="T1241" s="4">
        <f ca="1">_xlfn.IFNA(VLOOKUP(INDIRECT("G"&amp;ROW()),minfo!$A:$M,COLUMN()-8,0),"")</f>
        <v>218547878</v>
      </c>
      <c r="U1241" s="4" t="str">
        <f ca="1">_xlfn.IFNA(VLOOKUP(INDIRECT("G"&amp;ROW()),minfo!$A:$M,COLUMN()-8,0),"")</f>
        <v>音乐榜最高NO.10</v>
      </c>
    </row>
    <row r="1242" spans="1:21" ht="15.75" customHeight="1">
      <c r="A1242" s="15">
        <v>1241</v>
      </c>
      <c r="B1242" s="4" t="s">
        <v>4855</v>
      </c>
      <c r="C1242" s="4">
        <v>1242</v>
      </c>
      <c r="D1242" s="4">
        <v>84</v>
      </c>
      <c r="E1242" s="4" t="s">
        <v>918</v>
      </c>
      <c r="F1242" s="16">
        <v>44858</v>
      </c>
      <c r="G1242" s="5" t="s">
        <v>917</v>
      </c>
      <c r="H1242" s="5" t="s">
        <v>4770</v>
      </c>
      <c r="I1242" s="24" t="str">
        <f>HYPERLINK("https://www.bilibili.com/video/BV1ie4y1B7SZ?p=84", "BV1ie4y1B7SZ?p=84")</f>
        <v>BV1ie4y1B7SZ?p=84</v>
      </c>
      <c r="J1242" s="4" t="str">
        <f ca="1">_xlfn.IFNA(VLOOKUP(INDIRECT("G"&amp;ROW()),minfo!$A:$M,COLUMN()-8,0),"")</f>
        <v>暗号</v>
      </c>
      <c r="K1242" s="4" t="str">
        <f ca="1">_xlfn.IFNA(VLOOKUP(INDIRECT("G"&amp;ROW()),minfo!$A:$M,COLUMN()-8,0),"")</f>
        <v>周杰伦</v>
      </c>
      <c r="L1242" s="4">
        <f ca="1">_xlfn.IFNA(VLOOKUP(INDIRECT("G"&amp;ROW()),minfo!$A:$M,COLUMN()-8,0),"")</f>
        <v>0</v>
      </c>
      <c r="M1242" s="4">
        <f ca="1">_xlfn.IFNA(VLOOKUP(INDIRECT("G"&amp;ROW()),minfo!$A:$M,COLUMN()-8,0),"")</f>
        <v>0</v>
      </c>
      <c r="N1242" s="4">
        <f ca="1">_xlfn.IFNA(VLOOKUP(INDIRECT("G"&amp;ROW()),minfo!$A:$M,COLUMN()-8,0),"")</f>
        <v>0</v>
      </c>
      <c r="O1242" s="4" t="str">
        <f ca="1">_xlfn.IFNA(VLOOKUP(INDIRECT("G"&amp;ROW()),minfo!$A:$M,COLUMN()-8,0),"")</f>
        <v>https://i0.hdslb.com/bfs/station_src/music_metadata/836d7078552d6143b4a27f54a2a62598.jpg</v>
      </c>
      <c r="P1242" s="4">
        <f ca="1">_xlfn.IFNA(VLOOKUP(INDIRECT("G"&amp;ROW()),minfo!$A:$M,COLUMN()-8,0),"")</f>
        <v>0</v>
      </c>
      <c r="Q1242" s="4">
        <f ca="1">_xlfn.IFNA(VLOOKUP(INDIRECT("G"&amp;ROW()),minfo!$A:$M,COLUMN()-8,0),"")</f>
        <v>8346</v>
      </c>
      <c r="R1242" s="4">
        <f ca="1">_xlfn.IFNA(VLOOKUP(INDIRECT("G"&amp;ROW()),minfo!$A:$M,COLUMN()-8,0),"")</f>
        <v>0</v>
      </c>
      <c r="S1242" s="4" t="str">
        <f ca="1">_xlfn.IFNA(VLOOKUP(INDIRECT("G"&amp;ROW()),minfo!$A:$M,COLUMN()-8,0),"")</f>
        <v>八度空间</v>
      </c>
      <c r="T1242" s="4">
        <f ca="1">_xlfn.IFNA(VLOOKUP(INDIRECT("G"&amp;ROW()),minfo!$A:$M,COLUMN()-8,0),"")</f>
        <v>445692889</v>
      </c>
      <c r="U1242" s="4">
        <f ca="1">_xlfn.IFNA(VLOOKUP(INDIRECT("G"&amp;ROW()),minfo!$A:$M,COLUMN()-8,0),"")</f>
        <v>0</v>
      </c>
    </row>
    <row r="1243" spans="1:21" ht="15.75" customHeight="1">
      <c r="A1243" s="15">
        <v>1242</v>
      </c>
      <c r="B1243" s="4" t="s">
        <v>4856</v>
      </c>
      <c r="C1243" s="4">
        <v>1243</v>
      </c>
      <c r="D1243" s="4">
        <v>85</v>
      </c>
      <c r="E1243" s="4" t="s">
        <v>4857</v>
      </c>
      <c r="F1243" s="16">
        <v>44858</v>
      </c>
      <c r="G1243" s="5" t="s">
        <v>2321</v>
      </c>
      <c r="H1243" s="5" t="s">
        <v>4770</v>
      </c>
      <c r="I1243" s="24" t="str">
        <f>HYPERLINK("https://www.bilibili.com/video/BV1ie4y1B7SZ?p=85", "BV1ie4y1B7SZ?p=85")</f>
        <v>BV1ie4y1B7SZ?p=85</v>
      </c>
      <c r="J1243" s="4" t="str">
        <f ca="1">_xlfn.IFNA(VLOOKUP(INDIRECT("G"&amp;ROW()),minfo!$A:$M,COLUMN()-8,0),"")</f>
        <v>宝贝</v>
      </c>
      <c r="K1243" s="4" t="str">
        <f ca="1">_xlfn.IFNA(VLOOKUP(INDIRECT("G"&amp;ROW()),minfo!$A:$M,COLUMN()-8,0),"")</f>
        <v>张悬</v>
      </c>
      <c r="L1243" s="4">
        <f ca="1">_xlfn.IFNA(VLOOKUP(INDIRECT("G"&amp;ROW()),minfo!$A:$M,COLUMN()-8,0),"")</f>
        <v>0</v>
      </c>
      <c r="M1243" s="4">
        <f ca="1">_xlfn.IFNA(VLOOKUP(INDIRECT("G"&amp;ROW()),minfo!$A:$M,COLUMN()-8,0),"")</f>
        <v>0</v>
      </c>
      <c r="N1243" s="4">
        <f ca="1">_xlfn.IFNA(VLOOKUP(INDIRECT("G"&amp;ROW()),minfo!$A:$M,COLUMN()-8,0),"")</f>
        <v>0</v>
      </c>
      <c r="O1243" s="4" t="str">
        <f ca="1">_xlfn.IFNA(VLOOKUP(INDIRECT("G"&amp;ROW()),minfo!$A:$M,COLUMN()-8,0),"")</f>
        <v>https://i0.hdslb.com/bfs/station_src/music_metadata/7d0b1aa106b4a6a94bc0ffdd78a1ad23.jpg</v>
      </c>
      <c r="P1243" s="4" t="str">
        <f ca="1">_xlfn.IFNA(VLOOKUP(INDIRECT("G"&amp;ROW()),minfo!$A:$M,COLUMN()-8,0),"")</f>
        <v>https://i0.hdslb.com/bfs/station_src/music_metadata/cdce23b8d73a5ec76812a5995cbc22fa.txt</v>
      </c>
      <c r="Q1243" s="4">
        <f ca="1">_xlfn.IFNA(VLOOKUP(INDIRECT("G"&amp;ROW()),minfo!$A:$M,COLUMN()-8,0),"")</f>
        <v>185</v>
      </c>
      <c r="R1243" s="4">
        <f ca="1">_xlfn.IFNA(VLOOKUP(INDIRECT("G"&amp;ROW()),minfo!$A:$M,COLUMN()-8,0),"")</f>
        <v>0</v>
      </c>
      <c r="S1243" s="4" t="str">
        <f ca="1">_xlfn.IFNA(VLOOKUP(INDIRECT("G"&amp;ROW()),minfo!$A:$M,COLUMN()-8,0),"")</f>
        <v>my life will…</v>
      </c>
      <c r="T1243" s="4">
        <f ca="1">_xlfn.IFNA(VLOOKUP(INDIRECT("G"&amp;ROW()),minfo!$A:$M,COLUMN()-8,0),"")</f>
        <v>91894714</v>
      </c>
      <c r="U1243" s="4">
        <f ca="1">_xlfn.IFNA(VLOOKUP(INDIRECT("G"&amp;ROW()),minfo!$A:$M,COLUMN()-8,0),"")</f>
        <v>0</v>
      </c>
    </row>
    <row r="1244" spans="1:21" ht="15.75" customHeight="1">
      <c r="A1244" s="15">
        <v>1243</v>
      </c>
      <c r="B1244" s="4" t="s">
        <v>4858</v>
      </c>
      <c r="C1244" s="4">
        <v>1244</v>
      </c>
      <c r="D1244" s="4">
        <v>86</v>
      </c>
      <c r="E1244" s="4" t="s">
        <v>4329</v>
      </c>
      <c r="F1244" s="16">
        <v>44863</v>
      </c>
      <c r="G1244" s="5" t="s">
        <v>1837</v>
      </c>
      <c r="H1244" s="5" t="s">
        <v>4770</v>
      </c>
      <c r="I1244" s="24" t="str">
        <f>HYPERLINK("https://www.bilibili.com/video/BV1ie4y1B7SZ?p=86", "BV1ie4y1B7SZ?p=86")</f>
        <v>BV1ie4y1B7SZ?p=86</v>
      </c>
      <c r="J1244" s="4" t="str">
        <f ca="1">_xlfn.IFNA(VLOOKUP(INDIRECT("G"&amp;ROW()),minfo!$A:$M,COLUMN()-8,0),"")</f>
        <v>飘雪-雪の華</v>
      </c>
      <c r="K1244" s="4" t="str">
        <f ca="1">_xlfn.IFNA(VLOOKUP(INDIRECT("G"&amp;ROW()),minfo!$A:$M,COLUMN()-8,0),"")</f>
        <v>陈慧娴</v>
      </c>
      <c r="L1244" s="4">
        <f ca="1">_xlfn.IFNA(VLOOKUP(INDIRECT("G"&amp;ROW()),minfo!$A:$M,COLUMN()-8,0),"")</f>
        <v>0</v>
      </c>
      <c r="M1244" s="4">
        <f ca="1">_xlfn.IFNA(VLOOKUP(INDIRECT("G"&amp;ROW()),minfo!$A:$M,COLUMN()-8,0),"")</f>
        <v>0</v>
      </c>
      <c r="N1244" s="4">
        <f ca="1">_xlfn.IFNA(VLOOKUP(INDIRECT("G"&amp;ROW()),minfo!$A:$M,COLUMN()-8,0),"")</f>
        <v>0</v>
      </c>
      <c r="O1244" s="4" t="str">
        <f ca="1">_xlfn.IFNA(VLOOKUP(INDIRECT("G"&amp;ROW()),minfo!$A:$M,COLUMN()-8,0),"")</f>
        <v>https://i0.hdslb.com/bfs/station_src/music_metadata/75bf081013bcbb2e63cb5c6871e79d67.jpg</v>
      </c>
      <c r="P1244" s="4" t="str">
        <f ca="1">_xlfn.IFNA(VLOOKUP(INDIRECT("G"&amp;ROW()),minfo!$A:$M,COLUMN()-8,0),"")</f>
        <v>http://i0.hdslb.com/bfs/station_src/music_metadata/44281aaea8f0663d8ae45d5c6f2567ca</v>
      </c>
      <c r="Q1244" s="4">
        <f ca="1">_xlfn.IFNA(VLOOKUP(INDIRECT("G"&amp;ROW()),minfo!$A:$M,COLUMN()-8,0),"")</f>
        <v>313</v>
      </c>
      <c r="R1244" s="4" t="str">
        <f ca="1">_xlfn.IFNA(VLOOKUP(INDIRECT("G"&amp;ROW()),minfo!$A:$M,COLUMN()-8,0),"")</f>
        <v>《少女佳禾》电影插曲</v>
      </c>
      <c r="S1244" s="4" t="str">
        <f ca="1">_xlfn.IFNA(VLOOKUP(INDIRECT("G"&amp;ROW()),minfo!$A:$M,COLUMN()-8,0),"")</f>
        <v>归来吧</v>
      </c>
      <c r="T1244" s="4">
        <f ca="1">_xlfn.IFNA(VLOOKUP(INDIRECT("G"&amp;ROW()),minfo!$A:$M,COLUMN()-8,0),"")</f>
        <v>63845647</v>
      </c>
      <c r="U1244" s="4">
        <f ca="1">_xlfn.IFNA(VLOOKUP(INDIRECT("G"&amp;ROW()),minfo!$A:$M,COLUMN()-8,0),"")</f>
        <v>0</v>
      </c>
    </row>
    <row r="1245" spans="1:21" ht="15.75" customHeight="1">
      <c r="A1245" s="15">
        <v>1244</v>
      </c>
      <c r="B1245" s="4" t="s">
        <v>4859</v>
      </c>
      <c r="C1245" s="4">
        <v>1245</v>
      </c>
      <c r="D1245" s="4">
        <v>87</v>
      </c>
      <c r="E1245" s="4" t="s">
        <v>2657</v>
      </c>
      <c r="F1245" s="16">
        <v>44863</v>
      </c>
      <c r="G1245" s="5" t="s">
        <v>2656</v>
      </c>
      <c r="H1245" s="5" t="s">
        <v>4770</v>
      </c>
      <c r="I1245" s="24" t="str">
        <f>HYPERLINK("https://www.bilibili.com/video/BV1ie4y1B7SZ?p=87", "BV1ie4y1B7SZ?p=87")</f>
        <v>BV1ie4y1B7SZ?p=87</v>
      </c>
      <c r="J1245" s="4" t="str">
        <f ca="1">_xlfn.IFNA(VLOOKUP(INDIRECT("G"&amp;ROW()),minfo!$A:$M,COLUMN()-8,0),"")</f>
        <v>最初的梦想</v>
      </c>
      <c r="K1245" s="4" t="str">
        <f ca="1">_xlfn.IFNA(VLOOKUP(INDIRECT("G"&amp;ROW()),minfo!$A:$M,COLUMN()-8,0),"")</f>
        <v>范玮琪</v>
      </c>
      <c r="L1245" s="4">
        <f ca="1">_xlfn.IFNA(VLOOKUP(INDIRECT("G"&amp;ROW()),minfo!$A:$M,COLUMN()-8,0),"")</f>
        <v>0</v>
      </c>
      <c r="M1245" s="4">
        <f ca="1">_xlfn.IFNA(VLOOKUP(INDIRECT("G"&amp;ROW()),minfo!$A:$M,COLUMN()-8,0),"")</f>
        <v>0</v>
      </c>
      <c r="N1245" s="4">
        <f ca="1">_xlfn.IFNA(VLOOKUP(INDIRECT("G"&amp;ROW()),minfo!$A:$M,COLUMN()-8,0),"")</f>
        <v>0</v>
      </c>
      <c r="O1245" s="4" t="str">
        <f ca="1">_xlfn.IFNA(VLOOKUP(INDIRECT("G"&amp;ROW()),minfo!$A:$M,COLUMN()-8,0),"")</f>
        <v>https://i0.hdslb.com/bfs/station_src/music_metadata/6ad9d164e699cd0ad7d6aff7fd5d43a4.jpg</v>
      </c>
      <c r="P1245" s="4" t="str">
        <f ca="1">_xlfn.IFNA(VLOOKUP(INDIRECT("G"&amp;ROW()),minfo!$A:$M,COLUMN()-8,0),"")</f>
        <v>http://i0.hdslb.com/bfs/station_src/music_metadata/aa99bb49c8319c0a85e3fd26595b4392</v>
      </c>
      <c r="Q1245" s="4">
        <f ca="1">_xlfn.IFNA(VLOOKUP(INDIRECT("G"&amp;ROW()),minfo!$A:$M,COLUMN()-8,0),"")</f>
        <v>242</v>
      </c>
      <c r="R1245" s="4" t="str">
        <f ca="1">_xlfn.IFNA(VLOOKUP(INDIRECT("G"&amp;ROW()),minfo!$A:$M,COLUMN()-8,0),"")</f>
        <v>《大长今》电视剧片头曲</v>
      </c>
      <c r="S1245" s="4" t="str">
        <f ca="1">_xlfn.IFNA(VLOOKUP(INDIRECT("G"&amp;ROW()),minfo!$A:$M,COLUMN()-8,0),"")</f>
        <v>最初的梦想</v>
      </c>
      <c r="T1245" s="4">
        <f ca="1">_xlfn.IFNA(VLOOKUP(INDIRECT("G"&amp;ROW()),minfo!$A:$M,COLUMN()-8,0),"")</f>
        <v>64561447</v>
      </c>
      <c r="U1245" s="4">
        <f ca="1">_xlfn.IFNA(VLOOKUP(INDIRECT("G"&amp;ROW()),minfo!$A:$M,COLUMN()-8,0),"")</f>
        <v>0</v>
      </c>
    </row>
    <row r="1246" spans="1:21" ht="15.75" customHeight="1">
      <c r="A1246" s="15">
        <v>1245</v>
      </c>
      <c r="B1246" s="4" t="s">
        <v>4860</v>
      </c>
      <c r="C1246" s="4">
        <v>1246</v>
      </c>
      <c r="D1246" s="4">
        <v>88</v>
      </c>
      <c r="E1246" s="4" t="s">
        <v>244</v>
      </c>
      <c r="F1246" s="16">
        <v>44863</v>
      </c>
      <c r="G1246" s="5" t="s">
        <v>243</v>
      </c>
      <c r="H1246" s="5" t="s">
        <v>4770</v>
      </c>
      <c r="I1246" s="24" t="str">
        <f>HYPERLINK("https://www.bilibili.com/video/BV1ie4y1B7SZ?p=88", "BV1ie4y1B7SZ?p=88")</f>
        <v>BV1ie4y1B7SZ?p=88</v>
      </c>
      <c r="J1246" s="4" t="str">
        <f ca="1">_xlfn.IFNA(VLOOKUP(INDIRECT("G"&amp;ROW()),minfo!$A:$M,COLUMN()-8,0),"")</f>
        <v>天若有情</v>
      </c>
      <c r="K1246" s="4" t="str">
        <f ca="1">_xlfn.IFNA(VLOOKUP(INDIRECT("G"&amp;ROW()),minfo!$A:$M,COLUMN()-8,0),"")</f>
        <v>A-Lin</v>
      </c>
      <c r="L1246" s="4">
        <f ca="1">_xlfn.IFNA(VLOOKUP(INDIRECT("G"&amp;ROW()),minfo!$A:$M,COLUMN()-8,0),"")</f>
        <v>0</v>
      </c>
      <c r="M1246" s="4">
        <f ca="1">_xlfn.IFNA(VLOOKUP(INDIRECT("G"&amp;ROW()),minfo!$A:$M,COLUMN()-8,0),"")</f>
        <v>0</v>
      </c>
      <c r="N1246" s="4">
        <f ca="1">_xlfn.IFNA(VLOOKUP(INDIRECT("G"&amp;ROW()),minfo!$A:$M,COLUMN()-8,0),"")</f>
        <v>0</v>
      </c>
      <c r="O1246" s="4" t="str">
        <f ca="1">_xlfn.IFNA(VLOOKUP(INDIRECT("G"&amp;ROW()),minfo!$A:$M,COLUMN()-8,0),"")</f>
        <v>https://i0.hdslb.com/bfs/station_src/music_metadata/d7077aac44142c14752bf54adb6735dd.jpg</v>
      </c>
      <c r="P1246" s="4" t="str">
        <f ca="1">_xlfn.IFNA(VLOOKUP(INDIRECT("G"&amp;ROW()),minfo!$A:$M,COLUMN()-8,0),"")</f>
        <v>http://i0.hdslb.com/bfs/station_src/music_metadata/d430629d07fd668a47cf98e2c77345f8</v>
      </c>
      <c r="Q1246" s="4">
        <f ca="1">_xlfn.IFNA(VLOOKUP(INDIRECT("G"&amp;ROW()),minfo!$A:$M,COLUMN()-8,0),"")</f>
        <v>4856</v>
      </c>
      <c r="R1246" s="4" t="str">
        <f ca="1">_xlfn.IFNA(VLOOKUP(INDIRECT("G"&amp;ROW()),minfo!$A:$M,COLUMN()-8,0),"")</f>
        <v>《锦绣未央》电视剧主题曲</v>
      </c>
      <c r="S1246" s="4" t="str">
        <f ca="1">_xlfn.IFNA(VLOOKUP(INDIRECT("G"&amp;ROW()),minfo!$A:$M,COLUMN()-8,0),"")</f>
        <v>天若有情</v>
      </c>
      <c r="T1246" s="4">
        <f ca="1">_xlfn.IFNA(VLOOKUP(INDIRECT("G"&amp;ROW()),minfo!$A:$M,COLUMN()-8,0),"")</f>
        <v>508621070</v>
      </c>
      <c r="U1246" s="4">
        <f ca="1">_xlfn.IFNA(VLOOKUP(INDIRECT("G"&amp;ROW()),minfo!$A:$M,COLUMN()-8,0),"")</f>
        <v>0</v>
      </c>
    </row>
    <row r="1247" spans="1:21" ht="15.75" customHeight="1">
      <c r="A1247" s="15">
        <v>1246</v>
      </c>
      <c r="B1247" s="4" t="s">
        <v>4861</v>
      </c>
      <c r="C1247" s="4">
        <v>1247</v>
      </c>
      <c r="D1247" s="4">
        <v>89</v>
      </c>
      <c r="E1247" s="4" t="s">
        <v>869</v>
      </c>
      <c r="F1247" s="16">
        <v>44864</v>
      </c>
      <c r="G1247" s="5" t="s">
        <v>868</v>
      </c>
      <c r="H1247" s="5" t="s">
        <v>4770</v>
      </c>
      <c r="I1247" s="24" t="str">
        <f>HYPERLINK("https://www.bilibili.com/video/BV1ie4y1B7SZ?p=89", "BV1ie4y1B7SZ?p=89")</f>
        <v>BV1ie4y1B7SZ?p=89</v>
      </c>
      <c r="J1247" s="4" t="str">
        <f ca="1">_xlfn.IFNA(VLOOKUP(INDIRECT("G"&amp;ROW()),minfo!$A:$M,COLUMN()-8,0),"")</f>
        <v>青花瓷</v>
      </c>
      <c r="K1247" s="4" t="str">
        <f ca="1">_xlfn.IFNA(VLOOKUP(INDIRECT("G"&amp;ROW()),minfo!$A:$M,COLUMN()-8,0),"")</f>
        <v>周杰伦</v>
      </c>
      <c r="L1247" s="4">
        <f ca="1">_xlfn.IFNA(VLOOKUP(INDIRECT("G"&amp;ROW()),minfo!$A:$M,COLUMN()-8,0),"")</f>
        <v>0</v>
      </c>
      <c r="M1247" s="4">
        <f ca="1">_xlfn.IFNA(VLOOKUP(INDIRECT("G"&amp;ROW()),minfo!$A:$M,COLUMN()-8,0),"")</f>
        <v>0</v>
      </c>
      <c r="N1247" s="4">
        <f ca="1">_xlfn.IFNA(VLOOKUP(INDIRECT("G"&amp;ROW()),minfo!$A:$M,COLUMN()-8,0),"")</f>
        <v>0</v>
      </c>
      <c r="O1247" s="4" t="str">
        <f ca="1">_xlfn.IFNA(VLOOKUP(INDIRECT("G"&amp;ROW()),minfo!$A:$M,COLUMN()-8,0),"")</f>
        <v>https://i0.hdslb.com/bfs/station_src/music_metadata/41873834221338c2a2ad6bf64a0d923b.jpg</v>
      </c>
      <c r="P1247" s="4">
        <f ca="1">_xlfn.IFNA(VLOOKUP(INDIRECT("G"&amp;ROW()),minfo!$A:$M,COLUMN()-8,0),"")</f>
        <v>0</v>
      </c>
      <c r="Q1247" s="4">
        <f ca="1">_xlfn.IFNA(VLOOKUP(INDIRECT("G"&amp;ROW()),minfo!$A:$M,COLUMN()-8,0),"")</f>
        <v>9226</v>
      </c>
      <c r="R1247" s="4">
        <f ca="1">_xlfn.IFNA(VLOOKUP(INDIRECT("G"&amp;ROW()),minfo!$A:$M,COLUMN()-8,0),"")</f>
        <v>0</v>
      </c>
      <c r="S1247" s="4" t="str">
        <f ca="1">_xlfn.IFNA(VLOOKUP(INDIRECT("G"&amp;ROW()),minfo!$A:$M,COLUMN()-8,0),"")</f>
        <v>我很忙</v>
      </c>
      <c r="T1247" s="4">
        <f ca="1">_xlfn.IFNA(VLOOKUP(INDIRECT("G"&amp;ROW()),minfo!$A:$M,COLUMN()-8,0),"")</f>
        <v>1341173223</v>
      </c>
      <c r="U1247" s="4" t="str">
        <f ca="1">_xlfn.IFNA(VLOOKUP(INDIRECT("G"&amp;ROW()),minfo!$A:$M,COLUMN()-8,0),"")</f>
        <v>音乐榜最高NO.8</v>
      </c>
    </row>
    <row r="1248" spans="1:21" ht="15.75" customHeight="1">
      <c r="A1248" s="15">
        <v>1247</v>
      </c>
      <c r="B1248" s="4" t="s">
        <v>4862</v>
      </c>
      <c r="C1248" s="4">
        <v>1248</v>
      </c>
      <c r="D1248" s="4">
        <v>90</v>
      </c>
      <c r="E1248" s="4" t="s">
        <v>879</v>
      </c>
      <c r="F1248" s="16">
        <v>44864</v>
      </c>
      <c r="G1248" s="5" t="s">
        <v>878</v>
      </c>
      <c r="H1248" s="5" t="s">
        <v>4770</v>
      </c>
      <c r="I1248" s="24" t="str">
        <f>HYPERLINK("https://www.bilibili.com/video/BV1ie4y1B7SZ?p=90", "BV1ie4y1B7SZ?p=90")</f>
        <v>BV1ie4y1B7SZ?p=90</v>
      </c>
      <c r="J1248" s="4" t="str">
        <f ca="1">_xlfn.IFNA(VLOOKUP(INDIRECT("G"&amp;ROW()),minfo!$A:$M,COLUMN()-8,0),"")</f>
        <v>发如雪</v>
      </c>
      <c r="K1248" s="4" t="str">
        <f ca="1">_xlfn.IFNA(VLOOKUP(INDIRECT("G"&amp;ROW()),minfo!$A:$M,COLUMN()-8,0),"")</f>
        <v>周杰伦</v>
      </c>
      <c r="L1248" s="4">
        <f ca="1">_xlfn.IFNA(VLOOKUP(INDIRECT("G"&amp;ROW()),minfo!$A:$M,COLUMN()-8,0),"")</f>
        <v>0</v>
      </c>
      <c r="M1248" s="4">
        <f ca="1">_xlfn.IFNA(VLOOKUP(INDIRECT("G"&amp;ROW()),minfo!$A:$M,COLUMN()-8,0),"")</f>
        <v>0</v>
      </c>
      <c r="N1248" s="4">
        <f ca="1">_xlfn.IFNA(VLOOKUP(INDIRECT("G"&amp;ROW()),minfo!$A:$M,COLUMN()-8,0),"")</f>
        <v>0</v>
      </c>
      <c r="O1248" s="4" t="str">
        <f ca="1">_xlfn.IFNA(VLOOKUP(INDIRECT("G"&amp;ROW()),minfo!$A:$M,COLUMN()-8,0),"")</f>
        <v>https://i0.hdslb.com/bfs/station_src/music_metadata/4f19787695e451c7ec6f082affe19c57.jpg</v>
      </c>
      <c r="P1248" s="4" t="str">
        <f ca="1">_xlfn.IFNA(VLOOKUP(INDIRECT("G"&amp;ROW()),minfo!$A:$M,COLUMN()-8,0),"")</f>
        <v>http://i0.hdslb.com/bfs/station_src/music_metadata/e48762ee9e6f3b4048f790c705f187cd</v>
      </c>
      <c r="Q1248" s="4">
        <f ca="1">_xlfn.IFNA(VLOOKUP(INDIRECT("G"&amp;ROW()),minfo!$A:$M,COLUMN()-8,0),"")</f>
        <v>5236</v>
      </c>
      <c r="R1248" s="4">
        <f ca="1">_xlfn.IFNA(VLOOKUP(INDIRECT("G"&amp;ROW()),minfo!$A:$M,COLUMN()-8,0),"")</f>
        <v>0</v>
      </c>
      <c r="S1248" s="4" t="str">
        <f ca="1">_xlfn.IFNA(VLOOKUP(INDIRECT("G"&amp;ROW()),minfo!$A:$M,COLUMN()-8,0),"")</f>
        <v>十一月的萧邦</v>
      </c>
      <c r="T1248" s="4">
        <f ca="1">_xlfn.IFNA(VLOOKUP(INDIRECT("G"&amp;ROW()),minfo!$A:$M,COLUMN()-8,0),"")</f>
        <v>561545897</v>
      </c>
      <c r="U1248" s="4">
        <f ca="1">_xlfn.IFNA(VLOOKUP(INDIRECT("G"&amp;ROW()),minfo!$A:$M,COLUMN()-8,0),"")</f>
        <v>0</v>
      </c>
    </row>
    <row r="1249" spans="1:21" ht="15.75" customHeight="1">
      <c r="A1249" s="15">
        <v>1248</v>
      </c>
      <c r="B1249" s="4" t="s">
        <v>4863</v>
      </c>
      <c r="C1249" s="4">
        <v>1249</v>
      </c>
      <c r="D1249" s="4">
        <v>91</v>
      </c>
      <c r="E1249" s="4" t="s">
        <v>1245</v>
      </c>
      <c r="F1249" s="16">
        <v>44864</v>
      </c>
      <c r="G1249" s="5" t="s">
        <v>1244</v>
      </c>
      <c r="H1249" s="5" t="s">
        <v>4770</v>
      </c>
      <c r="I1249" s="24" t="str">
        <f>HYPERLINK("https://www.bilibili.com/video/BV1ie4y1B7SZ?p=91", "BV1ie4y1B7SZ?p=91")</f>
        <v>BV1ie4y1B7SZ?p=91</v>
      </c>
      <c r="J1249" s="4" t="str">
        <f ca="1">_xlfn.IFNA(VLOOKUP(INDIRECT("G"&amp;ROW()),minfo!$A:$M,COLUMN()-8,0),"")</f>
        <v>迷迭香</v>
      </c>
      <c r="K1249" s="4" t="str">
        <f ca="1">_xlfn.IFNA(VLOOKUP(INDIRECT("G"&amp;ROW()),minfo!$A:$M,COLUMN()-8,0),"")</f>
        <v>周杰伦</v>
      </c>
      <c r="L1249" s="4">
        <f ca="1">_xlfn.IFNA(VLOOKUP(INDIRECT("G"&amp;ROW()),minfo!$A:$M,COLUMN()-8,0),"")</f>
        <v>0</v>
      </c>
      <c r="M1249" s="4">
        <f ca="1">_xlfn.IFNA(VLOOKUP(INDIRECT("G"&amp;ROW()),minfo!$A:$M,COLUMN()-8,0),"")</f>
        <v>0</v>
      </c>
      <c r="N1249" s="4">
        <f ca="1">_xlfn.IFNA(VLOOKUP(INDIRECT("G"&amp;ROW()),minfo!$A:$M,COLUMN()-8,0),"")</f>
        <v>0</v>
      </c>
      <c r="O1249" s="4" t="str">
        <f ca="1">_xlfn.IFNA(VLOOKUP(INDIRECT("G"&amp;ROW()),minfo!$A:$M,COLUMN()-8,0),"")</f>
        <v>http://i0.hdslb.com/bfs/station_src/music_metadata/0926861efce67153beddcc1bf5676937.jpg</v>
      </c>
      <c r="P1249" s="4" t="str">
        <f ca="1">_xlfn.IFNA(VLOOKUP(INDIRECT("G"&amp;ROW()),minfo!$A:$M,COLUMN()-8,0),"")</f>
        <v>http://i0.hdslb.com/bfs/station_src/music_metadata/fd3c3fade748fdd9e948719c9ad02b33</v>
      </c>
      <c r="Q1249" s="4">
        <f ca="1">_xlfn.IFNA(VLOOKUP(INDIRECT("G"&amp;ROW()),minfo!$A:$M,COLUMN()-8,0),"")</f>
        <v>566</v>
      </c>
      <c r="R1249" s="4">
        <f ca="1">_xlfn.IFNA(VLOOKUP(INDIRECT("G"&amp;ROW()),minfo!$A:$M,COLUMN()-8,0),"")</f>
        <v>0</v>
      </c>
      <c r="S1249" s="4" t="str">
        <f ca="1">_xlfn.IFNA(VLOOKUP(INDIRECT("G"&amp;ROW()),minfo!$A:$M,COLUMN()-8,0),"")</f>
        <v>依然范特西</v>
      </c>
      <c r="T1249" s="4">
        <f ca="1">_xlfn.IFNA(VLOOKUP(INDIRECT("G"&amp;ROW()),minfo!$A:$M,COLUMN()-8,0),"")</f>
        <v>295581552</v>
      </c>
      <c r="U1249" s="4">
        <f ca="1">_xlfn.IFNA(VLOOKUP(INDIRECT("G"&amp;ROW()),minfo!$A:$M,COLUMN()-8,0),"")</f>
        <v>0</v>
      </c>
    </row>
    <row r="1250" spans="1:21" ht="15.75" customHeight="1">
      <c r="A1250" s="15">
        <v>1249</v>
      </c>
      <c r="B1250" s="4" t="s">
        <v>4864</v>
      </c>
      <c r="C1250" s="4">
        <v>1250</v>
      </c>
      <c r="D1250" s="4">
        <v>92</v>
      </c>
      <c r="E1250" s="4" t="s">
        <v>1932</v>
      </c>
      <c r="F1250" s="16">
        <v>44864</v>
      </c>
      <c r="G1250" s="5" t="s">
        <v>1931</v>
      </c>
      <c r="H1250" s="5" t="s">
        <v>4770</v>
      </c>
      <c r="I1250" s="24" t="str">
        <f>HYPERLINK("https://www.bilibili.com/video/BV1ie4y1B7SZ?p=92", "BV1ie4y1B7SZ?p=92")</f>
        <v>BV1ie4y1B7SZ?p=92</v>
      </c>
      <c r="J1250" s="4" t="str">
        <f ca="1">_xlfn.IFNA(VLOOKUP(INDIRECT("G"&amp;ROW()),minfo!$A:$M,COLUMN()-8,0),"")</f>
        <v>未闻花名</v>
      </c>
      <c r="K1250" s="4" t="str">
        <f ca="1">_xlfn.IFNA(VLOOKUP(INDIRECT("G"&amp;ROW()),minfo!$A:$M,COLUMN()-8,0),"")</f>
        <v>沃特艾文儿,町田纪彦,周深</v>
      </c>
      <c r="L1250" s="4">
        <f ca="1">_xlfn.IFNA(VLOOKUP(INDIRECT("G"&amp;ROW()),minfo!$A:$M,COLUMN()-8,0),"")</f>
        <v>0</v>
      </c>
      <c r="M1250" s="4">
        <f ca="1">_xlfn.IFNA(VLOOKUP(INDIRECT("G"&amp;ROW()),minfo!$A:$M,COLUMN()-8,0),"")</f>
        <v>0</v>
      </c>
      <c r="N1250" s="4">
        <f ca="1">_xlfn.IFNA(VLOOKUP(INDIRECT("G"&amp;ROW()),minfo!$A:$M,COLUMN()-8,0),"")</f>
        <v>0</v>
      </c>
      <c r="O1250" s="4" t="str">
        <f ca="1">_xlfn.IFNA(VLOOKUP(INDIRECT("G"&amp;ROW()),minfo!$A:$M,COLUMN()-8,0),"")</f>
        <v>http://i0.hdslb.com/bfs/station_src/music_metadata/74ef5f7e0d4ca260f061ce88d2d6476f.jpg</v>
      </c>
      <c r="P1250" s="4" t="str">
        <f ca="1">_xlfn.IFNA(VLOOKUP(INDIRECT("G"&amp;ROW()),minfo!$A:$M,COLUMN()-8,0),"")</f>
        <v>https://i0.hdslb.com/bfs/station_src/music_metadata/59550812b72e2fda09193779680f3b75.txt</v>
      </c>
      <c r="Q1250" s="4">
        <f ca="1">_xlfn.IFNA(VLOOKUP(INDIRECT("G"&amp;ROW()),minfo!$A:$M,COLUMN()-8,0),"")</f>
        <v>665</v>
      </c>
      <c r="R1250" s="4" t="str">
        <f ca="1">_xlfn.IFNA(VLOOKUP(INDIRECT("G"&amp;ROW()),minfo!$A:$M,COLUMN()-8,0),"")</f>
        <v>中文版《一期一会》</v>
      </c>
      <c r="S1250" s="4">
        <f ca="1">_xlfn.IFNA(VLOOKUP(INDIRECT("G"&amp;ROW()),minfo!$A:$M,COLUMN()-8,0),"")</f>
        <v>0</v>
      </c>
      <c r="T1250" s="4">
        <f ca="1">_xlfn.IFNA(VLOOKUP(INDIRECT("G"&amp;ROW()),minfo!$A:$M,COLUMN()-8,0),"")</f>
        <v>88649267</v>
      </c>
      <c r="U1250" s="4">
        <f ca="1">_xlfn.IFNA(VLOOKUP(INDIRECT("G"&amp;ROW()),minfo!$A:$M,COLUMN()-8,0),"")</f>
        <v>0</v>
      </c>
    </row>
    <row r="1251" spans="1:21" ht="15.75" customHeight="1">
      <c r="A1251" s="15">
        <v>1250</v>
      </c>
      <c r="B1251" s="4" t="s">
        <v>4865</v>
      </c>
      <c r="C1251" s="4">
        <v>1251</v>
      </c>
      <c r="D1251" s="4">
        <v>93</v>
      </c>
      <c r="E1251" s="4" t="s">
        <v>1743</v>
      </c>
      <c r="F1251" s="16">
        <v>44864</v>
      </c>
      <c r="G1251" s="5" t="s">
        <v>1742</v>
      </c>
      <c r="H1251" s="5" t="s">
        <v>4770</v>
      </c>
      <c r="I1251" s="24" t="str">
        <f>HYPERLINK("https://www.bilibili.com/video/BV1ie4y1B7SZ?p=93", "BV1ie4y1B7SZ?p=93")</f>
        <v>BV1ie4y1B7SZ?p=93</v>
      </c>
      <c r="J1251" s="4" t="str">
        <f ca="1">_xlfn.IFNA(VLOOKUP(INDIRECT("G"&amp;ROW()),minfo!$A:$M,COLUMN()-8,0),"")</f>
        <v>知足</v>
      </c>
      <c r="K1251" s="4" t="str">
        <f ca="1">_xlfn.IFNA(VLOOKUP(INDIRECT("G"&amp;ROW()),minfo!$A:$M,COLUMN()-8,0),"")</f>
        <v>五月天</v>
      </c>
      <c r="L1251" s="4">
        <f ca="1">_xlfn.IFNA(VLOOKUP(INDIRECT("G"&amp;ROW()),minfo!$A:$M,COLUMN()-8,0),"")</f>
        <v>0</v>
      </c>
      <c r="M1251" s="4">
        <f ca="1">_xlfn.IFNA(VLOOKUP(INDIRECT("G"&amp;ROW()),minfo!$A:$M,COLUMN()-8,0),"")</f>
        <v>3030</v>
      </c>
      <c r="N1251" s="4">
        <f ca="1">_xlfn.IFNA(VLOOKUP(INDIRECT("G"&amp;ROW()),minfo!$A:$M,COLUMN()-8,0),"")</f>
        <v>1949</v>
      </c>
      <c r="O1251" s="4" t="str">
        <f ca="1">_xlfn.IFNA(VLOOKUP(INDIRECT("G"&amp;ROW()),minfo!$A:$M,COLUMN()-8,0),"")</f>
        <v>http://i0.hdslb.com/bfs/station_src/music_metadata/dab8db4a9a448c1f836e56049070aa26.jpg</v>
      </c>
      <c r="P1251" s="4" t="str">
        <f ca="1">_xlfn.IFNA(VLOOKUP(INDIRECT("G"&amp;ROW()),minfo!$A:$M,COLUMN()-8,0),"")</f>
        <v>http://i0.hdslb.com/bfs/station_src/music_metadata/b378a92a47e277d62037de8697e6967f</v>
      </c>
      <c r="Q1251" s="4">
        <f ca="1">_xlfn.IFNA(VLOOKUP(INDIRECT("G"&amp;ROW()),minfo!$A:$M,COLUMN()-8,0),"")</f>
        <v>556</v>
      </c>
      <c r="R1251" s="4">
        <f ca="1">_xlfn.IFNA(VLOOKUP(INDIRECT("G"&amp;ROW()),minfo!$A:$M,COLUMN()-8,0),"")</f>
        <v>0</v>
      </c>
      <c r="S1251" s="4" t="str">
        <f ca="1">_xlfn.IFNA(VLOOKUP(INDIRECT("G"&amp;ROW()),minfo!$A:$M,COLUMN()-8,0),"")</f>
        <v>步步 自选作品辑 the Best of 1999-2013</v>
      </c>
      <c r="T1251" s="4">
        <f ca="1">_xlfn.IFNA(VLOOKUP(INDIRECT("G"&amp;ROW()),minfo!$A:$M,COLUMN()-8,0),"")</f>
        <v>243513643</v>
      </c>
      <c r="U1251" s="4">
        <f ca="1">_xlfn.IFNA(VLOOKUP(INDIRECT("G"&amp;ROW()),minfo!$A:$M,COLUMN()-8,0),"")</f>
        <v>0</v>
      </c>
    </row>
    <row r="1252" spans="1:21" ht="15.75" customHeight="1">
      <c r="A1252" s="15">
        <v>1251</v>
      </c>
      <c r="B1252" s="4" t="s">
        <v>4866</v>
      </c>
      <c r="C1252" s="4">
        <v>1252</v>
      </c>
      <c r="D1252" s="4">
        <v>94</v>
      </c>
      <c r="E1252" s="4" t="s">
        <v>1153</v>
      </c>
      <c r="F1252" s="16">
        <v>44864</v>
      </c>
      <c r="G1252" s="5" t="s">
        <v>1152</v>
      </c>
      <c r="H1252" s="5" t="s">
        <v>4770</v>
      </c>
      <c r="I1252" s="24" t="str">
        <f>HYPERLINK("https://www.bilibili.com/video/BV1ie4y1B7SZ?p=94", "BV1ie4y1B7SZ?p=94")</f>
        <v>BV1ie4y1B7SZ?p=94</v>
      </c>
      <c r="J1252" s="4" t="str">
        <f ca="1">_xlfn.IFNA(VLOOKUP(INDIRECT("G"&amp;ROW()),minfo!$A:$M,COLUMN()-8,0),"")</f>
        <v>让我们荡起双桨</v>
      </c>
      <c r="K1252" s="4" t="str">
        <f ca="1">_xlfn.IFNA(VLOOKUP(INDIRECT("G"&amp;ROW()),minfo!$A:$M,COLUMN()-8,0),"")</f>
        <v>董文华</v>
      </c>
      <c r="L1252" s="4">
        <f ca="1">_xlfn.IFNA(VLOOKUP(INDIRECT("G"&amp;ROW()),minfo!$A:$M,COLUMN()-8,0),"")</f>
        <v>0</v>
      </c>
      <c r="M1252" s="4">
        <f ca="1">_xlfn.IFNA(VLOOKUP(INDIRECT("G"&amp;ROW()),minfo!$A:$M,COLUMN()-8,0),"")</f>
        <v>0</v>
      </c>
      <c r="N1252" s="4">
        <f ca="1">_xlfn.IFNA(VLOOKUP(INDIRECT("G"&amp;ROW()),minfo!$A:$M,COLUMN()-8,0),"")</f>
        <v>0</v>
      </c>
      <c r="O1252" s="4" t="str">
        <f ca="1">_xlfn.IFNA(VLOOKUP(INDIRECT("G"&amp;ROW()),minfo!$A:$M,COLUMN()-8,0),"")</f>
        <v>https://i0.hdslb.com/bfs/station_src/music_metadata/9a1ec279408d56617f21043f749a60a5.jpg</v>
      </c>
      <c r="P1252" s="4" t="str">
        <f ca="1">_xlfn.IFNA(VLOOKUP(INDIRECT("G"&amp;ROW()),minfo!$A:$M,COLUMN()-8,0),"")</f>
        <v>https://i0.hdslb.com/bfs/station_src/music_metadata/34156fbcd7e4895d59ad7092d1223840.txt</v>
      </c>
      <c r="Q1252" s="4">
        <f ca="1">_xlfn.IFNA(VLOOKUP(INDIRECT("G"&amp;ROW()),minfo!$A:$M,COLUMN()-8,0),"")</f>
        <v>0</v>
      </c>
      <c r="R1252" s="4">
        <f ca="1">_xlfn.IFNA(VLOOKUP(INDIRECT("G"&amp;ROW()),minfo!$A:$M,COLUMN()-8,0),"")</f>
        <v>0</v>
      </c>
      <c r="S1252" s="4" t="str">
        <f ca="1">_xlfn.IFNA(VLOOKUP(INDIRECT("G"&amp;ROW()),minfo!$A:$M,COLUMN()-8,0),"")</f>
        <v>演唱歌曲精选200首</v>
      </c>
      <c r="T1252" s="4">
        <f ca="1">_xlfn.IFNA(VLOOKUP(INDIRECT("G"&amp;ROW()),minfo!$A:$M,COLUMN()-8,0),"")</f>
        <v>88189</v>
      </c>
      <c r="U1252" s="4">
        <f ca="1">_xlfn.IFNA(VLOOKUP(INDIRECT("G"&amp;ROW()),minfo!$A:$M,COLUMN()-8,0),"")</f>
        <v>0</v>
      </c>
    </row>
    <row r="1253" spans="1:21" ht="15.75" customHeight="1">
      <c r="A1253" s="15">
        <v>1252</v>
      </c>
      <c r="B1253" s="4" t="s">
        <v>4867</v>
      </c>
      <c r="C1253" s="4">
        <v>1253</v>
      </c>
      <c r="D1253" s="4">
        <v>95</v>
      </c>
      <c r="E1253" s="4" t="s">
        <v>2423</v>
      </c>
      <c r="F1253" s="16">
        <v>44864</v>
      </c>
      <c r="G1253" s="5" t="s">
        <v>2672</v>
      </c>
      <c r="H1253" s="5" t="s">
        <v>4770</v>
      </c>
      <c r="I1253" s="24" t="str">
        <f>HYPERLINK("https://www.bilibili.com/video/BV1ie4y1B7SZ?p=95", "BV1ie4y1B7SZ?p=95")</f>
        <v>BV1ie4y1B7SZ?p=95</v>
      </c>
      <c r="J1253" s="4" t="str">
        <f ca="1">_xlfn.IFNA(VLOOKUP(INDIRECT("G"&amp;ROW()),minfo!$A:$M,COLUMN()-8,0),"")</f>
        <v>外婆的澎湖灣</v>
      </c>
      <c r="K1253" s="4" t="str">
        <f ca="1">_xlfn.IFNA(VLOOKUP(INDIRECT("G"&amp;ROW()),minfo!$A:$M,COLUMN()-8,0),"")</f>
        <v>潘安邦</v>
      </c>
      <c r="L1253" s="4">
        <f ca="1">_xlfn.IFNA(VLOOKUP(INDIRECT("G"&amp;ROW()),minfo!$A:$M,COLUMN()-8,0),"")</f>
        <v>0</v>
      </c>
      <c r="M1253" s="4">
        <f ca="1">_xlfn.IFNA(VLOOKUP(INDIRECT("G"&amp;ROW()),minfo!$A:$M,COLUMN()-8,0),"")</f>
        <v>0</v>
      </c>
      <c r="N1253" s="4">
        <f ca="1">_xlfn.IFNA(VLOOKUP(INDIRECT("G"&amp;ROW()),minfo!$A:$M,COLUMN()-8,0),"")</f>
        <v>0</v>
      </c>
      <c r="O1253" s="4" t="str">
        <f ca="1">_xlfn.IFNA(VLOOKUP(INDIRECT("G"&amp;ROW()),minfo!$A:$M,COLUMN()-8,0),"")</f>
        <v>https://i0.hdslb.com/bfs/station_src/music_metadata/610491f3ef5093a37b6454d9b0a97b36.jpg</v>
      </c>
      <c r="P1253" s="4">
        <f ca="1">_xlfn.IFNA(VLOOKUP(INDIRECT("G"&amp;ROW()),minfo!$A:$M,COLUMN()-8,0),"")</f>
        <v>0</v>
      </c>
      <c r="Q1253" s="4">
        <f ca="1">_xlfn.IFNA(VLOOKUP(INDIRECT("G"&amp;ROW()),minfo!$A:$M,COLUMN()-8,0),"")</f>
        <v>2688</v>
      </c>
      <c r="R1253" s="4">
        <f ca="1">_xlfn.IFNA(VLOOKUP(INDIRECT("G"&amp;ROW()),minfo!$A:$M,COLUMN()-8,0),"")</f>
        <v>0</v>
      </c>
      <c r="S1253" s="4" t="str">
        <f ca="1">_xlfn.IFNA(VLOOKUP(INDIRECT("G"&amp;ROW()),minfo!$A:$M,COLUMN()-8,0),"")</f>
        <v>国民歌手 潘安邦 (壹)</v>
      </c>
      <c r="T1253" s="4">
        <f ca="1">_xlfn.IFNA(VLOOKUP(INDIRECT("G"&amp;ROW()),minfo!$A:$M,COLUMN()-8,0),"")</f>
        <v>566920212</v>
      </c>
      <c r="U1253" s="4">
        <f ca="1">_xlfn.IFNA(VLOOKUP(INDIRECT("G"&amp;ROW()),minfo!$A:$M,COLUMN()-8,0),"")</f>
        <v>0</v>
      </c>
    </row>
    <row r="1254" spans="1:21" ht="15.75" customHeight="1">
      <c r="A1254" s="15">
        <v>1253</v>
      </c>
      <c r="B1254" s="4" t="s">
        <v>4868</v>
      </c>
      <c r="C1254" s="4">
        <v>1254</v>
      </c>
      <c r="D1254" s="4">
        <v>96</v>
      </c>
      <c r="E1254" s="4" t="s">
        <v>975</v>
      </c>
      <c r="F1254" s="16">
        <v>44864</v>
      </c>
      <c r="G1254" s="5" t="s">
        <v>974</v>
      </c>
      <c r="H1254" s="5" t="s">
        <v>4770</v>
      </c>
      <c r="I1254" s="24" t="str">
        <f>HYPERLINK("https://www.bilibili.com/video/BV1ie4y1B7SZ?p=96", "BV1ie4y1B7SZ?p=96")</f>
        <v>BV1ie4y1B7SZ?p=96</v>
      </c>
      <c r="J1254" s="4" t="str">
        <f ca="1">_xlfn.IFNA(VLOOKUP(INDIRECT("G"&amp;ROW()),minfo!$A:$M,COLUMN()-8,0),"")</f>
        <v>如果云知道</v>
      </c>
      <c r="K1254" s="4" t="str">
        <f ca="1">_xlfn.IFNA(VLOOKUP(INDIRECT("G"&amp;ROW()),minfo!$A:$M,COLUMN()-8,0),"")</f>
        <v>许茹芸</v>
      </c>
      <c r="L1254" s="4">
        <f ca="1">_xlfn.IFNA(VLOOKUP(INDIRECT("G"&amp;ROW()),minfo!$A:$M,COLUMN()-8,0),"")</f>
        <v>0</v>
      </c>
      <c r="M1254" s="4">
        <f ca="1">_xlfn.IFNA(VLOOKUP(INDIRECT("G"&amp;ROW()),minfo!$A:$M,COLUMN()-8,0),"")</f>
        <v>0</v>
      </c>
      <c r="N1254" s="4">
        <f ca="1">_xlfn.IFNA(VLOOKUP(INDIRECT("G"&amp;ROW()),minfo!$A:$M,COLUMN()-8,0),"")</f>
        <v>0</v>
      </c>
      <c r="O1254" s="4" t="str">
        <f ca="1">_xlfn.IFNA(VLOOKUP(INDIRECT("G"&amp;ROW()),minfo!$A:$M,COLUMN()-8,0),"")</f>
        <v>http://i0.hdslb.com/bfs/station_src/music_metadata/9da38631e2dd6f94986ba234facf8fe4.jpg</v>
      </c>
      <c r="P1254" s="4" t="str">
        <f ca="1">_xlfn.IFNA(VLOOKUP(INDIRECT("G"&amp;ROW()),minfo!$A:$M,COLUMN()-8,0),"")</f>
        <v>http://i0.hdslb.com/bfs/station_src/music_metadata/e8ddd3d5fe50c8872f21315e1a0b2309</v>
      </c>
      <c r="Q1254" s="4">
        <f ca="1">_xlfn.IFNA(VLOOKUP(INDIRECT("G"&amp;ROW()),minfo!$A:$M,COLUMN()-8,0),"")</f>
        <v>35</v>
      </c>
      <c r="R1254" s="4">
        <f ca="1">_xlfn.IFNA(VLOOKUP(INDIRECT("G"&amp;ROW()),minfo!$A:$M,COLUMN()-8,0),"")</f>
        <v>0</v>
      </c>
      <c r="S1254" s="4" t="str">
        <f ca="1">_xlfn.IFNA(VLOOKUP(INDIRECT("G"&amp;ROW()),minfo!$A:$M,COLUMN()-8,0),"")</f>
        <v>如果云知道</v>
      </c>
      <c r="T1254" s="4">
        <f ca="1">_xlfn.IFNA(VLOOKUP(INDIRECT("G"&amp;ROW()),minfo!$A:$M,COLUMN()-8,0),"")</f>
        <v>16660903</v>
      </c>
      <c r="U1254" s="4">
        <f ca="1">_xlfn.IFNA(VLOOKUP(INDIRECT("G"&amp;ROW()),minfo!$A:$M,COLUMN()-8,0),"")</f>
        <v>0</v>
      </c>
    </row>
    <row r="1255" spans="1:21" ht="15.75" customHeight="1">
      <c r="A1255" s="15">
        <v>1254</v>
      </c>
      <c r="B1255" s="4" t="s">
        <v>4869</v>
      </c>
      <c r="C1255" s="4">
        <v>1255</v>
      </c>
      <c r="D1255" s="4">
        <v>97</v>
      </c>
      <c r="E1255" s="4" t="s">
        <v>3572</v>
      </c>
      <c r="F1255" s="16">
        <v>44867</v>
      </c>
      <c r="G1255" s="5" t="s">
        <v>269</v>
      </c>
      <c r="H1255" s="5" t="s">
        <v>4770</v>
      </c>
      <c r="I1255" s="24" t="str">
        <f>HYPERLINK("https://www.bilibili.com/video/BV1ie4y1B7SZ?p=97", "BV1ie4y1B7SZ?p=97")</f>
        <v>BV1ie4y1B7SZ?p=97</v>
      </c>
      <c r="J1255" s="4" t="str">
        <f ca="1">_xlfn.IFNA(VLOOKUP(INDIRECT("G"&amp;ROW()),minfo!$A:$M,COLUMN()-8,0),"")</f>
        <v>心型圈</v>
      </c>
      <c r="K1255" s="4" t="str">
        <f ca="1">_xlfn.IFNA(VLOOKUP(INDIRECT("G"&amp;ROW()),minfo!$A:$M,COLUMN()-8,0),"")</f>
        <v>蔡依林</v>
      </c>
      <c r="L1255" s="4">
        <f ca="1">_xlfn.IFNA(VLOOKUP(INDIRECT("G"&amp;ROW()),minfo!$A:$M,COLUMN()-8,0),"")</f>
        <v>0</v>
      </c>
      <c r="M1255" s="4">
        <f ca="1">_xlfn.IFNA(VLOOKUP(INDIRECT("G"&amp;ROW()),minfo!$A:$M,COLUMN()-8,0),"")</f>
        <v>0</v>
      </c>
      <c r="N1255" s="4">
        <f ca="1">_xlfn.IFNA(VLOOKUP(INDIRECT("G"&amp;ROW()),minfo!$A:$M,COLUMN()-8,0),"")</f>
        <v>0</v>
      </c>
      <c r="O1255" s="4" t="str">
        <f ca="1">_xlfn.IFNA(VLOOKUP(INDIRECT("G"&amp;ROW()),minfo!$A:$M,COLUMN()-8,0),"")</f>
        <v>https://i0.hdslb.com/bfs/station_src/music_metadata/4589cfbffafe67ee77297d2c1a8382a2.jpg</v>
      </c>
      <c r="P1255" s="4" t="str">
        <f ca="1">_xlfn.IFNA(VLOOKUP(INDIRECT("G"&amp;ROW()),minfo!$A:$M,COLUMN()-8,0),"")</f>
        <v>http://i0.hdslb.com/bfs/station_src/music_metadata/8cc5879e0613b2fe4181e186bbdcc8c9</v>
      </c>
      <c r="Q1255" s="4">
        <f ca="1">_xlfn.IFNA(VLOOKUP(INDIRECT("G"&amp;ROW()),minfo!$A:$M,COLUMN()-8,0),"")</f>
        <v>13</v>
      </c>
      <c r="R1255" s="4">
        <f ca="1">_xlfn.IFNA(VLOOKUP(INDIRECT("G"&amp;ROW()),minfo!$A:$M,COLUMN()-8,0),"")</f>
        <v>0</v>
      </c>
      <c r="S1255" s="4" t="str">
        <f ca="1">_xlfn.IFNA(VLOOKUP(INDIRECT("G"&amp;ROW()),minfo!$A:$M,COLUMN()-8,0),"")</f>
        <v>舞娘</v>
      </c>
      <c r="T1255" s="4">
        <f ca="1">_xlfn.IFNA(VLOOKUP(INDIRECT("G"&amp;ROW()),minfo!$A:$M,COLUMN()-8,0),"")</f>
        <v>6717554</v>
      </c>
      <c r="U1255" s="4">
        <f ca="1">_xlfn.IFNA(VLOOKUP(INDIRECT("G"&amp;ROW()),minfo!$A:$M,COLUMN()-8,0),"")</f>
        <v>0</v>
      </c>
    </row>
    <row r="1256" spans="1:21" ht="15.75" customHeight="1">
      <c r="A1256" s="15">
        <v>1255</v>
      </c>
      <c r="B1256" s="4" t="s">
        <v>4870</v>
      </c>
      <c r="C1256" s="4">
        <v>1256</v>
      </c>
      <c r="D1256" s="4">
        <v>98</v>
      </c>
      <c r="E1256" s="4" t="s">
        <v>4362</v>
      </c>
      <c r="F1256" s="16">
        <v>44867</v>
      </c>
      <c r="G1256" s="5" t="s">
        <v>1886</v>
      </c>
      <c r="H1256" s="5" t="s">
        <v>4770</v>
      </c>
      <c r="I1256" s="24" t="str">
        <f>HYPERLINK("https://www.bilibili.com/video/BV1ie4y1B7SZ?p=98", "BV1ie4y1B7SZ?p=98")</f>
        <v>BV1ie4y1B7SZ?p=98</v>
      </c>
      <c r="J1256" s="4" t="str">
        <f ca="1">_xlfn.IFNA(VLOOKUP(INDIRECT("G"&amp;ROW()),minfo!$A:$M,COLUMN()-8,0),"")</f>
        <v>快乐手账</v>
      </c>
      <c r="K1256" s="4" t="str">
        <f ca="1">_xlfn.IFNA(VLOOKUP(INDIRECT("G"&amp;ROW()),minfo!$A:$M,COLUMN()-8,0),"")</f>
        <v>初音未来</v>
      </c>
      <c r="L1256" s="4">
        <f ca="1">_xlfn.IFNA(VLOOKUP(INDIRECT("G"&amp;ROW()),minfo!$A:$M,COLUMN()-8,0),"")</f>
        <v>0</v>
      </c>
      <c r="M1256" s="4">
        <f ca="1">_xlfn.IFNA(VLOOKUP(INDIRECT("G"&amp;ROW()),minfo!$A:$M,COLUMN()-8,0),"")</f>
        <v>0</v>
      </c>
      <c r="N1256" s="4">
        <f ca="1">_xlfn.IFNA(VLOOKUP(INDIRECT("G"&amp;ROW()),minfo!$A:$M,COLUMN()-8,0),"")</f>
        <v>0</v>
      </c>
      <c r="O1256" s="4" t="str">
        <f ca="1">_xlfn.IFNA(VLOOKUP(INDIRECT("G"&amp;ROW()),minfo!$A:$M,COLUMN()-8,0),"")</f>
        <v>http://i0.hdslb.com/bfs/station_src/music_metadata/6d0fe4d5c4dc61f5d1d037d0e6855532.jpg</v>
      </c>
      <c r="P1256" s="4">
        <f ca="1">_xlfn.IFNA(VLOOKUP(INDIRECT("G"&amp;ROW()),minfo!$A:$M,COLUMN()-8,0),"")</f>
        <v>0</v>
      </c>
      <c r="Q1256" s="4">
        <f ca="1">_xlfn.IFNA(VLOOKUP(INDIRECT("G"&amp;ROW()),minfo!$A:$M,COLUMN()-8,0),"")</f>
        <v>42</v>
      </c>
      <c r="R1256" s="4">
        <f ca="1">_xlfn.IFNA(VLOOKUP(INDIRECT("G"&amp;ROW()),minfo!$A:$M,COLUMN()-8,0),"")</f>
        <v>0</v>
      </c>
      <c r="S1256" s="4" t="str">
        <f ca="1">_xlfn.IFNA(VLOOKUP(INDIRECT("G"&amp;ROW()),minfo!$A:$M,COLUMN()-8,0),"")</f>
        <v>快乐手账</v>
      </c>
      <c r="T1256" s="4">
        <f ca="1">_xlfn.IFNA(VLOOKUP(INDIRECT("G"&amp;ROW()),minfo!$A:$M,COLUMN()-8,0),"")</f>
        <v>6085354</v>
      </c>
      <c r="U1256" s="4">
        <f ca="1">_xlfn.IFNA(VLOOKUP(INDIRECT("G"&amp;ROW()),minfo!$A:$M,COLUMN()-8,0),"")</f>
        <v>0</v>
      </c>
    </row>
    <row r="1257" spans="1:21" ht="15.75" customHeight="1">
      <c r="A1257" s="15">
        <v>1256</v>
      </c>
      <c r="B1257" s="4" t="s">
        <v>4871</v>
      </c>
      <c r="C1257" s="4">
        <v>1257</v>
      </c>
      <c r="D1257" s="4">
        <v>99</v>
      </c>
      <c r="E1257" s="4" t="s">
        <v>732</v>
      </c>
      <c r="F1257" s="16">
        <v>44867</v>
      </c>
      <c r="G1257" s="5" t="s">
        <v>731</v>
      </c>
      <c r="H1257" s="5" t="s">
        <v>4770</v>
      </c>
      <c r="I1257" s="24" t="str">
        <f>HYPERLINK("https://www.bilibili.com/video/BV1ie4y1B7SZ?p=99", "BV1ie4y1B7SZ?p=99")</f>
        <v>BV1ie4y1B7SZ?p=99</v>
      </c>
      <c r="J1257" s="4" t="str">
        <f ca="1">_xlfn.IFNA(VLOOKUP(INDIRECT("G"&amp;ROW()),minfo!$A:$M,COLUMN()-8,0),"")</f>
        <v>园游会</v>
      </c>
      <c r="K1257" s="4" t="str">
        <f ca="1">_xlfn.IFNA(VLOOKUP(INDIRECT("G"&amp;ROW()),minfo!$A:$M,COLUMN()-8,0),"")</f>
        <v>周杰伦</v>
      </c>
      <c r="L1257" s="4">
        <f ca="1">_xlfn.IFNA(VLOOKUP(INDIRECT("G"&amp;ROW()),minfo!$A:$M,COLUMN()-8,0),"")</f>
        <v>0</v>
      </c>
      <c r="M1257" s="4">
        <f ca="1">_xlfn.IFNA(VLOOKUP(INDIRECT("G"&amp;ROW()),minfo!$A:$M,COLUMN()-8,0),"")</f>
        <v>0</v>
      </c>
      <c r="N1257" s="4">
        <f ca="1">_xlfn.IFNA(VLOOKUP(INDIRECT("G"&amp;ROW()),minfo!$A:$M,COLUMN()-8,0),"")</f>
        <v>0</v>
      </c>
      <c r="O1257" s="4" t="str">
        <f ca="1">_xlfn.IFNA(VLOOKUP(INDIRECT("G"&amp;ROW()),minfo!$A:$M,COLUMN()-8,0),"")</f>
        <v>https://i0.hdslb.com/bfs/station_src/music_metadata/6e1ac13753b4f6ee9b6064e5eea74ee9.jpg</v>
      </c>
      <c r="P1257" s="4">
        <f ca="1">_xlfn.IFNA(VLOOKUP(INDIRECT("G"&amp;ROW()),minfo!$A:$M,COLUMN()-8,0),"")</f>
        <v>0</v>
      </c>
      <c r="Q1257" s="4">
        <f ca="1">_xlfn.IFNA(VLOOKUP(INDIRECT("G"&amp;ROW()),minfo!$A:$M,COLUMN()-8,0),"")</f>
        <v>2471</v>
      </c>
      <c r="R1257" s="4">
        <f ca="1">_xlfn.IFNA(VLOOKUP(INDIRECT("G"&amp;ROW()),minfo!$A:$M,COLUMN()-8,0),"")</f>
        <v>0</v>
      </c>
      <c r="S1257" s="4" t="str">
        <f ca="1">_xlfn.IFNA(VLOOKUP(INDIRECT("G"&amp;ROW()),minfo!$A:$M,COLUMN()-8,0),"")</f>
        <v>七里香</v>
      </c>
      <c r="T1257" s="4">
        <f ca="1">_xlfn.IFNA(VLOOKUP(INDIRECT("G"&amp;ROW()),minfo!$A:$M,COLUMN()-8,0),"")</f>
        <v>492310935</v>
      </c>
      <c r="U1257" s="4" t="str">
        <f ca="1">_xlfn.IFNA(VLOOKUP(INDIRECT("G"&amp;ROW()),minfo!$A:$M,COLUMN()-8,0),"")</f>
        <v>音乐榜最高NO.13</v>
      </c>
    </row>
    <row r="1258" spans="1:21" ht="15.75" customHeight="1">
      <c r="A1258" s="15">
        <v>1257</v>
      </c>
      <c r="B1258" s="4" t="s">
        <v>4872</v>
      </c>
      <c r="C1258" s="4">
        <v>1258</v>
      </c>
      <c r="D1258" s="4">
        <v>100</v>
      </c>
      <c r="E1258" s="4" t="s">
        <v>1005</v>
      </c>
      <c r="F1258" s="16">
        <v>44867</v>
      </c>
      <c r="G1258" s="5" t="s">
        <v>1004</v>
      </c>
      <c r="H1258" s="5" t="s">
        <v>4770</v>
      </c>
      <c r="I1258" s="24" t="str">
        <f>HYPERLINK("https://www.bilibili.com/video/BV1ie4y1B7SZ?p=100", "BV1ie4y1B7SZ?p=100")</f>
        <v>BV1ie4y1B7SZ?p=100</v>
      </c>
      <c r="J1258" s="4" t="str">
        <f ca="1">_xlfn.IFNA(VLOOKUP(INDIRECT("G"&amp;ROW()),minfo!$A:$M,COLUMN()-8,0),"")</f>
        <v>如果有来生</v>
      </c>
      <c r="K1258" s="4" t="str">
        <f ca="1">_xlfn.IFNA(VLOOKUP(INDIRECT("G"&amp;ROW()),minfo!$A:$M,COLUMN()-8,0),"")</f>
        <v>谭维维</v>
      </c>
      <c r="L1258" s="4">
        <f ca="1">_xlfn.IFNA(VLOOKUP(INDIRECT("G"&amp;ROW()),minfo!$A:$M,COLUMN()-8,0),"")</f>
        <v>0</v>
      </c>
      <c r="M1258" s="4">
        <f ca="1">_xlfn.IFNA(VLOOKUP(INDIRECT("G"&amp;ROW()),minfo!$A:$M,COLUMN()-8,0),"")</f>
        <v>0</v>
      </c>
      <c r="N1258" s="4">
        <f ca="1">_xlfn.IFNA(VLOOKUP(INDIRECT("G"&amp;ROW()),minfo!$A:$M,COLUMN()-8,0),"")</f>
        <v>0</v>
      </c>
      <c r="O1258" s="4" t="str">
        <f ca="1">_xlfn.IFNA(VLOOKUP(INDIRECT("G"&amp;ROW()),minfo!$A:$M,COLUMN()-8,0),"")</f>
        <v>https://i0.hdslb.com/bfs/station_src/music_metadata/e2cfe88bc057d9c01d2360f94c6d6006.jpg</v>
      </c>
      <c r="P1258" s="4" t="str">
        <f ca="1">_xlfn.IFNA(VLOOKUP(INDIRECT("G"&amp;ROW()),minfo!$A:$M,COLUMN()-8,0),"")</f>
        <v>https://i0.hdslb.com/bfs/station_src/music_metadata/accd124b120d284323dbfb2e1955f047.txt</v>
      </c>
      <c r="Q1258" s="4">
        <f ca="1">_xlfn.IFNA(VLOOKUP(INDIRECT("G"&amp;ROW()),minfo!$A:$M,COLUMN()-8,0),"")</f>
        <v>251</v>
      </c>
      <c r="R1258" s="4">
        <f ca="1">_xlfn.IFNA(VLOOKUP(INDIRECT("G"&amp;ROW()),minfo!$A:$M,COLUMN()-8,0),"")</f>
        <v>0</v>
      </c>
      <c r="S1258" s="4" t="str">
        <f ca="1">_xlfn.IFNA(VLOOKUP(INDIRECT("G"&amp;ROW()),minfo!$A:$M,COLUMN()-8,0),"")</f>
        <v>谭某某</v>
      </c>
      <c r="T1258" s="4">
        <f ca="1">_xlfn.IFNA(VLOOKUP(INDIRECT("G"&amp;ROW()),minfo!$A:$M,COLUMN()-8,0),"")</f>
        <v>55662569</v>
      </c>
      <c r="U1258" s="4">
        <f ca="1">_xlfn.IFNA(VLOOKUP(INDIRECT("G"&amp;ROW()),minfo!$A:$M,COLUMN()-8,0),"")</f>
        <v>0</v>
      </c>
    </row>
    <row r="1259" spans="1:21" ht="15.75" customHeight="1">
      <c r="A1259" s="15">
        <v>1258</v>
      </c>
      <c r="B1259" s="4" t="s">
        <v>4873</v>
      </c>
      <c r="C1259" s="4">
        <v>1259</v>
      </c>
      <c r="D1259" s="4">
        <v>101</v>
      </c>
      <c r="E1259" s="4" t="s">
        <v>1273</v>
      </c>
      <c r="F1259" s="16">
        <v>44869</v>
      </c>
      <c r="G1259" s="5" t="s">
        <v>1272</v>
      </c>
      <c r="H1259" s="5" t="s">
        <v>4770</v>
      </c>
      <c r="I1259" s="24" t="str">
        <f>HYPERLINK("https://www.bilibili.com/video/BV1ie4y1B7SZ?p=101", "BV1ie4y1B7SZ?p=101")</f>
        <v>BV1ie4y1B7SZ?p=101</v>
      </c>
      <c r="J1259" s="4" t="str">
        <f ca="1">_xlfn.IFNA(VLOOKUP(INDIRECT("G"&amp;ROW()),minfo!$A:$M,COLUMN()-8,0),"")</f>
        <v>这世界那么多人</v>
      </c>
      <c r="K1259" s="4" t="str">
        <f ca="1">_xlfn.IFNA(VLOOKUP(INDIRECT("G"&amp;ROW()),minfo!$A:$M,COLUMN()-8,0),"")</f>
        <v>莫文蔚</v>
      </c>
      <c r="L1259" s="4">
        <f ca="1">_xlfn.IFNA(VLOOKUP(INDIRECT("G"&amp;ROW()),minfo!$A:$M,COLUMN()-8,0),"")</f>
        <v>0</v>
      </c>
      <c r="M1259" s="4">
        <f ca="1">_xlfn.IFNA(VLOOKUP(INDIRECT("G"&amp;ROW()),minfo!$A:$M,COLUMN()-8,0),"")</f>
        <v>0</v>
      </c>
      <c r="N1259" s="4">
        <f ca="1">_xlfn.IFNA(VLOOKUP(INDIRECT("G"&amp;ROW()),minfo!$A:$M,COLUMN()-8,0),"")</f>
        <v>0</v>
      </c>
      <c r="O1259" s="4" t="str">
        <f ca="1">_xlfn.IFNA(VLOOKUP(INDIRECT("G"&amp;ROW()),minfo!$A:$M,COLUMN()-8,0),"")</f>
        <v>http://i0.hdslb.com/bfs/station_src/music_metadata/e7c4033963414035f8529bd990a0ea86.jpg</v>
      </c>
      <c r="P1259" s="4" t="str">
        <f ca="1">_xlfn.IFNA(VLOOKUP(INDIRECT("G"&amp;ROW()),minfo!$A:$M,COLUMN()-8,0),"")</f>
        <v>http://i0.hdslb.com/bfs/station_src/music_metadata/e8998a2ba4644d4ab56c9b83478820bf</v>
      </c>
      <c r="Q1259" s="4">
        <f ca="1">_xlfn.IFNA(VLOOKUP(INDIRECT("G"&amp;ROW()),minfo!$A:$M,COLUMN()-8,0),"")</f>
        <v>2369</v>
      </c>
      <c r="R1259" s="4" t="str">
        <f ca="1">_xlfn.IFNA(VLOOKUP(INDIRECT("G"&amp;ROW()),minfo!$A:$M,COLUMN()-8,0),"")</f>
        <v>《我们要在一起》电影主题曲</v>
      </c>
      <c r="S1259" s="4" t="str">
        <f ca="1">_xlfn.IFNA(VLOOKUP(INDIRECT("G"&amp;ROW()),minfo!$A:$M,COLUMN()-8,0),"")</f>
        <v>这世界那么多人</v>
      </c>
      <c r="T1259" s="4">
        <f ca="1">_xlfn.IFNA(VLOOKUP(INDIRECT("G"&amp;ROW()),minfo!$A:$M,COLUMN()-8,0),"")</f>
        <v>672798547</v>
      </c>
      <c r="U1259" s="4">
        <f ca="1">_xlfn.IFNA(VLOOKUP(INDIRECT("G"&amp;ROW()),minfo!$A:$M,COLUMN()-8,0),"")</f>
        <v>0</v>
      </c>
    </row>
    <row r="1260" spans="1:21" ht="15.75" customHeight="1">
      <c r="A1260" s="15">
        <v>1259</v>
      </c>
      <c r="B1260" s="4" t="s">
        <v>4874</v>
      </c>
      <c r="C1260" s="4">
        <v>1260</v>
      </c>
      <c r="D1260" s="4">
        <v>102</v>
      </c>
      <c r="E1260" s="4" t="s">
        <v>232</v>
      </c>
      <c r="F1260" s="16">
        <v>44869</v>
      </c>
      <c r="G1260" s="5" t="s">
        <v>231</v>
      </c>
      <c r="H1260" s="5" t="s">
        <v>4770</v>
      </c>
      <c r="I1260" s="24" t="str">
        <f>HYPERLINK("https://www.bilibili.com/video/BV1ie4y1B7SZ?p=102", "BV1ie4y1B7SZ?p=102")</f>
        <v>BV1ie4y1B7SZ?p=102</v>
      </c>
      <c r="J1260" s="4" t="str">
        <f ca="1">_xlfn.IFNA(VLOOKUP(INDIRECT("G"&amp;ROW()),minfo!$A:$M,COLUMN()-8,0),"")</f>
        <v>若把你</v>
      </c>
      <c r="K1260" s="4" t="str">
        <f ca="1">_xlfn.IFNA(VLOOKUP(INDIRECT("G"&amp;ROW()),minfo!$A:$M,COLUMN()-8,0),"")</f>
        <v>Kirsty刘瑾睿</v>
      </c>
      <c r="L1260" s="4">
        <f ca="1">_xlfn.IFNA(VLOOKUP(INDIRECT("G"&amp;ROW()),minfo!$A:$M,COLUMN()-8,0),"")</f>
        <v>0</v>
      </c>
      <c r="M1260" s="4">
        <f ca="1">_xlfn.IFNA(VLOOKUP(INDIRECT("G"&amp;ROW()),minfo!$A:$M,COLUMN()-8,0),"")</f>
        <v>43546</v>
      </c>
      <c r="N1260" s="4">
        <f ca="1">_xlfn.IFNA(VLOOKUP(INDIRECT("G"&amp;ROW()),minfo!$A:$M,COLUMN()-8,0),"")</f>
        <v>6440</v>
      </c>
      <c r="O1260" s="4" t="str">
        <f ca="1">_xlfn.IFNA(VLOOKUP(INDIRECT("G"&amp;ROW()),minfo!$A:$M,COLUMN()-8,0),"")</f>
        <v>http://i0.hdslb.com/bfs/station_src/music_metadata/e535448192dd1b72f950d8bf47d14597.jpg</v>
      </c>
      <c r="P1260" s="4">
        <f ca="1">_xlfn.IFNA(VLOOKUP(INDIRECT("G"&amp;ROW()),minfo!$A:$M,COLUMN()-8,0),"")</f>
        <v>0</v>
      </c>
      <c r="Q1260" s="4">
        <f ca="1">_xlfn.IFNA(VLOOKUP(INDIRECT("G"&amp;ROW()),minfo!$A:$M,COLUMN()-8,0),"")</f>
        <v>2370</v>
      </c>
      <c r="R1260" s="4">
        <f ca="1">_xlfn.IFNA(VLOOKUP(INDIRECT("G"&amp;ROW()),minfo!$A:$M,COLUMN()-8,0),"")</f>
        <v>0</v>
      </c>
      <c r="S1260" s="4" t="str">
        <f ca="1">_xlfn.IFNA(VLOOKUP(INDIRECT("G"&amp;ROW()),minfo!$A:$M,COLUMN()-8,0),"")</f>
        <v>若把你</v>
      </c>
      <c r="T1260" s="4">
        <f ca="1">_xlfn.IFNA(VLOOKUP(INDIRECT("G"&amp;ROW()),minfo!$A:$M,COLUMN()-8,0),"")</f>
        <v>316650487</v>
      </c>
      <c r="U1260" s="4" t="str">
        <f ca="1">_xlfn.IFNA(VLOOKUP(INDIRECT("G"&amp;ROW()),minfo!$A:$M,COLUMN()-8,0),"")</f>
        <v>音乐榜最高NO.7</v>
      </c>
    </row>
    <row r="1261" spans="1:21" ht="15.75" customHeight="1">
      <c r="A1261" s="15">
        <v>1260</v>
      </c>
      <c r="B1261" s="4" t="s">
        <v>4875</v>
      </c>
      <c r="C1261" s="4">
        <v>1261</v>
      </c>
      <c r="D1261" s="4">
        <v>103</v>
      </c>
      <c r="E1261" s="4" t="s">
        <v>2678</v>
      </c>
      <c r="F1261" s="16">
        <v>44869</v>
      </c>
      <c r="G1261" s="5" t="s">
        <v>2677</v>
      </c>
      <c r="H1261" s="5" t="s">
        <v>4770</v>
      </c>
      <c r="I1261" s="24" t="str">
        <f>HYPERLINK("https://www.bilibili.com/video/BV1ie4y1B7SZ?p=103", "BV1ie4y1B7SZ?p=103")</f>
        <v>BV1ie4y1B7SZ?p=103</v>
      </c>
      <c r="J1261" s="4" t="str">
        <f ca="1">_xlfn.IFNA(VLOOKUP(INDIRECT("G"&amp;ROW()),minfo!$A:$M,COLUMN()-8,0),"")</f>
        <v>如果没有你</v>
      </c>
      <c r="K1261" s="4" t="str">
        <f ca="1">_xlfn.IFNA(VLOOKUP(INDIRECT("G"&amp;ROW()),minfo!$A:$M,COLUMN()-8,0),"")</f>
        <v>G.E.M.邓紫棋</v>
      </c>
      <c r="L1261" s="4">
        <f ca="1">_xlfn.IFNA(VLOOKUP(INDIRECT("G"&amp;ROW()),minfo!$A:$M,COLUMN()-8,0),"")</f>
        <v>0</v>
      </c>
      <c r="M1261" s="4">
        <f ca="1">_xlfn.IFNA(VLOOKUP(INDIRECT("G"&amp;ROW()),minfo!$A:$M,COLUMN()-8,0),"")</f>
        <v>0</v>
      </c>
      <c r="N1261" s="4">
        <f ca="1">_xlfn.IFNA(VLOOKUP(INDIRECT("G"&amp;ROW()),minfo!$A:$M,COLUMN()-8,0),"")</f>
        <v>0</v>
      </c>
      <c r="O1261" s="4" t="str">
        <f ca="1">_xlfn.IFNA(VLOOKUP(INDIRECT("G"&amp;ROW()),minfo!$A:$M,COLUMN()-8,0),"")</f>
        <v>https://i0.hdslb.com/bfs/station_src/music_metadata/fe7f57a6abd6d398351d22a361c11e3b.jpg</v>
      </c>
      <c r="P1261" s="4" t="str">
        <f ca="1">_xlfn.IFNA(VLOOKUP(INDIRECT("G"&amp;ROW()),minfo!$A:$M,COLUMN()-8,0),"")</f>
        <v>https://i0.hdslb.com/bfs/station_src/music_metadata/2409f4fce2868c668a002135efe28810.txt</v>
      </c>
      <c r="Q1261" s="4">
        <f ca="1">_xlfn.IFNA(VLOOKUP(INDIRECT("G"&amp;ROW()),minfo!$A:$M,COLUMN()-8,0),"")</f>
        <v>1</v>
      </c>
      <c r="R1261" s="4" t="str">
        <f ca="1">_xlfn.IFNA(VLOOKUP(INDIRECT("G"&amp;ROW()),minfo!$A:$M,COLUMN()-8,0),"")</f>
        <v>原唱：莫文蔚</v>
      </c>
      <c r="S1261" s="4" t="str">
        <f ca="1">_xlfn.IFNA(VLOOKUP(INDIRECT("G"&amp;ROW()),minfo!$A:$M,COLUMN()-8,0),"")</f>
        <v>我是歌手第二季 第7期</v>
      </c>
      <c r="T1261" s="4">
        <f ca="1">_xlfn.IFNA(VLOOKUP(INDIRECT("G"&amp;ROW()),minfo!$A:$M,COLUMN()-8,0),"")</f>
        <v>2380111</v>
      </c>
      <c r="U1261" s="4">
        <f ca="1">_xlfn.IFNA(VLOOKUP(INDIRECT("G"&amp;ROW()),minfo!$A:$M,COLUMN()-8,0),"")</f>
        <v>0</v>
      </c>
    </row>
    <row r="1262" spans="1:21" ht="15.75" customHeight="1">
      <c r="A1262" s="15">
        <v>1261</v>
      </c>
      <c r="B1262" s="4" t="s">
        <v>4876</v>
      </c>
      <c r="C1262" s="4">
        <v>1262</v>
      </c>
      <c r="D1262" s="4">
        <v>104</v>
      </c>
      <c r="E1262" s="4" t="s">
        <v>2436</v>
      </c>
      <c r="F1262" s="16">
        <v>44869</v>
      </c>
      <c r="G1262" s="5" t="s">
        <v>2435</v>
      </c>
      <c r="H1262" s="5" t="s">
        <v>4770</v>
      </c>
      <c r="I1262" s="24" t="str">
        <f>HYPERLINK("https://www.bilibili.com/video/BV1ie4y1B7SZ?p=104", "BV1ie4y1B7SZ?p=104")</f>
        <v>BV1ie4y1B7SZ?p=104</v>
      </c>
      <c r="J1262" s="4" t="str">
        <f ca="1">_xlfn.IFNA(VLOOKUP(INDIRECT("G"&amp;ROW()),minfo!$A:$M,COLUMN()-8,0),"")</f>
        <v>泡沫</v>
      </c>
      <c r="K1262" s="4" t="str">
        <f ca="1">_xlfn.IFNA(VLOOKUP(INDIRECT("G"&amp;ROW()),minfo!$A:$M,COLUMN()-8,0),"")</f>
        <v>G.E.M. 邓紫棋</v>
      </c>
      <c r="L1262" s="4">
        <f ca="1">_xlfn.IFNA(VLOOKUP(INDIRECT("G"&amp;ROW()),minfo!$A:$M,COLUMN()-8,0),"")</f>
        <v>0</v>
      </c>
      <c r="M1262" s="4">
        <f ca="1">_xlfn.IFNA(VLOOKUP(INDIRECT("G"&amp;ROW()),minfo!$A:$M,COLUMN()-8,0),"")</f>
        <v>0</v>
      </c>
      <c r="N1262" s="4">
        <f ca="1">_xlfn.IFNA(VLOOKUP(INDIRECT("G"&amp;ROW()),minfo!$A:$M,COLUMN()-8,0),"")</f>
        <v>0</v>
      </c>
      <c r="O1262" s="4" t="str">
        <f ca="1">_xlfn.IFNA(VLOOKUP(INDIRECT("G"&amp;ROW()),minfo!$A:$M,COLUMN()-8,0),"")</f>
        <v>http://i0.hdslb.com/bfs/station_src/music_metadata/69c6906ad6bd63b8c1ae326b958431e6.jpg</v>
      </c>
      <c r="P1262" s="4" t="str">
        <f ca="1">_xlfn.IFNA(VLOOKUP(INDIRECT("G"&amp;ROW()),minfo!$A:$M,COLUMN()-8,0),"")</f>
        <v>http://i0.hdslb.com/bfs/station_src/music_metadata/1bc15ce05ac17a2e6ff62860f63f3312</v>
      </c>
      <c r="Q1262" s="4">
        <f ca="1">_xlfn.IFNA(VLOOKUP(INDIRECT("G"&amp;ROW()),minfo!$A:$M,COLUMN()-8,0),"")</f>
        <v>836</v>
      </c>
      <c r="R1262" s="4" t="str">
        <f ca="1">_xlfn.IFNA(VLOOKUP(INDIRECT("G"&amp;ROW()),minfo!$A:$M,COLUMN()-8,0),"")</f>
        <v>2012-07-05</v>
      </c>
      <c r="S1262" s="4" t="str">
        <f ca="1">_xlfn.IFNA(VLOOKUP(INDIRECT("G"&amp;ROW()),minfo!$A:$M,COLUMN()-8,0),"")</f>
        <v>Xposed</v>
      </c>
      <c r="T1262" s="4">
        <f ca="1">_xlfn.IFNA(VLOOKUP(INDIRECT("G"&amp;ROW()),minfo!$A:$M,COLUMN()-8,0),"")</f>
        <v>425527859</v>
      </c>
      <c r="U1262" s="4">
        <f ca="1">_xlfn.IFNA(VLOOKUP(INDIRECT("G"&amp;ROW()),minfo!$A:$M,COLUMN()-8,0),"")</f>
        <v>0</v>
      </c>
    </row>
    <row r="1263" spans="1:21" ht="15.75" customHeight="1">
      <c r="A1263" s="15">
        <v>1262</v>
      </c>
      <c r="B1263" s="4" t="s">
        <v>4877</v>
      </c>
      <c r="C1263" s="4">
        <v>1263</v>
      </c>
      <c r="D1263" s="4">
        <v>105</v>
      </c>
      <c r="E1263" s="4" t="s">
        <v>4739</v>
      </c>
      <c r="F1263" s="16">
        <v>44869</v>
      </c>
      <c r="G1263" s="5" t="s">
        <v>2537</v>
      </c>
      <c r="H1263" s="5" t="s">
        <v>4770</v>
      </c>
      <c r="I1263" s="24" t="str">
        <f>HYPERLINK("https://www.bilibili.com/video/BV1ie4y1B7SZ?p=105", "BV1ie4y1B7SZ?p=105")</f>
        <v>BV1ie4y1B7SZ?p=105</v>
      </c>
      <c r="J1263" s="4" t="str">
        <f ca="1">_xlfn.IFNA(VLOOKUP(INDIRECT("G"&amp;ROW()),minfo!$A:$M,COLUMN()-8,0),"")</f>
        <v>假如</v>
      </c>
      <c r="K1263" s="4" t="str">
        <f ca="1">_xlfn.IFNA(VLOOKUP(INDIRECT("G"&amp;ROW()),minfo!$A:$M,COLUMN()-8,0),"")</f>
        <v>杜丽莎</v>
      </c>
      <c r="L1263" s="4">
        <f ca="1">_xlfn.IFNA(VLOOKUP(INDIRECT("G"&amp;ROW()),minfo!$A:$M,COLUMN()-8,0),"")</f>
        <v>0</v>
      </c>
      <c r="M1263" s="4">
        <f ca="1">_xlfn.IFNA(VLOOKUP(INDIRECT("G"&amp;ROW()),minfo!$A:$M,COLUMN()-8,0),"")</f>
        <v>0</v>
      </c>
      <c r="N1263" s="4">
        <f ca="1">_xlfn.IFNA(VLOOKUP(INDIRECT("G"&amp;ROW()),minfo!$A:$M,COLUMN()-8,0),"")</f>
        <v>0</v>
      </c>
      <c r="O1263" s="4" t="str">
        <f ca="1">_xlfn.IFNA(VLOOKUP(INDIRECT("G"&amp;ROW()),minfo!$A:$M,COLUMN()-8,0),"")</f>
        <v>http://i0.hdslb.com/bfs/station_src/music_metadata/6f4e74acc9095fbeae55e9a41071311a.jpg</v>
      </c>
      <c r="P1263" s="4" t="str">
        <f ca="1">_xlfn.IFNA(VLOOKUP(INDIRECT("G"&amp;ROW()),minfo!$A:$M,COLUMN()-8,0),"")</f>
        <v>http://i0.hdslb.com/bfs/station_src/music_metadata/e5761e6cd52e351d42abfdcf1d7f75f0</v>
      </c>
      <c r="Q1263" s="4">
        <f ca="1">_xlfn.IFNA(VLOOKUP(INDIRECT("G"&amp;ROW()),minfo!$A:$M,COLUMN()-8,0),"")</f>
        <v>8</v>
      </c>
      <c r="R1263" s="4">
        <f ca="1">_xlfn.IFNA(VLOOKUP(INDIRECT("G"&amp;ROW()),minfo!$A:$M,COLUMN()-8,0),"")</f>
        <v>0</v>
      </c>
      <c r="S1263" s="4" t="str">
        <f ca="1">_xlfn.IFNA(VLOOKUP(INDIRECT("G"&amp;ROW()),minfo!$A:$M,COLUMN()-8,0),"")</f>
        <v>I Still Remember</v>
      </c>
      <c r="T1263" s="4">
        <f ca="1">_xlfn.IFNA(VLOOKUP(INDIRECT("G"&amp;ROW()),minfo!$A:$M,COLUMN()-8,0),"")</f>
        <v>12386821</v>
      </c>
      <c r="U1263" s="4">
        <f ca="1">_xlfn.IFNA(VLOOKUP(INDIRECT("G"&amp;ROW()),minfo!$A:$M,COLUMN()-8,0),"")</f>
        <v>0</v>
      </c>
    </row>
    <row r="1264" spans="1:21" ht="15.75" customHeight="1">
      <c r="A1264" s="15">
        <v>1263</v>
      </c>
      <c r="B1264" s="4" t="s">
        <v>4878</v>
      </c>
      <c r="C1264" s="4">
        <v>1264</v>
      </c>
      <c r="D1264" s="4">
        <v>106</v>
      </c>
      <c r="E1264" s="4" t="s">
        <v>1383</v>
      </c>
      <c r="F1264" s="16">
        <v>44869</v>
      </c>
      <c r="G1264" s="5" t="s">
        <v>1382</v>
      </c>
      <c r="H1264" s="5" t="s">
        <v>4770</v>
      </c>
      <c r="I1264" s="24" t="str">
        <f>HYPERLINK("https://www.bilibili.com/video/BV1ie4y1B7SZ?p=106", "BV1ie4y1B7SZ?p=106")</f>
        <v>BV1ie4y1B7SZ?p=106</v>
      </c>
      <c r="J1264" s="4" t="str">
        <f ca="1">_xlfn.IFNA(VLOOKUP(INDIRECT("G"&amp;ROW()),minfo!$A:$M,COLUMN()-8,0),"")</f>
        <v>飞云之下</v>
      </c>
      <c r="K1264" s="4" t="str">
        <f ca="1">_xlfn.IFNA(VLOOKUP(INDIRECT("G"&amp;ROW()),minfo!$A:$M,COLUMN()-8,0),"")</f>
        <v>韩红,林俊杰</v>
      </c>
      <c r="L1264" s="4">
        <f ca="1">_xlfn.IFNA(VLOOKUP(INDIRECT("G"&amp;ROW()),minfo!$A:$M,COLUMN()-8,0),"")</f>
        <v>0</v>
      </c>
      <c r="M1264" s="4">
        <f ca="1">_xlfn.IFNA(VLOOKUP(INDIRECT("G"&amp;ROW()),minfo!$A:$M,COLUMN()-8,0),"")</f>
        <v>0</v>
      </c>
      <c r="N1264" s="4">
        <f ca="1">_xlfn.IFNA(VLOOKUP(INDIRECT("G"&amp;ROW()),minfo!$A:$M,COLUMN()-8,0),"")</f>
        <v>0</v>
      </c>
      <c r="O1264" s="4" t="str">
        <f ca="1">_xlfn.IFNA(VLOOKUP(INDIRECT("G"&amp;ROW()),minfo!$A:$M,COLUMN()-8,0),"")</f>
        <v>https://i0.hdslb.com/bfs/station_src/music_metadata/8173839e76e61fbdb14a575311cd129c.jpg</v>
      </c>
      <c r="P1264" s="4" t="str">
        <f ca="1">_xlfn.IFNA(VLOOKUP(INDIRECT("G"&amp;ROW()),minfo!$A:$M,COLUMN()-8,0),"")</f>
        <v>http://i0.hdslb.com/bfs/station_src/music_metadata/a707e381fa177d6b768e612785fecf0d</v>
      </c>
      <c r="Q1264" s="4">
        <f ca="1">_xlfn.IFNA(VLOOKUP(INDIRECT("G"&amp;ROW()),minfo!$A:$M,COLUMN()-8,0),"")</f>
        <v>627</v>
      </c>
      <c r="R1264" s="4">
        <f ca="1">_xlfn.IFNA(VLOOKUP(INDIRECT("G"&amp;ROW()),minfo!$A:$M,COLUMN()-8,0),"")</f>
        <v>0</v>
      </c>
      <c r="S1264" s="4" t="str">
        <f ca="1">_xlfn.IFNA(VLOOKUP(INDIRECT("G"&amp;ROW()),minfo!$A:$M,COLUMN()-8,0),"")</f>
        <v>飞云之下</v>
      </c>
      <c r="T1264" s="4">
        <f ca="1">_xlfn.IFNA(VLOOKUP(INDIRECT("G"&amp;ROW()),minfo!$A:$M,COLUMN()-8,0),"")</f>
        <v>133126146</v>
      </c>
      <c r="U1264" s="4">
        <f ca="1">_xlfn.IFNA(VLOOKUP(INDIRECT("G"&amp;ROW()),minfo!$A:$M,COLUMN()-8,0),"")</f>
        <v>0</v>
      </c>
    </row>
    <row r="1265" spans="1:21" ht="15.75" customHeight="1">
      <c r="A1265" s="15">
        <v>1264</v>
      </c>
      <c r="B1265" s="4" t="s">
        <v>4879</v>
      </c>
      <c r="C1265" s="4">
        <v>1265</v>
      </c>
      <c r="D1265" s="4">
        <v>107</v>
      </c>
      <c r="E1265" s="4" t="s">
        <v>1401</v>
      </c>
      <c r="F1265" s="16">
        <v>44869</v>
      </c>
      <c r="G1265" s="5" t="s">
        <v>1400</v>
      </c>
      <c r="H1265" s="5" t="s">
        <v>4770</v>
      </c>
      <c r="I1265" s="24" t="str">
        <f>HYPERLINK("https://www.bilibili.com/video/BV1ie4y1B7SZ?p=107", "BV1ie4y1B7SZ?p=107")</f>
        <v>BV1ie4y1B7SZ?p=107</v>
      </c>
      <c r="J1265" s="4" t="str">
        <f ca="1">_xlfn.IFNA(VLOOKUP(INDIRECT("G"&amp;ROW()),minfo!$A:$M,COLUMN()-8,0),"")</f>
        <v>青藏高原</v>
      </c>
      <c r="K1265" s="4" t="str">
        <f ca="1">_xlfn.IFNA(VLOOKUP(INDIRECT("G"&amp;ROW()),minfo!$A:$M,COLUMN()-8,0),"")</f>
        <v>李娜</v>
      </c>
      <c r="L1265" s="4">
        <f ca="1">_xlfn.IFNA(VLOOKUP(INDIRECT("G"&amp;ROW()),minfo!$A:$M,COLUMN()-8,0),"")</f>
        <v>0</v>
      </c>
      <c r="M1265" s="4">
        <f ca="1">_xlfn.IFNA(VLOOKUP(INDIRECT("G"&amp;ROW()),minfo!$A:$M,COLUMN()-8,0),"")</f>
        <v>0</v>
      </c>
      <c r="N1265" s="4">
        <f ca="1">_xlfn.IFNA(VLOOKUP(INDIRECT("G"&amp;ROW()),minfo!$A:$M,COLUMN()-8,0),"")</f>
        <v>0</v>
      </c>
      <c r="O1265" s="4" t="str">
        <f ca="1">_xlfn.IFNA(VLOOKUP(INDIRECT("G"&amp;ROW()),minfo!$A:$M,COLUMN()-8,0),"")</f>
        <v>http://i0.hdslb.com/bfs/station_src/music_metadata/abffd58894a68460c3c30d449dad96ee.jpg</v>
      </c>
      <c r="P1265" s="4" t="str">
        <f ca="1">_xlfn.IFNA(VLOOKUP(INDIRECT("G"&amp;ROW()),minfo!$A:$M,COLUMN()-8,0),"")</f>
        <v>http://i0.hdslb.com/bfs/station_src/music_metadata/c1f095eb882ec280da5fefcb120232f8</v>
      </c>
      <c r="Q1265" s="4">
        <f ca="1">_xlfn.IFNA(VLOOKUP(INDIRECT("G"&amp;ROW()),minfo!$A:$M,COLUMN()-8,0),"")</f>
        <v>428</v>
      </c>
      <c r="R1265" s="4">
        <f ca="1">_xlfn.IFNA(VLOOKUP(INDIRECT("G"&amp;ROW()),minfo!$A:$M,COLUMN()-8,0),"")</f>
        <v>0</v>
      </c>
      <c r="S1265" s="4" t="str">
        <f ca="1">_xlfn.IFNA(VLOOKUP(INDIRECT("G"&amp;ROW()),minfo!$A:$M,COLUMN()-8,0),"")</f>
        <v>青藏高原</v>
      </c>
      <c r="T1265" s="4">
        <f ca="1">_xlfn.IFNA(VLOOKUP(INDIRECT("G"&amp;ROW()),minfo!$A:$M,COLUMN()-8,0),"")</f>
        <v>112923360</v>
      </c>
      <c r="U1265" s="4">
        <f ca="1">_xlfn.IFNA(VLOOKUP(INDIRECT("G"&amp;ROW()),minfo!$A:$M,COLUMN()-8,0),"")</f>
        <v>0</v>
      </c>
    </row>
    <row r="1266" spans="1:21" ht="15.75" customHeight="1">
      <c r="A1266" s="15">
        <v>1265</v>
      </c>
      <c r="B1266" s="4" t="s">
        <v>4880</v>
      </c>
      <c r="C1266" s="4">
        <v>1266</v>
      </c>
      <c r="D1266" s="4">
        <v>108</v>
      </c>
      <c r="E1266" s="4" t="s">
        <v>1410</v>
      </c>
      <c r="F1266" s="16">
        <v>44869</v>
      </c>
      <c r="G1266" s="5" t="s">
        <v>2683</v>
      </c>
      <c r="H1266" s="5" t="s">
        <v>4770</v>
      </c>
      <c r="I1266" s="24" t="str">
        <f>HYPERLINK("https://www.bilibili.com/video/BV1ie4y1B7SZ?p=108", "BV1ie4y1B7SZ?p=108")</f>
        <v>BV1ie4y1B7SZ?p=108</v>
      </c>
      <c r="J1266" s="4" t="str">
        <f ca="1">_xlfn.IFNA(VLOOKUP(INDIRECT("G"&amp;ROW()),minfo!$A:$M,COLUMN()-8,0),"")</f>
        <v>天路</v>
      </c>
      <c r="K1266" s="4" t="str">
        <f ca="1">_xlfn.IFNA(VLOOKUP(INDIRECT("G"&amp;ROW()),minfo!$A:$M,COLUMN()-8,0),"")</f>
        <v>韩红</v>
      </c>
      <c r="L1266" s="4">
        <f ca="1">_xlfn.IFNA(VLOOKUP(INDIRECT("G"&amp;ROW()),minfo!$A:$M,COLUMN()-8,0),"")</f>
        <v>0</v>
      </c>
      <c r="M1266" s="4">
        <f ca="1">_xlfn.IFNA(VLOOKUP(INDIRECT("G"&amp;ROW()),minfo!$A:$M,COLUMN()-8,0),"")</f>
        <v>0</v>
      </c>
      <c r="N1266" s="4">
        <f ca="1">_xlfn.IFNA(VLOOKUP(INDIRECT("G"&amp;ROW()),minfo!$A:$M,COLUMN()-8,0),"")</f>
        <v>0</v>
      </c>
      <c r="O1266" s="4" t="str">
        <f ca="1">_xlfn.IFNA(VLOOKUP(INDIRECT("G"&amp;ROW()),minfo!$A:$M,COLUMN()-8,0),"")</f>
        <v>https://i0.hdslb.com/bfs/station_src/music_metadata/ca2676efd528bdeb68e8a949d93d8726.jpg</v>
      </c>
      <c r="P1266" s="4" t="str">
        <f ca="1">_xlfn.IFNA(VLOOKUP(INDIRECT("G"&amp;ROW()),minfo!$A:$M,COLUMN()-8,0),"")</f>
        <v>https://i0.hdslb.com/bfs/station_src/music_metadata/b549c9094e1c9b91e7be446407ec656b.txt</v>
      </c>
      <c r="Q1266" s="4">
        <f ca="1">_xlfn.IFNA(VLOOKUP(INDIRECT("G"&amp;ROW()),minfo!$A:$M,COLUMN()-8,0),"")</f>
        <v>0</v>
      </c>
      <c r="R1266" s="4">
        <f ca="1">_xlfn.IFNA(VLOOKUP(INDIRECT("G"&amp;ROW()),minfo!$A:$M,COLUMN()-8,0),"")</f>
        <v>0</v>
      </c>
      <c r="S1266" s="4" t="str">
        <f ca="1">_xlfn.IFNA(VLOOKUP(INDIRECT("G"&amp;ROW()),minfo!$A:$M,COLUMN()-8,0),"")</f>
        <v>精彩音乐汇</v>
      </c>
      <c r="T1266" s="4">
        <f ca="1">_xlfn.IFNA(VLOOKUP(INDIRECT("G"&amp;ROW()),minfo!$A:$M,COLUMN()-8,0),"")</f>
        <v>1760027</v>
      </c>
      <c r="U1266" s="4">
        <f ca="1">_xlfn.IFNA(VLOOKUP(INDIRECT("G"&amp;ROW()),minfo!$A:$M,COLUMN()-8,0),"")</f>
        <v>0</v>
      </c>
    </row>
    <row r="1267" spans="1:21" ht="15.75" customHeight="1">
      <c r="A1267" s="15">
        <v>1266</v>
      </c>
      <c r="B1267" s="4" t="s">
        <v>4881</v>
      </c>
      <c r="C1267" s="4">
        <v>1267</v>
      </c>
      <c r="D1267" s="4">
        <v>109</v>
      </c>
      <c r="E1267" s="4" t="s">
        <v>1529</v>
      </c>
      <c r="F1267" s="16">
        <v>44869</v>
      </c>
      <c r="G1267" s="5" t="s">
        <v>1528</v>
      </c>
      <c r="H1267" s="5" t="s">
        <v>4770</v>
      </c>
      <c r="I1267" s="24" t="str">
        <f>HYPERLINK("https://www.bilibili.com/video/BV1ie4y1B7SZ?p=109", "BV1ie4y1B7SZ?p=109")</f>
        <v>BV1ie4y1B7SZ?p=109</v>
      </c>
      <c r="J1267" s="4" t="str">
        <f ca="1">_xlfn.IFNA(VLOOKUP(INDIRECT("G"&amp;ROW()),minfo!$A:$M,COLUMN()-8,0),"")</f>
        <v>大鱼</v>
      </c>
      <c r="K1267" s="4" t="str">
        <f ca="1">_xlfn.IFNA(VLOOKUP(INDIRECT("G"&amp;ROW()),minfo!$A:$M,COLUMN()-8,0),"")</f>
        <v>周深</v>
      </c>
      <c r="L1267" s="4">
        <f ca="1">_xlfn.IFNA(VLOOKUP(INDIRECT("G"&amp;ROW()),minfo!$A:$M,COLUMN()-8,0),"")</f>
        <v>0</v>
      </c>
      <c r="M1267" s="4">
        <f ca="1">_xlfn.IFNA(VLOOKUP(INDIRECT("G"&amp;ROW()),minfo!$A:$M,COLUMN()-8,0),"")</f>
        <v>0</v>
      </c>
      <c r="N1267" s="4">
        <f ca="1">_xlfn.IFNA(VLOOKUP(INDIRECT("G"&amp;ROW()),minfo!$A:$M,COLUMN()-8,0),"")</f>
        <v>0</v>
      </c>
      <c r="O1267" s="4" t="str">
        <f ca="1">_xlfn.IFNA(VLOOKUP(INDIRECT("G"&amp;ROW()),minfo!$A:$M,COLUMN()-8,0),"")</f>
        <v>http://i0.hdslb.com/bfs/station_src/music_metadata/8a70d72d1642278d2951984ed21f64b8.jpg</v>
      </c>
      <c r="P1267" s="4" t="str">
        <f ca="1">_xlfn.IFNA(VLOOKUP(INDIRECT("G"&amp;ROW()),minfo!$A:$M,COLUMN()-8,0),"")</f>
        <v>http://i0.hdslb.com/bfs/station_src/music_metadata/1ca26ab8b49fda9fd7daa1b9e44e8cab</v>
      </c>
      <c r="Q1267" s="4">
        <f ca="1">_xlfn.IFNA(VLOOKUP(INDIRECT("G"&amp;ROW()),minfo!$A:$M,COLUMN()-8,0),"")</f>
        <v>2637</v>
      </c>
      <c r="R1267" s="4" t="str">
        <f ca="1">_xlfn.IFNA(VLOOKUP(INDIRECT("G"&amp;ROW()),minfo!$A:$M,COLUMN()-8,0),"")</f>
        <v>《大鱼海棠》动画电影印象曲</v>
      </c>
      <c r="S1267" s="4" t="str">
        <f ca="1">_xlfn.IFNA(VLOOKUP(INDIRECT("G"&amp;ROW()),minfo!$A:$M,COLUMN()-8,0),"")</f>
        <v>大鱼</v>
      </c>
      <c r="T1267" s="4">
        <f ca="1">_xlfn.IFNA(VLOOKUP(INDIRECT("G"&amp;ROW()),minfo!$A:$M,COLUMN()-8,0),"")</f>
        <v>1065218649</v>
      </c>
      <c r="U1267" s="4">
        <f ca="1">_xlfn.IFNA(VLOOKUP(INDIRECT("G"&amp;ROW()),minfo!$A:$M,COLUMN()-8,0),"")</f>
        <v>0</v>
      </c>
    </row>
    <row r="1268" spans="1:21" ht="15.75" customHeight="1">
      <c r="A1268" s="15">
        <v>1267</v>
      </c>
      <c r="B1268" s="4" t="s">
        <v>4882</v>
      </c>
      <c r="C1268" s="4">
        <v>1268</v>
      </c>
      <c r="D1268" s="4">
        <v>110</v>
      </c>
      <c r="E1268" s="4" t="s">
        <v>409</v>
      </c>
      <c r="F1268" s="16">
        <v>44869</v>
      </c>
      <c r="G1268" s="5" t="s">
        <v>408</v>
      </c>
      <c r="H1268" s="5" t="s">
        <v>4770</v>
      </c>
      <c r="I1268" s="24" t="str">
        <f>HYPERLINK("https://www.bilibili.com/video/BV1ie4y1B7SZ?p=110", "BV1ie4y1B7SZ?p=110")</f>
        <v>BV1ie4y1B7SZ?p=110</v>
      </c>
      <c r="J1268" s="4" t="str">
        <f ca="1">_xlfn.IFNA(VLOOKUP(INDIRECT("G"&amp;ROW()),minfo!$A:$M,COLUMN()-8,0),"")</f>
        <v>呼吸决定</v>
      </c>
      <c r="K1268" s="4" t="str">
        <f ca="1">_xlfn.IFNA(VLOOKUP(INDIRECT("G"&amp;ROW()),minfo!$A:$M,COLUMN()-8,0),"")</f>
        <v>Fine乐团</v>
      </c>
      <c r="L1268" s="4">
        <f ca="1">_xlfn.IFNA(VLOOKUP(INDIRECT("G"&amp;ROW()),minfo!$A:$M,COLUMN()-8,0),"")</f>
        <v>0</v>
      </c>
      <c r="M1268" s="4">
        <f ca="1">_xlfn.IFNA(VLOOKUP(INDIRECT("G"&amp;ROW()),minfo!$A:$M,COLUMN()-8,0),"")</f>
        <v>0</v>
      </c>
      <c r="N1268" s="4">
        <f ca="1">_xlfn.IFNA(VLOOKUP(INDIRECT("G"&amp;ROW()),minfo!$A:$M,COLUMN()-8,0),"")</f>
        <v>0</v>
      </c>
      <c r="O1268" s="4" t="str">
        <f ca="1">_xlfn.IFNA(VLOOKUP(INDIRECT("G"&amp;ROW()),minfo!$A:$M,COLUMN()-8,0),"")</f>
        <v>http://i0.hdslb.com/bfs/station_src/music_metadata/de6c3020bce1962dc02b42568606781f.jpg</v>
      </c>
      <c r="P1268" s="4" t="str">
        <f ca="1">_xlfn.IFNA(VLOOKUP(INDIRECT("G"&amp;ROW()),minfo!$A:$M,COLUMN()-8,0),"")</f>
        <v>http://i0.hdslb.com/bfs/station_src/music_metadata/9dfd516512eb23be6e624848db3bed57</v>
      </c>
      <c r="Q1268" s="4">
        <f ca="1">_xlfn.IFNA(VLOOKUP(INDIRECT("G"&amp;ROW()),minfo!$A:$M,COLUMN()-8,0),"")</f>
        <v>838</v>
      </c>
      <c r="R1268" s="4">
        <f ca="1">_xlfn.IFNA(VLOOKUP(INDIRECT("G"&amp;ROW()),minfo!$A:$M,COLUMN()-8,0),"")</f>
        <v>0</v>
      </c>
      <c r="S1268" s="4">
        <f ca="1">_xlfn.IFNA(VLOOKUP(INDIRECT("G"&amp;ROW()),minfo!$A:$M,COLUMN()-8,0),"")</f>
        <v>0</v>
      </c>
      <c r="T1268" s="4">
        <f ca="1">_xlfn.IFNA(VLOOKUP(INDIRECT("G"&amp;ROW()),minfo!$A:$M,COLUMN()-8,0),"")</f>
        <v>100019249</v>
      </c>
      <c r="U1268" s="4">
        <f ca="1">_xlfn.IFNA(VLOOKUP(INDIRECT("G"&amp;ROW()),minfo!$A:$M,COLUMN()-8,0),"")</f>
        <v>0</v>
      </c>
    </row>
    <row r="1269" spans="1:21" ht="15.75" customHeight="1">
      <c r="A1269" s="15">
        <v>1268</v>
      </c>
      <c r="B1269" s="4" t="s">
        <v>4883</v>
      </c>
      <c r="C1269" s="4">
        <v>1269</v>
      </c>
      <c r="D1269" s="4">
        <v>111</v>
      </c>
      <c r="E1269" s="4" t="s">
        <v>899</v>
      </c>
      <c r="F1269" s="16">
        <v>44869</v>
      </c>
      <c r="G1269" s="5" t="s">
        <v>898</v>
      </c>
      <c r="H1269" s="5" t="s">
        <v>4770</v>
      </c>
      <c r="I1269" s="24" t="str">
        <f>HYPERLINK("https://www.bilibili.com/video/BV1ie4y1B7SZ?p=111", "BV1ie4y1B7SZ?p=111")</f>
        <v>BV1ie4y1B7SZ?p=111</v>
      </c>
      <c r="J1269" s="4" t="str">
        <f ca="1">_xlfn.IFNA(VLOOKUP(INDIRECT("G"&amp;ROW()),minfo!$A:$M,COLUMN()-8,0),"")</f>
        <v>愿望</v>
      </c>
      <c r="K1269" s="4" t="str">
        <f ca="1">_xlfn.IFNA(VLOOKUP(INDIRECT("G"&amp;ROW()),minfo!$A:$M,COLUMN()-8,0),"")</f>
        <v>胡彦斌</v>
      </c>
      <c r="L1269" s="4">
        <f ca="1">_xlfn.IFNA(VLOOKUP(INDIRECT("G"&amp;ROW()),minfo!$A:$M,COLUMN()-8,0),"")</f>
        <v>0</v>
      </c>
      <c r="M1269" s="4">
        <f ca="1">_xlfn.IFNA(VLOOKUP(INDIRECT("G"&amp;ROW()),minfo!$A:$M,COLUMN()-8,0),"")</f>
        <v>0</v>
      </c>
      <c r="N1269" s="4">
        <f ca="1">_xlfn.IFNA(VLOOKUP(INDIRECT("G"&amp;ROW()),minfo!$A:$M,COLUMN()-8,0),"")</f>
        <v>0</v>
      </c>
      <c r="O1269" s="4" t="str">
        <f ca="1">_xlfn.IFNA(VLOOKUP(INDIRECT("G"&amp;ROW()),minfo!$A:$M,COLUMN()-8,0),"")</f>
        <v>https://i0.hdslb.com/bfs/station_src/music_metadata/b26472ef388f52098eeaa5b929c63c0e.jpg</v>
      </c>
      <c r="P1269" s="4" t="str">
        <f ca="1">_xlfn.IFNA(VLOOKUP(INDIRECT("G"&amp;ROW()),minfo!$A:$M,COLUMN()-8,0),"")</f>
        <v>https://i0.hdslb.com/bfs/station_src/music_metadata/13ce2c549e261cc0452296fc6dad7bf8.txt</v>
      </c>
      <c r="Q1269" s="4">
        <f ca="1">_xlfn.IFNA(VLOOKUP(INDIRECT("G"&amp;ROW()),minfo!$A:$M,COLUMN()-8,0),"")</f>
        <v>8</v>
      </c>
      <c r="R1269" s="4">
        <f ca="1">_xlfn.IFNA(VLOOKUP(INDIRECT("G"&amp;ROW()),minfo!$A:$M,COLUMN()-8,0),"")</f>
        <v>0</v>
      </c>
      <c r="S1269" s="4" t="str">
        <f ca="1">_xlfn.IFNA(VLOOKUP(INDIRECT("G"&amp;ROW()),minfo!$A:$M,COLUMN()-8,0),"")</f>
        <v>音乐密码</v>
      </c>
      <c r="T1269" s="4">
        <f ca="1">_xlfn.IFNA(VLOOKUP(INDIRECT("G"&amp;ROW()),minfo!$A:$M,COLUMN()-8,0),"")</f>
        <v>3422991</v>
      </c>
      <c r="U1269" s="4">
        <f ca="1">_xlfn.IFNA(VLOOKUP(INDIRECT("G"&amp;ROW()),minfo!$A:$M,COLUMN()-8,0),"")</f>
        <v>0</v>
      </c>
    </row>
    <row r="1270" spans="1:21" ht="15.75" customHeight="1">
      <c r="A1270" s="15">
        <v>1269</v>
      </c>
      <c r="B1270" s="4" t="s">
        <v>4884</v>
      </c>
      <c r="C1270" s="4">
        <v>1270</v>
      </c>
      <c r="D1270" s="4">
        <v>112</v>
      </c>
      <c r="E1270" s="4" t="s">
        <v>2688</v>
      </c>
      <c r="F1270" s="16">
        <v>44869</v>
      </c>
      <c r="G1270" s="5" t="s">
        <v>2687</v>
      </c>
      <c r="H1270" s="5" t="s">
        <v>4770</v>
      </c>
      <c r="I1270" s="24" t="str">
        <f>HYPERLINK("https://www.bilibili.com/video/BV1ie4y1B7SZ?p=112", "BV1ie4y1B7SZ?p=112")</f>
        <v>BV1ie4y1B7SZ?p=112</v>
      </c>
      <c r="J1270" s="4" t="str">
        <f ca="1">_xlfn.IFNA(VLOOKUP(INDIRECT("G"&amp;ROW()),minfo!$A:$M,COLUMN()-8,0),"")</f>
        <v>有一种悲伤</v>
      </c>
      <c r="K1270" s="4" t="str">
        <f ca="1">_xlfn.IFNA(VLOOKUP(INDIRECT("G"&amp;ROW()),minfo!$A:$M,COLUMN()-8,0),"")</f>
        <v>A-Lin</v>
      </c>
      <c r="L1270" s="4">
        <f ca="1">_xlfn.IFNA(VLOOKUP(INDIRECT("G"&amp;ROW()),minfo!$A:$M,COLUMN()-8,0),"")</f>
        <v>0</v>
      </c>
      <c r="M1270" s="4">
        <f ca="1">_xlfn.IFNA(VLOOKUP(INDIRECT("G"&amp;ROW()),minfo!$A:$M,COLUMN()-8,0),"")</f>
        <v>46</v>
      </c>
      <c r="N1270" s="4">
        <f ca="1">_xlfn.IFNA(VLOOKUP(INDIRECT("G"&amp;ROW()),minfo!$A:$M,COLUMN()-8,0),"")</f>
        <v>15</v>
      </c>
      <c r="O1270" s="4" t="str">
        <f ca="1">_xlfn.IFNA(VLOOKUP(INDIRECT("G"&amp;ROW()),minfo!$A:$M,COLUMN()-8,0),"")</f>
        <v>http://i0.hdslb.com/bfs/station_src/music_metadata/54b5e8dcf01549791441050bf61fc5dd.jpg</v>
      </c>
      <c r="P1270" s="4">
        <f ca="1">_xlfn.IFNA(VLOOKUP(INDIRECT("G"&amp;ROW()),minfo!$A:$M,COLUMN()-8,0),"")</f>
        <v>0</v>
      </c>
      <c r="Q1270" s="4">
        <f ca="1">_xlfn.IFNA(VLOOKUP(INDIRECT("G"&amp;ROW()),minfo!$A:$M,COLUMN()-8,0),"")</f>
        <v>128</v>
      </c>
      <c r="R1270" s="4" t="str">
        <f ca="1">_xlfn.IFNA(VLOOKUP(INDIRECT("G"&amp;ROW()),minfo!$A:$M,COLUMN()-8,0),"")</f>
        <v>有一种悲伤</v>
      </c>
      <c r="S1270" s="4">
        <f ca="1">_xlfn.IFNA(VLOOKUP(INDIRECT("G"&amp;ROW()),minfo!$A:$M,COLUMN()-8,0),"")</f>
        <v>0</v>
      </c>
      <c r="T1270" s="4">
        <f ca="1">_xlfn.IFNA(VLOOKUP(INDIRECT("G"&amp;ROW()),minfo!$A:$M,COLUMN()-8,0),"")</f>
        <v>123847658</v>
      </c>
      <c r="U1270" s="4">
        <f ca="1">_xlfn.IFNA(VLOOKUP(INDIRECT("G"&amp;ROW()),minfo!$A:$M,COLUMN()-8,0),"")</f>
        <v>0</v>
      </c>
    </row>
    <row r="1271" spans="1:21" ht="15.75" customHeight="1">
      <c r="A1271" s="15">
        <v>1270</v>
      </c>
      <c r="B1271" s="4" t="s">
        <v>4885</v>
      </c>
      <c r="C1271" s="4">
        <v>1271</v>
      </c>
      <c r="D1271" s="4">
        <v>113</v>
      </c>
      <c r="E1271" s="4" t="s">
        <v>879</v>
      </c>
      <c r="F1271" s="16">
        <v>44869</v>
      </c>
      <c r="G1271" s="5" t="s">
        <v>878</v>
      </c>
      <c r="H1271" s="5" t="s">
        <v>4770</v>
      </c>
      <c r="I1271" s="24" t="str">
        <f>HYPERLINK("https://www.bilibili.com/video/BV1ie4y1B7SZ?p=113", "BV1ie4y1B7SZ?p=113")</f>
        <v>BV1ie4y1B7SZ?p=113</v>
      </c>
      <c r="J1271" s="4" t="str">
        <f ca="1">_xlfn.IFNA(VLOOKUP(INDIRECT("G"&amp;ROW()),minfo!$A:$M,COLUMN()-8,0),"")</f>
        <v>发如雪</v>
      </c>
      <c r="K1271" s="4" t="str">
        <f ca="1">_xlfn.IFNA(VLOOKUP(INDIRECT("G"&amp;ROW()),minfo!$A:$M,COLUMN()-8,0),"")</f>
        <v>周杰伦</v>
      </c>
      <c r="L1271" s="4">
        <f ca="1">_xlfn.IFNA(VLOOKUP(INDIRECT("G"&amp;ROW()),minfo!$A:$M,COLUMN()-8,0),"")</f>
        <v>0</v>
      </c>
      <c r="M1271" s="4">
        <f ca="1">_xlfn.IFNA(VLOOKUP(INDIRECT("G"&amp;ROW()),minfo!$A:$M,COLUMN()-8,0),"")</f>
        <v>0</v>
      </c>
      <c r="N1271" s="4">
        <f ca="1">_xlfn.IFNA(VLOOKUP(INDIRECT("G"&amp;ROW()),minfo!$A:$M,COLUMN()-8,0),"")</f>
        <v>0</v>
      </c>
      <c r="O1271" s="4" t="str">
        <f ca="1">_xlfn.IFNA(VLOOKUP(INDIRECT("G"&amp;ROW()),minfo!$A:$M,COLUMN()-8,0),"")</f>
        <v>https://i0.hdslb.com/bfs/station_src/music_metadata/4f19787695e451c7ec6f082affe19c57.jpg</v>
      </c>
      <c r="P1271" s="4" t="str">
        <f ca="1">_xlfn.IFNA(VLOOKUP(INDIRECT("G"&amp;ROW()),minfo!$A:$M,COLUMN()-8,0),"")</f>
        <v>http://i0.hdslb.com/bfs/station_src/music_metadata/e48762ee9e6f3b4048f790c705f187cd</v>
      </c>
      <c r="Q1271" s="4">
        <f ca="1">_xlfn.IFNA(VLOOKUP(INDIRECT("G"&amp;ROW()),minfo!$A:$M,COLUMN()-8,0),"")</f>
        <v>5236</v>
      </c>
      <c r="R1271" s="4">
        <f ca="1">_xlfn.IFNA(VLOOKUP(INDIRECT("G"&amp;ROW()),minfo!$A:$M,COLUMN()-8,0),"")</f>
        <v>0</v>
      </c>
      <c r="S1271" s="4" t="str">
        <f ca="1">_xlfn.IFNA(VLOOKUP(INDIRECT("G"&amp;ROW()),minfo!$A:$M,COLUMN()-8,0),"")</f>
        <v>十一月的萧邦</v>
      </c>
      <c r="T1271" s="4">
        <f ca="1">_xlfn.IFNA(VLOOKUP(INDIRECT("G"&amp;ROW()),minfo!$A:$M,COLUMN()-8,0),"")</f>
        <v>561545897</v>
      </c>
      <c r="U1271" s="4">
        <f ca="1">_xlfn.IFNA(VLOOKUP(INDIRECT("G"&amp;ROW()),minfo!$A:$M,COLUMN()-8,0),"")</f>
        <v>0</v>
      </c>
    </row>
    <row r="1272" spans="1:21" ht="15.75" customHeight="1">
      <c r="A1272" s="15">
        <v>1271</v>
      </c>
      <c r="B1272" s="4" t="s">
        <v>4886</v>
      </c>
      <c r="C1272" s="4">
        <v>1272</v>
      </c>
      <c r="D1272" s="4">
        <v>114</v>
      </c>
      <c r="E1272" s="4" t="s">
        <v>1040</v>
      </c>
      <c r="F1272" s="16">
        <v>44869</v>
      </c>
      <c r="G1272" s="5" t="s">
        <v>1039</v>
      </c>
      <c r="H1272" s="5" t="s">
        <v>4770</v>
      </c>
      <c r="I1272" s="24" t="str">
        <f>HYPERLINK("https://www.bilibili.com/video/BV1ie4y1B7SZ?p=114", "BV1ie4y1B7SZ?p=114")</f>
        <v>BV1ie4y1B7SZ?p=114</v>
      </c>
      <c r="J1272" s="4" t="str">
        <f ca="1">_xlfn.IFNA(VLOOKUP(INDIRECT("G"&amp;ROW()),minfo!$A:$M,COLUMN()-8,0),"")</f>
        <v>断了的弦</v>
      </c>
      <c r="K1272" s="4" t="str">
        <f ca="1">_xlfn.IFNA(VLOOKUP(INDIRECT("G"&amp;ROW()),minfo!$A:$M,COLUMN()-8,0),"")</f>
        <v>周杰伦</v>
      </c>
      <c r="L1272" s="4">
        <f ca="1">_xlfn.IFNA(VLOOKUP(INDIRECT("G"&amp;ROW()),minfo!$A:$M,COLUMN()-8,0),"")</f>
        <v>0</v>
      </c>
      <c r="M1272" s="4">
        <f ca="1">_xlfn.IFNA(VLOOKUP(INDIRECT("G"&amp;ROW()),minfo!$A:$M,COLUMN()-8,0),"")</f>
        <v>0</v>
      </c>
      <c r="N1272" s="4">
        <f ca="1">_xlfn.IFNA(VLOOKUP(INDIRECT("G"&amp;ROW()),minfo!$A:$M,COLUMN()-8,0),"")</f>
        <v>0</v>
      </c>
      <c r="O1272" s="4" t="str">
        <f ca="1">_xlfn.IFNA(VLOOKUP(INDIRECT("G"&amp;ROW()),minfo!$A:$M,COLUMN()-8,0),"")</f>
        <v>https://i0.hdslb.com/bfs/station_src/music_metadata/ebc5b74fc87de3b14aae385fe242095a.jpg</v>
      </c>
      <c r="P1272" s="4">
        <f ca="1">_xlfn.IFNA(VLOOKUP(INDIRECT("G"&amp;ROW()),minfo!$A:$M,COLUMN()-8,0),"")</f>
        <v>0</v>
      </c>
      <c r="Q1272" s="4">
        <f ca="1">_xlfn.IFNA(VLOOKUP(INDIRECT("G"&amp;ROW()),minfo!$A:$M,COLUMN()-8,0),"")</f>
        <v>1532</v>
      </c>
      <c r="R1272" s="4" t="str">
        <f ca="1">_xlfn.IFNA(VLOOKUP(INDIRECT("G"&amp;ROW()),minfo!$A:$M,COLUMN()-8,0),"")</f>
        <v>《寻找周杰伦》电影插曲</v>
      </c>
      <c r="S1272" s="4" t="str">
        <f ca="1">_xlfn.IFNA(VLOOKUP(INDIRECT("G"&amp;ROW()),minfo!$A:$M,COLUMN()-8,0),"")</f>
        <v>寻找周杰伦</v>
      </c>
      <c r="T1272" s="4">
        <f ca="1">_xlfn.IFNA(VLOOKUP(INDIRECT("G"&amp;ROW()),minfo!$A:$M,COLUMN()-8,0),"")</f>
        <v>336737849</v>
      </c>
      <c r="U1272" s="4">
        <f ca="1">_xlfn.IFNA(VLOOKUP(INDIRECT("G"&amp;ROW()),minfo!$A:$M,COLUMN()-8,0),"")</f>
        <v>0</v>
      </c>
    </row>
    <row r="1273" spans="1:21" ht="15.75" customHeight="1">
      <c r="A1273" s="15">
        <v>1272</v>
      </c>
      <c r="B1273" s="4" t="s">
        <v>4887</v>
      </c>
      <c r="C1273" s="4">
        <v>1273</v>
      </c>
      <c r="D1273" s="4">
        <v>115</v>
      </c>
      <c r="E1273" s="4" t="s">
        <v>324</v>
      </c>
      <c r="F1273" s="16">
        <v>44869</v>
      </c>
      <c r="G1273" s="5" t="s">
        <v>323</v>
      </c>
      <c r="H1273" s="5" t="s">
        <v>4770</v>
      </c>
      <c r="I1273" s="24" t="str">
        <f>HYPERLINK("https://www.bilibili.com/video/BV1ie4y1B7SZ?p=115", "BV1ie4y1B7SZ?p=115")</f>
        <v>BV1ie4y1B7SZ?p=115</v>
      </c>
      <c r="J1273" s="4" t="str">
        <f ca="1">_xlfn.IFNA(VLOOKUP(INDIRECT("G"&amp;ROW()),minfo!$A:$M,COLUMN()-8,0),"")</f>
        <v>致你</v>
      </c>
      <c r="K1273" s="4" t="str">
        <f ca="1">_xlfn.IFNA(VLOOKUP(INDIRECT("G"&amp;ROW()),minfo!$A:$M,COLUMN()-8,0),"")</f>
        <v>王赫野</v>
      </c>
      <c r="L1273" s="4">
        <f ca="1">_xlfn.IFNA(VLOOKUP(INDIRECT("G"&amp;ROW()),minfo!$A:$M,COLUMN()-8,0),"")</f>
        <v>0</v>
      </c>
      <c r="M1273" s="4">
        <f ca="1">_xlfn.IFNA(VLOOKUP(INDIRECT("G"&amp;ROW()),minfo!$A:$M,COLUMN()-8,0),"")</f>
        <v>0</v>
      </c>
      <c r="N1273" s="4">
        <f ca="1">_xlfn.IFNA(VLOOKUP(INDIRECT("G"&amp;ROW()),minfo!$A:$M,COLUMN()-8,0),"")</f>
        <v>0</v>
      </c>
      <c r="O1273" s="4" t="str">
        <f ca="1">_xlfn.IFNA(VLOOKUP(INDIRECT("G"&amp;ROW()),minfo!$A:$M,COLUMN()-8,0),"")</f>
        <v>http://i0.hdslb.com/bfs/station_src/music_metadata/683916d89744a5d7c887a277e409cfaf.jpg</v>
      </c>
      <c r="P1273" s="4">
        <f ca="1">_xlfn.IFNA(VLOOKUP(INDIRECT("G"&amp;ROW()),minfo!$A:$M,COLUMN()-8,0),"")</f>
        <v>0</v>
      </c>
      <c r="Q1273" s="4">
        <f ca="1">_xlfn.IFNA(VLOOKUP(INDIRECT("G"&amp;ROW()),minfo!$A:$M,COLUMN()-8,0),"")</f>
        <v>3362</v>
      </c>
      <c r="R1273" s="4">
        <f ca="1">_xlfn.IFNA(VLOOKUP(INDIRECT("G"&amp;ROW()),minfo!$A:$M,COLUMN()-8,0),"")</f>
        <v>0</v>
      </c>
      <c r="S1273" s="4" t="str">
        <f ca="1">_xlfn.IFNA(VLOOKUP(INDIRECT("G"&amp;ROW()),minfo!$A:$M,COLUMN()-8,0),"")</f>
        <v>致你</v>
      </c>
      <c r="T1273" s="4">
        <f ca="1">_xlfn.IFNA(VLOOKUP(INDIRECT("G"&amp;ROW()),minfo!$A:$M,COLUMN()-8,0),"")</f>
        <v>258996748</v>
      </c>
      <c r="U1273" s="4">
        <f ca="1">_xlfn.IFNA(VLOOKUP(INDIRECT("G"&amp;ROW()),minfo!$A:$M,COLUMN()-8,0),"")</f>
        <v>0</v>
      </c>
    </row>
    <row r="1274" spans="1:21" ht="15.75" customHeight="1">
      <c r="A1274" s="15">
        <v>1273</v>
      </c>
      <c r="B1274" s="4" t="s">
        <v>4888</v>
      </c>
      <c r="C1274" s="4">
        <v>1274</v>
      </c>
      <c r="D1274" s="4">
        <v>116</v>
      </c>
      <c r="E1274" s="4" t="s">
        <v>2235</v>
      </c>
      <c r="F1274" s="16">
        <v>44873</v>
      </c>
      <c r="G1274" s="5" t="s">
        <v>2690</v>
      </c>
      <c r="H1274" s="5" t="s">
        <v>4770</v>
      </c>
      <c r="I1274" s="24" t="str">
        <f>HYPERLINK("https://www.bilibili.com/video/BV1ie4y1B7SZ?p=116", "BV1ie4y1B7SZ?p=116")</f>
        <v>BV1ie4y1B7SZ?p=116</v>
      </c>
      <c r="J1274" s="4" t="str">
        <f ca="1">_xlfn.IFNA(VLOOKUP(INDIRECT("G"&amp;ROW()),minfo!$A:$M,COLUMN()-8,0),"")</f>
        <v>你要的爱</v>
      </c>
      <c r="K1274" s="4" t="str">
        <f ca="1">_xlfn.IFNA(VLOOKUP(INDIRECT("G"&amp;ROW()),minfo!$A:$M,COLUMN()-8,0),"")</f>
        <v>戴佩妮</v>
      </c>
      <c r="L1274" s="4">
        <f ca="1">_xlfn.IFNA(VLOOKUP(INDIRECT("G"&amp;ROW()),minfo!$A:$M,COLUMN()-8,0),"")</f>
        <v>0</v>
      </c>
      <c r="M1274" s="4">
        <f ca="1">_xlfn.IFNA(VLOOKUP(INDIRECT("G"&amp;ROW()),minfo!$A:$M,COLUMN()-8,0),"")</f>
        <v>0</v>
      </c>
      <c r="N1274" s="4">
        <f ca="1">_xlfn.IFNA(VLOOKUP(INDIRECT("G"&amp;ROW()),minfo!$A:$M,COLUMN()-8,0),"")</f>
        <v>0</v>
      </c>
      <c r="O1274" s="4" t="str">
        <f ca="1">_xlfn.IFNA(VLOOKUP(INDIRECT("G"&amp;ROW()),minfo!$A:$M,COLUMN()-8,0),"")</f>
        <v>https://i0.hdslb.com/bfs/station_src/music_metadata/01ff482975bfb0503dec2a66d55603ad.jpg</v>
      </c>
      <c r="P1274" s="4" t="str">
        <f ca="1">_xlfn.IFNA(VLOOKUP(INDIRECT("G"&amp;ROW()),minfo!$A:$M,COLUMN()-8,0),"")</f>
        <v>https://i0.hdslb.com/bfs/station_src/music_metadata/bd38829ceca12fdd42e3dcc7590df366.txt</v>
      </c>
      <c r="Q1274" s="4">
        <f ca="1">_xlfn.IFNA(VLOOKUP(INDIRECT("G"&amp;ROW()),minfo!$A:$M,COLUMN()-8,0),"")</f>
        <v>1</v>
      </c>
      <c r="R1274" s="4">
        <f ca="1">_xlfn.IFNA(VLOOKUP(INDIRECT("G"&amp;ROW()),minfo!$A:$M,COLUMN()-8,0),"")</f>
        <v>0</v>
      </c>
      <c r="S1274" s="4" t="str">
        <f ca="1">_xlfn.IFNA(VLOOKUP(INDIRECT("G"&amp;ROW()),minfo!$A:$M,COLUMN()-8,0),"")</f>
        <v>蒙面唱将猜猜猜 第11期</v>
      </c>
      <c r="T1274" s="4">
        <f ca="1">_xlfn.IFNA(VLOOKUP(INDIRECT("G"&amp;ROW()),minfo!$A:$M,COLUMN()-8,0),"")</f>
        <v>6956107</v>
      </c>
      <c r="U1274" s="4">
        <f ca="1">_xlfn.IFNA(VLOOKUP(INDIRECT("G"&amp;ROW()),minfo!$A:$M,COLUMN()-8,0),"")</f>
        <v>0</v>
      </c>
    </row>
    <row r="1275" spans="1:21" ht="15.75" customHeight="1">
      <c r="A1275" s="15">
        <v>1274</v>
      </c>
      <c r="B1275" s="4" t="s">
        <v>4889</v>
      </c>
      <c r="C1275" s="4">
        <v>1275</v>
      </c>
      <c r="D1275" s="4">
        <v>117</v>
      </c>
      <c r="E1275" s="4" t="s">
        <v>934</v>
      </c>
      <c r="F1275" s="16">
        <v>44873</v>
      </c>
      <c r="G1275" s="5" t="s">
        <v>933</v>
      </c>
      <c r="H1275" s="5" t="s">
        <v>4770</v>
      </c>
      <c r="I1275" s="24" t="str">
        <f>HYPERLINK("https://www.bilibili.com/video/BV1ie4y1B7SZ?p=117", "BV1ie4y1B7SZ?p=117")</f>
        <v>BV1ie4y1B7SZ?p=117</v>
      </c>
      <c r="J1275" s="4" t="str">
        <f ca="1">_xlfn.IFNA(VLOOKUP(INDIRECT("G"&amp;ROW()),minfo!$A:$M,COLUMN()-8,0),"")</f>
        <v>敕勒歌</v>
      </c>
      <c r="K1275" s="4" t="str">
        <f ca="1">_xlfn.IFNA(VLOOKUP(INDIRECT("G"&amp;ROW()),minfo!$A:$M,COLUMN()-8,0),"")</f>
        <v>谭维维</v>
      </c>
      <c r="L1275" s="4">
        <f ca="1">_xlfn.IFNA(VLOOKUP(INDIRECT("G"&amp;ROW()),minfo!$A:$M,COLUMN()-8,0),"")</f>
        <v>0</v>
      </c>
      <c r="M1275" s="4">
        <f ca="1">_xlfn.IFNA(VLOOKUP(INDIRECT("G"&amp;ROW()),minfo!$A:$M,COLUMN()-8,0),"")</f>
        <v>0</v>
      </c>
      <c r="N1275" s="4">
        <f ca="1">_xlfn.IFNA(VLOOKUP(INDIRECT("G"&amp;ROW()),minfo!$A:$M,COLUMN()-8,0),"")</f>
        <v>0</v>
      </c>
      <c r="O1275" s="4" t="str">
        <f ca="1">_xlfn.IFNA(VLOOKUP(INDIRECT("G"&amp;ROW()),minfo!$A:$M,COLUMN()-8,0),"")</f>
        <v>https://i0.hdslb.com/bfs/station_src/music_metadata/4633e67685206de0672cc528709e3e2f.jpg</v>
      </c>
      <c r="P1275" s="4" t="str">
        <f ca="1">_xlfn.IFNA(VLOOKUP(INDIRECT("G"&amp;ROW()),minfo!$A:$M,COLUMN()-8,0),"")</f>
        <v>https://i0.hdslb.com/bfs/station_src/music_metadata/dff7d3073b6cc36766c38942f1f4cf16.txt</v>
      </c>
      <c r="Q1275" s="4">
        <f ca="1">_xlfn.IFNA(VLOOKUP(INDIRECT("G"&amp;ROW()),minfo!$A:$M,COLUMN()-8,0),"")</f>
        <v>382</v>
      </c>
      <c r="R1275" s="4">
        <f ca="1">_xlfn.IFNA(VLOOKUP(INDIRECT("G"&amp;ROW()),minfo!$A:$M,COLUMN()-8,0),"")</f>
        <v>0</v>
      </c>
      <c r="S1275" s="4" t="str">
        <f ca="1">_xlfn.IFNA(VLOOKUP(INDIRECT("G"&amp;ROW()),minfo!$A:$M,COLUMN()-8,0),"")</f>
        <v>经典咏流传第二季 第六期</v>
      </c>
      <c r="T1275" s="4">
        <f ca="1">_xlfn.IFNA(VLOOKUP(INDIRECT("G"&amp;ROW()),minfo!$A:$M,COLUMN()-8,0),"")</f>
        <v>19549830</v>
      </c>
      <c r="U1275" s="4">
        <f ca="1">_xlfn.IFNA(VLOOKUP(INDIRECT("G"&amp;ROW()),minfo!$A:$M,COLUMN()-8,0),"")</f>
        <v>0</v>
      </c>
    </row>
    <row r="1276" spans="1:21" ht="15.75" customHeight="1">
      <c r="A1276" s="15">
        <v>1275</v>
      </c>
      <c r="B1276" s="4" t="s">
        <v>4890</v>
      </c>
      <c r="C1276" s="4">
        <v>1276</v>
      </c>
      <c r="D1276" s="4">
        <v>118</v>
      </c>
      <c r="E1276" s="4" t="s">
        <v>2368</v>
      </c>
      <c r="F1276" s="16">
        <v>44873</v>
      </c>
      <c r="G1276" s="5" t="s">
        <v>2694</v>
      </c>
      <c r="H1276" s="5" t="s">
        <v>4770</v>
      </c>
      <c r="I1276" s="24" t="str">
        <f>HYPERLINK("https://www.bilibili.com/video/BV1ie4y1B7SZ?p=118", "BV1ie4y1B7SZ?p=118")</f>
        <v>BV1ie4y1B7SZ?p=118</v>
      </c>
      <c r="J1276" s="4" t="str">
        <f ca="1">_xlfn.IFNA(VLOOKUP(INDIRECT("G"&amp;ROW()),minfo!$A:$M,COLUMN()-8,0),"")</f>
        <v>爱你</v>
      </c>
      <c r="K1276" s="4" t="str">
        <f ca="1">_xlfn.IFNA(VLOOKUP(INDIRECT("G"&amp;ROW()),minfo!$A:$M,COLUMN()-8,0),"")</f>
        <v>王心凌</v>
      </c>
      <c r="L1276" s="4">
        <f ca="1">_xlfn.IFNA(VLOOKUP(INDIRECT("G"&amp;ROW()),minfo!$A:$M,COLUMN()-8,0),"")</f>
        <v>0</v>
      </c>
      <c r="M1276" s="4">
        <f ca="1">_xlfn.IFNA(VLOOKUP(INDIRECT("G"&amp;ROW()),minfo!$A:$M,COLUMN()-8,0),"")</f>
        <v>35</v>
      </c>
      <c r="N1276" s="4">
        <f ca="1">_xlfn.IFNA(VLOOKUP(INDIRECT("G"&amp;ROW()),minfo!$A:$M,COLUMN()-8,0),"")</f>
        <v>29</v>
      </c>
      <c r="O1276" s="4" t="str">
        <f ca="1">_xlfn.IFNA(VLOOKUP(INDIRECT("G"&amp;ROW()),minfo!$A:$M,COLUMN()-8,0),"")</f>
        <v>http://i0.hdslb.com/bfs/station_src/music_metadata/a9b43805ff5aa92d45ef62bce0afe1ea.jpg</v>
      </c>
      <c r="P1276" s="4" t="str">
        <f ca="1">_xlfn.IFNA(VLOOKUP(INDIRECT("G"&amp;ROW()),minfo!$A:$M,COLUMN()-8,0),"")</f>
        <v>http://i0.hdslb.com/bfs/station_src/music_metadata/24997dd0952e21fd7706e781e8adb905</v>
      </c>
      <c r="Q1276" s="4">
        <f ca="1">_xlfn.IFNA(VLOOKUP(INDIRECT("G"&amp;ROW()),minfo!$A:$M,COLUMN()-8,0),"")</f>
        <v>17697</v>
      </c>
      <c r="R1276" s="4" t="str">
        <f ca="1">_xlfn.IFNA(VLOOKUP(INDIRECT("G"&amp;ROW()),minfo!$A:$M,COLUMN()-8,0),"")</f>
        <v>情话多说一点</v>
      </c>
      <c r="S1276" s="4" t="str">
        <f ca="1">_xlfn.IFNA(VLOOKUP(INDIRECT("G"&amp;ROW()),minfo!$A:$M,COLUMN()-8,0),"")</f>
        <v>爱你</v>
      </c>
      <c r="T1276" s="4">
        <f ca="1">_xlfn.IFNA(VLOOKUP(INDIRECT("G"&amp;ROW()),minfo!$A:$M,COLUMN()-8,0),"")</f>
        <v>1465329274</v>
      </c>
      <c r="U1276" s="4" t="str">
        <f ca="1">_xlfn.IFNA(VLOOKUP(INDIRECT("G"&amp;ROW()),minfo!$A:$M,COLUMN()-8,0),"")</f>
        <v>音乐榜最高NO.1</v>
      </c>
    </row>
    <row r="1277" spans="1:21" ht="15.75" customHeight="1">
      <c r="A1277" s="15">
        <v>1276</v>
      </c>
      <c r="B1277" s="4" t="s">
        <v>4891</v>
      </c>
      <c r="C1277" s="4">
        <v>1277</v>
      </c>
      <c r="D1277" s="4">
        <v>119</v>
      </c>
      <c r="E1277" s="4" t="s">
        <v>3608</v>
      </c>
      <c r="F1277" s="16">
        <v>44873</v>
      </c>
      <c r="G1277" s="5" t="s">
        <v>393</v>
      </c>
      <c r="H1277" s="5" t="s">
        <v>4770</v>
      </c>
      <c r="I1277" s="24" t="str">
        <f>HYPERLINK("https://www.bilibili.com/video/BV1ie4y1B7SZ?p=119", "BV1ie4y1B7SZ?p=119")</f>
        <v>BV1ie4y1B7SZ?p=119</v>
      </c>
      <c r="J1277" s="4" t="str">
        <f ca="1">_xlfn.IFNA(VLOOKUP(INDIRECT("G"&amp;ROW()),minfo!$A:$M,COLUMN()-8,0),"")</f>
        <v>RingRingRing</v>
      </c>
      <c r="K1277" s="4" t="str">
        <f ca="1">_xlfn.IFNA(VLOOKUP(INDIRECT("G"&amp;ROW()),minfo!$A:$M,COLUMN()-8,0),"")</f>
        <v>S.H.E</v>
      </c>
      <c r="L1277" s="4">
        <f ca="1">_xlfn.IFNA(VLOOKUP(INDIRECT("G"&amp;ROW()),minfo!$A:$M,COLUMN()-8,0),"")</f>
        <v>0</v>
      </c>
      <c r="M1277" s="4">
        <f ca="1">_xlfn.IFNA(VLOOKUP(INDIRECT("G"&amp;ROW()),minfo!$A:$M,COLUMN()-8,0),"")</f>
        <v>0</v>
      </c>
      <c r="N1277" s="4">
        <f ca="1">_xlfn.IFNA(VLOOKUP(INDIRECT("G"&amp;ROW()),minfo!$A:$M,COLUMN()-8,0),"")</f>
        <v>0</v>
      </c>
      <c r="O1277" s="4" t="str">
        <f ca="1">_xlfn.IFNA(VLOOKUP(INDIRECT("G"&amp;ROW()),minfo!$A:$M,COLUMN()-8,0),"")</f>
        <v>http://i0.hdslb.com/bfs/station_src/music_metadata/118b3cbdbc9aeb5dc89685ab0f853a01.jpg</v>
      </c>
      <c r="P1277" s="4">
        <f ca="1">_xlfn.IFNA(VLOOKUP(INDIRECT("G"&amp;ROW()),minfo!$A:$M,COLUMN()-8,0),"")</f>
        <v>0</v>
      </c>
      <c r="Q1277" s="4">
        <f ca="1">_xlfn.IFNA(VLOOKUP(INDIRECT("G"&amp;ROW()),minfo!$A:$M,COLUMN()-8,0),"")</f>
        <v>2174</v>
      </c>
      <c r="R1277" s="4">
        <f ca="1">_xlfn.IFNA(VLOOKUP(INDIRECT("G"&amp;ROW()),minfo!$A:$M,COLUMN()-8,0),"")</f>
        <v>0</v>
      </c>
      <c r="S1277" s="4" t="str">
        <f ca="1">_xlfn.IFNA(VLOOKUP(INDIRECT("G"&amp;ROW()),minfo!$A:$M,COLUMN()-8,0),"")</f>
        <v>Forever 新歌+精选</v>
      </c>
      <c r="T1277" s="4">
        <f ca="1">_xlfn.IFNA(VLOOKUP(INDIRECT("G"&amp;ROW()),minfo!$A:$M,COLUMN()-8,0),"")</f>
        <v>383197673</v>
      </c>
      <c r="U1277" s="4" t="str">
        <f ca="1">_xlfn.IFNA(VLOOKUP(INDIRECT("G"&amp;ROW()),minfo!$A:$M,COLUMN()-8,0),"")</f>
        <v>音乐榜最高NO.18</v>
      </c>
    </row>
    <row r="1278" spans="1:21" ht="15.75" customHeight="1">
      <c r="A1278" s="15">
        <v>1277</v>
      </c>
      <c r="B1278" s="4" t="s">
        <v>4892</v>
      </c>
      <c r="C1278" s="4">
        <v>1278</v>
      </c>
      <c r="D1278" s="4">
        <v>120</v>
      </c>
      <c r="E1278" s="4" t="s">
        <v>4893</v>
      </c>
      <c r="F1278" s="16">
        <v>44873</v>
      </c>
      <c r="G1278" s="5" t="s">
        <v>2698</v>
      </c>
      <c r="H1278" s="5" t="s">
        <v>4770</v>
      </c>
      <c r="I1278" s="24" t="str">
        <f>HYPERLINK("https://www.bilibili.com/video/BV1ie4y1B7SZ?p=120", "BV1ie4y1B7SZ?p=120")</f>
        <v>BV1ie4y1B7SZ?p=120</v>
      </c>
      <c r="J1278" s="4" t="str">
        <f ca="1">_xlfn.IFNA(VLOOKUP(INDIRECT("G"&amp;ROW()),minfo!$A:$M,COLUMN()-8,0),"")</f>
        <v>只对你有感觉</v>
      </c>
      <c r="K1278" s="4" t="str">
        <f ca="1">_xlfn.IFNA(VLOOKUP(INDIRECT("G"&amp;ROW()),minfo!$A:$M,COLUMN()-8,0),"")</f>
        <v>飞轮海,田馥甄</v>
      </c>
      <c r="L1278" s="4">
        <f ca="1">_xlfn.IFNA(VLOOKUP(INDIRECT("G"&amp;ROW()),minfo!$A:$M,COLUMN()-8,0),"")</f>
        <v>0</v>
      </c>
      <c r="M1278" s="4">
        <f ca="1">_xlfn.IFNA(VLOOKUP(INDIRECT("G"&amp;ROW()),minfo!$A:$M,COLUMN()-8,0),"")</f>
        <v>0</v>
      </c>
      <c r="N1278" s="4">
        <f ca="1">_xlfn.IFNA(VLOOKUP(INDIRECT("G"&amp;ROW()),minfo!$A:$M,COLUMN()-8,0),"")</f>
        <v>0</v>
      </c>
      <c r="O1278" s="4" t="str">
        <f ca="1">_xlfn.IFNA(VLOOKUP(INDIRECT("G"&amp;ROW()),minfo!$A:$M,COLUMN()-8,0),"")</f>
        <v>https://i0.hdslb.com/bfs/station_src/music_metadata/008e76ad7e832d9f11cdcd14dec37a64.jpg</v>
      </c>
      <c r="P1278" s="4" t="str">
        <f ca="1">_xlfn.IFNA(VLOOKUP(INDIRECT("G"&amp;ROW()),minfo!$A:$M,COLUMN()-8,0),"")</f>
        <v>http://i0.hdslb.com/bfs/station_src/music_metadata/1364d6164322b66ef30603b1366edc5d</v>
      </c>
      <c r="Q1278" s="4">
        <f ca="1">_xlfn.IFNA(VLOOKUP(INDIRECT("G"&amp;ROW()),minfo!$A:$M,COLUMN()-8,0),"")</f>
        <v>1291</v>
      </c>
      <c r="R1278" s="4" t="str">
        <f ca="1">_xlfn.IFNA(VLOOKUP(INDIRECT("G"&amp;ROW()),minfo!$A:$M,COLUMN()-8,0),"")</f>
        <v>《东方茱丽叶》电视剧插曲</v>
      </c>
      <c r="S1278" s="4" t="str">
        <f ca="1">_xlfn.IFNA(VLOOKUP(INDIRECT("G"&amp;ROW()),minfo!$A:$M,COLUMN()-8,0),"")</f>
        <v>东方茱丽叶 电视原声带</v>
      </c>
      <c r="T1278" s="4">
        <f ca="1">_xlfn.IFNA(VLOOKUP(INDIRECT("G"&amp;ROW()),minfo!$A:$M,COLUMN()-8,0),"")</f>
        <v>363930254</v>
      </c>
      <c r="U1278" s="4">
        <f ca="1">_xlfn.IFNA(VLOOKUP(INDIRECT("G"&amp;ROW()),minfo!$A:$M,COLUMN()-8,0),"")</f>
        <v>0</v>
      </c>
    </row>
    <row r="1279" spans="1:21" ht="15.75" customHeight="1">
      <c r="A1279" s="15">
        <v>1278</v>
      </c>
      <c r="B1279" s="4" t="s">
        <v>4894</v>
      </c>
      <c r="C1279" s="4">
        <v>1279</v>
      </c>
      <c r="D1279" s="4">
        <v>121</v>
      </c>
      <c r="E1279" s="4" t="s">
        <v>226</v>
      </c>
      <c r="F1279" s="16">
        <v>44873</v>
      </c>
      <c r="G1279" s="5" t="s">
        <v>225</v>
      </c>
      <c r="H1279" s="5" t="s">
        <v>4770</v>
      </c>
      <c r="I1279" s="24" t="str">
        <f>HYPERLINK("https://www.bilibili.com/video/BV1ie4y1B7SZ?p=121", "BV1ie4y1B7SZ?p=121")</f>
        <v>BV1ie4y1B7SZ?p=121</v>
      </c>
      <c r="J1279" s="4" t="str">
        <f ca="1">_xlfn.IFNA(VLOOKUP(INDIRECT("G"&amp;ROW()),minfo!$A:$M,COLUMN()-8,0),"")</f>
        <v>如愿</v>
      </c>
      <c r="K1279" s="4" t="str">
        <f ca="1">_xlfn.IFNA(VLOOKUP(INDIRECT("G"&amp;ROW()),minfo!$A:$M,COLUMN()-8,0),"")</f>
        <v>王菲</v>
      </c>
      <c r="L1279" s="4">
        <f ca="1">_xlfn.IFNA(VLOOKUP(INDIRECT("G"&amp;ROW()),minfo!$A:$M,COLUMN()-8,0),"")</f>
        <v>0</v>
      </c>
      <c r="M1279" s="4">
        <f ca="1">_xlfn.IFNA(VLOOKUP(INDIRECT("G"&amp;ROW()),minfo!$A:$M,COLUMN()-8,0),"")</f>
        <v>0</v>
      </c>
      <c r="N1279" s="4">
        <f ca="1">_xlfn.IFNA(VLOOKUP(INDIRECT("G"&amp;ROW()),minfo!$A:$M,COLUMN()-8,0),"")</f>
        <v>0</v>
      </c>
      <c r="O1279" s="4" t="str">
        <f ca="1">_xlfn.IFNA(VLOOKUP(INDIRECT("G"&amp;ROW()),minfo!$A:$M,COLUMN()-8,0),"")</f>
        <v>http://i0.hdslb.com/bfs/station_src/music_metadata/4c29d6e8ea08a5ae0f90cb123bf5f52d.jpg</v>
      </c>
      <c r="P1279" s="4" t="str">
        <f ca="1">_xlfn.IFNA(VLOOKUP(INDIRECT("G"&amp;ROW()),minfo!$A:$M,COLUMN()-8,0),"")</f>
        <v>http://i0.hdslb.com/bfs/station_src/music_metadata/7dfb091f97b87d41cdb10f22a04b20e6</v>
      </c>
      <c r="Q1279" s="4">
        <f ca="1">_xlfn.IFNA(VLOOKUP(INDIRECT("G"&amp;ROW()),minfo!$A:$M,COLUMN()-8,0),"")</f>
        <v>8985</v>
      </c>
      <c r="R1279" s="4" t="str">
        <f ca="1">_xlfn.IFNA(VLOOKUP(INDIRECT("G"&amp;ROW()),minfo!$A:$M,COLUMN()-8,0),"")</f>
        <v>《我和我的父辈》电影主题推广曲</v>
      </c>
      <c r="S1279" s="4" t="str">
        <f ca="1">_xlfn.IFNA(VLOOKUP(INDIRECT("G"&amp;ROW()),minfo!$A:$M,COLUMN()-8,0),"")</f>
        <v>如愿</v>
      </c>
      <c r="T1279" s="4">
        <f ca="1">_xlfn.IFNA(VLOOKUP(INDIRECT("G"&amp;ROW()),minfo!$A:$M,COLUMN()-8,0),"")</f>
        <v>520502983</v>
      </c>
      <c r="U1279" s="4">
        <f ca="1">_xlfn.IFNA(VLOOKUP(INDIRECT("G"&amp;ROW()),minfo!$A:$M,COLUMN()-8,0),"")</f>
        <v>0</v>
      </c>
    </row>
    <row r="1280" spans="1:21" ht="15.75" customHeight="1">
      <c r="A1280" s="15">
        <v>1279</v>
      </c>
      <c r="B1280" s="4" t="s">
        <v>4895</v>
      </c>
      <c r="C1280" s="4">
        <v>1280</v>
      </c>
      <c r="D1280" s="4">
        <v>122</v>
      </c>
      <c r="E1280" s="4" t="s">
        <v>894</v>
      </c>
      <c r="F1280" s="16">
        <v>44880</v>
      </c>
      <c r="G1280" s="5" t="s">
        <v>893</v>
      </c>
      <c r="H1280" s="5" t="s">
        <v>4770</v>
      </c>
      <c r="I1280" s="24" t="str">
        <f>HYPERLINK("https://www.bilibili.com/video/BV1ie4y1B7SZ?p=122", "BV1ie4y1B7SZ?p=122")</f>
        <v>BV1ie4y1B7SZ?p=122</v>
      </c>
      <c r="J1280" s="4" t="str">
        <f ca="1">_xlfn.IFNA(VLOOKUP(INDIRECT("G"&amp;ROW()),minfo!$A:$M,COLUMN()-8,0),"")</f>
        <v>星河叹</v>
      </c>
      <c r="K1280" s="4" t="str">
        <f ca="1">_xlfn.IFNA(VLOOKUP(INDIRECT("G"&amp;ROW()),minfo!$A:$M,COLUMN()-8,0),"")</f>
        <v>黄龄</v>
      </c>
      <c r="L1280" s="4">
        <f ca="1">_xlfn.IFNA(VLOOKUP(INDIRECT("G"&amp;ROW()),minfo!$A:$M,COLUMN()-8,0),"")</f>
        <v>0</v>
      </c>
      <c r="M1280" s="4">
        <f ca="1">_xlfn.IFNA(VLOOKUP(INDIRECT("G"&amp;ROW()),minfo!$A:$M,COLUMN()-8,0),"")</f>
        <v>0</v>
      </c>
      <c r="N1280" s="4">
        <f ca="1">_xlfn.IFNA(VLOOKUP(INDIRECT("G"&amp;ROW()),minfo!$A:$M,COLUMN()-8,0),"")</f>
        <v>0</v>
      </c>
      <c r="O1280" s="4" t="str">
        <f ca="1">_xlfn.IFNA(VLOOKUP(INDIRECT("G"&amp;ROW()),minfo!$A:$M,COLUMN()-8,0),"")</f>
        <v>https://i0.hdslb.com/bfs/station_src/music_metadata/f3e960ffbb9dd3ffa3c10d67471b7cde.jpg</v>
      </c>
      <c r="P1280" s="4" t="str">
        <f ca="1">_xlfn.IFNA(VLOOKUP(INDIRECT("G"&amp;ROW()),minfo!$A:$M,COLUMN()-8,0),"")</f>
        <v>http://i0.hdslb.com/bfs/station_src/music_metadata/6360e90a7e0e9e0a5a8afded3b15d213</v>
      </c>
      <c r="Q1280" s="4">
        <f ca="1">_xlfn.IFNA(VLOOKUP(INDIRECT("G"&amp;ROW()),minfo!$A:$M,COLUMN()-8,0),"")</f>
        <v>3174</v>
      </c>
      <c r="R1280" s="4" t="str">
        <f ca="1">_xlfn.IFNA(VLOOKUP(INDIRECT("G"&amp;ROW()),minfo!$A:$M,COLUMN()-8,0),"")</f>
        <v>《星汉灿烂》电视剧女主人物曲</v>
      </c>
      <c r="S1280" s="4" t="str">
        <f ca="1">_xlfn.IFNA(VLOOKUP(INDIRECT("G"&amp;ROW()),minfo!$A:$M,COLUMN()-8,0),"")</f>
        <v>星河叹</v>
      </c>
      <c r="T1280" s="4">
        <f ca="1">_xlfn.IFNA(VLOOKUP(INDIRECT("G"&amp;ROW()),minfo!$A:$M,COLUMN()-8,0),"")</f>
        <v>152096732</v>
      </c>
      <c r="U1280" s="4">
        <f ca="1">_xlfn.IFNA(VLOOKUP(INDIRECT("G"&amp;ROW()),minfo!$A:$M,COLUMN()-8,0),"")</f>
        <v>0</v>
      </c>
    </row>
    <row r="1281" spans="1:21" ht="15.75" customHeight="1">
      <c r="A1281" s="15">
        <v>1280</v>
      </c>
      <c r="B1281" s="4" t="s">
        <v>4896</v>
      </c>
      <c r="C1281" s="4">
        <v>1281</v>
      </c>
      <c r="D1281" s="4">
        <v>123</v>
      </c>
      <c r="E1281" s="4" t="s">
        <v>232</v>
      </c>
      <c r="F1281" s="16">
        <v>44880</v>
      </c>
      <c r="G1281" s="5" t="s">
        <v>231</v>
      </c>
      <c r="H1281" s="5" t="s">
        <v>4770</v>
      </c>
      <c r="I1281" s="24" t="str">
        <f>HYPERLINK("https://www.bilibili.com/video/BV1ie4y1B7SZ?p=123", "BV1ie4y1B7SZ?p=123")</f>
        <v>BV1ie4y1B7SZ?p=123</v>
      </c>
      <c r="J1281" s="4" t="str">
        <f ca="1">_xlfn.IFNA(VLOOKUP(INDIRECT("G"&amp;ROW()),minfo!$A:$M,COLUMN()-8,0),"")</f>
        <v>若把你</v>
      </c>
      <c r="K1281" s="4" t="str">
        <f ca="1">_xlfn.IFNA(VLOOKUP(INDIRECT("G"&amp;ROW()),minfo!$A:$M,COLUMN()-8,0),"")</f>
        <v>Kirsty刘瑾睿</v>
      </c>
      <c r="L1281" s="4">
        <f ca="1">_xlfn.IFNA(VLOOKUP(INDIRECT("G"&amp;ROW()),minfo!$A:$M,COLUMN()-8,0),"")</f>
        <v>0</v>
      </c>
      <c r="M1281" s="4">
        <f ca="1">_xlfn.IFNA(VLOOKUP(INDIRECT("G"&amp;ROW()),minfo!$A:$M,COLUMN()-8,0),"")</f>
        <v>43546</v>
      </c>
      <c r="N1281" s="4">
        <f ca="1">_xlfn.IFNA(VLOOKUP(INDIRECT("G"&amp;ROW()),minfo!$A:$M,COLUMN()-8,0),"")</f>
        <v>6440</v>
      </c>
      <c r="O1281" s="4" t="str">
        <f ca="1">_xlfn.IFNA(VLOOKUP(INDIRECT("G"&amp;ROW()),minfo!$A:$M,COLUMN()-8,0),"")</f>
        <v>http://i0.hdslb.com/bfs/station_src/music_metadata/e535448192dd1b72f950d8bf47d14597.jpg</v>
      </c>
      <c r="P1281" s="4">
        <f ca="1">_xlfn.IFNA(VLOOKUP(INDIRECT("G"&amp;ROW()),minfo!$A:$M,COLUMN()-8,0),"")</f>
        <v>0</v>
      </c>
      <c r="Q1281" s="4">
        <f ca="1">_xlfn.IFNA(VLOOKUP(INDIRECT("G"&amp;ROW()),minfo!$A:$M,COLUMN()-8,0),"")</f>
        <v>2370</v>
      </c>
      <c r="R1281" s="4">
        <f ca="1">_xlfn.IFNA(VLOOKUP(INDIRECT("G"&amp;ROW()),minfo!$A:$M,COLUMN()-8,0),"")</f>
        <v>0</v>
      </c>
      <c r="S1281" s="4" t="str">
        <f ca="1">_xlfn.IFNA(VLOOKUP(INDIRECT("G"&amp;ROW()),minfo!$A:$M,COLUMN()-8,0),"")</f>
        <v>若把你</v>
      </c>
      <c r="T1281" s="4">
        <f ca="1">_xlfn.IFNA(VLOOKUP(INDIRECT("G"&amp;ROW()),minfo!$A:$M,COLUMN()-8,0),"")</f>
        <v>316650487</v>
      </c>
      <c r="U1281" s="4" t="str">
        <f ca="1">_xlfn.IFNA(VLOOKUP(INDIRECT("G"&amp;ROW()),minfo!$A:$M,COLUMN()-8,0),"")</f>
        <v>音乐榜最高NO.7</v>
      </c>
    </row>
    <row r="1282" spans="1:21" ht="15.75" customHeight="1">
      <c r="A1282" s="15">
        <v>1281</v>
      </c>
      <c r="B1282" s="4" t="s">
        <v>4897</v>
      </c>
      <c r="C1282" s="4">
        <v>1282</v>
      </c>
      <c r="D1282" s="4">
        <v>124</v>
      </c>
      <c r="E1282" s="4" t="s">
        <v>1093</v>
      </c>
      <c r="F1282" s="16">
        <v>44880</v>
      </c>
      <c r="G1282" s="5" t="s">
        <v>1092</v>
      </c>
      <c r="H1282" s="5" t="s">
        <v>4770</v>
      </c>
      <c r="I1282" s="24" t="str">
        <f>HYPERLINK("https://www.bilibili.com/video/BV1ie4y1B7SZ?p=124", "BV1ie4y1B7SZ?p=124")</f>
        <v>BV1ie4y1B7SZ?p=124</v>
      </c>
      <c r="J1282" s="4" t="str">
        <f ca="1">_xlfn.IFNA(VLOOKUP(INDIRECT("G"&amp;ROW()),minfo!$A:$M,COLUMN()-8,0),"")</f>
        <v>彩云之南</v>
      </c>
      <c r="K1282" s="4" t="str">
        <f ca="1">_xlfn.IFNA(VLOOKUP(INDIRECT("G"&amp;ROW()),minfo!$A:$M,COLUMN()-8,0),"")</f>
        <v>徐千雅</v>
      </c>
      <c r="L1282" s="4">
        <f ca="1">_xlfn.IFNA(VLOOKUP(INDIRECT("G"&amp;ROW()),minfo!$A:$M,COLUMN()-8,0),"")</f>
        <v>0</v>
      </c>
      <c r="M1282" s="4">
        <f ca="1">_xlfn.IFNA(VLOOKUP(INDIRECT("G"&amp;ROW()),minfo!$A:$M,COLUMN()-8,0),"")</f>
        <v>0</v>
      </c>
      <c r="N1282" s="4">
        <f ca="1">_xlfn.IFNA(VLOOKUP(INDIRECT("G"&amp;ROW()),minfo!$A:$M,COLUMN()-8,0),"")</f>
        <v>0</v>
      </c>
      <c r="O1282" s="4" t="str">
        <f ca="1">_xlfn.IFNA(VLOOKUP(INDIRECT("G"&amp;ROW()),minfo!$A:$M,COLUMN()-8,0),"")</f>
        <v>https://i0.hdslb.com/bfs/station_src/music_metadata/ec25a3c6f461a6f39992766a69b70f38.jpg</v>
      </c>
      <c r="P1282" s="4" t="str">
        <f ca="1">_xlfn.IFNA(VLOOKUP(INDIRECT("G"&amp;ROW()),minfo!$A:$M,COLUMN()-8,0),"")</f>
        <v>https://i0.hdslb.com/bfs/station_src/music_metadata/dd25918a2979b4b5717af8832b7f9199.txt</v>
      </c>
      <c r="Q1282" s="4">
        <f ca="1">_xlfn.IFNA(VLOOKUP(INDIRECT("G"&amp;ROW()),minfo!$A:$M,COLUMN()-8,0),"")</f>
        <v>565</v>
      </c>
      <c r="R1282" s="4">
        <f ca="1">_xlfn.IFNA(VLOOKUP(INDIRECT("G"&amp;ROW()),minfo!$A:$M,COLUMN()-8,0),"")</f>
        <v>0</v>
      </c>
      <c r="S1282" s="4" t="str">
        <f ca="1">_xlfn.IFNA(VLOOKUP(INDIRECT("G"&amp;ROW()),minfo!$A:$M,COLUMN()-8,0),"")</f>
        <v>彩云之南</v>
      </c>
      <c r="T1282" s="4">
        <f ca="1">_xlfn.IFNA(VLOOKUP(INDIRECT("G"&amp;ROW()),minfo!$A:$M,COLUMN()-8,0),"")</f>
        <v>52168799</v>
      </c>
      <c r="U1282" s="4">
        <f ca="1">_xlfn.IFNA(VLOOKUP(INDIRECT("G"&amp;ROW()),minfo!$A:$M,COLUMN()-8,0),"")</f>
        <v>0</v>
      </c>
    </row>
    <row r="1283" spans="1:21" ht="15.75" customHeight="1">
      <c r="A1283" s="15">
        <v>1282</v>
      </c>
      <c r="B1283" s="4" t="s">
        <v>4898</v>
      </c>
      <c r="C1283" s="4">
        <v>1283</v>
      </c>
      <c r="D1283" s="4">
        <v>125</v>
      </c>
      <c r="E1283" s="4" t="s">
        <v>422</v>
      </c>
      <c r="F1283" s="16">
        <v>44880</v>
      </c>
      <c r="G1283" s="5" t="s">
        <v>421</v>
      </c>
      <c r="H1283" s="5" t="s">
        <v>4770</v>
      </c>
      <c r="I1283" s="24" t="str">
        <f>HYPERLINK("https://www.bilibili.com/video/BV1ie4y1B7SZ?p=125", "BV1ie4y1B7SZ?p=125")</f>
        <v>BV1ie4y1B7SZ?p=125</v>
      </c>
      <c r="J1283" s="4" t="str">
        <f ca="1">_xlfn.IFNA(VLOOKUP(INDIRECT("G"&amp;ROW()),minfo!$A:$M,COLUMN()-8,0),"")</f>
        <v>爱情废柴</v>
      </c>
      <c r="K1283" s="4" t="str">
        <f ca="1">_xlfn.IFNA(VLOOKUP(INDIRECT("G"&amp;ROW()),minfo!$A:$M,COLUMN()-8,0),"")</f>
        <v>周杰伦</v>
      </c>
      <c r="L1283" s="4">
        <f ca="1">_xlfn.IFNA(VLOOKUP(INDIRECT("G"&amp;ROW()),minfo!$A:$M,COLUMN()-8,0),"")</f>
        <v>0</v>
      </c>
      <c r="M1283" s="4">
        <f ca="1">_xlfn.IFNA(VLOOKUP(INDIRECT("G"&amp;ROW()),minfo!$A:$M,COLUMN()-8,0),"")</f>
        <v>0</v>
      </c>
      <c r="N1283" s="4">
        <f ca="1">_xlfn.IFNA(VLOOKUP(INDIRECT("G"&amp;ROW()),minfo!$A:$M,COLUMN()-8,0),"")</f>
        <v>0</v>
      </c>
      <c r="O1283" s="4" t="str">
        <f ca="1">_xlfn.IFNA(VLOOKUP(INDIRECT("G"&amp;ROW()),minfo!$A:$M,COLUMN()-8,0),"")</f>
        <v>https://i0.hdslb.com/bfs/station_src/music_metadata/b27285ea13574397bca7b651a4eb0612.jpg</v>
      </c>
      <c r="P1283" s="4" t="str">
        <f ca="1">_xlfn.IFNA(VLOOKUP(INDIRECT("G"&amp;ROW()),minfo!$A:$M,COLUMN()-8,0),"")</f>
        <v>copyright-crawler/music/task-lyric/640d4e7ac961e7c45dca2fe1.txt</v>
      </c>
      <c r="Q1283" s="4">
        <f ca="1">_xlfn.IFNA(VLOOKUP(INDIRECT("G"&amp;ROW()),minfo!$A:$M,COLUMN()-8,0),"")</f>
        <v>984</v>
      </c>
      <c r="R1283" s="4" t="str">
        <f ca="1">_xlfn.IFNA(VLOOKUP(INDIRECT("G"&amp;ROW()),minfo!$A:$M,COLUMN()-8,0),"")</f>
        <v>爱情废柴</v>
      </c>
      <c r="S1283" s="4" t="str">
        <f ca="1">_xlfn.IFNA(VLOOKUP(INDIRECT("G"&amp;ROW()),minfo!$A:$M,COLUMN()-8,0),"")</f>
        <v>周杰伦的床边故事</v>
      </c>
      <c r="T1283" s="4">
        <f ca="1">_xlfn.IFNA(VLOOKUP(INDIRECT("G"&amp;ROW()),minfo!$A:$M,COLUMN()-8,0),"")</f>
        <v>226606662</v>
      </c>
      <c r="U1283" s="4">
        <f ca="1">_xlfn.IFNA(VLOOKUP(INDIRECT("G"&amp;ROW()),minfo!$A:$M,COLUMN()-8,0),"")</f>
        <v>0</v>
      </c>
    </row>
    <row r="1284" spans="1:21" ht="15.75" customHeight="1">
      <c r="A1284" s="15">
        <v>1283</v>
      </c>
      <c r="B1284" s="4" t="s">
        <v>4899</v>
      </c>
      <c r="C1284" s="4">
        <v>1284</v>
      </c>
      <c r="D1284" s="4">
        <v>126</v>
      </c>
      <c r="E1284" s="4" t="s">
        <v>1569</v>
      </c>
      <c r="F1284" s="16">
        <v>44880</v>
      </c>
      <c r="G1284" s="5" t="s">
        <v>1568</v>
      </c>
      <c r="H1284" s="5" t="s">
        <v>4770</v>
      </c>
      <c r="I1284" s="24" t="str">
        <f>HYPERLINK("https://www.bilibili.com/video/BV1ie4y1B7SZ?p=126", "BV1ie4y1B7SZ?p=126")</f>
        <v>BV1ie4y1B7SZ?p=126</v>
      </c>
      <c r="J1284" s="4" t="str">
        <f ca="1">_xlfn.IFNA(VLOOKUP(INDIRECT("G"&amp;ROW()),minfo!$A:$M,COLUMN()-8,0),"")</f>
        <v>风月</v>
      </c>
      <c r="K1284" s="4" t="str">
        <f ca="1">_xlfn.IFNA(VLOOKUP(INDIRECT("G"&amp;ROW()),minfo!$A:$M,COLUMN()-8,0),"")</f>
        <v>黄龄</v>
      </c>
      <c r="L1284" s="4">
        <f ca="1">_xlfn.IFNA(VLOOKUP(INDIRECT("G"&amp;ROW()),minfo!$A:$M,COLUMN()-8,0),"")</f>
        <v>0</v>
      </c>
      <c r="M1284" s="4">
        <f ca="1">_xlfn.IFNA(VLOOKUP(INDIRECT("G"&amp;ROW()),minfo!$A:$M,COLUMN()-8,0),"")</f>
        <v>0</v>
      </c>
      <c r="N1284" s="4">
        <f ca="1">_xlfn.IFNA(VLOOKUP(INDIRECT("G"&amp;ROW()),minfo!$A:$M,COLUMN()-8,0),"")</f>
        <v>0</v>
      </c>
      <c r="O1284" s="4" t="str">
        <f ca="1">_xlfn.IFNA(VLOOKUP(INDIRECT("G"&amp;ROW()),minfo!$A:$M,COLUMN()-8,0),"")</f>
        <v>https://i0.hdslb.com/bfs/station_src/music_metadata/874d427c68cbd11ec3a0c97a238991cf.jpg</v>
      </c>
      <c r="P1284" s="4">
        <f ca="1">_xlfn.IFNA(VLOOKUP(INDIRECT("G"&amp;ROW()),minfo!$A:$M,COLUMN()-8,0),"")</f>
        <v>0</v>
      </c>
      <c r="Q1284" s="4">
        <f ca="1">_xlfn.IFNA(VLOOKUP(INDIRECT("G"&amp;ROW()),minfo!$A:$M,COLUMN()-8,0),"")</f>
        <v>778</v>
      </c>
      <c r="R1284" s="4">
        <f ca="1">_xlfn.IFNA(VLOOKUP(INDIRECT("G"&amp;ROW()),minfo!$A:$M,COLUMN()-8,0),"")</f>
        <v>0</v>
      </c>
      <c r="S1284" s="4" t="str">
        <f ca="1">_xlfn.IFNA(VLOOKUP(INDIRECT("G"&amp;ROW()),minfo!$A:$M,COLUMN()-8,0),"")</f>
        <v>2020最美的夜 bilibili晚会</v>
      </c>
      <c r="T1284" s="4">
        <f ca="1">_xlfn.IFNA(VLOOKUP(INDIRECT("G"&amp;ROW()),minfo!$A:$M,COLUMN()-8,0),"")</f>
        <v>174632458</v>
      </c>
      <c r="U1284" s="4">
        <f ca="1">_xlfn.IFNA(VLOOKUP(INDIRECT("G"&amp;ROW()),minfo!$A:$M,COLUMN()-8,0),"")</f>
        <v>0</v>
      </c>
    </row>
    <row r="1285" spans="1:21" ht="15.75" customHeight="1">
      <c r="A1285" s="15">
        <v>1284</v>
      </c>
      <c r="B1285" s="4" t="s">
        <v>4900</v>
      </c>
      <c r="C1285" s="4">
        <v>1285</v>
      </c>
      <c r="D1285" s="4">
        <v>127</v>
      </c>
      <c r="E1285" s="4" t="s">
        <v>2056</v>
      </c>
      <c r="F1285" s="16">
        <v>44881</v>
      </c>
      <c r="G1285" s="5" t="s">
        <v>2055</v>
      </c>
      <c r="H1285" s="5" t="s">
        <v>4770</v>
      </c>
      <c r="I1285" s="24" t="str">
        <f>HYPERLINK("https://www.bilibili.com/video/BV1ie4y1B7SZ?p=127", "BV1ie4y1B7SZ?p=127")</f>
        <v>BV1ie4y1B7SZ?p=127</v>
      </c>
      <c r="J1285" s="4" t="str">
        <f ca="1">_xlfn.IFNA(VLOOKUP(INDIRECT("G"&amp;ROW()),minfo!$A:$M,COLUMN()-8,0),"")</f>
        <v>泼墨漓江</v>
      </c>
      <c r="K1285" s="4" t="str">
        <f ca="1">_xlfn.IFNA(VLOOKUP(INDIRECT("G"&amp;ROW()),minfo!$A:$M,COLUMN()-8,0),"")</f>
        <v>泠鸢yousa</v>
      </c>
      <c r="L1285" s="4">
        <f ca="1">_xlfn.IFNA(VLOOKUP(INDIRECT("G"&amp;ROW()),minfo!$A:$M,COLUMN()-8,0),"")</f>
        <v>0</v>
      </c>
      <c r="M1285" s="4">
        <f ca="1">_xlfn.IFNA(VLOOKUP(INDIRECT("G"&amp;ROW()),minfo!$A:$M,COLUMN()-8,0),"")</f>
        <v>0</v>
      </c>
      <c r="N1285" s="4">
        <f ca="1">_xlfn.IFNA(VLOOKUP(INDIRECT("G"&amp;ROW()),minfo!$A:$M,COLUMN()-8,0),"")</f>
        <v>0</v>
      </c>
      <c r="O1285" s="4" t="str">
        <f ca="1">_xlfn.IFNA(VLOOKUP(INDIRECT("G"&amp;ROW()),minfo!$A:$M,COLUMN()-8,0),"")</f>
        <v>https://i0.hdslb.com/bfs/station_src/music_metadata/d66f5d91942551f93ea268afb3f1707d.jpg</v>
      </c>
      <c r="P1285" s="4" t="str">
        <f ca="1">_xlfn.IFNA(VLOOKUP(INDIRECT("G"&amp;ROW()),minfo!$A:$M,COLUMN()-8,0),"")</f>
        <v>https://i0.hdslb.com/bfs/station_src/music_metadata/fe2794c42c8d1fad9b590390dca312e5.txt</v>
      </c>
      <c r="Q1285" s="4">
        <f ca="1">_xlfn.IFNA(VLOOKUP(INDIRECT("G"&amp;ROW()),minfo!$A:$M,COLUMN()-8,0),"")</f>
        <v>24</v>
      </c>
      <c r="R1285" s="4">
        <f ca="1">_xlfn.IFNA(VLOOKUP(INDIRECT("G"&amp;ROW()),minfo!$A:$M,COLUMN()-8,0),"")</f>
        <v>0</v>
      </c>
      <c r="S1285" s="4" t="str">
        <f ca="1">_xlfn.IFNA(VLOOKUP(INDIRECT("G"&amp;ROW()),minfo!$A:$M,COLUMN()-8,0),"")</f>
        <v>创世之音 bilibili虚拟主播演唱会节目音频</v>
      </c>
      <c r="T1285" s="4">
        <f ca="1">_xlfn.IFNA(VLOOKUP(INDIRECT("G"&amp;ROW()),minfo!$A:$M,COLUMN()-8,0),"")</f>
        <v>6915969</v>
      </c>
      <c r="U1285" s="4">
        <f ca="1">_xlfn.IFNA(VLOOKUP(INDIRECT("G"&amp;ROW()),minfo!$A:$M,COLUMN()-8,0),"")</f>
        <v>0</v>
      </c>
    </row>
    <row r="1286" spans="1:21" ht="15.75" customHeight="1">
      <c r="A1286" s="15">
        <v>1285</v>
      </c>
      <c r="B1286" s="4" t="s">
        <v>4901</v>
      </c>
      <c r="C1286" s="4">
        <v>1286</v>
      </c>
      <c r="D1286" s="4">
        <v>128</v>
      </c>
      <c r="E1286" s="4" t="s">
        <v>904</v>
      </c>
      <c r="F1286" s="16">
        <v>44881</v>
      </c>
      <c r="G1286" s="5" t="s">
        <v>903</v>
      </c>
      <c r="H1286" s="5" t="s">
        <v>4770</v>
      </c>
      <c r="I1286" s="24" t="str">
        <f>HYPERLINK("https://www.bilibili.com/video/BV1ie4y1B7SZ?p=128", "BV1ie4y1B7SZ?p=128")</f>
        <v>BV1ie4y1B7SZ?p=128</v>
      </c>
      <c r="J1286" s="4" t="str">
        <f ca="1">_xlfn.IFNA(VLOOKUP(INDIRECT("G"&amp;ROW()),minfo!$A:$M,COLUMN()-8,0),"")</f>
        <v>轨迹</v>
      </c>
      <c r="K1286" s="4" t="str">
        <f ca="1">_xlfn.IFNA(VLOOKUP(INDIRECT("G"&amp;ROW()),minfo!$A:$M,COLUMN()-8,0),"")</f>
        <v>周杰伦</v>
      </c>
      <c r="L1286" s="4">
        <f ca="1">_xlfn.IFNA(VLOOKUP(INDIRECT("G"&amp;ROW()),minfo!$A:$M,COLUMN()-8,0),"")</f>
        <v>0</v>
      </c>
      <c r="M1286" s="4">
        <f ca="1">_xlfn.IFNA(VLOOKUP(INDIRECT("G"&amp;ROW()),minfo!$A:$M,COLUMN()-8,0),"")</f>
        <v>0</v>
      </c>
      <c r="N1286" s="4">
        <f ca="1">_xlfn.IFNA(VLOOKUP(INDIRECT("G"&amp;ROW()),minfo!$A:$M,COLUMN()-8,0),"")</f>
        <v>0</v>
      </c>
      <c r="O1286" s="4" t="str">
        <f ca="1">_xlfn.IFNA(VLOOKUP(INDIRECT("G"&amp;ROW()),minfo!$A:$M,COLUMN()-8,0),"")</f>
        <v>https://i0.hdslb.com/bfs/station_src/music_metadata/439418765b962c30a2db33196128f32b.jpg</v>
      </c>
      <c r="P1286" s="4" t="str">
        <f ca="1">_xlfn.IFNA(VLOOKUP(INDIRECT("G"&amp;ROW()),minfo!$A:$M,COLUMN()-8,0),"")</f>
        <v>copyright-crawler/music/task-lyric/6267f46a504b4c0665fd7bfd.txt</v>
      </c>
      <c r="Q1286" s="4">
        <f ca="1">_xlfn.IFNA(VLOOKUP(INDIRECT("G"&amp;ROW()),minfo!$A:$M,COLUMN()-8,0),"")</f>
        <v>2850</v>
      </c>
      <c r="R1286" s="4" t="str">
        <f ca="1">_xlfn.IFNA(VLOOKUP(INDIRECT("G"&amp;ROW()),minfo!$A:$M,COLUMN()-8,0),"")</f>
        <v>轨迹</v>
      </c>
      <c r="S1286" s="4" t="str">
        <f ca="1">_xlfn.IFNA(VLOOKUP(INDIRECT("G"&amp;ROW()),minfo!$A:$M,COLUMN()-8,0),"")</f>
        <v>寻找周杰伦</v>
      </c>
      <c r="T1286" s="4">
        <f ca="1">_xlfn.IFNA(VLOOKUP(INDIRECT("G"&amp;ROW()),minfo!$A:$M,COLUMN()-8,0),"")</f>
        <v>416774055</v>
      </c>
      <c r="U1286" s="4">
        <f ca="1">_xlfn.IFNA(VLOOKUP(INDIRECT("G"&amp;ROW()),minfo!$A:$M,COLUMN()-8,0),"")</f>
        <v>0</v>
      </c>
    </row>
    <row r="1287" spans="1:21" ht="15.75" customHeight="1">
      <c r="A1287" s="15">
        <v>1286</v>
      </c>
      <c r="B1287" s="4" t="s">
        <v>4902</v>
      </c>
      <c r="C1287" s="4">
        <v>1287</v>
      </c>
      <c r="D1287" s="4">
        <v>129</v>
      </c>
      <c r="E1287" s="4" t="s">
        <v>1180</v>
      </c>
      <c r="F1287" s="16">
        <v>44881</v>
      </c>
      <c r="G1287" s="5" t="s">
        <v>1179</v>
      </c>
      <c r="H1287" s="5" t="s">
        <v>4770</v>
      </c>
      <c r="I1287" s="24" t="str">
        <f>HYPERLINK("https://www.bilibili.com/video/BV1ie4y1B7SZ?p=129", "BV1ie4y1B7SZ?p=129")</f>
        <v>BV1ie4y1B7SZ?p=129</v>
      </c>
      <c r="J1287" s="4" t="str">
        <f ca="1">_xlfn.IFNA(VLOOKUP(INDIRECT("G"&amp;ROW()),minfo!$A:$M,COLUMN()-8,0),"")</f>
        <v>真实</v>
      </c>
      <c r="K1287" s="4" t="str">
        <f ca="1">_xlfn.IFNA(VLOOKUP(INDIRECT("G"&amp;ROW()),minfo!$A:$M,COLUMN()-8,0),"")</f>
        <v>张惠妹</v>
      </c>
      <c r="L1287" s="4">
        <f ca="1">_xlfn.IFNA(VLOOKUP(INDIRECT("G"&amp;ROW()),minfo!$A:$M,COLUMN()-8,0),"")</f>
        <v>0</v>
      </c>
      <c r="M1287" s="4">
        <f ca="1">_xlfn.IFNA(VLOOKUP(INDIRECT("G"&amp;ROW()),minfo!$A:$M,COLUMN()-8,0),"")</f>
        <v>0</v>
      </c>
      <c r="N1287" s="4">
        <f ca="1">_xlfn.IFNA(VLOOKUP(INDIRECT("G"&amp;ROW()),minfo!$A:$M,COLUMN()-8,0),"")</f>
        <v>0</v>
      </c>
      <c r="O1287" s="4" t="str">
        <f ca="1">_xlfn.IFNA(VLOOKUP(INDIRECT("G"&amp;ROW()),minfo!$A:$M,COLUMN()-8,0),"")</f>
        <v>https://i0.hdslb.com/bfs/station_src/music_metadata/9f4eabc9a46c0571d7f7f67bb2ebab60.jpg</v>
      </c>
      <c r="P1287" s="4" t="str">
        <f ca="1">_xlfn.IFNA(VLOOKUP(INDIRECT("G"&amp;ROW()),minfo!$A:$M,COLUMN()-8,0),"")</f>
        <v>https://i0.hdslb.com/bfs/station_src/music_metadata/bfc8e2894c10a612c011fcc912b0f45d.txt</v>
      </c>
      <c r="Q1287" s="4">
        <f ca="1">_xlfn.IFNA(VLOOKUP(INDIRECT("G"&amp;ROW()),minfo!$A:$M,COLUMN()-8,0),"")</f>
        <v>17</v>
      </c>
      <c r="R1287" s="4">
        <f ca="1">_xlfn.IFNA(VLOOKUP(INDIRECT("G"&amp;ROW()),minfo!$A:$M,COLUMN()-8,0),"")</f>
        <v>0</v>
      </c>
      <c r="S1287" s="4" t="str">
        <f ca="1">_xlfn.IFNA(VLOOKUP(INDIRECT("G"&amp;ROW()),minfo!$A:$M,COLUMN()-8,0),"")</f>
        <v>真实</v>
      </c>
      <c r="T1287" s="4">
        <f ca="1">_xlfn.IFNA(VLOOKUP(INDIRECT("G"&amp;ROW()),minfo!$A:$M,COLUMN()-8,0),"")</f>
        <v>6260891</v>
      </c>
      <c r="U1287" s="4">
        <f ca="1">_xlfn.IFNA(VLOOKUP(INDIRECT("G"&amp;ROW()),minfo!$A:$M,COLUMN()-8,0),"")</f>
        <v>0</v>
      </c>
    </row>
    <row r="1288" spans="1:21" ht="15.75" customHeight="1">
      <c r="A1288" s="15">
        <v>1287</v>
      </c>
      <c r="B1288" s="4" t="s">
        <v>4903</v>
      </c>
      <c r="C1288" s="4">
        <v>1288</v>
      </c>
      <c r="D1288" s="4">
        <v>130</v>
      </c>
      <c r="E1288" s="4" t="s">
        <v>332</v>
      </c>
      <c r="F1288" s="16">
        <v>44881</v>
      </c>
      <c r="G1288" s="5" t="s">
        <v>331</v>
      </c>
      <c r="H1288" s="5" t="s">
        <v>4770</v>
      </c>
      <c r="I1288" s="24" t="str">
        <f>HYPERLINK("https://www.bilibili.com/video/BV1ie4y1B7SZ?p=130", "BV1ie4y1B7SZ?p=130")</f>
        <v>BV1ie4y1B7SZ?p=130</v>
      </c>
      <c r="J1288" s="4" t="str">
        <f ca="1">_xlfn.IFNA(VLOOKUP(INDIRECT("G"&amp;ROW()),minfo!$A:$M,COLUMN()-8,0),"")</f>
        <v>春天的芭蕾</v>
      </c>
      <c r="K1288" s="4" t="str">
        <f ca="1">_xlfn.IFNA(VLOOKUP(INDIRECT("G"&amp;ROW()),minfo!$A:$M,COLUMN()-8,0),"")</f>
        <v>常思思</v>
      </c>
      <c r="L1288" s="4">
        <f ca="1">_xlfn.IFNA(VLOOKUP(INDIRECT("G"&amp;ROW()),minfo!$A:$M,COLUMN()-8,0),"")</f>
        <v>0</v>
      </c>
      <c r="M1288" s="4">
        <f ca="1">_xlfn.IFNA(VLOOKUP(INDIRECT("G"&amp;ROW()),minfo!$A:$M,COLUMN()-8,0),"")</f>
        <v>0</v>
      </c>
      <c r="N1288" s="4">
        <f ca="1">_xlfn.IFNA(VLOOKUP(INDIRECT("G"&amp;ROW()),minfo!$A:$M,COLUMN()-8,0),"")</f>
        <v>0</v>
      </c>
      <c r="O1288" s="4" t="str">
        <f ca="1">_xlfn.IFNA(VLOOKUP(INDIRECT("G"&amp;ROW()),minfo!$A:$M,COLUMN()-8,0),"")</f>
        <v>http://i0.hdslb.com/bfs/station_src/music_metadata/7202bafed8b495edfdc98691518442b5.jpg</v>
      </c>
      <c r="P1288" s="4" t="str">
        <f ca="1">_xlfn.IFNA(VLOOKUP(INDIRECT("G"&amp;ROW()),minfo!$A:$M,COLUMN()-8,0),"")</f>
        <v>http://i0.hdslb.com/bfs/station_src/music_metadata/1faf7f1d5734fb67fc3aa5824aaf8ed2</v>
      </c>
      <c r="Q1288" s="4">
        <f ca="1">_xlfn.IFNA(VLOOKUP(INDIRECT("G"&amp;ROW()),minfo!$A:$M,COLUMN()-8,0),"")</f>
        <v>173</v>
      </c>
      <c r="R1288" s="4">
        <f ca="1">_xlfn.IFNA(VLOOKUP(INDIRECT("G"&amp;ROW()),minfo!$A:$M,COLUMN()-8,0),"")</f>
        <v>0</v>
      </c>
      <c r="S1288" s="4">
        <f ca="1">_xlfn.IFNA(VLOOKUP(INDIRECT("G"&amp;ROW()),minfo!$A:$M,COLUMN()-8,0),"")</f>
        <v>0</v>
      </c>
      <c r="T1288" s="4">
        <f ca="1">_xlfn.IFNA(VLOOKUP(INDIRECT("G"&amp;ROW()),minfo!$A:$M,COLUMN()-8,0),"")</f>
        <v>25997684</v>
      </c>
      <c r="U1288" s="4">
        <f ca="1">_xlfn.IFNA(VLOOKUP(INDIRECT("G"&amp;ROW()),minfo!$A:$M,COLUMN()-8,0),"")</f>
        <v>0</v>
      </c>
    </row>
    <row r="1289" spans="1:21" ht="15.75" customHeight="1">
      <c r="A1289" s="15">
        <v>1288</v>
      </c>
      <c r="B1289" s="4" t="s">
        <v>4904</v>
      </c>
      <c r="C1289" s="4">
        <v>1289</v>
      </c>
      <c r="D1289" s="4">
        <v>131</v>
      </c>
      <c r="E1289" s="4" t="s">
        <v>319</v>
      </c>
      <c r="F1289" s="16">
        <v>44883</v>
      </c>
      <c r="G1289" s="5" t="s">
        <v>318</v>
      </c>
      <c r="H1289" s="5" t="s">
        <v>4770</v>
      </c>
      <c r="I1289" s="24" t="str">
        <f>HYPERLINK("https://www.bilibili.com/video/BV1ie4y1B7SZ?p=131", "BV1ie4y1B7SZ?p=131")</f>
        <v>BV1ie4y1B7SZ?p=131</v>
      </c>
      <c r="J1289" s="4" t="str">
        <f ca="1">_xlfn.IFNA(VLOOKUP(INDIRECT("G"&amp;ROW()),minfo!$A:$M,COLUMN()-8,0),"")</f>
        <v>晴天</v>
      </c>
      <c r="K1289" s="4" t="str">
        <f ca="1">_xlfn.IFNA(VLOOKUP(INDIRECT("G"&amp;ROW()),minfo!$A:$M,COLUMN()-8,0),"")</f>
        <v>周杰伦</v>
      </c>
      <c r="L1289" s="4">
        <f ca="1">_xlfn.IFNA(VLOOKUP(INDIRECT("G"&amp;ROW()),minfo!$A:$M,COLUMN()-8,0),"")</f>
        <v>0</v>
      </c>
      <c r="M1289" s="4">
        <f ca="1">_xlfn.IFNA(VLOOKUP(INDIRECT("G"&amp;ROW()),minfo!$A:$M,COLUMN()-8,0),"")</f>
        <v>5048</v>
      </c>
      <c r="N1289" s="4">
        <f ca="1">_xlfn.IFNA(VLOOKUP(INDIRECT("G"&amp;ROW()),minfo!$A:$M,COLUMN()-8,0),"")</f>
        <v>135</v>
      </c>
      <c r="O1289" s="4" t="str">
        <f ca="1">_xlfn.IFNA(VLOOKUP(INDIRECT("G"&amp;ROW()),minfo!$A:$M,COLUMN()-8,0),"")</f>
        <v>https://i0.hdslb.com/bfs/station_src/music_metadata/2efa8f0df2aff949dee33b3f46a56312.jpg</v>
      </c>
      <c r="P1289" s="4">
        <f ca="1">_xlfn.IFNA(VLOOKUP(INDIRECT("G"&amp;ROW()),minfo!$A:$M,COLUMN()-8,0),"")</f>
        <v>0</v>
      </c>
      <c r="Q1289" s="4">
        <f ca="1">_xlfn.IFNA(VLOOKUP(INDIRECT("G"&amp;ROW()),minfo!$A:$M,COLUMN()-8,0),"")</f>
        <v>15983</v>
      </c>
      <c r="R1289" s="4">
        <f ca="1">_xlfn.IFNA(VLOOKUP(INDIRECT("G"&amp;ROW()),minfo!$A:$M,COLUMN()-8,0),"")</f>
        <v>0</v>
      </c>
      <c r="S1289" s="4" t="str">
        <f ca="1">_xlfn.IFNA(VLOOKUP(INDIRECT("G"&amp;ROW()),minfo!$A:$M,COLUMN()-8,0),"")</f>
        <v>叶惠美</v>
      </c>
      <c r="T1289" s="4">
        <f ca="1">_xlfn.IFNA(VLOOKUP(INDIRECT("G"&amp;ROW()),minfo!$A:$M,COLUMN()-8,0),"")</f>
        <v>1497162616</v>
      </c>
      <c r="U1289" s="4" t="str">
        <f ca="1">_xlfn.IFNA(VLOOKUP(INDIRECT("G"&amp;ROW()),minfo!$A:$M,COLUMN()-8,0),"")</f>
        <v>音乐榜最高NO.8</v>
      </c>
    </row>
    <row r="1290" spans="1:21" ht="15.75" customHeight="1">
      <c r="A1290" s="15">
        <v>1289</v>
      </c>
      <c r="B1290" s="4" t="s">
        <v>4905</v>
      </c>
      <c r="C1290" s="4">
        <v>1290</v>
      </c>
      <c r="D1290" s="4">
        <v>132</v>
      </c>
      <c r="E1290" s="4" t="s">
        <v>894</v>
      </c>
      <c r="F1290" s="16">
        <v>44883</v>
      </c>
      <c r="G1290" s="5" t="s">
        <v>893</v>
      </c>
      <c r="H1290" s="5" t="s">
        <v>4770</v>
      </c>
      <c r="I1290" s="24" t="str">
        <f>HYPERLINK("https://www.bilibili.com/video/BV1ie4y1B7SZ?p=132", "BV1ie4y1B7SZ?p=132")</f>
        <v>BV1ie4y1B7SZ?p=132</v>
      </c>
      <c r="J1290" s="4" t="str">
        <f ca="1">_xlfn.IFNA(VLOOKUP(INDIRECT("G"&amp;ROW()),minfo!$A:$M,COLUMN()-8,0),"")</f>
        <v>星河叹</v>
      </c>
      <c r="K1290" s="4" t="str">
        <f ca="1">_xlfn.IFNA(VLOOKUP(INDIRECT("G"&amp;ROW()),minfo!$A:$M,COLUMN()-8,0),"")</f>
        <v>黄龄</v>
      </c>
      <c r="L1290" s="4">
        <f ca="1">_xlfn.IFNA(VLOOKUP(INDIRECT("G"&amp;ROW()),minfo!$A:$M,COLUMN()-8,0),"")</f>
        <v>0</v>
      </c>
      <c r="M1290" s="4">
        <f ca="1">_xlfn.IFNA(VLOOKUP(INDIRECT("G"&amp;ROW()),minfo!$A:$M,COLUMN()-8,0),"")</f>
        <v>0</v>
      </c>
      <c r="N1290" s="4">
        <f ca="1">_xlfn.IFNA(VLOOKUP(INDIRECT("G"&amp;ROW()),minfo!$A:$M,COLUMN()-8,0),"")</f>
        <v>0</v>
      </c>
      <c r="O1290" s="4" t="str">
        <f ca="1">_xlfn.IFNA(VLOOKUP(INDIRECT("G"&amp;ROW()),minfo!$A:$M,COLUMN()-8,0),"")</f>
        <v>https://i0.hdslb.com/bfs/station_src/music_metadata/f3e960ffbb9dd3ffa3c10d67471b7cde.jpg</v>
      </c>
      <c r="P1290" s="4" t="str">
        <f ca="1">_xlfn.IFNA(VLOOKUP(INDIRECT("G"&amp;ROW()),minfo!$A:$M,COLUMN()-8,0),"")</f>
        <v>http://i0.hdslb.com/bfs/station_src/music_metadata/6360e90a7e0e9e0a5a8afded3b15d213</v>
      </c>
      <c r="Q1290" s="4">
        <f ca="1">_xlfn.IFNA(VLOOKUP(INDIRECT("G"&amp;ROW()),minfo!$A:$M,COLUMN()-8,0),"")</f>
        <v>3174</v>
      </c>
      <c r="R1290" s="4" t="str">
        <f ca="1">_xlfn.IFNA(VLOOKUP(INDIRECT("G"&amp;ROW()),minfo!$A:$M,COLUMN()-8,0),"")</f>
        <v>《星汉灿烂》电视剧女主人物曲</v>
      </c>
      <c r="S1290" s="4" t="str">
        <f ca="1">_xlfn.IFNA(VLOOKUP(INDIRECT("G"&amp;ROW()),minfo!$A:$M,COLUMN()-8,0),"")</f>
        <v>星河叹</v>
      </c>
      <c r="T1290" s="4">
        <f ca="1">_xlfn.IFNA(VLOOKUP(INDIRECT("G"&amp;ROW()),minfo!$A:$M,COLUMN()-8,0),"")</f>
        <v>152096732</v>
      </c>
      <c r="U1290" s="4">
        <f ca="1">_xlfn.IFNA(VLOOKUP(INDIRECT("G"&amp;ROW()),minfo!$A:$M,COLUMN()-8,0),"")</f>
        <v>0</v>
      </c>
    </row>
    <row r="1291" spans="1:21" ht="15.75" customHeight="1">
      <c r="A1291" s="15">
        <v>1290</v>
      </c>
      <c r="B1291" s="4" t="s">
        <v>4906</v>
      </c>
      <c r="C1291" s="4">
        <v>1291</v>
      </c>
      <c r="D1291" s="4">
        <v>133</v>
      </c>
      <c r="E1291" s="4" t="s">
        <v>1801</v>
      </c>
      <c r="F1291" s="16">
        <v>44883</v>
      </c>
      <c r="G1291" s="5" t="s">
        <v>1800</v>
      </c>
      <c r="H1291" s="5" t="s">
        <v>4770</v>
      </c>
      <c r="I1291" s="24" t="str">
        <f>HYPERLINK("https://www.bilibili.com/video/BV1ie4y1B7SZ?p=133", "BV1ie4y1B7SZ?p=133")</f>
        <v>BV1ie4y1B7SZ?p=133</v>
      </c>
      <c r="J1291" s="4" t="str">
        <f ca="1">_xlfn.IFNA(VLOOKUP(INDIRECT("G"&amp;ROW()),minfo!$A:$M,COLUMN()-8,0),"")</f>
        <v>氧气</v>
      </c>
      <c r="K1291" s="4" t="str">
        <f ca="1">_xlfn.IFNA(VLOOKUP(INDIRECT("G"&amp;ROW()),minfo!$A:$M,COLUMN()-8,0),"")</f>
        <v>范晓萱</v>
      </c>
      <c r="L1291" s="4">
        <f ca="1">_xlfn.IFNA(VLOOKUP(INDIRECT("G"&amp;ROW()),minfo!$A:$M,COLUMN()-8,0),"")</f>
        <v>0</v>
      </c>
      <c r="M1291" s="4">
        <f ca="1">_xlfn.IFNA(VLOOKUP(INDIRECT("G"&amp;ROW()),minfo!$A:$M,COLUMN()-8,0),"")</f>
        <v>0</v>
      </c>
      <c r="N1291" s="4">
        <f ca="1">_xlfn.IFNA(VLOOKUP(INDIRECT("G"&amp;ROW()),minfo!$A:$M,COLUMN()-8,0),"")</f>
        <v>0</v>
      </c>
      <c r="O1291" s="4" t="str">
        <f ca="1">_xlfn.IFNA(VLOOKUP(INDIRECT("G"&amp;ROW()),minfo!$A:$M,COLUMN()-8,0),"")</f>
        <v>http://i0.hdslb.com/bfs/station_src/music_metadata/b7728e6e8bfaf97ad8f0c27f9dbb8003.jpg</v>
      </c>
      <c r="P1291" s="4" t="str">
        <f ca="1">_xlfn.IFNA(VLOOKUP(INDIRECT("G"&amp;ROW()),minfo!$A:$M,COLUMN()-8,0),"")</f>
        <v>http://i0.hdslb.com/bfs/station_src/music_metadata/a48adbd10e6b248bcd4f7f2a5b7c6594</v>
      </c>
      <c r="Q1291" s="4">
        <f ca="1">_xlfn.IFNA(VLOOKUP(INDIRECT("G"&amp;ROW()),minfo!$A:$M,COLUMN()-8,0),"")</f>
        <v>6</v>
      </c>
      <c r="R1291" s="4">
        <f ca="1">_xlfn.IFNA(VLOOKUP(INDIRECT("G"&amp;ROW()),minfo!$A:$M,COLUMN()-8,0),"")</f>
        <v>0</v>
      </c>
      <c r="S1291" s="4">
        <f ca="1">_xlfn.IFNA(VLOOKUP(INDIRECT("G"&amp;ROW()),minfo!$A:$M,COLUMN()-8,0),"")</f>
        <v>0</v>
      </c>
      <c r="T1291" s="4">
        <f ca="1">_xlfn.IFNA(VLOOKUP(INDIRECT("G"&amp;ROW()),minfo!$A:$M,COLUMN()-8,0),"")</f>
        <v>4571226</v>
      </c>
      <c r="U1291" s="4">
        <f ca="1">_xlfn.IFNA(VLOOKUP(INDIRECT("G"&amp;ROW()),minfo!$A:$M,COLUMN()-8,0),"")</f>
        <v>0</v>
      </c>
    </row>
    <row r="1292" spans="1:21" ht="15.75" customHeight="1">
      <c r="A1292" s="15">
        <v>1291</v>
      </c>
      <c r="B1292" s="4" t="s">
        <v>4907</v>
      </c>
      <c r="C1292" s="4">
        <v>1292</v>
      </c>
      <c r="D1292" s="4">
        <v>134</v>
      </c>
      <c r="E1292" s="4" t="s">
        <v>2056</v>
      </c>
      <c r="F1292" s="16">
        <v>44883</v>
      </c>
      <c r="G1292" s="5" t="s">
        <v>2055</v>
      </c>
      <c r="H1292" s="5" t="s">
        <v>4770</v>
      </c>
      <c r="I1292" s="24" t="str">
        <f>HYPERLINK("https://www.bilibili.com/video/BV1ie4y1B7SZ?p=134", "BV1ie4y1B7SZ?p=134")</f>
        <v>BV1ie4y1B7SZ?p=134</v>
      </c>
      <c r="J1292" s="4" t="str">
        <f ca="1">_xlfn.IFNA(VLOOKUP(INDIRECT("G"&amp;ROW()),minfo!$A:$M,COLUMN()-8,0),"")</f>
        <v>泼墨漓江</v>
      </c>
      <c r="K1292" s="4" t="str">
        <f ca="1">_xlfn.IFNA(VLOOKUP(INDIRECT("G"&amp;ROW()),minfo!$A:$M,COLUMN()-8,0),"")</f>
        <v>泠鸢yousa</v>
      </c>
      <c r="L1292" s="4">
        <f ca="1">_xlfn.IFNA(VLOOKUP(INDIRECT("G"&amp;ROW()),minfo!$A:$M,COLUMN()-8,0),"")</f>
        <v>0</v>
      </c>
      <c r="M1292" s="4">
        <f ca="1">_xlfn.IFNA(VLOOKUP(INDIRECT("G"&amp;ROW()),minfo!$A:$M,COLUMN()-8,0),"")</f>
        <v>0</v>
      </c>
      <c r="N1292" s="4">
        <f ca="1">_xlfn.IFNA(VLOOKUP(INDIRECT("G"&amp;ROW()),minfo!$A:$M,COLUMN()-8,0),"")</f>
        <v>0</v>
      </c>
      <c r="O1292" s="4" t="str">
        <f ca="1">_xlfn.IFNA(VLOOKUP(INDIRECT("G"&amp;ROW()),minfo!$A:$M,COLUMN()-8,0),"")</f>
        <v>https://i0.hdslb.com/bfs/station_src/music_metadata/d66f5d91942551f93ea268afb3f1707d.jpg</v>
      </c>
      <c r="P1292" s="4" t="str">
        <f ca="1">_xlfn.IFNA(VLOOKUP(INDIRECT("G"&amp;ROW()),minfo!$A:$M,COLUMN()-8,0),"")</f>
        <v>https://i0.hdslb.com/bfs/station_src/music_metadata/fe2794c42c8d1fad9b590390dca312e5.txt</v>
      </c>
      <c r="Q1292" s="4">
        <f ca="1">_xlfn.IFNA(VLOOKUP(INDIRECT("G"&amp;ROW()),minfo!$A:$M,COLUMN()-8,0),"")</f>
        <v>24</v>
      </c>
      <c r="R1292" s="4">
        <f ca="1">_xlfn.IFNA(VLOOKUP(INDIRECT("G"&amp;ROW()),minfo!$A:$M,COLUMN()-8,0),"")</f>
        <v>0</v>
      </c>
      <c r="S1292" s="4" t="str">
        <f ca="1">_xlfn.IFNA(VLOOKUP(INDIRECT("G"&amp;ROW()),minfo!$A:$M,COLUMN()-8,0),"")</f>
        <v>创世之音 bilibili虚拟主播演唱会节目音频</v>
      </c>
      <c r="T1292" s="4">
        <f ca="1">_xlfn.IFNA(VLOOKUP(INDIRECT("G"&amp;ROW()),minfo!$A:$M,COLUMN()-8,0),"")</f>
        <v>6915969</v>
      </c>
      <c r="U1292" s="4">
        <f ca="1">_xlfn.IFNA(VLOOKUP(INDIRECT("G"&amp;ROW()),minfo!$A:$M,COLUMN()-8,0),"")</f>
        <v>0</v>
      </c>
    </row>
    <row r="1293" spans="1:21" ht="15.75" customHeight="1">
      <c r="A1293" s="15">
        <v>1292</v>
      </c>
      <c r="B1293" s="4" t="s">
        <v>4908</v>
      </c>
      <c r="C1293" s="4">
        <v>1293</v>
      </c>
      <c r="D1293" s="4">
        <v>135</v>
      </c>
      <c r="E1293" s="4" t="s">
        <v>75</v>
      </c>
      <c r="F1293" s="16">
        <v>44883</v>
      </c>
      <c r="G1293" s="5" t="s">
        <v>1056</v>
      </c>
      <c r="H1293" s="5" t="s">
        <v>4770</v>
      </c>
      <c r="I1293" s="24" t="str">
        <f>HYPERLINK("https://www.bilibili.com/video/BV1ie4y1B7SZ?p=135", "BV1ie4y1B7SZ?p=135")</f>
        <v>BV1ie4y1B7SZ?p=135</v>
      </c>
      <c r="J1293" s="4" t="str">
        <f ca="1">_xlfn.IFNA(VLOOKUP(INDIRECT("G"&amp;ROW()),minfo!$A:$M,COLUMN()-8,0),"")</f>
        <v>布虎记</v>
      </c>
      <c r="K1293" s="4" t="str">
        <f ca="1">_xlfn.IFNA(VLOOKUP(INDIRECT("G"&amp;ROW()),minfo!$A:$M,COLUMN()-8,0),"")</f>
        <v>洛天依,西门振</v>
      </c>
      <c r="L1293" s="4">
        <f ca="1">_xlfn.IFNA(VLOOKUP(INDIRECT("G"&amp;ROW()),minfo!$A:$M,COLUMN()-8,0),"")</f>
        <v>0</v>
      </c>
      <c r="M1293" s="4">
        <f ca="1">_xlfn.IFNA(VLOOKUP(INDIRECT("G"&amp;ROW()),minfo!$A:$M,COLUMN()-8,0),"")</f>
        <v>0</v>
      </c>
      <c r="N1293" s="4">
        <f ca="1">_xlfn.IFNA(VLOOKUP(INDIRECT("G"&amp;ROW()),minfo!$A:$M,COLUMN()-8,0),"")</f>
        <v>0</v>
      </c>
      <c r="O1293" s="4" t="str">
        <f ca="1">_xlfn.IFNA(VLOOKUP(INDIRECT("G"&amp;ROW()),minfo!$A:$M,COLUMN()-8,0),"")</f>
        <v>https://i0.hdslb.com/bfs/station_src/music_metadata/346f3d0245c598c7be9afcb1e6a727b4.jpg</v>
      </c>
      <c r="P1293" s="4">
        <f ca="1">_xlfn.IFNA(VLOOKUP(INDIRECT("G"&amp;ROW()),minfo!$A:$M,COLUMN()-8,0),"")</f>
        <v>0</v>
      </c>
      <c r="Q1293" s="4">
        <f ca="1">_xlfn.IFNA(VLOOKUP(INDIRECT("G"&amp;ROW()),minfo!$A:$M,COLUMN()-8,0),"")</f>
        <v>0</v>
      </c>
      <c r="R1293" s="4">
        <f ca="1">_xlfn.IFNA(VLOOKUP(INDIRECT("G"&amp;ROW()),minfo!$A:$M,COLUMN()-8,0),"")</f>
        <v>0</v>
      </c>
      <c r="S1293" s="4" t="str">
        <f ca="1">_xlfn.IFNA(VLOOKUP(INDIRECT("G"&amp;ROW()),minfo!$A:$M,COLUMN()-8,0),"")</f>
        <v>【2022虚拟歌手贺岁纪】布虎记</v>
      </c>
      <c r="T1293" s="4">
        <f ca="1">_xlfn.IFNA(VLOOKUP(INDIRECT("G"&amp;ROW()),minfo!$A:$M,COLUMN()-8,0),"")</f>
        <v>1512793</v>
      </c>
      <c r="U1293" s="4">
        <f ca="1">_xlfn.IFNA(VLOOKUP(INDIRECT("G"&amp;ROW()),minfo!$A:$M,COLUMN()-8,0),"")</f>
        <v>0</v>
      </c>
    </row>
    <row r="1294" spans="1:21" ht="15.75" customHeight="1">
      <c r="A1294" s="15">
        <v>1293</v>
      </c>
      <c r="B1294" s="4" t="s">
        <v>4909</v>
      </c>
      <c r="C1294" s="4">
        <v>1294</v>
      </c>
      <c r="D1294" s="4">
        <v>136</v>
      </c>
      <c r="E1294" s="4" t="s">
        <v>586</v>
      </c>
      <c r="F1294" s="16">
        <v>44883</v>
      </c>
      <c r="G1294" s="5" t="s">
        <v>585</v>
      </c>
      <c r="H1294" s="5" t="s">
        <v>4770</v>
      </c>
      <c r="I1294" s="24" t="str">
        <f>HYPERLINK("https://www.bilibili.com/video/BV1ie4y1B7SZ?p=136", "BV1ie4y1B7SZ?p=136")</f>
        <v>BV1ie4y1B7SZ?p=136</v>
      </c>
      <c r="J1294" s="4" t="str">
        <f ca="1">_xlfn.IFNA(VLOOKUP(INDIRECT("G"&amp;ROW()),minfo!$A:$M,COLUMN()-8,0),"")</f>
        <v>没有意外</v>
      </c>
      <c r="K1294" s="4" t="str">
        <f ca="1">_xlfn.IFNA(VLOOKUP(INDIRECT("G"&amp;ROW()),minfo!$A:$M,COLUMN()-8,0),"")</f>
        <v>蔡徐坤</v>
      </c>
      <c r="L1294" s="4">
        <f ca="1">_xlfn.IFNA(VLOOKUP(INDIRECT("G"&amp;ROW()),minfo!$A:$M,COLUMN()-8,0),"")</f>
        <v>0</v>
      </c>
      <c r="M1294" s="4">
        <f ca="1">_xlfn.IFNA(VLOOKUP(INDIRECT("G"&amp;ROW()),minfo!$A:$M,COLUMN()-8,0),"")</f>
        <v>0</v>
      </c>
      <c r="N1294" s="4">
        <f ca="1">_xlfn.IFNA(VLOOKUP(INDIRECT("G"&amp;ROW()),minfo!$A:$M,COLUMN()-8,0),"")</f>
        <v>0</v>
      </c>
      <c r="O1294" s="4" t="str">
        <f ca="1">_xlfn.IFNA(VLOOKUP(INDIRECT("G"&amp;ROW()),minfo!$A:$M,COLUMN()-8,0),"")</f>
        <v>http://i0.hdslb.com/bfs/station_src/music_metadata/f37afb45f33a17cecec99b227ddb4e26.jpg</v>
      </c>
      <c r="P1294" s="4" t="str">
        <f ca="1">_xlfn.IFNA(VLOOKUP(INDIRECT("G"&amp;ROW()),minfo!$A:$M,COLUMN()-8,0),"")</f>
        <v>http://i0.hdslb.com/bfs/station_src/music_metadata/3d75587acbe57120ade22b9852225059</v>
      </c>
      <c r="Q1294" s="4">
        <f ca="1">_xlfn.IFNA(VLOOKUP(INDIRECT("G"&amp;ROW()),minfo!$A:$M,COLUMN()-8,0),"")</f>
        <v>64</v>
      </c>
      <c r="R1294" s="4">
        <f ca="1">_xlfn.IFNA(VLOOKUP(INDIRECT("G"&amp;ROW()),minfo!$A:$M,COLUMN()-8,0),"")</f>
        <v>0</v>
      </c>
      <c r="S1294" s="4">
        <f ca="1">_xlfn.IFNA(VLOOKUP(INDIRECT("G"&amp;ROW()),minfo!$A:$M,COLUMN()-8,0),"")</f>
        <v>0</v>
      </c>
      <c r="T1294" s="4">
        <f ca="1">_xlfn.IFNA(VLOOKUP(INDIRECT("G"&amp;ROW()),minfo!$A:$M,COLUMN()-8,0),"")</f>
        <v>16563722</v>
      </c>
      <c r="U1294" s="4">
        <f ca="1">_xlfn.IFNA(VLOOKUP(INDIRECT("G"&amp;ROW()),minfo!$A:$M,COLUMN()-8,0),"")</f>
        <v>0</v>
      </c>
    </row>
    <row r="1295" spans="1:21" ht="15.75" customHeight="1">
      <c r="A1295" s="15">
        <v>1294</v>
      </c>
      <c r="B1295" s="4" t="s">
        <v>4910</v>
      </c>
      <c r="C1295" s="4">
        <v>1295</v>
      </c>
      <c r="D1295" s="4">
        <v>137</v>
      </c>
      <c r="E1295" s="4" t="s">
        <v>2174</v>
      </c>
      <c r="F1295" s="16">
        <v>44883</v>
      </c>
      <c r="G1295" s="5" t="s">
        <v>2173</v>
      </c>
      <c r="H1295" s="5" t="s">
        <v>4770</v>
      </c>
      <c r="I1295" s="24" t="str">
        <f>HYPERLINK("https://www.bilibili.com/video/BV1ie4y1B7SZ?p=137", "BV1ie4y1B7SZ?p=137")</f>
        <v>BV1ie4y1B7SZ?p=137</v>
      </c>
      <c r="J1295" s="4" t="str">
        <f ca="1">_xlfn.IFNA(VLOOKUP(INDIRECT("G"&amp;ROW()),minfo!$A:$M,COLUMN()-8,0),"")</f>
        <v>下一秒</v>
      </c>
      <c r="K1295" s="4" t="str">
        <f ca="1">_xlfn.IFNA(VLOOKUP(INDIRECT("G"&amp;ROW()),minfo!$A:$M,COLUMN()-8,0),"")</f>
        <v>张碧晨</v>
      </c>
      <c r="L1295" s="4">
        <f ca="1">_xlfn.IFNA(VLOOKUP(INDIRECT("G"&amp;ROW()),minfo!$A:$M,COLUMN()-8,0),"")</f>
        <v>0</v>
      </c>
      <c r="M1295" s="4">
        <f ca="1">_xlfn.IFNA(VLOOKUP(INDIRECT("G"&amp;ROW()),minfo!$A:$M,COLUMN()-8,0),"")</f>
        <v>0</v>
      </c>
      <c r="N1295" s="4">
        <f ca="1">_xlfn.IFNA(VLOOKUP(INDIRECT("G"&amp;ROW()),minfo!$A:$M,COLUMN()-8,0),"")</f>
        <v>0</v>
      </c>
      <c r="O1295" s="4" t="str">
        <f ca="1">_xlfn.IFNA(VLOOKUP(INDIRECT("G"&amp;ROW()),minfo!$A:$M,COLUMN()-8,0),"")</f>
        <v>https://i0.hdslb.com/bfs/station_src/music_metadata/6872f1b54953c3f8995ca1016c37bc7e.jpg</v>
      </c>
      <c r="P1295" s="4" t="str">
        <f ca="1">_xlfn.IFNA(VLOOKUP(INDIRECT("G"&amp;ROW()),minfo!$A:$M,COLUMN()-8,0),"")</f>
        <v>https://i0.hdslb.com/bfs/station_src/music_metadata/1e9379d2c2519b801336eeb5ea49452d.txt</v>
      </c>
      <c r="Q1295" s="4">
        <f ca="1">_xlfn.IFNA(VLOOKUP(INDIRECT("G"&amp;ROW()),minfo!$A:$M,COLUMN()-8,0),"")</f>
        <v>448</v>
      </c>
      <c r="R1295" s="4" t="str">
        <f ca="1">_xlfn.IFNA(VLOOKUP(INDIRECT("G"&amp;ROW()),minfo!$A:$M,COLUMN()-8,0),"")</f>
        <v>《微微一笑很倾城》电视剧插曲</v>
      </c>
      <c r="S1295" s="4" t="str">
        <f ca="1">_xlfn.IFNA(VLOOKUP(INDIRECT("G"&amp;ROW()),minfo!$A:$M,COLUMN()-8,0),"")</f>
        <v>微微一笑很倾城 电视剧原声带</v>
      </c>
      <c r="T1295" s="4">
        <f ca="1">_xlfn.IFNA(VLOOKUP(INDIRECT("G"&amp;ROW()),minfo!$A:$M,COLUMN()-8,0),"")</f>
        <v>175752637</v>
      </c>
      <c r="U1295" s="4">
        <f ca="1">_xlfn.IFNA(VLOOKUP(INDIRECT("G"&amp;ROW()),minfo!$A:$M,COLUMN()-8,0),"")</f>
        <v>0</v>
      </c>
    </row>
    <row r="1296" spans="1:21" ht="15.75" customHeight="1">
      <c r="A1296" s="15">
        <v>1295</v>
      </c>
      <c r="B1296" s="4" t="s">
        <v>4911</v>
      </c>
      <c r="C1296" s="4">
        <v>1296</v>
      </c>
      <c r="D1296" s="4">
        <v>138</v>
      </c>
      <c r="E1296" s="4" t="s">
        <v>2001</v>
      </c>
      <c r="F1296" s="16">
        <v>44883</v>
      </c>
      <c r="G1296" s="5" t="s">
        <v>2000</v>
      </c>
      <c r="H1296" s="5" t="s">
        <v>4770</v>
      </c>
      <c r="I1296" s="24" t="str">
        <f>HYPERLINK("https://www.bilibili.com/video/BV1ie4y1B7SZ?p=138", "BV1ie4y1B7SZ?p=138")</f>
        <v>BV1ie4y1B7SZ?p=138</v>
      </c>
      <c r="J1296" s="4" t="str">
        <f ca="1">_xlfn.IFNA(VLOOKUP(INDIRECT("G"&amp;ROW()),minfo!$A:$M,COLUMN()-8,0),"")</f>
        <v>海水正蓝</v>
      </c>
      <c r="K1296" s="4" t="str">
        <f ca="1">_xlfn.IFNA(VLOOKUP(INDIRECT("G"&amp;ROW()),minfo!$A:$M,COLUMN()-8,0),"")</f>
        <v>郭美美</v>
      </c>
      <c r="L1296" s="4">
        <f ca="1">_xlfn.IFNA(VLOOKUP(INDIRECT("G"&amp;ROW()),minfo!$A:$M,COLUMN()-8,0),"")</f>
        <v>0</v>
      </c>
      <c r="M1296" s="4">
        <f ca="1">_xlfn.IFNA(VLOOKUP(INDIRECT("G"&amp;ROW()),minfo!$A:$M,COLUMN()-8,0),"")</f>
        <v>0</v>
      </c>
      <c r="N1296" s="4">
        <f ca="1">_xlfn.IFNA(VLOOKUP(INDIRECT("G"&amp;ROW()),minfo!$A:$M,COLUMN()-8,0),"")</f>
        <v>0</v>
      </c>
      <c r="O1296" s="4" t="str">
        <f ca="1">_xlfn.IFNA(VLOOKUP(INDIRECT("G"&amp;ROW()),minfo!$A:$M,COLUMN()-8,0),"")</f>
        <v>https://i0.hdslb.com/bfs/station_src/music_metadata/b606f8807d03af892eff1ad8e08c8d32.jpg</v>
      </c>
      <c r="P1296" s="4" t="str">
        <f ca="1">_xlfn.IFNA(VLOOKUP(INDIRECT("G"&amp;ROW()),minfo!$A:$M,COLUMN()-8,0),"")</f>
        <v>https://i0.hdslb.com/bfs/station_src/music_metadata/7caade17bfdf90599d3260060ce49c6d.txt</v>
      </c>
      <c r="Q1296" s="4">
        <f ca="1">_xlfn.IFNA(VLOOKUP(INDIRECT("G"&amp;ROW()),minfo!$A:$M,COLUMN()-8,0),"")</f>
        <v>1</v>
      </c>
      <c r="R1296" s="4" t="str">
        <f ca="1">_xlfn.IFNA(VLOOKUP(INDIRECT("G"&amp;ROW()),minfo!$A:$M,COLUMN()-8,0),"")</f>
        <v>电视剧《丝丝心动》主题曲</v>
      </c>
      <c r="S1296" s="4" t="str">
        <f ca="1">_xlfn.IFNA(VLOOKUP(INDIRECT("G"&amp;ROW()),minfo!$A:$M,COLUMN()-8,0),"")</f>
        <v>我是郭美美</v>
      </c>
      <c r="T1296" s="4">
        <f ca="1">_xlfn.IFNA(VLOOKUP(INDIRECT("G"&amp;ROW()),minfo!$A:$M,COLUMN()-8,0),"")</f>
        <v>709617</v>
      </c>
      <c r="U1296" s="4">
        <f ca="1">_xlfn.IFNA(VLOOKUP(INDIRECT("G"&amp;ROW()),minfo!$A:$M,COLUMN()-8,0),"")</f>
        <v>0</v>
      </c>
    </row>
    <row r="1297" spans="1:21" ht="15.75" customHeight="1">
      <c r="A1297" s="15">
        <v>1296</v>
      </c>
      <c r="B1297" s="4" t="s">
        <v>4912</v>
      </c>
      <c r="C1297" s="4">
        <v>1297</v>
      </c>
      <c r="D1297" s="4">
        <v>139</v>
      </c>
      <c r="E1297" s="4" t="s">
        <v>1940</v>
      </c>
      <c r="F1297" s="16">
        <v>44883</v>
      </c>
      <c r="G1297" s="5" t="s">
        <v>1939</v>
      </c>
      <c r="H1297" s="5" t="s">
        <v>4770</v>
      </c>
      <c r="I1297" s="24" t="str">
        <f>HYPERLINK("https://www.bilibili.com/video/BV1ie4y1B7SZ?p=139", "BV1ie4y1B7SZ?p=139")</f>
        <v>BV1ie4y1B7SZ?p=139</v>
      </c>
      <c r="J1297" s="4" t="str">
        <f ca="1">_xlfn.IFNA(VLOOKUP(INDIRECT("G"&amp;ROW()),minfo!$A:$M,COLUMN()-8,0),"")</f>
        <v>关雎</v>
      </c>
      <c r="K1297" s="4" t="str">
        <f ca="1">_xlfn.IFNA(VLOOKUP(INDIRECT("G"&amp;ROW()),minfo!$A:$M,COLUMN()-8,0),"")</f>
        <v>宋祖英</v>
      </c>
      <c r="L1297" s="4">
        <f ca="1">_xlfn.IFNA(VLOOKUP(INDIRECT("G"&amp;ROW()),minfo!$A:$M,COLUMN()-8,0),"")</f>
        <v>0</v>
      </c>
      <c r="M1297" s="4">
        <f ca="1">_xlfn.IFNA(VLOOKUP(INDIRECT("G"&amp;ROW()),minfo!$A:$M,COLUMN()-8,0),"")</f>
        <v>0</v>
      </c>
      <c r="N1297" s="4">
        <f ca="1">_xlfn.IFNA(VLOOKUP(INDIRECT("G"&amp;ROW()),minfo!$A:$M,COLUMN()-8,0),"")</f>
        <v>0</v>
      </c>
      <c r="O1297" s="4" t="str">
        <f ca="1">_xlfn.IFNA(VLOOKUP(INDIRECT("G"&amp;ROW()),minfo!$A:$M,COLUMN()-8,0),"")</f>
        <v>https://i0.hdslb.com/bfs/station_src/music_metadata/83973eaf0bc2ec5b5f2c051fe2dea188.jpg</v>
      </c>
      <c r="P1297" s="4">
        <f ca="1">_xlfn.IFNA(VLOOKUP(INDIRECT("G"&amp;ROW()),minfo!$A:$M,COLUMN()-8,0),"")</f>
        <v>0</v>
      </c>
      <c r="Q1297" s="4">
        <f ca="1">_xlfn.IFNA(VLOOKUP(INDIRECT("G"&amp;ROW()),minfo!$A:$M,COLUMN()-8,0),"")</f>
        <v>4</v>
      </c>
      <c r="R1297" s="4">
        <f ca="1">_xlfn.IFNA(VLOOKUP(INDIRECT("G"&amp;ROW()),minfo!$A:$M,COLUMN()-8,0),"")</f>
        <v>0</v>
      </c>
      <c r="S1297" s="4" t="str">
        <f ca="1">_xlfn.IFNA(VLOOKUP(INDIRECT("G"&amp;ROW()),minfo!$A:$M,COLUMN()-8,0),"")</f>
        <v>Epics of Love</v>
      </c>
      <c r="T1297" s="4">
        <f ca="1">_xlfn.IFNA(VLOOKUP(INDIRECT("G"&amp;ROW()),minfo!$A:$M,COLUMN()-8,0),"")</f>
        <v>786764</v>
      </c>
      <c r="U1297" s="4">
        <f ca="1">_xlfn.IFNA(VLOOKUP(INDIRECT("G"&amp;ROW()),minfo!$A:$M,COLUMN()-8,0),"")</f>
        <v>0</v>
      </c>
    </row>
    <row r="1298" spans="1:21" ht="15.75" customHeight="1">
      <c r="A1298" s="15">
        <v>1297</v>
      </c>
      <c r="B1298" s="4" t="s">
        <v>4913</v>
      </c>
      <c r="C1298" s="4">
        <v>1298</v>
      </c>
      <c r="D1298" s="4">
        <v>140</v>
      </c>
      <c r="E1298" s="4" t="s">
        <v>1793</v>
      </c>
      <c r="F1298" s="16">
        <v>44883</v>
      </c>
      <c r="G1298" s="5" t="s">
        <v>1792</v>
      </c>
      <c r="H1298" s="5" t="s">
        <v>4770</v>
      </c>
      <c r="I1298" s="24" t="str">
        <f>HYPERLINK("https://www.bilibili.com/video/BV1ie4y1B7SZ?p=140", "BV1ie4y1B7SZ?p=140")</f>
        <v>BV1ie4y1B7SZ?p=140</v>
      </c>
      <c r="J1298" s="4" t="str">
        <f ca="1">_xlfn.IFNA(VLOOKUP(INDIRECT("G"&amp;ROW()),minfo!$A:$M,COLUMN()-8,0),"")</f>
        <v>雨爱</v>
      </c>
      <c r="K1298" s="4" t="str">
        <f ca="1">_xlfn.IFNA(VLOOKUP(INDIRECT("G"&amp;ROW()),minfo!$A:$M,COLUMN()-8,0),"")</f>
        <v>杨丞琳</v>
      </c>
      <c r="L1298" s="4">
        <f ca="1">_xlfn.IFNA(VLOOKUP(INDIRECT("G"&amp;ROW()),minfo!$A:$M,COLUMN()-8,0),"")</f>
        <v>0</v>
      </c>
      <c r="M1298" s="4">
        <f ca="1">_xlfn.IFNA(VLOOKUP(INDIRECT("G"&amp;ROW()),minfo!$A:$M,COLUMN()-8,0),"")</f>
        <v>186</v>
      </c>
      <c r="N1298" s="4">
        <f ca="1">_xlfn.IFNA(VLOOKUP(INDIRECT("G"&amp;ROW()),minfo!$A:$M,COLUMN()-8,0),"")</f>
        <v>17</v>
      </c>
      <c r="O1298" s="4" t="str">
        <f ca="1">_xlfn.IFNA(VLOOKUP(INDIRECT("G"&amp;ROW()),minfo!$A:$M,COLUMN()-8,0),"")</f>
        <v>https://i0.hdslb.com/bfs/station_src/music_metadata/d2d96b39e6c888e709641d2931657784.jpg</v>
      </c>
      <c r="P1298" s="4" t="str">
        <f ca="1">_xlfn.IFNA(VLOOKUP(INDIRECT("G"&amp;ROW()),minfo!$A:$M,COLUMN()-8,0),"")</f>
        <v>https://i0.hdslb.com/bfs/station_src/music_metadata/da71918707bbbcc54129293228673828.com/bfs/station_src/music_metadata/4ee2e418ba5ab8982bdcaf20967930a5</v>
      </c>
      <c r="Q1298" s="4">
        <f ca="1">_xlfn.IFNA(VLOOKUP(INDIRECT("G"&amp;ROW()),minfo!$A:$M,COLUMN()-8,0),"")</f>
        <v>585</v>
      </c>
      <c r="R1298" s="4" t="str">
        <f ca="1">_xlfn.IFNA(VLOOKUP(INDIRECT("G"&amp;ROW()),minfo!$A:$M,COLUMN()-8,0),"")</f>
        <v>雨爱</v>
      </c>
      <c r="S1298" s="4">
        <f ca="1">_xlfn.IFNA(VLOOKUP(INDIRECT("G"&amp;ROW()),minfo!$A:$M,COLUMN()-8,0),"")</f>
        <v>0</v>
      </c>
      <c r="T1298" s="4">
        <f ca="1">_xlfn.IFNA(VLOOKUP(INDIRECT("G"&amp;ROW()),minfo!$A:$M,COLUMN()-8,0),"")</f>
        <v>299586451</v>
      </c>
      <c r="U1298" s="4">
        <f ca="1">_xlfn.IFNA(VLOOKUP(INDIRECT("G"&amp;ROW()),minfo!$A:$M,COLUMN()-8,0),"")</f>
        <v>0</v>
      </c>
    </row>
    <row r="1299" spans="1:21" ht="15.75" customHeight="1">
      <c r="A1299" s="15">
        <v>1298</v>
      </c>
      <c r="B1299" s="4" t="s">
        <v>4914</v>
      </c>
      <c r="C1299" s="4">
        <v>1299</v>
      </c>
      <c r="D1299" s="4">
        <v>141</v>
      </c>
      <c r="E1299" s="4" t="s">
        <v>380</v>
      </c>
      <c r="F1299" s="16">
        <v>44886</v>
      </c>
      <c r="G1299" s="5" t="s">
        <v>379</v>
      </c>
      <c r="H1299" s="5" t="s">
        <v>4770</v>
      </c>
      <c r="I1299" s="24" t="str">
        <f>HYPERLINK("https://www.bilibili.com/video/BV1ie4y1B7SZ?p=141", "BV1ie4y1B7SZ?p=141")</f>
        <v>BV1ie4y1B7SZ?p=141</v>
      </c>
      <c r="J1299" s="4" t="str">
        <f ca="1">_xlfn.IFNA(VLOOKUP(INDIRECT("G"&amp;ROW()),minfo!$A:$M,COLUMN()-8,0),"")</f>
        <v>等你下课</v>
      </c>
      <c r="K1299" s="4" t="str">
        <f ca="1">_xlfn.IFNA(VLOOKUP(INDIRECT("G"&amp;ROW()),minfo!$A:$M,COLUMN()-8,0),"")</f>
        <v>周杰伦</v>
      </c>
      <c r="L1299" s="4">
        <f ca="1">_xlfn.IFNA(VLOOKUP(INDIRECT("G"&amp;ROW()),minfo!$A:$M,COLUMN()-8,0),"")</f>
        <v>0</v>
      </c>
      <c r="M1299" s="4">
        <f ca="1">_xlfn.IFNA(VLOOKUP(INDIRECT("G"&amp;ROW()),minfo!$A:$M,COLUMN()-8,0),"")</f>
        <v>80914</v>
      </c>
      <c r="N1299" s="4">
        <f ca="1">_xlfn.IFNA(VLOOKUP(INDIRECT("G"&amp;ROW()),minfo!$A:$M,COLUMN()-8,0),"")</f>
        <v>13096</v>
      </c>
      <c r="O1299" s="4" t="str">
        <f ca="1">_xlfn.IFNA(VLOOKUP(INDIRECT("G"&amp;ROW()),minfo!$A:$M,COLUMN()-8,0),"")</f>
        <v>https://i0.hdslb.com/bfs/station_src/music_metadata/daceac43659e7f7f6326c1570b657381.jpg</v>
      </c>
      <c r="P1299" s="4" t="str">
        <f ca="1">_xlfn.IFNA(VLOOKUP(INDIRECT("G"&amp;ROW()),minfo!$A:$M,COLUMN()-8,0),"")</f>
        <v>http://i0.hdslb.com/bfs/station_src/music_metadata/1b827e689cae1db38482c44b47c8737a</v>
      </c>
      <c r="Q1299" s="4">
        <f ca="1">_xlfn.IFNA(VLOOKUP(INDIRECT("G"&amp;ROW()),minfo!$A:$M,COLUMN()-8,0),"")</f>
        <v>2038</v>
      </c>
      <c r="R1299" s="4">
        <f ca="1">_xlfn.IFNA(VLOOKUP(INDIRECT("G"&amp;ROW()),minfo!$A:$M,COLUMN()-8,0),"")</f>
        <v>0</v>
      </c>
      <c r="S1299" s="4" t="str">
        <f ca="1">_xlfn.IFNA(VLOOKUP(INDIRECT("G"&amp;ROW()),minfo!$A:$M,COLUMN()-8,0),"")</f>
        <v>等你下课</v>
      </c>
      <c r="T1299" s="4">
        <f ca="1">_xlfn.IFNA(VLOOKUP(INDIRECT("G"&amp;ROW()),minfo!$A:$M,COLUMN()-8,0),"")</f>
        <v>419569575</v>
      </c>
      <c r="U1299" s="4">
        <f ca="1">_xlfn.IFNA(VLOOKUP(INDIRECT("G"&amp;ROW()),minfo!$A:$M,COLUMN()-8,0),"")</f>
        <v>0</v>
      </c>
    </row>
    <row r="1300" spans="1:21" ht="15.75" customHeight="1">
      <c r="A1300" s="15">
        <v>1299</v>
      </c>
      <c r="B1300" s="4" t="s">
        <v>4915</v>
      </c>
      <c r="C1300" s="4">
        <v>1300</v>
      </c>
      <c r="D1300" s="4">
        <v>142</v>
      </c>
      <c r="E1300" s="4" t="s">
        <v>4916</v>
      </c>
      <c r="F1300" s="16">
        <v>44888</v>
      </c>
      <c r="G1300" s="5" t="s">
        <v>1066</v>
      </c>
      <c r="H1300" s="5" t="s">
        <v>4770</v>
      </c>
      <c r="I1300" s="24" t="str">
        <f>HYPERLINK("https://www.bilibili.com/video/BV1ie4y1B7SZ?p=142", "BV1ie4y1B7SZ?p=142")</f>
        <v>BV1ie4y1B7SZ?p=142</v>
      </c>
      <c r="J1300" s="4" t="str">
        <f ca="1">_xlfn.IFNA(VLOOKUP(INDIRECT("G"&amp;ROW()),minfo!$A:$M,COLUMN()-8,0),"")</f>
        <v>永不失联的爱</v>
      </c>
      <c r="K1300" s="4" t="str">
        <f ca="1">_xlfn.IFNA(VLOOKUP(INDIRECT("G"&amp;ROW()),minfo!$A:$M,COLUMN()-8,0),"")</f>
        <v>Eric周兴哲</v>
      </c>
      <c r="L1300" s="4">
        <f ca="1">_xlfn.IFNA(VLOOKUP(INDIRECT("G"&amp;ROW()),minfo!$A:$M,COLUMN()-8,0),"")</f>
        <v>0</v>
      </c>
      <c r="M1300" s="4">
        <f ca="1">_xlfn.IFNA(VLOOKUP(INDIRECT("G"&amp;ROW()),minfo!$A:$M,COLUMN()-8,0),"")</f>
        <v>0</v>
      </c>
      <c r="N1300" s="4">
        <f ca="1">_xlfn.IFNA(VLOOKUP(INDIRECT("G"&amp;ROW()),minfo!$A:$M,COLUMN()-8,0),"")</f>
        <v>0</v>
      </c>
      <c r="O1300" s="4" t="str">
        <f ca="1">_xlfn.IFNA(VLOOKUP(INDIRECT("G"&amp;ROW()),minfo!$A:$M,COLUMN()-8,0),"")</f>
        <v>http://i0.hdslb.com/bfs/station_src/music_metadata/66d68e12c7bf06dfcd345e31ea45ac05.jpg</v>
      </c>
      <c r="P1300" s="4" t="str">
        <f ca="1">_xlfn.IFNA(VLOOKUP(INDIRECT("G"&amp;ROW()),minfo!$A:$M,COLUMN()-8,0),"")</f>
        <v>http://i0.hdslb.com/bfs/station_src/music_metadata/4a6a6c9be708e96306f4fbc010bf2a12</v>
      </c>
      <c r="Q1300" s="4">
        <f ca="1">_xlfn.IFNA(VLOOKUP(INDIRECT("G"&amp;ROW()),minfo!$A:$M,COLUMN()-8,0),"")</f>
        <v>1013</v>
      </c>
      <c r="R1300" s="4">
        <f ca="1">_xlfn.IFNA(VLOOKUP(INDIRECT("G"&amp;ROW()),minfo!$A:$M,COLUMN()-8,0),"")</f>
        <v>0</v>
      </c>
      <c r="S1300" s="4" t="str">
        <f ca="1">_xlfn.IFNA(VLOOKUP(INDIRECT("G"&amp;ROW()),minfo!$A:$M,COLUMN()-8,0),"")</f>
        <v>如果雨之后</v>
      </c>
      <c r="T1300" s="4">
        <f ca="1">_xlfn.IFNA(VLOOKUP(INDIRECT("G"&amp;ROW()),minfo!$A:$M,COLUMN()-8,0),"")</f>
        <v>291250605</v>
      </c>
      <c r="U1300" s="4">
        <f ca="1">_xlfn.IFNA(VLOOKUP(INDIRECT("G"&amp;ROW()),minfo!$A:$M,COLUMN()-8,0),"")</f>
        <v>0</v>
      </c>
    </row>
    <row r="1301" spans="1:21" ht="15.75" customHeight="1">
      <c r="A1301" s="15">
        <v>1300</v>
      </c>
      <c r="B1301" s="4" t="s">
        <v>4917</v>
      </c>
      <c r="C1301" s="4">
        <v>1301</v>
      </c>
      <c r="D1301" s="4">
        <v>143</v>
      </c>
      <c r="E1301" s="4" t="s">
        <v>4918</v>
      </c>
      <c r="F1301" s="16">
        <v>44890</v>
      </c>
      <c r="G1301" s="5" t="s">
        <v>1880</v>
      </c>
      <c r="H1301" s="5" t="s">
        <v>4770</v>
      </c>
      <c r="I1301" s="24" t="str">
        <f>HYPERLINK("https://www.bilibili.com/video/BV1ie4y1B7SZ?p=143", "BV1ie4y1B7SZ?p=143")</f>
        <v>BV1ie4y1B7SZ?p=143</v>
      </c>
      <c r="J1301" s="4" t="str">
        <f ca="1">_xlfn.IFNA(VLOOKUP(INDIRECT("G"&amp;ROW()),minfo!$A:$M,COLUMN()-8,0),"")</f>
        <v>idontwannabeyouanymore</v>
      </c>
      <c r="K1301" s="4" t="str">
        <f ca="1">_xlfn.IFNA(VLOOKUP(INDIRECT("G"&amp;ROW()),minfo!$A:$M,COLUMN()-8,0),"")</f>
        <v>Billie Eilish</v>
      </c>
      <c r="L1301" s="4">
        <f ca="1">_xlfn.IFNA(VLOOKUP(INDIRECT("G"&amp;ROW()),minfo!$A:$M,COLUMN()-8,0),"")</f>
        <v>0</v>
      </c>
      <c r="M1301" s="4">
        <f ca="1">_xlfn.IFNA(VLOOKUP(INDIRECT("G"&amp;ROW()),minfo!$A:$M,COLUMN()-8,0),"")</f>
        <v>0</v>
      </c>
      <c r="N1301" s="4">
        <f ca="1">_xlfn.IFNA(VLOOKUP(INDIRECT("G"&amp;ROW()),minfo!$A:$M,COLUMN()-8,0),"")</f>
        <v>0</v>
      </c>
      <c r="O1301" s="4" t="str">
        <f ca="1">_xlfn.IFNA(VLOOKUP(INDIRECT("G"&amp;ROW()),minfo!$A:$M,COLUMN()-8,0),"")</f>
        <v>https://i0.hdslb.com/bfs/station_src/music_metadata/b7afec42da0b86523386b90af444ea79.jpg</v>
      </c>
      <c r="P1301" s="4" t="str">
        <f ca="1">_xlfn.IFNA(VLOOKUP(INDIRECT("G"&amp;ROW()),minfo!$A:$M,COLUMN()-8,0),"")</f>
        <v>http://i0.hdslb.com/bfs/station_src/music_metadata/d9cf90a716c883e4addfbed5b3fb35ec</v>
      </c>
      <c r="Q1301" s="4">
        <f ca="1">_xlfn.IFNA(VLOOKUP(INDIRECT("G"&amp;ROW()),minfo!$A:$M,COLUMN()-8,0),"")</f>
        <v>1281</v>
      </c>
      <c r="R1301" s="4">
        <f ca="1">_xlfn.IFNA(VLOOKUP(INDIRECT("G"&amp;ROW()),minfo!$A:$M,COLUMN()-8,0),"")</f>
        <v>0</v>
      </c>
      <c r="S1301" s="4" t="str">
        <f ca="1">_xlfn.IFNA(VLOOKUP(INDIRECT("G"&amp;ROW()),minfo!$A:$M,COLUMN()-8,0),"")</f>
        <v>dont smile at me</v>
      </c>
      <c r="T1301" s="4">
        <f ca="1">_xlfn.IFNA(VLOOKUP(INDIRECT("G"&amp;ROW()),minfo!$A:$M,COLUMN()-8,0),"")</f>
        <v>53235047</v>
      </c>
      <c r="U1301" s="4">
        <f ca="1">_xlfn.IFNA(VLOOKUP(INDIRECT("G"&amp;ROW()),minfo!$A:$M,COLUMN()-8,0),"")</f>
        <v>0</v>
      </c>
    </row>
    <row r="1302" spans="1:21" ht="15.75" customHeight="1">
      <c r="A1302" s="15">
        <v>1301</v>
      </c>
      <c r="B1302" s="4" t="s">
        <v>4919</v>
      </c>
      <c r="C1302" s="4">
        <v>1302</v>
      </c>
      <c r="D1302" s="4">
        <v>144</v>
      </c>
      <c r="E1302" s="4" t="s">
        <v>4920</v>
      </c>
      <c r="F1302" s="16">
        <v>44890</v>
      </c>
      <c r="G1302" s="5" t="s">
        <v>2125</v>
      </c>
      <c r="H1302" s="5" t="s">
        <v>4770</v>
      </c>
      <c r="I1302" s="24" t="str">
        <f>HYPERLINK("https://www.bilibili.com/video/BV1ie4y1B7SZ?p=144", "BV1ie4y1B7SZ?p=144")</f>
        <v>BV1ie4y1B7SZ?p=144</v>
      </c>
      <c r="J1302" s="4" t="str">
        <f ca="1">_xlfn.IFNA(VLOOKUP(INDIRECT("G"&amp;ROW()),minfo!$A:$M,COLUMN()-8,0),"")</f>
        <v>Stoned Soul Picnic</v>
      </c>
      <c r="K1302" s="4" t="str">
        <f ca="1">_xlfn.IFNA(VLOOKUP(INDIRECT("G"&amp;ROW()),minfo!$A:$M,COLUMN()-8,0),"")</f>
        <v>Fifth Dimension</v>
      </c>
      <c r="L1302" s="4">
        <f ca="1">_xlfn.IFNA(VLOOKUP(INDIRECT("G"&amp;ROW()),minfo!$A:$M,COLUMN()-8,0),"")</f>
        <v>0</v>
      </c>
      <c r="M1302" s="4">
        <f ca="1">_xlfn.IFNA(VLOOKUP(INDIRECT("G"&amp;ROW()),minfo!$A:$M,COLUMN()-8,0),"")</f>
        <v>0</v>
      </c>
      <c r="N1302" s="4">
        <f ca="1">_xlfn.IFNA(VLOOKUP(INDIRECT("G"&amp;ROW()),minfo!$A:$M,COLUMN()-8,0),"")</f>
        <v>0</v>
      </c>
      <c r="O1302" s="4" t="str">
        <f ca="1">_xlfn.IFNA(VLOOKUP(INDIRECT("G"&amp;ROW()),minfo!$A:$M,COLUMN()-8,0),"")</f>
        <v>https://i0.hdslb.com/bfs/station_src/music_metadata/246f00a8fb0a915c18d1a59d28da2060.jpg</v>
      </c>
      <c r="P1302" s="4">
        <f ca="1">_xlfn.IFNA(VLOOKUP(INDIRECT("G"&amp;ROW()),minfo!$A:$M,COLUMN()-8,0),"")</f>
        <v>0</v>
      </c>
      <c r="Q1302" s="4">
        <f ca="1">_xlfn.IFNA(VLOOKUP(INDIRECT("G"&amp;ROW()),minfo!$A:$M,COLUMN()-8,0),"")</f>
        <v>28</v>
      </c>
      <c r="R1302" s="4">
        <f ca="1">_xlfn.IFNA(VLOOKUP(INDIRECT("G"&amp;ROW()),minfo!$A:$M,COLUMN()-8,0),"")</f>
        <v>0</v>
      </c>
      <c r="S1302" s="4" t="str">
        <f ca="1">_xlfn.IFNA(VLOOKUP(INDIRECT("G"&amp;ROW()),minfo!$A:$M,COLUMN()-8,0),"")</f>
        <v>More Music to Watch Girls Go By</v>
      </c>
      <c r="T1302" s="4">
        <f ca="1">_xlfn.IFNA(VLOOKUP(INDIRECT("G"&amp;ROW()),minfo!$A:$M,COLUMN()-8,0),"")</f>
        <v>7951320</v>
      </c>
      <c r="U1302" s="4">
        <f ca="1">_xlfn.IFNA(VLOOKUP(INDIRECT("G"&amp;ROW()),minfo!$A:$M,COLUMN()-8,0),"")</f>
        <v>0</v>
      </c>
    </row>
    <row r="1303" spans="1:21" ht="15.75" customHeight="1">
      <c r="A1303" s="15">
        <v>1302</v>
      </c>
      <c r="B1303" s="4" t="s">
        <v>4921</v>
      </c>
      <c r="C1303" s="4">
        <v>1303</v>
      </c>
      <c r="D1303" s="4">
        <v>145</v>
      </c>
      <c r="E1303" s="4" t="s">
        <v>975</v>
      </c>
      <c r="F1303" s="16">
        <v>44890</v>
      </c>
      <c r="G1303" s="5" t="s">
        <v>974</v>
      </c>
      <c r="H1303" s="5" t="s">
        <v>4770</v>
      </c>
      <c r="I1303" s="24" t="str">
        <f>HYPERLINK("https://www.bilibili.com/video/BV1ie4y1B7SZ?p=145", "BV1ie4y1B7SZ?p=145")</f>
        <v>BV1ie4y1B7SZ?p=145</v>
      </c>
      <c r="J1303" s="4" t="str">
        <f ca="1">_xlfn.IFNA(VLOOKUP(INDIRECT("G"&amp;ROW()),minfo!$A:$M,COLUMN()-8,0),"")</f>
        <v>如果云知道</v>
      </c>
      <c r="K1303" s="4" t="str">
        <f ca="1">_xlfn.IFNA(VLOOKUP(INDIRECT("G"&amp;ROW()),minfo!$A:$M,COLUMN()-8,0),"")</f>
        <v>许茹芸</v>
      </c>
      <c r="L1303" s="4">
        <f ca="1">_xlfn.IFNA(VLOOKUP(INDIRECT("G"&amp;ROW()),minfo!$A:$M,COLUMN()-8,0),"")</f>
        <v>0</v>
      </c>
      <c r="M1303" s="4">
        <f ca="1">_xlfn.IFNA(VLOOKUP(INDIRECT("G"&amp;ROW()),minfo!$A:$M,COLUMN()-8,0),"")</f>
        <v>0</v>
      </c>
      <c r="N1303" s="4">
        <f ca="1">_xlfn.IFNA(VLOOKUP(INDIRECT("G"&amp;ROW()),minfo!$A:$M,COLUMN()-8,0),"")</f>
        <v>0</v>
      </c>
      <c r="O1303" s="4" t="str">
        <f ca="1">_xlfn.IFNA(VLOOKUP(INDIRECT("G"&amp;ROW()),minfo!$A:$M,COLUMN()-8,0),"")</f>
        <v>http://i0.hdslb.com/bfs/station_src/music_metadata/9da38631e2dd6f94986ba234facf8fe4.jpg</v>
      </c>
      <c r="P1303" s="4" t="str">
        <f ca="1">_xlfn.IFNA(VLOOKUP(INDIRECT("G"&amp;ROW()),minfo!$A:$M,COLUMN()-8,0),"")</f>
        <v>http://i0.hdslb.com/bfs/station_src/music_metadata/e8ddd3d5fe50c8872f21315e1a0b2309</v>
      </c>
      <c r="Q1303" s="4">
        <f ca="1">_xlfn.IFNA(VLOOKUP(INDIRECT("G"&amp;ROW()),minfo!$A:$M,COLUMN()-8,0),"")</f>
        <v>35</v>
      </c>
      <c r="R1303" s="4">
        <f ca="1">_xlfn.IFNA(VLOOKUP(INDIRECT("G"&amp;ROW()),minfo!$A:$M,COLUMN()-8,0),"")</f>
        <v>0</v>
      </c>
      <c r="S1303" s="4" t="str">
        <f ca="1">_xlfn.IFNA(VLOOKUP(INDIRECT("G"&amp;ROW()),minfo!$A:$M,COLUMN()-8,0),"")</f>
        <v>如果云知道</v>
      </c>
      <c r="T1303" s="4">
        <f ca="1">_xlfn.IFNA(VLOOKUP(INDIRECT("G"&amp;ROW()),minfo!$A:$M,COLUMN()-8,0),"")</f>
        <v>16660903</v>
      </c>
      <c r="U1303" s="4">
        <f ca="1">_xlfn.IFNA(VLOOKUP(INDIRECT("G"&amp;ROW()),minfo!$A:$M,COLUMN()-8,0),"")</f>
        <v>0</v>
      </c>
    </row>
    <row r="1304" spans="1:21" ht="15.75" customHeight="1">
      <c r="A1304" s="15">
        <v>1303</v>
      </c>
      <c r="B1304" s="4" t="s">
        <v>4922</v>
      </c>
      <c r="C1304" s="4">
        <v>1304</v>
      </c>
      <c r="D1304" s="4">
        <v>146</v>
      </c>
      <c r="E1304" s="4" t="s">
        <v>536</v>
      </c>
      <c r="F1304" s="16">
        <v>44891</v>
      </c>
      <c r="G1304" s="5" t="s">
        <v>535</v>
      </c>
      <c r="H1304" s="5" t="s">
        <v>4770</v>
      </c>
      <c r="I1304" s="24" t="str">
        <f>HYPERLINK("https://www.bilibili.com/video/BV1ie4y1B7SZ?p=146", "BV1ie4y1B7SZ?p=146")</f>
        <v>BV1ie4y1B7SZ?p=146</v>
      </c>
      <c r="J1304" s="4" t="str">
        <f ca="1">_xlfn.IFNA(VLOOKUP(INDIRECT("G"&amp;ROW()),minfo!$A:$M,COLUMN()-8,0),"")</f>
        <v>红颜如霜</v>
      </c>
      <c r="K1304" s="4" t="str">
        <f ca="1">_xlfn.IFNA(VLOOKUP(INDIRECT("G"&amp;ROW()),minfo!$A:$M,COLUMN()-8,0),"")</f>
        <v>周杰伦</v>
      </c>
      <c r="L1304" s="4">
        <f ca="1">_xlfn.IFNA(VLOOKUP(INDIRECT("G"&amp;ROW()),minfo!$A:$M,COLUMN()-8,0),"")</f>
        <v>0</v>
      </c>
      <c r="M1304" s="4">
        <f ca="1">_xlfn.IFNA(VLOOKUP(INDIRECT("G"&amp;ROW()),minfo!$A:$M,COLUMN()-8,0),"")</f>
        <v>179425</v>
      </c>
      <c r="N1304" s="4">
        <f ca="1">_xlfn.IFNA(VLOOKUP(INDIRECT("G"&amp;ROW()),minfo!$A:$M,COLUMN()-8,0),"")</f>
        <v>61254</v>
      </c>
      <c r="O1304" s="4" t="str">
        <f ca="1">_xlfn.IFNA(VLOOKUP(INDIRECT("G"&amp;ROW()),minfo!$A:$M,COLUMN()-8,0),"")</f>
        <v>https://i0.hdslb.com/bfs/station_src/music_metadata/b0bbef33041121e4c8107f9d82ff0e60.jpg</v>
      </c>
      <c r="P1304" s="4">
        <f ca="1">_xlfn.IFNA(VLOOKUP(INDIRECT("G"&amp;ROW()),minfo!$A:$M,COLUMN()-8,0),"")</f>
        <v>0</v>
      </c>
      <c r="Q1304" s="4">
        <f ca="1">_xlfn.IFNA(VLOOKUP(INDIRECT("G"&amp;ROW()),minfo!$A:$M,COLUMN()-8,0),"")</f>
        <v>17510</v>
      </c>
      <c r="R1304" s="4">
        <f ca="1">_xlfn.IFNA(VLOOKUP(INDIRECT("G"&amp;ROW()),minfo!$A:$M,COLUMN()-8,0),"")</f>
        <v>0</v>
      </c>
      <c r="S1304" s="4" t="str">
        <f ca="1">_xlfn.IFNA(VLOOKUP(INDIRECT("G"&amp;ROW()),minfo!$A:$M,COLUMN()-8,0),"")</f>
        <v>最伟大的作品</v>
      </c>
      <c r="T1304" s="4">
        <f ca="1">_xlfn.IFNA(VLOOKUP(INDIRECT("G"&amp;ROW()),minfo!$A:$M,COLUMN()-8,0),"")</f>
        <v>237302125</v>
      </c>
      <c r="U1304" s="4" t="str">
        <f ca="1">_xlfn.IFNA(VLOOKUP(INDIRECT("G"&amp;ROW()),minfo!$A:$M,COLUMN()-8,0),"")</f>
        <v>音乐榜最高NO.2</v>
      </c>
    </row>
    <row r="1305" spans="1:21" ht="15.75" customHeight="1">
      <c r="A1305" s="15">
        <v>1304</v>
      </c>
      <c r="B1305" s="4" t="s">
        <v>4923</v>
      </c>
      <c r="C1305" s="4">
        <v>1305</v>
      </c>
      <c r="D1305" s="4">
        <v>147</v>
      </c>
      <c r="E1305" s="4" t="s">
        <v>894</v>
      </c>
      <c r="F1305" s="16">
        <v>44894</v>
      </c>
      <c r="G1305" s="5" t="s">
        <v>893</v>
      </c>
      <c r="H1305" s="5" t="s">
        <v>4770</v>
      </c>
      <c r="I1305" s="24" t="str">
        <f>HYPERLINK("https://www.bilibili.com/video/BV1ie4y1B7SZ?p=147", "BV1ie4y1B7SZ?p=147")</f>
        <v>BV1ie4y1B7SZ?p=147</v>
      </c>
      <c r="J1305" s="4" t="str">
        <f ca="1">_xlfn.IFNA(VLOOKUP(INDIRECT("G"&amp;ROW()),minfo!$A:$M,COLUMN()-8,0),"")</f>
        <v>星河叹</v>
      </c>
      <c r="K1305" s="4" t="str">
        <f ca="1">_xlfn.IFNA(VLOOKUP(INDIRECT("G"&amp;ROW()),minfo!$A:$M,COLUMN()-8,0),"")</f>
        <v>黄龄</v>
      </c>
      <c r="L1305" s="4">
        <f ca="1">_xlfn.IFNA(VLOOKUP(INDIRECT("G"&amp;ROW()),minfo!$A:$M,COLUMN()-8,0),"")</f>
        <v>0</v>
      </c>
      <c r="M1305" s="4">
        <f ca="1">_xlfn.IFNA(VLOOKUP(INDIRECT("G"&amp;ROW()),minfo!$A:$M,COLUMN()-8,0),"")</f>
        <v>0</v>
      </c>
      <c r="N1305" s="4">
        <f ca="1">_xlfn.IFNA(VLOOKUP(INDIRECT("G"&amp;ROW()),minfo!$A:$M,COLUMN()-8,0),"")</f>
        <v>0</v>
      </c>
      <c r="O1305" s="4" t="str">
        <f ca="1">_xlfn.IFNA(VLOOKUP(INDIRECT("G"&amp;ROW()),minfo!$A:$M,COLUMN()-8,0),"")</f>
        <v>https://i0.hdslb.com/bfs/station_src/music_metadata/f3e960ffbb9dd3ffa3c10d67471b7cde.jpg</v>
      </c>
      <c r="P1305" s="4" t="str">
        <f ca="1">_xlfn.IFNA(VLOOKUP(INDIRECT("G"&amp;ROW()),minfo!$A:$M,COLUMN()-8,0),"")</f>
        <v>http://i0.hdslb.com/bfs/station_src/music_metadata/6360e90a7e0e9e0a5a8afded3b15d213</v>
      </c>
      <c r="Q1305" s="4">
        <f ca="1">_xlfn.IFNA(VLOOKUP(INDIRECT("G"&amp;ROW()),minfo!$A:$M,COLUMN()-8,0),"")</f>
        <v>3174</v>
      </c>
      <c r="R1305" s="4" t="str">
        <f ca="1">_xlfn.IFNA(VLOOKUP(INDIRECT("G"&amp;ROW()),minfo!$A:$M,COLUMN()-8,0),"")</f>
        <v>《星汉灿烂》电视剧女主人物曲</v>
      </c>
      <c r="S1305" s="4" t="str">
        <f ca="1">_xlfn.IFNA(VLOOKUP(INDIRECT("G"&amp;ROW()),minfo!$A:$M,COLUMN()-8,0),"")</f>
        <v>星河叹</v>
      </c>
      <c r="T1305" s="4">
        <f ca="1">_xlfn.IFNA(VLOOKUP(INDIRECT("G"&amp;ROW()),minfo!$A:$M,COLUMN()-8,0),"")</f>
        <v>152096732</v>
      </c>
      <c r="U1305" s="4">
        <f ca="1">_xlfn.IFNA(VLOOKUP(INDIRECT("G"&amp;ROW()),minfo!$A:$M,COLUMN()-8,0),"")</f>
        <v>0</v>
      </c>
    </row>
    <row r="1306" spans="1:21" ht="15.75" customHeight="1">
      <c r="A1306" s="15">
        <v>1305</v>
      </c>
      <c r="B1306" s="4" t="s">
        <v>4924</v>
      </c>
      <c r="C1306" s="4">
        <v>1306</v>
      </c>
      <c r="D1306" s="4">
        <v>148</v>
      </c>
      <c r="E1306" s="4" t="s">
        <v>214</v>
      </c>
      <c r="F1306" s="16">
        <v>44895</v>
      </c>
      <c r="G1306" s="5" t="s">
        <v>213</v>
      </c>
      <c r="H1306" s="5" t="s">
        <v>4770</v>
      </c>
      <c r="I1306" s="24" t="str">
        <f>HYPERLINK("https://www.bilibili.com/video/BV1ie4y1B7SZ?p=148", "BV1ie4y1B7SZ?p=148")</f>
        <v>BV1ie4y1B7SZ?p=148</v>
      </c>
      <c r="J1306" s="4" t="str">
        <f ca="1">_xlfn.IFNA(VLOOKUP(INDIRECT("G"&amp;ROW()),minfo!$A:$M,COLUMN()-8,0),"")</f>
        <v>相思</v>
      </c>
      <c r="K1306" s="4" t="str">
        <f ca="1">_xlfn.IFNA(VLOOKUP(INDIRECT("G"&amp;ROW()),minfo!$A:$M,COLUMN()-8,0),"")</f>
        <v>毛阿敏</v>
      </c>
      <c r="L1306" s="4">
        <f ca="1">_xlfn.IFNA(VLOOKUP(INDIRECT("G"&amp;ROW()),minfo!$A:$M,COLUMN()-8,0),"")</f>
        <v>0</v>
      </c>
      <c r="M1306" s="4">
        <f ca="1">_xlfn.IFNA(VLOOKUP(INDIRECT("G"&amp;ROW()),minfo!$A:$M,COLUMN()-8,0),"")</f>
        <v>0</v>
      </c>
      <c r="N1306" s="4">
        <f ca="1">_xlfn.IFNA(VLOOKUP(INDIRECT("G"&amp;ROW()),minfo!$A:$M,COLUMN()-8,0),"")</f>
        <v>0</v>
      </c>
      <c r="O1306" s="4" t="str">
        <f ca="1">_xlfn.IFNA(VLOOKUP(INDIRECT("G"&amp;ROW()),minfo!$A:$M,COLUMN()-8,0),"")</f>
        <v>https://i0.hdslb.com/bfs/station_src/music_metadata/0603be9293791ccb88f9a80d06e3ce3d.jpg</v>
      </c>
      <c r="P1306" s="4" t="str">
        <f ca="1">_xlfn.IFNA(VLOOKUP(INDIRECT("G"&amp;ROW()),minfo!$A:$M,COLUMN()-8,0),"")</f>
        <v>https://i0.hdslb.com/bfs/station_src/music_metadata/f447da700792e77fcdc9743518f18ce8.txt</v>
      </c>
      <c r="Q1306" s="4">
        <f ca="1">_xlfn.IFNA(VLOOKUP(INDIRECT("G"&amp;ROW()),minfo!$A:$M,COLUMN()-8,0),"")</f>
        <v>554</v>
      </c>
      <c r="R1306" s="4">
        <f ca="1">_xlfn.IFNA(VLOOKUP(INDIRECT("G"&amp;ROW()),minfo!$A:$M,COLUMN()-8,0),"")</f>
        <v>0</v>
      </c>
      <c r="S1306" s="4" t="str">
        <f ca="1">_xlfn.IFNA(VLOOKUP(INDIRECT("G"&amp;ROW()),minfo!$A:$M,COLUMN()-8,0),"")</f>
        <v>直接影响</v>
      </c>
      <c r="T1306" s="4">
        <f ca="1">_xlfn.IFNA(VLOOKUP(INDIRECT("G"&amp;ROW()),minfo!$A:$M,COLUMN()-8,0),"")</f>
        <v>217626434</v>
      </c>
      <c r="U1306" s="4">
        <f ca="1">_xlfn.IFNA(VLOOKUP(INDIRECT("G"&amp;ROW()),minfo!$A:$M,COLUMN()-8,0),"")</f>
        <v>0</v>
      </c>
    </row>
    <row r="1307" spans="1:21" ht="15.75" customHeight="1">
      <c r="A1307" s="15">
        <v>1306</v>
      </c>
      <c r="B1307" s="4" t="s">
        <v>4925</v>
      </c>
      <c r="C1307" s="4">
        <v>1307</v>
      </c>
      <c r="D1307" s="4">
        <v>149</v>
      </c>
      <c r="E1307" s="4" t="s">
        <v>477</v>
      </c>
      <c r="F1307" s="16">
        <v>44895</v>
      </c>
      <c r="G1307" s="5" t="s">
        <v>476</v>
      </c>
      <c r="H1307" s="5" t="s">
        <v>4770</v>
      </c>
      <c r="I1307" s="24" t="str">
        <f>HYPERLINK("https://www.bilibili.com/video/BV1ie4y1B7SZ?p=149", "BV1ie4y1B7SZ?p=149")</f>
        <v>BV1ie4y1B7SZ?p=149</v>
      </c>
      <c r="J1307" s="4" t="str">
        <f ca="1">_xlfn.IFNA(VLOOKUP(INDIRECT("G"&amp;ROW()),minfo!$A:$M,COLUMN()-8,0),"")</f>
        <v>我只在乎你</v>
      </c>
      <c r="K1307" s="4" t="str">
        <f ca="1">_xlfn.IFNA(VLOOKUP(INDIRECT("G"&amp;ROW()),minfo!$A:$M,COLUMN()-8,0),"")</f>
        <v>邓丽君</v>
      </c>
      <c r="L1307" s="4">
        <f ca="1">_xlfn.IFNA(VLOOKUP(INDIRECT("G"&amp;ROW()),minfo!$A:$M,COLUMN()-8,0),"")</f>
        <v>0</v>
      </c>
      <c r="M1307" s="4">
        <f ca="1">_xlfn.IFNA(VLOOKUP(INDIRECT("G"&amp;ROW()),minfo!$A:$M,COLUMN()-8,0),"")</f>
        <v>0</v>
      </c>
      <c r="N1307" s="4">
        <f ca="1">_xlfn.IFNA(VLOOKUP(INDIRECT("G"&amp;ROW()),minfo!$A:$M,COLUMN()-8,0),"")</f>
        <v>0</v>
      </c>
      <c r="O1307" s="4" t="str">
        <f ca="1">_xlfn.IFNA(VLOOKUP(INDIRECT("G"&amp;ROW()),minfo!$A:$M,COLUMN()-8,0),"")</f>
        <v>https://i0.hdslb.com/bfs/station_src/music_metadata/20edcc42dece649a8fcfbc7a532d33cf.jpg</v>
      </c>
      <c r="P1307" s="4" t="str">
        <f ca="1">_xlfn.IFNA(VLOOKUP(INDIRECT("G"&amp;ROW()),minfo!$A:$M,COLUMN()-8,0),"")</f>
        <v>http://i0.hdslb.com/bfs/station_src/music_metadata/49dfa16b48e0cab94adf65044415eee3</v>
      </c>
      <c r="Q1307" s="4">
        <f ca="1">_xlfn.IFNA(VLOOKUP(INDIRECT("G"&amp;ROW()),minfo!$A:$M,COLUMN()-8,0),"")</f>
        <v>486</v>
      </c>
      <c r="R1307" s="4">
        <f ca="1">_xlfn.IFNA(VLOOKUP(INDIRECT("G"&amp;ROW()),minfo!$A:$M,COLUMN()-8,0),"")</f>
        <v>0</v>
      </c>
      <c r="S1307" s="4" t="str">
        <f ca="1">_xlfn.IFNA(VLOOKUP(INDIRECT("G"&amp;ROW()),minfo!$A:$M,COLUMN()-8,0),"")</f>
        <v>邓丽君金曲选01</v>
      </c>
      <c r="T1307" s="4">
        <f ca="1">_xlfn.IFNA(VLOOKUP(INDIRECT("G"&amp;ROW()),minfo!$A:$M,COLUMN()-8,0),"")</f>
        <v>196147959</v>
      </c>
      <c r="U1307" s="4">
        <f ca="1">_xlfn.IFNA(VLOOKUP(INDIRECT("G"&amp;ROW()),minfo!$A:$M,COLUMN()-8,0),"")</f>
        <v>0</v>
      </c>
    </row>
    <row r="1308" spans="1:21" ht="15.75" customHeight="1">
      <c r="A1308" s="15">
        <v>1307</v>
      </c>
      <c r="B1308" s="4" t="s">
        <v>4926</v>
      </c>
      <c r="C1308" s="4">
        <v>1308</v>
      </c>
      <c r="D1308" s="4">
        <v>150</v>
      </c>
      <c r="E1308" s="4" t="s">
        <v>2711</v>
      </c>
      <c r="F1308" s="16">
        <v>44895</v>
      </c>
      <c r="G1308" s="5" t="s">
        <v>2710</v>
      </c>
      <c r="H1308" s="5" t="s">
        <v>4770</v>
      </c>
      <c r="I1308" s="24" t="str">
        <f>HYPERLINK("https://www.bilibili.com/video/BV1ie4y1B7SZ?p=150", "BV1ie4y1B7SZ?p=150")</f>
        <v>BV1ie4y1B7SZ?p=150</v>
      </c>
      <c r="J1308" s="4" t="str">
        <f ca="1">_xlfn.IFNA(VLOOKUP(INDIRECT("G"&amp;ROW()),minfo!$A:$M,COLUMN()-8,0),"")</f>
        <v>独上西楼</v>
      </c>
      <c r="K1308" s="4" t="str">
        <f ca="1">_xlfn.IFNA(VLOOKUP(INDIRECT("G"&amp;ROW()),minfo!$A:$M,COLUMN()-8,0),"")</f>
        <v>邓丽君</v>
      </c>
      <c r="L1308" s="4">
        <f ca="1">_xlfn.IFNA(VLOOKUP(INDIRECT("G"&amp;ROW()),minfo!$A:$M,COLUMN()-8,0),"")</f>
        <v>0</v>
      </c>
      <c r="M1308" s="4">
        <f ca="1">_xlfn.IFNA(VLOOKUP(INDIRECT("G"&amp;ROW()),minfo!$A:$M,COLUMN()-8,0),"")</f>
        <v>0</v>
      </c>
      <c r="N1308" s="4">
        <f ca="1">_xlfn.IFNA(VLOOKUP(INDIRECT("G"&amp;ROW()),minfo!$A:$M,COLUMN()-8,0),"")</f>
        <v>0</v>
      </c>
      <c r="O1308" s="4" t="str">
        <f ca="1">_xlfn.IFNA(VLOOKUP(INDIRECT("G"&amp;ROW()),minfo!$A:$M,COLUMN()-8,0),"")</f>
        <v>https://i0.hdslb.com/bfs/station_src/music_metadata/1d57728eb6fc17e0295b55c2d7f90c63.jpg</v>
      </c>
      <c r="P1308" s="4" t="str">
        <f ca="1">_xlfn.IFNA(VLOOKUP(INDIRECT("G"&amp;ROW()),minfo!$A:$M,COLUMN()-8,0),"")</f>
        <v>http://i0.hdslb.com/bfs/station_src/music_metadata/69f45b36c3f3f11e2b7a1fc06e9120da</v>
      </c>
      <c r="Q1308" s="4">
        <f ca="1">_xlfn.IFNA(VLOOKUP(INDIRECT("G"&amp;ROW()),minfo!$A:$M,COLUMN()-8,0),"")</f>
        <v>20</v>
      </c>
      <c r="R1308" s="4">
        <f ca="1">_xlfn.IFNA(VLOOKUP(INDIRECT("G"&amp;ROW()),minfo!$A:$M,COLUMN()-8,0),"")</f>
        <v>0</v>
      </c>
      <c r="S1308" s="4" t="str">
        <f ca="1">_xlfn.IFNA(VLOOKUP(INDIRECT("G"&amp;ROW()),minfo!$A:$M,COLUMN()-8,0),"")</f>
        <v>邓丽君精选1</v>
      </c>
      <c r="T1308" s="4">
        <f ca="1">_xlfn.IFNA(VLOOKUP(INDIRECT("G"&amp;ROW()),minfo!$A:$M,COLUMN()-8,0),"")</f>
        <v>8081323</v>
      </c>
      <c r="U1308" s="4">
        <f ca="1">_xlfn.IFNA(VLOOKUP(INDIRECT("G"&amp;ROW()),minfo!$A:$M,COLUMN()-8,0),"")</f>
        <v>0</v>
      </c>
    </row>
    <row r="1309" spans="1:21" ht="15.75" customHeight="1">
      <c r="A1309" s="15">
        <v>1308</v>
      </c>
      <c r="B1309" s="4" t="s">
        <v>4927</v>
      </c>
      <c r="C1309" s="4">
        <v>1309</v>
      </c>
      <c r="D1309" s="4">
        <v>151</v>
      </c>
      <c r="E1309" s="4" t="s">
        <v>930</v>
      </c>
      <c r="F1309" s="16">
        <v>44895</v>
      </c>
      <c r="G1309" s="5" t="s">
        <v>929</v>
      </c>
      <c r="H1309" s="5" t="s">
        <v>4770</v>
      </c>
      <c r="I1309" s="24" t="str">
        <f>HYPERLINK("https://www.bilibili.com/video/BV1ie4y1B7SZ?p=151", "BV1ie4y1B7SZ?p=151")</f>
        <v>BV1ie4y1B7SZ?p=151</v>
      </c>
      <c r="J1309" s="4" t="str">
        <f ca="1">_xlfn.IFNA(VLOOKUP(INDIRECT("G"&amp;ROW()),minfo!$A:$M,COLUMN()-8,0),"")</f>
        <v>蝶恋花</v>
      </c>
      <c r="K1309" s="4" t="str">
        <f ca="1">_xlfn.IFNA(VLOOKUP(INDIRECT("G"&amp;ROW()),minfo!$A:$M,COLUMN()-8,0),"")</f>
        <v>说说Crystal</v>
      </c>
      <c r="L1309" s="4">
        <f ca="1">_xlfn.IFNA(VLOOKUP(INDIRECT("G"&amp;ROW()),minfo!$A:$M,COLUMN()-8,0),"")</f>
        <v>0</v>
      </c>
      <c r="M1309" s="4">
        <f ca="1">_xlfn.IFNA(VLOOKUP(INDIRECT("G"&amp;ROW()),minfo!$A:$M,COLUMN()-8,0),"")</f>
        <v>0</v>
      </c>
      <c r="N1309" s="4">
        <f ca="1">_xlfn.IFNA(VLOOKUP(INDIRECT("G"&amp;ROW()),minfo!$A:$M,COLUMN()-8,0),"")</f>
        <v>0</v>
      </c>
      <c r="O1309" s="4" t="str">
        <f ca="1">_xlfn.IFNA(VLOOKUP(INDIRECT("G"&amp;ROW()),minfo!$A:$M,COLUMN()-8,0),"")</f>
        <v>https://i0.hdslb.com/bfs/station_src/music_metadata/1f79684c02756b9086386bb0054e5df4.jpg</v>
      </c>
      <c r="P1309" s="4" t="str">
        <f ca="1">_xlfn.IFNA(VLOOKUP(INDIRECT("G"&amp;ROW()),minfo!$A:$M,COLUMN()-8,0),"")</f>
        <v>https://i0.hdslb.com/bfs/station_src/music_metadata/4f297640d47e7f96e96f64cfd258bb5f.txt</v>
      </c>
      <c r="Q1309" s="4">
        <f ca="1">_xlfn.IFNA(VLOOKUP(INDIRECT("G"&amp;ROW()),minfo!$A:$M,COLUMN()-8,0),"")</f>
        <v>1</v>
      </c>
      <c r="R1309" s="4">
        <f ca="1">_xlfn.IFNA(VLOOKUP(INDIRECT("G"&amp;ROW()),minfo!$A:$M,COLUMN()-8,0),"")</f>
        <v>0</v>
      </c>
      <c r="S1309" s="4" t="str">
        <f ca="1">_xlfn.IFNA(VLOOKUP(INDIRECT("G"&amp;ROW()),minfo!$A:$M,COLUMN()-8,0),"")</f>
        <v>蝶恋花</v>
      </c>
      <c r="T1309" s="4">
        <f ca="1">_xlfn.IFNA(VLOOKUP(INDIRECT("G"&amp;ROW()),minfo!$A:$M,COLUMN()-8,0),"")</f>
        <v>514547</v>
      </c>
      <c r="U1309" s="4">
        <f ca="1">_xlfn.IFNA(VLOOKUP(INDIRECT("G"&amp;ROW()),minfo!$A:$M,COLUMN()-8,0),"")</f>
        <v>0</v>
      </c>
    </row>
    <row r="1310" spans="1:21" ht="15.75" customHeight="1">
      <c r="A1310" s="15">
        <v>1309</v>
      </c>
      <c r="B1310" s="4" t="s">
        <v>4928</v>
      </c>
      <c r="C1310" s="4">
        <v>1310</v>
      </c>
      <c r="D1310" s="4">
        <v>152</v>
      </c>
      <c r="E1310" s="4" t="s">
        <v>1520</v>
      </c>
      <c r="F1310" s="16">
        <v>44895</v>
      </c>
      <c r="G1310" s="5" t="s">
        <v>1572</v>
      </c>
      <c r="H1310" s="5" t="s">
        <v>4770</v>
      </c>
      <c r="I1310" s="24" t="str">
        <f>HYPERLINK("https://www.bilibili.com/video/BV1ie4y1B7SZ?p=152", "BV1ie4y1B7SZ?p=152")</f>
        <v>BV1ie4y1B7SZ?p=152</v>
      </c>
      <c r="J1310" s="4" t="str">
        <f ca="1">_xlfn.IFNA(VLOOKUP(INDIRECT("G"&amp;ROW()),minfo!$A:$M,COLUMN()-8,0),"")</f>
        <v>望月</v>
      </c>
      <c r="K1310" s="4" t="str">
        <f ca="1">_xlfn.IFNA(VLOOKUP(INDIRECT("G"&amp;ROW()),minfo!$A:$M,COLUMN()-8,0),"")</f>
        <v>宋祖英</v>
      </c>
      <c r="L1310" s="4">
        <f ca="1">_xlfn.IFNA(VLOOKUP(INDIRECT("G"&amp;ROW()),minfo!$A:$M,COLUMN()-8,0),"")</f>
        <v>0</v>
      </c>
      <c r="M1310" s="4">
        <f ca="1">_xlfn.IFNA(VLOOKUP(INDIRECT("G"&amp;ROW()),minfo!$A:$M,COLUMN()-8,0),"")</f>
        <v>0</v>
      </c>
      <c r="N1310" s="4">
        <f ca="1">_xlfn.IFNA(VLOOKUP(INDIRECT("G"&amp;ROW()),minfo!$A:$M,COLUMN()-8,0),"")</f>
        <v>0</v>
      </c>
      <c r="O1310" s="4" t="str">
        <f ca="1">_xlfn.IFNA(VLOOKUP(INDIRECT("G"&amp;ROW()),minfo!$A:$M,COLUMN()-8,0),"")</f>
        <v>https://i0.hdslb.com/bfs/station_src/music_metadata/f2323a45b4412a3a02fbea8914a0a44e.jpg</v>
      </c>
      <c r="P1310" s="4" t="str">
        <f ca="1">_xlfn.IFNA(VLOOKUP(INDIRECT("G"&amp;ROW()),minfo!$A:$M,COLUMN()-8,0),"")</f>
        <v>https://i0.hdslb.com/bfs/station_src/music_metadata/e29a5aa33d28ad0ccd2810298465b1b4.txt</v>
      </c>
      <c r="Q1310" s="4">
        <f ca="1">_xlfn.IFNA(VLOOKUP(INDIRECT("G"&amp;ROW()),minfo!$A:$M,COLUMN()-8,0),"")</f>
        <v>6</v>
      </c>
      <c r="R1310" s="4">
        <f ca="1">_xlfn.IFNA(VLOOKUP(INDIRECT("G"&amp;ROW()),minfo!$A:$M,COLUMN()-8,0),"")</f>
        <v>0</v>
      </c>
      <c r="S1310" s="4" t="str">
        <f ca="1">_xlfn.IFNA(VLOOKUP(INDIRECT("G"&amp;ROW()),minfo!$A:$M,COLUMN()-8,0),"")</f>
        <v>望月</v>
      </c>
      <c r="T1310" s="4">
        <f ca="1">_xlfn.IFNA(VLOOKUP(INDIRECT("G"&amp;ROW()),minfo!$A:$M,COLUMN()-8,0),"")</f>
        <v>283638</v>
      </c>
      <c r="U1310" s="4">
        <f ca="1">_xlfn.IFNA(VLOOKUP(INDIRECT("G"&amp;ROW()),minfo!$A:$M,COLUMN()-8,0),"")</f>
        <v>0</v>
      </c>
    </row>
    <row r="1311" spans="1:21" ht="15.75" customHeight="1">
      <c r="A1311" s="15">
        <v>1310</v>
      </c>
      <c r="B1311" s="4" t="s">
        <v>4929</v>
      </c>
      <c r="C1311" s="4">
        <v>1311</v>
      </c>
      <c r="D1311" s="4">
        <v>153</v>
      </c>
      <c r="E1311" s="4" t="s">
        <v>2716</v>
      </c>
      <c r="F1311" s="16">
        <v>44895</v>
      </c>
      <c r="G1311" s="5" t="s">
        <v>2715</v>
      </c>
      <c r="H1311" s="5" t="s">
        <v>4770</v>
      </c>
      <c r="I1311" s="24" t="str">
        <f>HYPERLINK("https://www.bilibili.com/video/BV1ie4y1B7SZ?p=153", "BV1ie4y1B7SZ?p=153")</f>
        <v>BV1ie4y1B7SZ?p=153</v>
      </c>
      <c r="J1311" s="4" t="str">
        <f ca="1">_xlfn.IFNA(VLOOKUP(INDIRECT("G"&amp;ROW()),minfo!$A:$M,COLUMN()-8,0),"")</f>
        <v>烛光里的妈妈</v>
      </c>
      <c r="K1311" s="4" t="str">
        <f ca="1">_xlfn.IFNA(VLOOKUP(INDIRECT("G"&amp;ROW()),minfo!$A:$M,COLUMN()-8,0),"")</f>
        <v>毛阿敏</v>
      </c>
      <c r="L1311" s="4">
        <f ca="1">_xlfn.IFNA(VLOOKUP(INDIRECT("G"&amp;ROW()),minfo!$A:$M,COLUMN()-8,0),"")</f>
        <v>0</v>
      </c>
      <c r="M1311" s="4">
        <f ca="1">_xlfn.IFNA(VLOOKUP(INDIRECT("G"&amp;ROW()),minfo!$A:$M,COLUMN()-8,0),"")</f>
        <v>0</v>
      </c>
      <c r="N1311" s="4">
        <f ca="1">_xlfn.IFNA(VLOOKUP(INDIRECT("G"&amp;ROW()),minfo!$A:$M,COLUMN()-8,0),"")</f>
        <v>0</v>
      </c>
      <c r="O1311" s="4" t="str">
        <f ca="1">_xlfn.IFNA(VLOOKUP(INDIRECT("G"&amp;ROW()),minfo!$A:$M,COLUMN()-8,0),"")</f>
        <v>https://i0.hdslb.com/bfs/station_src/music_metadata/4a792467b412816853c15cf3351db857.jpg</v>
      </c>
      <c r="P1311" s="4" t="str">
        <f ca="1">_xlfn.IFNA(VLOOKUP(INDIRECT("G"&amp;ROW()),minfo!$A:$M,COLUMN()-8,0),"")</f>
        <v>http://i0.hdslb.com/bfs/station_src/music_metadata/e488a38e024370b52e526d0bf299b6d9</v>
      </c>
      <c r="Q1311" s="4">
        <f ca="1">_xlfn.IFNA(VLOOKUP(INDIRECT("G"&amp;ROW()),minfo!$A:$M,COLUMN()-8,0),"")</f>
        <v>9</v>
      </c>
      <c r="R1311" s="4">
        <f ca="1">_xlfn.IFNA(VLOOKUP(INDIRECT("G"&amp;ROW()),minfo!$A:$M,COLUMN()-8,0),"")</f>
        <v>0</v>
      </c>
      <c r="S1311" s="4" t="str">
        <f ca="1">_xlfn.IFNA(VLOOKUP(INDIRECT("G"&amp;ROW()),minfo!$A:$M,COLUMN()-8,0),"")</f>
        <v>原唱经典名曲珍藏2</v>
      </c>
      <c r="T1311" s="4">
        <f ca="1">_xlfn.IFNA(VLOOKUP(INDIRECT("G"&amp;ROW()),minfo!$A:$M,COLUMN()-8,0),"")</f>
        <v>16442640</v>
      </c>
      <c r="U1311" s="4">
        <f ca="1">_xlfn.IFNA(VLOOKUP(INDIRECT("G"&amp;ROW()),minfo!$A:$M,COLUMN()-8,0),"")</f>
        <v>0</v>
      </c>
    </row>
    <row r="1312" spans="1:21" ht="15.75" customHeight="1">
      <c r="A1312" s="15">
        <v>1311</v>
      </c>
      <c r="B1312" s="4" t="s">
        <v>4930</v>
      </c>
      <c r="C1312" s="4">
        <v>1312</v>
      </c>
      <c r="D1312" s="4">
        <v>154</v>
      </c>
      <c r="E1312" s="4" t="s">
        <v>4931</v>
      </c>
      <c r="F1312" s="16">
        <v>44895</v>
      </c>
      <c r="G1312" s="5" t="s">
        <v>933</v>
      </c>
      <c r="H1312" s="5" t="s">
        <v>4770</v>
      </c>
      <c r="I1312" s="24" t="str">
        <f>HYPERLINK("https://www.bilibili.com/video/BV1ie4y1B7SZ?p=154", "BV1ie4y1B7SZ?p=154")</f>
        <v>BV1ie4y1B7SZ?p=154</v>
      </c>
      <c r="J1312" s="4" t="str">
        <f ca="1">_xlfn.IFNA(VLOOKUP(INDIRECT("G"&amp;ROW()),minfo!$A:$M,COLUMN()-8,0),"")</f>
        <v>敕勒歌</v>
      </c>
      <c r="K1312" s="4" t="str">
        <f ca="1">_xlfn.IFNA(VLOOKUP(INDIRECT("G"&amp;ROW()),minfo!$A:$M,COLUMN()-8,0),"")</f>
        <v>谭维维</v>
      </c>
      <c r="L1312" s="4">
        <f ca="1">_xlfn.IFNA(VLOOKUP(INDIRECT("G"&amp;ROW()),minfo!$A:$M,COLUMN()-8,0),"")</f>
        <v>0</v>
      </c>
      <c r="M1312" s="4">
        <f ca="1">_xlfn.IFNA(VLOOKUP(INDIRECT("G"&amp;ROW()),minfo!$A:$M,COLUMN()-8,0),"")</f>
        <v>0</v>
      </c>
      <c r="N1312" s="4">
        <f ca="1">_xlfn.IFNA(VLOOKUP(INDIRECT("G"&amp;ROW()),minfo!$A:$M,COLUMN()-8,0),"")</f>
        <v>0</v>
      </c>
      <c r="O1312" s="4" t="str">
        <f ca="1">_xlfn.IFNA(VLOOKUP(INDIRECT("G"&amp;ROW()),minfo!$A:$M,COLUMN()-8,0),"")</f>
        <v>https://i0.hdslb.com/bfs/station_src/music_metadata/4633e67685206de0672cc528709e3e2f.jpg</v>
      </c>
      <c r="P1312" s="4" t="str">
        <f ca="1">_xlfn.IFNA(VLOOKUP(INDIRECT("G"&amp;ROW()),minfo!$A:$M,COLUMN()-8,0),"")</f>
        <v>https://i0.hdslb.com/bfs/station_src/music_metadata/dff7d3073b6cc36766c38942f1f4cf16.txt</v>
      </c>
      <c r="Q1312" s="4">
        <f ca="1">_xlfn.IFNA(VLOOKUP(INDIRECT("G"&amp;ROW()),minfo!$A:$M,COLUMN()-8,0),"")</f>
        <v>382</v>
      </c>
      <c r="R1312" s="4">
        <f ca="1">_xlfn.IFNA(VLOOKUP(INDIRECT("G"&amp;ROW()),minfo!$A:$M,COLUMN()-8,0),"")</f>
        <v>0</v>
      </c>
      <c r="S1312" s="4" t="str">
        <f ca="1">_xlfn.IFNA(VLOOKUP(INDIRECT("G"&amp;ROW()),minfo!$A:$M,COLUMN()-8,0),"")</f>
        <v>经典咏流传第二季 第六期</v>
      </c>
      <c r="T1312" s="4">
        <f ca="1">_xlfn.IFNA(VLOOKUP(INDIRECT("G"&amp;ROW()),minfo!$A:$M,COLUMN()-8,0),"")</f>
        <v>19549830</v>
      </c>
      <c r="U1312" s="4">
        <f ca="1">_xlfn.IFNA(VLOOKUP(INDIRECT("G"&amp;ROW()),minfo!$A:$M,COLUMN()-8,0),"")</f>
        <v>0</v>
      </c>
    </row>
    <row r="1313" spans="1:21" ht="15.75" customHeight="1">
      <c r="A1313" s="15">
        <v>1312</v>
      </c>
      <c r="B1313" s="4" t="s">
        <v>4932</v>
      </c>
      <c r="C1313" s="4">
        <v>1313</v>
      </c>
      <c r="D1313" s="4">
        <v>155</v>
      </c>
      <c r="E1313" s="4" t="s">
        <v>2721</v>
      </c>
      <c r="F1313" s="16">
        <v>44895</v>
      </c>
      <c r="G1313" s="5" t="s">
        <v>2720</v>
      </c>
      <c r="H1313" s="5" t="s">
        <v>4770</v>
      </c>
      <c r="I1313" s="24" t="str">
        <f>HYPERLINK("https://www.bilibili.com/video/BV1ie4y1B7SZ?p=155", "BV1ie4y1B7SZ?p=155")</f>
        <v>BV1ie4y1B7SZ?p=155</v>
      </c>
      <c r="J1313" s="4" t="str">
        <f ca="1">_xlfn.IFNA(VLOOKUP(INDIRECT("G"&amp;ROW()),minfo!$A:$M,COLUMN()-8,0),"")</f>
        <v>天之大</v>
      </c>
      <c r="K1313" s="4" t="str">
        <f ca="1">_xlfn.IFNA(VLOOKUP(INDIRECT("G"&amp;ROW()),minfo!$A:$M,COLUMN()-8,0),"")</f>
        <v>毛阿敏</v>
      </c>
      <c r="L1313" s="4">
        <f ca="1">_xlfn.IFNA(VLOOKUP(INDIRECT("G"&amp;ROW()),minfo!$A:$M,COLUMN()-8,0),"")</f>
        <v>0</v>
      </c>
      <c r="M1313" s="4">
        <f ca="1">_xlfn.IFNA(VLOOKUP(INDIRECT("G"&amp;ROW()),minfo!$A:$M,COLUMN()-8,0),"")</f>
        <v>0</v>
      </c>
      <c r="N1313" s="4">
        <f ca="1">_xlfn.IFNA(VLOOKUP(INDIRECT("G"&amp;ROW()),minfo!$A:$M,COLUMN()-8,0),"")</f>
        <v>0</v>
      </c>
      <c r="O1313" s="4" t="str">
        <f ca="1">_xlfn.IFNA(VLOOKUP(INDIRECT("G"&amp;ROW()),minfo!$A:$M,COLUMN()-8,0),"")</f>
        <v>https://i0.hdslb.com/bfs/station_src/music_metadata/5d003420eda734ee91e6ce9e7d816317.jpg</v>
      </c>
      <c r="P1313" s="4" t="str">
        <f ca="1">_xlfn.IFNA(VLOOKUP(INDIRECT("G"&amp;ROW()),minfo!$A:$M,COLUMN()-8,0),"")</f>
        <v>https://i0.hdslb.com/bfs/station_src/music_metadata/9748587dd5ed905c8c255eff4c762f86.txt</v>
      </c>
      <c r="Q1313" s="4">
        <f ca="1">_xlfn.IFNA(VLOOKUP(INDIRECT("G"&amp;ROW()),minfo!$A:$M,COLUMN()-8,0),"")</f>
        <v>62</v>
      </c>
      <c r="R1313" s="4">
        <f ca="1">_xlfn.IFNA(VLOOKUP(INDIRECT("G"&amp;ROW()),minfo!$A:$M,COLUMN()-8,0),"")</f>
        <v>0</v>
      </c>
      <c r="S1313" s="4" t="str">
        <f ca="1">_xlfn.IFNA(VLOOKUP(INDIRECT("G"&amp;ROW()),minfo!$A:$M,COLUMN()-8,0),"")</f>
        <v>腔.调</v>
      </c>
      <c r="T1313" s="4">
        <f ca="1">_xlfn.IFNA(VLOOKUP(INDIRECT("G"&amp;ROW()),minfo!$A:$M,COLUMN()-8,0),"")</f>
        <v>35288991</v>
      </c>
      <c r="U1313" s="4">
        <f ca="1">_xlfn.IFNA(VLOOKUP(INDIRECT("G"&amp;ROW()),minfo!$A:$M,COLUMN()-8,0),"")</f>
        <v>0</v>
      </c>
    </row>
    <row r="1314" spans="1:21" ht="15.75" customHeight="1">
      <c r="A1314" s="15">
        <v>1313</v>
      </c>
      <c r="B1314" s="4" t="s">
        <v>4933</v>
      </c>
      <c r="C1314" s="4">
        <v>1314</v>
      </c>
      <c r="D1314" s="4">
        <v>156</v>
      </c>
      <c r="E1314" s="4" t="s">
        <v>1887</v>
      </c>
      <c r="F1314" s="16">
        <v>44898</v>
      </c>
      <c r="G1314" s="5" t="s">
        <v>1886</v>
      </c>
      <c r="H1314" s="5" t="s">
        <v>4770</v>
      </c>
      <c r="I1314" s="24" t="str">
        <f>HYPERLINK("https://www.bilibili.com/video/BV1ie4y1B7SZ?p=156", "BV1ie4y1B7SZ?p=156")</f>
        <v>BV1ie4y1B7SZ?p=156</v>
      </c>
      <c r="J1314" s="4" t="str">
        <f ca="1">_xlfn.IFNA(VLOOKUP(INDIRECT("G"&amp;ROW()),minfo!$A:$M,COLUMN()-8,0),"")</f>
        <v>快乐手账</v>
      </c>
      <c r="K1314" s="4" t="str">
        <f ca="1">_xlfn.IFNA(VLOOKUP(INDIRECT("G"&amp;ROW()),minfo!$A:$M,COLUMN()-8,0),"")</f>
        <v>初音未来</v>
      </c>
      <c r="L1314" s="4">
        <f ca="1">_xlfn.IFNA(VLOOKUP(INDIRECT("G"&amp;ROW()),minfo!$A:$M,COLUMN()-8,0),"")</f>
        <v>0</v>
      </c>
      <c r="M1314" s="4">
        <f ca="1">_xlfn.IFNA(VLOOKUP(INDIRECT("G"&amp;ROW()),minfo!$A:$M,COLUMN()-8,0),"")</f>
        <v>0</v>
      </c>
      <c r="N1314" s="4">
        <f ca="1">_xlfn.IFNA(VLOOKUP(INDIRECT("G"&amp;ROW()),minfo!$A:$M,COLUMN()-8,0),"")</f>
        <v>0</v>
      </c>
      <c r="O1314" s="4" t="str">
        <f ca="1">_xlfn.IFNA(VLOOKUP(INDIRECT("G"&amp;ROW()),minfo!$A:$M,COLUMN()-8,0),"")</f>
        <v>http://i0.hdslb.com/bfs/station_src/music_metadata/6d0fe4d5c4dc61f5d1d037d0e6855532.jpg</v>
      </c>
      <c r="P1314" s="4">
        <f ca="1">_xlfn.IFNA(VLOOKUP(INDIRECT("G"&amp;ROW()),minfo!$A:$M,COLUMN()-8,0),"")</f>
        <v>0</v>
      </c>
      <c r="Q1314" s="4">
        <f ca="1">_xlfn.IFNA(VLOOKUP(INDIRECT("G"&amp;ROW()),minfo!$A:$M,COLUMN()-8,0),"")</f>
        <v>42</v>
      </c>
      <c r="R1314" s="4">
        <f ca="1">_xlfn.IFNA(VLOOKUP(INDIRECT("G"&amp;ROW()),minfo!$A:$M,COLUMN()-8,0),"")</f>
        <v>0</v>
      </c>
      <c r="S1314" s="4" t="str">
        <f ca="1">_xlfn.IFNA(VLOOKUP(INDIRECT("G"&amp;ROW()),minfo!$A:$M,COLUMN()-8,0),"")</f>
        <v>快乐手账</v>
      </c>
      <c r="T1314" s="4">
        <f ca="1">_xlfn.IFNA(VLOOKUP(INDIRECT("G"&amp;ROW()),minfo!$A:$M,COLUMN()-8,0),"")</f>
        <v>6085354</v>
      </c>
      <c r="U1314" s="4">
        <f ca="1">_xlfn.IFNA(VLOOKUP(INDIRECT("G"&amp;ROW()),minfo!$A:$M,COLUMN()-8,0),"")</f>
        <v>0</v>
      </c>
    </row>
    <row r="1315" spans="1:21" ht="15.75" customHeight="1">
      <c r="A1315" s="15">
        <v>1314</v>
      </c>
      <c r="B1315" s="4" t="s">
        <v>4934</v>
      </c>
      <c r="C1315" s="4">
        <v>1315</v>
      </c>
      <c r="D1315" s="4">
        <v>157</v>
      </c>
      <c r="E1315" s="4" t="s">
        <v>324</v>
      </c>
      <c r="F1315" s="16">
        <v>44898</v>
      </c>
      <c r="G1315" s="5" t="s">
        <v>323</v>
      </c>
      <c r="H1315" s="5" t="s">
        <v>4770</v>
      </c>
      <c r="I1315" s="24" t="str">
        <f>HYPERLINK("https://www.bilibili.com/video/BV1ie4y1B7SZ?p=157", "BV1ie4y1B7SZ?p=157")</f>
        <v>BV1ie4y1B7SZ?p=157</v>
      </c>
      <c r="J1315" s="4" t="str">
        <f ca="1">_xlfn.IFNA(VLOOKUP(INDIRECT("G"&amp;ROW()),minfo!$A:$M,COLUMN()-8,0),"")</f>
        <v>致你</v>
      </c>
      <c r="K1315" s="4" t="str">
        <f ca="1">_xlfn.IFNA(VLOOKUP(INDIRECT("G"&amp;ROW()),minfo!$A:$M,COLUMN()-8,0),"")</f>
        <v>王赫野</v>
      </c>
      <c r="L1315" s="4">
        <f ca="1">_xlfn.IFNA(VLOOKUP(INDIRECT("G"&amp;ROW()),minfo!$A:$M,COLUMN()-8,0),"")</f>
        <v>0</v>
      </c>
      <c r="M1315" s="4">
        <f ca="1">_xlfn.IFNA(VLOOKUP(INDIRECT("G"&amp;ROW()),minfo!$A:$M,COLUMN()-8,0),"")</f>
        <v>0</v>
      </c>
      <c r="N1315" s="4">
        <f ca="1">_xlfn.IFNA(VLOOKUP(INDIRECT("G"&amp;ROW()),minfo!$A:$M,COLUMN()-8,0),"")</f>
        <v>0</v>
      </c>
      <c r="O1315" s="4" t="str">
        <f ca="1">_xlfn.IFNA(VLOOKUP(INDIRECT("G"&amp;ROW()),minfo!$A:$M,COLUMN()-8,0),"")</f>
        <v>http://i0.hdslb.com/bfs/station_src/music_metadata/683916d89744a5d7c887a277e409cfaf.jpg</v>
      </c>
      <c r="P1315" s="4">
        <f ca="1">_xlfn.IFNA(VLOOKUP(INDIRECT("G"&amp;ROW()),minfo!$A:$M,COLUMN()-8,0),"")</f>
        <v>0</v>
      </c>
      <c r="Q1315" s="4">
        <f ca="1">_xlfn.IFNA(VLOOKUP(INDIRECT("G"&amp;ROW()),minfo!$A:$M,COLUMN()-8,0),"")</f>
        <v>3362</v>
      </c>
      <c r="R1315" s="4">
        <f ca="1">_xlfn.IFNA(VLOOKUP(INDIRECT("G"&amp;ROW()),minfo!$A:$M,COLUMN()-8,0),"")</f>
        <v>0</v>
      </c>
      <c r="S1315" s="4" t="str">
        <f ca="1">_xlfn.IFNA(VLOOKUP(INDIRECT("G"&amp;ROW()),minfo!$A:$M,COLUMN()-8,0),"")</f>
        <v>致你</v>
      </c>
      <c r="T1315" s="4">
        <f ca="1">_xlfn.IFNA(VLOOKUP(INDIRECT("G"&amp;ROW()),minfo!$A:$M,COLUMN()-8,0),"")</f>
        <v>258996748</v>
      </c>
      <c r="U1315" s="4">
        <f ca="1">_xlfn.IFNA(VLOOKUP(INDIRECT("G"&amp;ROW()),minfo!$A:$M,COLUMN()-8,0),"")</f>
        <v>0</v>
      </c>
    </row>
    <row r="1316" spans="1:21" ht="15.75" customHeight="1">
      <c r="A1316" s="15">
        <v>1315</v>
      </c>
      <c r="B1316" s="4" t="s">
        <v>4935</v>
      </c>
      <c r="C1316" s="4">
        <v>1316</v>
      </c>
      <c r="D1316" s="4">
        <v>158</v>
      </c>
      <c r="E1316" s="4" t="s">
        <v>113</v>
      </c>
      <c r="F1316" s="16">
        <v>44898</v>
      </c>
      <c r="G1316" s="5" t="s">
        <v>113</v>
      </c>
      <c r="H1316" s="5" t="s">
        <v>4770</v>
      </c>
      <c r="I1316" s="24" t="str">
        <f>HYPERLINK("https://www.bilibili.com/video/BV1ie4y1B7SZ?p=158", "BV1ie4y1B7SZ?p=158")</f>
        <v>BV1ie4y1B7SZ?p=158</v>
      </c>
      <c r="J1316" s="4" t="str">
        <f ca="1">_xlfn.IFNA(VLOOKUP(INDIRECT("G"&amp;ROW()),minfo!$A:$M,COLUMN()-8,0),"")</f>
        <v>牡丹亭畔</v>
      </c>
      <c r="K1316" s="4" t="str">
        <f ca="1">_xlfn.IFNA(VLOOKUP(INDIRECT("G"&amp;ROW()),minfo!$A:$M,COLUMN()-8,0),"")</f>
        <v>说说Crystal</v>
      </c>
      <c r="L1316" s="4" t="str">
        <f ca="1">_xlfn.IFNA(VLOOKUP(INDIRECT("G"&amp;ROW()),minfo!$A:$M,COLUMN()-8,0),"")</f>
        <v>BV1CP411M7tc</v>
      </c>
      <c r="M1316" s="4">
        <f ca="1">_xlfn.IFNA(VLOOKUP(INDIRECT("G"&amp;ROW()),minfo!$A:$M,COLUMN()-8,0),"")</f>
        <v>0</v>
      </c>
      <c r="N1316" s="4">
        <f ca="1">_xlfn.IFNA(VLOOKUP(INDIRECT("G"&amp;ROW()),minfo!$A:$M,COLUMN()-8,0),"")</f>
        <v>0</v>
      </c>
      <c r="O1316" s="4">
        <f ca="1">_xlfn.IFNA(VLOOKUP(INDIRECT("G"&amp;ROW()),minfo!$A:$M,COLUMN()-8,0),"")</f>
        <v>0</v>
      </c>
      <c r="P1316" s="4">
        <f ca="1">_xlfn.IFNA(VLOOKUP(INDIRECT("G"&amp;ROW()),minfo!$A:$M,COLUMN()-8,0),"")</f>
        <v>0</v>
      </c>
      <c r="Q1316" s="4">
        <f ca="1">_xlfn.IFNA(VLOOKUP(INDIRECT("G"&amp;ROW()),minfo!$A:$M,COLUMN()-8,0),"")</f>
        <v>0</v>
      </c>
      <c r="R1316" s="4">
        <f ca="1">_xlfn.IFNA(VLOOKUP(INDIRECT("G"&amp;ROW()),minfo!$A:$M,COLUMN()-8,0),"")</f>
        <v>0</v>
      </c>
      <c r="S1316" s="4">
        <f ca="1">_xlfn.IFNA(VLOOKUP(INDIRECT("G"&amp;ROW()),minfo!$A:$M,COLUMN()-8,0),"")</f>
        <v>0</v>
      </c>
      <c r="T1316" s="4">
        <f ca="1">_xlfn.IFNA(VLOOKUP(INDIRECT("G"&amp;ROW()),minfo!$A:$M,COLUMN()-8,0),"")</f>
        <v>0</v>
      </c>
      <c r="U1316" s="4">
        <f ca="1">_xlfn.IFNA(VLOOKUP(INDIRECT("G"&amp;ROW()),minfo!$A:$M,COLUMN()-8,0),"")</f>
        <v>0</v>
      </c>
    </row>
    <row r="1317" spans="1:21" ht="15.75" customHeight="1">
      <c r="A1317" s="15">
        <v>1316</v>
      </c>
      <c r="B1317" s="4" t="s">
        <v>4936</v>
      </c>
      <c r="C1317" s="4">
        <v>1317</v>
      </c>
      <c r="D1317" s="4">
        <v>159</v>
      </c>
      <c r="E1317" s="4" t="s">
        <v>1078</v>
      </c>
      <c r="F1317" s="16">
        <v>44898</v>
      </c>
      <c r="G1317" s="5" t="s">
        <v>1077</v>
      </c>
      <c r="H1317" s="5" t="s">
        <v>4770</v>
      </c>
      <c r="I1317" s="24" t="str">
        <f>HYPERLINK("https://www.bilibili.com/video/BV1ie4y1B7SZ?p=159", "BV1ie4y1B7SZ?p=159")</f>
        <v>BV1ie4y1B7SZ?p=159</v>
      </c>
      <c r="J1317" s="4" t="str">
        <f ca="1">_xlfn.IFNA(VLOOKUP(INDIRECT("G"&amp;ROW()),minfo!$A:$M,COLUMN()-8,0),"")</f>
        <v>最长的电影</v>
      </c>
      <c r="K1317" s="4" t="str">
        <f ca="1">_xlfn.IFNA(VLOOKUP(INDIRECT("G"&amp;ROW()),minfo!$A:$M,COLUMN()-8,0),"")</f>
        <v>周杰伦</v>
      </c>
      <c r="L1317" s="4">
        <f ca="1">_xlfn.IFNA(VLOOKUP(INDIRECT("G"&amp;ROW()),minfo!$A:$M,COLUMN()-8,0),"")</f>
        <v>0</v>
      </c>
      <c r="M1317" s="4">
        <f ca="1">_xlfn.IFNA(VLOOKUP(INDIRECT("G"&amp;ROW()),minfo!$A:$M,COLUMN()-8,0),"")</f>
        <v>0</v>
      </c>
      <c r="N1317" s="4">
        <f ca="1">_xlfn.IFNA(VLOOKUP(INDIRECT("G"&amp;ROW()),minfo!$A:$M,COLUMN()-8,0),"")</f>
        <v>0</v>
      </c>
      <c r="O1317" s="4" t="str">
        <f ca="1">_xlfn.IFNA(VLOOKUP(INDIRECT("G"&amp;ROW()),minfo!$A:$M,COLUMN()-8,0),"")</f>
        <v>https://i0.hdslb.com/bfs/station_src/music_metadata/7eaa1a96d6dc901ac8d38b532ba49f47.jpg</v>
      </c>
      <c r="P1317" s="4" t="str">
        <f ca="1">_xlfn.IFNA(VLOOKUP(INDIRECT("G"&amp;ROW()),minfo!$A:$M,COLUMN()-8,0),"")</f>
        <v>http://i0.hdslb.com/bfs/station_src/music_metadata/62e80a61723a09aff7da0f2c4f4612c9</v>
      </c>
      <c r="Q1317" s="4">
        <f ca="1">_xlfn.IFNA(VLOOKUP(INDIRECT("G"&amp;ROW()),minfo!$A:$M,COLUMN()-8,0),"")</f>
        <v>2026</v>
      </c>
      <c r="R1317" s="4">
        <f ca="1">_xlfn.IFNA(VLOOKUP(INDIRECT("G"&amp;ROW()),minfo!$A:$M,COLUMN()-8,0),"")</f>
        <v>0</v>
      </c>
      <c r="S1317" s="4" t="str">
        <f ca="1">_xlfn.IFNA(VLOOKUP(INDIRECT("G"&amp;ROW()),minfo!$A:$M,COLUMN()-8,0),"")</f>
        <v>我很忙</v>
      </c>
      <c r="T1317" s="4">
        <f ca="1">_xlfn.IFNA(VLOOKUP(INDIRECT("G"&amp;ROW()),minfo!$A:$M,COLUMN()-8,0),"")</f>
        <v>437092203</v>
      </c>
      <c r="U1317" s="4">
        <f ca="1">_xlfn.IFNA(VLOOKUP(INDIRECT("G"&amp;ROW()),minfo!$A:$M,COLUMN()-8,0),"")</f>
        <v>0</v>
      </c>
    </row>
    <row r="1318" spans="1:21" ht="15.75" customHeight="1">
      <c r="A1318" s="15">
        <v>1317</v>
      </c>
      <c r="B1318" s="4" t="s">
        <v>4937</v>
      </c>
      <c r="C1318" s="4">
        <v>1318</v>
      </c>
      <c r="D1318" s="4">
        <v>160</v>
      </c>
      <c r="E1318" s="4" t="s">
        <v>1626</v>
      </c>
      <c r="F1318" s="16">
        <v>44898</v>
      </c>
      <c r="G1318" s="5" t="s">
        <v>1625</v>
      </c>
      <c r="H1318" s="5" t="s">
        <v>4770</v>
      </c>
      <c r="I1318" s="24" t="str">
        <f>HYPERLINK("https://www.bilibili.com/video/BV1ie4y1B7SZ?p=160", "BV1ie4y1B7SZ?p=160")</f>
        <v>BV1ie4y1B7SZ?p=160</v>
      </c>
      <c r="J1318" s="4" t="str">
        <f ca="1">_xlfn.IFNA(VLOOKUP(INDIRECT("G"&amp;ROW()),minfo!$A:$M,COLUMN()-8,0),"")</f>
        <v>胡桃夹子</v>
      </c>
      <c r="K1318" s="4" t="str">
        <f ca="1">_xlfn.IFNA(VLOOKUP(INDIRECT("G"&amp;ROW()),minfo!$A:$M,COLUMN()-8,0),"")</f>
        <v>张碧晨</v>
      </c>
      <c r="L1318" s="4">
        <f ca="1">_xlfn.IFNA(VLOOKUP(INDIRECT("G"&amp;ROW()),minfo!$A:$M,COLUMN()-8,0),"")</f>
        <v>0</v>
      </c>
      <c r="M1318" s="4">
        <f ca="1">_xlfn.IFNA(VLOOKUP(INDIRECT("G"&amp;ROW()),minfo!$A:$M,COLUMN()-8,0),"")</f>
        <v>0</v>
      </c>
      <c r="N1318" s="4">
        <f ca="1">_xlfn.IFNA(VLOOKUP(INDIRECT("G"&amp;ROW()),minfo!$A:$M,COLUMN()-8,0),"")</f>
        <v>0</v>
      </c>
      <c r="O1318" s="4" t="str">
        <f ca="1">_xlfn.IFNA(VLOOKUP(INDIRECT("G"&amp;ROW()),minfo!$A:$M,COLUMN()-8,0),"")</f>
        <v>https://i0.hdslb.com/bfs/station_src/music_metadata/08b6c6308b2c1cf59367111a3273728c.jpg</v>
      </c>
      <c r="P1318" s="4" t="str">
        <f ca="1">_xlfn.IFNA(VLOOKUP(INDIRECT("G"&amp;ROW()),minfo!$A:$M,COLUMN()-8,0),"")</f>
        <v>http://i0.hdslb.com/bfs/station_src/music_metadata/0cef69ab24d021bdbe707a67ed2d53f4</v>
      </c>
      <c r="Q1318" s="4">
        <f ca="1">_xlfn.IFNA(VLOOKUP(INDIRECT("G"&amp;ROW()),minfo!$A:$M,COLUMN()-8,0),"")</f>
        <v>26</v>
      </c>
      <c r="R1318" s="4" t="str">
        <f ca="1">_xlfn.IFNA(VLOOKUP(INDIRECT("G"&amp;ROW()),minfo!$A:$M,COLUMN()-8,0),"")</f>
        <v>《健忘村》电影宣传曲</v>
      </c>
      <c r="S1318" s="4" t="str">
        <f ca="1">_xlfn.IFNA(VLOOKUP(INDIRECT("G"&amp;ROW()),minfo!$A:$M,COLUMN()-8,0),"")</f>
        <v>开往早晨的午夜</v>
      </c>
      <c r="T1318" s="4">
        <f ca="1">_xlfn.IFNA(VLOOKUP(INDIRECT("G"&amp;ROW()),minfo!$A:$M,COLUMN()-8,0),"")</f>
        <v>19335728</v>
      </c>
      <c r="U1318" s="4">
        <f ca="1">_xlfn.IFNA(VLOOKUP(INDIRECT("G"&amp;ROW()),minfo!$A:$M,COLUMN()-8,0),"")</f>
        <v>0</v>
      </c>
    </row>
    <row r="1319" spans="1:21" ht="15.75" customHeight="1">
      <c r="A1319" s="15">
        <v>1318</v>
      </c>
      <c r="B1319" s="4" t="s">
        <v>4938</v>
      </c>
      <c r="C1319" s="4">
        <v>1319</v>
      </c>
      <c r="D1319" s="4">
        <v>161</v>
      </c>
      <c r="E1319" s="4" t="s">
        <v>2067</v>
      </c>
      <c r="F1319" s="16">
        <v>44898</v>
      </c>
      <c r="G1319" s="5" t="s">
        <v>2066</v>
      </c>
      <c r="H1319" s="5" t="s">
        <v>4770</v>
      </c>
      <c r="I1319" s="24" t="str">
        <f>HYPERLINK("https://www.bilibili.com/video/BV1ie4y1B7SZ?p=161", "BV1ie4y1B7SZ?p=161")</f>
        <v>BV1ie4y1B7SZ?p=161</v>
      </c>
      <c r="J1319" s="4" t="str">
        <f ca="1">_xlfn.IFNA(VLOOKUP(INDIRECT("G"&amp;ROW()),minfo!$A:$M,COLUMN()-8,0),"")</f>
        <v>勾指起誓</v>
      </c>
      <c r="K1319" s="4" t="str">
        <f ca="1">_xlfn.IFNA(VLOOKUP(INDIRECT("G"&amp;ROW()),minfo!$A:$M,COLUMN()-8,0),"")</f>
        <v>洛天依,ilem</v>
      </c>
      <c r="L1319" s="4">
        <f ca="1">_xlfn.IFNA(VLOOKUP(INDIRECT("G"&amp;ROW()),minfo!$A:$M,COLUMN()-8,0),"")</f>
        <v>0</v>
      </c>
      <c r="M1319" s="4">
        <f ca="1">_xlfn.IFNA(VLOOKUP(INDIRECT("G"&amp;ROW()),minfo!$A:$M,COLUMN()-8,0),"")</f>
        <v>0</v>
      </c>
      <c r="N1319" s="4">
        <f ca="1">_xlfn.IFNA(VLOOKUP(INDIRECT("G"&amp;ROW()),minfo!$A:$M,COLUMN()-8,0),"")</f>
        <v>0</v>
      </c>
      <c r="O1319" s="4" t="str">
        <f ca="1">_xlfn.IFNA(VLOOKUP(INDIRECT("G"&amp;ROW()),minfo!$A:$M,COLUMN()-8,0),"")</f>
        <v>https://i0.hdslb.com/bfs/station_src/music_metadata/2bf703ca0968210e39946b5a88262f56.jpg</v>
      </c>
      <c r="P1319" s="4">
        <f ca="1">_xlfn.IFNA(VLOOKUP(INDIRECT("G"&amp;ROW()),minfo!$A:$M,COLUMN()-8,0),"")</f>
        <v>0</v>
      </c>
      <c r="Q1319" s="4">
        <f ca="1">_xlfn.IFNA(VLOOKUP(INDIRECT("G"&amp;ROW()),minfo!$A:$M,COLUMN()-8,0),"")</f>
        <v>5625</v>
      </c>
      <c r="R1319" s="4">
        <f ca="1">_xlfn.IFNA(VLOOKUP(INDIRECT("G"&amp;ROW()),minfo!$A:$M,COLUMN()-8,0),"")</f>
        <v>0</v>
      </c>
      <c r="S1319" s="4" t="str">
        <f ca="1">_xlfn.IFNA(VLOOKUP(INDIRECT("G"&amp;ROW()),minfo!$A:$M,COLUMN()-8,0),"")</f>
        <v>2:3</v>
      </c>
      <c r="T1319" s="4">
        <f ca="1">_xlfn.IFNA(VLOOKUP(INDIRECT("G"&amp;ROW()),minfo!$A:$M,COLUMN()-8,0),"")</f>
        <v>733581386</v>
      </c>
      <c r="U1319" s="4">
        <f ca="1">_xlfn.IFNA(VLOOKUP(INDIRECT("G"&amp;ROW()),minfo!$A:$M,COLUMN()-8,0),"")</f>
        <v>0</v>
      </c>
    </row>
    <row r="1320" spans="1:21" ht="15.75" customHeight="1">
      <c r="A1320" s="15">
        <v>1319</v>
      </c>
      <c r="B1320" s="4" t="s">
        <v>4939</v>
      </c>
      <c r="C1320" s="4">
        <v>1320</v>
      </c>
      <c r="D1320" s="4">
        <v>162</v>
      </c>
      <c r="E1320" s="4" t="s">
        <v>3688</v>
      </c>
      <c r="F1320" s="16">
        <v>44898</v>
      </c>
      <c r="G1320" s="5" t="s">
        <v>668</v>
      </c>
      <c r="H1320" s="5" t="s">
        <v>4770</v>
      </c>
      <c r="I1320" s="24" t="str">
        <f>HYPERLINK("https://www.bilibili.com/video/BV1ie4y1B7SZ?p=162", "BV1ie4y1B7SZ?p=162")</f>
        <v>BV1ie4y1B7SZ?p=162</v>
      </c>
      <c r="J1320" s="4" t="str">
        <f ca="1">_xlfn.IFNA(VLOOKUP(INDIRECT("G"&amp;ROW()),minfo!$A:$M,COLUMN()-8,0),"")</f>
        <v>Caro mio ben</v>
      </c>
      <c r="K1320" s="4" t="str">
        <f ca="1">_xlfn.IFNA(VLOOKUP(INDIRECT("G"&amp;ROW()),minfo!$A:$M,COLUMN()-8,0),"")</f>
        <v>Cecilia Bartoli,György Fischer</v>
      </c>
      <c r="L1320" s="4">
        <f ca="1">_xlfn.IFNA(VLOOKUP(INDIRECT("G"&amp;ROW()),minfo!$A:$M,COLUMN()-8,0),"")</f>
        <v>0</v>
      </c>
      <c r="M1320" s="4">
        <f ca="1">_xlfn.IFNA(VLOOKUP(INDIRECT("G"&amp;ROW()),minfo!$A:$M,COLUMN()-8,0),"")</f>
        <v>0</v>
      </c>
      <c r="N1320" s="4">
        <f ca="1">_xlfn.IFNA(VLOOKUP(INDIRECT("G"&amp;ROW()),minfo!$A:$M,COLUMN()-8,0),"")</f>
        <v>0</v>
      </c>
      <c r="O1320" s="4" t="str">
        <f ca="1">_xlfn.IFNA(VLOOKUP(INDIRECT("G"&amp;ROW()),minfo!$A:$M,COLUMN()-8,0),"")</f>
        <v>https://i0.hdslb.com/bfs/station_src/music_metadata/0981282252a965b7fe42604b66b68284.jpg</v>
      </c>
      <c r="P1320" s="4">
        <f ca="1">_xlfn.IFNA(VLOOKUP(INDIRECT("G"&amp;ROW()),minfo!$A:$M,COLUMN()-8,0),"")</f>
        <v>0</v>
      </c>
      <c r="Q1320" s="4">
        <f ca="1">_xlfn.IFNA(VLOOKUP(INDIRECT("G"&amp;ROW()),minfo!$A:$M,COLUMN()-8,0),"")</f>
        <v>4</v>
      </c>
      <c r="R1320" s="4">
        <f ca="1">_xlfn.IFNA(VLOOKUP(INDIRECT("G"&amp;ROW()),minfo!$A:$M,COLUMN()-8,0),"")</f>
        <v>0</v>
      </c>
      <c r="S1320" s="4" t="str">
        <f ca="1">_xlfn.IFNA(VLOOKUP(INDIRECT("G"&amp;ROW()),minfo!$A:$M,COLUMN()-8,0),"")</f>
        <v>Cecilia Bartoli - Arie Antiche: Se tu m'ami</v>
      </c>
      <c r="T1320" s="4">
        <f ca="1">_xlfn.IFNA(VLOOKUP(INDIRECT("G"&amp;ROW()),minfo!$A:$M,COLUMN()-8,0),"")</f>
        <v>789902</v>
      </c>
      <c r="U1320" s="4">
        <f ca="1">_xlfn.IFNA(VLOOKUP(INDIRECT("G"&amp;ROW()),minfo!$A:$M,COLUMN()-8,0),"")</f>
        <v>0</v>
      </c>
    </row>
    <row r="1321" spans="1:21" ht="15.75" customHeight="1">
      <c r="A1321" s="15">
        <v>1320</v>
      </c>
      <c r="B1321" s="4" t="s">
        <v>4940</v>
      </c>
      <c r="C1321" s="4">
        <v>1321</v>
      </c>
      <c r="D1321" s="4">
        <v>163</v>
      </c>
      <c r="E1321" s="4" t="s">
        <v>313</v>
      </c>
      <c r="F1321" s="16">
        <v>44898</v>
      </c>
      <c r="G1321" s="5" t="s">
        <v>312</v>
      </c>
      <c r="H1321" s="5" t="s">
        <v>4770</v>
      </c>
      <c r="I1321" s="24" t="str">
        <f>HYPERLINK("https://www.bilibili.com/video/BV1ie4y1B7SZ?p=163", "BV1ie4y1B7SZ?p=163")</f>
        <v>BV1ie4y1B7SZ?p=163</v>
      </c>
      <c r="J1321" s="4" t="str">
        <f ca="1">_xlfn.IFNA(VLOOKUP(INDIRECT("G"&amp;ROW()),minfo!$A:$M,COLUMN()-8,0),"")</f>
        <v>鸿雁</v>
      </c>
      <c r="K1321" s="4" t="str">
        <f ca="1">_xlfn.IFNA(VLOOKUP(INDIRECT("G"&amp;ROW()),minfo!$A:$M,COLUMN()-8,0),"")</f>
        <v>呼斯楞,柏菲音乐</v>
      </c>
      <c r="L1321" s="4">
        <f ca="1">_xlfn.IFNA(VLOOKUP(INDIRECT("G"&amp;ROW()),minfo!$A:$M,COLUMN()-8,0),"")</f>
        <v>0</v>
      </c>
      <c r="M1321" s="4">
        <f ca="1">_xlfn.IFNA(VLOOKUP(INDIRECT("G"&amp;ROW()),minfo!$A:$M,COLUMN()-8,0),"")</f>
        <v>0</v>
      </c>
      <c r="N1321" s="4">
        <f ca="1">_xlfn.IFNA(VLOOKUP(INDIRECT("G"&amp;ROW()),minfo!$A:$M,COLUMN()-8,0),"")</f>
        <v>0</v>
      </c>
      <c r="O1321" s="4" t="str">
        <f ca="1">_xlfn.IFNA(VLOOKUP(INDIRECT("G"&amp;ROW()),minfo!$A:$M,COLUMN()-8,0),"")</f>
        <v>https://i0.hdslb.com/bfs/station_src/music_metadata/757ef72664f713a69ffc3e10d1eaad5d.jpg</v>
      </c>
      <c r="P1321" s="4" t="str">
        <f ca="1">_xlfn.IFNA(VLOOKUP(INDIRECT("G"&amp;ROW()),minfo!$A:$M,COLUMN()-8,0),"")</f>
        <v>https://i0.hdslb.com/bfs/station_src/music_metadata/1cc81a2b8e82def7add1a73a9f9486fe.txt</v>
      </c>
      <c r="Q1321" s="4">
        <f ca="1">_xlfn.IFNA(VLOOKUP(INDIRECT("G"&amp;ROW()),minfo!$A:$M,COLUMN()-8,0),"")</f>
        <v>1717</v>
      </c>
      <c r="R1321" s="4">
        <f ca="1">_xlfn.IFNA(VLOOKUP(INDIRECT("G"&amp;ROW()),minfo!$A:$M,COLUMN()-8,0),"")</f>
        <v>0</v>
      </c>
      <c r="S1321" s="4" t="str">
        <f ca="1">_xlfn.IFNA(VLOOKUP(INDIRECT("G"&amp;ROW()),minfo!$A:$M,COLUMN()-8,0),"")</f>
        <v>非同凡响NO·3</v>
      </c>
      <c r="T1321" s="4">
        <f ca="1">_xlfn.IFNA(VLOOKUP(INDIRECT("G"&amp;ROW()),minfo!$A:$M,COLUMN()-8,0),"")</f>
        <v>79378829</v>
      </c>
      <c r="U1321" s="4">
        <f ca="1">_xlfn.IFNA(VLOOKUP(INDIRECT("G"&amp;ROW()),minfo!$A:$M,COLUMN()-8,0),"")</f>
        <v>0</v>
      </c>
    </row>
    <row r="1322" spans="1:21" ht="15.75" customHeight="1">
      <c r="A1322" s="15">
        <v>1321</v>
      </c>
      <c r="B1322" s="4" t="s">
        <v>4941</v>
      </c>
      <c r="C1322" s="4">
        <v>1322</v>
      </c>
      <c r="D1322" s="4">
        <v>164</v>
      </c>
      <c r="E1322" s="4" t="s">
        <v>4942</v>
      </c>
      <c r="F1322" s="16">
        <v>44898</v>
      </c>
      <c r="G1322" s="5" t="s">
        <v>2725</v>
      </c>
      <c r="H1322" s="5" t="s">
        <v>4770</v>
      </c>
      <c r="I1322" s="24" t="str">
        <f>HYPERLINK("https://www.bilibili.com/video/BV1ie4y1B7SZ?p=164", "BV1ie4y1B7SZ?p=164")</f>
        <v>BV1ie4y1B7SZ?p=164</v>
      </c>
      <c r="J1322" s="4" t="str">
        <f ca="1">_xlfn.IFNA(VLOOKUP(INDIRECT("G"&amp;ROW()),minfo!$A:$M,COLUMN()-8,0),"")</f>
        <v xml:space="preserve"> Intorno all'idol mio</v>
      </c>
      <c r="K1322" s="4" t="str">
        <f ca="1">_xlfn.IFNA(VLOOKUP(INDIRECT("G"&amp;ROW()),minfo!$A:$M,COLUMN()-8,0),"")</f>
        <v>Teresa Berganza,Felix Lavilla</v>
      </c>
      <c r="L1322" s="4">
        <f ca="1">_xlfn.IFNA(VLOOKUP(INDIRECT("G"&amp;ROW()),minfo!$A:$M,COLUMN()-8,0),"")</f>
        <v>0</v>
      </c>
      <c r="M1322" s="4">
        <f ca="1">_xlfn.IFNA(VLOOKUP(INDIRECT("G"&amp;ROW()),minfo!$A:$M,COLUMN()-8,0),"")</f>
        <v>0</v>
      </c>
      <c r="N1322" s="4">
        <f ca="1">_xlfn.IFNA(VLOOKUP(INDIRECT("G"&amp;ROW()),minfo!$A:$M,COLUMN()-8,0),"")</f>
        <v>0</v>
      </c>
      <c r="O1322" s="4" t="str">
        <f ca="1">_xlfn.IFNA(VLOOKUP(INDIRECT("G"&amp;ROW()),minfo!$A:$M,COLUMN()-8,0),"")</f>
        <v>https://i0.hdslb.com/bfs/station_src/music_metadata/cdb05d26b1b2f4953055f260fee40a88.jpg</v>
      </c>
      <c r="P1322" s="4" t="str">
        <f ca="1">_xlfn.IFNA(VLOOKUP(INDIRECT("G"&amp;ROW()),minfo!$A:$M,COLUMN()-8,0),"")</f>
        <v>https://i0.hdslb.com/bfs/station_src/music_metadata/0239bb6771efc45782c6e4a36c06dfdf.txt</v>
      </c>
      <c r="Q1322" s="4">
        <f ca="1">_xlfn.IFNA(VLOOKUP(INDIRECT("G"&amp;ROW()),minfo!$A:$M,COLUMN()-8,0),"")</f>
        <v>0</v>
      </c>
      <c r="R1322" s="4">
        <f ca="1">_xlfn.IFNA(VLOOKUP(INDIRECT("G"&amp;ROW()),minfo!$A:$M,COLUMN()-8,0),"")</f>
        <v>0</v>
      </c>
      <c r="S1322" s="4" t="str">
        <f ca="1">_xlfn.IFNA(VLOOKUP(INDIRECT("G"&amp;ROW()),minfo!$A:$M,COLUMN()-8,0),"")</f>
        <v>Una voce poco fa - A Portrait of Teresa Berganza</v>
      </c>
      <c r="T1322" s="4">
        <f ca="1">_xlfn.IFNA(VLOOKUP(INDIRECT("G"&amp;ROW()),minfo!$A:$M,COLUMN()-8,0),"")</f>
        <v>104686</v>
      </c>
      <c r="U1322" s="4">
        <f ca="1">_xlfn.IFNA(VLOOKUP(INDIRECT("G"&amp;ROW()),minfo!$A:$M,COLUMN()-8,0),"")</f>
        <v>0</v>
      </c>
    </row>
    <row r="1323" spans="1:21" ht="15.75" customHeight="1">
      <c r="A1323" s="15">
        <v>1322</v>
      </c>
      <c r="B1323" s="4" t="s">
        <v>4943</v>
      </c>
      <c r="C1323" s="4">
        <v>1323</v>
      </c>
      <c r="D1323" s="4">
        <v>165</v>
      </c>
      <c r="E1323" s="4" t="s">
        <v>1093</v>
      </c>
      <c r="F1323" s="16">
        <v>44898</v>
      </c>
      <c r="G1323" s="5" t="s">
        <v>1092</v>
      </c>
      <c r="H1323" s="5" t="s">
        <v>4770</v>
      </c>
      <c r="I1323" s="24" t="str">
        <f>HYPERLINK("https://www.bilibili.com/video/BV1ie4y1B7SZ?p=165", "BV1ie4y1B7SZ?p=165")</f>
        <v>BV1ie4y1B7SZ?p=165</v>
      </c>
      <c r="J1323" s="4" t="str">
        <f ca="1">_xlfn.IFNA(VLOOKUP(INDIRECT("G"&amp;ROW()),minfo!$A:$M,COLUMN()-8,0),"")</f>
        <v>彩云之南</v>
      </c>
      <c r="K1323" s="4" t="str">
        <f ca="1">_xlfn.IFNA(VLOOKUP(INDIRECT("G"&amp;ROW()),minfo!$A:$M,COLUMN()-8,0),"")</f>
        <v>徐千雅</v>
      </c>
      <c r="L1323" s="4">
        <f ca="1">_xlfn.IFNA(VLOOKUP(INDIRECT("G"&amp;ROW()),minfo!$A:$M,COLUMN()-8,0),"")</f>
        <v>0</v>
      </c>
      <c r="M1323" s="4">
        <f ca="1">_xlfn.IFNA(VLOOKUP(INDIRECT("G"&amp;ROW()),minfo!$A:$M,COLUMN()-8,0),"")</f>
        <v>0</v>
      </c>
      <c r="N1323" s="4">
        <f ca="1">_xlfn.IFNA(VLOOKUP(INDIRECT("G"&amp;ROW()),minfo!$A:$M,COLUMN()-8,0),"")</f>
        <v>0</v>
      </c>
      <c r="O1323" s="4" t="str">
        <f ca="1">_xlfn.IFNA(VLOOKUP(INDIRECT("G"&amp;ROW()),minfo!$A:$M,COLUMN()-8,0),"")</f>
        <v>https://i0.hdslb.com/bfs/station_src/music_metadata/ec25a3c6f461a6f39992766a69b70f38.jpg</v>
      </c>
      <c r="P1323" s="4" t="str">
        <f ca="1">_xlfn.IFNA(VLOOKUP(INDIRECT("G"&amp;ROW()),minfo!$A:$M,COLUMN()-8,0),"")</f>
        <v>https://i0.hdslb.com/bfs/station_src/music_metadata/dd25918a2979b4b5717af8832b7f9199.txt</v>
      </c>
      <c r="Q1323" s="4">
        <f ca="1">_xlfn.IFNA(VLOOKUP(INDIRECT("G"&amp;ROW()),minfo!$A:$M,COLUMN()-8,0),"")</f>
        <v>565</v>
      </c>
      <c r="R1323" s="4">
        <f ca="1">_xlfn.IFNA(VLOOKUP(INDIRECT("G"&amp;ROW()),minfo!$A:$M,COLUMN()-8,0),"")</f>
        <v>0</v>
      </c>
      <c r="S1323" s="4" t="str">
        <f ca="1">_xlfn.IFNA(VLOOKUP(INDIRECT("G"&amp;ROW()),minfo!$A:$M,COLUMN()-8,0),"")</f>
        <v>彩云之南</v>
      </c>
      <c r="T1323" s="4">
        <f ca="1">_xlfn.IFNA(VLOOKUP(INDIRECT("G"&amp;ROW()),minfo!$A:$M,COLUMN()-8,0),"")</f>
        <v>52168799</v>
      </c>
      <c r="U1323" s="4">
        <f ca="1">_xlfn.IFNA(VLOOKUP(INDIRECT("G"&amp;ROW()),minfo!$A:$M,COLUMN()-8,0),"")</f>
        <v>0</v>
      </c>
    </row>
    <row r="1324" spans="1:21" ht="15.75" customHeight="1">
      <c r="A1324" s="15">
        <v>1323</v>
      </c>
      <c r="B1324" s="4" t="s">
        <v>4944</v>
      </c>
      <c r="C1324" s="4">
        <v>1324</v>
      </c>
      <c r="D1324" s="4">
        <v>166</v>
      </c>
      <c r="E1324" s="4" t="s">
        <v>812</v>
      </c>
      <c r="F1324" s="16">
        <v>44899</v>
      </c>
      <c r="G1324" s="5" t="s">
        <v>811</v>
      </c>
      <c r="H1324" s="5" t="s">
        <v>4770</v>
      </c>
      <c r="I1324" s="24" t="str">
        <f>HYPERLINK("https://www.bilibili.com/video/BV1ie4y1B7SZ?p=166", "BV1ie4y1B7SZ?p=166")</f>
        <v>BV1ie4y1B7SZ?p=166</v>
      </c>
      <c r="J1324" s="4" t="str">
        <f ca="1">_xlfn.IFNA(VLOOKUP(INDIRECT("G"&amp;ROW()),minfo!$A:$M,COLUMN()-8,0),"")</f>
        <v>下雨的夜晚</v>
      </c>
      <c r="K1324" s="4" t="str">
        <f ca="1">_xlfn.IFNA(VLOOKUP(INDIRECT("G"&amp;ROW()),minfo!$A:$M,COLUMN()-8,0),"")</f>
        <v>苏打绿</v>
      </c>
      <c r="L1324" s="4">
        <f ca="1">_xlfn.IFNA(VLOOKUP(INDIRECT("G"&amp;ROW()),minfo!$A:$M,COLUMN()-8,0),"")</f>
        <v>0</v>
      </c>
      <c r="M1324" s="4">
        <f ca="1">_xlfn.IFNA(VLOOKUP(INDIRECT("G"&amp;ROW()),minfo!$A:$M,COLUMN()-8,0),"")</f>
        <v>0</v>
      </c>
      <c r="N1324" s="4">
        <f ca="1">_xlfn.IFNA(VLOOKUP(INDIRECT("G"&amp;ROW()),minfo!$A:$M,COLUMN()-8,0),"")</f>
        <v>0</v>
      </c>
      <c r="O1324" s="4" t="str">
        <f ca="1">_xlfn.IFNA(VLOOKUP(INDIRECT("G"&amp;ROW()),minfo!$A:$M,COLUMN()-8,0),"")</f>
        <v>https://i0.hdslb.com/bfs/station_src/music_metadata/515892bd2a4d344caf93fec714c813be.jpg</v>
      </c>
      <c r="P1324" s="4">
        <f ca="1">_xlfn.IFNA(VLOOKUP(INDIRECT("G"&amp;ROW()),minfo!$A:$M,COLUMN()-8,0),"")</f>
        <v>0</v>
      </c>
      <c r="Q1324" s="4">
        <f ca="1">_xlfn.IFNA(VLOOKUP(INDIRECT("G"&amp;ROW()),minfo!$A:$M,COLUMN()-8,0),"")</f>
        <v>14</v>
      </c>
      <c r="R1324" s="4">
        <f ca="1">_xlfn.IFNA(VLOOKUP(INDIRECT("G"&amp;ROW()),minfo!$A:$M,COLUMN()-8,0),"")</f>
        <v>0</v>
      </c>
      <c r="S1324" s="4" t="str">
        <f ca="1">_xlfn.IFNA(VLOOKUP(INDIRECT("G"&amp;ROW()),minfo!$A:$M,COLUMN()-8,0),"")</f>
        <v>冬 未了</v>
      </c>
      <c r="T1324" s="4">
        <f ca="1">_xlfn.IFNA(VLOOKUP(INDIRECT("G"&amp;ROW()),minfo!$A:$M,COLUMN()-8,0),"")</f>
        <v>3649724</v>
      </c>
      <c r="U1324" s="4">
        <f ca="1">_xlfn.IFNA(VLOOKUP(INDIRECT("G"&amp;ROW()),minfo!$A:$M,COLUMN()-8,0),"")</f>
        <v>0</v>
      </c>
    </row>
    <row r="1325" spans="1:21" ht="15.75" customHeight="1">
      <c r="A1325" s="15">
        <v>1324</v>
      </c>
      <c r="B1325" s="4" t="s">
        <v>4945</v>
      </c>
      <c r="C1325" s="4">
        <v>1325</v>
      </c>
      <c r="D1325" s="4">
        <v>167</v>
      </c>
      <c r="E1325" s="4" t="s">
        <v>732</v>
      </c>
      <c r="F1325" s="16">
        <v>44902</v>
      </c>
      <c r="G1325" s="5" t="s">
        <v>731</v>
      </c>
      <c r="H1325" s="5" t="s">
        <v>4770</v>
      </c>
      <c r="I1325" s="24" t="str">
        <f>HYPERLINK("https://www.bilibili.com/video/BV1ie4y1B7SZ?p=167", "BV1ie4y1B7SZ?p=167")</f>
        <v>BV1ie4y1B7SZ?p=167</v>
      </c>
      <c r="J1325" s="4" t="str">
        <f ca="1">_xlfn.IFNA(VLOOKUP(INDIRECT("G"&amp;ROW()),minfo!$A:$M,COLUMN()-8,0),"")</f>
        <v>园游会</v>
      </c>
      <c r="K1325" s="4" t="str">
        <f ca="1">_xlfn.IFNA(VLOOKUP(INDIRECT("G"&amp;ROW()),minfo!$A:$M,COLUMN()-8,0),"")</f>
        <v>周杰伦</v>
      </c>
      <c r="L1325" s="4">
        <f ca="1">_xlfn.IFNA(VLOOKUP(INDIRECT("G"&amp;ROW()),minfo!$A:$M,COLUMN()-8,0),"")</f>
        <v>0</v>
      </c>
      <c r="M1325" s="4">
        <f ca="1">_xlfn.IFNA(VLOOKUP(INDIRECT("G"&amp;ROW()),minfo!$A:$M,COLUMN()-8,0),"")</f>
        <v>0</v>
      </c>
      <c r="N1325" s="4">
        <f ca="1">_xlfn.IFNA(VLOOKUP(INDIRECT("G"&amp;ROW()),minfo!$A:$M,COLUMN()-8,0),"")</f>
        <v>0</v>
      </c>
      <c r="O1325" s="4" t="str">
        <f ca="1">_xlfn.IFNA(VLOOKUP(INDIRECT("G"&amp;ROW()),minfo!$A:$M,COLUMN()-8,0),"")</f>
        <v>https://i0.hdslb.com/bfs/station_src/music_metadata/6e1ac13753b4f6ee9b6064e5eea74ee9.jpg</v>
      </c>
      <c r="P1325" s="4">
        <f ca="1">_xlfn.IFNA(VLOOKUP(INDIRECT("G"&amp;ROW()),minfo!$A:$M,COLUMN()-8,0),"")</f>
        <v>0</v>
      </c>
      <c r="Q1325" s="4">
        <f ca="1">_xlfn.IFNA(VLOOKUP(INDIRECT("G"&amp;ROW()),minfo!$A:$M,COLUMN()-8,0),"")</f>
        <v>2471</v>
      </c>
      <c r="R1325" s="4">
        <f ca="1">_xlfn.IFNA(VLOOKUP(INDIRECT("G"&amp;ROW()),minfo!$A:$M,COLUMN()-8,0),"")</f>
        <v>0</v>
      </c>
      <c r="S1325" s="4" t="str">
        <f ca="1">_xlfn.IFNA(VLOOKUP(INDIRECT("G"&amp;ROW()),minfo!$A:$M,COLUMN()-8,0),"")</f>
        <v>七里香</v>
      </c>
      <c r="T1325" s="4">
        <f ca="1">_xlfn.IFNA(VLOOKUP(INDIRECT("G"&amp;ROW()),minfo!$A:$M,COLUMN()-8,0),"")</f>
        <v>492310935</v>
      </c>
      <c r="U1325" s="4" t="str">
        <f ca="1">_xlfn.IFNA(VLOOKUP(INDIRECT("G"&amp;ROW()),minfo!$A:$M,COLUMN()-8,0),"")</f>
        <v>音乐榜最高NO.13</v>
      </c>
    </row>
    <row r="1326" spans="1:21" ht="15.75" customHeight="1">
      <c r="A1326" s="15">
        <v>1325</v>
      </c>
      <c r="B1326" s="4" t="s">
        <v>4946</v>
      </c>
      <c r="C1326" s="4">
        <v>1326</v>
      </c>
      <c r="D1326" s="4">
        <v>168</v>
      </c>
      <c r="E1326" s="4" t="s">
        <v>2732</v>
      </c>
      <c r="F1326" s="16">
        <v>44902</v>
      </c>
      <c r="G1326" s="5" t="s">
        <v>2731</v>
      </c>
      <c r="H1326" s="5" t="s">
        <v>4770</v>
      </c>
      <c r="I1326" s="24" t="str">
        <f>HYPERLINK("https://www.bilibili.com/video/BV1ie4y1B7SZ?p=168", "BV1ie4y1B7SZ?p=168")</f>
        <v>BV1ie4y1B7SZ?p=168</v>
      </c>
      <c r="J1326" s="4" t="str">
        <f ca="1">_xlfn.IFNA(VLOOKUP(INDIRECT("G"&amp;ROW()),minfo!$A:$M,COLUMN()-8,0),"")</f>
        <v>跟着你到天边</v>
      </c>
      <c r="K1326" s="4" t="str">
        <f ca="1">_xlfn.IFNA(VLOOKUP(INDIRECT("G"&amp;ROW()),minfo!$A:$M,COLUMN()-8,0),"")</f>
        <v>吴青峰</v>
      </c>
      <c r="L1326" s="4">
        <f ca="1">_xlfn.IFNA(VLOOKUP(INDIRECT("G"&amp;ROW()),minfo!$A:$M,COLUMN()-8,0),"")</f>
        <v>0</v>
      </c>
      <c r="M1326" s="4">
        <f ca="1">_xlfn.IFNA(VLOOKUP(INDIRECT("G"&amp;ROW()),minfo!$A:$M,COLUMN()-8,0),"")</f>
        <v>0</v>
      </c>
      <c r="N1326" s="4">
        <f ca="1">_xlfn.IFNA(VLOOKUP(INDIRECT("G"&amp;ROW()),minfo!$A:$M,COLUMN()-8,0),"")</f>
        <v>0</v>
      </c>
      <c r="O1326" s="4" t="str">
        <f ca="1">_xlfn.IFNA(VLOOKUP(INDIRECT("G"&amp;ROW()),minfo!$A:$M,COLUMN()-8,0),"")</f>
        <v>https://i0.hdslb.com/bfs/station_src/music_metadata/3492f067a0464399c415438c889f5d97.jpg</v>
      </c>
      <c r="P1326" s="4" t="str">
        <f ca="1">_xlfn.IFNA(VLOOKUP(INDIRECT("G"&amp;ROW()),minfo!$A:$M,COLUMN()-8,0),"")</f>
        <v>https://i0.hdslb.com/bfs/station_src/music_metadata/b646bb50ba158d1f36c68b60c6351167.txt</v>
      </c>
      <c r="Q1326" s="4">
        <f ca="1">_xlfn.IFNA(VLOOKUP(INDIRECT("G"&amp;ROW()),minfo!$A:$M,COLUMN()-8,0),"")</f>
        <v>0</v>
      </c>
      <c r="R1326" s="4" t="str">
        <f ca="1">_xlfn.IFNA(VLOOKUP(INDIRECT("G"&amp;ROW()),minfo!$A:$M,COLUMN()-8,0),"")</f>
        <v>《归来》电影主题推广曲</v>
      </c>
      <c r="S1326" s="4" t="str">
        <f ca="1">_xlfn.IFNA(VLOOKUP(INDIRECT("G"&amp;ROW()),minfo!$A:$M,COLUMN()-8,0),"")</f>
        <v>归来 电影原声带</v>
      </c>
      <c r="T1326" s="4">
        <f ca="1">_xlfn.IFNA(VLOOKUP(INDIRECT("G"&amp;ROW()),minfo!$A:$M,COLUMN()-8,0),"")</f>
        <v>1695354</v>
      </c>
      <c r="U1326" s="4">
        <f ca="1">_xlfn.IFNA(VLOOKUP(INDIRECT("G"&amp;ROW()),minfo!$A:$M,COLUMN()-8,0),"")</f>
        <v>0</v>
      </c>
    </row>
    <row r="1327" spans="1:21" ht="15.75" customHeight="1">
      <c r="A1327" s="15">
        <v>1326</v>
      </c>
      <c r="B1327" s="4" t="s">
        <v>4947</v>
      </c>
      <c r="C1327" s="4">
        <v>1327</v>
      </c>
      <c r="D1327" s="4">
        <v>169</v>
      </c>
      <c r="E1327" s="4" t="s">
        <v>1078</v>
      </c>
      <c r="F1327" s="16">
        <v>44902</v>
      </c>
      <c r="G1327" s="5" t="s">
        <v>1077</v>
      </c>
      <c r="H1327" s="5" t="s">
        <v>4770</v>
      </c>
      <c r="I1327" s="24" t="str">
        <f>HYPERLINK("https://www.bilibili.com/video/BV1ie4y1B7SZ?p=169", "BV1ie4y1B7SZ?p=169")</f>
        <v>BV1ie4y1B7SZ?p=169</v>
      </c>
      <c r="J1327" s="4" t="str">
        <f ca="1">_xlfn.IFNA(VLOOKUP(INDIRECT("G"&amp;ROW()),minfo!$A:$M,COLUMN()-8,0),"")</f>
        <v>最长的电影</v>
      </c>
      <c r="K1327" s="4" t="str">
        <f ca="1">_xlfn.IFNA(VLOOKUP(INDIRECT("G"&amp;ROW()),minfo!$A:$M,COLUMN()-8,0),"")</f>
        <v>周杰伦</v>
      </c>
      <c r="L1327" s="4">
        <f ca="1">_xlfn.IFNA(VLOOKUP(INDIRECT("G"&amp;ROW()),minfo!$A:$M,COLUMN()-8,0),"")</f>
        <v>0</v>
      </c>
      <c r="M1327" s="4">
        <f ca="1">_xlfn.IFNA(VLOOKUP(INDIRECT("G"&amp;ROW()),minfo!$A:$M,COLUMN()-8,0),"")</f>
        <v>0</v>
      </c>
      <c r="N1327" s="4">
        <f ca="1">_xlfn.IFNA(VLOOKUP(INDIRECT("G"&amp;ROW()),minfo!$A:$M,COLUMN()-8,0),"")</f>
        <v>0</v>
      </c>
      <c r="O1327" s="4" t="str">
        <f ca="1">_xlfn.IFNA(VLOOKUP(INDIRECT("G"&amp;ROW()),minfo!$A:$M,COLUMN()-8,0),"")</f>
        <v>https://i0.hdslb.com/bfs/station_src/music_metadata/7eaa1a96d6dc901ac8d38b532ba49f47.jpg</v>
      </c>
      <c r="P1327" s="4" t="str">
        <f ca="1">_xlfn.IFNA(VLOOKUP(INDIRECT("G"&amp;ROW()),minfo!$A:$M,COLUMN()-8,0),"")</f>
        <v>http://i0.hdslb.com/bfs/station_src/music_metadata/62e80a61723a09aff7da0f2c4f4612c9</v>
      </c>
      <c r="Q1327" s="4">
        <f ca="1">_xlfn.IFNA(VLOOKUP(INDIRECT("G"&amp;ROW()),minfo!$A:$M,COLUMN()-8,0),"")</f>
        <v>2026</v>
      </c>
      <c r="R1327" s="4">
        <f ca="1">_xlfn.IFNA(VLOOKUP(INDIRECT("G"&amp;ROW()),minfo!$A:$M,COLUMN()-8,0),"")</f>
        <v>0</v>
      </c>
      <c r="S1327" s="4" t="str">
        <f ca="1">_xlfn.IFNA(VLOOKUP(INDIRECT("G"&amp;ROW()),minfo!$A:$M,COLUMN()-8,0),"")</f>
        <v>我很忙</v>
      </c>
      <c r="T1327" s="4">
        <f ca="1">_xlfn.IFNA(VLOOKUP(INDIRECT("G"&amp;ROW()),minfo!$A:$M,COLUMN()-8,0),"")</f>
        <v>437092203</v>
      </c>
      <c r="U1327" s="4">
        <f ca="1">_xlfn.IFNA(VLOOKUP(INDIRECT("G"&amp;ROW()),minfo!$A:$M,COLUMN()-8,0),"")</f>
        <v>0</v>
      </c>
    </row>
    <row r="1328" spans="1:21" ht="15.75" customHeight="1">
      <c r="A1328" s="15">
        <v>1327</v>
      </c>
      <c r="B1328" s="4" t="s">
        <v>4948</v>
      </c>
      <c r="C1328" s="4">
        <v>1328</v>
      </c>
      <c r="D1328" s="4">
        <v>170</v>
      </c>
      <c r="E1328" s="4" t="s">
        <v>237</v>
      </c>
      <c r="F1328" s="16">
        <v>44902</v>
      </c>
      <c r="G1328" s="5" t="s">
        <v>2738</v>
      </c>
      <c r="H1328" s="5" t="s">
        <v>4770</v>
      </c>
      <c r="I1328" s="24" t="str">
        <f>HYPERLINK("https://www.bilibili.com/video/BV1ie4y1B7SZ?p=170", "BV1ie4y1B7SZ?p=170")</f>
        <v>BV1ie4y1B7SZ?p=170</v>
      </c>
      <c r="J1328" s="4" t="str">
        <f ca="1">_xlfn.IFNA(VLOOKUP(INDIRECT("G"&amp;ROW()),minfo!$A:$M,COLUMN()-8,0),"")</f>
        <v>红颜劫</v>
      </c>
      <c r="K1328" s="4" t="str">
        <f ca="1">_xlfn.IFNA(VLOOKUP(INDIRECT("G"&amp;ROW()),minfo!$A:$M,COLUMN()-8,0),"")</f>
        <v>姚贝娜</v>
      </c>
      <c r="L1328" s="4">
        <f ca="1">_xlfn.IFNA(VLOOKUP(INDIRECT("G"&amp;ROW()),minfo!$A:$M,COLUMN()-8,0),"")</f>
        <v>0</v>
      </c>
      <c r="M1328" s="4">
        <f ca="1">_xlfn.IFNA(VLOOKUP(INDIRECT("G"&amp;ROW()),minfo!$A:$M,COLUMN()-8,0),"")</f>
        <v>0</v>
      </c>
      <c r="N1328" s="4">
        <f ca="1">_xlfn.IFNA(VLOOKUP(INDIRECT("G"&amp;ROW()),minfo!$A:$M,COLUMN()-8,0),"")</f>
        <v>0</v>
      </c>
      <c r="O1328" s="4" t="str">
        <f ca="1">_xlfn.IFNA(VLOOKUP(INDIRECT("G"&amp;ROW()),minfo!$A:$M,COLUMN()-8,0),"")</f>
        <v>https://i0.hdslb.com/bfs/station_src/music_metadata/7439ca9fcff597a63723ee3d86fee7a2.jpg</v>
      </c>
      <c r="P1328" s="4" t="str">
        <f ca="1">_xlfn.IFNA(VLOOKUP(INDIRECT("G"&amp;ROW()),minfo!$A:$M,COLUMN()-8,0),"")</f>
        <v>http://i0.hdslb.com/bfs/station_src/music_metadata/d2a83c08a878990f6c49b682ac7ea6de</v>
      </c>
      <c r="Q1328" s="4">
        <f ca="1">_xlfn.IFNA(VLOOKUP(INDIRECT("G"&amp;ROW()),minfo!$A:$M,COLUMN()-8,0),"")</f>
        <v>245</v>
      </c>
      <c r="R1328" s="4" t="str">
        <f ca="1">_xlfn.IFNA(VLOOKUP(INDIRECT("G"&amp;ROW()),minfo!$A:$M,COLUMN()-8,0),"")</f>
        <v>《甄嬛传》电视剧片头主题曲</v>
      </c>
      <c r="S1328" s="4" t="str">
        <f ca="1">_xlfn.IFNA(VLOOKUP(INDIRECT("G"&amp;ROW()),minfo!$A:$M,COLUMN()-8,0),"")</f>
        <v>姚贝娜影视音乐精选辑</v>
      </c>
      <c r="T1328" s="4">
        <f ca="1">_xlfn.IFNA(VLOOKUP(INDIRECT("G"&amp;ROW()),minfo!$A:$M,COLUMN()-8,0),"")</f>
        <v>65472016</v>
      </c>
      <c r="U1328" s="4">
        <f ca="1">_xlfn.IFNA(VLOOKUP(INDIRECT("G"&amp;ROW()),minfo!$A:$M,COLUMN()-8,0),"")</f>
        <v>0</v>
      </c>
    </row>
    <row r="1329" spans="1:21" ht="15.75" customHeight="1">
      <c r="A1329" s="15">
        <v>1328</v>
      </c>
      <c r="B1329" s="4" t="s">
        <v>4949</v>
      </c>
      <c r="C1329" s="4">
        <v>1329</v>
      </c>
      <c r="D1329" s="4">
        <v>171</v>
      </c>
      <c r="E1329" s="4" t="s">
        <v>2744</v>
      </c>
      <c r="F1329" s="16">
        <v>44902</v>
      </c>
      <c r="G1329" s="5" t="s">
        <v>2743</v>
      </c>
      <c r="H1329" s="5" t="s">
        <v>4770</v>
      </c>
      <c r="I1329" s="24" t="str">
        <f>HYPERLINK("https://www.bilibili.com/video/BV1ie4y1B7SZ?p=171", "BV1ie4y1B7SZ?p=171")</f>
        <v>BV1ie4y1B7SZ?p=171</v>
      </c>
      <c r="J1329" s="4" t="str">
        <f ca="1">_xlfn.IFNA(VLOOKUP(INDIRECT("G"&amp;ROW()),minfo!$A:$M,COLUMN()-8,0),"")</f>
        <v>红颜旧</v>
      </c>
      <c r="K1329" s="4" t="str">
        <f ca="1">_xlfn.IFNA(VLOOKUP(INDIRECT("G"&amp;ROW()),minfo!$A:$M,COLUMN()-8,0),"")</f>
        <v>刘涛</v>
      </c>
      <c r="L1329" s="4">
        <f ca="1">_xlfn.IFNA(VLOOKUP(INDIRECT("G"&amp;ROW()),minfo!$A:$M,COLUMN()-8,0),"")</f>
        <v>0</v>
      </c>
      <c r="M1329" s="4">
        <f ca="1">_xlfn.IFNA(VLOOKUP(INDIRECT("G"&amp;ROW()),minfo!$A:$M,COLUMN()-8,0),"")</f>
        <v>0</v>
      </c>
      <c r="N1329" s="4">
        <f ca="1">_xlfn.IFNA(VLOOKUP(INDIRECT("G"&amp;ROW()),minfo!$A:$M,COLUMN()-8,0),"")</f>
        <v>0</v>
      </c>
      <c r="O1329" s="4" t="str">
        <f ca="1">_xlfn.IFNA(VLOOKUP(INDIRECT("G"&amp;ROW()),minfo!$A:$M,COLUMN()-8,0),"")</f>
        <v>https://i0.hdslb.com/bfs/station_src/music_metadata/4acca364560014e7b3320315db233f6e.jpg</v>
      </c>
      <c r="P1329" s="4" t="str">
        <f ca="1">_xlfn.IFNA(VLOOKUP(INDIRECT("G"&amp;ROW()),minfo!$A:$M,COLUMN()-8,0),"")</f>
        <v>http://i0.hdslb.com/bfs/station_src/music_metadata/960777161a66fd64ca416220ee622b30</v>
      </c>
      <c r="Q1329" s="4">
        <f ca="1">_xlfn.IFNA(VLOOKUP(INDIRECT("G"&amp;ROW()),minfo!$A:$M,COLUMN()-8,0),"")</f>
        <v>407</v>
      </c>
      <c r="R1329" s="4" t="str">
        <f ca="1">_xlfn.IFNA(VLOOKUP(INDIRECT("G"&amp;ROW()),minfo!$A:$M,COLUMN()-8,0),"")</f>
        <v>《琅琊榜》电视剧插曲</v>
      </c>
      <c r="S1329" s="4" t="str">
        <f ca="1">_xlfn.IFNA(VLOOKUP(INDIRECT("G"&amp;ROW()),minfo!$A:$M,COLUMN()-8,0),"")</f>
        <v>琅琊榜 电视剧原声带</v>
      </c>
      <c r="T1329" s="4">
        <f ca="1">_xlfn.IFNA(VLOOKUP(INDIRECT("G"&amp;ROW()),minfo!$A:$M,COLUMN()-8,0),"")</f>
        <v>145549019</v>
      </c>
      <c r="U1329" s="4">
        <f ca="1">_xlfn.IFNA(VLOOKUP(INDIRECT("G"&amp;ROW()),minfo!$A:$M,COLUMN()-8,0),"")</f>
        <v>0</v>
      </c>
    </row>
    <row r="1330" spans="1:21" ht="15.75" customHeight="1">
      <c r="A1330" s="15">
        <v>1329</v>
      </c>
      <c r="B1330" s="4" t="s">
        <v>4950</v>
      </c>
      <c r="C1330" s="4">
        <v>1330</v>
      </c>
      <c r="D1330" s="4">
        <v>172</v>
      </c>
      <c r="E1330" s="4" t="s">
        <v>2264</v>
      </c>
      <c r="F1330" s="16">
        <v>44902</v>
      </c>
      <c r="G1330" s="5" t="s">
        <v>2263</v>
      </c>
      <c r="H1330" s="5" t="s">
        <v>4770</v>
      </c>
      <c r="I1330" s="24" t="str">
        <f>HYPERLINK("https://www.bilibili.com/video/BV1ie4y1B7SZ?p=172", "BV1ie4y1B7SZ?p=172")</f>
        <v>BV1ie4y1B7SZ?p=172</v>
      </c>
      <c r="J1330" s="4" t="str">
        <f ca="1">_xlfn.IFNA(VLOOKUP(INDIRECT("G"&amp;ROW()),minfo!$A:$M,COLUMN()-8,0),"")</f>
        <v>一不小心爱上你</v>
      </c>
      <c r="K1330" s="4" t="str">
        <f ca="1">_xlfn.IFNA(VLOOKUP(INDIRECT("G"&amp;ROW()),minfo!$A:$M,COLUMN()-8,0),"")</f>
        <v>张翰,江映蓉</v>
      </c>
      <c r="L1330" s="4">
        <f ca="1">_xlfn.IFNA(VLOOKUP(INDIRECT("G"&amp;ROW()),minfo!$A:$M,COLUMN()-8,0),"")</f>
        <v>0</v>
      </c>
      <c r="M1330" s="4">
        <f ca="1">_xlfn.IFNA(VLOOKUP(INDIRECT("G"&amp;ROW()),minfo!$A:$M,COLUMN()-8,0),"")</f>
        <v>0</v>
      </c>
      <c r="N1330" s="4">
        <f ca="1">_xlfn.IFNA(VLOOKUP(INDIRECT("G"&amp;ROW()),minfo!$A:$M,COLUMN()-8,0),"")</f>
        <v>0</v>
      </c>
      <c r="O1330" s="4" t="str">
        <f ca="1">_xlfn.IFNA(VLOOKUP(INDIRECT("G"&amp;ROW()),minfo!$A:$M,COLUMN()-8,0),"")</f>
        <v>https://i0.hdslb.com/bfs/station_src/music_metadata/cafb2ccf9a624838095d727bb0b0908f.jpg</v>
      </c>
      <c r="P1330" s="4" t="str">
        <f ca="1">_xlfn.IFNA(VLOOKUP(INDIRECT("G"&amp;ROW()),minfo!$A:$M,COLUMN()-8,0),"")</f>
        <v>https://i0.hdslb.com/bfs/station_src/music_metadata/a660c8b2ee98ee1e15a5323134ad7640.txt</v>
      </c>
      <c r="Q1330" s="4">
        <f ca="1">_xlfn.IFNA(VLOOKUP(INDIRECT("G"&amp;ROW()),minfo!$A:$M,COLUMN()-8,0),"")</f>
        <v>11</v>
      </c>
      <c r="R1330" s="4" t="str">
        <f ca="1">_xlfn.IFNA(VLOOKUP(INDIRECT("G"&amp;ROW()),minfo!$A:$M,COLUMN()-8,0),"")</f>
        <v>电视剧《一不小心爱上你》主题曲</v>
      </c>
      <c r="S1330" s="4" t="str">
        <f ca="1">_xlfn.IFNA(VLOOKUP(INDIRECT("G"&amp;ROW()),minfo!$A:$M,COLUMN()-8,0),"")</f>
        <v>一不小心爱上你 电视剧原声带</v>
      </c>
      <c r="T1330" s="4">
        <f ca="1">_xlfn.IFNA(VLOOKUP(INDIRECT("G"&amp;ROW()),minfo!$A:$M,COLUMN()-8,0),"")</f>
        <v>2500283</v>
      </c>
      <c r="U1330" s="4">
        <f ca="1">_xlfn.IFNA(VLOOKUP(INDIRECT("G"&amp;ROW()),minfo!$A:$M,COLUMN()-8,0),"")</f>
        <v>0</v>
      </c>
    </row>
    <row r="1331" spans="1:21" ht="15.75" customHeight="1">
      <c r="A1331" s="15">
        <v>1330</v>
      </c>
      <c r="B1331" s="4" t="s">
        <v>4951</v>
      </c>
      <c r="C1331" s="4">
        <v>1331</v>
      </c>
      <c r="D1331" s="4">
        <v>173</v>
      </c>
      <c r="E1331" s="4" t="s">
        <v>2751</v>
      </c>
      <c r="F1331" s="16">
        <v>44902</v>
      </c>
      <c r="G1331" s="5" t="s">
        <v>2750</v>
      </c>
      <c r="H1331" s="5" t="s">
        <v>4770</v>
      </c>
      <c r="I1331" s="24" t="str">
        <f>HYPERLINK("https://www.bilibili.com/video/BV1ie4y1B7SZ?p=173", "BV1ie4y1B7SZ?p=173")</f>
        <v>BV1ie4y1B7SZ?p=173</v>
      </c>
      <c r="J1331" s="4" t="str">
        <f ca="1">_xlfn.IFNA(VLOOKUP(INDIRECT("G"&amp;ROW()),minfo!$A:$M,COLUMN()-8,0),"")</f>
        <v>化身孤岛的鲸</v>
      </c>
      <c r="K1331" s="4" t="str">
        <f ca="1">_xlfn.IFNA(VLOOKUP(INDIRECT("G"&amp;ROW()),minfo!$A:$M,COLUMN()-8,0),"")</f>
        <v>李日朗</v>
      </c>
      <c r="L1331" s="4">
        <f ca="1">_xlfn.IFNA(VLOOKUP(INDIRECT("G"&amp;ROW()),minfo!$A:$M,COLUMN()-8,0),"")</f>
        <v>0</v>
      </c>
      <c r="M1331" s="4">
        <f ca="1">_xlfn.IFNA(VLOOKUP(INDIRECT("G"&amp;ROW()),minfo!$A:$M,COLUMN()-8,0),"")</f>
        <v>0</v>
      </c>
      <c r="N1331" s="4">
        <f ca="1">_xlfn.IFNA(VLOOKUP(INDIRECT("G"&amp;ROW()),minfo!$A:$M,COLUMN()-8,0),"")</f>
        <v>0</v>
      </c>
      <c r="O1331" s="4" t="str">
        <f ca="1">_xlfn.IFNA(VLOOKUP(INDIRECT("G"&amp;ROW()),minfo!$A:$M,COLUMN()-8,0),"")</f>
        <v>http://i0.hdslb.com/bfs/station_src/music_metadata/8c0df79b6a51661bd2f64147d4612fb1.jpg</v>
      </c>
      <c r="P1331" s="4" t="str">
        <f ca="1">_xlfn.IFNA(VLOOKUP(INDIRECT("G"&amp;ROW()),minfo!$A:$M,COLUMN()-8,0),"")</f>
        <v>http://i0.hdslb.com/bfs/station_src/music_metadata/bdc5a57e8bb59f455d05a3b4a3b302d8</v>
      </c>
      <c r="Q1331" s="4">
        <f ca="1">_xlfn.IFNA(VLOOKUP(INDIRECT("G"&amp;ROW()),minfo!$A:$M,COLUMN()-8,0),"")</f>
        <v>692</v>
      </c>
      <c r="R1331" s="4">
        <f ca="1">_xlfn.IFNA(VLOOKUP(INDIRECT("G"&amp;ROW()),minfo!$A:$M,COLUMN()-8,0),"")</f>
        <v>0</v>
      </c>
      <c r="S1331" s="4" t="str">
        <f ca="1">_xlfn.IFNA(VLOOKUP(INDIRECT("G"&amp;ROW()),minfo!$A:$M,COLUMN()-8,0),"")</f>
        <v>化身孤岛的鲸</v>
      </c>
      <c r="T1331" s="4">
        <f ca="1">_xlfn.IFNA(VLOOKUP(INDIRECT("G"&amp;ROW()),minfo!$A:$M,COLUMN()-8,0),"")</f>
        <v>156262941</v>
      </c>
      <c r="U1331" s="4">
        <f ca="1">_xlfn.IFNA(VLOOKUP(INDIRECT("G"&amp;ROW()),minfo!$A:$M,COLUMN()-8,0),"")</f>
        <v>0</v>
      </c>
    </row>
    <row r="1332" spans="1:21" ht="15.75" customHeight="1">
      <c r="A1332" s="15">
        <v>1331</v>
      </c>
      <c r="B1332" s="4" t="s">
        <v>4952</v>
      </c>
      <c r="C1332" s="4">
        <v>1332</v>
      </c>
      <c r="D1332" s="4">
        <v>174</v>
      </c>
      <c r="E1332" s="4" t="s">
        <v>904</v>
      </c>
      <c r="F1332" s="16">
        <v>44905</v>
      </c>
      <c r="G1332" s="5" t="s">
        <v>903</v>
      </c>
      <c r="H1332" s="5" t="s">
        <v>4770</v>
      </c>
      <c r="I1332" s="24" t="str">
        <f>HYPERLINK("https://www.bilibili.com/video/BV1ie4y1B7SZ?p=174", "BV1ie4y1B7SZ?p=174")</f>
        <v>BV1ie4y1B7SZ?p=174</v>
      </c>
      <c r="J1332" s="4" t="str">
        <f ca="1">_xlfn.IFNA(VLOOKUP(INDIRECT("G"&amp;ROW()),minfo!$A:$M,COLUMN()-8,0),"")</f>
        <v>轨迹</v>
      </c>
      <c r="K1332" s="4" t="str">
        <f ca="1">_xlfn.IFNA(VLOOKUP(INDIRECT("G"&amp;ROW()),minfo!$A:$M,COLUMN()-8,0),"")</f>
        <v>周杰伦</v>
      </c>
      <c r="L1332" s="4">
        <f ca="1">_xlfn.IFNA(VLOOKUP(INDIRECT("G"&amp;ROW()),minfo!$A:$M,COLUMN()-8,0),"")</f>
        <v>0</v>
      </c>
      <c r="M1332" s="4">
        <f ca="1">_xlfn.IFNA(VLOOKUP(INDIRECT("G"&amp;ROW()),minfo!$A:$M,COLUMN()-8,0),"")</f>
        <v>0</v>
      </c>
      <c r="N1332" s="4">
        <f ca="1">_xlfn.IFNA(VLOOKUP(INDIRECT("G"&amp;ROW()),minfo!$A:$M,COLUMN()-8,0),"")</f>
        <v>0</v>
      </c>
      <c r="O1332" s="4" t="str">
        <f ca="1">_xlfn.IFNA(VLOOKUP(INDIRECT("G"&amp;ROW()),minfo!$A:$M,COLUMN()-8,0),"")</f>
        <v>https://i0.hdslb.com/bfs/station_src/music_metadata/439418765b962c30a2db33196128f32b.jpg</v>
      </c>
      <c r="P1332" s="4" t="str">
        <f ca="1">_xlfn.IFNA(VLOOKUP(INDIRECT("G"&amp;ROW()),minfo!$A:$M,COLUMN()-8,0),"")</f>
        <v>copyright-crawler/music/task-lyric/6267f46a504b4c0665fd7bfd.txt</v>
      </c>
      <c r="Q1332" s="4">
        <f ca="1">_xlfn.IFNA(VLOOKUP(INDIRECT("G"&amp;ROW()),minfo!$A:$M,COLUMN()-8,0),"")</f>
        <v>2850</v>
      </c>
      <c r="R1332" s="4" t="str">
        <f ca="1">_xlfn.IFNA(VLOOKUP(INDIRECT("G"&amp;ROW()),minfo!$A:$M,COLUMN()-8,0),"")</f>
        <v>轨迹</v>
      </c>
      <c r="S1332" s="4" t="str">
        <f ca="1">_xlfn.IFNA(VLOOKUP(INDIRECT("G"&amp;ROW()),minfo!$A:$M,COLUMN()-8,0),"")</f>
        <v>寻找周杰伦</v>
      </c>
      <c r="T1332" s="4">
        <f ca="1">_xlfn.IFNA(VLOOKUP(INDIRECT("G"&amp;ROW()),minfo!$A:$M,COLUMN()-8,0),"")</f>
        <v>416774055</v>
      </c>
      <c r="U1332" s="4">
        <f ca="1">_xlfn.IFNA(VLOOKUP(INDIRECT("G"&amp;ROW()),minfo!$A:$M,COLUMN()-8,0),"")</f>
        <v>0</v>
      </c>
    </row>
    <row r="1333" spans="1:21" ht="15.75" customHeight="1">
      <c r="A1333" s="15">
        <v>1332</v>
      </c>
      <c r="B1333" s="4" t="s">
        <v>4953</v>
      </c>
      <c r="C1333" s="4">
        <v>1333</v>
      </c>
      <c r="D1333" s="4">
        <v>175</v>
      </c>
      <c r="E1333" s="4" t="s">
        <v>763</v>
      </c>
      <c r="F1333" s="16">
        <v>44905</v>
      </c>
      <c r="G1333" s="5" t="s">
        <v>762</v>
      </c>
      <c r="H1333" s="5" t="s">
        <v>4770</v>
      </c>
      <c r="I1333" s="24" t="str">
        <f>HYPERLINK("https://www.bilibili.com/video/BV1ie4y1B7SZ?p=175", "BV1ie4y1B7SZ?p=175")</f>
        <v>BV1ie4y1B7SZ?p=175</v>
      </c>
      <c r="J1333" s="4" t="str">
        <f ca="1">_xlfn.IFNA(VLOOKUP(INDIRECT("G"&amp;ROW()),minfo!$A:$M,COLUMN()-8,0),"")</f>
        <v>喂</v>
      </c>
      <c r="K1333" s="4" t="str">
        <f ca="1">_xlfn.IFNA(VLOOKUP(INDIRECT("G"&amp;ROW()),minfo!$A:$M,COLUMN()-8,0),"")</f>
        <v>单依纯</v>
      </c>
      <c r="L1333" s="4">
        <f ca="1">_xlfn.IFNA(VLOOKUP(INDIRECT("G"&amp;ROW()),minfo!$A:$M,COLUMN()-8,0),"")</f>
        <v>0</v>
      </c>
      <c r="M1333" s="4">
        <f ca="1">_xlfn.IFNA(VLOOKUP(INDIRECT("G"&amp;ROW()),minfo!$A:$M,COLUMN()-8,0),"")</f>
        <v>0</v>
      </c>
      <c r="N1333" s="4">
        <f ca="1">_xlfn.IFNA(VLOOKUP(INDIRECT("G"&amp;ROW()),minfo!$A:$M,COLUMN()-8,0),"")</f>
        <v>0</v>
      </c>
      <c r="O1333" s="4" t="str">
        <f ca="1">_xlfn.IFNA(VLOOKUP(INDIRECT("G"&amp;ROW()),minfo!$A:$M,COLUMN()-8,0),"")</f>
        <v>http://i0.hdslb.com/bfs/station_src/music_metadata/3e25166ec82d69eca35a1a16729579ed.jpg</v>
      </c>
      <c r="P1333" s="4" t="str">
        <f ca="1">_xlfn.IFNA(VLOOKUP(INDIRECT("G"&amp;ROW()),minfo!$A:$M,COLUMN()-8,0),"")</f>
        <v>http://i0.hdslb.com/bfs/station_src/music_metadata/2751e8840adbe50ca18c15e272712e78</v>
      </c>
      <c r="Q1333" s="4">
        <f ca="1">_xlfn.IFNA(VLOOKUP(INDIRECT("G"&amp;ROW()),minfo!$A:$M,COLUMN()-8,0),"")</f>
        <v>90</v>
      </c>
      <c r="R1333" s="4">
        <f ca="1">_xlfn.IFNA(VLOOKUP(INDIRECT("G"&amp;ROW()),minfo!$A:$M,COLUMN()-8,0),"")</f>
        <v>0</v>
      </c>
      <c r="S1333" s="4" t="str">
        <f ca="1">_xlfn.IFNA(VLOOKUP(INDIRECT("G"&amp;ROW()),minfo!$A:$M,COLUMN()-8,0),"")</f>
        <v>喂</v>
      </c>
      <c r="T1333" s="4">
        <f ca="1">_xlfn.IFNA(VLOOKUP(INDIRECT("G"&amp;ROW()),minfo!$A:$M,COLUMN()-8,0),"")</f>
        <v>9314230</v>
      </c>
      <c r="U1333" s="4">
        <f ca="1">_xlfn.IFNA(VLOOKUP(INDIRECT("G"&amp;ROW()),minfo!$A:$M,COLUMN()-8,0),"")</f>
        <v>0</v>
      </c>
    </row>
    <row r="1334" spans="1:21" ht="15.75" customHeight="1">
      <c r="A1334" s="15">
        <v>1333</v>
      </c>
      <c r="B1334" s="4" t="s">
        <v>4954</v>
      </c>
      <c r="C1334" s="4">
        <v>1334</v>
      </c>
      <c r="D1334" s="4">
        <v>176</v>
      </c>
      <c r="E1334" s="4" t="s">
        <v>1626</v>
      </c>
      <c r="F1334" s="16">
        <v>44905</v>
      </c>
      <c r="G1334" s="5" t="s">
        <v>1625</v>
      </c>
      <c r="H1334" s="5" t="s">
        <v>4770</v>
      </c>
      <c r="I1334" s="24" t="str">
        <f>HYPERLINK("https://www.bilibili.com/video/BV1ie4y1B7SZ?p=176", "BV1ie4y1B7SZ?p=176")</f>
        <v>BV1ie4y1B7SZ?p=176</v>
      </c>
      <c r="J1334" s="4" t="str">
        <f ca="1">_xlfn.IFNA(VLOOKUP(INDIRECT("G"&amp;ROW()),minfo!$A:$M,COLUMN()-8,0),"")</f>
        <v>胡桃夹子</v>
      </c>
      <c r="K1334" s="4" t="str">
        <f ca="1">_xlfn.IFNA(VLOOKUP(INDIRECT("G"&amp;ROW()),minfo!$A:$M,COLUMN()-8,0),"")</f>
        <v>张碧晨</v>
      </c>
      <c r="L1334" s="4">
        <f ca="1">_xlfn.IFNA(VLOOKUP(INDIRECT("G"&amp;ROW()),minfo!$A:$M,COLUMN()-8,0),"")</f>
        <v>0</v>
      </c>
      <c r="M1334" s="4">
        <f ca="1">_xlfn.IFNA(VLOOKUP(INDIRECT("G"&amp;ROW()),minfo!$A:$M,COLUMN()-8,0),"")</f>
        <v>0</v>
      </c>
      <c r="N1334" s="4">
        <f ca="1">_xlfn.IFNA(VLOOKUP(INDIRECT("G"&amp;ROW()),minfo!$A:$M,COLUMN()-8,0),"")</f>
        <v>0</v>
      </c>
      <c r="O1334" s="4" t="str">
        <f ca="1">_xlfn.IFNA(VLOOKUP(INDIRECT("G"&amp;ROW()),minfo!$A:$M,COLUMN()-8,0),"")</f>
        <v>https://i0.hdslb.com/bfs/station_src/music_metadata/08b6c6308b2c1cf59367111a3273728c.jpg</v>
      </c>
      <c r="P1334" s="4" t="str">
        <f ca="1">_xlfn.IFNA(VLOOKUP(INDIRECT("G"&amp;ROW()),minfo!$A:$M,COLUMN()-8,0),"")</f>
        <v>http://i0.hdslb.com/bfs/station_src/music_metadata/0cef69ab24d021bdbe707a67ed2d53f4</v>
      </c>
      <c r="Q1334" s="4">
        <f ca="1">_xlfn.IFNA(VLOOKUP(INDIRECT("G"&amp;ROW()),minfo!$A:$M,COLUMN()-8,0),"")</f>
        <v>26</v>
      </c>
      <c r="R1334" s="4" t="str">
        <f ca="1">_xlfn.IFNA(VLOOKUP(INDIRECT("G"&amp;ROW()),minfo!$A:$M,COLUMN()-8,0),"")</f>
        <v>《健忘村》电影宣传曲</v>
      </c>
      <c r="S1334" s="4" t="str">
        <f ca="1">_xlfn.IFNA(VLOOKUP(INDIRECT("G"&amp;ROW()),minfo!$A:$M,COLUMN()-8,0),"")</f>
        <v>开往早晨的午夜</v>
      </c>
      <c r="T1334" s="4">
        <f ca="1">_xlfn.IFNA(VLOOKUP(INDIRECT("G"&amp;ROW()),minfo!$A:$M,COLUMN()-8,0),"")</f>
        <v>19335728</v>
      </c>
      <c r="U1334" s="4">
        <f ca="1">_xlfn.IFNA(VLOOKUP(INDIRECT("G"&amp;ROW()),minfo!$A:$M,COLUMN()-8,0),"")</f>
        <v>0</v>
      </c>
    </row>
    <row r="1335" spans="1:21" ht="15.75" customHeight="1">
      <c r="A1335" s="15">
        <v>1334</v>
      </c>
      <c r="B1335" s="4" t="s">
        <v>4955</v>
      </c>
      <c r="C1335" s="4">
        <v>1335</v>
      </c>
      <c r="D1335" s="4">
        <v>177</v>
      </c>
      <c r="E1335" s="4" t="s">
        <v>347</v>
      </c>
      <c r="F1335" s="16">
        <v>44905</v>
      </c>
      <c r="G1335" s="5" t="s">
        <v>346</v>
      </c>
      <c r="H1335" s="5" t="s">
        <v>4770</v>
      </c>
      <c r="I1335" s="24" t="str">
        <f>HYPERLINK("https://www.bilibili.com/video/BV1ie4y1B7SZ?p=177", "BV1ie4y1B7SZ?p=177")</f>
        <v>BV1ie4y1B7SZ?p=177</v>
      </c>
      <c r="J1335" s="4" t="str">
        <f ca="1">_xlfn.IFNA(VLOOKUP(INDIRECT("G"&amp;ROW()),minfo!$A:$M,COLUMN()-8,0),"")</f>
        <v>雨樱花</v>
      </c>
      <c r="K1335" s="4" t="str">
        <f ca="1">_xlfn.IFNA(VLOOKUP(INDIRECT("G"&amp;ROW()),minfo!$A:$M,COLUMN()-8,0),"")</f>
        <v>F.I.R.飞儿乐团</v>
      </c>
      <c r="L1335" s="4">
        <f ca="1">_xlfn.IFNA(VLOOKUP(INDIRECT("G"&amp;ROW()),minfo!$A:$M,COLUMN()-8,0),"")</f>
        <v>0</v>
      </c>
      <c r="M1335" s="4">
        <f ca="1">_xlfn.IFNA(VLOOKUP(INDIRECT("G"&amp;ROW()),minfo!$A:$M,COLUMN()-8,0),"")</f>
        <v>0</v>
      </c>
      <c r="N1335" s="4">
        <f ca="1">_xlfn.IFNA(VLOOKUP(INDIRECT("G"&amp;ROW()),minfo!$A:$M,COLUMN()-8,0),"")</f>
        <v>0</v>
      </c>
      <c r="O1335" s="4" t="str">
        <f ca="1">_xlfn.IFNA(VLOOKUP(INDIRECT("G"&amp;ROW()),minfo!$A:$M,COLUMN()-8,0),"")</f>
        <v>https://i0.hdslb.com/bfs/station_src/music_metadata/00afd05b69966a9e0c7f56c6963242d8.jpg</v>
      </c>
      <c r="P1335" s="4" t="str">
        <f ca="1">_xlfn.IFNA(VLOOKUP(INDIRECT("G"&amp;ROW()),minfo!$A:$M,COLUMN()-8,0),"")</f>
        <v>http://i0.hdslb.com/bfs/station_src/music_metadata/d8a209457fb9a9d83e2536a27c94344c</v>
      </c>
      <c r="Q1335" s="4">
        <f ca="1">_xlfn.IFNA(VLOOKUP(INDIRECT("G"&amp;ROW()),minfo!$A:$M,COLUMN()-8,0),"")</f>
        <v>39</v>
      </c>
      <c r="R1335" s="4">
        <f ca="1">_xlfn.IFNA(VLOOKUP(INDIRECT("G"&amp;ROW()),minfo!$A:$M,COLUMN()-8,0),"")</f>
        <v>0</v>
      </c>
      <c r="S1335" s="4" t="str">
        <f ca="1">_xlfn.IFNA(VLOOKUP(INDIRECT("G"&amp;ROW()),minfo!$A:$M,COLUMN()-8,0),"")</f>
        <v>飞行部落</v>
      </c>
      <c r="T1335" s="4">
        <f ca="1">_xlfn.IFNA(VLOOKUP(INDIRECT("G"&amp;ROW()),minfo!$A:$M,COLUMN()-8,0),"")</f>
        <v>13683214</v>
      </c>
      <c r="U1335" s="4">
        <f ca="1">_xlfn.IFNA(VLOOKUP(INDIRECT("G"&amp;ROW()),minfo!$A:$M,COLUMN()-8,0),"")</f>
        <v>0</v>
      </c>
    </row>
    <row r="1336" spans="1:21" ht="15.75" customHeight="1">
      <c r="A1336" s="15">
        <v>1335</v>
      </c>
      <c r="B1336" s="4" t="s">
        <v>4956</v>
      </c>
      <c r="C1336" s="4">
        <v>1336</v>
      </c>
      <c r="D1336" s="4">
        <v>178</v>
      </c>
      <c r="E1336" s="4" t="s">
        <v>1585</v>
      </c>
      <c r="F1336" s="16">
        <v>44905</v>
      </c>
      <c r="G1336" s="5" t="s">
        <v>1584</v>
      </c>
      <c r="H1336" s="5" t="s">
        <v>4770</v>
      </c>
      <c r="I1336" s="24" t="str">
        <f>HYPERLINK("https://www.bilibili.com/video/BV1ie4y1B7SZ?p=178", "BV1ie4y1B7SZ?p=178")</f>
        <v>BV1ie4y1B7SZ?p=178</v>
      </c>
      <c r="J1336" s="4" t="str">
        <f ca="1">_xlfn.IFNA(VLOOKUP(INDIRECT("G"&amp;ROW()),minfo!$A:$M,COLUMN()-8,0),"")</f>
        <v>月牙湾</v>
      </c>
      <c r="K1336" s="4" t="str">
        <f ca="1">_xlfn.IFNA(VLOOKUP(INDIRECT("G"&amp;ROW()),minfo!$A:$M,COLUMN()-8,0),"")</f>
        <v>飞儿乐队</v>
      </c>
      <c r="L1336" s="4">
        <f ca="1">_xlfn.IFNA(VLOOKUP(INDIRECT("G"&amp;ROW()),minfo!$A:$M,COLUMN()-8,0),"")</f>
        <v>0</v>
      </c>
      <c r="M1336" s="4">
        <f ca="1">_xlfn.IFNA(VLOOKUP(INDIRECT("G"&amp;ROW()),minfo!$A:$M,COLUMN()-8,0),"")</f>
        <v>0</v>
      </c>
      <c r="N1336" s="4">
        <f ca="1">_xlfn.IFNA(VLOOKUP(INDIRECT("G"&amp;ROW()),minfo!$A:$M,COLUMN()-8,0),"")</f>
        <v>0</v>
      </c>
      <c r="O1336" s="4" t="str">
        <f ca="1">_xlfn.IFNA(VLOOKUP(INDIRECT("G"&amp;ROW()),minfo!$A:$M,COLUMN()-8,0),"")</f>
        <v>https://i0.hdslb.com/bfs/station_src/music_metadata/4d030f96fbe202f9504add491a690ace.jpg</v>
      </c>
      <c r="P1336" s="4" t="str">
        <f ca="1">_xlfn.IFNA(VLOOKUP(INDIRECT("G"&amp;ROW()),minfo!$A:$M,COLUMN()-8,0),"")</f>
        <v>http://i0.hdslb.com/bfs/station_src/music_metadata/b5eef77c8e09fe891a2c85dda279ee2c</v>
      </c>
      <c r="Q1336" s="4">
        <f ca="1">_xlfn.IFNA(VLOOKUP(INDIRECT("G"&amp;ROW()),minfo!$A:$M,COLUMN()-8,0),"")</f>
        <v>1119</v>
      </c>
      <c r="R1336" s="4">
        <f ca="1">_xlfn.IFNA(VLOOKUP(INDIRECT("G"&amp;ROW()),minfo!$A:$M,COLUMN()-8,0),"")</f>
        <v>0</v>
      </c>
      <c r="S1336" s="4" t="str">
        <f ca="1">_xlfn.IFNA(VLOOKUP(INDIRECT("G"&amp;ROW()),minfo!$A:$M,COLUMN()-8,0),"")</f>
        <v>爱‧歌姬</v>
      </c>
      <c r="T1336" s="4">
        <f ca="1">_xlfn.IFNA(VLOOKUP(INDIRECT("G"&amp;ROW()),minfo!$A:$M,COLUMN()-8,0),"")</f>
        <v>217542753</v>
      </c>
      <c r="U1336" s="4">
        <f ca="1">_xlfn.IFNA(VLOOKUP(INDIRECT("G"&amp;ROW()),minfo!$A:$M,COLUMN()-8,0),"")</f>
        <v>0</v>
      </c>
    </row>
    <row r="1337" spans="1:21" ht="15.75" customHeight="1">
      <c r="A1337" s="15">
        <v>1336</v>
      </c>
      <c r="B1337" s="4" t="s">
        <v>4957</v>
      </c>
      <c r="C1337" s="4">
        <v>1337</v>
      </c>
      <c r="D1337" s="4">
        <v>179</v>
      </c>
      <c r="E1337" s="4" t="s">
        <v>1757</v>
      </c>
      <c r="F1337" s="16">
        <v>44905</v>
      </c>
      <c r="G1337" s="5" t="s">
        <v>1756</v>
      </c>
      <c r="H1337" s="5" t="s">
        <v>4770</v>
      </c>
      <c r="I1337" s="24" t="str">
        <f>HYPERLINK("https://www.bilibili.com/video/BV1ie4y1B7SZ?p=179", "BV1ie4y1B7SZ?p=179")</f>
        <v>BV1ie4y1B7SZ?p=179</v>
      </c>
      <c r="J1337" s="4" t="str">
        <f ca="1">_xlfn.IFNA(VLOOKUP(INDIRECT("G"&amp;ROW()),minfo!$A:$M,COLUMN()-8,0),"")</f>
        <v>美若黎明</v>
      </c>
      <c r="K1337" s="4" t="str">
        <f ca="1">_xlfn.IFNA(VLOOKUP(INDIRECT("G"&amp;ROW()),minfo!$A:$M,COLUMN()-8,0),"")</f>
        <v>李健</v>
      </c>
      <c r="L1337" s="4">
        <f ca="1">_xlfn.IFNA(VLOOKUP(INDIRECT("G"&amp;ROW()),minfo!$A:$M,COLUMN()-8,0),"")</f>
        <v>0</v>
      </c>
      <c r="M1337" s="4">
        <f ca="1">_xlfn.IFNA(VLOOKUP(INDIRECT("G"&amp;ROW()),minfo!$A:$M,COLUMN()-8,0),"")</f>
        <v>0</v>
      </c>
      <c r="N1337" s="4">
        <f ca="1">_xlfn.IFNA(VLOOKUP(INDIRECT("G"&amp;ROW()),minfo!$A:$M,COLUMN()-8,0),"")</f>
        <v>0</v>
      </c>
      <c r="O1337" s="4" t="str">
        <f ca="1">_xlfn.IFNA(VLOOKUP(INDIRECT("G"&amp;ROW()),minfo!$A:$M,COLUMN()-8,0),"")</f>
        <v>https://i0.hdslb.com/bfs/station_src/music_metadata/6397ee668fb1accb7d18a203fe958d4e.jpg</v>
      </c>
      <c r="P1337" s="4">
        <f ca="1">_xlfn.IFNA(VLOOKUP(INDIRECT("G"&amp;ROW()),minfo!$A:$M,COLUMN()-8,0),"")</f>
        <v>0</v>
      </c>
      <c r="Q1337" s="4">
        <f ca="1">_xlfn.IFNA(VLOOKUP(INDIRECT("G"&amp;ROW()),minfo!$A:$M,COLUMN()-8,0),"")</f>
        <v>15</v>
      </c>
      <c r="R1337" s="4">
        <f ca="1">_xlfn.IFNA(VLOOKUP(INDIRECT("G"&amp;ROW()),minfo!$A:$M,COLUMN()-8,0),"")</f>
        <v>0</v>
      </c>
      <c r="S1337" s="4" t="str">
        <f ca="1">_xlfn.IFNA(VLOOKUP(INDIRECT("G"&amp;ROW()),minfo!$A:$M,COLUMN()-8,0),"")</f>
        <v>李健</v>
      </c>
      <c r="T1337" s="4">
        <f ca="1">_xlfn.IFNA(VLOOKUP(INDIRECT("G"&amp;ROW()),minfo!$A:$M,COLUMN()-8,0),"")</f>
        <v>4758200</v>
      </c>
      <c r="U1337" s="4">
        <f ca="1">_xlfn.IFNA(VLOOKUP(INDIRECT("G"&amp;ROW()),minfo!$A:$M,COLUMN()-8,0),"")</f>
        <v>0</v>
      </c>
    </row>
    <row r="1338" spans="1:21" ht="15.75" customHeight="1">
      <c r="A1338" s="15">
        <v>1337</v>
      </c>
      <c r="B1338" s="4" t="s">
        <v>4958</v>
      </c>
      <c r="C1338" s="4">
        <v>1338</v>
      </c>
      <c r="D1338" s="4">
        <v>180</v>
      </c>
      <c r="E1338" s="4" t="s">
        <v>1757</v>
      </c>
      <c r="F1338" s="16">
        <v>44905</v>
      </c>
      <c r="G1338" s="5" t="s">
        <v>1756</v>
      </c>
      <c r="H1338" s="5" t="s">
        <v>4770</v>
      </c>
      <c r="I1338" s="24" t="str">
        <f>HYPERLINK("https://www.bilibili.com/video/BV1ie4y1B7SZ?p=180", "BV1ie4y1B7SZ?p=180")</f>
        <v>BV1ie4y1B7SZ?p=180</v>
      </c>
      <c r="J1338" s="4" t="str">
        <f ca="1">_xlfn.IFNA(VLOOKUP(INDIRECT("G"&amp;ROW()),minfo!$A:$M,COLUMN()-8,0),"")</f>
        <v>美若黎明</v>
      </c>
      <c r="K1338" s="4" t="str">
        <f ca="1">_xlfn.IFNA(VLOOKUP(INDIRECT("G"&amp;ROW()),minfo!$A:$M,COLUMN()-8,0),"")</f>
        <v>李健</v>
      </c>
      <c r="L1338" s="4">
        <f ca="1">_xlfn.IFNA(VLOOKUP(INDIRECT("G"&amp;ROW()),minfo!$A:$M,COLUMN()-8,0),"")</f>
        <v>0</v>
      </c>
      <c r="M1338" s="4">
        <f ca="1">_xlfn.IFNA(VLOOKUP(INDIRECT("G"&amp;ROW()),minfo!$A:$M,COLUMN()-8,0),"")</f>
        <v>0</v>
      </c>
      <c r="N1338" s="4">
        <f ca="1">_xlfn.IFNA(VLOOKUP(INDIRECT("G"&amp;ROW()),minfo!$A:$M,COLUMN()-8,0),"")</f>
        <v>0</v>
      </c>
      <c r="O1338" s="4" t="str">
        <f ca="1">_xlfn.IFNA(VLOOKUP(INDIRECT("G"&amp;ROW()),minfo!$A:$M,COLUMN()-8,0),"")</f>
        <v>https://i0.hdslb.com/bfs/station_src/music_metadata/6397ee668fb1accb7d18a203fe958d4e.jpg</v>
      </c>
      <c r="P1338" s="4">
        <f ca="1">_xlfn.IFNA(VLOOKUP(INDIRECT("G"&amp;ROW()),minfo!$A:$M,COLUMN()-8,0),"")</f>
        <v>0</v>
      </c>
      <c r="Q1338" s="4">
        <f ca="1">_xlfn.IFNA(VLOOKUP(INDIRECT("G"&amp;ROW()),minfo!$A:$M,COLUMN()-8,0),"")</f>
        <v>15</v>
      </c>
      <c r="R1338" s="4">
        <f ca="1">_xlfn.IFNA(VLOOKUP(INDIRECT("G"&amp;ROW()),minfo!$A:$M,COLUMN()-8,0),"")</f>
        <v>0</v>
      </c>
      <c r="S1338" s="4" t="str">
        <f ca="1">_xlfn.IFNA(VLOOKUP(INDIRECT("G"&amp;ROW()),minfo!$A:$M,COLUMN()-8,0),"")</f>
        <v>李健</v>
      </c>
      <c r="T1338" s="4">
        <f ca="1">_xlfn.IFNA(VLOOKUP(INDIRECT("G"&amp;ROW()),minfo!$A:$M,COLUMN()-8,0),"")</f>
        <v>4758200</v>
      </c>
      <c r="U1338" s="4">
        <f ca="1">_xlfn.IFNA(VLOOKUP(INDIRECT("G"&amp;ROW()),minfo!$A:$M,COLUMN()-8,0),"")</f>
        <v>0</v>
      </c>
    </row>
    <row r="1339" spans="1:21" ht="15.75" customHeight="1">
      <c r="A1339" s="15">
        <v>1338</v>
      </c>
      <c r="B1339" s="4" t="s">
        <v>4959</v>
      </c>
      <c r="C1339" s="4">
        <v>1339</v>
      </c>
      <c r="D1339" s="4">
        <v>181</v>
      </c>
      <c r="E1339" s="4" t="s">
        <v>607</v>
      </c>
      <c r="F1339" s="16">
        <v>44905</v>
      </c>
      <c r="G1339" s="5" t="s">
        <v>606</v>
      </c>
      <c r="H1339" s="5" t="s">
        <v>4770</v>
      </c>
      <c r="I1339" s="24" t="str">
        <f>HYPERLINK("https://www.bilibili.com/video/BV1ie4y1B7SZ?p=181", "BV1ie4y1B7SZ?p=181")</f>
        <v>BV1ie4y1B7SZ?p=181</v>
      </c>
      <c r="J1339" s="4" t="str">
        <f ca="1">_xlfn.IFNA(VLOOKUP(INDIRECT("G"&amp;ROW()),minfo!$A:$M,COLUMN()-8,0),"")</f>
        <v>紫</v>
      </c>
      <c r="K1339" s="4" t="str">
        <f ca="1">_xlfn.IFNA(VLOOKUP(INDIRECT("G"&amp;ROW()),minfo!$A:$M,COLUMN()-8,0),"")</f>
        <v>蔡健雅</v>
      </c>
      <c r="L1339" s="4">
        <f ca="1">_xlfn.IFNA(VLOOKUP(INDIRECT("G"&amp;ROW()),minfo!$A:$M,COLUMN()-8,0),"")</f>
        <v>0</v>
      </c>
      <c r="M1339" s="4">
        <f ca="1">_xlfn.IFNA(VLOOKUP(INDIRECT("G"&amp;ROW()),minfo!$A:$M,COLUMN()-8,0),"")</f>
        <v>0</v>
      </c>
      <c r="N1339" s="4">
        <f ca="1">_xlfn.IFNA(VLOOKUP(INDIRECT("G"&amp;ROW()),minfo!$A:$M,COLUMN()-8,0),"")</f>
        <v>0</v>
      </c>
      <c r="O1339" s="4" t="str">
        <f ca="1">_xlfn.IFNA(VLOOKUP(INDIRECT("G"&amp;ROW()),minfo!$A:$M,COLUMN()-8,0),"")</f>
        <v>https://i0.hdslb.com/bfs/station_src/music_metadata/0ee1f50e85aaa87f457222254614ff14.jpg</v>
      </c>
      <c r="P1339" s="4" t="str">
        <f ca="1">_xlfn.IFNA(VLOOKUP(INDIRECT("G"&amp;ROW()),minfo!$A:$M,COLUMN()-8,0),"")</f>
        <v>http://i0.hdslb.com/bfs/station_src/music_metadata/3f01cd76b8f7163484e41682aefb646c</v>
      </c>
      <c r="Q1339" s="4">
        <f ca="1">_xlfn.IFNA(VLOOKUP(INDIRECT("G"&amp;ROW()),minfo!$A:$M,COLUMN()-8,0),"")</f>
        <v>1051</v>
      </c>
      <c r="R1339" s="4" t="str">
        <f ca="1">_xlfn.IFNA(VLOOKUP(INDIRECT("G"&amp;ROW()),minfo!$A:$M,COLUMN()-8,0),"")</f>
        <v>《悟空传》电影插曲</v>
      </c>
      <c r="S1339" s="4" t="str">
        <f ca="1">_xlfn.IFNA(VLOOKUP(INDIRECT("G"&amp;ROW()),minfo!$A:$M,COLUMN()-8,0),"")</f>
        <v>悟空传 电影音乐原声带</v>
      </c>
      <c r="T1339" s="4">
        <f ca="1">_xlfn.IFNA(VLOOKUP(INDIRECT("G"&amp;ROW()),minfo!$A:$M,COLUMN()-8,0),"")</f>
        <v>114809007</v>
      </c>
      <c r="U1339" s="4">
        <f ca="1">_xlfn.IFNA(VLOOKUP(INDIRECT("G"&amp;ROW()),minfo!$A:$M,COLUMN()-8,0),"")</f>
        <v>0</v>
      </c>
    </row>
    <row r="1340" spans="1:21" ht="15.75" customHeight="1">
      <c r="A1340" s="15">
        <v>1339</v>
      </c>
      <c r="B1340" s="4" t="s">
        <v>4960</v>
      </c>
      <c r="C1340" s="4">
        <v>1340</v>
      </c>
      <c r="D1340" s="4">
        <v>182</v>
      </c>
      <c r="E1340" s="4" t="s">
        <v>934</v>
      </c>
      <c r="F1340" s="16">
        <v>44905</v>
      </c>
      <c r="G1340" s="5" t="s">
        <v>933</v>
      </c>
      <c r="H1340" s="5" t="s">
        <v>4770</v>
      </c>
      <c r="I1340" s="24" t="str">
        <f>HYPERLINK("https://www.bilibili.com/video/BV1ie4y1B7SZ?p=182", "BV1ie4y1B7SZ?p=182")</f>
        <v>BV1ie4y1B7SZ?p=182</v>
      </c>
      <c r="J1340" s="4" t="str">
        <f ca="1">_xlfn.IFNA(VLOOKUP(INDIRECT("G"&amp;ROW()),minfo!$A:$M,COLUMN()-8,0),"")</f>
        <v>敕勒歌</v>
      </c>
      <c r="K1340" s="4" t="str">
        <f ca="1">_xlfn.IFNA(VLOOKUP(INDIRECT("G"&amp;ROW()),minfo!$A:$M,COLUMN()-8,0),"")</f>
        <v>谭维维</v>
      </c>
      <c r="L1340" s="4">
        <f ca="1">_xlfn.IFNA(VLOOKUP(INDIRECT("G"&amp;ROW()),minfo!$A:$M,COLUMN()-8,0),"")</f>
        <v>0</v>
      </c>
      <c r="M1340" s="4">
        <f ca="1">_xlfn.IFNA(VLOOKUP(INDIRECT("G"&amp;ROW()),minfo!$A:$M,COLUMN()-8,0),"")</f>
        <v>0</v>
      </c>
      <c r="N1340" s="4">
        <f ca="1">_xlfn.IFNA(VLOOKUP(INDIRECT("G"&amp;ROW()),minfo!$A:$M,COLUMN()-8,0),"")</f>
        <v>0</v>
      </c>
      <c r="O1340" s="4" t="str">
        <f ca="1">_xlfn.IFNA(VLOOKUP(INDIRECT("G"&amp;ROW()),minfo!$A:$M,COLUMN()-8,0),"")</f>
        <v>https://i0.hdslb.com/bfs/station_src/music_metadata/4633e67685206de0672cc528709e3e2f.jpg</v>
      </c>
      <c r="P1340" s="4" t="str">
        <f ca="1">_xlfn.IFNA(VLOOKUP(INDIRECT("G"&amp;ROW()),minfo!$A:$M,COLUMN()-8,0),"")</f>
        <v>https://i0.hdslb.com/bfs/station_src/music_metadata/dff7d3073b6cc36766c38942f1f4cf16.txt</v>
      </c>
      <c r="Q1340" s="4">
        <f ca="1">_xlfn.IFNA(VLOOKUP(INDIRECT("G"&amp;ROW()),minfo!$A:$M,COLUMN()-8,0),"")</f>
        <v>382</v>
      </c>
      <c r="R1340" s="4">
        <f ca="1">_xlfn.IFNA(VLOOKUP(INDIRECT("G"&amp;ROW()),minfo!$A:$M,COLUMN()-8,0),"")</f>
        <v>0</v>
      </c>
      <c r="S1340" s="4" t="str">
        <f ca="1">_xlfn.IFNA(VLOOKUP(INDIRECT("G"&amp;ROW()),minfo!$A:$M,COLUMN()-8,0),"")</f>
        <v>经典咏流传第二季 第六期</v>
      </c>
      <c r="T1340" s="4">
        <f ca="1">_xlfn.IFNA(VLOOKUP(INDIRECT("G"&amp;ROW()),minfo!$A:$M,COLUMN()-8,0),"")</f>
        <v>19549830</v>
      </c>
      <c r="U1340" s="4">
        <f ca="1">_xlfn.IFNA(VLOOKUP(INDIRECT("G"&amp;ROW()),minfo!$A:$M,COLUMN()-8,0),"")</f>
        <v>0</v>
      </c>
    </row>
    <row r="1341" spans="1:21" ht="15.75" customHeight="1">
      <c r="A1341" s="15">
        <v>1340</v>
      </c>
      <c r="B1341" s="4" t="s">
        <v>4961</v>
      </c>
      <c r="C1341" s="4">
        <v>1341</v>
      </c>
      <c r="D1341" s="4">
        <v>183</v>
      </c>
      <c r="E1341" s="4" t="s">
        <v>2088</v>
      </c>
      <c r="F1341" s="16">
        <v>44905</v>
      </c>
      <c r="G1341" s="5" t="s">
        <v>2087</v>
      </c>
      <c r="H1341" s="5" t="s">
        <v>4770</v>
      </c>
      <c r="I1341" s="24" t="str">
        <f>HYPERLINK("https://www.bilibili.com/video/BV1ie4y1B7SZ?p=183", "BV1ie4y1B7SZ?p=183")</f>
        <v>BV1ie4y1B7SZ?p=183</v>
      </c>
      <c r="J1341" s="4" t="str">
        <f ca="1">_xlfn.IFNA(VLOOKUP(INDIRECT("G"&amp;ROW()),minfo!$A:$M,COLUMN()-8,0),"")</f>
        <v>乌兰巴托的夜</v>
      </c>
      <c r="K1341" s="4" t="str">
        <f ca="1">_xlfn.IFNA(VLOOKUP(INDIRECT("G"&amp;ROW()),minfo!$A:$M,COLUMN()-8,0),"")</f>
        <v>谭维维</v>
      </c>
      <c r="L1341" s="4">
        <f ca="1">_xlfn.IFNA(VLOOKUP(INDIRECT("G"&amp;ROW()),minfo!$A:$M,COLUMN()-8,0),"")</f>
        <v>0</v>
      </c>
      <c r="M1341" s="4">
        <f ca="1">_xlfn.IFNA(VLOOKUP(INDIRECT("G"&amp;ROW()),minfo!$A:$M,COLUMN()-8,0),"")</f>
        <v>0</v>
      </c>
      <c r="N1341" s="4">
        <f ca="1">_xlfn.IFNA(VLOOKUP(INDIRECT("G"&amp;ROW()),minfo!$A:$M,COLUMN()-8,0),"")</f>
        <v>0</v>
      </c>
      <c r="O1341" s="4" t="str">
        <f ca="1">_xlfn.IFNA(VLOOKUP(INDIRECT("G"&amp;ROW()),minfo!$A:$M,COLUMN()-8,0),"")</f>
        <v>https://i0.hdslb.com/bfs/station_src/music_metadata/b2045e553010fc5eb3d33b25a1e62169.jpg</v>
      </c>
      <c r="P1341" s="4" t="str">
        <f ca="1">_xlfn.IFNA(VLOOKUP(INDIRECT("G"&amp;ROW()),minfo!$A:$M,COLUMN()-8,0),"")</f>
        <v>https://i0.hdslb.com/bfs/station_src/music_metadata/923bf5d2d6307ddb19690ba77721731f.txt</v>
      </c>
      <c r="Q1341" s="4">
        <f ca="1">_xlfn.IFNA(VLOOKUP(INDIRECT("G"&amp;ROW()),minfo!$A:$M,COLUMN()-8,0),"")</f>
        <v>161</v>
      </c>
      <c r="R1341" s="4">
        <f ca="1">_xlfn.IFNA(VLOOKUP(INDIRECT("G"&amp;ROW()),minfo!$A:$M,COLUMN()-8,0),"")</f>
        <v>0</v>
      </c>
      <c r="S1341" s="4" t="str">
        <f ca="1">_xlfn.IFNA(VLOOKUP(INDIRECT("G"&amp;ROW()),minfo!$A:$M,COLUMN()-8,0),"")</f>
        <v>我是歌手第三季 第12期</v>
      </c>
      <c r="T1341" s="4">
        <f ca="1">_xlfn.IFNA(VLOOKUP(INDIRECT("G"&amp;ROW()),minfo!$A:$M,COLUMN()-8,0),"")</f>
        <v>25274580</v>
      </c>
      <c r="U1341" s="4">
        <f ca="1">_xlfn.IFNA(VLOOKUP(INDIRECT("G"&amp;ROW()),minfo!$A:$M,COLUMN()-8,0),"")</f>
        <v>0</v>
      </c>
    </row>
    <row r="1342" spans="1:21" ht="15.75" customHeight="1">
      <c r="A1342" s="15">
        <v>1341</v>
      </c>
      <c r="B1342" s="4" t="s">
        <v>4962</v>
      </c>
      <c r="C1342" s="4">
        <v>1342</v>
      </c>
      <c r="D1342" s="4">
        <v>184</v>
      </c>
      <c r="E1342" s="4" t="s">
        <v>872</v>
      </c>
      <c r="F1342" s="16">
        <v>44905</v>
      </c>
      <c r="G1342" s="5" t="s">
        <v>871</v>
      </c>
      <c r="H1342" s="5" t="s">
        <v>4770</v>
      </c>
      <c r="I1342" s="24" t="str">
        <f>HYPERLINK("https://www.bilibili.com/video/BV1ie4y1B7SZ?p=184", "BV1ie4y1B7SZ?p=184")</f>
        <v>BV1ie4y1B7SZ?p=184</v>
      </c>
      <c r="J1342" s="4" t="str">
        <f ca="1">_xlfn.IFNA(VLOOKUP(INDIRECT("G"&amp;ROW()),minfo!$A:$M,COLUMN()-8,0),"")</f>
        <v>一样的月光</v>
      </c>
      <c r="K1342" s="4" t="str">
        <f ca="1">_xlfn.IFNA(VLOOKUP(INDIRECT("G"&amp;ROW()),minfo!$A:$M,COLUMN()-8,0),"")</f>
        <v>徐佳莹</v>
      </c>
      <c r="L1342" s="4">
        <f ca="1">_xlfn.IFNA(VLOOKUP(INDIRECT("G"&amp;ROW()),minfo!$A:$M,COLUMN()-8,0),"")</f>
        <v>0</v>
      </c>
      <c r="M1342" s="4">
        <f ca="1">_xlfn.IFNA(VLOOKUP(INDIRECT("G"&amp;ROW()),minfo!$A:$M,COLUMN()-8,0),"")</f>
        <v>0</v>
      </c>
      <c r="N1342" s="4">
        <f ca="1">_xlfn.IFNA(VLOOKUP(INDIRECT("G"&amp;ROW()),minfo!$A:$M,COLUMN()-8,0),"")</f>
        <v>0</v>
      </c>
      <c r="O1342" s="4" t="str">
        <f ca="1">_xlfn.IFNA(VLOOKUP(INDIRECT("G"&amp;ROW()),minfo!$A:$M,COLUMN()-8,0),"")</f>
        <v>https://i0.hdslb.com/bfs/station_src/music_metadata/bb47ed0b6da92d07d9492a6e3982d7f7.jpg</v>
      </c>
      <c r="P1342" s="4" t="str">
        <f ca="1">_xlfn.IFNA(VLOOKUP(INDIRECT("G"&amp;ROW()),minfo!$A:$M,COLUMN()-8,0),"")</f>
        <v>http://i0.hdslb.com/bfs/station_src/music_metadata/df58f5b1cd8da2f562b22b6c913ab846</v>
      </c>
      <c r="Q1342" s="4">
        <f ca="1">_xlfn.IFNA(VLOOKUP(INDIRECT("G"&amp;ROW()),minfo!$A:$M,COLUMN()-8,0),"")</f>
        <v>1830</v>
      </c>
      <c r="R1342" s="4">
        <f ca="1">_xlfn.IFNA(VLOOKUP(INDIRECT("G"&amp;ROW()),minfo!$A:$M,COLUMN()-8,0),"")</f>
        <v>0</v>
      </c>
      <c r="S1342" s="4" t="str">
        <f ca="1">_xlfn.IFNA(VLOOKUP(INDIRECT("G"&amp;ROW()),minfo!$A:$M,COLUMN()-8,0),"")</f>
        <v>LaLa首张创作专辑</v>
      </c>
      <c r="T1342" s="4">
        <f ca="1">_xlfn.IFNA(VLOOKUP(INDIRECT("G"&amp;ROW()),minfo!$A:$M,COLUMN()-8,0),"")</f>
        <v>312017425</v>
      </c>
      <c r="U1342" s="4">
        <f ca="1">_xlfn.IFNA(VLOOKUP(INDIRECT("G"&amp;ROW()),minfo!$A:$M,COLUMN()-8,0),"")</f>
        <v>0</v>
      </c>
    </row>
    <row r="1343" spans="1:21" ht="15.75" customHeight="1">
      <c r="A1343" s="15">
        <v>1342</v>
      </c>
      <c r="B1343" s="4" t="s">
        <v>4963</v>
      </c>
      <c r="C1343" s="4">
        <v>1343</v>
      </c>
      <c r="D1343" s="4">
        <v>185</v>
      </c>
      <c r="E1343" s="4" t="s">
        <v>516</v>
      </c>
      <c r="F1343" s="16">
        <v>44906</v>
      </c>
      <c r="G1343" s="5" t="s">
        <v>515</v>
      </c>
      <c r="H1343" s="5" t="s">
        <v>4770</v>
      </c>
      <c r="I1343" s="24" t="str">
        <f>HYPERLINK("https://www.bilibili.com/video/BV1ie4y1B7SZ?p=185", "BV1ie4y1B7SZ?p=185")</f>
        <v>BV1ie4y1B7SZ?p=185</v>
      </c>
      <c r="J1343" s="4" t="str">
        <f ca="1">_xlfn.IFNA(VLOOKUP(INDIRECT("G"&amp;ROW()),minfo!$A:$M,COLUMN()-8,0),"")</f>
        <v>三人游</v>
      </c>
      <c r="K1343" s="4" t="str">
        <f ca="1">_xlfn.IFNA(VLOOKUP(INDIRECT("G"&amp;ROW()),minfo!$A:$M,COLUMN()-8,0),"")</f>
        <v>方大同</v>
      </c>
      <c r="L1343" s="4">
        <f ca="1">_xlfn.IFNA(VLOOKUP(INDIRECT("G"&amp;ROW()),minfo!$A:$M,COLUMN()-8,0),"")</f>
        <v>0</v>
      </c>
      <c r="M1343" s="4">
        <f ca="1">_xlfn.IFNA(VLOOKUP(INDIRECT("G"&amp;ROW()),minfo!$A:$M,COLUMN()-8,0),"")</f>
        <v>0</v>
      </c>
      <c r="N1343" s="4">
        <f ca="1">_xlfn.IFNA(VLOOKUP(INDIRECT("G"&amp;ROW()),minfo!$A:$M,COLUMN()-8,0),"")</f>
        <v>0</v>
      </c>
      <c r="O1343" s="4" t="str">
        <f ca="1">_xlfn.IFNA(VLOOKUP(INDIRECT("G"&amp;ROW()),minfo!$A:$M,COLUMN()-8,0),"")</f>
        <v>http://i0.hdslb.com/bfs/station_src/music_metadata/b7f19bb4d6950ea8c340e7a28a34d747.jpg</v>
      </c>
      <c r="P1343" s="4" t="str">
        <f ca="1">_xlfn.IFNA(VLOOKUP(INDIRECT("G"&amp;ROW()),minfo!$A:$M,COLUMN()-8,0),"")</f>
        <v>http://i0.hdslb.com/bfs/station_src/music_metadata/c983d086e43b8e108518877649db4439</v>
      </c>
      <c r="Q1343" s="4">
        <f ca="1">_xlfn.IFNA(VLOOKUP(INDIRECT("G"&amp;ROW()),minfo!$A:$M,COLUMN()-8,0),"")</f>
        <v>210</v>
      </c>
      <c r="R1343" s="4" t="str">
        <f ca="1">_xlfn.IFNA(VLOOKUP(INDIRECT("G"&amp;ROW()),minfo!$A:$M,COLUMN()-8,0),"")</f>
        <v>《冬季恋歌》韩剧中文版主题曲</v>
      </c>
      <c r="S1343" s="4" t="str">
        <f ca="1">_xlfn.IFNA(VLOOKUP(INDIRECT("G"&amp;ROW()),minfo!$A:$M,COLUMN()-8,0),"")</f>
        <v>橙月</v>
      </c>
      <c r="T1343" s="4">
        <f ca="1">_xlfn.IFNA(VLOOKUP(INDIRECT("G"&amp;ROW()),minfo!$A:$M,COLUMN()-8,0),"")</f>
        <v>33115292</v>
      </c>
      <c r="U1343" s="4">
        <f ca="1">_xlfn.IFNA(VLOOKUP(INDIRECT("G"&amp;ROW()),minfo!$A:$M,COLUMN()-8,0),"")</f>
        <v>0</v>
      </c>
    </row>
    <row r="1344" spans="1:21" ht="15.75" customHeight="1">
      <c r="A1344" s="15">
        <v>1343</v>
      </c>
      <c r="B1344" s="4" t="s">
        <v>4964</v>
      </c>
      <c r="C1344" s="4">
        <v>1344</v>
      </c>
      <c r="D1344" s="4">
        <v>186</v>
      </c>
      <c r="E1344" s="4" t="s">
        <v>655</v>
      </c>
      <c r="F1344" s="16">
        <v>44909</v>
      </c>
      <c r="G1344" s="5" t="s">
        <v>654</v>
      </c>
      <c r="H1344" s="5" t="s">
        <v>4770</v>
      </c>
      <c r="I1344" s="24" t="str">
        <f>HYPERLINK("https://www.bilibili.com/video/BV1ie4y1B7SZ?p=186", "BV1ie4y1B7SZ?p=186")</f>
        <v>BV1ie4y1B7SZ?p=186</v>
      </c>
      <c r="J1344" s="4" t="str">
        <f ca="1">_xlfn.IFNA(VLOOKUP(INDIRECT("G"&amp;ROW()),minfo!$A:$M,COLUMN()-8,0),"")</f>
        <v>路过人间</v>
      </c>
      <c r="K1344" s="4" t="str">
        <f ca="1">_xlfn.IFNA(VLOOKUP(INDIRECT("G"&amp;ROW()),minfo!$A:$M,COLUMN()-8,0),"")</f>
        <v>郁可唯</v>
      </c>
      <c r="L1344" s="4">
        <f ca="1">_xlfn.IFNA(VLOOKUP(INDIRECT("G"&amp;ROW()),minfo!$A:$M,COLUMN()-8,0),"")</f>
        <v>0</v>
      </c>
      <c r="M1344" s="4">
        <f ca="1">_xlfn.IFNA(VLOOKUP(INDIRECT("G"&amp;ROW()),minfo!$A:$M,COLUMN()-8,0),"")</f>
        <v>17966</v>
      </c>
      <c r="N1344" s="4">
        <f ca="1">_xlfn.IFNA(VLOOKUP(INDIRECT("G"&amp;ROW()),minfo!$A:$M,COLUMN()-8,0),"")</f>
        <v>8458</v>
      </c>
      <c r="O1344" s="4" t="str">
        <f ca="1">_xlfn.IFNA(VLOOKUP(INDIRECT("G"&amp;ROW()),minfo!$A:$M,COLUMN()-8,0),"")</f>
        <v>http://i0.hdslb.com/bfs/station_src/music_metadata/570f6a193a95780dfeae2a4dfe0cb932.jpg</v>
      </c>
      <c r="P1344" s="4" t="str">
        <f ca="1">_xlfn.IFNA(VLOOKUP(INDIRECT("G"&amp;ROW()),minfo!$A:$M,COLUMN()-8,0),"")</f>
        <v>http://i0.hdslb.com/bfs/station_src/music_metadata/0386d6bc66823747cb1d61d511d20a21</v>
      </c>
      <c r="Q1344" s="4">
        <f ca="1">_xlfn.IFNA(VLOOKUP(INDIRECT("G"&amp;ROW()),minfo!$A:$M,COLUMN()-8,0),"")</f>
        <v>1296</v>
      </c>
      <c r="R1344" s="4">
        <f ca="1">_xlfn.IFNA(VLOOKUP(INDIRECT("G"&amp;ROW()),minfo!$A:$M,COLUMN()-8,0),"")</f>
        <v>0</v>
      </c>
      <c r="S1344" s="4" t="str">
        <f ca="1">_xlfn.IFNA(VLOOKUP(INDIRECT("G"&amp;ROW()),minfo!$A:$M,COLUMN()-8,0),"")</f>
        <v>路过人间</v>
      </c>
      <c r="T1344" s="4">
        <f ca="1">_xlfn.IFNA(VLOOKUP(INDIRECT("G"&amp;ROW()),minfo!$A:$M,COLUMN()-8,0),"")</f>
        <v>218547878</v>
      </c>
      <c r="U1344" s="4" t="str">
        <f ca="1">_xlfn.IFNA(VLOOKUP(INDIRECT("G"&amp;ROW()),minfo!$A:$M,COLUMN()-8,0),"")</f>
        <v>音乐榜最高NO.10</v>
      </c>
    </row>
    <row r="1345" spans="1:21" ht="15.75" customHeight="1">
      <c r="A1345" s="15">
        <v>1344</v>
      </c>
      <c r="B1345" s="4" t="s">
        <v>4965</v>
      </c>
      <c r="C1345" s="4">
        <v>1345</v>
      </c>
      <c r="D1345" s="4">
        <v>187</v>
      </c>
      <c r="E1345" s="4" t="s">
        <v>2756</v>
      </c>
      <c r="F1345" s="16">
        <v>44909</v>
      </c>
      <c r="G1345" s="5" t="s">
        <v>2755</v>
      </c>
      <c r="H1345" s="5" t="s">
        <v>4770</v>
      </c>
      <c r="I1345" s="24" t="str">
        <f>HYPERLINK("https://www.bilibili.com/video/BV1ie4y1B7SZ?p=187", "BV1ie4y1B7SZ?p=187")</f>
        <v>BV1ie4y1B7SZ?p=187</v>
      </c>
      <c r="J1345" s="4" t="str">
        <f ca="1">_xlfn.IFNA(VLOOKUP(INDIRECT("G"&amp;ROW()),minfo!$A:$M,COLUMN()-8,0),"")</f>
        <v>野百合也有春天</v>
      </c>
      <c r="K1345" s="4" t="str">
        <f ca="1">_xlfn.IFNA(VLOOKUP(INDIRECT("G"&amp;ROW()),minfo!$A:$M,COLUMN()-8,0),"")</f>
        <v>孟庭苇</v>
      </c>
      <c r="L1345" s="4">
        <f ca="1">_xlfn.IFNA(VLOOKUP(INDIRECT("G"&amp;ROW()),minfo!$A:$M,COLUMN()-8,0),"")</f>
        <v>0</v>
      </c>
      <c r="M1345" s="4">
        <f ca="1">_xlfn.IFNA(VLOOKUP(INDIRECT("G"&amp;ROW()),minfo!$A:$M,COLUMN()-8,0),"")</f>
        <v>0</v>
      </c>
      <c r="N1345" s="4">
        <f ca="1">_xlfn.IFNA(VLOOKUP(INDIRECT("G"&amp;ROW()),minfo!$A:$M,COLUMN()-8,0),"")</f>
        <v>0</v>
      </c>
      <c r="O1345" s="4" t="str">
        <f ca="1">_xlfn.IFNA(VLOOKUP(INDIRECT("G"&amp;ROW()),minfo!$A:$M,COLUMN()-8,0),"")</f>
        <v>https://i0.hdslb.com/bfs/station_src/music_metadata/0b9fa00803b9d52e17bd851232925875.jpg</v>
      </c>
      <c r="P1345" s="4" t="str">
        <f ca="1">_xlfn.IFNA(VLOOKUP(INDIRECT("G"&amp;ROW()),minfo!$A:$M,COLUMN()-8,0),"")</f>
        <v>http://i0.hdslb.com/bfs/station_src/music_metadata/bc6bda669bf115f36ccb0e33b499125e</v>
      </c>
      <c r="Q1345" s="4">
        <f ca="1">_xlfn.IFNA(VLOOKUP(INDIRECT("G"&amp;ROW()),minfo!$A:$M,COLUMN()-8,0),"")</f>
        <v>21</v>
      </c>
      <c r="R1345" s="4">
        <f ca="1">_xlfn.IFNA(VLOOKUP(INDIRECT("G"&amp;ROW()),minfo!$A:$M,COLUMN()-8,0),"")</f>
        <v>0</v>
      </c>
      <c r="S1345" s="4" t="str">
        <f ca="1">_xlfn.IFNA(VLOOKUP(INDIRECT("G"&amp;ROW()),minfo!$A:$M,COLUMN()-8,0),"")</f>
        <v>花开花飞春又来</v>
      </c>
      <c r="T1345" s="4">
        <f ca="1">_xlfn.IFNA(VLOOKUP(INDIRECT("G"&amp;ROW()),minfo!$A:$M,COLUMN()-8,0),"")</f>
        <v>6000406</v>
      </c>
      <c r="U1345" s="4">
        <f ca="1">_xlfn.IFNA(VLOOKUP(INDIRECT("G"&amp;ROW()),minfo!$A:$M,COLUMN()-8,0),"")</f>
        <v>0</v>
      </c>
    </row>
    <row r="1346" spans="1:21" ht="15.75" customHeight="1">
      <c r="A1346" s="15">
        <v>1345</v>
      </c>
      <c r="B1346" s="4" t="s">
        <v>4966</v>
      </c>
      <c r="C1346" s="4">
        <v>1346</v>
      </c>
      <c r="D1346" s="4">
        <v>188</v>
      </c>
      <c r="E1346" s="4" t="s">
        <v>879</v>
      </c>
      <c r="F1346" s="16">
        <v>44909</v>
      </c>
      <c r="G1346" s="5" t="s">
        <v>878</v>
      </c>
      <c r="H1346" s="5" t="s">
        <v>4770</v>
      </c>
      <c r="I1346" s="24" t="str">
        <f>HYPERLINK("https://www.bilibili.com/video/BV1ie4y1B7SZ?p=188", "BV1ie4y1B7SZ?p=188")</f>
        <v>BV1ie4y1B7SZ?p=188</v>
      </c>
      <c r="J1346" s="4" t="str">
        <f ca="1">_xlfn.IFNA(VLOOKUP(INDIRECT("G"&amp;ROW()),minfo!$A:$M,COLUMN()-8,0),"")</f>
        <v>发如雪</v>
      </c>
      <c r="K1346" s="4" t="str">
        <f ca="1">_xlfn.IFNA(VLOOKUP(INDIRECT("G"&amp;ROW()),minfo!$A:$M,COLUMN()-8,0),"")</f>
        <v>周杰伦</v>
      </c>
      <c r="L1346" s="4">
        <f ca="1">_xlfn.IFNA(VLOOKUP(INDIRECT("G"&amp;ROW()),minfo!$A:$M,COLUMN()-8,0),"")</f>
        <v>0</v>
      </c>
      <c r="M1346" s="4">
        <f ca="1">_xlfn.IFNA(VLOOKUP(INDIRECT("G"&amp;ROW()),minfo!$A:$M,COLUMN()-8,0),"")</f>
        <v>0</v>
      </c>
      <c r="N1346" s="4">
        <f ca="1">_xlfn.IFNA(VLOOKUP(INDIRECT("G"&amp;ROW()),minfo!$A:$M,COLUMN()-8,0),"")</f>
        <v>0</v>
      </c>
      <c r="O1346" s="4" t="str">
        <f ca="1">_xlfn.IFNA(VLOOKUP(INDIRECT("G"&amp;ROW()),minfo!$A:$M,COLUMN()-8,0),"")</f>
        <v>https://i0.hdslb.com/bfs/station_src/music_metadata/4f19787695e451c7ec6f082affe19c57.jpg</v>
      </c>
      <c r="P1346" s="4" t="str">
        <f ca="1">_xlfn.IFNA(VLOOKUP(INDIRECT("G"&amp;ROW()),minfo!$A:$M,COLUMN()-8,0),"")</f>
        <v>http://i0.hdslb.com/bfs/station_src/music_metadata/e48762ee9e6f3b4048f790c705f187cd</v>
      </c>
      <c r="Q1346" s="4">
        <f ca="1">_xlfn.IFNA(VLOOKUP(INDIRECT("G"&amp;ROW()),minfo!$A:$M,COLUMN()-8,0),"")</f>
        <v>5236</v>
      </c>
      <c r="R1346" s="4">
        <f ca="1">_xlfn.IFNA(VLOOKUP(INDIRECT("G"&amp;ROW()),minfo!$A:$M,COLUMN()-8,0),"")</f>
        <v>0</v>
      </c>
      <c r="S1346" s="4" t="str">
        <f ca="1">_xlfn.IFNA(VLOOKUP(INDIRECT("G"&amp;ROW()),minfo!$A:$M,COLUMN()-8,0),"")</f>
        <v>十一月的萧邦</v>
      </c>
      <c r="T1346" s="4">
        <f ca="1">_xlfn.IFNA(VLOOKUP(INDIRECT("G"&amp;ROW()),minfo!$A:$M,COLUMN()-8,0),"")</f>
        <v>561545897</v>
      </c>
      <c r="U1346" s="4">
        <f ca="1">_xlfn.IFNA(VLOOKUP(INDIRECT("G"&amp;ROW()),minfo!$A:$M,COLUMN()-8,0),"")</f>
        <v>0</v>
      </c>
    </row>
    <row r="1347" spans="1:21" ht="15.75" customHeight="1">
      <c r="A1347" s="15">
        <v>1346</v>
      </c>
      <c r="B1347" s="4" t="s">
        <v>4967</v>
      </c>
      <c r="C1347" s="4">
        <v>1347</v>
      </c>
      <c r="D1347" s="4">
        <v>189</v>
      </c>
      <c r="E1347" s="4" t="s">
        <v>488</v>
      </c>
      <c r="F1347" s="16">
        <v>44909</v>
      </c>
      <c r="G1347" s="5" t="s">
        <v>487</v>
      </c>
      <c r="H1347" s="5" t="s">
        <v>4770</v>
      </c>
      <c r="I1347" s="24" t="str">
        <f>HYPERLINK("https://www.bilibili.com/video/BV1ie4y1B7SZ?p=189", "BV1ie4y1B7SZ?p=189")</f>
        <v>BV1ie4y1B7SZ?p=189</v>
      </c>
      <c r="J1347" s="4" t="str">
        <f ca="1">_xlfn.IFNA(VLOOKUP(INDIRECT("G"&amp;ROW()),minfo!$A:$M,COLUMN()-8,0),"")</f>
        <v>如此</v>
      </c>
      <c r="K1347" s="4" t="str">
        <f ca="1">_xlfn.IFNA(VLOOKUP(INDIRECT("G"&amp;ROW()),minfo!$A:$M,COLUMN()-8,0),"")</f>
        <v>单依纯</v>
      </c>
      <c r="L1347" s="4">
        <f ca="1">_xlfn.IFNA(VLOOKUP(INDIRECT("G"&amp;ROW()),minfo!$A:$M,COLUMN()-8,0),"")</f>
        <v>0</v>
      </c>
      <c r="M1347" s="4">
        <f ca="1">_xlfn.IFNA(VLOOKUP(INDIRECT("G"&amp;ROW()),minfo!$A:$M,COLUMN()-8,0),"")</f>
        <v>0</v>
      </c>
      <c r="N1347" s="4">
        <f ca="1">_xlfn.IFNA(VLOOKUP(INDIRECT("G"&amp;ROW()),minfo!$A:$M,COLUMN()-8,0),"")</f>
        <v>0</v>
      </c>
      <c r="O1347" s="4" t="str">
        <f ca="1">_xlfn.IFNA(VLOOKUP(INDIRECT("G"&amp;ROW()),minfo!$A:$M,COLUMN()-8,0),"")</f>
        <v>https://i0.hdslb.com/bfs/station_src/music_metadata/02e014c37d605c9c48efcef4cb1658b5.jpg</v>
      </c>
      <c r="P1347" s="4">
        <f ca="1">_xlfn.IFNA(VLOOKUP(INDIRECT("G"&amp;ROW()),minfo!$A:$M,COLUMN()-8,0),"")</f>
        <v>0</v>
      </c>
      <c r="Q1347" s="4">
        <f ca="1">_xlfn.IFNA(VLOOKUP(INDIRECT("G"&amp;ROW()),minfo!$A:$M,COLUMN()-8,0),"")</f>
        <v>32</v>
      </c>
      <c r="R1347" s="4">
        <f ca="1">_xlfn.IFNA(VLOOKUP(INDIRECT("G"&amp;ROW()),minfo!$A:$M,COLUMN()-8,0),"")</f>
        <v>0</v>
      </c>
      <c r="S1347" s="4" t="str">
        <f ca="1">_xlfn.IFNA(VLOOKUP(INDIRECT("G"&amp;ROW()),minfo!$A:$M,COLUMN()-8,0),"")</f>
        <v>2020中国好声音 第10期</v>
      </c>
      <c r="T1347" s="4">
        <f ca="1">_xlfn.IFNA(VLOOKUP(INDIRECT("G"&amp;ROW()),minfo!$A:$M,COLUMN()-8,0),"")</f>
        <v>13362616</v>
      </c>
      <c r="U1347" s="4">
        <f ca="1">_xlfn.IFNA(VLOOKUP(INDIRECT("G"&amp;ROW()),minfo!$A:$M,COLUMN()-8,0),"")</f>
        <v>0</v>
      </c>
    </row>
    <row r="1348" spans="1:21" ht="15.75" customHeight="1">
      <c r="A1348" s="15">
        <v>1347</v>
      </c>
      <c r="B1348" s="4" t="s">
        <v>4968</v>
      </c>
      <c r="C1348" s="4">
        <v>1348</v>
      </c>
      <c r="D1348" s="4">
        <v>190</v>
      </c>
      <c r="E1348" s="4" t="s">
        <v>26</v>
      </c>
      <c r="F1348" s="16">
        <v>44909</v>
      </c>
      <c r="G1348" s="5" t="s">
        <v>25</v>
      </c>
      <c r="H1348" s="5" t="s">
        <v>4770</v>
      </c>
      <c r="I1348" s="24" t="str">
        <f>HYPERLINK("https://www.bilibili.com/video/BV1ie4y1B7SZ?p=190", "BV1ie4y1B7SZ?p=190")</f>
        <v>BV1ie4y1B7SZ?p=190</v>
      </c>
      <c r="J1348" s="4" t="str">
        <f ca="1">_xlfn.IFNA(VLOOKUP(INDIRECT("G"&amp;ROW()),minfo!$A:$M,COLUMN()-8,0),"")</f>
        <v>失落沙洲</v>
      </c>
      <c r="K1348" s="4" t="str">
        <f ca="1">_xlfn.IFNA(VLOOKUP(INDIRECT("G"&amp;ROW()),minfo!$A:$M,COLUMN()-8,0),"")</f>
        <v>徐佳莹</v>
      </c>
      <c r="L1348" s="4">
        <f ca="1">_xlfn.IFNA(VLOOKUP(INDIRECT("G"&amp;ROW()),minfo!$A:$M,COLUMN()-8,0),"")</f>
        <v>0</v>
      </c>
      <c r="M1348" s="4">
        <f ca="1">_xlfn.IFNA(VLOOKUP(INDIRECT("G"&amp;ROW()),minfo!$A:$M,COLUMN()-8,0),"")</f>
        <v>72</v>
      </c>
      <c r="N1348" s="4">
        <f ca="1">_xlfn.IFNA(VLOOKUP(INDIRECT("G"&amp;ROW()),minfo!$A:$M,COLUMN()-8,0),"")</f>
        <v>18</v>
      </c>
      <c r="O1348" s="4" t="str">
        <f ca="1">_xlfn.IFNA(VLOOKUP(INDIRECT("G"&amp;ROW()),minfo!$A:$M,COLUMN()-8,0),"")</f>
        <v>http://i0.hdslb.com/bfs/station_src/music_metadata/7f95eaafe5cfc03dd6c22a1bac11aee8.jpg</v>
      </c>
      <c r="P1348" s="4">
        <f ca="1">_xlfn.IFNA(VLOOKUP(INDIRECT("G"&amp;ROW()),minfo!$A:$M,COLUMN()-8,0),"")</f>
        <v>0</v>
      </c>
      <c r="Q1348" s="4">
        <f ca="1">_xlfn.IFNA(VLOOKUP(INDIRECT("G"&amp;ROW()),minfo!$A:$M,COLUMN()-8,0),"")</f>
        <v>51</v>
      </c>
      <c r="R1348" s="4">
        <f ca="1">_xlfn.IFNA(VLOOKUP(INDIRECT("G"&amp;ROW()),minfo!$A:$M,COLUMN()-8,0),"")</f>
        <v>0</v>
      </c>
      <c r="S1348" s="4" t="str">
        <f ca="1">_xlfn.IFNA(VLOOKUP(INDIRECT("G"&amp;ROW()),minfo!$A:$M,COLUMN()-8,0),"")</f>
        <v>失落沙洲</v>
      </c>
      <c r="T1348" s="4">
        <f ca="1">_xlfn.IFNA(VLOOKUP(INDIRECT("G"&amp;ROW()),minfo!$A:$M,COLUMN()-8,0),"")</f>
        <v>13227275</v>
      </c>
      <c r="U1348" s="4">
        <f ca="1">_xlfn.IFNA(VLOOKUP(INDIRECT("G"&amp;ROW()),minfo!$A:$M,COLUMN()-8,0),"")</f>
        <v>0</v>
      </c>
    </row>
    <row r="1349" spans="1:21" ht="15.75" customHeight="1">
      <c r="A1349" s="15">
        <v>1348</v>
      </c>
      <c r="B1349" s="4" t="s">
        <v>4969</v>
      </c>
      <c r="C1349" s="4">
        <v>1349</v>
      </c>
      <c r="D1349" s="4">
        <v>191</v>
      </c>
      <c r="E1349" s="4" t="s">
        <v>4970</v>
      </c>
      <c r="F1349" s="16">
        <v>44909</v>
      </c>
      <c r="G1349" s="5" t="s">
        <v>838</v>
      </c>
      <c r="H1349" s="5" t="s">
        <v>4770</v>
      </c>
      <c r="I1349" s="24" t="str">
        <f>HYPERLINK("https://www.bilibili.com/video/BV1ie4y1B7SZ?p=191", "BV1ie4y1B7SZ?p=191")</f>
        <v>BV1ie4y1B7SZ?p=191</v>
      </c>
      <c r="J1349" s="4" t="str">
        <f ca="1">_xlfn.IFNA(VLOOKUP(INDIRECT("G"&amp;ROW()),minfo!$A:$M,COLUMN()-8,0),"")</f>
        <v>七里香</v>
      </c>
      <c r="K1349" s="4" t="str">
        <f ca="1">_xlfn.IFNA(VLOOKUP(INDIRECT("G"&amp;ROW()),minfo!$A:$M,COLUMN()-8,0),"")</f>
        <v>周杰伦</v>
      </c>
      <c r="L1349" s="4">
        <f ca="1">_xlfn.IFNA(VLOOKUP(INDIRECT("G"&amp;ROW()),minfo!$A:$M,COLUMN()-8,0),"")</f>
        <v>0</v>
      </c>
      <c r="M1349" s="4">
        <f ca="1">_xlfn.IFNA(VLOOKUP(INDIRECT("G"&amp;ROW()),minfo!$A:$M,COLUMN()-8,0),"")</f>
        <v>6714</v>
      </c>
      <c r="N1349" s="4">
        <f ca="1">_xlfn.IFNA(VLOOKUP(INDIRECT("G"&amp;ROW()),minfo!$A:$M,COLUMN()-8,0),"")</f>
        <v>200</v>
      </c>
      <c r="O1349" s="4" t="str">
        <f ca="1">_xlfn.IFNA(VLOOKUP(INDIRECT("G"&amp;ROW()),minfo!$A:$M,COLUMN()-8,0),"")</f>
        <v>https://i0.hdslb.com/bfs/station_src/music_metadata/cc542b9d467cfc48aecb420fa38f29a5.jpg</v>
      </c>
      <c r="P1349" s="4">
        <f ca="1">_xlfn.IFNA(VLOOKUP(INDIRECT("G"&amp;ROW()),minfo!$A:$M,COLUMN()-8,0),"")</f>
        <v>0</v>
      </c>
      <c r="Q1349" s="4">
        <f ca="1">_xlfn.IFNA(VLOOKUP(INDIRECT("G"&amp;ROW()),minfo!$A:$M,COLUMN()-8,0),"")</f>
        <v>13878</v>
      </c>
      <c r="R1349" s="4">
        <f ca="1">_xlfn.IFNA(VLOOKUP(INDIRECT("G"&amp;ROW()),minfo!$A:$M,COLUMN()-8,0),"")</f>
        <v>0</v>
      </c>
      <c r="S1349" s="4" t="str">
        <f ca="1">_xlfn.IFNA(VLOOKUP(INDIRECT("G"&amp;ROW()),minfo!$A:$M,COLUMN()-8,0),"")</f>
        <v>七里香</v>
      </c>
      <c r="T1349" s="4">
        <f ca="1">_xlfn.IFNA(VLOOKUP(INDIRECT("G"&amp;ROW()),minfo!$A:$M,COLUMN()-8,0),"")</f>
        <v>1124988076</v>
      </c>
      <c r="U1349" s="4" t="str">
        <f ca="1">_xlfn.IFNA(VLOOKUP(INDIRECT("G"&amp;ROW()),minfo!$A:$M,COLUMN()-8,0),"")</f>
        <v>音乐榜最高NO.17</v>
      </c>
    </row>
    <row r="1350" spans="1:21" ht="15.75" customHeight="1">
      <c r="A1350" s="15">
        <v>1349</v>
      </c>
      <c r="B1350" s="4" t="s">
        <v>4971</v>
      </c>
      <c r="C1350" s="4">
        <v>1350</v>
      </c>
      <c r="D1350" s="4">
        <v>192</v>
      </c>
      <c r="E1350" s="4" t="s">
        <v>4209</v>
      </c>
      <c r="F1350" s="16">
        <v>44909</v>
      </c>
      <c r="G1350" s="5" t="s">
        <v>1631</v>
      </c>
      <c r="H1350" s="5" t="s">
        <v>4770</v>
      </c>
      <c r="I1350" s="24" t="str">
        <f>HYPERLINK("https://www.bilibili.com/video/BV1ie4y1B7SZ?p=192", "BV1ie4y1B7SZ?p=192")</f>
        <v>BV1ie4y1B7SZ?p=192</v>
      </c>
      <c r="J1350" s="4" t="str">
        <f ca="1">_xlfn.IFNA(VLOOKUP(INDIRECT("G"&amp;ROW()),minfo!$A:$M,COLUMN()-8,0),"")</f>
        <v>Forever Young</v>
      </c>
      <c r="K1350" s="4" t="str">
        <f ca="1">_xlfn.IFNA(VLOOKUP(INDIRECT("G"&amp;ROW()),minfo!$A:$M,COLUMN()-8,0),"")</f>
        <v>艾怡良</v>
      </c>
      <c r="L1350" s="4">
        <f ca="1">_xlfn.IFNA(VLOOKUP(INDIRECT("G"&amp;ROW()),minfo!$A:$M,COLUMN()-8,0),"")</f>
        <v>0</v>
      </c>
      <c r="M1350" s="4">
        <f ca="1">_xlfn.IFNA(VLOOKUP(INDIRECT("G"&amp;ROW()),minfo!$A:$M,COLUMN()-8,0),"")</f>
        <v>1121</v>
      </c>
      <c r="N1350" s="4">
        <f ca="1">_xlfn.IFNA(VLOOKUP(INDIRECT("G"&amp;ROW()),minfo!$A:$M,COLUMN()-8,0),"")</f>
        <v>108</v>
      </c>
      <c r="O1350" s="4" t="str">
        <f ca="1">_xlfn.IFNA(VLOOKUP(INDIRECT("G"&amp;ROW()),minfo!$A:$M,COLUMN()-8,0),"")</f>
        <v>https://i0.hdslb.com/bfs/station_src/music_metadata/dbe0a5c483acdf75be3b3411a94a3f6e.jpg</v>
      </c>
      <c r="P1350" s="4" t="str">
        <f ca="1">_xlfn.IFNA(VLOOKUP(INDIRECT("G"&amp;ROW()),minfo!$A:$M,COLUMN()-8,0),"")</f>
        <v>https://i0.hdslb.com/bfs/station_src/music_metadata/0eecea8bad0d6a372d617485427bcadb.txt</v>
      </c>
      <c r="Q1350" s="4">
        <f ca="1">_xlfn.IFNA(VLOOKUP(INDIRECT("G"&amp;ROW()),minfo!$A:$M,COLUMN()-8,0),"")</f>
        <v>243</v>
      </c>
      <c r="R1350" s="4">
        <f ca="1">_xlfn.IFNA(VLOOKUP(INDIRECT("G"&amp;ROW()),minfo!$A:$M,COLUMN()-8,0),"")</f>
        <v>0</v>
      </c>
      <c r="S1350" s="4" t="str">
        <f ca="1">_xlfn.IFNA(VLOOKUP(INDIRECT("G"&amp;ROW()),minfo!$A:$M,COLUMN()-8,0),"")</f>
        <v>Forever Young</v>
      </c>
      <c r="T1350" s="4">
        <f ca="1">_xlfn.IFNA(VLOOKUP(INDIRECT("G"&amp;ROW()),minfo!$A:$M,COLUMN()-8,0),"")</f>
        <v>21666407</v>
      </c>
      <c r="U1350" s="4">
        <f ca="1">_xlfn.IFNA(VLOOKUP(INDIRECT("G"&amp;ROW()),minfo!$A:$M,COLUMN()-8,0),"")</f>
        <v>0</v>
      </c>
    </row>
    <row r="1351" spans="1:21" ht="15.75" customHeight="1">
      <c r="A1351" s="15">
        <v>1350</v>
      </c>
      <c r="B1351" s="4" t="s">
        <v>4972</v>
      </c>
      <c r="C1351" s="4">
        <v>1351</v>
      </c>
      <c r="D1351" s="4">
        <v>193</v>
      </c>
      <c r="E1351" s="4" t="s">
        <v>2762</v>
      </c>
      <c r="F1351" s="16">
        <v>44909</v>
      </c>
      <c r="G1351" s="5" t="s">
        <v>2761</v>
      </c>
      <c r="H1351" s="5" t="s">
        <v>4770</v>
      </c>
      <c r="I1351" s="24" t="str">
        <f>HYPERLINK("https://www.bilibili.com/video/BV1ie4y1B7SZ?p=193", "BV1ie4y1B7SZ?p=193")</f>
        <v>BV1ie4y1B7SZ?p=193</v>
      </c>
      <c r="J1351" s="4" t="str">
        <f ca="1">_xlfn.IFNA(VLOOKUP(INDIRECT("G"&amp;ROW()),minfo!$A:$M,COLUMN()-8,0),"")</f>
        <v>又见炊烟</v>
      </c>
      <c r="K1351" s="4" t="str">
        <f ca="1">_xlfn.IFNA(VLOOKUP(INDIRECT("G"&amp;ROW()),minfo!$A:$M,COLUMN()-8,0),"")</f>
        <v>王菲</v>
      </c>
      <c r="L1351" s="4">
        <f ca="1">_xlfn.IFNA(VLOOKUP(INDIRECT("G"&amp;ROW()),minfo!$A:$M,COLUMN()-8,0),"")</f>
        <v>0</v>
      </c>
      <c r="M1351" s="4">
        <f ca="1">_xlfn.IFNA(VLOOKUP(INDIRECT("G"&amp;ROW()),minfo!$A:$M,COLUMN()-8,0),"")</f>
        <v>0</v>
      </c>
      <c r="N1351" s="4">
        <f ca="1">_xlfn.IFNA(VLOOKUP(INDIRECT("G"&amp;ROW()),minfo!$A:$M,COLUMN()-8,0),"")</f>
        <v>0</v>
      </c>
      <c r="O1351" s="4" t="str">
        <f ca="1">_xlfn.IFNA(VLOOKUP(INDIRECT("G"&amp;ROW()),minfo!$A:$M,COLUMN()-8,0),"")</f>
        <v>https://i0.hdslb.com/bfs/station_src/music_metadata/e895f850cdac424a6c2033816f6fd713.jpg</v>
      </c>
      <c r="P1351" s="4" t="str">
        <f ca="1">_xlfn.IFNA(VLOOKUP(INDIRECT("G"&amp;ROW()),minfo!$A:$M,COLUMN()-8,0),"")</f>
        <v>https://i0.hdslb.com/bfs/station_src/music_metadata/080766a9fbb514170a7488d17cc024a4.txt</v>
      </c>
      <c r="Q1351" s="4">
        <f ca="1">_xlfn.IFNA(VLOOKUP(INDIRECT("G"&amp;ROW()),minfo!$A:$M,COLUMN()-8,0),"")</f>
        <v>3</v>
      </c>
      <c r="R1351" s="4">
        <f ca="1">_xlfn.IFNA(VLOOKUP(INDIRECT("G"&amp;ROW()),minfo!$A:$M,COLUMN()-8,0),"")</f>
        <v>0</v>
      </c>
      <c r="S1351" s="4" t="str">
        <f ca="1">_xlfn.IFNA(VLOOKUP(INDIRECT("G"&amp;ROW()),minfo!$A:$M,COLUMN()-8,0),"")</f>
        <v>菲靡靡之音</v>
      </c>
      <c r="T1351" s="4">
        <f ca="1">_xlfn.IFNA(VLOOKUP(INDIRECT("G"&amp;ROW()),minfo!$A:$M,COLUMN()-8,0),"")</f>
        <v>6360920</v>
      </c>
      <c r="U1351" s="4">
        <f ca="1">_xlfn.IFNA(VLOOKUP(INDIRECT("G"&amp;ROW()),minfo!$A:$M,COLUMN()-8,0),"")</f>
        <v>0</v>
      </c>
    </row>
    <row r="1352" spans="1:21" ht="15.75" customHeight="1">
      <c r="A1352" s="15">
        <v>1351</v>
      </c>
      <c r="B1352" s="4" t="s">
        <v>4973</v>
      </c>
      <c r="C1352" s="4">
        <v>1352</v>
      </c>
      <c r="D1352" s="4">
        <v>194</v>
      </c>
      <c r="E1352" s="4" t="s">
        <v>332</v>
      </c>
      <c r="F1352" s="16">
        <v>44909</v>
      </c>
      <c r="G1352" s="5" t="s">
        <v>331</v>
      </c>
      <c r="H1352" s="5" t="s">
        <v>4770</v>
      </c>
      <c r="I1352" s="24" t="str">
        <f>HYPERLINK("https://www.bilibili.com/video/BV1ie4y1B7SZ?p=194", "BV1ie4y1B7SZ?p=194")</f>
        <v>BV1ie4y1B7SZ?p=194</v>
      </c>
      <c r="J1352" s="4" t="str">
        <f ca="1">_xlfn.IFNA(VLOOKUP(INDIRECT("G"&amp;ROW()),minfo!$A:$M,COLUMN()-8,0),"")</f>
        <v>春天的芭蕾</v>
      </c>
      <c r="K1352" s="4" t="str">
        <f ca="1">_xlfn.IFNA(VLOOKUP(INDIRECT("G"&amp;ROW()),minfo!$A:$M,COLUMN()-8,0),"")</f>
        <v>常思思</v>
      </c>
      <c r="L1352" s="4">
        <f ca="1">_xlfn.IFNA(VLOOKUP(INDIRECT("G"&amp;ROW()),minfo!$A:$M,COLUMN()-8,0),"")</f>
        <v>0</v>
      </c>
      <c r="M1352" s="4">
        <f ca="1">_xlfn.IFNA(VLOOKUP(INDIRECT("G"&amp;ROW()),minfo!$A:$M,COLUMN()-8,0),"")</f>
        <v>0</v>
      </c>
      <c r="N1352" s="4">
        <f ca="1">_xlfn.IFNA(VLOOKUP(INDIRECT("G"&amp;ROW()),minfo!$A:$M,COLUMN()-8,0),"")</f>
        <v>0</v>
      </c>
      <c r="O1352" s="4" t="str">
        <f ca="1">_xlfn.IFNA(VLOOKUP(INDIRECT("G"&amp;ROW()),minfo!$A:$M,COLUMN()-8,0),"")</f>
        <v>http://i0.hdslb.com/bfs/station_src/music_metadata/7202bafed8b495edfdc98691518442b5.jpg</v>
      </c>
      <c r="P1352" s="4" t="str">
        <f ca="1">_xlfn.IFNA(VLOOKUP(INDIRECT("G"&amp;ROW()),minfo!$A:$M,COLUMN()-8,0),"")</f>
        <v>http://i0.hdslb.com/bfs/station_src/music_metadata/1faf7f1d5734fb67fc3aa5824aaf8ed2</v>
      </c>
      <c r="Q1352" s="4">
        <f ca="1">_xlfn.IFNA(VLOOKUP(INDIRECT("G"&amp;ROW()),minfo!$A:$M,COLUMN()-8,0),"")</f>
        <v>173</v>
      </c>
      <c r="R1352" s="4">
        <f ca="1">_xlfn.IFNA(VLOOKUP(INDIRECT("G"&amp;ROW()),minfo!$A:$M,COLUMN()-8,0),"")</f>
        <v>0</v>
      </c>
      <c r="S1352" s="4">
        <f ca="1">_xlfn.IFNA(VLOOKUP(INDIRECT("G"&amp;ROW()),minfo!$A:$M,COLUMN()-8,0),"")</f>
        <v>0</v>
      </c>
      <c r="T1352" s="4">
        <f ca="1">_xlfn.IFNA(VLOOKUP(INDIRECT("G"&amp;ROW()),minfo!$A:$M,COLUMN()-8,0),"")</f>
        <v>25997684</v>
      </c>
      <c r="U1352" s="4">
        <f ca="1">_xlfn.IFNA(VLOOKUP(INDIRECT("G"&amp;ROW()),minfo!$A:$M,COLUMN()-8,0),"")</f>
        <v>0</v>
      </c>
    </row>
    <row r="1353" spans="1:21" ht="15.75" customHeight="1">
      <c r="A1353" s="15">
        <v>1352</v>
      </c>
      <c r="B1353" s="4" t="s">
        <v>4974</v>
      </c>
      <c r="C1353" s="4">
        <v>1353</v>
      </c>
      <c r="D1353" s="4">
        <v>195</v>
      </c>
      <c r="E1353" s="4" t="s">
        <v>2767</v>
      </c>
      <c r="F1353" s="16">
        <v>44909</v>
      </c>
      <c r="G1353" s="5" t="s">
        <v>2766</v>
      </c>
      <c r="H1353" s="5" t="s">
        <v>4770</v>
      </c>
      <c r="I1353" s="24" t="str">
        <f>HYPERLINK("https://www.bilibili.com/video/BV1ie4y1B7SZ?p=195", "BV1ie4y1B7SZ?p=195")</f>
        <v>BV1ie4y1B7SZ?p=195</v>
      </c>
      <c r="J1353" s="4" t="str">
        <f ca="1">_xlfn.IFNA(VLOOKUP(INDIRECT("G"&amp;ROW()),minfo!$A:$M,COLUMN()-8,0),"")</f>
        <v>慢慢喜欢你</v>
      </c>
      <c r="K1353" s="4" t="str">
        <f ca="1">_xlfn.IFNA(VLOOKUP(INDIRECT("G"&amp;ROW()),minfo!$A:$M,COLUMN()-8,0),"")</f>
        <v>莫文蔚</v>
      </c>
      <c r="L1353" s="4">
        <f ca="1">_xlfn.IFNA(VLOOKUP(INDIRECT("G"&amp;ROW()),minfo!$A:$M,COLUMN()-8,0),"")</f>
        <v>0</v>
      </c>
      <c r="M1353" s="4">
        <f ca="1">_xlfn.IFNA(VLOOKUP(INDIRECT("G"&amp;ROW()),minfo!$A:$M,COLUMN()-8,0),"")</f>
        <v>0</v>
      </c>
      <c r="N1353" s="4">
        <f ca="1">_xlfn.IFNA(VLOOKUP(INDIRECT("G"&amp;ROW()),minfo!$A:$M,COLUMN()-8,0),"")</f>
        <v>0</v>
      </c>
      <c r="O1353" s="4" t="str">
        <f ca="1">_xlfn.IFNA(VLOOKUP(INDIRECT("G"&amp;ROW()),minfo!$A:$M,COLUMN()-8,0),"")</f>
        <v>https://i0.hdslb.com/bfs/station_src/music_metadata/e3900bdbf7412a528714d43012a53567.jpg</v>
      </c>
      <c r="P1353" s="4" t="str">
        <f ca="1">_xlfn.IFNA(VLOOKUP(INDIRECT("G"&amp;ROW()),minfo!$A:$M,COLUMN()-8,0),"")</f>
        <v>http://i0.hdslb.com/bfs/station_src/music_metadata/3333265af451e66a565c52c52aa85a91</v>
      </c>
      <c r="Q1353" s="4">
        <f ca="1">_xlfn.IFNA(VLOOKUP(INDIRECT("G"&amp;ROW()),minfo!$A:$M,COLUMN()-8,0),"")</f>
        <v>386</v>
      </c>
      <c r="R1353" s="4">
        <f ca="1">_xlfn.IFNA(VLOOKUP(INDIRECT("G"&amp;ROW()),minfo!$A:$M,COLUMN()-8,0),"")</f>
        <v>0</v>
      </c>
      <c r="S1353" s="4" t="str">
        <f ca="1">_xlfn.IFNA(VLOOKUP(INDIRECT("G"&amp;ROW()),minfo!$A:$M,COLUMN()-8,0),"")</f>
        <v>我们在中场相遇</v>
      </c>
      <c r="T1353" s="4">
        <f ca="1">_xlfn.IFNA(VLOOKUP(INDIRECT("G"&amp;ROW()),minfo!$A:$M,COLUMN()-8,0),"")</f>
        <v>235303544</v>
      </c>
      <c r="U1353" s="4">
        <f ca="1">_xlfn.IFNA(VLOOKUP(INDIRECT("G"&amp;ROW()),minfo!$A:$M,COLUMN()-8,0),"")</f>
        <v>0</v>
      </c>
    </row>
    <row r="1354" spans="1:21" ht="15.75" customHeight="1">
      <c r="A1354" s="15">
        <v>1353</v>
      </c>
      <c r="B1354" s="4" t="s">
        <v>4975</v>
      </c>
      <c r="C1354" s="4">
        <v>1354</v>
      </c>
      <c r="D1354" s="4">
        <v>196</v>
      </c>
      <c r="E1354" s="4" t="s">
        <v>370</v>
      </c>
      <c r="F1354" s="16">
        <v>44909</v>
      </c>
      <c r="G1354" s="5" t="s">
        <v>369</v>
      </c>
      <c r="H1354" s="5" t="s">
        <v>4770</v>
      </c>
      <c r="I1354" s="24" t="str">
        <f>HYPERLINK("https://www.bilibili.com/video/BV1ie4y1B7SZ?p=196", "BV1ie4y1B7SZ?p=196")</f>
        <v>BV1ie4y1B7SZ?p=196</v>
      </c>
      <c r="J1354" s="4" t="str">
        <f ca="1">_xlfn.IFNA(VLOOKUP(INDIRECT("G"&amp;ROW()),minfo!$A:$M,COLUMN()-8,0),"")</f>
        <v>星晴</v>
      </c>
      <c r="K1354" s="4" t="str">
        <f ca="1">_xlfn.IFNA(VLOOKUP(INDIRECT("G"&amp;ROW()),minfo!$A:$M,COLUMN()-8,0),"")</f>
        <v>周杰伦</v>
      </c>
      <c r="L1354" s="4">
        <f ca="1">_xlfn.IFNA(VLOOKUP(INDIRECT("G"&amp;ROW()),minfo!$A:$M,COLUMN()-8,0),"")</f>
        <v>0</v>
      </c>
      <c r="M1354" s="4">
        <f ca="1">_xlfn.IFNA(VLOOKUP(INDIRECT("G"&amp;ROW()),minfo!$A:$M,COLUMN()-8,0),"")</f>
        <v>0</v>
      </c>
      <c r="N1354" s="4">
        <f ca="1">_xlfn.IFNA(VLOOKUP(INDIRECT("G"&amp;ROW()),minfo!$A:$M,COLUMN()-8,0),"")</f>
        <v>0</v>
      </c>
      <c r="O1354" s="4" t="str">
        <f ca="1">_xlfn.IFNA(VLOOKUP(INDIRECT("G"&amp;ROW()),minfo!$A:$M,COLUMN()-8,0),"")</f>
        <v>http://i0.hdslb.com/bfs/station_src/music_metadata/6c5a2e49b22b5017b16436b34ffa8ff4.jpg</v>
      </c>
      <c r="P1354" s="4" t="str">
        <f ca="1">_xlfn.IFNA(VLOOKUP(INDIRECT("G"&amp;ROW()),minfo!$A:$M,COLUMN()-8,0),"")</f>
        <v>http://i0.hdslb.com/bfs/station_src/music_metadata/51698719dd553d61e269f2d4bcc88e0c</v>
      </c>
      <c r="Q1354" s="4">
        <f ca="1">_xlfn.IFNA(VLOOKUP(INDIRECT("G"&amp;ROW()),minfo!$A:$M,COLUMN()-8,0),"")</f>
        <v>1203</v>
      </c>
      <c r="R1354" s="4">
        <f ca="1">_xlfn.IFNA(VLOOKUP(INDIRECT("G"&amp;ROW()),minfo!$A:$M,COLUMN()-8,0),"")</f>
        <v>0</v>
      </c>
      <c r="S1354" s="4" t="str">
        <f ca="1">_xlfn.IFNA(VLOOKUP(INDIRECT("G"&amp;ROW()),minfo!$A:$M,COLUMN()-8,0),"")</f>
        <v>Jay</v>
      </c>
      <c r="T1354" s="4">
        <f ca="1">_xlfn.IFNA(VLOOKUP(INDIRECT("G"&amp;ROW()),minfo!$A:$M,COLUMN()-8,0),"")</f>
        <v>318249236</v>
      </c>
      <c r="U1354" s="4">
        <f ca="1">_xlfn.IFNA(VLOOKUP(INDIRECT("G"&amp;ROW()),minfo!$A:$M,COLUMN()-8,0),"")</f>
        <v>0</v>
      </c>
    </row>
    <row r="1355" spans="1:21" ht="15.75" customHeight="1">
      <c r="A1355" s="15">
        <v>1354</v>
      </c>
      <c r="B1355" s="4" t="s">
        <v>4976</v>
      </c>
      <c r="C1355" s="4">
        <v>1355</v>
      </c>
      <c r="D1355" s="4">
        <v>1</v>
      </c>
      <c r="E1355" s="4" t="s">
        <v>4977</v>
      </c>
      <c r="F1355" s="16">
        <v>44743</v>
      </c>
      <c r="G1355" s="5" t="s">
        <v>191</v>
      </c>
      <c r="H1355" s="5" t="s">
        <v>4978</v>
      </c>
      <c r="I1355" s="24" t="str">
        <f>HYPERLINK("https://www.bilibili.com/video/BV1ta411X75v?p=1", "BV1ta411X75v?p=1")</f>
        <v>BV1ta411X75v?p=1</v>
      </c>
      <c r="J1355" s="4" t="str">
        <f ca="1">_xlfn.IFNA(VLOOKUP(INDIRECT("G"&amp;ROW()),minfo!$A:$M,COLUMN()-8,0),"")</f>
        <v>流年如歌</v>
      </c>
      <c r="K1355" s="4" t="str">
        <f ca="1">_xlfn.IFNA(VLOOKUP(INDIRECT("G"&amp;ROW()),minfo!$A:$M,COLUMN()-8,0),"")</f>
        <v>苍穹</v>
      </c>
      <c r="L1355" s="4">
        <f ca="1">_xlfn.IFNA(VLOOKUP(INDIRECT("G"&amp;ROW()),minfo!$A:$M,COLUMN()-8,0),"")</f>
        <v>0</v>
      </c>
      <c r="M1355" s="4">
        <f ca="1">_xlfn.IFNA(VLOOKUP(INDIRECT("G"&amp;ROW()),minfo!$A:$M,COLUMN()-8,0),"")</f>
        <v>0</v>
      </c>
      <c r="N1355" s="4">
        <f ca="1">_xlfn.IFNA(VLOOKUP(INDIRECT("G"&amp;ROW()),minfo!$A:$M,COLUMN()-8,0),"")</f>
        <v>0</v>
      </c>
      <c r="O1355" s="4" t="str">
        <f ca="1">_xlfn.IFNA(VLOOKUP(INDIRECT("G"&amp;ROW()),minfo!$A:$M,COLUMN()-8,0),"")</f>
        <v>https://i0.hdslb.com/bfs/station_src/music_metadata/7d8de08a2fa9fed3e913a7cbedbd7359.jpg</v>
      </c>
      <c r="P1355" s="4" t="str">
        <f ca="1">_xlfn.IFNA(VLOOKUP(INDIRECT("G"&amp;ROW()),minfo!$A:$M,COLUMN()-8,0),"")</f>
        <v>https://i0.hdslb.com/bfs/station_src/music_metadata/39fd2191a90a6dfc42574ff5b43baadb.txt</v>
      </c>
      <c r="Q1355" s="4">
        <f ca="1">_xlfn.IFNA(VLOOKUP(INDIRECT("G"&amp;ROW()),minfo!$A:$M,COLUMN()-8,0),"")</f>
        <v>68</v>
      </c>
      <c r="R1355" s="4">
        <f ca="1">_xlfn.IFNA(VLOOKUP(INDIRECT("G"&amp;ROW()),minfo!$A:$M,COLUMN()-8,0),"")</f>
        <v>0</v>
      </c>
      <c r="S1355" s="4" t="str">
        <f ca="1">_xlfn.IFNA(VLOOKUP(INDIRECT("G"&amp;ROW()),minfo!$A:$M,COLUMN()-8,0),"")</f>
        <v>哔哩哔哩拜年纪金曲回顾</v>
      </c>
      <c r="T1355" s="4">
        <f ca="1">_xlfn.IFNA(VLOOKUP(INDIRECT("G"&amp;ROW()),minfo!$A:$M,COLUMN()-8,0),"")</f>
        <v>14971574</v>
      </c>
      <c r="U1355" s="4">
        <f ca="1">_xlfn.IFNA(VLOOKUP(INDIRECT("G"&amp;ROW()),minfo!$A:$M,COLUMN()-8,0),"")</f>
        <v>0</v>
      </c>
    </row>
    <row r="1356" spans="1:21" ht="15.75" customHeight="1">
      <c r="A1356" s="15">
        <v>1355</v>
      </c>
      <c r="B1356" s="4" t="s">
        <v>4979</v>
      </c>
      <c r="C1356" s="4">
        <v>1356</v>
      </c>
      <c r="D1356" s="4">
        <v>2</v>
      </c>
      <c r="E1356" s="4" t="s">
        <v>732</v>
      </c>
      <c r="F1356" s="16">
        <v>44743</v>
      </c>
      <c r="G1356" s="5" t="s">
        <v>731</v>
      </c>
      <c r="H1356" s="5" t="s">
        <v>4978</v>
      </c>
      <c r="I1356" s="24" t="str">
        <f>HYPERLINK("https://www.bilibili.com/video/BV1ta411X75v?p=2", "BV1ta411X75v?p=2")</f>
        <v>BV1ta411X75v?p=2</v>
      </c>
      <c r="J1356" s="4" t="str">
        <f ca="1">_xlfn.IFNA(VLOOKUP(INDIRECT("G"&amp;ROW()),minfo!$A:$M,COLUMN()-8,0),"")</f>
        <v>园游会</v>
      </c>
      <c r="K1356" s="4" t="str">
        <f ca="1">_xlfn.IFNA(VLOOKUP(INDIRECT("G"&amp;ROW()),minfo!$A:$M,COLUMN()-8,0),"")</f>
        <v>周杰伦</v>
      </c>
      <c r="L1356" s="4">
        <f ca="1">_xlfn.IFNA(VLOOKUP(INDIRECT("G"&amp;ROW()),minfo!$A:$M,COLUMN()-8,0),"")</f>
        <v>0</v>
      </c>
      <c r="M1356" s="4">
        <f ca="1">_xlfn.IFNA(VLOOKUP(INDIRECT("G"&amp;ROW()),minfo!$A:$M,COLUMN()-8,0),"")</f>
        <v>0</v>
      </c>
      <c r="N1356" s="4">
        <f ca="1">_xlfn.IFNA(VLOOKUP(INDIRECT("G"&amp;ROW()),minfo!$A:$M,COLUMN()-8,0),"")</f>
        <v>0</v>
      </c>
      <c r="O1356" s="4" t="str">
        <f ca="1">_xlfn.IFNA(VLOOKUP(INDIRECT("G"&amp;ROW()),minfo!$A:$M,COLUMN()-8,0),"")</f>
        <v>https://i0.hdslb.com/bfs/station_src/music_metadata/6e1ac13753b4f6ee9b6064e5eea74ee9.jpg</v>
      </c>
      <c r="P1356" s="4">
        <f ca="1">_xlfn.IFNA(VLOOKUP(INDIRECT("G"&amp;ROW()),minfo!$A:$M,COLUMN()-8,0),"")</f>
        <v>0</v>
      </c>
      <c r="Q1356" s="4">
        <f ca="1">_xlfn.IFNA(VLOOKUP(INDIRECT("G"&amp;ROW()),minfo!$A:$M,COLUMN()-8,0),"")</f>
        <v>2471</v>
      </c>
      <c r="R1356" s="4">
        <f ca="1">_xlfn.IFNA(VLOOKUP(INDIRECT("G"&amp;ROW()),minfo!$A:$M,COLUMN()-8,0),"")</f>
        <v>0</v>
      </c>
      <c r="S1356" s="4" t="str">
        <f ca="1">_xlfn.IFNA(VLOOKUP(INDIRECT("G"&amp;ROW()),minfo!$A:$M,COLUMN()-8,0),"")</f>
        <v>七里香</v>
      </c>
      <c r="T1356" s="4">
        <f ca="1">_xlfn.IFNA(VLOOKUP(INDIRECT("G"&amp;ROW()),minfo!$A:$M,COLUMN()-8,0),"")</f>
        <v>492310935</v>
      </c>
      <c r="U1356" s="4" t="str">
        <f ca="1">_xlfn.IFNA(VLOOKUP(INDIRECT("G"&amp;ROW()),minfo!$A:$M,COLUMN()-8,0),"")</f>
        <v>音乐榜最高NO.13</v>
      </c>
    </row>
    <row r="1357" spans="1:21" ht="15.75" customHeight="1">
      <c r="A1357" s="15">
        <v>1356</v>
      </c>
      <c r="B1357" s="4" t="s">
        <v>4980</v>
      </c>
      <c r="C1357" s="4">
        <v>1357</v>
      </c>
      <c r="D1357" s="4">
        <v>3</v>
      </c>
      <c r="E1357" s="4" t="s">
        <v>918</v>
      </c>
      <c r="F1357" s="16">
        <v>44743</v>
      </c>
      <c r="G1357" s="5" t="s">
        <v>917</v>
      </c>
      <c r="H1357" s="5" t="s">
        <v>4978</v>
      </c>
      <c r="I1357" s="24" t="str">
        <f>HYPERLINK("https://www.bilibili.com/video/BV1ta411X75v?p=3", "BV1ta411X75v?p=3")</f>
        <v>BV1ta411X75v?p=3</v>
      </c>
      <c r="J1357" s="4" t="str">
        <f ca="1">_xlfn.IFNA(VLOOKUP(INDIRECT("G"&amp;ROW()),minfo!$A:$M,COLUMN()-8,0),"")</f>
        <v>暗号</v>
      </c>
      <c r="K1357" s="4" t="str">
        <f ca="1">_xlfn.IFNA(VLOOKUP(INDIRECT("G"&amp;ROW()),minfo!$A:$M,COLUMN()-8,0),"")</f>
        <v>周杰伦</v>
      </c>
      <c r="L1357" s="4">
        <f ca="1">_xlfn.IFNA(VLOOKUP(INDIRECT("G"&amp;ROW()),minfo!$A:$M,COLUMN()-8,0),"")</f>
        <v>0</v>
      </c>
      <c r="M1357" s="4">
        <f ca="1">_xlfn.IFNA(VLOOKUP(INDIRECT("G"&amp;ROW()),minfo!$A:$M,COLUMN()-8,0),"")</f>
        <v>0</v>
      </c>
      <c r="N1357" s="4">
        <f ca="1">_xlfn.IFNA(VLOOKUP(INDIRECT("G"&amp;ROW()),minfo!$A:$M,COLUMN()-8,0),"")</f>
        <v>0</v>
      </c>
      <c r="O1357" s="4" t="str">
        <f ca="1">_xlfn.IFNA(VLOOKUP(INDIRECT("G"&amp;ROW()),minfo!$A:$M,COLUMN()-8,0),"")</f>
        <v>https://i0.hdslb.com/bfs/station_src/music_metadata/836d7078552d6143b4a27f54a2a62598.jpg</v>
      </c>
      <c r="P1357" s="4">
        <f ca="1">_xlfn.IFNA(VLOOKUP(INDIRECT("G"&amp;ROW()),minfo!$A:$M,COLUMN()-8,0),"")</f>
        <v>0</v>
      </c>
      <c r="Q1357" s="4">
        <f ca="1">_xlfn.IFNA(VLOOKUP(INDIRECT("G"&amp;ROW()),minfo!$A:$M,COLUMN()-8,0),"")</f>
        <v>8346</v>
      </c>
      <c r="R1357" s="4">
        <f ca="1">_xlfn.IFNA(VLOOKUP(INDIRECT("G"&amp;ROW()),minfo!$A:$M,COLUMN()-8,0),"")</f>
        <v>0</v>
      </c>
      <c r="S1357" s="4" t="str">
        <f ca="1">_xlfn.IFNA(VLOOKUP(INDIRECT("G"&amp;ROW()),minfo!$A:$M,COLUMN()-8,0),"")</f>
        <v>八度空间</v>
      </c>
      <c r="T1357" s="4">
        <f ca="1">_xlfn.IFNA(VLOOKUP(INDIRECT("G"&amp;ROW()),minfo!$A:$M,COLUMN()-8,0),"")</f>
        <v>445692889</v>
      </c>
      <c r="U1357" s="4">
        <f ca="1">_xlfn.IFNA(VLOOKUP(INDIRECT("G"&amp;ROW()),minfo!$A:$M,COLUMN()-8,0),"")</f>
        <v>0</v>
      </c>
    </row>
    <row r="1358" spans="1:21" ht="15.75" customHeight="1">
      <c r="A1358" s="15">
        <v>1357</v>
      </c>
      <c r="B1358" s="4" t="s">
        <v>4981</v>
      </c>
      <c r="C1358" s="4">
        <v>1358</v>
      </c>
      <c r="D1358" s="4">
        <v>4</v>
      </c>
      <c r="E1358" s="4" t="s">
        <v>1229</v>
      </c>
      <c r="F1358" s="16">
        <v>44743</v>
      </c>
      <c r="G1358" s="5" t="s">
        <v>1228</v>
      </c>
      <c r="H1358" s="5" t="s">
        <v>4978</v>
      </c>
      <c r="I1358" s="24" t="str">
        <f>HYPERLINK("https://www.bilibili.com/video/BV1ta411X75v?p=4", "BV1ta411X75v?p=4")</f>
        <v>BV1ta411X75v?p=4</v>
      </c>
      <c r="J1358" s="4" t="str">
        <f ca="1">_xlfn.IFNA(VLOOKUP(INDIRECT("G"&amp;ROW()),minfo!$A:$M,COLUMN()-8,0),"")</f>
        <v>昨日青空</v>
      </c>
      <c r="K1358" s="4" t="str">
        <f ca="1">_xlfn.IFNA(VLOOKUP(INDIRECT("G"&amp;ROW()),minfo!$A:$M,COLUMN()-8,0),"")</f>
        <v>尤长靖</v>
      </c>
      <c r="L1358" s="4">
        <f ca="1">_xlfn.IFNA(VLOOKUP(INDIRECT("G"&amp;ROW()),minfo!$A:$M,COLUMN()-8,0),"")</f>
        <v>0</v>
      </c>
      <c r="M1358" s="4">
        <f ca="1">_xlfn.IFNA(VLOOKUP(INDIRECT("G"&amp;ROW()),minfo!$A:$M,COLUMN()-8,0),"")</f>
        <v>0</v>
      </c>
      <c r="N1358" s="4">
        <f ca="1">_xlfn.IFNA(VLOOKUP(INDIRECT("G"&amp;ROW()),minfo!$A:$M,COLUMN()-8,0),"")</f>
        <v>0</v>
      </c>
      <c r="O1358" s="4" t="str">
        <f ca="1">_xlfn.IFNA(VLOOKUP(INDIRECT("G"&amp;ROW()),minfo!$A:$M,COLUMN()-8,0),"")</f>
        <v>https://i0.hdslb.com/bfs/station_src/music_metadata/abc73110210c595e7074ddc5a01dd754.jpg</v>
      </c>
      <c r="P1358" s="4" t="str">
        <f ca="1">_xlfn.IFNA(VLOOKUP(INDIRECT("G"&amp;ROW()),minfo!$A:$M,COLUMN()-8,0),"")</f>
        <v>http://i0.hdslb.com/bfs/station_src/music_metadata/042fb26c880b233a48dc106af6e82bca</v>
      </c>
      <c r="Q1358" s="4">
        <f ca="1">_xlfn.IFNA(VLOOKUP(INDIRECT("G"&amp;ROW()),minfo!$A:$M,COLUMN()-8,0),"")</f>
        <v>558</v>
      </c>
      <c r="R1358" s="4" t="str">
        <f ca="1">_xlfn.IFNA(VLOOKUP(INDIRECT("G"&amp;ROW()),minfo!$A:$M,COLUMN()-8,0),"")</f>
        <v>《昨日青空》电影同名青春主题曲</v>
      </c>
      <c r="S1358" s="4" t="str">
        <f ca="1">_xlfn.IFNA(VLOOKUP(INDIRECT("G"&amp;ROW()),minfo!$A:$M,COLUMN()-8,0),"")</f>
        <v>昨日青空</v>
      </c>
      <c r="T1358" s="4">
        <f ca="1">_xlfn.IFNA(VLOOKUP(INDIRECT("G"&amp;ROW()),minfo!$A:$M,COLUMN()-8,0),"")</f>
        <v>70470580</v>
      </c>
      <c r="U1358" s="4">
        <f ca="1">_xlfn.IFNA(VLOOKUP(INDIRECT("G"&amp;ROW()),minfo!$A:$M,COLUMN()-8,0),"")</f>
        <v>0</v>
      </c>
    </row>
    <row r="1359" spans="1:21" ht="15.75" customHeight="1">
      <c r="A1359" s="15">
        <v>1358</v>
      </c>
      <c r="B1359" s="4" t="s">
        <v>4982</v>
      </c>
      <c r="C1359" s="4">
        <v>1359</v>
      </c>
      <c r="D1359" s="4">
        <v>5</v>
      </c>
      <c r="E1359" s="4" t="s">
        <v>113</v>
      </c>
      <c r="F1359" s="16">
        <v>44748</v>
      </c>
      <c r="G1359" s="5" t="s">
        <v>113</v>
      </c>
      <c r="H1359" s="5" t="s">
        <v>4978</v>
      </c>
      <c r="I1359" s="24" t="str">
        <f>HYPERLINK("https://www.bilibili.com/video/BV1ta411X75v?p=5", "BV1ta411X75v?p=5")</f>
        <v>BV1ta411X75v?p=5</v>
      </c>
      <c r="J1359" s="4" t="str">
        <f ca="1">_xlfn.IFNA(VLOOKUP(INDIRECT("G"&amp;ROW()),minfo!$A:$M,COLUMN()-8,0),"")</f>
        <v>牡丹亭畔</v>
      </c>
      <c r="K1359" s="4" t="str">
        <f ca="1">_xlfn.IFNA(VLOOKUP(INDIRECT("G"&amp;ROW()),minfo!$A:$M,COLUMN()-8,0),"")</f>
        <v>说说Crystal</v>
      </c>
      <c r="L1359" s="4" t="str">
        <f ca="1">_xlfn.IFNA(VLOOKUP(INDIRECT("G"&amp;ROW()),minfo!$A:$M,COLUMN()-8,0),"")</f>
        <v>BV1CP411M7tc</v>
      </c>
      <c r="M1359" s="4">
        <f ca="1">_xlfn.IFNA(VLOOKUP(INDIRECT("G"&amp;ROW()),minfo!$A:$M,COLUMN()-8,0),"")</f>
        <v>0</v>
      </c>
      <c r="N1359" s="4">
        <f ca="1">_xlfn.IFNA(VLOOKUP(INDIRECT("G"&amp;ROW()),minfo!$A:$M,COLUMN()-8,0),"")</f>
        <v>0</v>
      </c>
      <c r="O1359" s="4">
        <f ca="1">_xlfn.IFNA(VLOOKUP(INDIRECT("G"&amp;ROW()),minfo!$A:$M,COLUMN()-8,0),"")</f>
        <v>0</v>
      </c>
      <c r="P1359" s="4">
        <f ca="1">_xlfn.IFNA(VLOOKUP(INDIRECT("G"&amp;ROW()),minfo!$A:$M,COLUMN()-8,0),"")</f>
        <v>0</v>
      </c>
      <c r="Q1359" s="4">
        <f ca="1">_xlfn.IFNA(VLOOKUP(INDIRECT("G"&amp;ROW()),minfo!$A:$M,COLUMN()-8,0),"")</f>
        <v>0</v>
      </c>
      <c r="R1359" s="4">
        <f ca="1">_xlfn.IFNA(VLOOKUP(INDIRECT("G"&amp;ROW()),minfo!$A:$M,COLUMN()-8,0),"")</f>
        <v>0</v>
      </c>
      <c r="S1359" s="4">
        <f ca="1">_xlfn.IFNA(VLOOKUP(INDIRECT("G"&amp;ROW()),minfo!$A:$M,COLUMN()-8,0),"")</f>
        <v>0</v>
      </c>
      <c r="T1359" s="4">
        <f ca="1">_xlfn.IFNA(VLOOKUP(INDIRECT("G"&amp;ROW()),minfo!$A:$M,COLUMN()-8,0),"")</f>
        <v>0</v>
      </c>
      <c r="U1359" s="4">
        <f ca="1">_xlfn.IFNA(VLOOKUP(INDIRECT("G"&amp;ROW()),minfo!$A:$M,COLUMN()-8,0),"")</f>
        <v>0</v>
      </c>
    </row>
    <row r="1360" spans="1:21" ht="15.75" customHeight="1">
      <c r="A1360" s="15">
        <v>1359</v>
      </c>
      <c r="B1360" s="4" t="s">
        <v>4983</v>
      </c>
      <c r="C1360" s="4">
        <v>1360</v>
      </c>
      <c r="D1360" s="4">
        <v>6</v>
      </c>
      <c r="E1360" s="4" t="s">
        <v>530</v>
      </c>
      <c r="F1360" s="16">
        <v>44748</v>
      </c>
      <c r="G1360" s="5" t="s">
        <v>529</v>
      </c>
      <c r="H1360" s="5" t="s">
        <v>4978</v>
      </c>
      <c r="I1360" s="24" t="str">
        <f>HYPERLINK("https://www.bilibili.com/video/BV1ta411X75v?p=6", "BV1ta411X75v?p=6")</f>
        <v>BV1ta411X75v?p=6</v>
      </c>
      <c r="J1360" s="4" t="str">
        <f ca="1">_xlfn.IFNA(VLOOKUP(INDIRECT("G"&amp;ROW()),minfo!$A:$M,COLUMN()-8,0),"")</f>
        <v>身骑白马</v>
      </c>
      <c r="K1360" s="4" t="str">
        <f ca="1">_xlfn.IFNA(VLOOKUP(INDIRECT("G"&amp;ROW()),minfo!$A:$M,COLUMN()-8,0),"")</f>
        <v>徐佳莹</v>
      </c>
      <c r="L1360" s="4">
        <f ca="1">_xlfn.IFNA(VLOOKUP(INDIRECT("G"&amp;ROW()),minfo!$A:$M,COLUMN()-8,0),"")</f>
        <v>0</v>
      </c>
      <c r="M1360" s="4">
        <f ca="1">_xlfn.IFNA(VLOOKUP(INDIRECT("G"&amp;ROW()),minfo!$A:$M,COLUMN()-8,0),"")</f>
        <v>0</v>
      </c>
      <c r="N1360" s="4">
        <f ca="1">_xlfn.IFNA(VLOOKUP(INDIRECT("G"&amp;ROW()),minfo!$A:$M,COLUMN()-8,0),"")</f>
        <v>0</v>
      </c>
      <c r="O1360" s="4" t="str">
        <f ca="1">_xlfn.IFNA(VLOOKUP(INDIRECT("G"&amp;ROW()),minfo!$A:$M,COLUMN()-8,0),"")</f>
        <v>http://i0.hdslb.com/bfs/station_src/music_metadata/5309866334d8550fdb4abccc389a5193.jpg</v>
      </c>
      <c r="P1360" s="4" t="str">
        <f ca="1">_xlfn.IFNA(VLOOKUP(INDIRECT("G"&amp;ROW()),minfo!$A:$M,COLUMN()-8,0),"")</f>
        <v>http://i0.hdslb.com/bfs/station_src/music_metadata/54d4cd6cf66cfb9eadbebde296a31478</v>
      </c>
      <c r="Q1360" s="4">
        <f ca="1">_xlfn.IFNA(VLOOKUP(INDIRECT("G"&amp;ROW()),minfo!$A:$M,COLUMN()-8,0),"")</f>
        <v>1245</v>
      </c>
      <c r="R1360" s="4">
        <f ca="1">_xlfn.IFNA(VLOOKUP(INDIRECT("G"&amp;ROW()),minfo!$A:$M,COLUMN()-8,0),"")</f>
        <v>0</v>
      </c>
      <c r="S1360" s="4" t="str">
        <f ca="1">_xlfn.IFNA(VLOOKUP(INDIRECT("G"&amp;ROW()),minfo!$A:$M,COLUMN()-8,0),"")</f>
        <v>LaLa首张创作专辑</v>
      </c>
      <c r="T1360" s="4">
        <f ca="1">_xlfn.IFNA(VLOOKUP(INDIRECT("G"&amp;ROW()),minfo!$A:$M,COLUMN()-8,0),"")</f>
        <v>198103765</v>
      </c>
      <c r="U1360" s="4" t="str">
        <f ca="1">_xlfn.IFNA(VLOOKUP(INDIRECT("G"&amp;ROW()),minfo!$A:$M,COLUMN()-8,0),"")</f>
        <v>音乐榜最高NO.10</v>
      </c>
    </row>
    <row r="1361" spans="1:21" ht="15.75" customHeight="1">
      <c r="A1361" s="15">
        <v>1360</v>
      </c>
      <c r="B1361" s="4" t="s">
        <v>4984</v>
      </c>
      <c r="C1361" s="4">
        <v>1361</v>
      </c>
      <c r="D1361" s="4">
        <v>7</v>
      </c>
      <c r="E1361" s="4" t="s">
        <v>1365</v>
      </c>
      <c r="F1361" s="16">
        <v>44748</v>
      </c>
      <c r="G1361" s="5" t="s">
        <v>1364</v>
      </c>
      <c r="H1361" s="5" t="s">
        <v>4978</v>
      </c>
      <c r="I1361" s="24" t="str">
        <f>HYPERLINK("https://www.bilibili.com/video/BV1ta411X75v?p=7", "BV1ta411X75v?p=7")</f>
        <v>BV1ta411X75v?p=7</v>
      </c>
      <c r="J1361" s="4" t="str">
        <f ca="1">_xlfn.IFNA(VLOOKUP(INDIRECT("G"&amp;ROW()),minfo!$A:$M,COLUMN()-8,0),"")</f>
        <v>芦花</v>
      </c>
      <c r="K1361" s="4" t="str">
        <f ca="1">_xlfn.IFNA(VLOOKUP(INDIRECT("G"&amp;ROW()),minfo!$A:$M,COLUMN()-8,0),"")</f>
        <v>雷佳</v>
      </c>
      <c r="L1361" s="4">
        <f ca="1">_xlfn.IFNA(VLOOKUP(INDIRECT("G"&amp;ROW()),minfo!$A:$M,COLUMN()-8,0),"")</f>
        <v>0</v>
      </c>
      <c r="M1361" s="4">
        <f ca="1">_xlfn.IFNA(VLOOKUP(INDIRECT("G"&amp;ROW()),minfo!$A:$M,COLUMN()-8,0),"")</f>
        <v>0</v>
      </c>
      <c r="N1361" s="4">
        <f ca="1">_xlfn.IFNA(VLOOKUP(INDIRECT("G"&amp;ROW()),minfo!$A:$M,COLUMN()-8,0),"")</f>
        <v>0</v>
      </c>
      <c r="O1361" s="4" t="str">
        <f ca="1">_xlfn.IFNA(VLOOKUP(INDIRECT("G"&amp;ROW()),minfo!$A:$M,COLUMN()-8,0),"")</f>
        <v>https://i0.hdslb.com/bfs/station_src/music_metadata/5d10069250016b4dc0f3b44677f25d40.jpg</v>
      </c>
      <c r="P1361" s="4" t="str">
        <f ca="1">_xlfn.IFNA(VLOOKUP(INDIRECT("G"&amp;ROW()),minfo!$A:$M,COLUMN()-8,0),"")</f>
        <v>https://i0.hdslb.com/bfs/station_src/music_metadata/d73271ada4973630cf18fe263ae525c3.txt</v>
      </c>
      <c r="Q1361" s="4">
        <f ca="1">_xlfn.IFNA(VLOOKUP(INDIRECT("G"&amp;ROW()),minfo!$A:$M,COLUMN()-8,0),"")</f>
        <v>7</v>
      </c>
      <c r="R1361" s="4">
        <f ca="1">_xlfn.IFNA(VLOOKUP(INDIRECT("G"&amp;ROW()),minfo!$A:$M,COLUMN()-8,0),"")</f>
        <v>0</v>
      </c>
      <c r="S1361" s="4" t="str">
        <f ca="1">_xlfn.IFNA(VLOOKUP(INDIRECT("G"&amp;ROW()),minfo!$A:$M,COLUMN()-8,0),"")</f>
        <v>一人一首成名曲10</v>
      </c>
      <c r="T1361" s="4">
        <f ca="1">_xlfn.IFNA(VLOOKUP(INDIRECT("G"&amp;ROW()),minfo!$A:$M,COLUMN()-8,0),"")</f>
        <v>2752773</v>
      </c>
      <c r="U1361" s="4">
        <f ca="1">_xlfn.IFNA(VLOOKUP(INDIRECT("G"&amp;ROW()),minfo!$A:$M,COLUMN()-8,0),"")</f>
        <v>0</v>
      </c>
    </row>
    <row r="1362" spans="1:21" ht="15.75" customHeight="1">
      <c r="A1362" s="15">
        <v>1361</v>
      </c>
      <c r="B1362" s="4" t="s">
        <v>4985</v>
      </c>
      <c r="C1362" s="4">
        <v>1362</v>
      </c>
      <c r="D1362" s="4">
        <v>8</v>
      </c>
      <c r="E1362" s="4" t="s">
        <v>4986</v>
      </c>
      <c r="F1362" s="16">
        <v>44748</v>
      </c>
      <c r="G1362" s="5" t="s">
        <v>225</v>
      </c>
      <c r="H1362" s="5" t="s">
        <v>4978</v>
      </c>
      <c r="I1362" s="24" t="str">
        <f>HYPERLINK("https://www.bilibili.com/video/BV1ta411X75v?p=8", "BV1ta411X75v?p=8")</f>
        <v>BV1ta411X75v?p=8</v>
      </c>
      <c r="J1362" s="4" t="str">
        <f ca="1">_xlfn.IFNA(VLOOKUP(INDIRECT("G"&amp;ROW()),minfo!$A:$M,COLUMN()-8,0),"")</f>
        <v>如愿</v>
      </c>
      <c r="K1362" s="4" t="str">
        <f ca="1">_xlfn.IFNA(VLOOKUP(INDIRECT("G"&amp;ROW()),minfo!$A:$M,COLUMN()-8,0),"")</f>
        <v>王菲</v>
      </c>
      <c r="L1362" s="4">
        <f ca="1">_xlfn.IFNA(VLOOKUP(INDIRECT("G"&amp;ROW()),minfo!$A:$M,COLUMN()-8,0),"")</f>
        <v>0</v>
      </c>
      <c r="M1362" s="4">
        <f ca="1">_xlfn.IFNA(VLOOKUP(INDIRECT("G"&amp;ROW()),minfo!$A:$M,COLUMN()-8,0),"")</f>
        <v>0</v>
      </c>
      <c r="N1362" s="4">
        <f ca="1">_xlfn.IFNA(VLOOKUP(INDIRECT("G"&amp;ROW()),minfo!$A:$M,COLUMN()-8,0),"")</f>
        <v>0</v>
      </c>
      <c r="O1362" s="4" t="str">
        <f ca="1">_xlfn.IFNA(VLOOKUP(INDIRECT("G"&amp;ROW()),minfo!$A:$M,COLUMN()-8,0),"")</f>
        <v>http://i0.hdslb.com/bfs/station_src/music_metadata/4c29d6e8ea08a5ae0f90cb123bf5f52d.jpg</v>
      </c>
      <c r="P1362" s="4" t="str">
        <f ca="1">_xlfn.IFNA(VLOOKUP(INDIRECT("G"&amp;ROW()),minfo!$A:$M,COLUMN()-8,0),"")</f>
        <v>http://i0.hdslb.com/bfs/station_src/music_metadata/7dfb091f97b87d41cdb10f22a04b20e6</v>
      </c>
      <c r="Q1362" s="4">
        <f ca="1">_xlfn.IFNA(VLOOKUP(INDIRECT("G"&amp;ROW()),minfo!$A:$M,COLUMN()-8,0),"")</f>
        <v>8985</v>
      </c>
      <c r="R1362" s="4" t="str">
        <f ca="1">_xlfn.IFNA(VLOOKUP(INDIRECT("G"&amp;ROW()),minfo!$A:$M,COLUMN()-8,0),"")</f>
        <v>《我和我的父辈》电影主题推广曲</v>
      </c>
      <c r="S1362" s="4" t="str">
        <f ca="1">_xlfn.IFNA(VLOOKUP(INDIRECT("G"&amp;ROW()),minfo!$A:$M,COLUMN()-8,0),"")</f>
        <v>如愿</v>
      </c>
      <c r="T1362" s="4">
        <f ca="1">_xlfn.IFNA(VLOOKUP(INDIRECT("G"&amp;ROW()),minfo!$A:$M,COLUMN()-8,0),"")</f>
        <v>520502983</v>
      </c>
      <c r="U1362" s="4">
        <f ca="1">_xlfn.IFNA(VLOOKUP(INDIRECT("G"&amp;ROW()),minfo!$A:$M,COLUMN()-8,0),"")</f>
        <v>0</v>
      </c>
    </row>
    <row r="1363" spans="1:21" ht="15.75" customHeight="1">
      <c r="A1363" s="15">
        <v>1362</v>
      </c>
      <c r="B1363" s="4" t="s">
        <v>4987</v>
      </c>
      <c r="C1363" s="4">
        <v>1363</v>
      </c>
      <c r="D1363" s="4">
        <v>9</v>
      </c>
      <c r="E1363" s="4" t="s">
        <v>625</v>
      </c>
      <c r="F1363" s="16">
        <v>44748</v>
      </c>
      <c r="G1363" s="5" t="s">
        <v>624</v>
      </c>
      <c r="H1363" s="5" t="s">
        <v>4978</v>
      </c>
      <c r="I1363" s="24" t="str">
        <f>HYPERLINK("https://www.bilibili.com/video/BV1ta411X75v?p=9", "BV1ta411X75v?p=9")</f>
        <v>BV1ta411X75v?p=9</v>
      </c>
      <c r="J1363" s="4" t="str">
        <f ca="1">_xlfn.IFNA(VLOOKUP(INDIRECT("G"&amp;ROW()),minfo!$A:$M,COLUMN()-8,0),"")</f>
        <v>起风了</v>
      </c>
      <c r="K1363" s="4" t="str">
        <f ca="1">_xlfn.IFNA(VLOOKUP(INDIRECT("G"&amp;ROW()),minfo!$A:$M,COLUMN()-8,0),"")</f>
        <v>买辣椒也用券</v>
      </c>
      <c r="L1363" s="4">
        <f ca="1">_xlfn.IFNA(VLOOKUP(INDIRECT("G"&amp;ROW()),minfo!$A:$M,COLUMN()-8,0),"")</f>
        <v>0</v>
      </c>
      <c r="M1363" s="4">
        <f ca="1">_xlfn.IFNA(VLOOKUP(INDIRECT("G"&amp;ROW()),minfo!$A:$M,COLUMN()-8,0),"")</f>
        <v>0</v>
      </c>
      <c r="N1363" s="4">
        <f ca="1">_xlfn.IFNA(VLOOKUP(INDIRECT("G"&amp;ROW()),minfo!$A:$M,COLUMN()-8,0),"")</f>
        <v>0</v>
      </c>
      <c r="O1363" s="4" t="str">
        <f ca="1">_xlfn.IFNA(VLOOKUP(INDIRECT("G"&amp;ROW()),minfo!$A:$M,COLUMN()-8,0),"")</f>
        <v>http://i0.hdslb.com/bfs/station_src/music_metadata/4341df7b05060da3fa257852d02fd62e.jpg</v>
      </c>
      <c r="P1363" s="4" t="str">
        <f ca="1">_xlfn.IFNA(VLOOKUP(INDIRECT("G"&amp;ROW()),minfo!$A:$M,COLUMN()-8,0),"")</f>
        <v>http://i0.hdslb.com/bfs/station_src/music_metadata/1575d5c9be369d87a8c2c118c3176b49</v>
      </c>
      <c r="Q1363" s="4">
        <f ca="1">_xlfn.IFNA(VLOOKUP(INDIRECT("G"&amp;ROW()),minfo!$A:$M,COLUMN()-8,0),"")</f>
        <v>24523</v>
      </c>
      <c r="R1363" s="4" t="str">
        <f ca="1">_xlfn.IFNA(VLOOKUP(INDIRECT("G"&amp;ROW()),minfo!$A:$M,COLUMN()-8,0),"")</f>
        <v>原曲：《ヤキモチ》—高桥优</v>
      </c>
      <c r="S1363" s="4" t="str">
        <f ca="1">_xlfn.IFNA(VLOOKUP(INDIRECT("G"&amp;ROW()),minfo!$A:$M,COLUMN()-8,0),"")</f>
        <v xml:space="preserve"> 起风了 (旧版)</v>
      </c>
      <c r="T1363" s="4">
        <f ca="1">_xlfn.IFNA(VLOOKUP(INDIRECT("G"&amp;ROW()),minfo!$A:$M,COLUMN()-8,0),"")</f>
        <v>7050600351</v>
      </c>
      <c r="U1363" s="4" t="str">
        <f ca="1">_xlfn.IFNA(VLOOKUP(INDIRECT("G"&amp;ROW()),minfo!$A:$M,COLUMN()-8,0),"")</f>
        <v>音乐榜最高NO.6</v>
      </c>
    </row>
    <row r="1364" spans="1:21" ht="15.75" customHeight="1">
      <c r="A1364" s="15">
        <v>1363</v>
      </c>
      <c r="B1364" s="4" t="s">
        <v>4988</v>
      </c>
      <c r="C1364" s="4">
        <v>1364</v>
      </c>
      <c r="D1364" s="4">
        <v>10</v>
      </c>
      <c r="E1364" s="4" t="s">
        <v>4989</v>
      </c>
      <c r="F1364" s="16">
        <v>44748</v>
      </c>
      <c r="G1364" s="5" t="s">
        <v>1335</v>
      </c>
      <c r="H1364" s="5" t="s">
        <v>4978</v>
      </c>
      <c r="I1364" s="24" t="str">
        <f>HYPERLINK("https://www.bilibili.com/video/BV1ta411X75v?p=10", "BV1ta411X75v?p=10")</f>
        <v>BV1ta411X75v?p=10</v>
      </c>
      <c r="J1364" s="4" t="str">
        <f ca="1">_xlfn.IFNA(VLOOKUP(INDIRECT("G"&amp;ROW()),minfo!$A:$M,COLUMN()-8,0),"")</f>
        <v>烟花易冷</v>
      </c>
      <c r="K1364" s="4" t="str">
        <f ca="1">_xlfn.IFNA(VLOOKUP(INDIRECT("G"&amp;ROW()),minfo!$A:$M,COLUMN()-8,0),"")</f>
        <v>周杰伦</v>
      </c>
      <c r="L1364" s="4">
        <f ca="1">_xlfn.IFNA(VLOOKUP(INDIRECT("G"&amp;ROW()),minfo!$A:$M,COLUMN()-8,0),"")</f>
        <v>0</v>
      </c>
      <c r="M1364" s="4">
        <f ca="1">_xlfn.IFNA(VLOOKUP(INDIRECT("G"&amp;ROW()),minfo!$A:$M,COLUMN()-8,0),"")</f>
        <v>0</v>
      </c>
      <c r="N1364" s="4">
        <f ca="1">_xlfn.IFNA(VLOOKUP(INDIRECT("G"&amp;ROW()),minfo!$A:$M,COLUMN()-8,0),"")</f>
        <v>0</v>
      </c>
      <c r="O1364" s="4" t="str">
        <f ca="1">_xlfn.IFNA(VLOOKUP(INDIRECT("G"&amp;ROW()),minfo!$A:$M,COLUMN()-8,0),"")</f>
        <v>https://i0.hdslb.com/bfs/station_src/music_metadata/e91bf06b1d5a37c76a8c823e36c5adfb.jpg</v>
      </c>
      <c r="P1364" s="4" t="str">
        <f ca="1">_xlfn.IFNA(VLOOKUP(INDIRECT("G"&amp;ROW()),minfo!$A:$M,COLUMN()-8,0),"")</f>
        <v>http://i0.hdslb.com/bfs/station_src/music_metadata/e33481ddb835d9a60232725d35c37751</v>
      </c>
      <c r="Q1364" s="4">
        <f ca="1">_xlfn.IFNA(VLOOKUP(INDIRECT("G"&amp;ROW()),minfo!$A:$M,COLUMN()-8,0),"")</f>
        <v>16922</v>
      </c>
      <c r="R1364" s="4">
        <f ca="1">_xlfn.IFNA(VLOOKUP(INDIRECT("G"&amp;ROW()),minfo!$A:$M,COLUMN()-8,0),"")</f>
        <v>0</v>
      </c>
      <c r="S1364" s="4" t="str">
        <f ca="1">_xlfn.IFNA(VLOOKUP(INDIRECT("G"&amp;ROW()),minfo!$A:$M,COLUMN()-8,0),"")</f>
        <v>跨时代</v>
      </c>
      <c r="T1364" s="4">
        <f ca="1">_xlfn.IFNA(VLOOKUP(INDIRECT("G"&amp;ROW()),minfo!$A:$M,COLUMN()-8,0),"")</f>
        <v>691447981</v>
      </c>
      <c r="U1364" s="4">
        <f ca="1">_xlfn.IFNA(VLOOKUP(INDIRECT("G"&amp;ROW()),minfo!$A:$M,COLUMN()-8,0),"")</f>
        <v>0</v>
      </c>
    </row>
    <row r="1365" spans="1:21" ht="15.75" customHeight="1">
      <c r="A1365" s="15">
        <v>1364</v>
      </c>
      <c r="B1365" s="4" t="s">
        <v>4990</v>
      </c>
      <c r="C1365" s="4">
        <v>1365</v>
      </c>
      <c r="D1365" s="4">
        <v>11</v>
      </c>
      <c r="E1365" s="4" t="s">
        <v>414</v>
      </c>
      <c r="F1365" s="16">
        <v>44751</v>
      </c>
      <c r="G1365" s="5" t="s">
        <v>413</v>
      </c>
      <c r="H1365" s="5" t="s">
        <v>4978</v>
      </c>
      <c r="I1365" s="24" t="str">
        <f>HYPERLINK("https://www.bilibili.com/video/BV1ta411X75v?p=11", "BV1ta411X75v?p=11")</f>
        <v>BV1ta411X75v?p=11</v>
      </c>
      <c r="J1365" s="4" t="str">
        <f ca="1">_xlfn.IFNA(VLOOKUP(INDIRECT("G"&amp;ROW()),minfo!$A:$M,COLUMN()-8,0),"")</f>
        <v>告白气球</v>
      </c>
      <c r="K1365" s="4" t="str">
        <f ca="1">_xlfn.IFNA(VLOOKUP(INDIRECT("G"&amp;ROW()),minfo!$A:$M,COLUMN()-8,0),"")</f>
        <v>周杰伦</v>
      </c>
      <c r="L1365" s="4">
        <f ca="1">_xlfn.IFNA(VLOOKUP(INDIRECT("G"&amp;ROW()),minfo!$A:$M,COLUMN()-8,0),"")</f>
        <v>0</v>
      </c>
      <c r="M1365" s="4">
        <f ca="1">_xlfn.IFNA(VLOOKUP(INDIRECT("G"&amp;ROW()),minfo!$A:$M,COLUMN()-8,0),"")</f>
        <v>0</v>
      </c>
      <c r="N1365" s="4">
        <f ca="1">_xlfn.IFNA(VLOOKUP(INDIRECT("G"&amp;ROW()),minfo!$A:$M,COLUMN()-8,0),"")</f>
        <v>0</v>
      </c>
      <c r="O1365" s="4" t="str">
        <f ca="1">_xlfn.IFNA(VLOOKUP(INDIRECT("G"&amp;ROW()),minfo!$A:$M,COLUMN()-8,0),"")</f>
        <v>https://i0.hdslb.com/bfs/station_src/music_metadata/597fc2909210e665dd3a007352426e49.jpg</v>
      </c>
      <c r="P1365" s="4">
        <f ca="1">_xlfn.IFNA(VLOOKUP(INDIRECT("G"&amp;ROW()),minfo!$A:$M,COLUMN()-8,0),"")</f>
        <v>0</v>
      </c>
      <c r="Q1365" s="4">
        <f ca="1">_xlfn.IFNA(VLOOKUP(INDIRECT("G"&amp;ROW()),minfo!$A:$M,COLUMN()-8,0),"")</f>
        <v>2791</v>
      </c>
      <c r="R1365" s="4">
        <f ca="1">_xlfn.IFNA(VLOOKUP(INDIRECT("G"&amp;ROW()),minfo!$A:$M,COLUMN()-8,0),"")</f>
        <v>0</v>
      </c>
      <c r="S1365" s="4" t="str">
        <f ca="1">_xlfn.IFNA(VLOOKUP(INDIRECT("G"&amp;ROW()),minfo!$A:$M,COLUMN()-8,0),"")</f>
        <v>周杰伦的床边故事</v>
      </c>
      <c r="T1365" s="4">
        <f ca="1">_xlfn.IFNA(VLOOKUP(INDIRECT("G"&amp;ROW()),minfo!$A:$M,COLUMN()-8,0),"")</f>
        <v>787100295</v>
      </c>
      <c r="U1365" s="4">
        <f ca="1">_xlfn.IFNA(VLOOKUP(INDIRECT("G"&amp;ROW()),minfo!$A:$M,COLUMN()-8,0),"")</f>
        <v>0</v>
      </c>
    </row>
    <row r="1366" spans="1:21" ht="15.75" customHeight="1">
      <c r="A1366" s="15">
        <v>1365</v>
      </c>
      <c r="B1366" s="4" t="s">
        <v>4991</v>
      </c>
      <c r="C1366" s="4">
        <v>1366</v>
      </c>
      <c r="D1366" s="4">
        <v>12</v>
      </c>
      <c r="E1366" s="4" t="s">
        <v>2348</v>
      </c>
      <c r="F1366" s="16">
        <v>44751</v>
      </c>
      <c r="G1366" s="5" t="s">
        <v>2347</v>
      </c>
      <c r="H1366" s="5" t="s">
        <v>4978</v>
      </c>
      <c r="I1366" s="24" t="str">
        <f>HYPERLINK("https://www.bilibili.com/video/BV1ta411X75v?p=12", "BV1ta411X75v?p=12")</f>
        <v>BV1ta411X75v?p=12</v>
      </c>
      <c r="J1366" s="4" t="str">
        <f ca="1">_xlfn.IFNA(VLOOKUP(INDIRECT("G"&amp;ROW()),minfo!$A:$M,COLUMN()-8,0),"")</f>
        <v>花非花</v>
      </c>
      <c r="K1366" s="4" t="str">
        <f ca="1">_xlfn.IFNA(VLOOKUP(INDIRECT("G"&amp;ROW()),minfo!$A:$M,COLUMN()-8,0),"")</f>
        <v>廖昌永</v>
      </c>
      <c r="L1366" s="4">
        <f ca="1">_xlfn.IFNA(VLOOKUP(INDIRECT("G"&amp;ROW()),minfo!$A:$M,COLUMN()-8,0),"")</f>
        <v>0</v>
      </c>
      <c r="M1366" s="4">
        <f ca="1">_xlfn.IFNA(VLOOKUP(INDIRECT("G"&amp;ROW()),minfo!$A:$M,COLUMN()-8,0),"")</f>
        <v>0</v>
      </c>
      <c r="N1366" s="4">
        <f ca="1">_xlfn.IFNA(VLOOKUP(INDIRECT("G"&amp;ROW()),minfo!$A:$M,COLUMN()-8,0),"")</f>
        <v>0</v>
      </c>
      <c r="O1366" s="4" t="str">
        <f ca="1">_xlfn.IFNA(VLOOKUP(INDIRECT("G"&amp;ROW()),minfo!$A:$M,COLUMN()-8,0),"")</f>
        <v>https://i0.hdslb.com/bfs/station_src/music_metadata/eb755d196fcc72f220e2d93d3c981b98.jpg</v>
      </c>
      <c r="P1366" s="4">
        <f ca="1">_xlfn.IFNA(VLOOKUP(INDIRECT("G"&amp;ROW()),minfo!$A:$M,COLUMN()-8,0),"")</f>
        <v>0</v>
      </c>
      <c r="Q1366" s="4">
        <f ca="1">_xlfn.IFNA(VLOOKUP(INDIRECT("G"&amp;ROW()),minfo!$A:$M,COLUMN()-8,0),"")</f>
        <v>13</v>
      </c>
      <c r="R1366" s="4">
        <f ca="1">_xlfn.IFNA(VLOOKUP(INDIRECT("G"&amp;ROW()),minfo!$A:$M,COLUMN()-8,0),"")</f>
        <v>0</v>
      </c>
      <c r="S1366" s="4">
        <f ca="1">_xlfn.IFNA(VLOOKUP(INDIRECT("G"&amp;ROW()),minfo!$A:$M,COLUMN()-8,0),"")</f>
        <v>0</v>
      </c>
      <c r="T1366" s="4">
        <f ca="1">_xlfn.IFNA(VLOOKUP(INDIRECT("G"&amp;ROW()),minfo!$A:$M,COLUMN()-8,0),"")</f>
        <v>1301647</v>
      </c>
      <c r="U1366" s="4">
        <f ca="1">_xlfn.IFNA(VLOOKUP(INDIRECT("G"&amp;ROW()),minfo!$A:$M,COLUMN()-8,0),"")</f>
        <v>0</v>
      </c>
    </row>
    <row r="1367" spans="1:21" ht="15.75" customHeight="1">
      <c r="A1367" s="15">
        <v>1366</v>
      </c>
      <c r="B1367" s="4" t="s">
        <v>4992</v>
      </c>
      <c r="C1367" s="4">
        <v>1367</v>
      </c>
      <c r="D1367" s="4">
        <v>13</v>
      </c>
      <c r="E1367" s="4" t="s">
        <v>75</v>
      </c>
      <c r="F1367" s="16">
        <v>44751</v>
      </c>
      <c r="G1367" s="5" t="s">
        <v>1056</v>
      </c>
      <c r="H1367" s="5" t="s">
        <v>4978</v>
      </c>
      <c r="I1367" s="24" t="str">
        <f>HYPERLINK("https://www.bilibili.com/video/BV1ta411X75v?p=13", "BV1ta411X75v?p=13")</f>
        <v>BV1ta411X75v?p=13</v>
      </c>
      <c r="J1367" s="4" t="str">
        <f ca="1">_xlfn.IFNA(VLOOKUP(INDIRECT("G"&amp;ROW()),minfo!$A:$M,COLUMN()-8,0),"")</f>
        <v>布虎记</v>
      </c>
      <c r="K1367" s="4" t="str">
        <f ca="1">_xlfn.IFNA(VLOOKUP(INDIRECT("G"&amp;ROW()),minfo!$A:$M,COLUMN()-8,0),"")</f>
        <v>洛天依,西门振</v>
      </c>
      <c r="L1367" s="4">
        <f ca="1">_xlfn.IFNA(VLOOKUP(INDIRECT("G"&amp;ROW()),minfo!$A:$M,COLUMN()-8,0),"")</f>
        <v>0</v>
      </c>
      <c r="M1367" s="4">
        <f ca="1">_xlfn.IFNA(VLOOKUP(INDIRECT("G"&amp;ROW()),minfo!$A:$M,COLUMN()-8,0),"")</f>
        <v>0</v>
      </c>
      <c r="N1367" s="4">
        <f ca="1">_xlfn.IFNA(VLOOKUP(INDIRECT("G"&amp;ROW()),minfo!$A:$M,COLUMN()-8,0),"")</f>
        <v>0</v>
      </c>
      <c r="O1367" s="4" t="str">
        <f ca="1">_xlfn.IFNA(VLOOKUP(INDIRECT("G"&amp;ROW()),minfo!$A:$M,COLUMN()-8,0),"")</f>
        <v>https://i0.hdslb.com/bfs/station_src/music_metadata/346f3d0245c598c7be9afcb1e6a727b4.jpg</v>
      </c>
      <c r="P1367" s="4">
        <f ca="1">_xlfn.IFNA(VLOOKUP(INDIRECT("G"&amp;ROW()),minfo!$A:$M,COLUMN()-8,0),"")</f>
        <v>0</v>
      </c>
      <c r="Q1367" s="4">
        <f ca="1">_xlfn.IFNA(VLOOKUP(INDIRECT("G"&amp;ROW()),minfo!$A:$M,COLUMN()-8,0),"")</f>
        <v>0</v>
      </c>
      <c r="R1367" s="4">
        <f ca="1">_xlfn.IFNA(VLOOKUP(INDIRECT("G"&amp;ROW()),minfo!$A:$M,COLUMN()-8,0),"")</f>
        <v>0</v>
      </c>
      <c r="S1367" s="4" t="str">
        <f ca="1">_xlfn.IFNA(VLOOKUP(INDIRECT("G"&amp;ROW()),minfo!$A:$M,COLUMN()-8,0),"")</f>
        <v>【2022虚拟歌手贺岁纪】布虎记</v>
      </c>
      <c r="T1367" s="4">
        <f ca="1">_xlfn.IFNA(VLOOKUP(INDIRECT("G"&amp;ROW()),minfo!$A:$M,COLUMN()-8,0),"")</f>
        <v>1512793</v>
      </c>
      <c r="U1367" s="4">
        <f ca="1">_xlfn.IFNA(VLOOKUP(INDIRECT("G"&amp;ROW()),minfo!$A:$M,COLUMN()-8,0),"")</f>
        <v>0</v>
      </c>
    </row>
    <row r="1368" spans="1:21" ht="15.75" customHeight="1">
      <c r="A1368" s="15">
        <v>1367</v>
      </c>
      <c r="B1368" s="4" t="s">
        <v>4993</v>
      </c>
      <c r="C1368" s="4">
        <v>1368</v>
      </c>
      <c r="D1368" s="4">
        <v>14</v>
      </c>
      <c r="E1368" s="4" t="s">
        <v>324</v>
      </c>
      <c r="F1368" s="16">
        <v>44751</v>
      </c>
      <c r="G1368" s="5" t="s">
        <v>323</v>
      </c>
      <c r="H1368" s="5" t="s">
        <v>4978</v>
      </c>
      <c r="I1368" s="24" t="str">
        <f>HYPERLINK("https://www.bilibili.com/video/BV1ta411X75v?p=14", "BV1ta411X75v?p=14")</f>
        <v>BV1ta411X75v?p=14</v>
      </c>
      <c r="J1368" s="4" t="str">
        <f ca="1">_xlfn.IFNA(VLOOKUP(INDIRECT("G"&amp;ROW()),minfo!$A:$M,COLUMN()-8,0),"")</f>
        <v>致你</v>
      </c>
      <c r="K1368" s="4" t="str">
        <f ca="1">_xlfn.IFNA(VLOOKUP(INDIRECT("G"&amp;ROW()),minfo!$A:$M,COLUMN()-8,0),"")</f>
        <v>王赫野</v>
      </c>
      <c r="L1368" s="4">
        <f ca="1">_xlfn.IFNA(VLOOKUP(INDIRECT("G"&amp;ROW()),minfo!$A:$M,COLUMN()-8,0),"")</f>
        <v>0</v>
      </c>
      <c r="M1368" s="4">
        <f ca="1">_xlfn.IFNA(VLOOKUP(INDIRECT("G"&amp;ROW()),minfo!$A:$M,COLUMN()-8,0),"")</f>
        <v>0</v>
      </c>
      <c r="N1368" s="4">
        <f ca="1">_xlfn.IFNA(VLOOKUP(INDIRECT("G"&amp;ROW()),minfo!$A:$M,COLUMN()-8,0),"")</f>
        <v>0</v>
      </c>
      <c r="O1368" s="4" t="str">
        <f ca="1">_xlfn.IFNA(VLOOKUP(INDIRECT("G"&amp;ROW()),minfo!$A:$M,COLUMN()-8,0),"")</f>
        <v>http://i0.hdslb.com/bfs/station_src/music_metadata/683916d89744a5d7c887a277e409cfaf.jpg</v>
      </c>
      <c r="P1368" s="4">
        <f ca="1">_xlfn.IFNA(VLOOKUP(INDIRECT("G"&amp;ROW()),minfo!$A:$M,COLUMN()-8,0),"")</f>
        <v>0</v>
      </c>
      <c r="Q1368" s="4">
        <f ca="1">_xlfn.IFNA(VLOOKUP(INDIRECT("G"&amp;ROW()),minfo!$A:$M,COLUMN()-8,0),"")</f>
        <v>3362</v>
      </c>
      <c r="R1368" s="4">
        <f ca="1">_xlfn.IFNA(VLOOKUP(INDIRECT("G"&amp;ROW()),minfo!$A:$M,COLUMN()-8,0),"")</f>
        <v>0</v>
      </c>
      <c r="S1368" s="4" t="str">
        <f ca="1">_xlfn.IFNA(VLOOKUP(INDIRECT("G"&amp;ROW()),minfo!$A:$M,COLUMN()-8,0),"")</f>
        <v>致你</v>
      </c>
      <c r="T1368" s="4">
        <f ca="1">_xlfn.IFNA(VLOOKUP(INDIRECT("G"&amp;ROW()),minfo!$A:$M,COLUMN()-8,0),"")</f>
        <v>258996748</v>
      </c>
      <c r="U1368" s="4">
        <f ca="1">_xlfn.IFNA(VLOOKUP(INDIRECT("G"&amp;ROW()),minfo!$A:$M,COLUMN()-8,0),"")</f>
        <v>0</v>
      </c>
    </row>
    <row r="1369" spans="1:21" ht="15.75" customHeight="1">
      <c r="A1369" s="15">
        <v>1368</v>
      </c>
      <c r="B1369" s="4" t="s">
        <v>4994</v>
      </c>
      <c r="C1369" s="4">
        <v>1369</v>
      </c>
      <c r="D1369" s="4">
        <v>15</v>
      </c>
      <c r="E1369" s="4" t="s">
        <v>1949</v>
      </c>
      <c r="F1369" s="16">
        <v>44751</v>
      </c>
      <c r="G1369" s="5" t="s">
        <v>2771</v>
      </c>
      <c r="H1369" s="5" t="s">
        <v>4978</v>
      </c>
      <c r="I1369" s="24" t="str">
        <f>HYPERLINK("https://www.bilibili.com/video/BV1ta411X75v?p=15", "BV1ta411X75v?p=15")</f>
        <v>BV1ta411X75v?p=15</v>
      </c>
      <c r="J1369" s="4" t="str">
        <f ca="1">_xlfn.IFNA(VLOOKUP(INDIRECT("G"&amp;ROW()),minfo!$A:$M,COLUMN()-8,0),"")</f>
        <v>蝴蝶泉边</v>
      </c>
      <c r="K1369" s="4" t="str">
        <f ca="1">_xlfn.IFNA(VLOOKUP(INDIRECT("G"&amp;ROW()),minfo!$A:$M,COLUMN()-8,0),"")</f>
        <v>黄雅莉</v>
      </c>
      <c r="L1369" s="4">
        <f ca="1">_xlfn.IFNA(VLOOKUP(INDIRECT("G"&amp;ROW()),minfo!$A:$M,COLUMN()-8,0),"")</f>
        <v>0</v>
      </c>
      <c r="M1369" s="4">
        <f ca="1">_xlfn.IFNA(VLOOKUP(INDIRECT("G"&amp;ROW()),minfo!$A:$M,COLUMN()-8,0),"")</f>
        <v>0</v>
      </c>
      <c r="N1369" s="4">
        <f ca="1">_xlfn.IFNA(VLOOKUP(INDIRECT("G"&amp;ROW()),minfo!$A:$M,COLUMN()-8,0),"")</f>
        <v>0</v>
      </c>
      <c r="O1369" s="4" t="str">
        <f ca="1">_xlfn.IFNA(VLOOKUP(INDIRECT("G"&amp;ROW()),minfo!$A:$M,COLUMN()-8,0),"")</f>
        <v>https://i0.hdslb.com/bfs/station_src/music_metadata/932e8dfc6da200a0e8bac6f301c78184.jpg</v>
      </c>
      <c r="P1369" s="4" t="str">
        <f ca="1">_xlfn.IFNA(VLOOKUP(INDIRECT("G"&amp;ROW()),minfo!$A:$M,COLUMN()-8,0),"")</f>
        <v>http://i0.hdslb.com/bfs/station_src/music_metadata/e51e5009d5ff192011aa88f30739d415</v>
      </c>
      <c r="Q1369" s="4">
        <f ca="1">_xlfn.IFNA(VLOOKUP(INDIRECT("G"&amp;ROW()),minfo!$A:$M,COLUMN()-8,0),"")</f>
        <v>273</v>
      </c>
      <c r="R1369" s="4" t="str">
        <f ca="1">_xlfn.IFNA(VLOOKUP(INDIRECT("G"&amp;ROW()),minfo!$A:$M,COLUMN()-8,0),"")</f>
        <v>live</v>
      </c>
      <c r="S1369" s="4" t="str">
        <f ca="1">_xlfn.IFNA(VLOOKUP(INDIRECT("G"&amp;ROW()),minfo!$A:$M,COLUMN()-8,0),"")</f>
        <v>崽崽</v>
      </c>
      <c r="T1369" s="4">
        <f ca="1">_xlfn.IFNA(VLOOKUP(INDIRECT("G"&amp;ROW()),minfo!$A:$M,COLUMN()-8,0),"")</f>
        <v>46216626</v>
      </c>
      <c r="U1369" s="4">
        <f ca="1">_xlfn.IFNA(VLOOKUP(INDIRECT("G"&amp;ROW()),minfo!$A:$M,COLUMN()-8,0),"")</f>
        <v>0</v>
      </c>
    </row>
    <row r="1370" spans="1:21" ht="15.75" customHeight="1">
      <c r="A1370" s="15">
        <v>1369</v>
      </c>
      <c r="B1370" s="4" t="s">
        <v>4995</v>
      </c>
      <c r="C1370" s="4">
        <v>1370</v>
      </c>
      <c r="D1370" s="4">
        <v>16</v>
      </c>
      <c r="E1370" s="4" t="s">
        <v>342</v>
      </c>
      <c r="F1370" s="16">
        <v>44751</v>
      </c>
      <c r="G1370" s="5" t="s">
        <v>341</v>
      </c>
      <c r="H1370" s="5" t="s">
        <v>4978</v>
      </c>
      <c r="I1370" s="24" t="str">
        <f>HYPERLINK("https://www.bilibili.com/video/BV1ta411X75v?p=16", "BV1ta411X75v?p=16")</f>
        <v>BV1ta411X75v?p=16</v>
      </c>
      <c r="J1370" s="4" t="str">
        <f ca="1">_xlfn.IFNA(VLOOKUP(INDIRECT("G"&amp;ROW()),minfo!$A:$M,COLUMN()-8,0),"")</f>
        <v>灯火里的中国</v>
      </c>
      <c r="K1370" s="4" t="str">
        <f ca="1">_xlfn.IFNA(VLOOKUP(INDIRECT("G"&amp;ROW()),minfo!$A:$M,COLUMN()-8,0),"")</f>
        <v>张也 / 周深</v>
      </c>
      <c r="L1370" s="4">
        <f ca="1">_xlfn.IFNA(VLOOKUP(INDIRECT("G"&amp;ROW()),minfo!$A:$M,COLUMN()-8,0),"")</f>
        <v>0</v>
      </c>
      <c r="M1370" s="4">
        <f ca="1">_xlfn.IFNA(VLOOKUP(INDIRECT("G"&amp;ROW()),minfo!$A:$M,COLUMN()-8,0),"")</f>
        <v>0</v>
      </c>
      <c r="N1370" s="4">
        <f ca="1">_xlfn.IFNA(VLOOKUP(INDIRECT("G"&amp;ROW()),minfo!$A:$M,COLUMN()-8,0),"")</f>
        <v>0</v>
      </c>
      <c r="O1370" s="4" t="str">
        <f ca="1">_xlfn.IFNA(VLOOKUP(INDIRECT("G"&amp;ROW()),minfo!$A:$M,COLUMN()-8,0),"")</f>
        <v>http://i0.hdslb.com/bfs/station_src/music_metadata/0924bf85b82fa62dfcdce38ffb74da1a.jpg</v>
      </c>
      <c r="P1370" s="4" t="str">
        <f ca="1">_xlfn.IFNA(VLOOKUP(INDIRECT("G"&amp;ROW()),minfo!$A:$M,COLUMN()-8,0),"")</f>
        <v>http://i0.hdslb.com/bfs/station_src/music_metadata/6398db62f5d229235035926dbc914370</v>
      </c>
      <c r="Q1370" s="4">
        <f ca="1">_xlfn.IFNA(VLOOKUP(INDIRECT("G"&amp;ROW()),minfo!$A:$M,COLUMN()-8,0),"")</f>
        <v>620</v>
      </c>
      <c r="R1370" s="4">
        <f ca="1">_xlfn.IFNA(VLOOKUP(INDIRECT("G"&amp;ROW()),minfo!$A:$M,COLUMN()-8,0),"")</f>
        <v>0</v>
      </c>
      <c r="S1370" s="4">
        <f ca="1">_xlfn.IFNA(VLOOKUP(INDIRECT("G"&amp;ROW()),minfo!$A:$M,COLUMN()-8,0),"")</f>
        <v>0</v>
      </c>
      <c r="T1370" s="4">
        <f ca="1">_xlfn.IFNA(VLOOKUP(INDIRECT("G"&amp;ROW()),minfo!$A:$M,COLUMN()-8,0),"")</f>
        <v>86381272</v>
      </c>
      <c r="U1370" s="4">
        <f ca="1">_xlfn.IFNA(VLOOKUP(INDIRECT("G"&amp;ROW()),minfo!$A:$M,COLUMN()-8,0),"")</f>
        <v>0</v>
      </c>
    </row>
    <row r="1371" spans="1:21" ht="15.75" customHeight="1">
      <c r="A1371" s="15">
        <v>1370</v>
      </c>
      <c r="B1371" s="4" t="s">
        <v>4996</v>
      </c>
      <c r="C1371" s="4">
        <v>1371</v>
      </c>
      <c r="D1371" s="4">
        <v>17</v>
      </c>
      <c r="E1371" s="4" t="s">
        <v>2777</v>
      </c>
      <c r="F1371" s="16">
        <v>44753</v>
      </c>
      <c r="G1371" s="5" t="s">
        <v>2776</v>
      </c>
      <c r="H1371" s="5" t="s">
        <v>4978</v>
      </c>
      <c r="I1371" s="24" t="str">
        <f>HYPERLINK("https://www.bilibili.com/video/BV1ta411X75v?p=17", "BV1ta411X75v?p=17")</f>
        <v>BV1ta411X75v?p=17</v>
      </c>
      <c r="J1371" s="4" t="str">
        <f ca="1">_xlfn.IFNA(VLOOKUP(INDIRECT("G"&amp;ROW()),minfo!$A:$M,COLUMN()-8,0),"")</f>
        <v>妥协</v>
      </c>
      <c r="K1371" s="4" t="str">
        <f ca="1">_xlfn.IFNA(VLOOKUP(INDIRECT("G"&amp;ROW()),minfo!$A:$M,COLUMN()-8,0),"")</f>
        <v>蔡依林</v>
      </c>
      <c r="L1371" s="4">
        <f ca="1">_xlfn.IFNA(VLOOKUP(INDIRECT("G"&amp;ROW()),minfo!$A:$M,COLUMN()-8,0),"")</f>
        <v>0</v>
      </c>
      <c r="M1371" s="4">
        <f ca="1">_xlfn.IFNA(VLOOKUP(INDIRECT("G"&amp;ROW()),minfo!$A:$M,COLUMN()-8,0),"")</f>
        <v>0</v>
      </c>
      <c r="N1371" s="4">
        <f ca="1">_xlfn.IFNA(VLOOKUP(INDIRECT("G"&amp;ROW()),minfo!$A:$M,COLUMN()-8,0),"")</f>
        <v>0</v>
      </c>
      <c r="O1371" s="4" t="str">
        <f ca="1">_xlfn.IFNA(VLOOKUP(INDIRECT("G"&amp;ROW()),minfo!$A:$M,COLUMN()-8,0),"")</f>
        <v>http://i0.hdslb.com/bfs/station_src/music_metadata/3d66ea7591714d2b93a06ffc3b01a887.jpg</v>
      </c>
      <c r="P1371" s="4" t="str">
        <f ca="1">_xlfn.IFNA(VLOOKUP(INDIRECT("G"&amp;ROW()),minfo!$A:$M,COLUMN()-8,0),"")</f>
        <v>http://i0.hdslb.com/bfs/station_src/music_metadata/83d0afa45c7ff3186081cd92a653700c</v>
      </c>
      <c r="Q1371" s="4">
        <f ca="1">_xlfn.IFNA(VLOOKUP(INDIRECT("G"&amp;ROW()),minfo!$A:$M,COLUMN()-8,0),"")</f>
        <v>9</v>
      </c>
      <c r="R1371" s="4">
        <f ca="1">_xlfn.IFNA(VLOOKUP(INDIRECT("G"&amp;ROW()),minfo!$A:$M,COLUMN()-8,0),"")</f>
        <v>0</v>
      </c>
      <c r="S1371" s="4">
        <f ca="1">_xlfn.IFNA(VLOOKUP(INDIRECT("G"&amp;ROW()),minfo!$A:$M,COLUMN()-8,0),"")</f>
        <v>0</v>
      </c>
      <c r="T1371" s="4">
        <f ca="1">_xlfn.IFNA(VLOOKUP(INDIRECT("G"&amp;ROW()),minfo!$A:$M,COLUMN()-8,0),"")</f>
        <v>5379194</v>
      </c>
      <c r="U1371" s="4">
        <f ca="1">_xlfn.IFNA(VLOOKUP(INDIRECT("G"&amp;ROW()),minfo!$A:$M,COLUMN()-8,0),"")</f>
        <v>0</v>
      </c>
    </row>
    <row r="1372" spans="1:21" ht="15.75" customHeight="1">
      <c r="A1372" s="15">
        <v>1371</v>
      </c>
      <c r="B1372" s="4" t="s">
        <v>4997</v>
      </c>
      <c r="C1372" s="4">
        <v>1372</v>
      </c>
      <c r="D1372" s="4">
        <v>18</v>
      </c>
      <c r="E1372" s="4" t="s">
        <v>2781</v>
      </c>
      <c r="F1372" s="16">
        <v>44753</v>
      </c>
      <c r="G1372" s="5" t="s">
        <v>2780</v>
      </c>
      <c r="H1372" s="5" t="s">
        <v>4978</v>
      </c>
      <c r="I1372" s="24" t="str">
        <f>HYPERLINK("https://www.bilibili.com/video/BV1ta411X75v?p=18", "BV1ta411X75v?p=18")</f>
        <v>BV1ta411X75v?p=18</v>
      </c>
      <c r="J1372" s="4" t="str">
        <f ca="1">_xlfn.IFNA(VLOOKUP(INDIRECT("G"&amp;ROW()),minfo!$A:$M,COLUMN()-8,0),"")</f>
        <v>日不落</v>
      </c>
      <c r="K1372" s="4" t="str">
        <f ca="1">_xlfn.IFNA(VLOOKUP(INDIRECT("G"&amp;ROW()),minfo!$A:$M,COLUMN()-8,0),"")</f>
        <v>蔡依林</v>
      </c>
      <c r="L1372" s="4">
        <f ca="1">_xlfn.IFNA(VLOOKUP(INDIRECT("G"&amp;ROW()),minfo!$A:$M,COLUMN()-8,0),"")</f>
        <v>0</v>
      </c>
      <c r="M1372" s="4">
        <f ca="1">_xlfn.IFNA(VLOOKUP(INDIRECT("G"&amp;ROW()),minfo!$A:$M,COLUMN()-8,0),"")</f>
        <v>0</v>
      </c>
      <c r="N1372" s="4">
        <f ca="1">_xlfn.IFNA(VLOOKUP(INDIRECT("G"&amp;ROW()),minfo!$A:$M,COLUMN()-8,0),"")</f>
        <v>0</v>
      </c>
      <c r="O1372" s="4" t="str">
        <f ca="1">_xlfn.IFNA(VLOOKUP(INDIRECT("G"&amp;ROW()),minfo!$A:$M,COLUMN()-8,0),"")</f>
        <v>http://i0.hdslb.com/bfs/station_src/music_metadata/309b737bee1c5122fb5159f94dbbef89.jpg</v>
      </c>
      <c r="P1372" s="4" t="str">
        <f ca="1">_xlfn.IFNA(VLOOKUP(INDIRECT("G"&amp;ROW()),minfo!$A:$M,COLUMN()-8,0),"")</f>
        <v>http://i0.hdslb.com/bfs/station_src/music_metadata/98abaa827de1ffb433b63da44c314385</v>
      </c>
      <c r="Q1372" s="4">
        <f ca="1">_xlfn.IFNA(VLOOKUP(INDIRECT("G"&amp;ROW()),minfo!$A:$M,COLUMN()-8,0),"")</f>
        <v>1569</v>
      </c>
      <c r="R1372" s="4">
        <f ca="1">_xlfn.IFNA(VLOOKUP(INDIRECT("G"&amp;ROW()),minfo!$A:$M,COLUMN()-8,0),"")</f>
        <v>0</v>
      </c>
      <c r="S1372" s="4" t="str">
        <f ca="1">_xlfn.IFNA(VLOOKUP(INDIRECT("G"&amp;ROW()),minfo!$A:$M,COLUMN()-8,0),"")</f>
        <v>特务J</v>
      </c>
      <c r="T1372" s="4">
        <f ca="1">_xlfn.IFNA(VLOOKUP(INDIRECT("G"&amp;ROW()),minfo!$A:$M,COLUMN()-8,0),"")</f>
        <v>385518187</v>
      </c>
      <c r="U1372" s="4">
        <f ca="1">_xlfn.IFNA(VLOOKUP(INDIRECT("G"&amp;ROW()),minfo!$A:$M,COLUMN()-8,0),"")</f>
        <v>0</v>
      </c>
    </row>
    <row r="1373" spans="1:21" ht="15.75" customHeight="1">
      <c r="A1373" s="15">
        <v>1372</v>
      </c>
      <c r="B1373" s="4" t="s">
        <v>4998</v>
      </c>
      <c r="C1373" s="4">
        <v>1373</v>
      </c>
      <c r="D1373" s="4">
        <v>19</v>
      </c>
      <c r="E1373" s="4" t="s">
        <v>295</v>
      </c>
      <c r="F1373" s="16">
        <v>44753</v>
      </c>
      <c r="G1373" s="5" t="s">
        <v>294</v>
      </c>
      <c r="H1373" s="5" t="s">
        <v>4978</v>
      </c>
      <c r="I1373" s="24" t="str">
        <f>HYPERLINK("https://www.bilibili.com/video/BV1ta411X75v?p=19", "BV1ta411X75v?p=19")</f>
        <v>BV1ta411X75v?p=19</v>
      </c>
      <c r="J1373" s="4" t="str">
        <f ca="1">_xlfn.IFNA(VLOOKUP(INDIRECT("G"&amp;ROW()),minfo!$A:$M,COLUMN()-8,0),"")</f>
        <v>不能说的秘密</v>
      </c>
      <c r="K1373" s="4" t="str">
        <f ca="1">_xlfn.IFNA(VLOOKUP(INDIRECT("G"&amp;ROW()),minfo!$A:$M,COLUMN()-8,0),"")</f>
        <v>周杰伦</v>
      </c>
      <c r="L1373" s="4">
        <f ca="1">_xlfn.IFNA(VLOOKUP(INDIRECT("G"&amp;ROW()),minfo!$A:$M,COLUMN()-8,0),"")</f>
        <v>0</v>
      </c>
      <c r="M1373" s="4">
        <f ca="1">_xlfn.IFNA(VLOOKUP(INDIRECT("G"&amp;ROW()),minfo!$A:$M,COLUMN()-8,0),"")</f>
        <v>10838</v>
      </c>
      <c r="N1373" s="4">
        <f ca="1">_xlfn.IFNA(VLOOKUP(INDIRECT("G"&amp;ROW()),minfo!$A:$M,COLUMN()-8,0),"")</f>
        <v>384</v>
      </c>
      <c r="O1373" s="4" t="str">
        <f ca="1">_xlfn.IFNA(VLOOKUP(INDIRECT("G"&amp;ROW()),minfo!$A:$M,COLUMN()-8,0),"")</f>
        <v>https://i0.hdslb.com/bfs/station_src/music_metadata/c30e3ade8fa2d678a4fc3f717036ab49.jpg</v>
      </c>
      <c r="P1373" s="4" t="str">
        <f ca="1">_xlfn.IFNA(VLOOKUP(INDIRECT("G"&amp;ROW()),minfo!$A:$M,COLUMN()-8,0),"")</f>
        <v>http://i0.hdslb.com/bfs/station_src/music_metadata/b68ac496d2ba38e3bf8908441abecf91</v>
      </c>
      <c r="Q1373" s="4">
        <f ca="1">_xlfn.IFNA(VLOOKUP(INDIRECT("G"&amp;ROW()),minfo!$A:$M,COLUMN()-8,0),"")</f>
        <v>2938</v>
      </c>
      <c r="R1373" s="4" t="str">
        <f ca="1">_xlfn.IFNA(VLOOKUP(INDIRECT("G"&amp;ROW()),minfo!$A:$M,COLUMN()-8,0),"")</f>
        <v>《不能说的秘密》电影主题曲</v>
      </c>
      <c r="S1373" s="4" t="str">
        <f ca="1">_xlfn.IFNA(VLOOKUP(INDIRECT("G"&amp;ROW()),minfo!$A:$M,COLUMN()-8,0),"")</f>
        <v>不能说的秘密 电影原声带</v>
      </c>
      <c r="T1373" s="4">
        <f ca="1">_xlfn.IFNA(VLOOKUP(INDIRECT("G"&amp;ROW()),minfo!$A:$M,COLUMN()-8,0),"")</f>
        <v>525140241</v>
      </c>
      <c r="U1373" s="4">
        <f ca="1">_xlfn.IFNA(VLOOKUP(INDIRECT("G"&amp;ROW()),minfo!$A:$M,COLUMN()-8,0),"")</f>
        <v>0</v>
      </c>
    </row>
    <row r="1374" spans="1:21" ht="15.75" customHeight="1">
      <c r="A1374" s="15">
        <v>1373</v>
      </c>
      <c r="B1374" s="4" t="s">
        <v>4999</v>
      </c>
      <c r="C1374" s="4">
        <v>1374</v>
      </c>
      <c r="D1374" s="4">
        <v>20</v>
      </c>
      <c r="E1374" s="4" t="s">
        <v>2328</v>
      </c>
      <c r="F1374" s="16">
        <v>44753</v>
      </c>
      <c r="G1374" s="5" t="s">
        <v>2327</v>
      </c>
      <c r="H1374" s="5" t="s">
        <v>4978</v>
      </c>
      <c r="I1374" s="24" t="str">
        <f>HYPERLINK("https://www.bilibili.com/video/BV1ta411X75v?p=20", "BV1ta411X75v?p=20")</f>
        <v>BV1ta411X75v?p=20</v>
      </c>
      <c r="J1374" s="4" t="str">
        <f ca="1">_xlfn.IFNA(VLOOKUP(INDIRECT("G"&amp;ROW()),minfo!$A:$M,COLUMN()-8,0),"")</f>
        <v>时间有泪</v>
      </c>
      <c r="K1374" s="4" t="str">
        <f ca="1">_xlfn.IFNA(VLOOKUP(INDIRECT("G"&amp;ROW()),minfo!$A:$M,COLUMN()-8,0),"")</f>
        <v>张碧晨</v>
      </c>
      <c r="L1374" s="4">
        <f ca="1">_xlfn.IFNA(VLOOKUP(INDIRECT("G"&amp;ROW()),minfo!$A:$M,COLUMN()-8,0),"")</f>
        <v>0</v>
      </c>
      <c r="M1374" s="4">
        <f ca="1">_xlfn.IFNA(VLOOKUP(INDIRECT("G"&amp;ROW()),minfo!$A:$M,COLUMN()-8,0),"")</f>
        <v>0</v>
      </c>
      <c r="N1374" s="4">
        <f ca="1">_xlfn.IFNA(VLOOKUP(INDIRECT("G"&amp;ROW()),minfo!$A:$M,COLUMN()-8,0),"")</f>
        <v>0</v>
      </c>
      <c r="O1374" s="4" t="str">
        <f ca="1">_xlfn.IFNA(VLOOKUP(INDIRECT("G"&amp;ROW()),minfo!$A:$M,COLUMN()-8,0),"")</f>
        <v>https://i0.hdslb.com/bfs/station_src/music_metadata/c1b879ee90171cdf01b66a9ac4abd89a.jpg</v>
      </c>
      <c r="P1374" s="4" t="str">
        <f ca="1">_xlfn.IFNA(VLOOKUP(INDIRECT("G"&amp;ROW()),minfo!$A:$M,COLUMN()-8,0),"")</f>
        <v>https://i0.hdslb.com/bfs/station_src/music_metadata/359506eb112336644db5a30e1abba838.txt</v>
      </c>
      <c r="Q1374" s="4">
        <f ca="1">_xlfn.IFNA(VLOOKUP(INDIRECT("G"&amp;ROW()),minfo!$A:$M,COLUMN()-8,0),"")</f>
        <v>0</v>
      </c>
      <c r="R1374" s="4">
        <f ca="1">_xlfn.IFNA(VLOOKUP(INDIRECT("G"&amp;ROW()),minfo!$A:$M,COLUMN()-8,0),"")</f>
        <v>0</v>
      </c>
      <c r="S1374" s="4" t="str">
        <f ca="1">_xlfn.IFNA(VLOOKUP(INDIRECT("G"&amp;ROW()),minfo!$A:$M,COLUMN()-8,0),"")</f>
        <v>张碧晨2018北京极光演唱会</v>
      </c>
      <c r="T1374" s="4">
        <f ca="1">_xlfn.IFNA(VLOOKUP(INDIRECT("G"&amp;ROW()),minfo!$A:$M,COLUMN()-8,0),"")</f>
        <v>1500926</v>
      </c>
      <c r="U1374" s="4">
        <f ca="1">_xlfn.IFNA(VLOOKUP(INDIRECT("G"&amp;ROW()),minfo!$A:$M,COLUMN()-8,0),"")</f>
        <v>0</v>
      </c>
    </row>
    <row r="1375" spans="1:21" ht="15.75" customHeight="1">
      <c r="A1375" s="15">
        <v>1374</v>
      </c>
      <c r="B1375" s="4" t="s">
        <v>5000</v>
      </c>
      <c r="C1375" s="4">
        <v>1375</v>
      </c>
      <c r="D1375" s="4">
        <v>21</v>
      </c>
      <c r="E1375" s="4" t="s">
        <v>1576</v>
      </c>
      <c r="F1375" s="16">
        <v>44755</v>
      </c>
      <c r="G1375" s="5" t="s">
        <v>1575</v>
      </c>
      <c r="H1375" s="5" t="s">
        <v>4978</v>
      </c>
      <c r="I1375" s="24" t="str">
        <f>HYPERLINK("https://www.bilibili.com/video/BV1ta411X75v?p=21", "BV1ta411X75v?p=21")</f>
        <v>BV1ta411X75v?p=21</v>
      </c>
      <c r="J1375" s="4" t="str">
        <f ca="1">_xlfn.IFNA(VLOOKUP(INDIRECT("G"&amp;ROW()),minfo!$A:$M,COLUMN()-8,0),"")</f>
        <v>但愿人长久</v>
      </c>
      <c r="K1375" s="4" t="str">
        <f ca="1">_xlfn.IFNA(VLOOKUP(INDIRECT("G"&amp;ROW()),minfo!$A:$M,COLUMN()-8,0),"")</f>
        <v>邓丽君</v>
      </c>
      <c r="L1375" s="4">
        <f ca="1">_xlfn.IFNA(VLOOKUP(INDIRECT("G"&amp;ROW()),minfo!$A:$M,COLUMN()-8,0),"")</f>
        <v>0</v>
      </c>
      <c r="M1375" s="4">
        <f ca="1">_xlfn.IFNA(VLOOKUP(INDIRECT("G"&amp;ROW()),minfo!$A:$M,COLUMN()-8,0),"")</f>
        <v>0</v>
      </c>
      <c r="N1375" s="4">
        <f ca="1">_xlfn.IFNA(VLOOKUP(INDIRECT("G"&amp;ROW()),minfo!$A:$M,COLUMN()-8,0),"")</f>
        <v>0</v>
      </c>
      <c r="O1375" s="4" t="str">
        <f ca="1">_xlfn.IFNA(VLOOKUP(INDIRECT("G"&amp;ROW()),minfo!$A:$M,COLUMN()-8,0),"")</f>
        <v>https://i0.hdslb.com/bfs/station_src/music_metadata/7fb7940860e18a3fa0b05d6850c81206.jpg</v>
      </c>
      <c r="P1375" s="4" t="str">
        <f ca="1">_xlfn.IFNA(VLOOKUP(INDIRECT("G"&amp;ROW()),minfo!$A:$M,COLUMN()-8,0),"")</f>
        <v>http://i0.hdslb.com/bfs/station_src/music_metadata/ee3c6651e88071b7a1db572cbc6ce075</v>
      </c>
      <c r="Q1375" s="4">
        <f ca="1">_xlfn.IFNA(VLOOKUP(INDIRECT("G"&amp;ROW()),minfo!$A:$M,COLUMN()-8,0),"")</f>
        <v>372</v>
      </c>
      <c r="R1375" s="4">
        <f ca="1">_xlfn.IFNA(VLOOKUP(INDIRECT("G"&amp;ROW()),minfo!$A:$M,COLUMN()-8,0),"")</f>
        <v>0</v>
      </c>
      <c r="S1375" s="4" t="str">
        <f ca="1">_xlfn.IFNA(VLOOKUP(INDIRECT("G"&amp;ROW()),minfo!$A:$M,COLUMN()-8,0),"")</f>
        <v>夜上海 国语老歌 第九辑</v>
      </c>
      <c r="T1375" s="4">
        <f ca="1">_xlfn.IFNA(VLOOKUP(INDIRECT("G"&amp;ROW()),minfo!$A:$M,COLUMN()-8,0),"")</f>
        <v>91130644</v>
      </c>
      <c r="U1375" s="4">
        <f ca="1">_xlfn.IFNA(VLOOKUP(INDIRECT("G"&amp;ROW()),minfo!$A:$M,COLUMN()-8,0),"")</f>
        <v>0</v>
      </c>
    </row>
    <row r="1376" spans="1:21" ht="15.75" customHeight="1">
      <c r="A1376" s="15">
        <v>1375</v>
      </c>
      <c r="B1376" s="4" t="s">
        <v>5001</v>
      </c>
      <c r="C1376" s="4">
        <v>1376</v>
      </c>
      <c r="D1376" s="4">
        <v>22</v>
      </c>
      <c r="E1376" s="4" t="s">
        <v>2751</v>
      </c>
      <c r="F1376" s="16">
        <v>44755</v>
      </c>
      <c r="G1376" s="5" t="s">
        <v>2750</v>
      </c>
      <c r="H1376" s="5" t="s">
        <v>4978</v>
      </c>
      <c r="I1376" s="24" t="str">
        <f>HYPERLINK("https://www.bilibili.com/video/BV1ta411X75v?p=22", "BV1ta411X75v?p=22")</f>
        <v>BV1ta411X75v?p=22</v>
      </c>
      <c r="J1376" s="4" t="str">
        <f ca="1">_xlfn.IFNA(VLOOKUP(INDIRECT("G"&amp;ROW()),minfo!$A:$M,COLUMN()-8,0),"")</f>
        <v>化身孤岛的鲸</v>
      </c>
      <c r="K1376" s="4" t="str">
        <f ca="1">_xlfn.IFNA(VLOOKUP(INDIRECT("G"&amp;ROW()),minfo!$A:$M,COLUMN()-8,0),"")</f>
        <v>李日朗</v>
      </c>
      <c r="L1376" s="4">
        <f ca="1">_xlfn.IFNA(VLOOKUP(INDIRECT("G"&amp;ROW()),minfo!$A:$M,COLUMN()-8,0),"")</f>
        <v>0</v>
      </c>
      <c r="M1376" s="4">
        <f ca="1">_xlfn.IFNA(VLOOKUP(INDIRECT("G"&amp;ROW()),minfo!$A:$M,COLUMN()-8,0),"")</f>
        <v>0</v>
      </c>
      <c r="N1376" s="4">
        <f ca="1">_xlfn.IFNA(VLOOKUP(INDIRECT("G"&amp;ROW()),minfo!$A:$M,COLUMN()-8,0),"")</f>
        <v>0</v>
      </c>
      <c r="O1376" s="4" t="str">
        <f ca="1">_xlfn.IFNA(VLOOKUP(INDIRECT("G"&amp;ROW()),minfo!$A:$M,COLUMN()-8,0),"")</f>
        <v>http://i0.hdslb.com/bfs/station_src/music_metadata/8c0df79b6a51661bd2f64147d4612fb1.jpg</v>
      </c>
      <c r="P1376" s="4" t="str">
        <f ca="1">_xlfn.IFNA(VLOOKUP(INDIRECT("G"&amp;ROW()),minfo!$A:$M,COLUMN()-8,0),"")</f>
        <v>http://i0.hdslb.com/bfs/station_src/music_metadata/bdc5a57e8bb59f455d05a3b4a3b302d8</v>
      </c>
      <c r="Q1376" s="4">
        <f ca="1">_xlfn.IFNA(VLOOKUP(INDIRECT("G"&amp;ROW()),minfo!$A:$M,COLUMN()-8,0),"")</f>
        <v>692</v>
      </c>
      <c r="R1376" s="4">
        <f ca="1">_xlfn.IFNA(VLOOKUP(INDIRECT("G"&amp;ROW()),minfo!$A:$M,COLUMN()-8,0),"")</f>
        <v>0</v>
      </c>
      <c r="S1376" s="4" t="str">
        <f ca="1">_xlfn.IFNA(VLOOKUP(INDIRECT("G"&amp;ROW()),minfo!$A:$M,COLUMN()-8,0),"")</f>
        <v>化身孤岛的鲸</v>
      </c>
      <c r="T1376" s="4">
        <f ca="1">_xlfn.IFNA(VLOOKUP(INDIRECT("G"&amp;ROW()),minfo!$A:$M,COLUMN()-8,0),"")</f>
        <v>156262941</v>
      </c>
      <c r="U1376" s="4">
        <f ca="1">_xlfn.IFNA(VLOOKUP(INDIRECT("G"&amp;ROW()),minfo!$A:$M,COLUMN()-8,0),"")</f>
        <v>0</v>
      </c>
    </row>
    <row r="1377" spans="1:21" ht="15.75" customHeight="1">
      <c r="A1377" s="15">
        <v>1376</v>
      </c>
      <c r="B1377" s="4" t="s">
        <v>5002</v>
      </c>
      <c r="C1377" s="4">
        <v>1377</v>
      </c>
      <c r="D1377" s="4">
        <v>23</v>
      </c>
      <c r="E1377" s="4" t="s">
        <v>153</v>
      </c>
      <c r="F1377" s="16">
        <v>44757</v>
      </c>
      <c r="G1377" s="5" t="s">
        <v>152</v>
      </c>
      <c r="H1377" s="5" t="s">
        <v>4978</v>
      </c>
      <c r="I1377" s="24" t="str">
        <f>HYPERLINK("https://www.bilibili.com/video/BV1ta411X75v?p=23", "BV1ta411X75v?p=23")</f>
        <v>BV1ta411X75v?p=23</v>
      </c>
      <c r="J1377" s="4" t="str">
        <f ca="1">_xlfn.IFNA(VLOOKUP(INDIRECT("G"&amp;ROW()),minfo!$A:$M,COLUMN()-8,0),"")</f>
        <v>听见下雨的声音</v>
      </c>
      <c r="K1377" s="4" t="str">
        <f ca="1">_xlfn.IFNA(VLOOKUP(INDIRECT("G"&amp;ROW()),minfo!$A:$M,COLUMN()-8,0),"")</f>
        <v>周杰伦</v>
      </c>
      <c r="L1377" s="4">
        <f ca="1">_xlfn.IFNA(VLOOKUP(INDIRECT("G"&amp;ROW()),minfo!$A:$M,COLUMN()-8,0),"")</f>
        <v>0</v>
      </c>
      <c r="M1377" s="4">
        <f ca="1">_xlfn.IFNA(VLOOKUP(INDIRECT("G"&amp;ROW()),minfo!$A:$M,COLUMN()-8,0),"")</f>
        <v>0</v>
      </c>
      <c r="N1377" s="4">
        <f ca="1">_xlfn.IFNA(VLOOKUP(INDIRECT("G"&amp;ROW()),minfo!$A:$M,COLUMN()-8,0),"")</f>
        <v>0</v>
      </c>
      <c r="O1377" s="4" t="str">
        <f ca="1">_xlfn.IFNA(VLOOKUP(INDIRECT("G"&amp;ROW()),minfo!$A:$M,COLUMN()-8,0),"")</f>
        <v>http://i0.hdslb.com/bfs/station_src/music_metadata/f190c7459496ee7ff2a9ebb250df5398.jpg</v>
      </c>
      <c r="P1377" s="4" t="str">
        <f ca="1">_xlfn.IFNA(VLOOKUP(INDIRECT("G"&amp;ROW()),minfo!$A:$M,COLUMN()-8,0),"")</f>
        <v>http://i0.hdslb.com/bfs/station_src/music_metadata/0d0869a8c2bb7470dd66d7fec7591c32</v>
      </c>
      <c r="Q1377" s="4">
        <f ca="1">_xlfn.IFNA(VLOOKUP(INDIRECT("G"&amp;ROW()),minfo!$A:$M,COLUMN()-8,0),"")</f>
        <v>689</v>
      </c>
      <c r="R1377" s="4" t="str">
        <f ca="1">_xlfn.IFNA(VLOOKUP(INDIRECT("G"&amp;ROW()),minfo!$A:$M,COLUMN()-8,0),"")</f>
        <v>《听见下雨声音》电影主题曲</v>
      </c>
      <c r="S1377" s="4" t="str">
        <f ca="1">_xlfn.IFNA(VLOOKUP(INDIRECT("G"&amp;ROW()),minfo!$A:$M,COLUMN()-8,0),"")</f>
        <v>哎呦，不错哦</v>
      </c>
      <c r="T1377" s="4">
        <f ca="1">_xlfn.IFNA(VLOOKUP(INDIRECT("G"&amp;ROW()),minfo!$A:$M,COLUMN()-8,0),"")</f>
        <v>220057953</v>
      </c>
      <c r="U1377" s="4">
        <f ca="1">_xlfn.IFNA(VLOOKUP(INDIRECT("G"&amp;ROW()),minfo!$A:$M,COLUMN()-8,0),"")</f>
        <v>0</v>
      </c>
    </row>
    <row r="1378" spans="1:21" ht="15.75" customHeight="1">
      <c r="A1378" s="15">
        <v>1377</v>
      </c>
      <c r="B1378" s="4" t="s">
        <v>5003</v>
      </c>
      <c r="C1378" s="4">
        <v>1378</v>
      </c>
      <c r="D1378" s="4">
        <v>24</v>
      </c>
      <c r="E1378" s="4" t="s">
        <v>1235</v>
      </c>
      <c r="F1378" s="16">
        <v>44757</v>
      </c>
      <c r="G1378" s="5" t="s">
        <v>1234</v>
      </c>
      <c r="H1378" s="5" t="s">
        <v>4978</v>
      </c>
      <c r="I1378" s="24" t="str">
        <f>HYPERLINK("https://www.bilibili.com/video/BV1ta411X75v?p=24", "BV1ta411X75v?p=24")</f>
        <v>BV1ta411X75v?p=24</v>
      </c>
      <c r="J1378" s="4" t="str">
        <f ca="1">_xlfn.IFNA(VLOOKUP(INDIRECT("G"&amp;ROW()),minfo!$A:$M,COLUMN()-8,0),"")</f>
        <v>哪里都是你</v>
      </c>
      <c r="K1378" s="4" t="str">
        <f ca="1">_xlfn.IFNA(VLOOKUP(INDIRECT("G"&amp;ROW()),minfo!$A:$M,COLUMN()-8,0),"")</f>
        <v>周杰伦</v>
      </c>
      <c r="L1378" s="4">
        <f ca="1">_xlfn.IFNA(VLOOKUP(INDIRECT("G"&amp;ROW()),minfo!$A:$M,COLUMN()-8,0),"")</f>
        <v>0</v>
      </c>
      <c r="M1378" s="4">
        <f ca="1">_xlfn.IFNA(VLOOKUP(INDIRECT("G"&amp;ROW()),minfo!$A:$M,COLUMN()-8,0),"")</f>
        <v>6709</v>
      </c>
      <c r="N1378" s="4">
        <f ca="1">_xlfn.IFNA(VLOOKUP(INDIRECT("G"&amp;ROW()),minfo!$A:$M,COLUMN()-8,0),"")</f>
        <v>265</v>
      </c>
      <c r="O1378" s="4" t="str">
        <f ca="1">_xlfn.IFNA(VLOOKUP(INDIRECT("G"&amp;ROW()),minfo!$A:$M,COLUMN()-8,0),"")</f>
        <v>https://i0.hdslb.com/bfs/station_src/music_metadata/400688c94ad1fe3e8d7d8ef98919cb52.jpg</v>
      </c>
      <c r="P1378" s="4">
        <f ca="1">_xlfn.IFNA(VLOOKUP(INDIRECT("G"&amp;ROW()),minfo!$A:$M,COLUMN()-8,0),"")</f>
        <v>0</v>
      </c>
      <c r="Q1378" s="4">
        <f ca="1">_xlfn.IFNA(VLOOKUP(INDIRECT("G"&amp;ROW()),minfo!$A:$M,COLUMN()-8,0),"")</f>
        <v>349</v>
      </c>
      <c r="R1378" s="4" t="str">
        <f ca="1">_xlfn.IFNA(VLOOKUP(INDIRECT("G"&amp;ROW()),minfo!$A:$M,COLUMN()-8,0),"")</f>
        <v>《天台》电影主题曲</v>
      </c>
      <c r="S1378" s="4" t="str">
        <f ca="1">_xlfn.IFNA(VLOOKUP(INDIRECT("G"&amp;ROW()),minfo!$A:$M,COLUMN()-8,0),"")</f>
        <v>十二新作</v>
      </c>
      <c r="T1378" s="4">
        <f ca="1">_xlfn.IFNA(VLOOKUP(INDIRECT("G"&amp;ROW()),minfo!$A:$M,COLUMN()-8,0),"")</f>
        <v>182820128</v>
      </c>
      <c r="U1378" s="4">
        <f ca="1">_xlfn.IFNA(VLOOKUP(INDIRECT("G"&amp;ROW()),minfo!$A:$M,COLUMN()-8,0),"")</f>
        <v>0</v>
      </c>
    </row>
    <row r="1379" spans="1:21" ht="15.75" customHeight="1">
      <c r="A1379" s="15">
        <v>1378</v>
      </c>
      <c r="B1379" s="4" t="s">
        <v>5004</v>
      </c>
      <c r="C1379" s="4">
        <v>1379</v>
      </c>
      <c r="D1379" s="4">
        <v>25</v>
      </c>
      <c r="E1379" s="4" t="s">
        <v>497</v>
      </c>
      <c r="F1379" s="16">
        <v>44759</v>
      </c>
      <c r="G1379" s="5" t="s">
        <v>496</v>
      </c>
      <c r="H1379" s="5" t="s">
        <v>4978</v>
      </c>
      <c r="I1379" s="24" t="str">
        <f>HYPERLINK("https://www.bilibili.com/video/BV1ta411X75v?p=25", "BV1ta411X75v?p=25")</f>
        <v>BV1ta411X75v?p=25</v>
      </c>
      <c r="J1379" s="4" t="str">
        <f ca="1">_xlfn.IFNA(VLOOKUP(INDIRECT("G"&amp;ROW()),minfo!$A:$M,COLUMN()-8,0),"")</f>
        <v>给电影人的情书</v>
      </c>
      <c r="K1379" s="4" t="str">
        <f ca="1">_xlfn.IFNA(VLOOKUP(INDIRECT("G"&amp;ROW()),minfo!$A:$M,COLUMN()-8,0),"")</f>
        <v>蔡琴</v>
      </c>
      <c r="L1379" s="4">
        <f ca="1">_xlfn.IFNA(VLOOKUP(INDIRECT("G"&amp;ROW()),minfo!$A:$M,COLUMN()-8,0),"")</f>
        <v>0</v>
      </c>
      <c r="M1379" s="4">
        <f ca="1">_xlfn.IFNA(VLOOKUP(INDIRECT("G"&amp;ROW()),minfo!$A:$M,COLUMN()-8,0),"")</f>
        <v>0</v>
      </c>
      <c r="N1379" s="4">
        <f ca="1">_xlfn.IFNA(VLOOKUP(INDIRECT("G"&amp;ROW()),minfo!$A:$M,COLUMN()-8,0),"")</f>
        <v>0</v>
      </c>
      <c r="O1379" s="4" t="str">
        <f ca="1">_xlfn.IFNA(VLOOKUP(INDIRECT("G"&amp;ROW()),minfo!$A:$M,COLUMN()-8,0),"")</f>
        <v>https://i0.hdslb.com/bfs/station_src/music_metadata/5a642b125d5c75496a65d82a8b356a5f.jpg</v>
      </c>
      <c r="P1379" s="4" t="str">
        <f ca="1">_xlfn.IFNA(VLOOKUP(INDIRECT("G"&amp;ROW()),minfo!$A:$M,COLUMN()-8,0),"")</f>
        <v>http://i0.hdslb.com/bfs/station_src/music_metadata/b70311934da8d72b044401d31b44294e</v>
      </c>
      <c r="Q1379" s="4">
        <f ca="1">_xlfn.IFNA(VLOOKUP(INDIRECT("G"&amp;ROW()),minfo!$A:$M,COLUMN()-8,0),"")</f>
        <v>192</v>
      </c>
      <c r="R1379" s="4">
        <f ca="1">_xlfn.IFNA(VLOOKUP(INDIRECT("G"&amp;ROW()),minfo!$A:$M,COLUMN()-8,0),"")</f>
        <v>0</v>
      </c>
      <c r="S1379" s="4" t="str">
        <f ca="1">_xlfn.IFNA(VLOOKUP(INDIRECT("G"&amp;ROW()),minfo!$A:$M,COLUMN()-8,0),"")</f>
        <v>不悔</v>
      </c>
      <c r="T1379" s="4">
        <f ca="1">_xlfn.IFNA(VLOOKUP(INDIRECT("G"&amp;ROW()),minfo!$A:$M,COLUMN()-8,0),"")</f>
        <v>47527216</v>
      </c>
      <c r="U1379" s="4">
        <f ca="1">_xlfn.IFNA(VLOOKUP(INDIRECT("G"&amp;ROW()),minfo!$A:$M,COLUMN()-8,0),"")</f>
        <v>0</v>
      </c>
    </row>
    <row r="1380" spans="1:21" ht="15.75" customHeight="1">
      <c r="A1380" s="15">
        <v>1379</v>
      </c>
      <c r="B1380" s="4" t="s">
        <v>5005</v>
      </c>
      <c r="C1380" s="4">
        <v>1380</v>
      </c>
      <c r="D1380" s="4">
        <v>26</v>
      </c>
      <c r="E1380" s="4" t="s">
        <v>4591</v>
      </c>
      <c r="F1380" s="16">
        <v>44759</v>
      </c>
      <c r="G1380" s="5" t="s">
        <v>1631</v>
      </c>
      <c r="H1380" s="5" t="s">
        <v>4978</v>
      </c>
      <c r="I1380" s="24" t="str">
        <f>HYPERLINK("https://www.bilibili.com/video/BV1ta411X75v?p=26", "BV1ta411X75v?p=26")</f>
        <v>BV1ta411X75v?p=26</v>
      </c>
      <c r="J1380" s="4" t="str">
        <f ca="1">_xlfn.IFNA(VLOOKUP(INDIRECT("G"&amp;ROW()),minfo!$A:$M,COLUMN()-8,0),"")</f>
        <v>Forever Young</v>
      </c>
      <c r="K1380" s="4" t="str">
        <f ca="1">_xlfn.IFNA(VLOOKUP(INDIRECT("G"&amp;ROW()),minfo!$A:$M,COLUMN()-8,0),"")</f>
        <v>艾怡良</v>
      </c>
      <c r="L1380" s="4">
        <f ca="1">_xlfn.IFNA(VLOOKUP(INDIRECT("G"&amp;ROW()),minfo!$A:$M,COLUMN()-8,0),"")</f>
        <v>0</v>
      </c>
      <c r="M1380" s="4">
        <f ca="1">_xlfn.IFNA(VLOOKUP(INDIRECT("G"&amp;ROW()),minfo!$A:$M,COLUMN()-8,0),"")</f>
        <v>1121</v>
      </c>
      <c r="N1380" s="4">
        <f ca="1">_xlfn.IFNA(VLOOKUP(INDIRECT("G"&amp;ROW()),minfo!$A:$M,COLUMN()-8,0),"")</f>
        <v>108</v>
      </c>
      <c r="O1380" s="4" t="str">
        <f ca="1">_xlfn.IFNA(VLOOKUP(INDIRECT("G"&amp;ROW()),minfo!$A:$M,COLUMN()-8,0),"")</f>
        <v>https://i0.hdslb.com/bfs/station_src/music_metadata/dbe0a5c483acdf75be3b3411a94a3f6e.jpg</v>
      </c>
      <c r="P1380" s="4" t="str">
        <f ca="1">_xlfn.IFNA(VLOOKUP(INDIRECT("G"&amp;ROW()),minfo!$A:$M,COLUMN()-8,0),"")</f>
        <v>https://i0.hdslb.com/bfs/station_src/music_metadata/0eecea8bad0d6a372d617485427bcadb.txt</v>
      </c>
      <c r="Q1380" s="4">
        <f ca="1">_xlfn.IFNA(VLOOKUP(INDIRECT("G"&amp;ROW()),minfo!$A:$M,COLUMN()-8,0),"")</f>
        <v>243</v>
      </c>
      <c r="R1380" s="4">
        <f ca="1">_xlfn.IFNA(VLOOKUP(INDIRECT("G"&amp;ROW()),minfo!$A:$M,COLUMN()-8,0),"")</f>
        <v>0</v>
      </c>
      <c r="S1380" s="4" t="str">
        <f ca="1">_xlfn.IFNA(VLOOKUP(INDIRECT("G"&amp;ROW()),minfo!$A:$M,COLUMN()-8,0),"")</f>
        <v>Forever Young</v>
      </c>
      <c r="T1380" s="4">
        <f ca="1">_xlfn.IFNA(VLOOKUP(INDIRECT("G"&amp;ROW()),minfo!$A:$M,COLUMN()-8,0),"")</f>
        <v>21666407</v>
      </c>
      <c r="U1380" s="4">
        <f ca="1">_xlfn.IFNA(VLOOKUP(INDIRECT("G"&amp;ROW()),minfo!$A:$M,COLUMN()-8,0),"")</f>
        <v>0</v>
      </c>
    </row>
    <row r="1381" spans="1:21" ht="15.75" customHeight="1">
      <c r="A1381" s="15">
        <v>1380</v>
      </c>
      <c r="B1381" s="4" t="s">
        <v>5006</v>
      </c>
      <c r="C1381" s="4">
        <v>1381</v>
      </c>
      <c r="D1381" s="4">
        <v>27</v>
      </c>
      <c r="E1381" s="4" t="s">
        <v>536</v>
      </c>
      <c r="F1381" s="16">
        <v>44759</v>
      </c>
      <c r="G1381" s="5" t="s">
        <v>535</v>
      </c>
      <c r="H1381" s="5" t="s">
        <v>4978</v>
      </c>
      <c r="I1381" s="24" t="str">
        <f>HYPERLINK("https://www.bilibili.com/video/BV1ta411X75v?p=27", "BV1ta411X75v?p=27")</f>
        <v>BV1ta411X75v?p=27</v>
      </c>
      <c r="J1381" s="4" t="str">
        <f ca="1">_xlfn.IFNA(VLOOKUP(INDIRECT("G"&amp;ROW()),minfo!$A:$M,COLUMN()-8,0),"")</f>
        <v>红颜如霜</v>
      </c>
      <c r="K1381" s="4" t="str">
        <f ca="1">_xlfn.IFNA(VLOOKUP(INDIRECT("G"&amp;ROW()),minfo!$A:$M,COLUMN()-8,0),"")</f>
        <v>周杰伦</v>
      </c>
      <c r="L1381" s="4">
        <f ca="1">_xlfn.IFNA(VLOOKUP(INDIRECT("G"&amp;ROW()),minfo!$A:$M,COLUMN()-8,0),"")</f>
        <v>0</v>
      </c>
      <c r="M1381" s="4">
        <f ca="1">_xlfn.IFNA(VLOOKUP(INDIRECT("G"&amp;ROW()),minfo!$A:$M,COLUMN()-8,0),"")</f>
        <v>179425</v>
      </c>
      <c r="N1381" s="4">
        <f ca="1">_xlfn.IFNA(VLOOKUP(INDIRECT("G"&amp;ROW()),minfo!$A:$M,COLUMN()-8,0),"")</f>
        <v>61254</v>
      </c>
      <c r="O1381" s="4" t="str">
        <f ca="1">_xlfn.IFNA(VLOOKUP(INDIRECT("G"&amp;ROW()),minfo!$A:$M,COLUMN()-8,0),"")</f>
        <v>https://i0.hdslb.com/bfs/station_src/music_metadata/b0bbef33041121e4c8107f9d82ff0e60.jpg</v>
      </c>
      <c r="P1381" s="4">
        <f ca="1">_xlfn.IFNA(VLOOKUP(INDIRECT("G"&amp;ROW()),minfo!$A:$M,COLUMN()-8,0),"")</f>
        <v>0</v>
      </c>
      <c r="Q1381" s="4">
        <f ca="1">_xlfn.IFNA(VLOOKUP(INDIRECT("G"&amp;ROW()),minfo!$A:$M,COLUMN()-8,0),"")</f>
        <v>17510</v>
      </c>
      <c r="R1381" s="4">
        <f ca="1">_xlfn.IFNA(VLOOKUP(INDIRECT("G"&amp;ROW()),minfo!$A:$M,COLUMN()-8,0),"")</f>
        <v>0</v>
      </c>
      <c r="S1381" s="4" t="str">
        <f ca="1">_xlfn.IFNA(VLOOKUP(INDIRECT("G"&amp;ROW()),minfo!$A:$M,COLUMN()-8,0),"")</f>
        <v>最伟大的作品</v>
      </c>
      <c r="T1381" s="4">
        <f ca="1">_xlfn.IFNA(VLOOKUP(INDIRECT("G"&amp;ROW()),minfo!$A:$M,COLUMN()-8,0),"")</f>
        <v>237302125</v>
      </c>
      <c r="U1381" s="4" t="str">
        <f ca="1">_xlfn.IFNA(VLOOKUP(INDIRECT("G"&amp;ROW()),minfo!$A:$M,COLUMN()-8,0),"")</f>
        <v>音乐榜最高NO.2</v>
      </c>
    </row>
    <row r="1382" spans="1:21" ht="15.75" customHeight="1">
      <c r="A1382" s="15">
        <v>1381</v>
      </c>
      <c r="B1382" s="4" t="s">
        <v>5007</v>
      </c>
      <c r="C1382" s="4">
        <v>1382</v>
      </c>
      <c r="D1382" s="4">
        <v>28</v>
      </c>
      <c r="E1382" s="4" t="s">
        <v>5008</v>
      </c>
      <c r="F1382" s="16">
        <v>44759</v>
      </c>
      <c r="G1382" s="5" t="s">
        <v>2725</v>
      </c>
      <c r="H1382" s="5" t="s">
        <v>4978</v>
      </c>
      <c r="I1382" s="24" t="str">
        <f>HYPERLINK("https://www.bilibili.com/video/BV1ta411X75v?p=28", "BV1ta411X75v?p=28")</f>
        <v>BV1ta411X75v?p=28</v>
      </c>
      <c r="J1382" s="4" t="str">
        <f ca="1">_xlfn.IFNA(VLOOKUP(INDIRECT("G"&amp;ROW()),minfo!$A:$M,COLUMN()-8,0),"")</f>
        <v xml:space="preserve"> Intorno all'idol mio</v>
      </c>
      <c r="K1382" s="4" t="str">
        <f ca="1">_xlfn.IFNA(VLOOKUP(INDIRECT("G"&amp;ROW()),minfo!$A:$M,COLUMN()-8,0),"")</f>
        <v>Teresa Berganza,Felix Lavilla</v>
      </c>
      <c r="L1382" s="4">
        <f ca="1">_xlfn.IFNA(VLOOKUP(INDIRECT("G"&amp;ROW()),minfo!$A:$M,COLUMN()-8,0),"")</f>
        <v>0</v>
      </c>
      <c r="M1382" s="4">
        <f ca="1">_xlfn.IFNA(VLOOKUP(INDIRECT("G"&amp;ROW()),minfo!$A:$M,COLUMN()-8,0),"")</f>
        <v>0</v>
      </c>
      <c r="N1382" s="4">
        <f ca="1">_xlfn.IFNA(VLOOKUP(INDIRECT("G"&amp;ROW()),minfo!$A:$M,COLUMN()-8,0),"")</f>
        <v>0</v>
      </c>
      <c r="O1382" s="4" t="str">
        <f ca="1">_xlfn.IFNA(VLOOKUP(INDIRECT("G"&amp;ROW()),minfo!$A:$M,COLUMN()-8,0),"")</f>
        <v>https://i0.hdslb.com/bfs/station_src/music_metadata/cdb05d26b1b2f4953055f260fee40a88.jpg</v>
      </c>
      <c r="P1382" s="4" t="str">
        <f ca="1">_xlfn.IFNA(VLOOKUP(INDIRECT("G"&amp;ROW()),minfo!$A:$M,COLUMN()-8,0),"")</f>
        <v>https://i0.hdslb.com/bfs/station_src/music_metadata/0239bb6771efc45782c6e4a36c06dfdf.txt</v>
      </c>
      <c r="Q1382" s="4">
        <f ca="1">_xlfn.IFNA(VLOOKUP(INDIRECT("G"&amp;ROW()),minfo!$A:$M,COLUMN()-8,0),"")</f>
        <v>0</v>
      </c>
      <c r="R1382" s="4">
        <f ca="1">_xlfn.IFNA(VLOOKUP(INDIRECT("G"&amp;ROW()),minfo!$A:$M,COLUMN()-8,0),"")</f>
        <v>0</v>
      </c>
      <c r="S1382" s="4" t="str">
        <f ca="1">_xlfn.IFNA(VLOOKUP(INDIRECT("G"&amp;ROW()),minfo!$A:$M,COLUMN()-8,0),"")</f>
        <v>Una voce poco fa - A Portrait of Teresa Berganza</v>
      </c>
      <c r="T1382" s="4">
        <f ca="1">_xlfn.IFNA(VLOOKUP(INDIRECT("G"&amp;ROW()),minfo!$A:$M,COLUMN()-8,0),"")</f>
        <v>104686</v>
      </c>
      <c r="U1382" s="4">
        <f ca="1">_xlfn.IFNA(VLOOKUP(INDIRECT("G"&amp;ROW()),minfo!$A:$M,COLUMN()-8,0),"")</f>
        <v>0</v>
      </c>
    </row>
    <row r="1383" spans="1:21" ht="15.75" customHeight="1">
      <c r="A1383" s="15">
        <v>1382</v>
      </c>
      <c r="B1383" s="4" t="s">
        <v>5009</v>
      </c>
      <c r="C1383" s="4">
        <v>1383</v>
      </c>
      <c r="D1383" s="4">
        <v>29</v>
      </c>
      <c r="E1383" s="4" t="s">
        <v>5008</v>
      </c>
      <c r="F1383" s="16">
        <v>44759</v>
      </c>
      <c r="G1383" s="5" t="s">
        <v>3045</v>
      </c>
      <c r="H1383" s="5" t="s">
        <v>4978</v>
      </c>
      <c r="I1383" s="24" t="str">
        <f>HYPERLINK("https://www.bilibili.com/video/BV1ta411X75v?p=29", "BV1ta411X75v?p=29")</f>
        <v>BV1ta411X75v?p=29</v>
      </c>
      <c r="J1383" s="4" t="str">
        <f ca="1">_xlfn.IFNA(VLOOKUP(INDIRECT("G"&amp;ROW()),minfo!$A:$M,COLUMN()-8,0),"")</f>
        <v>Intorno all'idol mio</v>
      </c>
      <c r="K1383" s="4" t="str">
        <f ca="1">_xlfn.IFNA(VLOOKUP(INDIRECT("G"&amp;ROW()),minfo!$A:$M,COLUMN()-8,0),"")</f>
        <v>Cecilia Bartoli,György Fischer</v>
      </c>
      <c r="L1383" s="4">
        <f ca="1">_xlfn.IFNA(VLOOKUP(INDIRECT("G"&amp;ROW()),minfo!$A:$M,COLUMN()-8,0),"")</f>
        <v>0</v>
      </c>
      <c r="M1383" s="4">
        <f ca="1">_xlfn.IFNA(VLOOKUP(INDIRECT("G"&amp;ROW()),minfo!$A:$M,COLUMN()-8,0),"")</f>
        <v>0</v>
      </c>
      <c r="N1383" s="4">
        <f ca="1">_xlfn.IFNA(VLOOKUP(INDIRECT("G"&amp;ROW()),minfo!$A:$M,COLUMN()-8,0),"")</f>
        <v>0</v>
      </c>
      <c r="O1383" s="4" t="str">
        <f ca="1">_xlfn.IFNA(VLOOKUP(INDIRECT("G"&amp;ROW()),minfo!$A:$M,COLUMN()-8,0),"")</f>
        <v>https://i0.hdslb.com/bfs/station_src/music_metadata/fdf23963e530147beb8fb18bfdec033a.jpg</v>
      </c>
      <c r="P1383" s="4" t="str">
        <f ca="1">_xlfn.IFNA(VLOOKUP(INDIRECT("G"&amp;ROW()),minfo!$A:$M,COLUMN()-8,0),"")</f>
        <v>https://i0.hdslb.com/bfs/station_src/music_metadata/eb9ad2f5e11dbc935e71a73d850c79e9.txt</v>
      </c>
      <c r="Q1383" s="4">
        <f ca="1">_xlfn.IFNA(VLOOKUP(INDIRECT("G"&amp;ROW()),minfo!$A:$M,COLUMN()-8,0),"")</f>
        <v>2</v>
      </c>
      <c r="R1383" s="4">
        <f ca="1">_xlfn.IFNA(VLOOKUP(INDIRECT("G"&amp;ROW()),minfo!$A:$M,COLUMN()-8,0),"")</f>
        <v>0</v>
      </c>
      <c r="S1383" s="4" t="str">
        <f ca="1">_xlfn.IFNA(VLOOKUP(INDIRECT("G"&amp;ROW()),minfo!$A:$M,COLUMN()-8,0),"")</f>
        <v>Cecilia Bartoli - Arie Antiche: Se tu m'ami</v>
      </c>
      <c r="T1383" s="4">
        <f ca="1">_xlfn.IFNA(VLOOKUP(INDIRECT("G"&amp;ROW()),minfo!$A:$M,COLUMN()-8,0),"")</f>
        <v>482295</v>
      </c>
      <c r="U1383" s="4">
        <f ca="1">_xlfn.IFNA(VLOOKUP(INDIRECT("G"&amp;ROW()),minfo!$A:$M,COLUMN()-8,0),"")</f>
        <v>0</v>
      </c>
    </row>
    <row r="1384" spans="1:21" ht="15.75" customHeight="1">
      <c r="A1384" s="15">
        <v>1383</v>
      </c>
      <c r="B1384" s="4" t="s">
        <v>5010</v>
      </c>
      <c r="C1384" s="4">
        <v>1384</v>
      </c>
      <c r="D1384" s="4">
        <v>30</v>
      </c>
      <c r="E1384" s="4" t="s">
        <v>726</v>
      </c>
      <c r="F1384" s="16">
        <v>44759</v>
      </c>
      <c r="G1384" s="5" t="s">
        <v>725</v>
      </c>
      <c r="H1384" s="5" t="s">
        <v>4978</v>
      </c>
      <c r="I1384" s="24" t="str">
        <f>HYPERLINK("https://www.bilibili.com/video/BV1ta411X75v?p=30", "BV1ta411X75v?p=30")</f>
        <v>BV1ta411X75v?p=30</v>
      </c>
      <c r="J1384" s="4" t="str">
        <f ca="1">_xlfn.IFNA(VLOOKUP(INDIRECT("G"&amp;ROW()),minfo!$A:$M,COLUMN()-8,0),"")</f>
        <v>茉莉花</v>
      </c>
      <c r="K1384" s="4" t="str">
        <f ca="1">_xlfn.IFNA(VLOOKUP(INDIRECT("G"&amp;ROW()),minfo!$A:$M,COLUMN()-8,0),"")</f>
        <v>群星</v>
      </c>
      <c r="L1384" s="4">
        <f ca="1">_xlfn.IFNA(VLOOKUP(INDIRECT("G"&amp;ROW()),minfo!$A:$M,COLUMN()-8,0),"")</f>
        <v>0</v>
      </c>
      <c r="M1384" s="4">
        <f ca="1">_xlfn.IFNA(VLOOKUP(INDIRECT("G"&amp;ROW()),minfo!$A:$M,COLUMN()-8,0),"")</f>
        <v>0</v>
      </c>
      <c r="N1384" s="4">
        <f ca="1">_xlfn.IFNA(VLOOKUP(INDIRECT("G"&amp;ROW()),minfo!$A:$M,COLUMN()-8,0),"")</f>
        <v>0</v>
      </c>
      <c r="O1384" s="4" t="str">
        <f ca="1">_xlfn.IFNA(VLOOKUP(INDIRECT("G"&amp;ROW()),minfo!$A:$M,COLUMN()-8,0),"")</f>
        <v>https://i0.hdslb.com/bfs/station_src/music_metadata/e03b06a414da98ba449eefdff7d60f88.jpg</v>
      </c>
      <c r="P1384" s="4" t="str">
        <f ca="1">_xlfn.IFNA(VLOOKUP(INDIRECT("G"&amp;ROW()),minfo!$A:$M,COLUMN()-8,0),"")</f>
        <v>https://i0.hdslb.com/bfs/station_src/music_metadata/f7e4d3ca608b74e750bc6ef547b43dbd.txt</v>
      </c>
      <c r="Q1384" s="4">
        <f ca="1">_xlfn.IFNA(VLOOKUP(INDIRECT("G"&amp;ROW()),minfo!$A:$M,COLUMN()-8,0),"")</f>
        <v>39</v>
      </c>
      <c r="R1384" s="4">
        <f ca="1">_xlfn.IFNA(VLOOKUP(INDIRECT("G"&amp;ROW()),minfo!$A:$M,COLUMN()-8,0),"")</f>
        <v>0</v>
      </c>
      <c r="S1384" s="4" t="str">
        <f ca="1">_xlfn.IFNA(VLOOKUP(INDIRECT("G"&amp;ROW()),minfo!$A:$M,COLUMN()-8,0),"")</f>
        <v>试机二号</v>
      </c>
      <c r="T1384" s="4">
        <f ca="1">_xlfn.IFNA(VLOOKUP(INDIRECT("G"&amp;ROW()),minfo!$A:$M,COLUMN()-8,0),"")</f>
        <v>14230993</v>
      </c>
      <c r="U1384" s="4">
        <f ca="1">_xlfn.IFNA(VLOOKUP(INDIRECT("G"&amp;ROW()),minfo!$A:$M,COLUMN()-8,0),"")</f>
        <v>0</v>
      </c>
    </row>
    <row r="1385" spans="1:21" ht="15.75" customHeight="1">
      <c r="A1385" s="15">
        <v>1384</v>
      </c>
      <c r="B1385" s="4" t="s">
        <v>5011</v>
      </c>
      <c r="C1385" s="4">
        <v>1385</v>
      </c>
      <c r="D1385" s="4">
        <v>31</v>
      </c>
      <c r="E1385" s="4" t="s">
        <v>726</v>
      </c>
      <c r="F1385" s="16">
        <v>44759</v>
      </c>
      <c r="G1385" s="5" t="s">
        <v>725</v>
      </c>
      <c r="H1385" s="5" t="s">
        <v>4978</v>
      </c>
      <c r="I1385" s="24" t="str">
        <f>HYPERLINK("https://www.bilibili.com/video/BV1ta411X75v?p=31", "BV1ta411X75v?p=31")</f>
        <v>BV1ta411X75v?p=31</v>
      </c>
      <c r="J1385" s="4" t="str">
        <f ca="1">_xlfn.IFNA(VLOOKUP(INDIRECT("G"&amp;ROW()),minfo!$A:$M,COLUMN()-8,0),"")</f>
        <v>茉莉花</v>
      </c>
      <c r="K1385" s="4" t="str">
        <f ca="1">_xlfn.IFNA(VLOOKUP(INDIRECT("G"&amp;ROW()),minfo!$A:$M,COLUMN()-8,0),"")</f>
        <v>群星</v>
      </c>
      <c r="L1385" s="4">
        <f ca="1">_xlfn.IFNA(VLOOKUP(INDIRECT("G"&amp;ROW()),minfo!$A:$M,COLUMN()-8,0),"")</f>
        <v>0</v>
      </c>
      <c r="M1385" s="4">
        <f ca="1">_xlfn.IFNA(VLOOKUP(INDIRECT("G"&amp;ROW()),minfo!$A:$M,COLUMN()-8,0),"")</f>
        <v>0</v>
      </c>
      <c r="N1385" s="4">
        <f ca="1">_xlfn.IFNA(VLOOKUP(INDIRECT("G"&amp;ROW()),minfo!$A:$M,COLUMN()-8,0),"")</f>
        <v>0</v>
      </c>
      <c r="O1385" s="4" t="str">
        <f ca="1">_xlfn.IFNA(VLOOKUP(INDIRECT("G"&amp;ROW()),minfo!$A:$M,COLUMN()-8,0),"")</f>
        <v>https://i0.hdslb.com/bfs/station_src/music_metadata/e03b06a414da98ba449eefdff7d60f88.jpg</v>
      </c>
      <c r="P1385" s="4" t="str">
        <f ca="1">_xlfn.IFNA(VLOOKUP(INDIRECT("G"&amp;ROW()),minfo!$A:$M,COLUMN()-8,0),"")</f>
        <v>https://i0.hdslb.com/bfs/station_src/music_metadata/f7e4d3ca608b74e750bc6ef547b43dbd.txt</v>
      </c>
      <c r="Q1385" s="4">
        <f ca="1">_xlfn.IFNA(VLOOKUP(INDIRECT("G"&amp;ROW()),minfo!$A:$M,COLUMN()-8,0),"")</f>
        <v>39</v>
      </c>
      <c r="R1385" s="4">
        <f ca="1">_xlfn.IFNA(VLOOKUP(INDIRECT("G"&amp;ROW()),minfo!$A:$M,COLUMN()-8,0),"")</f>
        <v>0</v>
      </c>
      <c r="S1385" s="4" t="str">
        <f ca="1">_xlfn.IFNA(VLOOKUP(INDIRECT("G"&amp;ROW()),minfo!$A:$M,COLUMN()-8,0),"")</f>
        <v>试机二号</v>
      </c>
      <c r="T1385" s="4">
        <f ca="1">_xlfn.IFNA(VLOOKUP(INDIRECT("G"&amp;ROW()),minfo!$A:$M,COLUMN()-8,0),"")</f>
        <v>14230993</v>
      </c>
      <c r="U1385" s="4">
        <f ca="1">_xlfn.IFNA(VLOOKUP(INDIRECT("G"&amp;ROW()),minfo!$A:$M,COLUMN()-8,0),"")</f>
        <v>0</v>
      </c>
    </row>
    <row r="1386" spans="1:21" ht="15.75" customHeight="1">
      <c r="A1386" s="15">
        <v>1385</v>
      </c>
      <c r="B1386" s="4" t="s">
        <v>5012</v>
      </c>
      <c r="C1386" s="4">
        <v>1386</v>
      </c>
      <c r="D1386" s="4">
        <v>32</v>
      </c>
      <c r="E1386" s="4" t="s">
        <v>2797</v>
      </c>
      <c r="F1386" s="16">
        <v>44759</v>
      </c>
      <c r="G1386" s="5" t="s">
        <v>2796</v>
      </c>
      <c r="H1386" s="5" t="s">
        <v>4978</v>
      </c>
      <c r="I1386" s="24" t="str">
        <f>HYPERLINK("https://www.bilibili.com/video/BV1ta411X75v?p=32", "BV1ta411X75v?p=32")</f>
        <v>BV1ta411X75v?p=32</v>
      </c>
      <c r="J1386" s="4" t="str">
        <f ca="1">_xlfn.IFNA(VLOOKUP(INDIRECT("G"&amp;ROW()),minfo!$A:$M,COLUMN()-8,0),"")</f>
        <v>浏阳河</v>
      </c>
      <c r="K1386" s="4" t="str">
        <f ca="1">_xlfn.IFNA(VLOOKUP(INDIRECT("G"&amp;ROW()),minfo!$A:$M,COLUMN()-8,0),"")</f>
        <v>李谷一</v>
      </c>
      <c r="L1386" s="4">
        <f ca="1">_xlfn.IFNA(VLOOKUP(INDIRECT("G"&amp;ROW()),minfo!$A:$M,COLUMN()-8,0),"")</f>
        <v>0</v>
      </c>
      <c r="M1386" s="4">
        <f ca="1">_xlfn.IFNA(VLOOKUP(INDIRECT("G"&amp;ROW()),minfo!$A:$M,COLUMN()-8,0),"")</f>
        <v>0</v>
      </c>
      <c r="N1386" s="4">
        <f ca="1">_xlfn.IFNA(VLOOKUP(INDIRECT("G"&amp;ROW()),minfo!$A:$M,COLUMN()-8,0),"")</f>
        <v>0</v>
      </c>
      <c r="O1386" s="4" t="str">
        <f ca="1">_xlfn.IFNA(VLOOKUP(INDIRECT("G"&amp;ROW()),minfo!$A:$M,COLUMN()-8,0),"")</f>
        <v>https://i0.hdslb.com/bfs/station_src/music_metadata/8da95ecb0ac14b3afd37549bd8ccd36b.jpg</v>
      </c>
      <c r="P1386" s="4" t="str">
        <f ca="1">_xlfn.IFNA(VLOOKUP(INDIRECT("G"&amp;ROW()),minfo!$A:$M,COLUMN()-8,0),"")</f>
        <v>https://i0.hdslb.com/bfs/station_src/music_metadata/119c275854ad0cb9162eb161a9341c81.txt</v>
      </c>
      <c r="Q1386" s="4">
        <f ca="1">_xlfn.IFNA(VLOOKUP(INDIRECT("G"&amp;ROW()),minfo!$A:$M,COLUMN()-8,0),"")</f>
        <v>10</v>
      </c>
      <c r="R1386" s="4">
        <f ca="1">_xlfn.IFNA(VLOOKUP(INDIRECT("G"&amp;ROW()),minfo!$A:$M,COLUMN()-8,0),"")</f>
        <v>0</v>
      </c>
      <c r="S1386" s="4" t="str">
        <f ca="1">_xlfn.IFNA(VLOOKUP(INDIRECT("G"&amp;ROW()),minfo!$A:$M,COLUMN()-8,0),"")</f>
        <v>流淌不尽的中国民歌—在那遥远的地方</v>
      </c>
      <c r="T1386" s="4">
        <f ca="1">_xlfn.IFNA(VLOOKUP(INDIRECT("G"&amp;ROW()),minfo!$A:$M,COLUMN()-8,0),"")</f>
        <v>1731390</v>
      </c>
      <c r="U1386" s="4">
        <f ca="1">_xlfn.IFNA(VLOOKUP(INDIRECT("G"&amp;ROW()),minfo!$A:$M,COLUMN()-8,0),"")</f>
        <v>0</v>
      </c>
    </row>
    <row r="1387" spans="1:21" ht="15.75" customHeight="1">
      <c r="A1387" s="15">
        <v>1386</v>
      </c>
      <c r="B1387" s="4" t="s">
        <v>5013</v>
      </c>
      <c r="C1387" s="4">
        <v>1387</v>
      </c>
      <c r="D1387" s="4">
        <v>33</v>
      </c>
      <c r="E1387" s="4" t="s">
        <v>854</v>
      </c>
      <c r="F1387" s="16">
        <v>44759</v>
      </c>
      <c r="G1387" s="5" t="s">
        <v>853</v>
      </c>
      <c r="H1387" s="5" t="s">
        <v>4978</v>
      </c>
      <c r="I1387" s="24" t="str">
        <f>HYPERLINK("https://www.bilibili.com/video/BV1ta411X75v?p=33", "BV1ta411X75v?p=33")</f>
        <v>BV1ta411X75v?p=33</v>
      </c>
      <c r="J1387" s="4" t="str">
        <f ca="1">_xlfn.IFNA(VLOOKUP(INDIRECT("G"&amp;ROW()),minfo!$A:$M,COLUMN()-8,0),"")</f>
        <v>九儿</v>
      </c>
      <c r="K1387" s="4" t="str">
        <f ca="1">_xlfn.IFNA(VLOOKUP(INDIRECT("G"&amp;ROW()),minfo!$A:$M,COLUMN()-8,0),"")</f>
        <v>韩红</v>
      </c>
      <c r="L1387" s="4">
        <f ca="1">_xlfn.IFNA(VLOOKUP(INDIRECT("G"&amp;ROW()),minfo!$A:$M,COLUMN()-8,0),"")</f>
        <v>0</v>
      </c>
      <c r="M1387" s="4">
        <f ca="1">_xlfn.IFNA(VLOOKUP(INDIRECT("G"&amp;ROW()),minfo!$A:$M,COLUMN()-8,0),"")</f>
        <v>0</v>
      </c>
      <c r="N1387" s="4">
        <f ca="1">_xlfn.IFNA(VLOOKUP(INDIRECT("G"&amp;ROW()),minfo!$A:$M,COLUMN()-8,0),"")</f>
        <v>0</v>
      </c>
      <c r="O1387" s="4" t="str">
        <f ca="1">_xlfn.IFNA(VLOOKUP(INDIRECT("G"&amp;ROW()),minfo!$A:$M,COLUMN()-8,0),"")</f>
        <v>http://i0.hdslb.com/bfs/station_src/music_metadata/4b1235563c7c1ddf528cbdad350afb65.jpg</v>
      </c>
      <c r="P1387" s="4" t="str">
        <f ca="1">_xlfn.IFNA(VLOOKUP(INDIRECT("G"&amp;ROW()),minfo!$A:$M,COLUMN()-8,0),"")</f>
        <v>http://i0.hdslb.com/bfs/station_src/music_metadata/4de1f7be8adf439f12c97751ef8d1383</v>
      </c>
      <c r="Q1387" s="4">
        <f ca="1">_xlfn.IFNA(VLOOKUP(INDIRECT("G"&amp;ROW()),minfo!$A:$M,COLUMN()-8,0),"")</f>
        <v>357</v>
      </c>
      <c r="R1387" s="4" t="str">
        <f ca="1">_xlfn.IFNA(VLOOKUP(INDIRECT("G"&amp;ROW()),minfo!$A:$M,COLUMN()-8,0),"")</f>
        <v>《红高粱》电视剧主题曲</v>
      </c>
      <c r="S1387" s="4" t="str">
        <f ca="1">_xlfn.IFNA(VLOOKUP(INDIRECT("G"&amp;ROW()),minfo!$A:$M,COLUMN()-8,0),"")</f>
        <v>红高粱 电视剧原声带</v>
      </c>
      <c r="T1387" s="4">
        <f ca="1">_xlfn.IFNA(VLOOKUP(INDIRECT("G"&amp;ROW()),minfo!$A:$M,COLUMN()-8,0),"")</f>
        <v>173322581</v>
      </c>
      <c r="U1387" s="4">
        <f ca="1">_xlfn.IFNA(VLOOKUP(INDIRECT("G"&amp;ROW()),minfo!$A:$M,COLUMN()-8,0),"")</f>
        <v>0</v>
      </c>
    </row>
    <row r="1388" spans="1:21" ht="15.75" customHeight="1">
      <c r="A1388" s="15">
        <v>1387</v>
      </c>
      <c r="B1388" s="4" t="s">
        <v>5014</v>
      </c>
      <c r="C1388" s="4">
        <v>1388</v>
      </c>
      <c r="D1388" s="4">
        <v>34</v>
      </c>
      <c r="E1388" s="4" t="s">
        <v>2803</v>
      </c>
      <c r="F1388" s="16">
        <v>44759</v>
      </c>
      <c r="G1388" s="5" t="s">
        <v>2802</v>
      </c>
      <c r="H1388" s="5" t="s">
        <v>4978</v>
      </c>
      <c r="I1388" s="24" t="str">
        <f>HYPERLINK("https://www.bilibili.com/video/BV1ta411X75v?p=34", "BV1ta411X75v?p=34")</f>
        <v>BV1ta411X75v?p=34</v>
      </c>
      <c r="J1388" s="4" t="str">
        <f ca="1">_xlfn.IFNA(VLOOKUP(INDIRECT("G"&amp;ROW()),minfo!$A:$M,COLUMN()-8,0),"")</f>
        <v>风吹麦浪</v>
      </c>
      <c r="K1388" s="4" t="str">
        <f ca="1">_xlfn.IFNA(VLOOKUP(INDIRECT("G"&amp;ROW()),minfo!$A:$M,COLUMN()-8,0),"")</f>
        <v>李健</v>
      </c>
      <c r="L1388" s="4">
        <f ca="1">_xlfn.IFNA(VLOOKUP(INDIRECT("G"&amp;ROW()),minfo!$A:$M,COLUMN()-8,0),"")</f>
        <v>0</v>
      </c>
      <c r="M1388" s="4">
        <f ca="1">_xlfn.IFNA(VLOOKUP(INDIRECT("G"&amp;ROW()),minfo!$A:$M,COLUMN()-8,0),"")</f>
        <v>0</v>
      </c>
      <c r="N1388" s="4">
        <f ca="1">_xlfn.IFNA(VLOOKUP(INDIRECT("G"&amp;ROW()),minfo!$A:$M,COLUMN()-8,0),"")</f>
        <v>0</v>
      </c>
      <c r="O1388" s="4" t="str">
        <f ca="1">_xlfn.IFNA(VLOOKUP(INDIRECT("G"&amp;ROW()),minfo!$A:$M,COLUMN()-8,0),"")</f>
        <v>http://i0.hdslb.com/bfs/station_src/music_metadata/b433b9fe43a8e9761f8e6e25f559f2e5.jpg</v>
      </c>
      <c r="P1388" s="4" t="str">
        <f ca="1">_xlfn.IFNA(VLOOKUP(INDIRECT("G"&amp;ROW()),minfo!$A:$M,COLUMN()-8,0),"")</f>
        <v>http://i0.hdslb.com/bfs/station_src/music_metadata/fb79453dbfdef458bd35699612e2dfe7</v>
      </c>
      <c r="Q1388" s="4">
        <f ca="1">_xlfn.IFNA(VLOOKUP(INDIRECT("G"&amp;ROW()),minfo!$A:$M,COLUMN()-8,0),"")</f>
        <v>335</v>
      </c>
      <c r="R1388" s="4" t="str">
        <f ca="1">_xlfn.IFNA(VLOOKUP(INDIRECT("G"&amp;ROW()),minfo!$A:$M,COLUMN()-8,0),"")</f>
        <v>《女人的战争》电视剧片尾曲</v>
      </c>
      <c r="S1388" s="4" t="str">
        <f ca="1">_xlfn.IFNA(VLOOKUP(INDIRECT("G"&amp;ROW()),minfo!$A:$M,COLUMN()-8,0),"")</f>
        <v>想念你</v>
      </c>
      <c r="T1388" s="4">
        <f ca="1">_xlfn.IFNA(VLOOKUP(INDIRECT("G"&amp;ROW()),minfo!$A:$M,COLUMN()-8,0),"")</f>
        <v>120843470</v>
      </c>
      <c r="U1388" s="4">
        <f ca="1">_xlfn.IFNA(VLOOKUP(INDIRECT("G"&amp;ROW()),minfo!$A:$M,COLUMN()-8,0),"")</f>
        <v>0</v>
      </c>
    </row>
    <row r="1389" spans="1:21" ht="15.75" customHeight="1">
      <c r="A1389" s="15">
        <v>1388</v>
      </c>
      <c r="B1389" s="4" t="s">
        <v>5015</v>
      </c>
      <c r="C1389" s="4">
        <v>1389</v>
      </c>
      <c r="D1389" s="4">
        <v>35</v>
      </c>
      <c r="E1389" s="4" t="s">
        <v>602</v>
      </c>
      <c r="F1389" s="16">
        <v>44759</v>
      </c>
      <c r="G1389" s="5" t="s">
        <v>601</v>
      </c>
      <c r="H1389" s="5" t="s">
        <v>4978</v>
      </c>
      <c r="I1389" s="24" t="str">
        <f>HYPERLINK("https://www.bilibili.com/video/BV1ta411X75v?p=35", "BV1ta411X75v?p=35")</f>
        <v>BV1ta411X75v?p=35</v>
      </c>
      <c r="J1389" s="4" t="str">
        <f ca="1">_xlfn.IFNA(VLOOKUP(INDIRECT("G"&amp;ROW()),minfo!$A:$M,COLUMN()-8,0),"")</f>
        <v>抛物线</v>
      </c>
      <c r="K1389" s="4" t="str">
        <f ca="1">_xlfn.IFNA(VLOOKUP(INDIRECT("G"&amp;ROW()),minfo!$A:$M,COLUMN()-8,0),"")</f>
        <v>蔡健雅</v>
      </c>
      <c r="L1389" s="4">
        <f ca="1">_xlfn.IFNA(VLOOKUP(INDIRECT("G"&amp;ROW()),minfo!$A:$M,COLUMN()-8,0),"")</f>
        <v>0</v>
      </c>
      <c r="M1389" s="4">
        <f ca="1">_xlfn.IFNA(VLOOKUP(INDIRECT("G"&amp;ROW()),minfo!$A:$M,COLUMN()-8,0),"")</f>
        <v>0</v>
      </c>
      <c r="N1389" s="4">
        <f ca="1">_xlfn.IFNA(VLOOKUP(INDIRECT("G"&amp;ROW()),minfo!$A:$M,COLUMN()-8,0),"")</f>
        <v>0</v>
      </c>
      <c r="O1389" s="4" t="str">
        <f ca="1">_xlfn.IFNA(VLOOKUP(INDIRECT("G"&amp;ROW()),minfo!$A:$M,COLUMN()-8,0),"")</f>
        <v>https://i0.hdslb.com/bfs/station_src/music_metadata/1192f5d3f5d804716f741e0d9dc73211.jpg</v>
      </c>
      <c r="P1389" s="4" t="str">
        <f ca="1">_xlfn.IFNA(VLOOKUP(INDIRECT("G"&amp;ROW()),minfo!$A:$M,COLUMN()-8,0),"")</f>
        <v>https://i0.hdslb.com/bfs/station_src/music_metadata/80d5b0a836c4d402e6c2ea0619723fad.txt</v>
      </c>
      <c r="Q1389" s="4">
        <f ca="1">_xlfn.IFNA(VLOOKUP(INDIRECT("G"&amp;ROW()),minfo!$A:$M,COLUMN()-8,0),"")</f>
        <v>0</v>
      </c>
      <c r="R1389" s="4">
        <f ca="1">_xlfn.IFNA(VLOOKUP(INDIRECT("G"&amp;ROW()),minfo!$A:$M,COLUMN()-8,0),"")</f>
        <v>0</v>
      </c>
      <c r="S1389" s="4" t="str">
        <f ca="1">_xlfn.IFNA(VLOOKUP(INDIRECT("G"&amp;ROW()),minfo!$A:$M,COLUMN()-8,0),"")</f>
        <v>若你碰到他</v>
      </c>
      <c r="T1389" s="4">
        <f ca="1">_xlfn.IFNA(VLOOKUP(INDIRECT("G"&amp;ROW()),minfo!$A:$M,COLUMN()-8,0),"")</f>
        <v>1605044</v>
      </c>
      <c r="U1389" s="4">
        <f ca="1">_xlfn.IFNA(VLOOKUP(INDIRECT("G"&amp;ROW()),minfo!$A:$M,COLUMN()-8,0),"")</f>
        <v>0</v>
      </c>
    </row>
    <row r="1390" spans="1:21" ht="15.75" customHeight="1">
      <c r="A1390" s="15">
        <v>1389</v>
      </c>
      <c r="B1390" s="4" t="s">
        <v>5016</v>
      </c>
      <c r="C1390" s="4">
        <v>1390</v>
      </c>
      <c r="D1390" s="4">
        <v>36</v>
      </c>
      <c r="E1390" s="4" t="s">
        <v>1067</v>
      </c>
      <c r="F1390" s="16">
        <v>44762</v>
      </c>
      <c r="G1390" s="5" t="s">
        <v>1066</v>
      </c>
      <c r="H1390" s="5" t="s">
        <v>4978</v>
      </c>
      <c r="I1390" s="24" t="str">
        <f>HYPERLINK("https://www.bilibili.com/video/BV1ta411X75v?p=36", "BV1ta411X75v?p=36")</f>
        <v>BV1ta411X75v?p=36</v>
      </c>
      <c r="J1390" s="4" t="str">
        <f ca="1">_xlfn.IFNA(VLOOKUP(INDIRECT("G"&amp;ROW()),minfo!$A:$M,COLUMN()-8,0),"")</f>
        <v>永不失联的爱</v>
      </c>
      <c r="K1390" s="4" t="str">
        <f ca="1">_xlfn.IFNA(VLOOKUP(INDIRECT("G"&amp;ROW()),minfo!$A:$M,COLUMN()-8,0),"")</f>
        <v>Eric周兴哲</v>
      </c>
      <c r="L1390" s="4">
        <f ca="1">_xlfn.IFNA(VLOOKUP(INDIRECT("G"&amp;ROW()),minfo!$A:$M,COLUMN()-8,0),"")</f>
        <v>0</v>
      </c>
      <c r="M1390" s="4">
        <f ca="1">_xlfn.IFNA(VLOOKUP(INDIRECT("G"&amp;ROW()),minfo!$A:$M,COLUMN()-8,0),"")</f>
        <v>0</v>
      </c>
      <c r="N1390" s="4">
        <f ca="1">_xlfn.IFNA(VLOOKUP(INDIRECT("G"&amp;ROW()),minfo!$A:$M,COLUMN()-8,0),"")</f>
        <v>0</v>
      </c>
      <c r="O1390" s="4" t="str">
        <f ca="1">_xlfn.IFNA(VLOOKUP(INDIRECT("G"&amp;ROW()),minfo!$A:$M,COLUMN()-8,0),"")</f>
        <v>http://i0.hdslb.com/bfs/station_src/music_metadata/66d68e12c7bf06dfcd345e31ea45ac05.jpg</v>
      </c>
      <c r="P1390" s="4" t="str">
        <f ca="1">_xlfn.IFNA(VLOOKUP(INDIRECT("G"&amp;ROW()),minfo!$A:$M,COLUMN()-8,0),"")</f>
        <v>http://i0.hdslb.com/bfs/station_src/music_metadata/4a6a6c9be708e96306f4fbc010bf2a12</v>
      </c>
      <c r="Q1390" s="4">
        <f ca="1">_xlfn.IFNA(VLOOKUP(INDIRECT("G"&amp;ROW()),minfo!$A:$M,COLUMN()-8,0),"")</f>
        <v>1013</v>
      </c>
      <c r="R1390" s="4">
        <f ca="1">_xlfn.IFNA(VLOOKUP(INDIRECT("G"&amp;ROW()),minfo!$A:$M,COLUMN()-8,0),"")</f>
        <v>0</v>
      </c>
      <c r="S1390" s="4" t="str">
        <f ca="1">_xlfn.IFNA(VLOOKUP(INDIRECT("G"&amp;ROW()),minfo!$A:$M,COLUMN()-8,0),"")</f>
        <v>如果雨之后</v>
      </c>
      <c r="T1390" s="4">
        <f ca="1">_xlfn.IFNA(VLOOKUP(INDIRECT("G"&amp;ROW()),minfo!$A:$M,COLUMN()-8,0),"")</f>
        <v>291250605</v>
      </c>
      <c r="U1390" s="4">
        <f ca="1">_xlfn.IFNA(VLOOKUP(INDIRECT("G"&amp;ROW()),minfo!$A:$M,COLUMN()-8,0),"")</f>
        <v>0</v>
      </c>
    </row>
    <row r="1391" spans="1:21" ht="15.75" customHeight="1">
      <c r="A1391" s="15">
        <v>1390</v>
      </c>
      <c r="B1391" s="4" t="s">
        <v>5017</v>
      </c>
      <c r="C1391" s="4">
        <v>1391</v>
      </c>
      <c r="D1391" s="4">
        <v>37</v>
      </c>
      <c r="E1391" s="4" t="s">
        <v>150</v>
      </c>
      <c r="F1391" s="16">
        <v>44762</v>
      </c>
      <c r="G1391" s="5" t="s">
        <v>149</v>
      </c>
      <c r="H1391" s="5" t="s">
        <v>4978</v>
      </c>
      <c r="I1391" s="24" t="str">
        <f>HYPERLINK("https://www.bilibili.com/video/BV1ta411X75v?p=37", "BV1ta411X75v?p=37")</f>
        <v>BV1ta411X75v?p=37</v>
      </c>
      <c r="J1391" s="4" t="str">
        <f ca="1">_xlfn.IFNA(VLOOKUP(INDIRECT("G"&amp;ROW()),minfo!$A:$M,COLUMN()-8,0),"")</f>
        <v>繁华唱遍</v>
      </c>
      <c r="K1391" s="4" t="str">
        <f ca="1">_xlfn.IFNA(VLOOKUP(INDIRECT("G"&amp;ROW()),minfo!$A:$M,COLUMN()-8,0),"")</f>
        <v>乐正绫</v>
      </c>
      <c r="L1391" s="4">
        <f ca="1">_xlfn.IFNA(VLOOKUP(INDIRECT("G"&amp;ROW()),minfo!$A:$M,COLUMN()-8,0),"")</f>
        <v>0</v>
      </c>
      <c r="M1391" s="4">
        <f ca="1">_xlfn.IFNA(VLOOKUP(INDIRECT("G"&amp;ROW()),minfo!$A:$M,COLUMN()-8,0),"")</f>
        <v>277</v>
      </c>
      <c r="N1391" s="4">
        <f ca="1">_xlfn.IFNA(VLOOKUP(INDIRECT("G"&amp;ROW()),minfo!$A:$M,COLUMN()-8,0),"")</f>
        <v>2</v>
      </c>
      <c r="O1391" s="4">
        <f ca="1">_xlfn.IFNA(VLOOKUP(INDIRECT("G"&amp;ROW()),minfo!$A:$M,COLUMN()-8,0),"")</f>
        <v>0</v>
      </c>
      <c r="P1391" s="4">
        <f ca="1">_xlfn.IFNA(VLOOKUP(INDIRECT("G"&amp;ROW()),minfo!$A:$M,COLUMN()-8,0),"")</f>
        <v>0</v>
      </c>
      <c r="Q1391" s="4">
        <f ca="1">_xlfn.IFNA(VLOOKUP(INDIRECT("G"&amp;ROW()),minfo!$A:$M,COLUMN()-8,0),"")</f>
        <v>156</v>
      </c>
      <c r="R1391" s="4">
        <f ca="1">_xlfn.IFNA(VLOOKUP(INDIRECT("G"&amp;ROW()),minfo!$A:$M,COLUMN()-8,0),"")</f>
        <v>0</v>
      </c>
      <c r="S1391" s="4">
        <f ca="1">_xlfn.IFNA(VLOOKUP(INDIRECT("G"&amp;ROW()),minfo!$A:$M,COLUMN()-8,0),"")</f>
        <v>0</v>
      </c>
      <c r="T1391" s="4">
        <f ca="1">_xlfn.IFNA(VLOOKUP(INDIRECT("G"&amp;ROW()),minfo!$A:$M,COLUMN()-8,0),"")</f>
        <v>71832236</v>
      </c>
      <c r="U1391" s="4">
        <f ca="1">_xlfn.IFNA(VLOOKUP(INDIRECT("G"&amp;ROW()),minfo!$A:$M,COLUMN()-8,0),"")</f>
        <v>0</v>
      </c>
    </row>
    <row r="1392" spans="1:21" ht="15.75" customHeight="1">
      <c r="A1392" s="15">
        <v>1391</v>
      </c>
      <c r="B1392" s="4" t="s">
        <v>5018</v>
      </c>
      <c r="C1392" s="4">
        <v>1392</v>
      </c>
      <c r="D1392" s="4">
        <v>38</v>
      </c>
      <c r="E1392" s="4" t="s">
        <v>5019</v>
      </c>
      <c r="F1392" s="16">
        <v>44762</v>
      </c>
      <c r="G1392" s="5" t="s">
        <v>2808</v>
      </c>
      <c r="H1392" s="5" t="s">
        <v>4978</v>
      </c>
      <c r="I1392" s="24" t="str">
        <f>HYPERLINK("https://www.bilibili.com/video/BV1ta411X75v?p=38", "BV1ta411X75v?p=38")</f>
        <v>BV1ta411X75v?p=38</v>
      </c>
      <c r="J1392" s="4" t="str">
        <f ca="1">_xlfn.IFNA(VLOOKUP(INDIRECT("G"&amp;ROW()),minfo!$A:$M,COLUMN()-8,0),"")</f>
        <v>需要人陪</v>
      </c>
      <c r="K1392" s="4" t="str">
        <f ca="1">_xlfn.IFNA(VLOOKUP(INDIRECT("G"&amp;ROW()),minfo!$A:$M,COLUMN()-8,0),"")</f>
        <v>王力宏</v>
      </c>
      <c r="L1392" s="4">
        <f ca="1">_xlfn.IFNA(VLOOKUP(INDIRECT("G"&amp;ROW()),minfo!$A:$M,COLUMN()-8,0),"")</f>
        <v>0</v>
      </c>
      <c r="M1392" s="4">
        <f ca="1">_xlfn.IFNA(VLOOKUP(INDIRECT("G"&amp;ROW()),minfo!$A:$M,COLUMN()-8,0),"")</f>
        <v>733</v>
      </c>
      <c r="N1392" s="4">
        <f ca="1">_xlfn.IFNA(VLOOKUP(INDIRECT("G"&amp;ROW()),minfo!$A:$M,COLUMN()-8,0),"")</f>
        <v>143</v>
      </c>
      <c r="O1392" s="4" t="str">
        <f ca="1">_xlfn.IFNA(VLOOKUP(INDIRECT("G"&amp;ROW()),minfo!$A:$M,COLUMN()-8,0),"")</f>
        <v>http://i0.hdslb.com/bfs/station_src/music_metadata/bc4ae9ac890c0a9148f9fe02ab749349.jpg</v>
      </c>
      <c r="P1392" s="4" t="str">
        <f ca="1">_xlfn.IFNA(VLOOKUP(INDIRECT("G"&amp;ROW()),minfo!$A:$M,COLUMN()-8,0),"")</f>
        <v>https://i0.hdslb.com/bfs/station_src/music_metadata/149a1a23ac14edef2334d633058d0b09.txt</v>
      </c>
      <c r="Q1392" s="4">
        <f ca="1">_xlfn.IFNA(VLOOKUP(INDIRECT("G"&amp;ROW()),minfo!$A:$M,COLUMN()-8,0),"")</f>
        <v>132</v>
      </c>
      <c r="R1392" s="4">
        <f ca="1">_xlfn.IFNA(VLOOKUP(INDIRECT("G"&amp;ROW()),minfo!$A:$M,COLUMN()-8,0),"")</f>
        <v>0</v>
      </c>
      <c r="S1392" s="4" t="str">
        <f ca="1">_xlfn.IFNA(VLOOKUP(INDIRECT("G"&amp;ROW()),minfo!$A:$M,COLUMN()-8,0),"")</f>
        <v>十八般武艺</v>
      </c>
      <c r="T1392" s="4">
        <f ca="1">_xlfn.IFNA(VLOOKUP(INDIRECT("G"&amp;ROW()),minfo!$A:$M,COLUMN()-8,0),"")</f>
        <v>124838940</v>
      </c>
      <c r="U1392" s="4">
        <f ca="1">_xlfn.IFNA(VLOOKUP(INDIRECT("G"&amp;ROW()),minfo!$A:$M,COLUMN()-8,0),"")</f>
        <v>0</v>
      </c>
    </row>
    <row r="1393" spans="1:21" ht="15.75" customHeight="1">
      <c r="A1393" s="15">
        <v>1392</v>
      </c>
      <c r="B1393" s="4" t="s">
        <v>5020</v>
      </c>
      <c r="C1393" s="4">
        <v>1393</v>
      </c>
      <c r="D1393" s="4">
        <v>39</v>
      </c>
      <c r="E1393" s="4" t="s">
        <v>1206</v>
      </c>
      <c r="F1393" s="16">
        <v>44762</v>
      </c>
      <c r="G1393" s="5" t="s">
        <v>1205</v>
      </c>
      <c r="H1393" s="5" t="s">
        <v>4978</v>
      </c>
      <c r="I1393" s="24" t="str">
        <f>HYPERLINK("https://www.bilibili.com/video/BV1ta411X75v?p=39", "BV1ta411X75v?p=39")</f>
        <v>BV1ta411X75v?p=39</v>
      </c>
      <c r="J1393" s="4" t="str">
        <f ca="1">_xlfn.IFNA(VLOOKUP(INDIRECT("G"&amp;ROW()),minfo!$A:$M,COLUMN()-8,0),"")</f>
        <v>给我一个理由忘记</v>
      </c>
      <c r="K1393" s="4" t="str">
        <f ca="1">_xlfn.IFNA(VLOOKUP(INDIRECT("G"&amp;ROW()),minfo!$A:$M,COLUMN()-8,0),"")</f>
        <v>A-Lin</v>
      </c>
      <c r="L1393" s="4">
        <f ca="1">_xlfn.IFNA(VLOOKUP(INDIRECT("G"&amp;ROW()),minfo!$A:$M,COLUMN()-8,0),"")</f>
        <v>0</v>
      </c>
      <c r="M1393" s="4">
        <f ca="1">_xlfn.IFNA(VLOOKUP(INDIRECT("G"&amp;ROW()),minfo!$A:$M,COLUMN()-8,0),"")</f>
        <v>0</v>
      </c>
      <c r="N1393" s="4">
        <f ca="1">_xlfn.IFNA(VLOOKUP(INDIRECT("G"&amp;ROW()),minfo!$A:$M,COLUMN()-8,0),"")</f>
        <v>0</v>
      </c>
      <c r="O1393" s="4" t="str">
        <f ca="1">_xlfn.IFNA(VLOOKUP(INDIRECT("G"&amp;ROW()),minfo!$A:$M,COLUMN()-8,0),"")</f>
        <v>http://i0.hdslb.com/bfs/station_src/music_metadata/bd76bf11fc6f5c6df48b11ced3d8af44.jpg</v>
      </c>
      <c r="P1393" s="4" t="str">
        <f ca="1">_xlfn.IFNA(VLOOKUP(INDIRECT("G"&amp;ROW()),minfo!$A:$M,COLUMN()-8,0),"")</f>
        <v>http://i0.hdslb.com/bfs/station_src/music_metadata/36b0dd2ce9b34c735a4eceb168e31c57</v>
      </c>
      <c r="Q1393" s="4">
        <f ca="1">_xlfn.IFNA(VLOOKUP(INDIRECT("G"&amp;ROW()),minfo!$A:$M,COLUMN()-8,0),"")</f>
        <v>388</v>
      </c>
      <c r="R1393" s="4">
        <f ca="1">_xlfn.IFNA(VLOOKUP(INDIRECT("G"&amp;ROW()),minfo!$A:$M,COLUMN()-8,0),"")</f>
        <v>0</v>
      </c>
      <c r="S1393" s="4" t="str">
        <f ca="1">_xlfn.IFNA(VLOOKUP(INDIRECT("G"&amp;ROW()),minfo!$A:$M,COLUMN()-8,0),"")</f>
        <v>寂寞不痛</v>
      </c>
      <c r="T1393" s="4">
        <f ca="1">_xlfn.IFNA(VLOOKUP(INDIRECT("G"&amp;ROW()),minfo!$A:$M,COLUMN()-8,0),"")</f>
        <v>75022447</v>
      </c>
      <c r="U1393" s="4">
        <f ca="1">_xlfn.IFNA(VLOOKUP(INDIRECT("G"&amp;ROW()),minfo!$A:$M,COLUMN()-8,0),"")</f>
        <v>0</v>
      </c>
    </row>
    <row r="1394" spans="1:21" ht="15.75" customHeight="1">
      <c r="A1394" s="15">
        <v>1393</v>
      </c>
      <c r="B1394" s="4" t="s">
        <v>5021</v>
      </c>
      <c r="C1394" s="4">
        <v>1394</v>
      </c>
      <c r="D1394" s="4">
        <v>40</v>
      </c>
      <c r="E1394" s="4" t="s">
        <v>2814</v>
      </c>
      <c r="F1394" s="16">
        <v>44762</v>
      </c>
      <c r="G1394" s="5" t="s">
        <v>2813</v>
      </c>
      <c r="H1394" s="5" t="s">
        <v>4978</v>
      </c>
      <c r="I1394" s="24" t="str">
        <f>HYPERLINK("https://www.bilibili.com/video/BV1ta411X75v?p=40", "BV1ta411X75v?p=40")</f>
        <v>BV1ta411X75v?p=40</v>
      </c>
      <c r="J1394" s="4" t="str">
        <f ca="1">_xlfn.IFNA(VLOOKUP(INDIRECT("G"&amp;ROW()),minfo!$A:$M,COLUMN()-8,0),"")</f>
        <v>我等到花儿也谢了</v>
      </c>
      <c r="K1394" s="4" t="str">
        <f ca="1">_xlfn.IFNA(VLOOKUP(INDIRECT("G"&amp;ROW()),minfo!$A:$M,COLUMN()-8,0),"")</f>
        <v>张学友</v>
      </c>
      <c r="L1394" s="4">
        <f ca="1">_xlfn.IFNA(VLOOKUP(INDIRECT("G"&amp;ROW()),minfo!$A:$M,COLUMN()-8,0),"")</f>
        <v>0</v>
      </c>
      <c r="M1394" s="4">
        <f ca="1">_xlfn.IFNA(VLOOKUP(INDIRECT("G"&amp;ROW()),minfo!$A:$M,COLUMN()-8,0),"")</f>
        <v>0</v>
      </c>
      <c r="N1394" s="4">
        <f ca="1">_xlfn.IFNA(VLOOKUP(INDIRECT("G"&amp;ROW()),minfo!$A:$M,COLUMN()-8,0),"")</f>
        <v>0</v>
      </c>
      <c r="O1394" s="4" t="str">
        <f ca="1">_xlfn.IFNA(VLOOKUP(INDIRECT("G"&amp;ROW()),minfo!$A:$M,COLUMN()-8,0),"")</f>
        <v>http://i0.hdslb.com/bfs/station_src/music_metadata/3d435d5c0d0855b113b9b0fb3bf58e2c.jpg</v>
      </c>
      <c r="P1394" s="4" t="str">
        <f ca="1">_xlfn.IFNA(VLOOKUP(INDIRECT("G"&amp;ROW()),minfo!$A:$M,COLUMN()-8,0),"")</f>
        <v>http://i0.hdslb.com/bfs/station_src/music_metadata/231edb2a12f4ae91f7af9e0c7c265dcc</v>
      </c>
      <c r="Q1394" s="4">
        <f ca="1">_xlfn.IFNA(VLOOKUP(INDIRECT("G"&amp;ROW()),minfo!$A:$M,COLUMN()-8,0),"")</f>
        <v>24</v>
      </c>
      <c r="R1394" s="4">
        <f ca="1">_xlfn.IFNA(VLOOKUP(INDIRECT("G"&amp;ROW()),minfo!$A:$M,COLUMN()-8,0),"")</f>
        <v>0</v>
      </c>
      <c r="S1394" s="4" t="str">
        <f ca="1">_xlfn.IFNA(VLOOKUP(INDIRECT("G"&amp;ROW()),minfo!$A:$M,COLUMN()-8,0),"")</f>
        <v>真爱 新曲 + 真正精选</v>
      </c>
      <c r="T1394" s="4">
        <f ca="1">_xlfn.IFNA(VLOOKUP(INDIRECT("G"&amp;ROW()),minfo!$A:$M,COLUMN()-8,0),"")</f>
        <v>16479947</v>
      </c>
      <c r="U1394" s="4">
        <f ca="1">_xlfn.IFNA(VLOOKUP(INDIRECT("G"&amp;ROW()),minfo!$A:$M,COLUMN()-8,0),"")</f>
        <v>0</v>
      </c>
    </row>
    <row r="1395" spans="1:21" ht="15.75" customHeight="1">
      <c r="A1395" s="15">
        <v>1394</v>
      </c>
      <c r="B1395" s="4" t="s">
        <v>5022</v>
      </c>
      <c r="C1395" s="4">
        <v>1395</v>
      </c>
      <c r="D1395" s="4">
        <v>41</v>
      </c>
      <c r="E1395" s="4" t="s">
        <v>2819</v>
      </c>
      <c r="F1395" s="16">
        <v>44764</v>
      </c>
      <c r="G1395" s="5" t="s">
        <v>2818</v>
      </c>
      <c r="H1395" s="5" t="s">
        <v>4978</v>
      </c>
      <c r="I1395" s="24" t="str">
        <f>HYPERLINK("https://www.bilibili.com/video/BV1ta411X75v?p=41", "BV1ta411X75v?p=41")</f>
        <v>BV1ta411X75v?p=41</v>
      </c>
      <c r="J1395" s="4" t="str">
        <f ca="1">_xlfn.IFNA(VLOOKUP(INDIRECT("G"&amp;ROW()),minfo!$A:$M,COLUMN()-8,0),"")</f>
        <v>痴梦</v>
      </c>
      <c r="K1395" s="4" t="str">
        <f ca="1">_xlfn.IFNA(VLOOKUP(INDIRECT("G"&amp;ROW()),minfo!$A:$M,COLUMN()-8,0),"")</f>
        <v>黄英</v>
      </c>
      <c r="L1395" s="4">
        <f ca="1">_xlfn.IFNA(VLOOKUP(INDIRECT("G"&amp;ROW()),minfo!$A:$M,COLUMN()-8,0),"")</f>
        <v>0</v>
      </c>
      <c r="M1395" s="4">
        <f ca="1">_xlfn.IFNA(VLOOKUP(INDIRECT("G"&amp;ROW()),minfo!$A:$M,COLUMN()-8,0),"")</f>
        <v>0</v>
      </c>
      <c r="N1395" s="4">
        <f ca="1">_xlfn.IFNA(VLOOKUP(INDIRECT("G"&amp;ROW()),minfo!$A:$M,COLUMN()-8,0),"")</f>
        <v>0</v>
      </c>
      <c r="O1395" s="4" t="str">
        <f ca="1">_xlfn.IFNA(VLOOKUP(INDIRECT("G"&amp;ROW()),minfo!$A:$M,COLUMN()-8,0),"")</f>
        <v>https://i0.hdslb.com/bfs/station_src/music_metadata/8a1e6bace9875b28b1c9cf22f8fbb3cf.jpg</v>
      </c>
      <c r="P1395" s="4" t="str">
        <f ca="1">_xlfn.IFNA(VLOOKUP(INDIRECT("G"&amp;ROW()),minfo!$A:$M,COLUMN()-8,0),"")</f>
        <v>https://i0.hdslb.com/bfs/station_src/music_metadata/257f08d1523885697129eea6dd48557b.txt</v>
      </c>
      <c r="Q1395" s="4">
        <f ca="1">_xlfn.IFNA(VLOOKUP(INDIRECT("G"&amp;ROW()),minfo!$A:$M,COLUMN()-8,0),"")</f>
        <v>17</v>
      </c>
      <c r="R1395" s="4">
        <f ca="1">_xlfn.IFNA(VLOOKUP(INDIRECT("G"&amp;ROW()),minfo!$A:$M,COLUMN()-8,0),"")</f>
        <v>0</v>
      </c>
      <c r="S1395" s="4" t="str">
        <f ca="1">_xlfn.IFNA(VLOOKUP(INDIRECT("G"&amp;ROW()),minfo!$A:$M,COLUMN()-8,0),"")</f>
        <v>痴梦 to唯今</v>
      </c>
      <c r="T1395" s="4">
        <f ca="1">_xlfn.IFNA(VLOOKUP(INDIRECT("G"&amp;ROW()),minfo!$A:$M,COLUMN()-8,0),"")</f>
        <v>2181437</v>
      </c>
      <c r="U1395" s="4">
        <f ca="1">_xlfn.IFNA(VLOOKUP(INDIRECT("G"&amp;ROW()),minfo!$A:$M,COLUMN()-8,0),"")</f>
        <v>0</v>
      </c>
    </row>
    <row r="1396" spans="1:21" ht="15.75" customHeight="1">
      <c r="A1396" s="15">
        <v>1395</v>
      </c>
      <c r="B1396" s="4" t="s">
        <v>5023</v>
      </c>
      <c r="C1396" s="4">
        <v>1396</v>
      </c>
      <c r="D1396" s="4">
        <v>42</v>
      </c>
      <c r="E1396" s="4" t="s">
        <v>1504</v>
      </c>
      <c r="F1396" s="16">
        <v>44764</v>
      </c>
      <c r="G1396" s="5" t="s">
        <v>1503</v>
      </c>
      <c r="H1396" s="5" t="s">
        <v>4978</v>
      </c>
      <c r="I1396" s="24" t="str">
        <f>HYPERLINK("https://www.bilibili.com/video/BV1ta411X75v?p=42", "BV1ta411X75v?p=42")</f>
        <v>BV1ta411X75v?p=42</v>
      </c>
      <c r="J1396" s="4" t="str">
        <f ca="1">_xlfn.IFNA(VLOOKUP(INDIRECT("G"&amp;ROW()),minfo!$A:$M,COLUMN()-8,0),"")</f>
        <v>蒲公英的约定</v>
      </c>
      <c r="K1396" s="4" t="str">
        <f ca="1">_xlfn.IFNA(VLOOKUP(INDIRECT("G"&amp;ROW()),minfo!$A:$M,COLUMN()-8,0),"")</f>
        <v>周杰伦</v>
      </c>
      <c r="L1396" s="4">
        <f ca="1">_xlfn.IFNA(VLOOKUP(INDIRECT("G"&amp;ROW()),minfo!$A:$M,COLUMN()-8,0),"")</f>
        <v>0</v>
      </c>
      <c r="M1396" s="4">
        <f ca="1">_xlfn.IFNA(VLOOKUP(INDIRECT("G"&amp;ROW()),minfo!$A:$M,COLUMN()-8,0),"")</f>
        <v>0</v>
      </c>
      <c r="N1396" s="4">
        <f ca="1">_xlfn.IFNA(VLOOKUP(INDIRECT("G"&amp;ROW()),minfo!$A:$M,COLUMN()-8,0),"")</f>
        <v>0</v>
      </c>
      <c r="O1396" s="4" t="str">
        <f ca="1">_xlfn.IFNA(VLOOKUP(INDIRECT("G"&amp;ROW()),minfo!$A:$M,COLUMN()-8,0),"")</f>
        <v>https://i0.hdslb.com/bfs/station_src/music_metadata/def25ce07624152bcd4c15c64b585b2b.jpg</v>
      </c>
      <c r="P1396" s="4" t="str">
        <f ca="1">_xlfn.IFNA(VLOOKUP(INDIRECT("G"&amp;ROW()),minfo!$A:$M,COLUMN()-8,0),"")</f>
        <v>copyright-crawler/music/task-lyric/650e62cdfad724c0d01131df.txt</v>
      </c>
      <c r="Q1396" s="4">
        <f ca="1">_xlfn.IFNA(VLOOKUP(INDIRECT("G"&amp;ROW()),minfo!$A:$M,COLUMN()-8,0),"")</f>
        <v>5783</v>
      </c>
      <c r="R1396" s="4" t="str">
        <f ca="1">_xlfn.IFNA(VLOOKUP(INDIRECT("G"&amp;ROW()),minfo!$A:$M,COLUMN()-8,0),"")</f>
        <v>蒲公英的约定</v>
      </c>
      <c r="S1396" s="4" t="str">
        <f ca="1">_xlfn.IFNA(VLOOKUP(INDIRECT("G"&amp;ROW()),minfo!$A:$M,COLUMN()-8,0),"")</f>
        <v>我很忙</v>
      </c>
      <c r="T1396" s="4">
        <f ca="1">_xlfn.IFNA(VLOOKUP(INDIRECT("G"&amp;ROW()),minfo!$A:$M,COLUMN()-8,0),"")</f>
        <v>746779605</v>
      </c>
      <c r="U1396" s="4" t="str">
        <f ca="1">_xlfn.IFNA(VLOOKUP(INDIRECT("G"&amp;ROW()),minfo!$A:$M,COLUMN()-8,0),"")</f>
        <v>音乐榜最高NO.11</v>
      </c>
    </row>
    <row r="1397" spans="1:21" ht="15.75" customHeight="1">
      <c r="A1397" s="15">
        <v>1396</v>
      </c>
      <c r="B1397" s="4" t="s">
        <v>5024</v>
      </c>
      <c r="C1397" s="4">
        <v>1397</v>
      </c>
      <c r="D1397" s="4">
        <v>43</v>
      </c>
      <c r="E1397" s="4" t="s">
        <v>2825</v>
      </c>
      <c r="F1397" s="16">
        <v>44765</v>
      </c>
      <c r="G1397" s="5" t="s">
        <v>2824</v>
      </c>
      <c r="H1397" s="5" t="s">
        <v>4978</v>
      </c>
      <c r="I1397" s="24" t="str">
        <f>HYPERLINK("https://www.bilibili.com/video/BV1ta411X75v?p=43", "BV1ta411X75v?p=43")</f>
        <v>BV1ta411X75v?p=43</v>
      </c>
      <c r="J1397" s="4" t="str">
        <f ca="1">_xlfn.IFNA(VLOOKUP(INDIRECT("G"&amp;ROW()),minfo!$A:$M,COLUMN()-8,0),"")</f>
        <v>天外来物</v>
      </c>
      <c r="K1397" s="4" t="str">
        <f ca="1">_xlfn.IFNA(VLOOKUP(INDIRECT("G"&amp;ROW()),minfo!$A:$M,COLUMN()-8,0),"")</f>
        <v>薛之谦</v>
      </c>
      <c r="L1397" s="4">
        <f ca="1">_xlfn.IFNA(VLOOKUP(INDIRECT("G"&amp;ROW()),minfo!$A:$M,COLUMN()-8,0),"")</f>
        <v>0</v>
      </c>
      <c r="M1397" s="4">
        <f ca="1">_xlfn.IFNA(VLOOKUP(INDIRECT("G"&amp;ROW()),minfo!$A:$M,COLUMN()-8,0),"")</f>
        <v>22741</v>
      </c>
      <c r="N1397" s="4">
        <f ca="1">_xlfn.IFNA(VLOOKUP(INDIRECT("G"&amp;ROW()),minfo!$A:$M,COLUMN()-8,0),"")</f>
        <v>4681</v>
      </c>
      <c r="O1397" s="4" t="str">
        <f ca="1">_xlfn.IFNA(VLOOKUP(INDIRECT("G"&amp;ROW()),minfo!$A:$M,COLUMN()-8,0),"")</f>
        <v>http://i0.hdslb.com/bfs/archive/8b7edf4f1afa32157667c9e603cd4653eb4c953a.jpg</v>
      </c>
      <c r="P1397" s="4">
        <f ca="1">_xlfn.IFNA(VLOOKUP(INDIRECT("G"&amp;ROW()),minfo!$A:$M,COLUMN()-8,0),"")</f>
        <v>0</v>
      </c>
      <c r="Q1397" s="4">
        <f ca="1">_xlfn.IFNA(VLOOKUP(INDIRECT("G"&amp;ROW()),minfo!$A:$M,COLUMN()-8,0),"")</f>
        <v>518</v>
      </c>
      <c r="R1397" s="4" t="str">
        <f ca="1">_xlfn.IFNA(VLOOKUP(INDIRECT("G"&amp;ROW()),minfo!$A:$M,COLUMN()-8,0),"")</f>
        <v>天外来物</v>
      </c>
      <c r="S1397" s="4" t="str">
        <f ca="1">_xlfn.IFNA(VLOOKUP(INDIRECT("G"&amp;ROW()),minfo!$A:$M,COLUMN()-8,0),"")</f>
        <v>天外来物</v>
      </c>
      <c r="T1397" s="4">
        <f ca="1">_xlfn.IFNA(VLOOKUP(INDIRECT("G"&amp;ROW()),minfo!$A:$M,COLUMN()-8,0),"")</f>
        <v>179916692</v>
      </c>
      <c r="U1397" s="4" t="str">
        <f ca="1">_xlfn.IFNA(VLOOKUP(INDIRECT("G"&amp;ROW()),minfo!$A:$M,COLUMN()-8,0),"")</f>
        <v>音乐榜最高NO.20</v>
      </c>
    </row>
    <row r="1398" spans="1:21" ht="15.75" customHeight="1">
      <c r="A1398" s="15">
        <v>1397</v>
      </c>
      <c r="B1398" s="4" t="s">
        <v>5025</v>
      </c>
      <c r="C1398" s="4">
        <v>1398</v>
      </c>
      <c r="D1398" s="4">
        <v>44</v>
      </c>
      <c r="E1398" s="4" t="s">
        <v>1345</v>
      </c>
      <c r="F1398" s="16">
        <v>44765</v>
      </c>
      <c r="G1398" s="5" t="s">
        <v>1344</v>
      </c>
      <c r="H1398" s="5" t="s">
        <v>4978</v>
      </c>
      <c r="I1398" s="24" t="str">
        <f>HYPERLINK("https://www.bilibili.com/video/BV1ta411X75v?p=44", "BV1ta411X75v?p=44")</f>
        <v>BV1ta411X75v?p=44</v>
      </c>
      <c r="J1398" s="4" t="str">
        <f ca="1">_xlfn.IFNA(VLOOKUP(INDIRECT("G"&amp;ROW()),minfo!$A:$M,COLUMN()-8,0),"")</f>
        <v>我们的明天</v>
      </c>
      <c r="K1398" s="4" t="str">
        <f ca="1">_xlfn.IFNA(VLOOKUP(INDIRECT("G"&amp;ROW()),minfo!$A:$M,COLUMN()-8,0),"")</f>
        <v>鹿晗</v>
      </c>
      <c r="L1398" s="4">
        <f ca="1">_xlfn.IFNA(VLOOKUP(INDIRECT("G"&amp;ROW()),minfo!$A:$M,COLUMN()-8,0),"")</f>
        <v>0</v>
      </c>
      <c r="M1398" s="4">
        <f ca="1">_xlfn.IFNA(VLOOKUP(INDIRECT("G"&amp;ROW()),minfo!$A:$M,COLUMN()-8,0),"")</f>
        <v>0</v>
      </c>
      <c r="N1398" s="4">
        <f ca="1">_xlfn.IFNA(VLOOKUP(INDIRECT("G"&amp;ROW()),minfo!$A:$M,COLUMN()-8,0),"")</f>
        <v>0</v>
      </c>
      <c r="O1398" s="4" t="str">
        <f ca="1">_xlfn.IFNA(VLOOKUP(INDIRECT("G"&amp;ROW()),minfo!$A:$M,COLUMN()-8,0),"")</f>
        <v>http://i0.hdslb.com/bfs/station_src/music_metadata/1950a7ea2f58f22a4e539e4aaf7f50a1.jpg</v>
      </c>
      <c r="P1398" s="4" t="str">
        <f ca="1">_xlfn.IFNA(VLOOKUP(INDIRECT("G"&amp;ROW()),minfo!$A:$M,COLUMN()-8,0),"")</f>
        <v>http://i0.hdslb.com/bfs/station_src/music_metadata/fbfaa234036df108d401e351201e3bdb</v>
      </c>
      <c r="Q1398" s="4">
        <f ca="1">_xlfn.IFNA(VLOOKUP(INDIRECT("G"&amp;ROW()),minfo!$A:$M,COLUMN()-8,0),"")</f>
        <v>293</v>
      </c>
      <c r="R1398" s="4">
        <f ca="1">_xlfn.IFNA(VLOOKUP(INDIRECT("G"&amp;ROW()),minfo!$A:$M,COLUMN()-8,0),"")</f>
        <v>0</v>
      </c>
      <c r="S1398" s="4">
        <f ca="1">_xlfn.IFNA(VLOOKUP(INDIRECT("G"&amp;ROW()),minfo!$A:$M,COLUMN()-8,0),"")</f>
        <v>0</v>
      </c>
      <c r="T1398" s="4">
        <f ca="1">_xlfn.IFNA(VLOOKUP(INDIRECT("G"&amp;ROW()),minfo!$A:$M,COLUMN()-8,0),"")</f>
        <v>59748120</v>
      </c>
      <c r="U1398" s="4">
        <f ca="1">_xlfn.IFNA(VLOOKUP(INDIRECT("G"&amp;ROW()),minfo!$A:$M,COLUMN()-8,0),"")</f>
        <v>0</v>
      </c>
    </row>
    <row r="1399" spans="1:21" ht="15.75" customHeight="1">
      <c r="A1399" s="15">
        <v>1398</v>
      </c>
      <c r="B1399" s="4" t="s">
        <v>5026</v>
      </c>
      <c r="C1399" s="4">
        <v>1399</v>
      </c>
      <c r="D1399" s="4">
        <v>45</v>
      </c>
      <c r="E1399" s="4" t="s">
        <v>2828</v>
      </c>
      <c r="F1399" s="16">
        <v>44765</v>
      </c>
      <c r="G1399" s="5" t="s">
        <v>2827</v>
      </c>
      <c r="H1399" s="5" t="s">
        <v>4978</v>
      </c>
      <c r="I1399" s="24" t="str">
        <f>HYPERLINK("https://www.bilibili.com/video/BV1ta411X75v?p=45", "BV1ta411X75v?p=45")</f>
        <v>BV1ta411X75v?p=45</v>
      </c>
      <c r="J1399" s="4" t="str">
        <f ca="1">_xlfn.IFNA(VLOOKUP(INDIRECT("G"&amp;ROW()),minfo!$A:$M,COLUMN()-8,0),"")</f>
        <v>心动</v>
      </c>
      <c r="K1399" s="4" t="str">
        <f ca="1">_xlfn.IFNA(VLOOKUP(INDIRECT("G"&amp;ROW()),minfo!$A:$M,COLUMN()-8,0),"")</f>
        <v>陈洁仪</v>
      </c>
      <c r="L1399" s="4">
        <f ca="1">_xlfn.IFNA(VLOOKUP(INDIRECT("G"&amp;ROW()),minfo!$A:$M,COLUMN()-8,0),"")</f>
        <v>0</v>
      </c>
      <c r="M1399" s="4">
        <f ca="1">_xlfn.IFNA(VLOOKUP(INDIRECT("G"&amp;ROW()),minfo!$A:$M,COLUMN()-8,0),"")</f>
        <v>0</v>
      </c>
      <c r="N1399" s="4">
        <f ca="1">_xlfn.IFNA(VLOOKUP(INDIRECT("G"&amp;ROW()),minfo!$A:$M,COLUMN()-8,0),"")</f>
        <v>0</v>
      </c>
      <c r="O1399" s="4" t="str">
        <f ca="1">_xlfn.IFNA(VLOOKUP(INDIRECT("G"&amp;ROW()),minfo!$A:$M,COLUMN()-8,0),"")</f>
        <v>http://i0.hdslb.com/bfs/station_src/music_metadata/e87ce66c7e44d0a48c30f39087720af4.jpg</v>
      </c>
      <c r="P1399" s="4" t="str">
        <f ca="1">_xlfn.IFNA(VLOOKUP(INDIRECT("G"&amp;ROW()),minfo!$A:$M,COLUMN()-8,0),"")</f>
        <v>http://i0.hdslb.com/bfs/station_src/music_metadata/54c58b0487fee49aa4b9022383a5c923</v>
      </c>
      <c r="Q1399" s="4">
        <f ca="1">_xlfn.IFNA(VLOOKUP(INDIRECT("G"&amp;ROW()),minfo!$A:$M,COLUMN()-8,0),"")</f>
        <v>83</v>
      </c>
      <c r="R1399" s="4">
        <f ca="1">_xlfn.IFNA(VLOOKUP(INDIRECT("G"&amp;ROW()),minfo!$A:$M,COLUMN()-8,0),"")</f>
        <v>0</v>
      </c>
      <c r="S1399" s="4">
        <f ca="1">_xlfn.IFNA(VLOOKUP(INDIRECT("G"&amp;ROW()),minfo!$A:$M,COLUMN()-8,0),"")</f>
        <v>0</v>
      </c>
      <c r="T1399" s="4">
        <f ca="1">_xlfn.IFNA(VLOOKUP(INDIRECT("G"&amp;ROW()),minfo!$A:$M,COLUMN()-8,0),"")</f>
        <v>39935600</v>
      </c>
      <c r="U1399" s="4">
        <f ca="1">_xlfn.IFNA(VLOOKUP(INDIRECT("G"&amp;ROW()),minfo!$A:$M,COLUMN()-8,0),"")</f>
        <v>0</v>
      </c>
    </row>
    <row r="1400" spans="1:21" ht="15.75" customHeight="1">
      <c r="A1400" s="15">
        <v>1399</v>
      </c>
      <c r="B1400" s="4" t="s">
        <v>5027</v>
      </c>
      <c r="C1400" s="4">
        <v>1400</v>
      </c>
      <c r="D1400" s="4">
        <v>46</v>
      </c>
      <c r="E1400" s="4" t="s">
        <v>573</v>
      </c>
      <c r="F1400" s="16">
        <v>44767</v>
      </c>
      <c r="G1400" s="5" t="s">
        <v>572</v>
      </c>
      <c r="H1400" s="5" t="s">
        <v>4978</v>
      </c>
      <c r="I1400" s="24" t="str">
        <f>HYPERLINK("https://www.bilibili.com/video/BV1ta411X75v?p=46", "BV1ta411X75v?p=46")</f>
        <v>BV1ta411X75v?p=46</v>
      </c>
      <c r="J1400" s="4" t="str">
        <f ca="1">_xlfn.IFNA(VLOOKUP(INDIRECT("G"&amp;ROW()),minfo!$A:$M,COLUMN()-8,0),"")</f>
        <v>红玫瑰</v>
      </c>
      <c r="K1400" s="4" t="str">
        <f ca="1">_xlfn.IFNA(VLOOKUP(INDIRECT("G"&amp;ROW()),minfo!$A:$M,COLUMN()-8,0),"")</f>
        <v>陈奕迅</v>
      </c>
      <c r="L1400" s="4">
        <f ca="1">_xlfn.IFNA(VLOOKUP(INDIRECT("G"&amp;ROW()),minfo!$A:$M,COLUMN()-8,0),"")</f>
        <v>0</v>
      </c>
      <c r="M1400" s="4">
        <f ca="1">_xlfn.IFNA(VLOOKUP(INDIRECT("G"&amp;ROW()),minfo!$A:$M,COLUMN()-8,0),"")</f>
        <v>0</v>
      </c>
      <c r="N1400" s="4">
        <f ca="1">_xlfn.IFNA(VLOOKUP(INDIRECT("G"&amp;ROW()),minfo!$A:$M,COLUMN()-8,0),"")</f>
        <v>0</v>
      </c>
      <c r="O1400" s="4" t="str">
        <f ca="1">_xlfn.IFNA(VLOOKUP(INDIRECT("G"&amp;ROW()),minfo!$A:$M,COLUMN()-8,0),"")</f>
        <v>https://i0.hdslb.com/bfs/station_src/music_metadata/daf19af215835bc6fc2fd9f40df9b04c.jpg</v>
      </c>
      <c r="P1400" s="4" t="str">
        <f ca="1">_xlfn.IFNA(VLOOKUP(INDIRECT("G"&amp;ROW()),minfo!$A:$M,COLUMN()-8,0),"")</f>
        <v>https://i0.hdslb.com/bfs/station_src/music_metadata/b2ebf3e83b28b1a8211f6c0893a42e7a.txt</v>
      </c>
      <c r="Q1400" s="4">
        <f ca="1">_xlfn.IFNA(VLOOKUP(INDIRECT("G"&amp;ROW()),minfo!$A:$M,COLUMN()-8,0),"")</f>
        <v>662</v>
      </c>
      <c r="R1400" s="4">
        <f ca="1">_xlfn.IFNA(VLOOKUP(INDIRECT("G"&amp;ROW()),minfo!$A:$M,COLUMN()-8,0),"")</f>
        <v>0</v>
      </c>
      <c r="S1400" s="4" t="str">
        <f ca="1">_xlfn.IFNA(VLOOKUP(INDIRECT("G"&amp;ROW()),minfo!$A:$M,COLUMN()-8,0),"")</f>
        <v>认了吧</v>
      </c>
      <c r="T1400" s="4">
        <f ca="1">_xlfn.IFNA(VLOOKUP(INDIRECT("G"&amp;ROW()),minfo!$A:$M,COLUMN()-8,0),"")</f>
        <v>297394501</v>
      </c>
      <c r="U1400" s="4">
        <f ca="1">_xlfn.IFNA(VLOOKUP(INDIRECT("G"&amp;ROW()),minfo!$A:$M,COLUMN()-8,0),"")</f>
        <v>0</v>
      </c>
    </row>
    <row r="1401" spans="1:21" ht="15.75" customHeight="1">
      <c r="A1401" s="15">
        <v>1400</v>
      </c>
      <c r="B1401" s="4" t="s">
        <v>5028</v>
      </c>
      <c r="C1401" s="4">
        <v>1401</v>
      </c>
      <c r="D1401" s="4">
        <v>47</v>
      </c>
      <c r="E1401" s="4" t="s">
        <v>1509</v>
      </c>
      <c r="F1401" s="16">
        <v>44767</v>
      </c>
      <c r="G1401" s="5" t="s">
        <v>1508</v>
      </c>
      <c r="H1401" s="5" t="s">
        <v>4978</v>
      </c>
      <c r="I1401" s="24" t="str">
        <f>HYPERLINK("https://www.bilibili.com/video/BV1ta411X75v?p=47", "BV1ta411X75v?p=47")</f>
        <v>BV1ta411X75v?p=47</v>
      </c>
      <c r="J1401" s="4" t="str">
        <f ca="1">_xlfn.IFNA(VLOOKUP(INDIRECT("G"&amp;ROW()),minfo!$A:$M,COLUMN()-8,0),"")</f>
        <v>她说</v>
      </c>
      <c r="K1401" s="4" t="str">
        <f ca="1">_xlfn.IFNA(VLOOKUP(INDIRECT("G"&amp;ROW()),minfo!$A:$M,COLUMN()-8,0),"")</f>
        <v>林俊杰</v>
      </c>
      <c r="L1401" s="4">
        <f ca="1">_xlfn.IFNA(VLOOKUP(INDIRECT("G"&amp;ROW()),minfo!$A:$M,COLUMN()-8,0),"")</f>
        <v>0</v>
      </c>
      <c r="M1401" s="4">
        <f ca="1">_xlfn.IFNA(VLOOKUP(INDIRECT("G"&amp;ROW()),minfo!$A:$M,COLUMN()-8,0),"")</f>
        <v>0</v>
      </c>
      <c r="N1401" s="4">
        <f ca="1">_xlfn.IFNA(VLOOKUP(INDIRECT("G"&amp;ROW()),minfo!$A:$M,COLUMN()-8,0),"")</f>
        <v>0</v>
      </c>
      <c r="O1401" s="4" t="str">
        <f ca="1">_xlfn.IFNA(VLOOKUP(INDIRECT("G"&amp;ROW()),minfo!$A:$M,COLUMN()-8,0),"")</f>
        <v>https://i0.hdslb.com/bfs/station_src/music_metadata/8b4e431d99f3a01b4d163c0902a4b5fd.jpg</v>
      </c>
      <c r="P1401" s="4" t="str">
        <f ca="1">_xlfn.IFNA(VLOOKUP(INDIRECT("G"&amp;ROW()),minfo!$A:$M,COLUMN()-8,0),"")</f>
        <v>http://i0.hdslb.com/bfs/station_src/music_metadata/1b91609d6012828328ba59d53f73b326</v>
      </c>
      <c r="Q1401" s="4">
        <f ca="1">_xlfn.IFNA(VLOOKUP(INDIRECT("G"&amp;ROW()),minfo!$A:$M,COLUMN()-8,0),"")</f>
        <v>675</v>
      </c>
      <c r="R1401" s="4">
        <f ca="1">_xlfn.IFNA(VLOOKUP(INDIRECT("G"&amp;ROW()),minfo!$A:$M,COLUMN()-8,0),"")</f>
        <v>0</v>
      </c>
      <c r="S1401" s="4" t="str">
        <f ca="1">_xlfn.IFNA(VLOOKUP(INDIRECT("G"&amp;ROW()),minfo!$A:$M,COLUMN()-8,0),"")</f>
        <v>她说 概念自选辑</v>
      </c>
      <c r="T1401" s="4">
        <f ca="1">_xlfn.IFNA(VLOOKUP(INDIRECT("G"&amp;ROW()),minfo!$A:$M,COLUMN()-8,0),"")</f>
        <v>252890047</v>
      </c>
      <c r="U1401" s="4">
        <f ca="1">_xlfn.IFNA(VLOOKUP(INDIRECT("G"&amp;ROW()),minfo!$A:$M,COLUMN()-8,0),"")</f>
        <v>0</v>
      </c>
    </row>
    <row r="1402" spans="1:21" ht="15.75" customHeight="1">
      <c r="A1402" s="15">
        <v>1401</v>
      </c>
      <c r="B1402" s="4" t="s">
        <v>5029</v>
      </c>
      <c r="C1402" s="4">
        <v>1402</v>
      </c>
      <c r="D1402" s="4">
        <v>48</v>
      </c>
      <c r="E1402" s="4" t="s">
        <v>4920</v>
      </c>
      <c r="F1402" s="16">
        <v>44767</v>
      </c>
      <c r="G1402" s="5" t="s">
        <v>2831</v>
      </c>
      <c r="H1402" s="5" t="s">
        <v>4978</v>
      </c>
      <c r="I1402" s="24" t="str">
        <f>HYPERLINK("https://www.bilibili.com/video/BV1ta411X75v?p=48", "BV1ta411X75v?p=48")</f>
        <v>BV1ta411X75v?p=48</v>
      </c>
      <c r="J1402" s="4" t="str">
        <f ca="1">_xlfn.IFNA(VLOOKUP(INDIRECT("G"&amp;ROW()),minfo!$A:$M,COLUMN()-8,0),"")</f>
        <v>FLY ME TO THE MOON</v>
      </c>
      <c r="K1402" s="4" t="str">
        <f ca="1">_xlfn.IFNA(VLOOKUP(INDIRECT("G"&amp;ROW()),minfo!$A:$M,COLUMN()-8,0),"")</f>
        <v>林原惠美</v>
      </c>
      <c r="L1402" s="4">
        <f ca="1">_xlfn.IFNA(VLOOKUP(INDIRECT("G"&amp;ROW()),minfo!$A:$M,COLUMN()-8,0),"")</f>
        <v>0</v>
      </c>
      <c r="M1402" s="4">
        <f ca="1">_xlfn.IFNA(VLOOKUP(INDIRECT("G"&amp;ROW()),minfo!$A:$M,COLUMN()-8,0),"")</f>
        <v>0</v>
      </c>
      <c r="N1402" s="4">
        <f ca="1">_xlfn.IFNA(VLOOKUP(INDIRECT("G"&amp;ROW()),minfo!$A:$M,COLUMN()-8,0),"")</f>
        <v>0</v>
      </c>
      <c r="O1402" s="4" t="str">
        <f ca="1">_xlfn.IFNA(VLOOKUP(INDIRECT("G"&amp;ROW()),minfo!$A:$M,COLUMN()-8,0),"")</f>
        <v>https://i0.hdslb.com/bfs/station_src/music_metadata/861100787bfa0808cb4c433309fa1394.jpg</v>
      </c>
      <c r="P1402" s="4" t="str">
        <f ca="1">_xlfn.IFNA(VLOOKUP(INDIRECT("G"&amp;ROW()),minfo!$A:$M,COLUMN()-8,0),"")</f>
        <v>http://i0.hdslb.com/bfs/station_src/music_metadata/c0c22ebc3cc752b2488c1cc84aff0242</v>
      </c>
      <c r="Q1402" s="4">
        <f ca="1">_xlfn.IFNA(VLOOKUP(INDIRECT("G"&amp;ROW()),minfo!$A:$M,COLUMN()-8,0),"")</f>
        <v>1016</v>
      </c>
      <c r="R1402" s="4">
        <f ca="1">_xlfn.IFNA(VLOOKUP(INDIRECT("G"&amp;ROW()),minfo!$A:$M,COLUMN()-8,0),"")</f>
        <v>0</v>
      </c>
      <c r="S1402" s="4" t="str">
        <f ca="1">_xlfn.IFNA(VLOOKUP(INDIRECT("G"&amp;ROW()),minfo!$A:$M,COLUMN()-8,0),"")</f>
        <v>bertemu</v>
      </c>
      <c r="T1402" s="4">
        <f ca="1">_xlfn.IFNA(VLOOKUP(INDIRECT("G"&amp;ROW()),minfo!$A:$M,COLUMN()-8,0),"")</f>
        <v>69264377</v>
      </c>
      <c r="U1402" s="4">
        <f ca="1">_xlfn.IFNA(VLOOKUP(INDIRECT("G"&amp;ROW()),minfo!$A:$M,COLUMN()-8,0),"")</f>
        <v>0</v>
      </c>
    </row>
    <row r="1403" spans="1:21" ht="15.75" customHeight="1">
      <c r="A1403" s="15">
        <v>1402</v>
      </c>
      <c r="B1403" s="4" t="s">
        <v>5030</v>
      </c>
      <c r="C1403" s="4">
        <v>1403</v>
      </c>
      <c r="D1403" s="4">
        <v>49</v>
      </c>
      <c r="E1403" s="4" t="s">
        <v>781</v>
      </c>
      <c r="F1403" s="16">
        <v>44767</v>
      </c>
      <c r="G1403" s="5" t="s">
        <v>780</v>
      </c>
      <c r="H1403" s="5" t="s">
        <v>4978</v>
      </c>
      <c r="I1403" s="24" t="str">
        <f>HYPERLINK("https://www.bilibili.com/video/BV1ta411X75v?p=49", "BV1ta411X75v?p=49")</f>
        <v>BV1ta411X75v?p=49</v>
      </c>
      <c r="J1403" s="4" t="str">
        <f ca="1">_xlfn.IFNA(VLOOKUP(INDIRECT("G"&amp;ROW()),minfo!$A:$M,COLUMN()-8,0),"")</f>
        <v>小小</v>
      </c>
      <c r="K1403" s="4" t="str">
        <f ca="1">_xlfn.IFNA(VLOOKUP(INDIRECT("G"&amp;ROW()),minfo!$A:$M,COLUMN()-8,0),"")</f>
        <v>容祖儿</v>
      </c>
      <c r="L1403" s="4">
        <f ca="1">_xlfn.IFNA(VLOOKUP(INDIRECT("G"&amp;ROW()),minfo!$A:$M,COLUMN()-8,0),"")</f>
        <v>0</v>
      </c>
      <c r="M1403" s="4">
        <f ca="1">_xlfn.IFNA(VLOOKUP(INDIRECT("G"&amp;ROW()),minfo!$A:$M,COLUMN()-8,0),"")</f>
        <v>0</v>
      </c>
      <c r="N1403" s="4">
        <f ca="1">_xlfn.IFNA(VLOOKUP(INDIRECT("G"&amp;ROW()),minfo!$A:$M,COLUMN()-8,0),"")</f>
        <v>0</v>
      </c>
      <c r="O1403" s="4" t="str">
        <f ca="1">_xlfn.IFNA(VLOOKUP(INDIRECT("G"&amp;ROW()),minfo!$A:$M,COLUMN()-8,0),"")</f>
        <v>https://i0.hdslb.com/bfs/station_src/music_metadata/b9d714ef715f7687d8bb23e6a2aba371.jpg</v>
      </c>
      <c r="P1403" s="4" t="str">
        <f ca="1">_xlfn.IFNA(VLOOKUP(INDIRECT("G"&amp;ROW()),minfo!$A:$M,COLUMN()-8,0),"")</f>
        <v>http://i0.hdslb.com/bfs/station_src/music_metadata/bb836ee3f63bcd025917ff09534c243d</v>
      </c>
      <c r="Q1403" s="4">
        <f ca="1">_xlfn.IFNA(VLOOKUP(INDIRECT("G"&amp;ROW()),minfo!$A:$M,COLUMN()-8,0),"")</f>
        <v>668</v>
      </c>
      <c r="R1403" s="4">
        <f ca="1">_xlfn.IFNA(VLOOKUP(INDIRECT("G"&amp;ROW()),minfo!$A:$M,COLUMN()-8,0),"")</f>
        <v>0</v>
      </c>
      <c r="S1403" s="4" t="str">
        <f ca="1">_xlfn.IFNA(VLOOKUP(INDIRECT("G"&amp;ROW()),minfo!$A:$M,COLUMN()-8,0),"")</f>
        <v>小小</v>
      </c>
      <c r="T1403" s="4">
        <f ca="1">_xlfn.IFNA(VLOOKUP(INDIRECT("G"&amp;ROW()),minfo!$A:$M,COLUMN()-8,0),"")</f>
        <v>101119426</v>
      </c>
      <c r="U1403" s="4">
        <f ca="1">_xlfn.IFNA(VLOOKUP(INDIRECT("G"&amp;ROW()),minfo!$A:$M,COLUMN()-8,0),"")</f>
        <v>0</v>
      </c>
    </row>
    <row r="1404" spans="1:21" ht="15.75" customHeight="1">
      <c r="A1404" s="15">
        <v>1403</v>
      </c>
      <c r="B1404" s="4" t="s">
        <v>5031</v>
      </c>
      <c r="C1404" s="4">
        <v>1404</v>
      </c>
      <c r="D1404" s="4">
        <v>50</v>
      </c>
      <c r="E1404" s="4" t="s">
        <v>324</v>
      </c>
      <c r="F1404" s="16">
        <v>44767</v>
      </c>
      <c r="G1404" s="5" t="s">
        <v>323</v>
      </c>
      <c r="H1404" s="5" t="s">
        <v>4978</v>
      </c>
      <c r="I1404" s="24" t="str">
        <f>HYPERLINK("https://www.bilibili.com/video/BV1ta411X75v?p=50", "BV1ta411X75v?p=50")</f>
        <v>BV1ta411X75v?p=50</v>
      </c>
      <c r="J1404" s="4" t="str">
        <f ca="1">_xlfn.IFNA(VLOOKUP(INDIRECT("G"&amp;ROW()),minfo!$A:$M,COLUMN()-8,0),"")</f>
        <v>致你</v>
      </c>
      <c r="K1404" s="4" t="str">
        <f ca="1">_xlfn.IFNA(VLOOKUP(INDIRECT("G"&amp;ROW()),minfo!$A:$M,COLUMN()-8,0),"")</f>
        <v>王赫野</v>
      </c>
      <c r="L1404" s="4">
        <f ca="1">_xlfn.IFNA(VLOOKUP(INDIRECT("G"&amp;ROW()),minfo!$A:$M,COLUMN()-8,0),"")</f>
        <v>0</v>
      </c>
      <c r="M1404" s="4">
        <f ca="1">_xlfn.IFNA(VLOOKUP(INDIRECT("G"&amp;ROW()),minfo!$A:$M,COLUMN()-8,0),"")</f>
        <v>0</v>
      </c>
      <c r="N1404" s="4">
        <f ca="1">_xlfn.IFNA(VLOOKUP(INDIRECT("G"&amp;ROW()),minfo!$A:$M,COLUMN()-8,0),"")</f>
        <v>0</v>
      </c>
      <c r="O1404" s="4" t="str">
        <f ca="1">_xlfn.IFNA(VLOOKUP(INDIRECT("G"&amp;ROW()),minfo!$A:$M,COLUMN()-8,0),"")</f>
        <v>http://i0.hdslb.com/bfs/station_src/music_metadata/683916d89744a5d7c887a277e409cfaf.jpg</v>
      </c>
      <c r="P1404" s="4">
        <f ca="1">_xlfn.IFNA(VLOOKUP(INDIRECT("G"&amp;ROW()),minfo!$A:$M,COLUMN()-8,0),"")</f>
        <v>0</v>
      </c>
      <c r="Q1404" s="4">
        <f ca="1">_xlfn.IFNA(VLOOKUP(INDIRECT("G"&amp;ROW()),minfo!$A:$M,COLUMN()-8,0),"")</f>
        <v>3362</v>
      </c>
      <c r="R1404" s="4">
        <f ca="1">_xlfn.IFNA(VLOOKUP(INDIRECT("G"&amp;ROW()),minfo!$A:$M,COLUMN()-8,0),"")</f>
        <v>0</v>
      </c>
      <c r="S1404" s="4" t="str">
        <f ca="1">_xlfn.IFNA(VLOOKUP(INDIRECT("G"&amp;ROW()),minfo!$A:$M,COLUMN()-8,0),"")</f>
        <v>致你</v>
      </c>
      <c r="T1404" s="4">
        <f ca="1">_xlfn.IFNA(VLOOKUP(INDIRECT("G"&amp;ROW()),minfo!$A:$M,COLUMN()-8,0),"")</f>
        <v>258996748</v>
      </c>
      <c r="U1404" s="4">
        <f ca="1">_xlfn.IFNA(VLOOKUP(INDIRECT("G"&amp;ROW()),minfo!$A:$M,COLUMN()-8,0),"")</f>
        <v>0</v>
      </c>
    </row>
    <row r="1405" spans="1:21" ht="15.75" customHeight="1">
      <c r="A1405" s="15">
        <v>1404</v>
      </c>
      <c r="B1405" s="4" t="s">
        <v>5032</v>
      </c>
      <c r="C1405" s="4">
        <v>1405</v>
      </c>
      <c r="D1405" s="4">
        <v>51</v>
      </c>
      <c r="E1405" s="4" t="s">
        <v>1180</v>
      </c>
      <c r="F1405" s="16">
        <v>44767</v>
      </c>
      <c r="G1405" s="5" t="s">
        <v>1179</v>
      </c>
      <c r="H1405" s="5" t="s">
        <v>4978</v>
      </c>
      <c r="I1405" s="24" t="str">
        <f>HYPERLINK("https://www.bilibili.com/video/BV1ta411X75v?p=51", "BV1ta411X75v?p=51")</f>
        <v>BV1ta411X75v?p=51</v>
      </c>
      <c r="J1405" s="4" t="str">
        <f ca="1">_xlfn.IFNA(VLOOKUP(INDIRECT("G"&amp;ROW()),minfo!$A:$M,COLUMN()-8,0),"")</f>
        <v>真实</v>
      </c>
      <c r="K1405" s="4" t="str">
        <f ca="1">_xlfn.IFNA(VLOOKUP(INDIRECT("G"&amp;ROW()),minfo!$A:$M,COLUMN()-8,0),"")</f>
        <v>张惠妹</v>
      </c>
      <c r="L1405" s="4">
        <f ca="1">_xlfn.IFNA(VLOOKUP(INDIRECT("G"&amp;ROW()),minfo!$A:$M,COLUMN()-8,0),"")</f>
        <v>0</v>
      </c>
      <c r="M1405" s="4">
        <f ca="1">_xlfn.IFNA(VLOOKUP(INDIRECT("G"&amp;ROW()),minfo!$A:$M,COLUMN()-8,0),"")</f>
        <v>0</v>
      </c>
      <c r="N1405" s="4">
        <f ca="1">_xlfn.IFNA(VLOOKUP(INDIRECT("G"&amp;ROW()),minfo!$A:$M,COLUMN()-8,0),"")</f>
        <v>0</v>
      </c>
      <c r="O1405" s="4" t="str">
        <f ca="1">_xlfn.IFNA(VLOOKUP(INDIRECT("G"&amp;ROW()),minfo!$A:$M,COLUMN()-8,0),"")</f>
        <v>https://i0.hdslb.com/bfs/station_src/music_metadata/9f4eabc9a46c0571d7f7f67bb2ebab60.jpg</v>
      </c>
      <c r="P1405" s="4" t="str">
        <f ca="1">_xlfn.IFNA(VLOOKUP(INDIRECT("G"&amp;ROW()),minfo!$A:$M,COLUMN()-8,0),"")</f>
        <v>https://i0.hdslb.com/bfs/station_src/music_metadata/bfc8e2894c10a612c011fcc912b0f45d.txt</v>
      </c>
      <c r="Q1405" s="4">
        <f ca="1">_xlfn.IFNA(VLOOKUP(INDIRECT("G"&amp;ROW()),minfo!$A:$M,COLUMN()-8,0),"")</f>
        <v>17</v>
      </c>
      <c r="R1405" s="4">
        <f ca="1">_xlfn.IFNA(VLOOKUP(INDIRECT("G"&amp;ROW()),minfo!$A:$M,COLUMN()-8,0),"")</f>
        <v>0</v>
      </c>
      <c r="S1405" s="4" t="str">
        <f ca="1">_xlfn.IFNA(VLOOKUP(INDIRECT("G"&amp;ROW()),minfo!$A:$M,COLUMN()-8,0),"")</f>
        <v>真实</v>
      </c>
      <c r="T1405" s="4">
        <f ca="1">_xlfn.IFNA(VLOOKUP(INDIRECT("G"&amp;ROW()),minfo!$A:$M,COLUMN()-8,0),"")</f>
        <v>6260891</v>
      </c>
      <c r="U1405" s="4">
        <f ca="1">_xlfn.IFNA(VLOOKUP(INDIRECT("G"&amp;ROW()),minfo!$A:$M,COLUMN()-8,0),"")</f>
        <v>0</v>
      </c>
    </row>
    <row r="1406" spans="1:21" ht="15.75" customHeight="1">
      <c r="A1406" s="15">
        <v>1405</v>
      </c>
      <c r="B1406" s="4" t="s">
        <v>5033</v>
      </c>
      <c r="C1406" s="4">
        <v>1406</v>
      </c>
      <c r="D1406" s="4">
        <v>52</v>
      </c>
      <c r="E1406" s="4" t="s">
        <v>2838</v>
      </c>
      <c r="F1406" s="16">
        <v>44767</v>
      </c>
      <c r="G1406" s="5" t="s">
        <v>2837</v>
      </c>
      <c r="H1406" s="5" t="s">
        <v>4978</v>
      </c>
      <c r="I1406" s="24" t="str">
        <f>HYPERLINK("https://www.bilibili.com/video/BV1ta411X75v?p=52", "BV1ta411X75v?p=52")</f>
        <v>BV1ta411X75v?p=52</v>
      </c>
      <c r="J1406" s="4" t="str">
        <f ca="1">_xlfn.IFNA(VLOOKUP(INDIRECT("G"&amp;ROW()),minfo!$A:$M,COLUMN()-8,0),"")</f>
        <v>母系社会</v>
      </c>
      <c r="K1406" s="4" t="str">
        <f ca="1">_xlfn.IFNA(VLOOKUP(INDIRECT("G"&amp;ROW()),minfo!$A:$M,COLUMN()-8,0),"")</f>
        <v>张惠妹</v>
      </c>
      <c r="L1406" s="4">
        <f ca="1">_xlfn.IFNA(VLOOKUP(INDIRECT("G"&amp;ROW()),minfo!$A:$M,COLUMN()-8,0),"")</f>
        <v>0</v>
      </c>
      <c r="M1406" s="4">
        <f ca="1">_xlfn.IFNA(VLOOKUP(INDIRECT("G"&amp;ROW()),minfo!$A:$M,COLUMN()-8,0),"")</f>
        <v>0</v>
      </c>
      <c r="N1406" s="4">
        <f ca="1">_xlfn.IFNA(VLOOKUP(INDIRECT("G"&amp;ROW()),minfo!$A:$M,COLUMN()-8,0),"")</f>
        <v>0</v>
      </c>
      <c r="O1406" s="4" t="str">
        <f ca="1">_xlfn.IFNA(VLOOKUP(INDIRECT("G"&amp;ROW()),minfo!$A:$M,COLUMN()-8,0),"")</f>
        <v>http://i0.hdslb.com/bfs/station_src/music_metadata/93235c218317f4f64a265aa204b2808e.jpg</v>
      </c>
      <c r="P1406" s="4" t="str">
        <f ca="1">_xlfn.IFNA(VLOOKUP(INDIRECT("G"&amp;ROW()),minfo!$A:$M,COLUMN()-8,0),"")</f>
        <v>http://i0.hdslb.com/bfs/station_src/music_metadata/cec0a2d924d46321d99a34dde57a3f83</v>
      </c>
      <c r="Q1406" s="4">
        <f ca="1">_xlfn.IFNA(VLOOKUP(INDIRECT("G"&amp;ROW()),minfo!$A:$M,COLUMN()-8,0),"")</f>
        <v>218</v>
      </c>
      <c r="R1406" s="4">
        <f ca="1">_xlfn.IFNA(VLOOKUP(INDIRECT("G"&amp;ROW()),minfo!$A:$M,COLUMN()-8,0),"")</f>
        <v>0</v>
      </c>
      <c r="S1406" s="4" t="str">
        <f ca="1">_xlfn.IFNA(VLOOKUP(INDIRECT("G"&amp;ROW()),minfo!$A:$M,COLUMN()-8,0),"")</f>
        <v>阿密特2</v>
      </c>
      <c r="T1406" s="4">
        <f ca="1">_xlfn.IFNA(VLOOKUP(INDIRECT("G"&amp;ROW()),minfo!$A:$M,COLUMN()-8,0),"")</f>
        <v>135606370</v>
      </c>
      <c r="U1406" s="4">
        <f ca="1">_xlfn.IFNA(VLOOKUP(INDIRECT("G"&amp;ROW()),minfo!$A:$M,COLUMN()-8,0),"")</f>
        <v>0</v>
      </c>
    </row>
    <row r="1407" spans="1:21" ht="15.75" customHeight="1">
      <c r="A1407" s="15">
        <v>1406</v>
      </c>
      <c r="B1407" s="4" t="s">
        <v>5034</v>
      </c>
      <c r="C1407" s="4">
        <v>1407</v>
      </c>
      <c r="D1407" s="4">
        <v>53</v>
      </c>
      <c r="E1407" s="4" t="s">
        <v>2322</v>
      </c>
      <c r="F1407" s="16">
        <v>44767</v>
      </c>
      <c r="G1407" s="5" t="s">
        <v>2321</v>
      </c>
      <c r="H1407" s="5" t="s">
        <v>4978</v>
      </c>
      <c r="I1407" s="24" t="str">
        <f>HYPERLINK("https://www.bilibili.com/video/BV1ta411X75v?p=53", "BV1ta411X75v?p=53")</f>
        <v>BV1ta411X75v?p=53</v>
      </c>
      <c r="J1407" s="4" t="str">
        <f ca="1">_xlfn.IFNA(VLOOKUP(INDIRECT("G"&amp;ROW()),minfo!$A:$M,COLUMN()-8,0),"")</f>
        <v>宝贝</v>
      </c>
      <c r="K1407" s="4" t="str">
        <f ca="1">_xlfn.IFNA(VLOOKUP(INDIRECT("G"&amp;ROW()),minfo!$A:$M,COLUMN()-8,0),"")</f>
        <v>张悬</v>
      </c>
      <c r="L1407" s="4">
        <f ca="1">_xlfn.IFNA(VLOOKUP(INDIRECT("G"&amp;ROW()),minfo!$A:$M,COLUMN()-8,0),"")</f>
        <v>0</v>
      </c>
      <c r="M1407" s="4">
        <f ca="1">_xlfn.IFNA(VLOOKUP(INDIRECT("G"&amp;ROW()),minfo!$A:$M,COLUMN()-8,0),"")</f>
        <v>0</v>
      </c>
      <c r="N1407" s="4">
        <f ca="1">_xlfn.IFNA(VLOOKUP(INDIRECT("G"&amp;ROW()),minfo!$A:$M,COLUMN()-8,0),"")</f>
        <v>0</v>
      </c>
      <c r="O1407" s="4" t="str">
        <f ca="1">_xlfn.IFNA(VLOOKUP(INDIRECT("G"&amp;ROW()),minfo!$A:$M,COLUMN()-8,0),"")</f>
        <v>https://i0.hdslb.com/bfs/station_src/music_metadata/7d0b1aa106b4a6a94bc0ffdd78a1ad23.jpg</v>
      </c>
      <c r="P1407" s="4" t="str">
        <f ca="1">_xlfn.IFNA(VLOOKUP(INDIRECT("G"&amp;ROW()),minfo!$A:$M,COLUMN()-8,0),"")</f>
        <v>https://i0.hdslb.com/bfs/station_src/music_metadata/cdce23b8d73a5ec76812a5995cbc22fa.txt</v>
      </c>
      <c r="Q1407" s="4">
        <f ca="1">_xlfn.IFNA(VLOOKUP(INDIRECT("G"&amp;ROW()),minfo!$A:$M,COLUMN()-8,0),"")</f>
        <v>185</v>
      </c>
      <c r="R1407" s="4">
        <f ca="1">_xlfn.IFNA(VLOOKUP(INDIRECT("G"&amp;ROW()),minfo!$A:$M,COLUMN()-8,0),"")</f>
        <v>0</v>
      </c>
      <c r="S1407" s="4" t="str">
        <f ca="1">_xlfn.IFNA(VLOOKUP(INDIRECT("G"&amp;ROW()),minfo!$A:$M,COLUMN()-8,0),"")</f>
        <v>my life will…</v>
      </c>
      <c r="T1407" s="4">
        <f ca="1">_xlfn.IFNA(VLOOKUP(INDIRECT("G"&amp;ROW()),minfo!$A:$M,COLUMN()-8,0),"")</f>
        <v>91894714</v>
      </c>
      <c r="U1407" s="4">
        <f ca="1">_xlfn.IFNA(VLOOKUP(INDIRECT("G"&amp;ROW()),minfo!$A:$M,COLUMN()-8,0),"")</f>
        <v>0</v>
      </c>
    </row>
    <row r="1408" spans="1:21" ht="15.75" customHeight="1">
      <c r="A1408" s="15">
        <v>1407</v>
      </c>
      <c r="B1408" s="4" t="s">
        <v>5035</v>
      </c>
      <c r="C1408" s="4">
        <v>1408</v>
      </c>
      <c r="D1408" s="4">
        <v>54</v>
      </c>
      <c r="E1408" s="4" t="s">
        <v>2623</v>
      </c>
      <c r="F1408" s="16">
        <v>44769</v>
      </c>
      <c r="G1408" s="5" t="s">
        <v>2622</v>
      </c>
      <c r="H1408" s="5" t="s">
        <v>4978</v>
      </c>
      <c r="I1408" s="24" t="str">
        <f>HYPERLINK("https://www.bilibili.com/video/BV1ta411X75v?p=54", "BV1ta411X75v?p=54")</f>
        <v>BV1ta411X75v?p=54</v>
      </c>
      <c r="J1408" s="4" t="str">
        <f ca="1">_xlfn.IFNA(VLOOKUP(INDIRECT("G"&amp;ROW()),minfo!$A:$M,COLUMN()-8,0),"")</f>
        <v>蓝眼睛</v>
      </c>
      <c r="K1408" s="4" t="str">
        <f ca="1">_xlfn.IFNA(VLOOKUP(INDIRECT("G"&amp;ROW()),minfo!$A:$M,COLUMN()-8,0),"")</f>
        <v>张韶涵,苏打绿</v>
      </c>
      <c r="L1408" s="4">
        <f ca="1">_xlfn.IFNA(VLOOKUP(INDIRECT("G"&amp;ROW()),minfo!$A:$M,COLUMN()-8,0),"")</f>
        <v>0</v>
      </c>
      <c r="M1408" s="4">
        <f ca="1">_xlfn.IFNA(VLOOKUP(INDIRECT("G"&amp;ROW()),minfo!$A:$M,COLUMN()-8,0),"")</f>
        <v>0</v>
      </c>
      <c r="N1408" s="4">
        <f ca="1">_xlfn.IFNA(VLOOKUP(INDIRECT("G"&amp;ROW()),minfo!$A:$M,COLUMN()-8,0),"")</f>
        <v>0</v>
      </c>
      <c r="O1408" s="4" t="str">
        <f ca="1">_xlfn.IFNA(VLOOKUP(INDIRECT("G"&amp;ROW()),minfo!$A:$M,COLUMN()-8,0),"")</f>
        <v>https://i0.hdslb.com/bfs/station_src/music_metadata/0de9a5b749cdf538b8d77be5c12be0f7.jpg</v>
      </c>
      <c r="P1408" s="4" t="str">
        <f ca="1">_xlfn.IFNA(VLOOKUP(INDIRECT("G"&amp;ROW()),minfo!$A:$M,COLUMN()-8,0),"")</f>
        <v>https://i0.hdslb.com/bfs/station_src/music_metadata/4fddaec45c983582e65894c26c294d3d.txt</v>
      </c>
      <c r="Q1408" s="4">
        <f ca="1">_xlfn.IFNA(VLOOKUP(INDIRECT("G"&amp;ROW()),minfo!$A:$M,COLUMN()-8,0),"")</f>
        <v>4</v>
      </c>
      <c r="R1408" s="4">
        <f ca="1">_xlfn.IFNA(VLOOKUP(INDIRECT("G"&amp;ROW()),minfo!$A:$M,COLUMN()-8,0),"")</f>
        <v>0</v>
      </c>
      <c r="S1408" s="4" t="str">
        <f ca="1">_xlfn.IFNA(VLOOKUP(INDIRECT("G"&amp;ROW()),minfo!$A:$M,COLUMN()-8,0),"")</f>
        <v>蓝眼睛</v>
      </c>
      <c r="T1408" s="4">
        <f ca="1">_xlfn.IFNA(VLOOKUP(INDIRECT("G"&amp;ROW()),minfo!$A:$M,COLUMN()-8,0),"")</f>
        <v>3366421</v>
      </c>
      <c r="U1408" s="4">
        <f ca="1">_xlfn.IFNA(VLOOKUP(INDIRECT("G"&amp;ROW()),minfo!$A:$M,COLUMN()-8,0),"")</f>
        <v>0</v>
      </c>
    </row>
    <row r="1409" spans="1:21" ht="15.75" customHeight="1">
      <c r="A1409" s="15">
        <v>1408</v>
      </c>
      <c r="B1409" s="4" t="s">
        <v>5036</v>
      </c>
      <c r="C1409" s="4">
        <v>1409</v>
      </c>
      <c r="D1409" s="4">
        <v>55</v>
      </c>
      <c r="E1409" s="4" t="s">
        <v>812</v>
      </c>
      <c r="F1409" s="16">
        <v>44769</v>
      </c>
      <c r="G1409" s="5" t="s">
        <v>811</v>
      </c>
      <c r="H1409" s="5" t="s">
        <v>4978</v>
      </c>
      <c r="I1409" s="24" t="str">
        <f>HYPERLINK("https://www.bilibili.com/video/BV1ta411X75v?p=55", "BV1ta411X75v?p=55")</f>
        <v>BV1ta411X75v?p=55</v>
      </c>
      <c r="J1409" s="4" t="str">
        <f ca="1">_xlfn.IFNA(VLOOKUP(INDIRECT("G"&amp;ROW()),minfo!$A:$M,COLUMN()-8,0),"")</f>
        <v>下雨的夜晚</v>
      </c>
      <c r="K1409" s="4" t="str">
        <f ca="1">_xlfn.IFNA(VLOOKUP(INDIRECT("G"&amp;ROW()),minfo!$A:$M,COLUMN()-8,0),"")</f>
        <v>苏打绿</v>
      </c>
      <c r="L1409" s="4">
        <f ca="1">_xlfn.IFNA(VLOOKUP(INDIRECT("G"&amp;ROW()),minfo!$A:$M,COLUMN()-8,0),"")</f>
        <v>0</v>
      </c>
      <c r="M1409" s="4">
        <f ca="1">_xlfn.IFNA(VLOOKUP(INDIRECT("G"&amp;ROW()),minfo!$A:$M,COLUMN()-8,0),"")</f>
        <v>0</v>
      </c>
      <c r="N1409" s="4">
        <f ca="1">_xlfn.IFNA(VLOOKUP(INDIRECT("G"&amp;ROW()),minfo!$A:$M,COLUMN()-8,0),"")</f>
        <v>0</v>
      </c>
      <c r="O1409" s="4" t="str">
        <f ca="1">_xlfn.IFNA(VLOOKUP(INDIRECT("G"&amp;ROW()),minfo!$A:$M,COLUMN()-8,0),"")</f>
        <v>https://i0.hdslb.com/bfs/station_src/music_metadata/515892bd2a4d344caf93fec714c813be.jpg</v>
      </c>
      <c r="P1409" s="4">
        <f ca="1">_xlfn.IFNA(VLOOKUP(INDIRECT("G"&amp;ROW()),minfo!$A:$M,COLUMN()-8,0),"")</f>
        <v>0</v>
      </c>
      <c r="Q1409" s="4">
        <f ca="1">_xlfn.IFNA(VLOOKUP(INDIRECT("G"&amp;ROW()),minfo!$A:$M,COLUMN()-8,0),"")</f>
        <v>14</v>
      </c>
      <c r="R1409" s="4">
        <f ca="1">_xlfn.IFNA(VLOOKUP(INDIRECT("G"&amp;ROW()),minfo!$A:$M,COLUMN()-8,0),"")</f>
        <v>0</v>
      </c>
      <c r="S1409" s="4" t="str">
        <f ca="1">_xlfn.IFNA(VLOOKUP(INDIRECT("G"&amp;ROW()),minfo!$A:$M,COLUMN()-8,0),"")</f>
        <v>冬 未了</v>
      </c>
      <c r="T1409" s="4">
        <f ca="1">_xlfn.IFNA(VLOOKUP(INDIRECT("G"&amp;ROW()),minfo!$A:$M,COLUMN()-8,0),"")</f>
        <v>3649724</v>
      </c>
      <c r="U1409" s="4">
        <f ca="1">_xlfn.IFNA(VLOOKUP(INDIRECT("G"&amp;ROW()),minfo!$A:$M,COLUMN()-8,0),"")</f>
        <v>0</v>
      </c>
    </row>
    <row r="1410" spans="1:21" ht="15.75" customHeight="1">
      <c r="A1410" s="15">
        <v>1409</v>
      </c>
      <c r="B1410" s="4" t="s">
        <v>5037</v>
      </c>
      <c r="C1410" s="4">
        <v>1410</v>
      </c>
      <c r="D1410" s="4">
        <v>56</v>
      </c>
      <c r="E1410" s="4" t="s">
        <v>2189</v>
      </c>
      <c r="F1410" s="16">
        <v>44769</v>
      </c>
      <c r="G1410" s="5" t="s">
        <v>2188</v>
      </c>
      <c r="H1410" s="5" t="s">
        <v>4978</v>
      </c>
      <c r="I1410" s="24" t="str">
        <f>HYPERLINK("https://www.bilibili.com/video/BV1ta411X75v?p=56", "BV1ta411X75v?p=56")</f>
        <v>BV1ta411X75v?p=56</v>
      </c>
      <c r="J1410" s="4" t="str">
        <f ca="1">_xlfn.IFNA(VLOOKUP(INDIRECT("G"&amp;ROW()),minfo!$A:$M,COLUMN()-8,0),"")</f>
        <v>无与伦比的美丽</v>
      </c>
      <c r="K1410" s="4" t="str">
        <f ca="1">_xlfn.IFNA(VLOOKUP(INDIRECT("G"&amp;ROW()),minfo!$A:$M,COLUMN()-8,0),"")</f>
        <v>苏打绿</v>
      </c>
      <c r="L1410" s="4">
        <f ca="1">_xlfn.IFNA(VLOOKUP(INDIRECT("G"&amp;ROW()),minfo!$A:$M,COLUMN()-8,0),"")</f>
        <v>0</v>
      </c>
      <c r="M1410" s="4">
        <f ca="1">_xlfn.IFNA(VLOOKUP(INDIRECT("G"&amp;ROW()),minfo!$A:$M,COLUMN()-8,0),"")</f>
        <v>0</v>
      </c>
      <c r="N1410" s="4">
        <f ca="1">_xlfn.IFNA(VLOOKUP(INDIRECT("G"&amp;ROW()),minfo!$A:$M,COLUMN()-8,0),"")</f>
        <v>0</v>
      </c>
      <c r="O1410" s="4" t="str">
        <f ca="1">_xlfn.IFNA(VLOOKUP(INDIRECT("G"&amp;ROW()),minfo!$A:$M,COLUMN()-8,0),"")</f>
        <v>https://i0.hdslb.com/bfs/station_src/music_metadata/1ae4d73925ac180dfcc11b0564d7b0c6.jpg</v>
      </c>
      <c r="P1410" s="4" t="str">
        <f ca="1">_xlfn.IFNA(VLOOKUP(INDIRECT("G"&amp;ROW()),minfo!$A:$M,COLUMN()-8,0),"")</f>
        <v>https://i0.hdslb.com/bfs/station_src/music_metadata/837fc03670cecb734e00da7c39983313.txt</v>
      </c>
      <c r="Q1410" s="4">
        <f ca="1">_xlfn.IFNA(VLOOKUP(INDIRECT("G"&amp;ROW()),minfo!$A:$M,COLUMN()-8,0),"")</f>
        <v>290</v>
      </c>
      <c r="R1410" s="4">
        <f ca="1">_xlfn.IFNA(VLOOKUP(INDIRECT("G"&amp;ROW()),minfo!$A:$M,COLUMN()-8,0),"")</f>
        <v>0</v>
      </c>
      <c r="S1410" s="4" t="str">
        <f ca="1">_xlfn.IFNA(VLOOKUP(INDIRECT("G"&amp;ROW()),minfo!$A:$M,COLUMN()-8,0),"")</f>
        <v>Walk Together Live 2012台北小巨蛋演唱会</v>
      </c>
      <c r="T1410" s="4">
        <f ca="1">_xlfn.IFNA(VLOOKUP(INDIRECT("G"&amp;ROW()),minfo!$A:$M,COLUMN()-8,0),"")</f>
        <v>53246846</v>
      </c>
      <c r="U1410" s="4">
        <f ca="1">_xlfn.IFNA(VLOOKUP(INDIRECT("G"&amp;ROW()),minfo!$A:$M,COLUMN()-8,0),"")</f>
        <v>0</v>
      </c>
    </row>
    <row r="1411" spans="1:21" ht="15.75" customHeight="1">
      <c r="A1411" s="15">
        <v>1410</v>
      </c>
      <c r="B1411" s="4" t="s">
        <v>5038</v>
      </c>
      <c r="C1411" s="4">
        <v>1411</v>
      </c>
      <c r="D1411" s="4">
        <v>57</v>
      </c>
      <c r="E1411" s="4" t="s">
        <v>2193</v>
      </c>
      <c r="F1411" s="16">
        <v>44769</v>
      </c>
      <c r="G1411" s="5" t="s">
        <v>2192</v>
      </c>
      <c r="H1411" s="5" t="s">
        <v>4978</v>
      </c>
      <c r="I1411" s="24" t="str">
        <f>HYPERLINK("https://www.bilibili.com/video/BV1ta411X75v?p=57", "BV1ta411X75v?p=57")</f>
        <v>BV1ta411X75v?p=57</v>
      </c>
      <c r="J1411" s="4" t="str">
        <f ca="1">_xlfn.IFNA(VLOOKUP(INDIRECT("G"&amp;ROW()),minfo!$A:$M,COLUMN()-8,0),"")</f>
        <v>小情歌</v>
      </c>
      <c r="K1411" s="4" t="str">
        <f ca="1">_xlfn.IFNA(VLOOKUP(INDIRECT("G"&amp;ROW()),minfo!$A:$M,COLUMN()-8,0),"")</f>
        <v>苏打绿</v>
      </c>
      <c r="L1411" s="4">
        <f ca="1">_xlfn.IFNA(VLOOKUP(INDIRECT("G"&amp;ROW()),minfo!$A:$M,COLUMN()-8,0),"")</f>
        <v>0</v>
      </c>
      <c r="M1411" s="4">
        <f ca="1">_xlfn.IFNA(VLOOKUP(INDIRECT("G"&amp;ROW()),minfo!$A:$M,COLUMN()-8,0),"")</f>
        <v>0</v>
      </c>
      <c r="N1411" s="4">
        <f ca="1">_xlfn.IFNA(VLOOKUP(INDIRECT("G"&amp;ROW()),minfo!$A:$M,COLUMN()-8,0),"")</f>
        <v>0</v>
      </c>
      <c r="O1411" s="4" t="str">
        <f ca="1">_xlfn.IFNA(VLOOKUP(INDIRECT("G"&amp;ROW()),minfo!$A:$M,COLUMN()-8,0),"")</f>
        <v>http://i0.hdslb.com/bfs/station_src/music_metadata/0886ac0210a422030579ac9cd9022f11.jpg</v>
      </c>
      <c r="P1411" s="4">
        <f ca="1">_xlfn.IFNA(VLOOKUP(INDIRECT("G"&amp;ROW()),minfo!$A:$M,COLUMN()-8,0),"")</f>
        <v>0</v>
      </c>
      <c r="Q1411" s="4">
        <f ca="1">_xlfn.IFNA(VLOOKUP(INDIRECT("G"&amp;ROW()),minfo!$A:$M,COLUMN()-8,0),"")</f>
        <v>712</v>
      </c>
      <c r="R1411" s="4">
        <f ca="1">_xlfn.IFNA(VLOOKUP(INDIRECT("G"&amp;ROW()),minfo!$A:$M,COLUMN()-8,0),"")</f>
        <v>0</v>
      </c>
      <c r="S1411" s="4" t="str">
        <f ca="1">_xlfn.IFNA(VLOOKUP(INDIRECT("G"&amp;ROW()),minfo!$A:$M,COLUMN()-8,0),"")</f>
        <v>小宇宙</v>
      </c>
      <c r="T1411" s="4">
        <f ca="1">_xlfn.IFNA(VLOOKUP(INDIRECT("G"&amp;ROW()),minfo!$A:$M,COLUMN()-8,0),"")</f>
        <v>278023474</v>
      </c>
      <c r="U1411" s="4">
        <f ca="1">_xlfn.IFNA(VLOOKUP(INDIRECT("G"&amp;ROW()),minfo!$A:$M,COLUMN()-8,0),"")</f>
        <v>0</v>
      </c>
    </row>
    <row r="1412" spans="1:21" ht="15.75" customHeight="1">
      <c r="A1412" s="15">
        <v>1411</v>
      </c>
      <c r="B1412" s="4" t="s">
        <v>5039</v>
      </c>
      <c r="C1412" s="4">
        <v>1412</v>
      </c>
      <c r="D1412" s="4">
        <v>58</v>
      </c>
      <c r="E1412" s="4" t="s">
        <v>960</v>
      </c>
      <c r="F1412" s="16">
        <v>44769</v>
      </c>
      <c r="G1412" s="5" t="s">
        <v>959</v>
      </c>
      <c r="H1412" s="5" t="s">
        <v>4978</v>
      </c>
      <c r="I1412" s="24" t="str">
        <f>HYPERLINK("https://www.bilibili.com/video/BV1ta411X75v?p=58", "BV1ta411X75v?p=58")</f>
        <v>BV1ta411X75v?p=58</v>
      </c>
      <c r="J1412" s="4" t="str">
        <f ca="1">_xlfn.IFNA(VLOOKUP(INDIRECT("G"&amp;ROW()),minfo!$A:$M,COLUMN()-8,0),"")</f>
        <v>带我走</v>
      </c>
      <c r="K1412" s="4" t="str">
        <f ca="1">_xlfn.IFNA(VLOOKUP(INDIRECT("G"&amp;ROW()),minfo!$A:$M,COLUMN()-8,0),"")</f>
        <v>杨丞琳,吴青峰</v>
      </c>
      <c r="L1412" s="4">
        <f ca="1">_xlfn.IFNA(VLOOKUP(INDIRECT("G"&amp;ROW()),minfo!$A:$M,COLUMN()-8,0),"")</f>
        <v>0</v>
      </c>
      <c r="M1412" s="4">
        <f ca="1">_xlfn.IFNA(VLOOKUP(INDIRECT("G"&amp;ROW()),minfo!$A:$M,COLUMN()-8,0),"")</f>
        <v>518</v>
      </c>
      <c r="N1412" s="4">
        <f ca="1">_xlfn.IFNA(VLOOKUP(INDIRECT("G"&amp;ROW()),minfo!$A:$M,COLUMN()-8,0),"")</f>
        <v>145</v>
      </c>
      <c r="O1412" s="4" t="str">
        <f ca="1">_xlfn.IFNA(VLOOKUP(INDIRECT("G"&amp;ROW()),minfo!$A:$M,COLUMN()-8,0),"")</f>
        <v>http://i0.hdslb.com/bfs/station_src/music_metadata/2e11b5422ed3f3a27ffc1f5e38246a69.jpg</v>
      </c>
      <c r="P1412" s="4" t="str">
        <f ca="1">_xlfn.IFNA(VLOOKUP(INDIRECT("G"&amp;ROW()),minfo!$A:$M,COLUMN()-8,0),"")</f>
        <v>https://i0.hdslb.com/bfs/station_src/music_metadata/b65990afa3b9671cd36f6915d8146ed7.txt</v>
      </c>
      <c r="Q1412" s="4">
        <f ca="1">_xlfn.IFNA(VLOOKUP(INDIRECT("G"&amp;ROW()),minfo!$A:$M,COLUMN()-8,0),"")</f>
        <v>473</v>
      </c>
      <c r="R1412" s="4">
        <f ca="1">_xlfn.IFNA(VLOOKUP(INDIRECT("G"&amp;ROW()),minfo!$A:$M,COLUMN()-8,0),"")</f>
        <v>0</v>
      </c>
      <c r="S1412" s="4" t="str">
        <f ca="1">_xlfn.IFNA(VLOOKUP(INDIRECT("G"&amp;ROW()),minfo!$A:$M,COLUMN()-8,0),"")</f>
        <v>半熟宣言</v>
      </c>
      <c r="T1412" s="4">
        <f ca="1">_xlfn.IFNA(VLOOKUP(INDIRECT("G"&amp;ROW()),minfo!$A:$M,COLUMN()-8,0),"")</f>
        <v>115959006</v>
      </c>
      <c r="U1412" s="4">
        <f ca="1">_xlfn.IFNA(VLOOKUP(INDIRECT("G"&amp;ROW()),minfo!$A:$M,COLUMN()-8,0),"")</f>
        <v>0</v>
      </c>
    </row>
    <row r="1413" spans="1:21" ht="15.75" customHeight="1">
      <c r="A1413" s="15">
        <v>1412</v>
      </c>
      <c r="B1413" s="4" t="s">
        <v>5040</v>
      </c>
      <c r="C1413" s="4">
        <v>1413</v>
      </c>
      <c r="D1413" s="4">
        <v>59</v>
      </c>
      <c r="E1413" s="4" t="s">
        <v>1255</v>
      </c>
      <c r="F1413" s="16">
        <v>44769</v>
      </c>
      <c r="G1413" s="5" t="s">
        <v>1254</v>
      </c>
      <c r="H1413" s="5" t="s">
        <v>4978</v>
      </c>
      <c r="I1413" s="24" t="str">
        <f>HYPERLINK("https://www.bilibili.com/video/BV1ta411X75v?p=59", "BV1ta411X75v?p=59")</f>
        <v>BV1ta411X75v?p=59</v>
      </c>
      <c r="J1413" s="4" t="str">
        <f ca="1">_xlfn.IFNA(VLOOKUP(INDIRECT("G"&amp;ROW()),minfo!$A:$M,COLUMN()-8,0),"")</f>
        <v>频率</v>
      </c>
      <c r="K1413" s="4" t="str">
        <f ca="1">_xlfn.IFNA(VLOOKUP(INDIRECT("G"&amp;ROW()),minfo!$A:$M,COLUMN()-8,0),"")</f>
        <v>苏打绿</v>
      </c>
      <c r="L1413" s="4">
        <f ca="1">_xlfn.IFNA(VLOOKUP(INDIRECT("G"&amp;ROW()),minfo!$A:$M,COLUMN()-8,0),"")</f>
        <v>0</v>
      </c>
      <c r="M1413" s="4">
        <f ca="1">_xlfn.IFNA(VLOOKUP(INDIRECT("G"&amp;ROW()),minfo!$A:$M,COLUMN()-8,0),"")</f>
        <v>0</v>
      </c>
      <c r="N1413" s="4">
        <f ca="1">_xlfn.IFNA(VLOOKUP(INDIRECT("G"&amp;ROW()),minfo!$A:$M,COLUMN()-8,0),"")</f>
        <v>0</v>
      </c>
      <c r="O1413" s="4" t="str">
        <f ca="1">_xlfn.IFNA(VLOOKUP(INDIRECT("G"&amp;ROW()),minfo!$A:$M,COLUMN()-8,0),"")</f>
        <v>http://i0.hdslb.com/bfs/station_src/music_metadata/d355dd715b57d78b55b55bafc618fa13.jpg</v>
      </c>
      <c r="P1413" s="4" t="str">
        <f ca="1">_xlfn.IFNA(VLOOKUP(INDIRECT("G"&amp;ROW()),minfo!$A:$M,COLUMN()-8,0),"")</f>
        <v>https://i0.hdslb.com/bfs/station_src/music_metadata/f0e4923aa68dd06d7470f9e57ad496f2.txt</v>
      </c>
      <c r="Q1413" s="4">
        <f ca="1">_xlfn.IFNA(VLOOKUP(INDIRECT("G"&amp;ROW()),minfo!$A:$M,COLUMN()-8,0),"")</f>
        <v>11</v>
      </c>
      <c r="R1413" s="4">
        <f ca="1">_xlfn.IFNA(VLOOKUP(INDIRECT("G"&amp;ROW()),minfo!$A:$M,COLUMN()-8,0),"")</f>
        <v>0</v>
      </c>
      <c r="S1413" s="4">
        <f ca="1">_xlfn.IFNA(VLOOKUP(INDIRECT("G"&amp;ROW()),minfo!$A:$M,COLUMN()-8,0),"")</f>
        <v>0</v>
      </c>
      <c r="T1413" s="4">
        <f ca="1">_xlfn.IFNA(VLOOKUP(INDIRECT("G"&amp;ROW()),minfo!$A:$M,COLUMN()-8,0),"")</f>
        <v>4994709</v>
      </c>
      <c r="U1413" s="4">
        <f ca="1">_xlfn.IFNA(VLOOKUP(INDIRECT("G"&amp;ROW()),minfo!$A:$M,COLUMN()-8,0),"")</f>
        <v>0</v>
      </c>
    </row>
    <row r="1414" spans="1:21" ht="15.75" customHeight="1">
      <c r="A1414" s="15">
        <v>1413</v>
      </c>
      <c r="B1414" s="4" t="s">
        <v>5041</v>
      </c>
      <c r="C1414" s="4">
        <v>1414</v>
      </c>
      <c r="D1414" s="4">
        <v>60</v>
      </c>
      <c r="E1414" s="4" t="s">
        <v>404</v>
      </c>
      <c r="F1414" s="16">
        <v>44769</v>
      </c>
      <c r="G1414" s="5" t="s">
        <v>403</v>
      </c>
      <c r="H1414" s="5" t="s">
        <v>4978</v>
      </c>
      <c r="I1414" s="24" t="str">
        <f>HYPERLINK("https://www.bilibili.com/video/BV1ta411X75v?p=60", "BV1ta411X75v?p=60")</f>
        <v>BV1ta411X75v?p=60</v>
      </c>
      <c r="J1414" s="4" t="str">
        <f ca="1">_xlfn.IFNA(VLOOKUP(INDIRECT("G"&amp;ROW()),minfo!$A:$M,COLUMN()-8,0),"")</f>
        <v>无眠</v>
      </c>
      <c r="K1414" s="4" t="str">
        <f ca="1">_xlfn.IFNA(VLOOKUP(INDIRECT("G"&amp;ROW()),minfo!$A:$M,COLUMN()-8,0),"")</f>
        <v>苏打绿</v>
      </c>
      <c r="L1414" s="4">
        <f ca="1">_xlfn.IFNA(VLOOKUP(INDIRECT("G"&amp;ROW()),minfo!$A:$M,COLUMN()-8,0),"")</f>
        <v>0</v>
      </c>
      <c r="M1414" s="4">
        <f ca="1">_xlfn.IFNA(VLOOKUP(INDIRECT("G"&amp;ROW()),minfo!$A:$M,COLUMN()-8,0),"")</f>
        <v>0</v>
      </c>
      <c r="N1414" s="4">
        <f ca="1">_xlfn.IFNA(VLOOKUP(INDIRECT("G"&amp;ROW()),minfo!$A:$M,COLUMN()-8,0),"")</f>
        <v>0</v>
      </c>
      <c r="O1414" s="4" t="str">
        <f ca="1">_xlfn.IFNA(VLOOKUP(INDIRECT("G"&amp;ROW()),minfo!$A:$M,COLUMN()-8,0),"")</f>
        <v>https://i0.hdslb.com/bfs/station_src/music_metadata/ce381d40d5668fce4078b49734ac5df3.jpg</v>
      </c>
      <c r="P1414" s="4" t="str">
        <f ca="1">_xlfn.IFNA(VLOOKUP(INDIRECT("G"&amp;ROW()),minfo!$A:$M,COLUMN()-8,0),"")</f>
        <v>https://i0.hdslb.com/bfs/station_src/music_metadata/a10d73e7a113caa92a4fe727f216eb73.txt</v>
      </c>
      <c r="Q1414" s="4">
        <f ca="1">_xlfn.IFNA(VLOOKUP(INDIRECT("G"&amp;ROW()),minfo!$A:$M,COLUMN()-8,0),"")</f>
        <v>29</v>
      </c>
      <c r="R1414" s="4">
        <f ca="1">_xlfn.IFNA(VLOOKUP(INDIRECT("G"&amp;ROW()),minfo!$A:$M,COLUMN()-8,0),"")</f>
        <v>0</v>
      </c>
      <c r="S1414" s="4" t="str">
        <f ca="1">_xlfn.IFNA(VLOOKUP(INDIRECT("G"&amp;ROW()),minfo!$A:$M,COLUMN()-8,0),"")</f>
        <v>音乐零时差-57</v>
      </c>
      <c r="T1414" s="4">
        <f ca="1">_xlfn.IFNA(VLOOKUP(INDIRECT("G"&amp;ROW()),minfo!$A:$M,COLUMN()-8,0),"")</f>
        <v>4935297</v>
      </c>
      <c r="U1414" s="4">
        <f ca="1">_xlfn.IFNA(VLOOKUP(INDIRECT("G"&amp;ROW()),minfo!$A:$M,COLUMN()-8,0),"")</f>
        <v>0</v>
      </c>
    </row>
    <row r="1415" spans="1:21" ht="15.75" customHeight="1">
      <c r="A1415" s="15">
        <v>1414</v>
      </c>
      <c r="B1415" s="4" t="s">
        <v>5042</v>
      </c>
      <c r="C1415" s="4">
        <v>1415</v>
      </c>
      <c r="D1415" s="4">
        <v>61</v>
      </c>
      <c r="E1415" s="4" t="s">
        <v>477</v>
      </c>
      <c r="F1415" s="16">
        <v>44769</v>
      </c>
      <c r="G1415" s="5" t="s">
        <v>476</v>
      </c>
      <c r="H1415" s="5" t="s">
        <v>4978</v>
      </c>
      <c r="I1415" s="24" t="str">
        <f>HYPERLINK("https://www.bilibili.com/video/BV1ta411X75v?p=61", "BV1ta411X75v?p=61")</f>
        <v>BV1ta411X75v?p=61</v>
      </c>
      <c r="J1415" s="4" t="str">
        <f ca="1">_xlfn.IFNA(VLOOKUP(INDIRECT("G"&amp;ROW()),minfo!$A:$M,COLUMN()-8,0),"")</f>
        <v>我只在乎你</v>
      </c>
      <c r="K1415" s="4" t="str">
        <f ca="1">_xlfn.IFNA(VLOOKUP(INDIRECT("G"&amp;ROW()),minfo!$A:$M,COLUMN()-8,0),"")</f>
        <v>邓丽君</v>
      </c>
      <c r="L1415" s="4">
        <f ca="1">_xlfn.IFNA(VLOOKUP(INDIRECT("G"&amp;ROW()),minfo!$A:$M,COLUMN()-8,0),"")</f>
        <v>0</v>
      </c>
      <c r="M1415" s="4">
        <f ca="1">_xlfn.IFNA(VLOOKUP(INDIRECT("G"&amp;ROW()),minfo!$A:$M,COLUMN()-8,0),"")</f>
        <v>0</v>
      </c>
      <c r="N1415" s="4">
        <f ca="1">_xlfn.IFNA(VLOOKUP(INDIRECT("G"&amp;ROW()),minfo!$A:$M,COLUMN()-8,0),"")</f>
        <v>0</v>
      </c>
      <c r="O1415" s="4" t="str">
        <f ca="1">_xlfn.IFNA(VLOOKUP(INDIRECT("G"&amp;ROW()),minfo!$A:$M,COLUMN()-8,0),"")</f>
        <v>https://i0.hdslb.com/bfs/station_src/music_metadata/20edcc42dece649a8fcfbc7a532d33cf.jpg</v>
      </c>
      <c r="P1415" s="4" t="str">
        <f ca="1">_xlfn.IFNA(VLOOKUP(INDIRECT("G"&amp;ROW()),minfo!$A:$M,COLUMN()-8,0),"")</f>
        <v>http://i0.hdslb.com/bfs/station_src/music_metadata/49dfa16b48e0cab94adf65044415eee3</v>
      </c>
      <c r="Q1415" s="4">
        <f ca="1">_xlfn.IFNA(VLOOKUP(INDIRECT("G"&amp;ROW()),minfo!$A:$M,COLUMN()-8,0),"")</f>
        <v>486</v>
      </c>
      <c r="R1415" s="4">
        <f ca="1">_xlfn.IFNA(VLOOKUP(INDIRECT("G"&amp;ROW()),minfo!$A:$M,COLUMN()-8,0),"")</f>
        <v>0</v>
      </c>
      <c r="S1415" s="4" t="str">
        <f ca="1">_xlfn.IFNA(VLOOKUP(INDIRECT("G"&amp;ROW()),minfo!$A:$M,COLUMN()-8,0),"")</f>
        <v>邓丽君金曲选01</v>
      </c>
      <c r="T1415" s="4">
        <f ca="1">_xlfn.IFNA(VLOOKUP(INDIRECT("G"&amp;ROW()),minfo!$A:$M,COLUMN()-8,0),"")</f>
        <v>196147959</v>
      </c>
      <c r="U1415" s="4">
        <f ca="1">_xlfn.IFNA(VLOOKUP(INDIRECT("G"&amp;ROW()),minfo!$A:$M,COLUMN()-8,0),"")</f>
        <v>0</v>
      </c>
    </row>
    <row r="1416" spans="1:21" ht="15.75" customHeight="1">
      <c r="A1416" s="15">
        <v>1415</v>
      </c>
      <c r="B1416" s="4" t="s">
        <v>5043</v>
      </c>
      <c r="C1416" s="4">
        <v>1416</v>
      </c>
      <c r="D1416" s="4">
        <v>62</v>
      </c>
      <c r="E1416" s="4" t="s">
        <v>2843</v>
      </c>
      <c r="F1416" s="16">
        <v>44769</v>
      </c>
      <c r="G1416" s="5" t="s">
        <v>2842</v>
      </c>
      <c r="H1416" s="5" t="s">
        <v>4978</v>
      </c>
      <c r="I1416" s="24" t="str">
        <f>HYPERLINK("https://www.bilibili.com/video/BV1ta411X75v?p=62", "BV1ta411X75v?p=62")</f>
        <v>BV1ta411X75v?p=62</v>
      </c>
      <c r="J1416" s="4" t="str">
        <f ca="1">_xlfn.IFNA(VLOOKUP(INDIRECT("G"&amp;ROW()),minfo!$A:$M,COLUMN()-8,0),"")</f>
        <v>迟到千年</v>
      </c>
      <c r="K1416" s="4" t="str">
        <f ca="1">_xlfn.IFNA(VLOOKUP(INDIRECT("G"&amp;ROW()),minfo!$A:$M,COLUMN()-8,0),"")</f>
        <v>苏打绿</v>
      </c>
      <c r="L1416" s="4">
        <f ca="1">_xlfn.IFNA(VLOOKUP(INDIRECT("G"&amp;ROW()),minfo!$A:$M,COLUMN()-8,0),"")</f>
        <v>0</v>
      </c>
      <c r="M1416" s="4">
        <f ca="1">_xlfn.IFNA(VLOOKUP(INDIRECT("G"&amp;ROW()),minfo!$A:$M,COLUMN()-8,0),"")</f>
        <v>0</v>
      </c>
      <c r="N1416" s="4">
        <f ca="1">_xlfn.IFNA(VLOOKUP(INDIRECT("G"&amp;ROW()),minfo!$A:$M,COLUMN()-8,0),"")</f>
        <v>0</v>
      </c>
      <c r="O1416" s="4" t="str">
        <f ca="1">_xlfn.IFNA(VLOOKUP(INDIRECT("G"&amp;ROW()),minfo!$A:$M,COLUMN()-8,0),"")</f>
        <v>https://i0.hdslb.com/bfs/station_src/music_metadata/41ad516c3398cd443f30ea6fca69d95b.jpg</v>
      </c>
      <c r="P1416" s="4" t="str">
        <f ca="1">_xlfn.IFNA(VLOOKUP(INDIRECT("G"&amp;ROW()),minfo!$A:$M,COLUMN()-8,0),"")</f>
        <v>https://i0.hdslb.com/bfs/station_src/music_metadata/8652666bcd074e29ff603dd716749166.txt</v>
      </c>
      <c r="Q1416" s="4">
        <f ca="1">_xlfn.IFNA(VLOOKUP(INDIRECT("G"&amp;ROW()),minfo!$A:$M,COLUMN()-8,0),"")</f>
        <v>0</v>
      </c>
      <c r="R1416" s="4">
        <f ca="1">_xlfn.IFNA(VLOOKUP(INDIRECT("G"&amp;ROW()),minfo!$A:$M,COLUMN()-8,0),"")</f>
        <v>0</v>
      </c>
      <c r="S1416" s="4" t="str">
        <f ca="1">_xlfn.IFNA(VLOOKUP(INDIRECT("G"&amp;ROW()),minfo!$A:$M,COLUMN()-8,0),"")</f>
        <v>献给狄奥尼索斯（翻唱专辑）</v>
      </c>
      <c r="T1416" s="4">
        <f ca="1">_xlfn.IFNA(VLOOKUP(INDIRECT("G"&amp;ROW()),minfo!$A:$M,COLUMN()-8,0),"")</f>
        <v>1919723</v>
      </c>
      <c r="U1416" s="4">
        <f ca="1">_xlfn.IFNA(VLOOKUP(INDIRECT("G"&amp;ROW()),minfo!$A:$M,COLUMN()-8,0),"")</f>
        <v>0</v>
      </c>
    </row>
    <row r="1417" spans="1:21" ht="15.75" customHeight="1">
      <c r="A1417" s="15">
        <v>1416</v>
      </c>
      <c r="B1417" s="4" t="s">
        <v>5044</v>
      </c>
      <c r="C1417" s="4">
        <v>1417</v>
      </c>
      <c r="D1417" s="4">
        <v>63</v>
      </c>
      <c r="E1417" s="4" t="s">
        <v>2848</v>
      </c>
      <c r="F1417" s="16">
        <v>44772</v>
      </c>
      <c r="G1417" s="5" t="s">
        <v>2847</v>
      </c>
      <c r="H1417" s="5" t="s">
        <v>4978</v>
      </c>
      <c r="I1417" s="24" t="str">
        <f>HYPERLINK("https://www.bilibili.com/video/BV1ta411X75v?p=63", "BV1ta411X75v?p=63")</f>
        <v>BV1ta411X75v?p=63</v>
      </c>
      <c r="J1417" s="4" t="str">
        <f ca="1">_xlfn.IFNA(VLOOKUP(INDIRECT("G"&amp;ROW()),minfo!$A:$M,COLUMN()-8,0),"")</f>
        <v>先行离去</v>
      </c>
      <c r="K1417" s="4" t="str">
        <f ca="1">_xlfn.IFNA(VLOOKUP(INDIRECT("G"&amp;ROW()),minfo!$A:$M,COLUMN()-8,0),"")</f>
        <v>吴奇</v>
      </c>
      <c r="L1417" s="4">
        <f ca="1">_xlfn.IFNA(VLOOKUP(INDIRECT("G"&amp;ROW()),minfo!$A:$M,COLUMN()-8,0),"")</f>
        <v>0</v>
      </c>
      <c r="M1417" s="4">
        <f ca="1">_xlfn.IFNA(VLOOKUP(INDIRECT("G"&amp;ROW()),minfo!$A:$M,COLUMN()-8,0),"")</f>
        <v>0</v>
      </c>
      <c r="N1417" s="4">
        <f ca="1">_xlfn.IFNA(VLOOKUP(INDIRECT("G"&amp;ROW()),minfo!$A:$M,COLUMN()-8,0),"")</f>
        <v>0</v>
      </c>
      <c r="O1417" s="4" t="str">
        <f ca="1">_xlfn.IFNA(VLOOKUP(INDIRECT("G"&amp;ROW()),minfo!$A:$M,COLUMN()-8,0),"")</f>
        <v>https://i0.hdslb.com/bfs/station_src/music_metadata/2ab3a218dcb31c125ffa43f2fed50fdc.jpg</v>
      </c>
      <c r="P1417" s="4" t="str">
        <f ca="1">_xlfn.IFNA(VLOOKUP(INDIRECT("G"&amp;ROW()),minfo!$A:$M,COLUMN()-8,0),"")</f>
        <v>https://i0.hdslb.com/bfs/station_src/music_metadata/3d41af6e60a94a6efa1b22cc893bcf2e.txt</v>
      </c>
      <c r="Q1417" s="4">
        <f ca="1">_xlfn.IFNA(VLOOKUP(INDIRECT("G"&amp;ROW()),minfo!$A:$M,COLUMN()-8,0),"")</f>
        <v>0</v>
      </c>
      <c r="R1417" s="4">
        <f ca="1">_xlfn.IFNA(VLOOKUP(INDIRECT("G"&amp;ROW()),minfo!$A:$M,COLUMN()-8,0),"")</f>
        <v>0</v>
      </c>
      <c r="S1417" s="4" t="str">
        <f ca="1">_xlfn.IFNA(VLOOKUP(INDIRECT("G"&amp;ROW()),minfo!$A:$M,COLUMN()-8,0),"")</f>
        <v>先行离去</v>
      </c>
      <c r="T1417" s="4">
        <f ca="1">_xlfn.IFNA(VLOOKUP(INDIRECT("G"&amp;ROW()),minfo!$A:$M,COLUMN()-8,0),"")</f>
        <v>46506</v>
      </c>
      <c r="U1417" s="4">
        <f ca="1">_xlfn.IFNA(VLOOKUP(INDIRECT("G"&amp;ROW()),minfo!$A:$M,COLUMN()-8,0),"")</f>
        <v>0</v>
      </c>
    </row>
    <row r="1418" spans="1:21" ht="15.75" customHeight="1">
      <c r="A1418" s="15">
        <v>1417</v>
      </c>
      <c r="B1418" s="4" t="s">
        <v>5045</v>
      </c>
      <c r="C1418" s="4">
        <v>1418</v>
      </c>
      <c r="D1418" s="4">
        <v>64</v>
      </c>
      <c r="E1418" s="4" t="s">
        <v>3947</v>
      </c>
      <c r="F1418" s="16">
        <v>44772</v>
      </c>
      <c r="G1418" s="5" t="s">
        <v>2543</v>
      </c>
      <c r="H1418" s="5" t="s">
        <v>4978</v>
      </c>
      <c r="I1418" s="24" t="str">
        <f>HYPERLINK("https://www.bilibili.com/video/BV1ta411X75v?p=64", "BV1ta411X75v?p=64")</f>
        <v>BV1ta411X75v?p=64</v>
      </c>
      <c r="J1418" s="4" t="str">
        <f ca="1">_xlfn.IFNA(VLOOKUP(INDIRECT("G"&amp;ROW()),minfo!$A:$M,COLUMN()-8,0),"")</f>
        <v>记念</v>
      </c>
      <c r="K1418" s="4" t="str">
        <f ca="1">_xlfn.IFNA(VLOOKUP(INDIRECT("G"&amp;ROW()),minfo!$A:$M,COLUMN()-8,0),"")</f>
        <v>雷雨心</v>
      </c>
      <c r="L1418" s="4">
        <f ca="1">_xlfn.IFNA(VLOOKUP(INDIRECT("G"&amp;ROW()),minfo!$A:$M,COLUMN()-8,0),"")</f>
        <v>0</v>
      </c>
      <c r="M1418" s="4">
        <f ca="1">_xlfn.IFNA(VLOOKUP(INDIRECT("G"&amp;ROW()),minfo!$A:$M,COLUMN()-8,0),"")</f>
        <v>0</v>
      </c>
      <c r="N1418" s="4">
        <f ca="1">_xlfn.IFNA(VLOOKUP(INDIRECT("G"&amp;ROW()),minfo!$A:$M,COLUMN()-8,0),"")</f>
        <v>0</v>
      </c>
      <c r="O1418" s="4" t="str">
        <f ca="1">_xlfn.IFNA(VLOOKUP(INDIRECT("G"&amp;ROW()),minfo!$A:$M,COLUMN()-8,0),"")</f>
        <v>https://i0.hdslb.com/bfs/station_src/music_metadata/df461555388d556675705b1e413e876d.jpg</v>
      </c>
      <c r="P1418" s="4" t="str">
        <f ca="1">_xlfn.IFNA(VLOOKUP(INDIRECT("G"&amp;ROW()),minfo!$A:$M,COLUMN()-8,0),"")</f>
        <v>http://i0.hdslb.com/bfs/station_src/music_metadata/aad0c256d8916e3d3a7c730320b46445</v>
      </c>
      <c r="Q1418" s="4">
        <f ca="1">_xlfn.IFNA(VLOOKUP(INDIRECT("G"&amp;ROW()),minfo!$A:$M,COLUMN()-8,0),"")</f>
        <v>2133</v>
      </c>
      <c r="R1418" s="4">
        <f ca="1">_xlfn.IFNA(VLOOKUP(INDIRECT("G"&amp;ROW()),minfo!$A:$M,COLUMN()-8,0),"")</f>
        <v>0</v>
      </c>
      <c r="S1418" s="4" t="str">
        <f ca="1">_xlfn.IFNA(VLOOKUP(INDIRECT("G"&amp;ROW()),minfo!$A:$M,COLUMN()-8,0),"")</f>
        <v>记念</v>
      </c>
      <c r="T1418" s="4">
        <f ca="1">_xlfn.IFNA(VLOOKUP(INDIRECT("G"&amp;ROW()),minfo!$A:$M,COLUMN()-8,0),"")</f>
        <v>182047718</v>
      </c>
      <c r="U1418" s="4">
        <f ca="1">_xlfn.IFNA(VLOOKUP(INDIRECT("G"&amp;ROW()),minfo!$A:$M,COLUMN()-8,0),"")</f>
        <v>0</v>
      </c>
    </row>
    <row r="1419" spans="1:21" ht="15.75" customHeight="1">
      <c r="A1419" s="15">
        <v>1418</v>
      </c>
      <c r="B1419" s="4" t="s">
        <v>5046</v>
      </c>
      <c r="C1419" s="4">
        <v>1419</v>
      </c>
      <c r="D1419" s="4">
        <v>65</v>
      </c>
      <c r="E1419" s="4" t="s">
        <v>2352</v>
      </c>
      <c r="F1419" s="16">
        <v>44772</v>
      </c>
      <c r="G1419" s="5" t="s">
        <v>2351</v>
      </c>
      <c r="H1419" s="5" t="s">
        <v>4978</v>
      </c>
      <c r="I1419" s="24" t="str">
        <f>HYPERLINK("https://www.bilibili.com/video/BV1ta411X75v?p=65", "BV1ta411X75v?p=65")</f>
        <v>BV1ta411X75v?p=65</v>
      </c>
      <c r="J1419" s="4" t="str">
        <f ca="1">_xlfn.IFNA(VLOOKUP(INDIRECT("G"&amp;ROW()),minfo!$A:$M,COLUMN()-8,0),"")</f>
        <v>漂洋过海来看你</v>
      </c>
      <c r="K1419" s="4" t="str">
        <f ca="1">_xlfn.IFNA(VLOOKUP(INDIRECT("G"&amp;ROW()),minfo!$A:$M,COLUMN()-8,0),"")</f>
        <v>娃娃</v>
      </c>
      <c r="L1419" s="4">
        <f ca="1">_xlfn.IFNA(VLOOKUP(INDIRECT("G"&amp;ROW()),minfo!$A:$M,COLUMN()-8,0),"")</f>
        <v>0</v>
      </c>
      <c r="M1419" s="4">
        <f ca="1">_xlfn.IFNA(VLOOKUP(INDIRECT("G"&amp;ROW()),minfo!$A:$M,COLUMN()-8,0),"")</f>
        <v>0</v>
      </c>
      <c r="N1419" s="4">
        <f ca="1">_xlfn.IFNA(VLOOKUP(INDIRECT("G"&amp;ROW()),minfo!$A:$M,COLUMN()-8,0),"")</f>
        <v>0</v>
      </c>
      <c r="O1419" s="4" t="str">
        <f ca="1">_xlfn.IFNA(VLOOKUP(INDIRECT("G"&amp;ROW()),minfo!$A:$M,COLUMN()-8,0),"")</f>
        <v>https://i0.hdslb.com/bfs/station_src/music_metadata/6accd3b8873306793f8878f386c0333b.jpg</v>
      </c>
      <c r="P1419" s="4" t="str">
        <f ca="1">_xlfn.IFNA(VLOOKUP(INDIRECT("G"&amp;ROW()),minfo!$A:$M,COLUMN()-8,0),"")</f>
        <v>https://i0.hdslb.com/bfs/station_src/music_metadata/624348c1310a9b1583d320a14df6ed91.txt</v>
      </c>
      <c r="Q1419" s="4">
        <f ca="1">_xlfn.IFNA(VLOOKUP(INDIRECT("G"&amp;ROW()),minfo!$A:$M,COLUMN()-8,0),"")</f>
        <v>383</v>
      </c>
      <c r="R1419" s="4" t="str">
        <f ca="1">_xlfn.IFNA(VLOOKUP(INDIRECT("G"&amp;ROW()),minfo!$A:$M,COLUMN()-8,0),"")</f>
        <v>2002-08-28</v>
      </c>
      <c r="S1419" s="4" t="str">
        <f ca="1">_xlfn.IFNA(VLOOKUP(INDIRECT("G"&amp;ROW()),minfo!$A:$M,COLUMN()-8,0),"")</f>
        <v>涩女郎 电视原声带</v>
      </c>
      <c r="T1419" s="4">
        <f ca="1">_xlfn.IFNA(VLOOKUP(INDIRECT("G"&amp;ROW()),minfo!$A:$M,COLUMN()-8,0),"")</f>
        <v>184271216</v>
      </c>
      <c r="U1419" s="4">
        <f ca="1">_xlfn.IFNA(VLOOKUP(INDIRECT("G"&amp;ROW()),minfo!$A:$M,COLUMN()-8,0),"")</f>
        <v>0</v>
      </c>
    </row>
    <row r="1420" spans="1:21" ht="15.75" customHeight="1">
      <c r="A1420" s="15">
        <v>1419</v>
      </c>
      <c r="B1420" s="4" t="s">
        <v>5047</v>
      </c>
      <c r="C1420" s="4">
        <v>1420</v>
      </c>
      <c r="D1420" s="4">
        <v>66</v>
      </c>
      <c r="E1420" s="4" t="s">
        <v>2853</v>
      </c>
      <c r="F1420" s="16">
        <v>44772</v>
      </c>
      <c r="G1420" s="5" t="s">
        <v>2852</v>
      </c>
      <c r="H1420" s="5" t="s">
        <v>4978</v>
      </c>
      <c r="I1420" s="24" t="str">
        <f>HYPERLINK("https://www.bilibili.com/video/BV1ta411X75v?p=66", "BV1ta411X75v?p=66")</f>
        <v>BV1ta411X75v?p=66</v>
      </c>
      <c r="J1420" s="4" t="str">
        <f ca="1">_xlfn.IFNA(VLOOKUP(INDIRECT("G"&amp;ROW()),minfo!$A:$M,COLUMN()-8,0),"")</f>
        <v>千言万语</v>
      </c>
      <c r="K1420" s="4" t="str">
        <f ca="1">_xlfn.IFNA(VLOOKUP(INDIRECT("G"&amp;ROW()),minfo!$A:$M,COLUMN()-8,0),"")</f>
        <v>王菲</v>
      </c>
      <c r="L1420" s="4">
        <f ca="1">_xlfn.IFNA(VLOOKUP(INDIRECT("G"&amp;ROW()),minfo!$A:$M,COLUMN()-8,0),"")</f>
        <v>0</v>
      </c>
      <c r="M1420" s="4">
        <f ca="1">_xlfn.IFNA(VLOOKUP(INDIRECT("G"&amp;ROW()),minfo!$A:$M,COLUMN()-8,0),"")</f>
        <v>0</v>
      </c>
      <c r="N1420" s="4">
        <f ca="1">_xlfn.IFNA(VLOOKUP(INDIRECT("G"&amp;ROW()),minfo!$A:$M,COLUMN()-8,0),"")</f>
        <v>0</v>
      </c>
      <c r="O1420" s="4" t="str">
        <f ca="1">_xlfn.IFNA(VLOOKUP(INDIRECT("G"&amp;ROW()),minfo!$A:$M,COLUMN()-8,0),"")</f>
        <v>https://i0.hdslb.com/bfs/station_src/music_metadata/19c273df71aa5f1fa70772f958b331a4.jpg</v>
      </c>
      <c r="P1420" s="4" t="str">
        <f ca="1">_xlfn.IFNA(VLOOKUP(INDIRECT("G"&amp;ROW()),minfo!$A:$M,COLUMN()-8,0),"")</f>
        <v>http://i0.hdslb.com/bfs/station_src/music_metadata/3a247556a205d8ec11b927df9fb446a4</v>
      </c>
      <c r="Q1420" s="4">
        <f ca="1">_xlfn.IFNA(VLOOKUP(INDIRECT("G"&amp;ROW()),minfo!$A:$M,COLUMN()-8,0),"")</f>
        <v>14</v>
      </c>
      <c r="R1420" s="4" t="str">
        <f ca="1">_xlfn.IFNA(VLOOKUP(INDIRECT("G"&amp;ROW()),minfo!$A:$M,COLUMN()-8,0),"")</f>
        <v>1994香港最精彩演唱会</v>
      </c>
      <c r="S1420" s="4" t="str">
        <f ca="1">_xlfn.IFNA(VLOOKUP(INDIRECT("G"&amp;ROW()),minfo!$A:$M,COLUMN()-8,0),"")</f>
        <v>王菲最精彩的演唱会</v>
      </c>
      <c r="T1420" s="4">
        <f ca="1">_xlfn.IFNA(VLOOKUP(INDIRECT("G"&amp;ROW()),minfo!$A:$M,COLUMN()-8,0),"")</f>
        <v>10421588</v>
      </c>
      <c r="U1420" s="4">
        <f ca="1">_xlfn.IFNA(VLOOKUP(INDIRECT("G"&amp;ROW()),minfo!$A:$M,COLUMN()-8,0),"")</f>
        <v>0</v>
      </c>
    </row>
    <row r="1421" spans="1:21" ht="15.75" customHeight="1">
      <c r="A1421" s="15">
        <v>1420</v>
      </c>
      <c r="B1421" s="4" t="s">
        <v>5048</v>
      </c>
      <c r="C1421" s="4">
        <v>1421</v>
      </c>
      <c r="D1421" s="4">
        <v>67</v>
      </c>
      <c r="E1421" s="4" t="s">
        <v>1923</v>
      </c>
      <c r="F1421" s="16">
        <v>44772</v>
      </c>
      <c r="G1421" s="5" t="s">
        <v>1922</v>
      </c>
      <c r="H1421" s="5" t="s">
        <v>4978</v>
      </c>
      <c r="I1421" s="24" t="str">
        <f>HYPERLINK("https://www.bilibili.com/video/BV1ta411X75v?p=67", "BV1ta411X75v?p=67")</f>
        <v>BV1ta411X75v?p=67</v>
      </c>
      <c r="J1421" s="4" t="str">
        <f ca="1">_xlfn.IFNA(VLOOKUP(INDIRECT("G"&amp;ROW()),minfo!$A:$M,COLUMN()-8,0),"")</f>
        <v>在水一方</v>
      </c>
      <c r="K1421" s="4" t="str">
        <f ca="1">_xlfn.IFNA(VLOOKUP(INDIRECT("G"&amp;ROW()),minfo!$A:$M,COLUMN()-8,0),"")</f>
        <v>邓丽君</v>
      </c>
      <c r="L1421" s="4">
        <f ca="1">_xlfn.IFNA(VLOOKUP(INDIRECT("G"&amp;ROW()),minfo!$A:$M,COLUMN()-8,0),"")</f>
        <v>0</v>
      </c>
      <c r="M1421" s="4">
        <f ca="1">_xlfn.IFNA(VLOOKUP(INDIRECT("G"&amp;ROW()),minfo!$A:$M,COLUMN()-8,0),"")</f>
        <v>0</v>
      </c>
      <c r="N1421" s="4">
        <f ca="1">_xlfn.IFNA(VLOOKUP(INDIRECT("G"&amp;ROW()),minfo!$A:$M,COLUMN()-8,0),"")</f>
        <v>0</v>
      </c>
      <c r="O1421" s="4" t="str">
        <f ca="1">_xlfn.IFNA(VLOOKUP(INDIRECT("G"&amp;ROW()),minfo!$A:$M,COLUMN()-8,0),"")</f>
        <v>https://i0.hdslb.com/bfs/station_src/music_metadata/175674bd7923821572887bc818ee2513.jpg</v>
      </c>
      <c r="P1421" s="4" t="str">
        <f ca="1">_xlfn.IFNA(VLOOKUP(INDIRECT("G"&amp;ROW()),minfo!$A:$M,COLUMN()-8,0),"")</f>
        <v>http://i0.hdslb.com/bfs/station_src/music_metadata/5f76295c7b03d1917761b2babaf3ebff</v>
      </c>
      <c r="Q1421" s="4">
        <f ca="1">_xlfn.IFNA(VLOOKUP(INDIRECT("G"&amp;ROW()),minfo!$A:$M,COLUMN()-8,0),"")</f>
        <v>777</v>
      </c>
      <c r="R1421" s="4">
        <f ca="1">_xlfn.IFNA(VLOOKUP(INDIRECT("G"&amp;ROW()),minfo!$A:$M,COLUMN()-8,0),"")</f>
        <v>0</v>
      </c>
      <c r="S1421" s="4" t="str">
        <f ca="1">_xlfn.IFNA(VLOOKUP(INDIRECT("G"&amp;ROW()),minfo!$A:$M,COLUMN()-8,0),"")</f>
        <v>恋君情深 永恒巨星 邓丽君 第二乐章</v>
      </c>
      <c r="T1421" s="4">
        <f ca="1">_xlfn.IFNA(VLOOKUP(INDIRECT("G"&amp;ROW()),minfo!$A:$M,COLUMN()-8,0),"")</f>
        <v>131989323</v>
      </c>
      <c r="U1421" s="4">
        <f ca="1">_xlfn.IFNA(VLOOKUP(INDIRECT("G"&amp;ROW()),minfo!$A:$M,COLUMN()-8,0),"")</f>
        <v>0</v>
      </c>
    </row>
    <row r="1422" spans="1:21" ht="15.75" customHeight="1">
      <c r="A1422" s="15">
        <v>1421</v>
      </c>
      <c r="B1422" s="4" t="s">
        <v>5049</v>
      </c>
      <c r="C1422" s="4">
        <v>1422</v>
      </c>
      <c r="D1422" s="4">
        <v>68</v>
      </c>
      <c r="E1422" s="4" t="s">
        <v>620</v>
      </c>
      <c r="F1422" s="16">
        <v>44772</v>
      </c>
      <c r="G1422" s="5" t="s">
        <v>619</v>
      </c>
      <c r="H1422" s="5" t="s">
        <v>4978</v>
      </c>
      <c r="I1422" s="24" t="str">
        <f>HYPERLINK("https://www.bilibili.com/video/BV1ta411X75v?p=68", "BV1ta411X75v?p=68")</f>
        <v>BV1ta411X75v?p=68</v>
      </c>
      <c r="J1422" s="4" t="str">
        <f ca="1">_xlfn.IFNA(VLOOKUP(INDIRECT("G"&amp;ROW()),minfo!$A:$M,COLUMN()-8,0),"")</f>
        <v>春三月</v>
      </c>
      <c r="K1422" s="4" t="str">
        <f ca="1">_xlfn.IFNA(VLOOKUP(INDIRECT("G"&amp;ROW()),minfo!$A:$M,COLUMN()-8,0),"")</f>
        <v>司南</v>
      </c>
      <c r="L1422" s="4">
        <f ca="1">_xlfn.IFNA(VLOOKUP(INDIRECT("G"&amp;ROW()),minfo!$A:$M,COLUMN()-8,0),"")</f>
        <v>0</v>
      </c>
      <c r="M1422" s="4">
        <f ca="1">_xlfn.IFNA(VLOOKUP(INDIRECT("G"&amp;ROW()),minfo!$A:$M,COLUMN()-8,0),"")</f>
        <v>0</v>
      </c>
      <c r="N1422" s="4">
        <f ca="1">_xlfn.IFNA(VLOOKUP(INDIRECT("G"&amp;ROW()),minfo!$A:$M,COLUMN()-8,0),"")</f>
        <v>0</v>
      </c>
      <c r="O1422" s="4" t="str">
        <f ca="1">_xlfn.IFNA(VLOOKUP(INDIRECT("G"&amp;ROW()),minfo!$A:$M,COLUMN()-8,0),"")</f>
        <v>http://i0.hdslb.com/bfs/station_src/music_metadata/1e8f55a59589012b750c6ec41b99d497.jpg</v>
      </c>
      <c r="P1422" s="4" t="str">
        <f ca="1">_xlfn.IFNA(VLOOKUP(INDIRECT("G"&amp;ROW()),minfo!$A:$M,COLUMN()-8,0),"")</f>
        <v>http://i0.hdslb.com/bfs/station_src/music_metadata/c1d8969f8a1bbd139cb0cff290fb17e7</v>
      </c>
      <c r="Q1422" s="4">
        <f ca="1">_xlfn.IFNA(VLOOKUP(INDIRECT("G"&amp;ROW()),minfo!$A:$M,COLUMN()-8,0),"")</f>
        <v>1717</v>
      </c>
      <c r="R1422" s="4">
        <f ca="1">_xlfn.IFNA(VLOOKUP(INDIRECT("G"&amp;ROW()),minfo!$A:$M,COLUMN()-8,0),"")</f>
        <v>0</v>
      </c>
      <c r="S1422" s="4" t="str">
        <f ca="1">_xlfn.IFNA(VLOOKUP(INDIRECT("G"&amp;ROW()),minfo!$A:$M,COLUMN()-8,0),"")</f>
        <v>春三月</v>
      </c>
      <c r="T1422" s="4">
        <f ca="1">_xlfn.IFNA(VLOOKUP(INDIRECT("G"&amp;ROW()),minfo!$A:$M,COLUMN()-8,0),"")</f>
        <v>176570518</v>
      </c>
      <c r="U1422" s="4">
        <f ca="1">_xlfn.IFNA(VLOOKUP(INDIRECT("G"&amp;ROW()),minfo!$A:$M,COLUMN()-8,0),"")</f>
        <v>0</v>
      </c>
    </row>
    <row r="1423" spans="1:21" ht="15.75" customHeight="1">
      <c r="A1423" s="15">
        <v>1422</v>
      </c>
      <c r="B1423" s="4" t="s">
        <v>5050</v>
      </c>
      <c r="C1423" s="4">
        <v>1423</v>
      </c>
      <c r="D1423" s="4">
        <v>69</v>
      </c>
      <c r="E1423" s="4" t="s">
        <v>283</v>
      </c>
      <c r="F1423" s="16">
        <v>44772</v>
      </c>
      <c r="G1423" s="5" t="s">
        <v>1890</v>
      </c>
      <c r="H1423" s="5" t="s">
        <v>4978</v>
      </c>
      <c r="I1423" s="24" t="str">
        <f>HYPERLINK("https://www.bilibili.com/video/BV1ta411X75v?p=69", "BV1ta411X75v?p=69")</f>
        <v>BV1ta411X75v?p=69</v>
      </c>
      <c r="J1423" s="4" t="str">
        <f ca="1">_xlfn.IFNA(VLOOKUP(INDIRECT("G"&amp;ROW()),minfo!$A:$M,COLUMN()-8,0),"")</f>
        <v>爱してる</v>
      </c>
      <c r="K1423" s="4" t="str">
        <f ca="1">_xlfn.IFNA(VLOOKUP(INDIRECT("G"&amp;ROW()),minfo!$A:$M,COLUMN()-8,0),"")</f>
        <v>泥鳅Niko</v>
      </c>
      <c r="L1423" s="4">
        <f ca="1">_xlfn.IFNA(VLOOKUP(INDIRECT("G"&amp;ROW()),minfo!$A:$M,COLUMN()-8,0),"")</f>
        <v>0</v>
      </c>
      <c r="M1423" s="4">
        <f ca="1">_xlfn.IFNA(VLOOKUP(INDIRECT("G"&amp;ROW()),minfo!$A:$M,COLUMN()-8,0),"")</f>
        <v>0</v>
      </c>
      <c r="N1423" s="4">
        <f ca="1">_xlfn.IFNA(VLOOKUP(INDIRECT("G"&amp;ROW()),minfo!$A:$M,COLUMN()-8,0),"")</f>
        <v>0</v>
      </c>
      <c r="O1423" s="4" t="str">
        <f ca="1">_xlfn.IFNA(VLOOKUP(INDIRECT("G"&amp;ROW()),minfo!$A:$M,COLUMN()-8,0),"")</f>
        <v>https://i0.hdslb.com/bfs/station_src/music_metadata/dbae17ef9c57a59cec0574ef7463ee79.jpg</v>
      </c>
      <c r="P1423" s="4" t="str">
        <f ca="1">_xlfn.IFNA(VLOOKUP(INDIRECT("G"&amp;ROW()),minfo!$A:$M,COLUMN()-8,0),"")</f>
        <v>https://i0.hdslb.com/bfs/station_src/music_metadata/6760d0679c6b0a8ff862b6d8b04d4b99.txt</v>
      </c>
      <c r="Q1423" s="4">
        <f ca="1">_xlfn.IFNA(VLOOKUP(INDIRECT("G"&amp;ROW()),minfo!$A:$M,COLUMN()-8,0),"")</f>
        <v>15</v>
      </c>
      <c r="R1423" s="4">
        <f ca="1">_xlfn.IFNA(VLOOKUP(INDIRECT("G"&amp;ROW()),minfo!$A:$M,COLUMN()-8,0),"")</f>
        <v>0</v>
      </c>
      <c r="S1423" s="4" t="str">
        <f ca="1">_xlfn.IFNA(VLOOKUP(INDIRECT("G"&amp;ROW()),minfo!$A:$M,COLUMN()-8,0),"")</f>
        <v>爱してる（夏目友人帐ED）</v>
      </c>
      <c r="T1423" s="4">
        <f ca="1">_xlfn.IFNA(VLOOKUP(INDIRECT("G"&amp;ROW()),minfo!$A:$M,COLUMN()-8,0),"")</f>
        <v>34309022</v>
      </c>
      <c r="U1423" s="4">
        <f ca="1">_xlfn.IFNA(VLOOKUP(INDIRECT("G"&amp;ROW()),minfo!$A:$M,COLUMN()-8,0),"")</f>
        <v>0</v>
      </c>
    </row>
    <row r="1424" spans="1:21" ht="15.75" customHeight="1">
      <c r="A1424" s="15">
        <v>1423</v>
      </c>
      <c r="B1424" s="4" t="s">
        <v>5051</v>
      </c>
      <c r="C1424" s="4">
        <v>1424</v>
      </c>
      <c r="D1424" s="4">
        <v>70</v>
      </c>
      <c r="E1424" s="4" t="s">
        <v>409</v>
      </c>
      <c r="F1424" s="16">
        <v>44776</v>
      </c>
      <c r="G1424" s="5" t="s">
        <v>408</v>
      </c>
      <c r="H1424" s="5" t="s">
        <v>4978</v>
      </c>
      <c r="I1424" s="24" t="str">
        <f>HYPERLINK("https://www.bilibili.com/video/BV1ta411X75v?p=70", "BV1ta411X75v?p=70")</f>
        <v>BV1ta411X75v?p=70</v>
      </c>
      <c r="J1424" s="4" t="str">
        <f ca="1">_xlfn.IFNA(VLOOKUP(INDIRECT("G"&amp;ROW()),minfo!$A:$M,COLUMN()-8,0),"")</f>
        <v>呼吸决定</v>
      </c>
      <c r="K1424" s="4" t="str">
        <f ca="1">_xlfn.IFNA(VLOOKUP(INDIRECT("G"&amp;ROW()),minfo!$A:$M,COLUMN()-8,0),"")</f>
        <v>Fine乐团</v>
      </c>
      <c r="L1424" s="4">
        <f ca="1">_xlfn.IFNA(VLOOKUP(INDIRECT("G"&amp;ROW()),minfo!$A:$M,COLUMN()-8,0),"")</f>
        <v>0</v>
      </c>
      <c r="M1424" s="4">
        <f ca="1">_xlfn.IFNA(VLOOKUP(INDIRECT("G"&amp;ROW()),minfo!$A:$M,COLUMN()-8,0),"")</f>
        <v>0</v>
      </c>
      <c r="N1424" s="4">
        <f ca="1">_xlfn.IFNA(VLOOKUP(INDIRECT("G"&amp;ROW()),minfo!$A:$M,COLUMN()-8,0),"")</f>
        <v>0</v>
      </c>
      <c r="O1424" s="4" t="str">
        <f ca="1">_xlfn.IFNA(VLOOKUP(INDIRECT("G"&amp;ROW()),minfo!$A:$M,COLUMN()-8,0),"")</f>
        <v>http://i0.hdslb.com/bfs/station_src/music_metadata/de6c3020bce1962dc02b42568606781f.jpg</v>
      </c>
      <c r="P1424" s="4" t="str">
        <f ca="1">_xlfn.IFNA(VLOOKUP(INDIRECT("G"&amp;ROW()),minfo!$A:$M,COLUMN()-8,0),"")</f>
        <v>http://i0.hdslb.com/bfs/station_src/music_metadata/9dfd516512eb23be6e624848db3bed57</v>
      </c>
      <c r="Q1424" s="4">
        <f ca="1">_xlfn.IFNA(VLOOKUP(INDIRECT("G"&amp;ROW()),minfo!$A:$M,COLUMN()-8,0),"")</f>
        <v>838</v>
      </c>
      <c r="R1424" s="4">
        <f ca="1">_xlfn.IFNA(VLOOKUP(INDIRECT("G"&amp;ROW()),minfo!$A:$M,COLUMN()-8,0),"")</f>
        <v>0</v>
      </c>
      <c r="S1424" s="4">
        <f ca="1">_xlfn.IFNA(VLOOKUP(INDIRECT("G"&amp;ROW()),minfo!$A:$M,COLUMN()-8,0),"")</f>
        <v>0</v>
      </c>
      <c r="T1424" s="4">
        <f ca="1">_xlfn.IFNA(VLOOKUP(INDIRECT("G"&amp;ROW()),minfo!$A:$M,COLUMN()-8,0),"")</f>
        <v>100019249</v>
      </c>
      <c r="U1424" s="4">
        <f ca="1">_xlfn.IFNA(VLOOKUP(INDIRECT("G"&amp;ROW()),minfo!$A:$M,COLUMN()-8,0),"")</f>
        <v>0</v>
      </c>
    </row>
    <row r="1425" spans="1:21" ht="15.75" customHeight="1">
      <c r="A1425" s="15">
        <v>1424</v>
      </c>
      <c r="B1425" s="4" t="s">
        <v>5052</v>
      </c>
      <c r="C1425" s="4">
        <v>1425</v>
      </c>
      <c r="D1425" s="4">
        <v>71</v>
      </c>
      <c r="E1425" s="4" t="s">
        <v>1797</v>
      </c>
      <c r="F1425" s="16">
        <v>44776</v>
      </c>
      <c r="G1425" s="5" t="s">
        <v>1796</v>
      </c>
      <c r="H1425" s="5" t="s">
        <v>4978</v>
      </c>
      <c r="I1425" s="24" t="str">
        <f>HYPERLINK("https://www.bilibili.com/video/BV1ta411X75v?p=71", "BV1ta411X75v?p=71")</f>
        <v>BV1ta411X75v?p=71</v>
      </c>
      <c r="J1425" s="4" t="str">
        <f ca="1">_xlfn.IFNA(VLOOKUP(INDIRECT("G"&amp;ROW()),minfo!$A:$M,COLUMN()-8,0),"")</f>
        <v>痒</v>
      </c>
      <c r="K1425" s="4" t="str">
        <f ca="1">_xlfn.IFNA(VLOOKUP(INDIRECT("G"&amp;ROW()),minfo!$A:$M,COLUMN()-8,0),"")</f>
        <v>黄龄</v>
      </c>
      <c r="L1425" s="4">
        <f ca="1">_xlfn.IFNA(VLOOKUP(INDIRECT("G"&amp;ROW()),minfo!$A:$M,COLUMN()-8,0),"")</f>
        <v>0</v>
      </c>
      <c r="M1425" s="4">
        <f ca="1">_xlfn.IFNA(VLOOKUP(INDIRECT("G"&amp;ROW()),minfo!$A:$M,COLUMN()-8,0),"")</f>
        <v>0</v>
      </c>
      <c r="N1425" s="4">
        <f ca="1">_xlfn.IFNA(VLOOKUP(INDIRECT("G"&amp;ROW()),minfo!$A:$M,COLUMN()-8,0),"")</f>
        <v>0</v>
      </c>
      <c r="O1425" s="4" t="str">
        <f ca="1">_xlfn.IFNA(VLOOKUP(INDIRECT("G"&amp;ROW()),minfo!$A:$M,COLUMN()-8,0),"")</f>
        <v>https://i0.hdslb.com/bfs/station_src/music_metadata/3de02305aa9c846673ac1eb2ad897de1.jpg</v>
      </c>
      <c r="P1425" s="4" t="str">
        <f ca="1">_xlfn.IFNA(VLOOKUP(INDIRECT("G"&amp;ROW()),minfo!$A:$M,COLUMN()-8,0),"")</f>
        <v>http://i0.hdslb.com/bfs/station_src/music_metadata/cb354aacda7abd2b861cd28e85743d55</v>
      </c>
      <c r="Q1425" s="4">
        <f ca="1">_xlfn.IFNA(VLOOKUP(INDIRECT("G"&amp;ROW()),minfo!$A:$M,COLUMN()-8,0),"")</f>
        <v>568</v>
      </c>
      <c r="R1425" s="4">
        <f ca="1">_xlfn.IFNA(VLOOKUP(INDIRECT("G"&amp;ROW()),minfo!$A:$M,COLUMN()-8,0),"")</f>
        <v>0</v>
      </c>
      <c r="S1425" s="4" t="str">
        <f ca="1">_xlfn.IFNA(VLOOKUP(INDIRECT("G"&amp;ROW()),minfo!$A:$M,COLUMN()-8,0),"")</f>
        <v>痒</v>
      </c>
      <c r="T1425" s="4">
        <f ca="1">_xlfn.IFNA(VLOOKUP(INDIRECT("G"&amp;ROW()),minfo!$A:$M,COLUMN()-8,0),"")</f>
        <v>367183468</v>
      </c>
      <c r="U1425" s="4" t="str">
        <f ca="1">_xlfn.IFNA(VLOOKUP(INDIRECT("G"&amp;ROW()),minfo!$A:$M,COLUMN()-8,0),"")</f>
        <v>音乐榜最高NO.9</v>
      </c>
    </row>
    <row r="1426" spans="1:21" ht="15.75" customHeight="1">
      <c r="A1426" s="15">
        <v>1425</v>
      </c>
      <c r="B1426" s="4" t="s">
        <v>5053</v>
      </c>
      <c r="C1426" s="4">
        <v>1426</v>
      </c>
      <c r="D1426" s="4">
        <v>72</v>
      </c>
      <c r="E1426" s="4" t="s">
        <v>2859</v>
      </c>
      <c r="F1426" s="16">
        <v>44776</v>
      </c>
      <c r="G1426" s="5" t="s">
        <v>2858</v>
      </c>
      <c r="H1426" s="5" t="s">
        <v>4978</v>
      </c>
      <c r="I1426" s="24" t="str">
        <f>HYPERLINK("https://www.bilibili.com/video/BV1ta411X75v?p=72", "BV1ta411X75v?p=72")</f>
        <v>BV1ta411X75v?p=72</v>
      </c>
      <c r="J1426" s="4" t="str">
        <f ca="1">_xlfn.IFNA(VLOOKUP(INDIRECT("G"&amp;ROW()),minfo!$A:$M,COLUMN()-8,0),"")</f>
        <v>心愿便利贴</v>
      </c>
      <c r="K1426" s="4" t="str">
        <f ca="1">_xlfn.IFNA(VLOOKUP(INDIRECT("G"&amp;ROW()),minfo!$A:$M,COLUMN()-8,0),"")</f>
        <v>元若蓝,大Q秉洛</v>
      </c>
      <c r="L1426" s="4">
        <f ca="1">_xlfn.IFNA(VLOOKUP(INDIRECT("G"&amp;ROW()),minfo!$A:$M,COLUMN()-8,0),"")</f>
        <v>0</v>
      </c>
      <c r="M1426" s="4">
        <f ca="1">_xlfn.IFNA(VLOOKUP(INDIRECT("G"&amp;ROW()),minfo!$A:$M,COLUMN()-8,0),"")</f>
        <v>0</v>
      </c>
      <c r="N1426" s="4">
        <f ca="1">_xlfn.IFNA(VLOOKUP(INDIRECT("G"&amp;ROW()),minfo!$A:$M,COLUMN()-8,0),"")</f>
        <v>0</v>
      </c>
      <c r="O1426" s="4" t="str">
        <f ca="1">_xlfn.IFNA(VLOOKUP(INDIRECT("G"&amp;ROW()),minfo!$A:$M,COLUMN()-8,0),"")</f>
        <v>https://i0.hdslb.com/bfs/station_src/music_metadata/eb2ea0d92ea01037d0bf40b84f74ba3c.jpg</v>
      </c>
      <c r="P1426" s="4" t="str">
        <f ca="1">_xlfn.IFNA(VLOOKUP(INDIRECT("G"&amp;ROW()),minfo!$A:$M,COLUMN()-8,0),"")</f>
        <v>http://i0.hdslb.com/bfs/station_src/music_metadata/6a24f1c6a9c77280bdcb81d7f5d991ea</v>
      </c>
      <c r="Q1426" s="4">
        <f ca="1">_xlfn.IFNA(VLOOKUP(INDIRECT("G"&amp;ROW()),minfo!$A:$M,COLUMN()-8,0),"")</f>
        <v>274</v>
      </c>
      <c r="R1426" s="4" t="str">
        <f ca="1">_xlfn.IFNA(VLOOKUP(INDIRECT("G"&amp;ROW()),minfo!$A:$M,COLUMN()-8,0),"")</f>
        <v>《命中注定我爱你》电视剧片尾曲</v>
      </c>
      <c r="S1426" s="4" t="str">
        <f ca="1">_xlfn.IFNA(VLOOKUP(INDIRECT("G"&amp;ROW()),minfo!$A:$M,COLUMN()-8,0),"")</f>
        <v>命中注定我爱你 电视剧原声带</v>
      </c>
      <c r="T1426" s="4">
        <f ca="1">_xlfn.IFNA(VLOOKUP(INDIRECT("G"&amp;ROW()),minfo!$A:$M,COLUMN()-8,0),"")</f>
        <v>106409525</v>
      </c>
      <c r="U1426" s="4">
        <f ca="1">_xlfn.IFNA(VLOOKUP(INDIRECT("G"&amp;ROW()),minfo!$A:$M,COLUMN()-8,0),"")</f>
        <v>0</v>
      </c>
    </row>
    <row r="1427" spans="1:21" ht="15.75" customHeight="1">
      <c r="A1427" s="15">
        <v>1426</v>
      </c>
      <c r="B1427" s="4" t="s">
        <v>5054</v>
      </c>
      <c r="C1427" s="4">
        <v>1427</v>
      </c>
      <c r="D1427" s="4">
        <v>73</v>
      </c>
      <c r="E1427" s="4" t="s">
        <v>2866</v>
      </c>
      <c r="F1427" s="16">
        <v>44776</v>
      </c>
      <c r="G1427" s="5" t="s">
        <v>2865</v>
      </c>
      <c r="H1427" s="5" t="s">
        <v>4978</v>
      </c>
      <c r="I1427" s="24" t="str">
        <f>HYPERLINK("https://www.bilibili.com/video/BV1ta411X75v?p=73", "BV1ta411X75v?p=73")</f>
        <v>BV1ta411X75v?p=73</v>
      </c>
      <c r="J1427" s="4" t="str">
        <f ca="1">_xlfn.IFNA(VLOOKUP(INDIRECT("G"&amp;ROW()),minfo!$A:$M,COLUMN()-8,0),"")</f>
        <v>恶作剧</v>
      </c>
      <c r="K1427" s="4" t="str">
        <f ca="1">_xlfn.IFNA(VLOOKUP(INDIRECT("G"&amp;ROW()),minfo!$A:$M,COLUMN()-8,0),"")</f>
        <v>王蓝茵</v>
      </c>
      <c r="L1427" s="4">
        <f ca="1">_xlfn.IFNA(VLOOKUP(INDIRECT("G"&amp;ROW()),minfo!$A:$M,COLUMN()-8,0),"")</f>
        <v>0</v>
      </c>
      <c r="M1427" s="4">
        <f ca="1">_xlfn.IFNA(VLOOKUP(INDIRECT("G"&amp;ROW()),minfo!$A:$M,COLUMN()-8,0),"")</f>
        <v>0</v>
      </c>
      <c r="N1427" s="4">
        <f ca="1">_xlfn.IFNA(VLOOKUP(INDIRECT("G"&amp;ROW()),minfo!$A:$M,COLUMN()-8,0),"")</f>
        <v>0</v>
      </c>
      <c r="O1427" s="4" t="str">
        <f ca="1">_xlfn.IFNA(VLOOKUP(INDIRECT("G"&amp;ROW()),minfo!$A:$M,COLUMN()-8,0),"")</f>
        <v>http://i0.hdslb.com/bfs/station_src/music_metadata/734385254023262eb704ee972458841d.jpg</v>
      </c>
      <c r="P1427" s="4" t="str">
        <f ca="1">_xlfn.IFNA(VLOOKUP(INDIRECT("G"&amp;ROW()),minfo!$A:$M,COLUMN()-8,0),"")</f>
        <v>http://i0.hdslb.com/bfs/station_src/music_metadata/52b02dbc9fc54a831230a845139047a5</v>
      </c>
      <c r="Q1427" s="4">
        <f ca="1">_xlfn.IFNA(VLOOKUP(INDIRECT("G"&amp;ROW()),minfo!$A:$M,COLUMN()-8,0),"")</f>
        <v>2536</v>
      </c>
      <c r="R1427" s="4" t="str">
        <f ca="1">_xlfn.IFNA(VLOOKUP(INDIRECT("G"&amp;ROW()),minfo!$A:$M,COLUMN()-8,0),"")</f>
        <v>《 恶作剧之吻》电视剧片尾曲</v>
      </c>
      <c r="S1427" s="4" t="str">
        <f ca="1">_xlfn.IFNA(VLOOKUP(INDIRECT("G"&amp;ROW()),minfo!$A:$M,COLUMN()-8,0),"")</f>
        <v>恶作剧之吻 电视剧原声带</v>
      </c>
      <c r="T1427" s="4">
        <f ca="1">_xlfn.IFNA(VLOOKUP(INDIRECT("G"&amp;ROW()),minfo!$A:$M,COLUMN()-8,0),"")</f>
        <v>692439138</v>
      </c>
      <c r="U1427" s="4" t="str">
        <f ca="1">_xlfn.IFNA(VLOOKUP(INDIRECT("G"&amp;ROW()),minfo!$A:$M,COLUMN()-8,0),"")</f>
        <v>音乐榜最高NO.17</v>
      </c>
    </row>
    <row r="1428" spans="1:21" ht="15.75" customHeight="1">
      <c r="A1428" s="15">
        <v>1427</v>
      </c>
      <c r="B1428" s="4" t="s">
        <v>5055</v>
      </c>
      <c r="C1428" s="4">
        <v>1428</v>
      </c>
      <c r="D1428" s="4">
        <v>74</v>
      </c>
      <c r="E1428" s="4" t="s">
        <v>2637</v>
      </c>
      <c r="F1428" s="16">
        <v>44776</v>
      </c>
      <c r="G1428" s="5" t="s">
        <v>2636</v>
      </c>
      <c r="H1428" s="5" t="s">
        <v>4978</v>
      </c>
      <c r="I1428" s="24" t="str">
        <f>HYPERLINK("https://www.bilibili.com/video/BV1ta411X75v?p=74", "BV1ta411X75v?p=74")</f>
        <v>BV1ta411X75v?p=74</v>
      </c>
      <c r="J1428" s="4" t="str">
        <f ca="1">_xlfn.IFNA(VLOOKUP(INDIRECT("G"&amp;ROW()),minfo!$A:$M,COLUMN()-8,0),"")</f>
        <v>天下无双</v>
      </c>
      <c r="K1428" s="4" t="str">
        <f ca="1">_xlfn.IFNA(VLOOKUP(INDIRECT("G"&amp;ROW()),minfo!$A:$M,COLUMN()-8,0),"")</f>
        <v>陈奕迅</v>
      </c>
      <c r="L1428" s="4">
        <f ca="1">_xlfn.IFNA(VLOOKUP(INDIRECT("G"&amp;ROW()),minfo!$A:$M,COLUMN()-8,0),"")</f>
        <v>0</v>
      </c>
      <c r="M1428" s="4">
        <f ca="1">_xlfn.IFNA(VLOOKUP(INDIRECT("G"&amp;ROW()),minfo!$A:$M,COLUMN()-8,0),"")</f>
        <v>0</v>
      </c>
      <c r="N1428" s="4">
        <f ca="1">_xlfn.IFNA(VLOOKUP(INDIRECT("G"&amp;ROW()),minfo!$A:$M,COLUMN()-8,0),"")</f>
        <v>0</v>
      </c>
      <c r="O1428" s="4" t="str">
        <f ca="1">_xlfn.IFNA(VLOOKUP(INDIRECT("G"&amp;ROW()),minfo!$A:$M,COLUMN()-8,0),"")</f>
        <v>https://i0.hdslb.com/bfs/station_src/music_metadata/8a9a05e416a5aae71d43891deec77cee.jpg</v>
      </c>
      <c r="P1428" s="4" t="str">
        <f ca="1">_xlfn.IFNA(VLOOKUP(INDIRECT("G"&amp;ROW()),minfo!$A:$M,COLUMN()-8,0),"")</f>
        <v>http://i0.hdslb.com/bfs/station_src/music_metadata/c5fc09532e5820e7a118ec34272ea752</v>
      </c>
      <c r="Q1428" s="4">
        <f ca="1">_xlfn.IFNA(VLOOKUP(INDIRECT("G"&amp;ROW()),minfo!$A:$M,COLUMN()-8,0),"")</f>
        <v>118</v>
      </c>
      <c r="R1428" s="4">
        <f ca="1">_xlfn.IFNA(VLOOKUP(INDIRECT("G"&amp;ROW()),minfo!$A:$M,COLUMN()-8,0),"")</f>
        <v>0</v>
      </c>
      <c r="S1428" s="4" t="str">
        <f ca="1">_xlfn.IFNA(VLOOKUP(INDIRECT("G"&amp;ROW()),minfo!$A:$M,COLUMN()-8,0),"")</f>
        <v>我的快乐时代</v>
      </c>
      <c r="T1428" s="4">
        <f ca="1">_xlfn.IFNA(VLOOKUP(INDIRECT("G"&amp;ROW()),minfo!$A:$M,COLUMN()-8,0),"")</f>
        <v>90665327</v>
      </c>
      <c r="U1428" s="4">
        <f ca="1">_xlfn.IFNA(VLOOKUP(INDIRECT("G"&amp;ROW()),minfo!$A:$M,COLUMN()-8,0),"")</f>
        <v>0</v>
      </c>
    </row>
    <row r="1429" spans="1:21" ht="15.75" customHeight="1">
      <c r="A1429" s="15">
        <v>1428</v>
      </c>
      <c r="B1429" s="4" t="s">
        <v>5056</v>
      </c>
      <c r="C1429" s="4">
        <v>1429</v>
      </c>
      <c r="D1429" s="4">
        <v>75</v>
      </c>
      <c r="E1429" s="4" t="s">
        <v>2873</v>
      </c>
      <c r="F1429" s="16">
        <v>44777</v>
      </c>
      <c r="G1429" s="5" t="s">
        <v>2872</v>
      </c>
      <c r="H1429" s="5" t="s">
        <v>4978</v>
      </c>
      <c r="I1429" s="24" t="str">
        <f>HYPERLINK("https://www.bilibili.com/video/BV1ta411X75v?p=75", "BV1ta411X75v?p=75")</f>
        <v>BV1ta411X75v?p=75</v>
      </c>
      <c r="J1429" s="4" t="str">
        <f ca="1">_xlfn.IFNA(VLOOKUP(INDIRECT("G"&amp;ROW()),minfo!$A:$M,COLUMN()-8,0),"")</f>
        <v>小酒窝</v>
      </c>
      <c r="K1429" s="4" t="str">
        <f ca="1">_xlfn.IFNA(VLOOKUP(INDIRECT("G"&amp;ROW()),minfo!$A:$M,COLUMN()-8,0),"")</f>
        <v>林俊杰,蔡卓妍</v>
      </c>
      <c r="L1429" s="4">
        <f ca="1">_xlfn.IFNA(VLOOKUP(INDIRECT("G"&amp;ROW()),minfo!$A:$M,COLUMN()-8,0),"")</f>
        <v>0</v>
      </c>
      <c r="M1429" s="4">
        <f ca="1">_xlfn.IFNA(VLOOKUP(INDIRECT("G"&amp;ROW()),minfo!$A:$M,COLUMN()-8,0),"")</f>
        <v>48</v>
      </c>
      <c r="N1429" s="4">
        <f ca="1">_xlfn.IFNA(VLOOKUP(INDIRECT("G"&amp;ROW()),minfo!$A:$M,COLUMN()-8,0),"")</f>
        <v>14</v>
      </c>
      <c r="O1429" s="4" t="str">
        <f ca="1">_xlfn.IFNA(VLOOKUP(INDIRECT("G"&amp;ROW()),minfo!$A:$M,COLUMN()-8,0),"")</f>
        <v>https://i0.hdslb.com/bfs/station_src/music_metadata/6a7ad9a408532b4f36924ef9299855bb.jpg</v>
      </c>
      <c r="P1429" s="4" t="str">
        <f ca="1">_xlfn.IFNA(VLOOKUP(INDIRECT("G"&amp;ROW()),minfo!$A:$M,COLUMN()-8,0),"")</f>
        <v>http://i0.hdslb.com/bfs/station_src/music_metadata/0f62e97f70efcb971264c911fdcc4e02</v>
      </c>
      <c r="Q1429" s="4">
        <f ca="1">_xlfn.IFNA(VLOOKUP(INDIRECT("G"&amp;ROW()),minfo!$A:$M,COLUMN()-8,0),"")</f>
        <v>160</v>
      </c>
      <c r="R1429" s="4" t="str">
        <f ca="1">_xlfn.IFNA(VLOOKUP(INDIRECT("G"&amp;ROW()),minfo!$A:$M,COLUMN()-8,0),"")</f>
        <v>《爱情睡醒了》电视剧插曲</v>
      </c>
      <c r="S1429" s="4" t="str">
        <f ca="1">_xlfn.IFNA(VLOOKUP(INDIRECT("G"&amp;ROW()),minfo!$A:$M,COLUMN()-8,0),"")</f>
        <v>JJ陆</v>
      </c>
      <c r="T1429" s="4">
        <f ca="1">_xlfn.IFNA(VLOOKUP(INDIRECT("G"&amp;ROW()),minfo!$A:$M,COLUMN()-8,0),"")</f>
        <v>198418847</v>
      </c>
      <c r="U1429" s="4">
        <f ca="1">_xlfn.IFNA(VLOOKUP(INDIRECT("G"&amp;ROW()),minfo!$A:$M,COLUMN()-8,0),"")</f>
        <v>0</v>
      </c>
    </row>
    <row r="1430" spans="1:21" ht="15.75" customHeight="1">
      <c r="A1430" s="15">
        <v>1429</v>
      </c>
      <c r="B1430" s="4" t="s">
        <v>5057</v>
      </c>
      <c r="C1430" s="4">
        <v>1430</v>
      </c>
      <c r="D1430" s="4">
        <v>76</v>
      </c>
      <c r="E1430" s="4" t="s">
        <v>2879</v>
      </c>
      <c r="F1430" s="16">
        <v>44777</v>
      </c>
      <c r="G1430" s="5" t="s">
        <v>2878</v>
      </c>
      <c r="H1430" s="5" t="s">
        <v>4978</v>
      </c>
      <c r="I1430" s="24" t="str">
        <f>HYPERLINK("https://www.bilibili.com/video/BV1ta411X75v?p=76", "BV1ta411X75v?p=76")</f>
        <v>BV1ta411X75v?p=76</v>
      </c>
      <c r="J1430" s="4" t="str">
        <f ca="1">_xlfn.IFNA(VLOOKUP(INDIRECT("G"&amp;ROW()),minfo!$A:$M,COLUMN()-8,0),"")</f>
        <v>怎么办</v>
      </c>
      <c r="K1430" s="4" t="str">
        <f ca="1">_xlfn.IFNA(VLOOKUP(INDIRECT("G"&amp;ROW()),minfo!$A:$M,COLUMN()-8,0),"")</f>
        <v>S.H.E</v>
      </c>
      <c r="L1430" s="4">
        <f ca="1">_xlfn.IFNA(VLOOKUP(INDIRECT("G"&amp;ROW()),minfo!$A:$M,COLUMN()-8,0),"")</f>
        <v>0</v>
      </c>
      <c r="M1430" s="4">
        <f ca="1">_xlfn.IFNA(VLOOKUP(INDIRECT("G"&amp;ROW()),minfo!$A:$M,COLUMN()-8,0),"")</f>
        <v>0</v>
      </c>
      <c r="N1430" s="4">
        <f ca="1">_xlfn.IFNA(VLOOKUP(INDIRECT("G"&amp;ROW()),minfo!$A:$M,COLUMN()-8,0),"")</f>
        <v>0</v>
      </c>
      <c r="O1430" s="4" t="str">
        <f ca="1">_xlfn.IFNA(VLOOKUP(INDIRECT("G"&amp;ROW()),minfo!$A:$M,COLUMN()-8,0),"")</f>
        <v>https://i0.hdslb.com/bfs/station_src/music_metadata/63a9e5243ff3e4d2b579dd40ffacf452.jpg</v>
      </c>
      <c r="P1430" s="4" t="str">
        <f ca="1">_xlfn.IFNA(VLOOKUP(INDIRECT("G"&amp;ROW()),minfo!$A:$M,COLUMN()-8,0),"")</f>
        <v>https://i0.hdslb.com/bfs/station_src/music_metadata/630862126773af500d2ee0f436f2c516.txt</v>
      </c>
      <c r="Q1430" s="4">
        <f ca="1">_xlfn.IFNA(VLOOKUP(INDIRECT("G"&amp;ROW()),minfo!$A:$M,COLUMN()-8,0),"")</f>
        <v>258</v>
      </c>
      <c r="R1430" s="4">
        <f ca="1">_xlfn.IFNA(VLOOKUP(INDIRECT("G"&amp;ROW()),minfo!$A:$M,COLUMN()-8,0),"")</f>
        <v>0</v>
      </c>
      <c r="S1430" s="4" t="str">
        <f ca="1">_xlfn.IFNA(VLOOKUP(INDIRECT("G"&amp;ROW()),minfo!$A:$M,COLUMN()-8,0),"")</f>
        <v>花样少年少女 电视剧原声带</v>
      </c>
      <c r="T1430" s="4">
        <f ca="1">_xlfn.IFNA(VLOOKUP(INDIRECT("G"&amp;ROW()),minfo!$A:$M,COLUMN()-8,0),"")</f>
        <v>81450082</v>
      </c>
      <c r="U1430" s="4">
        <f ca="1">_xlfn.IFNA(VLOOKUP(INDIRECT("G"&amp;ROW()),minfo!$A:$M,COLUMN()-8,0),"")</f>
        <v>0</v>
      </c>
    </row>
    <row r="1431" spans="1:21" ht="15.75" customHeight="1">
      <c r="A1431" s="15">
        <v>1430</v>
      </c>
      <c r="B1431" s="4" t="s">
        <v>5058</v>
      </c>
      <c r="C1431" s="4">
        <v>1431</v>
      </c>
      <c r="D1431" s="4">
        <v>77</v>
      </c>
      <c r="E1431" s="4" t="s">
        <v>2767</v>
      </c>
      <c r="F1431" s="16">
        <v>44777</v>
      </c>
      <c r="G1431" s="5" t="s">
        <v>2766</v>
      </c>
      <c r="H1431" s="5" t="s">
        <v>4978</v>
      </c>
      <c r="I1431" s="24" t="str">
        <f>HYPERLINK("https://www.bilibili.com/video/BV1ta411X75v?p=77", "BV1ta411X75v?p=77")</f>
        <v>BV1ta411X75v?p=77</v>
      </c>
      <c r="J1431" s="4" t="str">
        <f ca="1">_xlfn.IFNA(VLOOKUP(INDIRECT("G"&amp;ROW()),minfo!$A:$M,COLUMN()-8,0),"")</f>
        <v>慢慢喜欢你</v>
      </c>
      <c r="K1431" s="4" t="str">
        <f ca="1">_xlfn.IFNA(VLOOKUP(INDIRECT("G"&amp;ROW()),minfo!$A:$M,COLUMN()-8,0),"")</f>
        <v>莫文蔚</v>
      </c>
      <c r="L1431" s="4">
        <f ca="1">_xlfn.IFNA(VLOOKUP(INDIRECT("G"&amp;ROW()),minfo!$A:$M,COLUMN()-8,0),"")</f>
        <v>0</v>
      </c>
      <c r="M1431" s="4">
        <f ca="1">_xlfn.IFNA(VLOOKUP(INDIRECT("G"&amp;ROW()),minfo!$A:$M,COLUMN()-8,0),"")</f>
        <v>0</v>
      </c>
      <c r="N1431" s="4">
        <f ca="1">_xlfn.IFNA(VLOOKUP(INDIRECT("G"&amp;ROW()),minfo!$A:$M,COLUMN()-8,0),"")</f>
        <v>0</v>
      </c>
      <c r="O1431" s="4" t="str">
        <f ca="1">_xlfn.IFNA(VLOOKUP(INDIRECT("G"&amp;ROW()),minfo!$A:$M,COLUMN()-8,0),"")</f>
        <v>https://i0.hdslb.com/bfs/station_src/music_metadata/e3900bdbf7412a528714d43012a53567.jpg</v>
      </c>
      <c r="P1431" s="4" t="str">
        <f ca="1">_xlfn.IFNA(VLOOKUP(INDIRECT("G"&amp;ROW()),minfo!$A:$M,COLUMN()-8,0),"")</f>
        <v>http://i0.hdslb.com/bfs/station_src/music_metadata/3333265af451e66a565c52c52aa85a91</v>
      </c>
      <c r="Q1431" s="4">
        <f ca="1">_xlfn.IFNA(VLOOKUP(INDIRECT("G"&amp;ROW()),minfo!$A:$M,COLUMN()-8,0),"")</f>
        <v>386</v>
      </c>
      <c r="R1431" s="4">
        <f ca="1">_xlfn.IFNA(VLOOKUP(INDIRECT("G"&amp;ROW()),minfo!$A:$M,COLUMN()-8,0),"")</f>
        <v>0</v>
      </c>
      <c r="S1431" s="4" t="str">
        <f ca="1">_xlfn.IFNA(VLOOKUP(INDIRECT("G"&amp;ROW()),minfo!$A:$M,COLUMN()-8,0),"")</f>
        <v>我们在中场相遇</v>
      </c>
      <c r="T1431" s="4">
        <f ca="1">_xlfn.IFNA(VLOOKUP(INDIRECT("G"&amp;ROW()),minfo!$A:$M,COLUMN()-8,0),"")</f>
        <v>235303544</v>
      </c>
      <c r="U1431" s="4">
        <f ca="1">_xlfn.IFNA(VLOOKUP(INDIRECT("G"&amp;ROW()),minfo!$A:$M,COLUMN()-8,0),"")</f>
        <v>0</v>
      </c>
    </row>
    <row r="1432" spans="1:21" ht="15.75" customHeight="1">
      <c r="A1432" s="15">
        <v>1431</v>
      </c>
      <c r="B1432" s="4" t="s">
        <v>5059</v>
      </c>
      <c r="C1432" s="4">
        <v>1432</v>
      </c>
      <c r="D1432" s="4">
        <v>78</v>
      </c>
      <c r="E1432" s="4" t="s">
        <v>798</v>
      </c>
      <c r="F1432" s="16">
        <v>44778</v>
      </c>
      <c r="G1432" s="5" t="s">
        <v>797</v>
      </c>
      <c r="H1432" s="5" t="s">
        <v>4978</v>
      </c>
      <c r="I1432" s="24" t="str">
        <f>HYPERLINK("https://www.bilibili.com/video/BV1ta411X75v?p=78", "BV1ta411X75v?p=78")</f>
        <v>BV1ta411X75v?p=78</v>
      </c>
      <c r="J1432" s="4" t="str">
        <f ca="1">_xlfn.IFNA(VLOOKUP(INDIRECT("G"&amp;ROW()),minfo!$A:$M,COLUMN()-8,0),"")</f>
        <v>让她降落</v>
      </c>
      <c r="K1432" s="4" t="str">
        <f ca="1">_xlfn.IFNA(VLOOKUP(INDIRECT("G"&amp;ROW()),minfo!$A:$M,COLUMN()-8,0),"")</f>
        <v>何璐</v>
      </c>
      <c r="L1432" s="4">
        <f ca="1">_xlfn.IFNA(VLOOKUP(INDIRECT("G"&amp;ROW()),minfo!$A:$M,COLUMN()-8,0),"")</f>
        <v>0</v>
      </c>
      <c r="M1432" s="4">
        <f ca="1">_xlfn.IFNA(VLOOKUP(INDIRECT("G"&amp;ROW()),minfo!$A:$M,COLUMN()-8,0),"")</f>
        <v>0</v>
      </c>
      <c r="N1432" s="4">
        <f ca="1">_xlfn.IFNA(VLOOKUP(INDIRECT("G"&amp;ROW()),minfo!$A:$M,COLUMN()-8,0),"")</f>
        <v>0</v>
      </c>
      <c r="O1432" s="4" t="str">
        <f ca="1">_xlfn.IFNA(VLOOKUP(INDIRECT("G"&amp;ROW()),minfo!$A:$M,COLUMN()-8,0),"")</f>
        <v>http://i0.hdslb.com/bfs/station_src/music_metadata/cac3cdb113beb631fc51a8ee80236746.jpg</v>
      </c>
      <c r="P1432" s="4" t="str">
        <f ca="1">_xlfn.IFNA(VLOOKUP(INDIRECT("G"&amp;ROW()),minfo!$A:$M,COLUMN()-8,0),"")</f>
        <v>http://i0.hdslb.com/bfs/station_src/music_metadata/61a0ea9f4aae0b0d39b3cda25e077499</v>
      </c>
      <c r="Q1432" s="4">
        <f ca="1">_xlfn.IFNA(VLOOKUP(INDIRECT("G"&amp;ROW()),minfo!$A:$M,COLUMN()-8,0),"")</f>
        <v>850</v>
      </c>
      <c r="R1432" s="4">
        <f ca="1">_xlfn.IFNA(VLOOKUP(INDIRECT("G"&amp;ROW()),minfo!$A:$M,COLUMN()-8,0),"")</f>
        <v>0</v>
      </c>
      <c r="S1432" s="4" t="str">
        <f ca="1">_xlfn.IFNA(VLOOKUP(INDIRECT("G"&amp;ROW()),minfo!$A:$M,COLUMN()-8,0),"")</f>
        <v>让她降落</v>
      </c>
      <c r="T1432" s="4">
        <f ca="1">_xlfn.IFNA(VLOOKUP(INDIRECT("G"&amp;ROW()),minfo!$A:$M,COLUMN()-8,0),"")</f>
        <v>168699816</v>
      </c>
      <c r="U1432" s="4">
        <f ca="1">_xlfn.IFNA(VLOOKUP(INDIRECT("G"&amp;ROW()),minfo!$A:$M,COLUMN()-8,0),"")</f>
        <v>0</v>
      </c>
    </row>
    <row r="1433" spans="1:21" ht="15.75" customHeight="1">
      <c r="A1433" s="15">
        <v>1432</v>
      </c>
      <c r="B1433" s="4" t="s">
        <v>5060</v>
      </c>
      <c r="C1433" s="4">
        <v>1433</v>
      </c>
      <c r="D1433" s="4">
        <v>79</v>
      </c>
      <c r="E1433" s="4" t="s">
        <v>4512</v>
      </c>
      <c r="F1433" s="16">
        <v>44779</v>
      </c>
      <c r="G1433" s="5" t="s">
        <v>2140</v>
      </c>
      <c r="H1433" s="5" t="s">
        <v>4978</v>
      </c>
      <c r="I1433" s="24" t="str">
        <f>HYPERLINK("https://www.bilibili.com/video/BV1ta411X75v?p=79", "BV1ta411X75v?p=79")</f>
        <v>BV1ta411X75v?p=79</v>
      </c>
      <c r="J1433" s="4" t="str">
        <f ca="1">_xlfn.IFNA(VLOOKUP(INDIRECT("G"&amp;ROW()),minfo!$A:$M,COLUMN()-8,0),"")</f>
        <v>Mojito</v>
      </c>
      <c r="K1433" s="4" t="str">
        <f ca="1">_xlfn.IFNA(VLOOKUP(INDIRECT("G"&amp;ROW()),minfo!$A:$M,COLUMN()-8,0),"")</f>
        <v>周杰伦</v>
      </c>
      <c r="L1433" s="4">
        <f ca="1">_xlfn.IFNA(VLOOKUP(INDIRECT("G"&amp;ROW()),minfo!$A:$M,COLUMN()-8,0),"")</f>
        <v>0</v>
      </c>
      <c r="M1433" s="4">
        <f ca="1">_xlfn.IFNA(VLOOKUP(INDIRECT("G"&amp;ROW()),minfo!$A:$M,COLUMN()-8,0),"")</f>
        <v>1116715</v>
      </c>
      <c r="N1433" s="4">
        <f ca="1">_xlfn.IFNA(VLOOKUP(INDIRECT("G"&amp;ROW()),minfo!$A:$M,COLUMN()-8,0),"")</f>
        <v>297452</v>
      </c>
      <c r="O1433" s="4" t="str">
        <f ca="1">_xlfn.IFNA(VLOOKUP(INDIRECT("G"&amp;ROW()),minfo!$A:$M,COLUMN()-8,0),"")</f>
        <v>http://i0.hdslb.com/bfs/station_src/music_metadata/aafeb918e08f299cce55518ddee07f79.jpg</v>
      </c>
      <c r="P1433" s="4" t="str">
        <f ca="1">_xlfn.IFNA(VLOOKUP(INDIRECT("G"&amp;ROW()),minfo!$A:$M,COLUMN()-8,0),"")</f>
        <v>http://i0.hdslb.com/bfs/station_src/music_metadata/e8bf7b8b05c009d044ec97c39b1f447e</v>
      </c>
      <c r="Q1433" s="4">
        <f ca="1">_xlfn.IFNA(VLOOKUP(INDIRECT("G"&amp;ROW()),minfo!$A:$M,COLUMN()-8,0),"")</f>
        <v>384</v>
      </c>
      <c r="R1433" s="4">
        <f ca="1">_xlfn.IFNA(VLOOKUP(INDIRECT("G"&amp;ROW()),minfo!$A:$M,COLUMN()-8,0),"")</f>
        <v>0</v>
      </c>
      <c r="S1433" s="4" t="str">
        <f ca="1">_xlfn.IFNA(VLOOKUP(INDIRECT("G"&amp;ROW()),minfo!$A:$M,COLUMN()-8,0),"")</f>
        <v xml:space="preserve"> Mojito</v>
      </c>
      <c r="T1433" s="4">
        <f ca="1">_xlfn.IFNA(VLOOKUP(INDIRECT("G"&amp;ROW()),minfo!$A:$M,COLUMN()-8,0),"")</f>
        <v>309787938</v>
      </c>
      <c r="U1433" s="4" t="str">
        <f ca="1">_xlfn.IFNA(VLOOKUP(INDIRECT("G"&amp;ROW()),minfo!$A:$M,COLUMN()-8,0),"")</f>
        <v>音乐榜最高NO.16</v>
      </c>
    </row>
    <row r="1434" spans="1:21" ht="15.75" customHeight="1">
      <c r="A1434" s="15">
        <v>1433</v>
      </c>
      <c r="B1434" s="4" t="s">
        <v>5061</v>
      </c>
      <c r="C1434" s="4">
        <v>1434</v>
      </c>
      <c r="D1434" s="4">
        <v>80</v>
      </c>
      <c r="E1434" s="4" t="s">
        <v>922</v>
      </c>
      <c r="F1434" s="16">
        <v>44779</v>
      </c>
      <c r="G1434" s="5" t="s">
        <v>921</v>
      </c>
      <c r="H1434" s="5" t="s">
        <v>4978</v>
      </c>
      <c r="I1434" s="24" t="str">
        <f>HYPERLINK("https://www.bilibili.com/video/BV1ta411X75v?p=80", "BV1ta411X75v?p=80")</f>
        <v>BV1ta411X75v?p=80</v>
      </c>
      <c r="J1434" s="4" t="str">
        <f ca="1">_xlfn.IFNA(VLOOKUP(INDIRECT("G"&amp;ROW()),minfo!$A:$M,COLUMN()-8,0),"")</f>
        <v>月亮代表我的心</v>
      </c>
      <c r="K1434" s="4" t="str">
        <f ca="1">_xlfn.IFNA(VLOOKUP(INDIRECT("G"&amp;ROW()),minfo!$A:$M,COLUMN()-8,0),"")</f>
        <v>邓丽君</v>
      </c>
      <c r="L1434" s="4">
        <f ca="1">_xlfn.IFNA(VLOOKUP(INDIRECT("G"&amp;ROW()),minfo!$A:$M,COLUMN()-8,0),"")</f>
        <v>0</v>
      </c>
      <c r="M1434" s="4">
        <f ca="1">_xlfn.IFNA(VLOOKUP(INDIRECT("G"&amp;ROW()),minfo!$A:$M,COLUMN()-8,0),"")</f>
        <v>0</v>
      </c>
      <c r="N1434" s="4">
        <f ca="1">_xlfn.IFNA(VLOOKUP(INDIRECT("G"&amp;ROW()),minfo!$A:$M,COLUMN()-8,0),"")</f>
        <v>0</v>
      </c>
      <c r="O1434" s="4" t="str">
        <f ca="1">_xlfn.IFNA(VLOOKUP(INDIRECT("G"&amp;ROW()),minfo!$A:$M,COLUMN()-8,0),"")</f>
        <v>http://i0.hdslb.com/bfs/station_src/music_metadata/bd74866c15196fe2e0221c852cd1f687.jpg</v>
      </c>
      <c r="P1434" s="4" t="str">
        <f ca="1">_xlfn.IFNA(VLOOKUP(INDIRECT("G"&amp;ROW()),minfo!$A:$M,COLUMN()-8,0),"")</f>
        <v>http://i0.hdslb.com/bfs/station_src/music_metadata/47c5859ed38ee442afeffa8c3c2a6afb</v>
      </c>
      <c r="Q1434" s="4">
        <f ca="1">_xlfn.IFNA(VLOOKUP(INDIRECT("G"&amp;ROW()),minfo!$A:$M,COLUMN()-8,0),"")</f>
        <v>233</v>
      </c>
      <c r="R1434" s="4">
        <f ca="1">_xlfn.IFNA(VLOOKUP(INDIRECT("G"&amp;ROW()),minfo!$A:$M,COLUMN()-8,0),"")</f>
        <v>0</v>
      </c>
      <c r="S1434" s="4">
        <f ca="1">_xlfn.IFNA(VLOOKUP(INDIRECT("G"&amp;ROW()),minfo!$A:$M,COLUMN()-8,0),"")</f>
        <v>0</v>
      </c>
      <c r="T1434" s="4">
        <f ca="1">_xlfn.IFNA(VLOOKUP(INDIRECT("G"&amp;ROW()),minfo!$A:$M,COLUMN()-8,0),"")</f>
        <v>131757764</v>
      </c>
      <c r="U1434" s="4">
        <f ca="1">_xlfn.IFNA(VLOOKUP(INDIRECT("G"&amp;ROW()),minfo!$A:$M,COLUMN()-8,0),"")</f>
        <v>0</v>
      </c>
    </row>
    <row r="1435" spans="1:21" ht="15.75" customHeight="1">
      <c r="A1435" s="15">
        <v>1434</v>
      </c>
      <c r="B1435" s="4" t="s">
        <v>5062</v>
      </c>
      <c r="C1435" s="4">
        <v>1435</v>
      </c>
      <c r="D1435" s="4">
        <v>81</v>
      </c>
      <c r="E1435" s="4" t="s">
        <v>2884</v>
      </c>
      <c r="F1435" s="16">
        <v>44779</v>
      </c>
      <c r="G1435" s="5" t="s">
        <v>2883</v>
      </c>
      <c r="H1435" s="5" t="s">
        <v>4978</v>
      </c>
      <c r="I1435" s="24" t="str">
        <f>HYPERLINK("https://www.bilibili.com/video/BV1ta411X75v?p=81", "BV1ta411X75v?p=81")</f>
        <v>BV1ta411X75v?p=81</v>
      </c>
      <c r="J1435" s="4" t="str">
        <f ca="1">_xlfn.IFNA(VLOOKUP(INDIRECT("G"&amp;ROW()),minfo!$A:$M,COLUMN()-8,0),"")</f>
        <v>终于等到你</v>
      </c>
      <c r="K1435" s="4" t="str">
        <f ca="1">_xlfn.IFNA(VLOOKUP(INDIRECT("G"&amp;ROW()),minfo!$A:$M,COLUMN()-8,0),"")</f>
        <v>张靓颖</v>
      </c>
      <c r="L1435" s="4">
        <f ca="1">_xlfn.IFNA(VLOOKUP(INDIRECT("G"&amp;ROW()),minfo!$A:$M,COLUMN()-8,0),"")</f>
        <v>0</v>
      </c>
      <c r="M1435" s="4">
        <f ca="1">_xlfn.IFNA(VLOOKUP(INDIRECT("G"&amp;ROW()),minfo!$A:$M,COLUMN()-8,0),"")</f>
        <v>0</v>
      </c>
      <c r="N1435" s="4">
        <f ca="1">_xlfn.IFNA(VLOOKUP(INDIRECT("G"&amp;ROW()),minfo!$A:$M,COLUMN()-8,0),"")</f>
        <v>0</v>
      </c>
      <c r="O1435" s="4" t="str">
        <f ca="1">_xlfn.IFNA(VLOOKUP(INDIRECT("G"&amp;ROW()),minfo!$A:$M,COLUMN()-8,0),"")</f>
        <v>https://i0.hdslb.com/bfs/station_src/music_metadata/01ee913fa087e1bd968660051e135c18.jpg</v>
      </c>
      <c r="P1435" s="4" t="str">
        <f ca="1">_xlfn.IFNA(VLOOKUP(INDIRECT("G"&amp;ROW()),minfo!$A:$M,COLUMN()-8,0),"")</f>
        <v>http://i0.hdslb.com/bfs/station_src/music_metadata/303046c027babfec53ddaa6fa555d0f7</v>
      </c>
      <c r="Q1435" s="4">
        <f ca="1">_xlfn.IFNA(VLOOKUP(INDIRECT("G"&amp;ROW()),minfo!$A:$M,COLUMN()-8,0),"")</f>
        <v>74</v>
      </c>
      <c r="R1435" s="4" t="str">
        <f ca="1">_xlfn.IFNA(VLOOKUP(INDIRECT("G"&amp;ROW()),minfo!$A:$M,COLUMN()-8,0),"")</f>
        <v>《咱们结婚吧》电视剧主题曲</v>
      </c>
      <c r="S1435" s="4" t="str">
        <f ca="1">_xlfn.IFNA(VLOOKUP(INDIRECT("G"&amp;ROW()),minfo!$A:$M,COLUMN()-8,0),"")</f>
        <v>第七感</v>
      </c>
      <c r="T1435" s="4">
        <f ca="1">_xlfn.IFNA(VLOOKUP(INDIRECT("G"&amp;ROW()),minfo!$A:$M,COLUMN()-8,0),"")</f>
        <v>55072286</v>
      </c>
      <c r="U1435" s="4">
        <f ca="1">_xlfn.IFNA(VLOOKUP(INDIRECT("G"&amp;ROW()),minfo!$A:$M,COLUMN()-8,0),"")</f>
        <v>0</v>
      </c>
    </row>
    <row r="1436" spans="1:21" ht="15.75" customHeight="1">
      <c r="A1436" s="15">
        <v>1435</v>
      </c>
      <c r="B1436" s="4" t="s">
        <v>5063</v>
      </c>
      <c r="C1436" s="4">
        <v>1436</v>
      </c>
      <c r="D1436" s="4">
        <v>82</v>
      </c>
      <c r="E1436" s="4" t="s">
        <v>2890</v>
      </c>
      <c r="F1436" s="16">
        <v>44779</v>
      </c>
      <c r="G1436" s="5" t="s">
        <v>2889</v>
      </c>
      <c r="H1436" s="5" t="s">
        <v>4978</v>
      </c>
      <c r="I1436" s="24" t="str">
        <f>HYPERLINK("https://www.bilibili.com/video/BV1ta411X75v?p=82", "BV1ta411X75v?p=82")</f>
        <v>BV1ta411X75v?p=82</v>
      </c>
      <c r="J1436" s="4" t="str">
        <f ca="1">_xlfn.IFNA(VLOOKUP(INDIRECT("G"&amp;ROW()),minfo!$A:$M,COLUMN()-8,0),"")</f>
        <v>如果这就是爱情</v>
      </c>
      <c r="K1436" s="4" t="str">
        <f ca="1">_xlfn.IFNA(VLOOKUP(INDIRECT("G"&amp;ROW()),minfo!$A:$M,COLUMN()-8,0),"")</f>
        <v>张靓颖</v>
      </c>
      <c r="L1436" s="4">
        <f ca="1">_xlfn.IFNA(VLOOKUP(INDIRECT("G"&amp;ROW()),minfo!$A:$M,COLUMN()-8,0),"")</f>
        <v>0</v>
      </c>
      <c r="M1436" s="4">
        <f ca="1">_xlfn.IFNA(VLOOKUP(INDIRECT("G"&amp;ROW()),minfo!$A:$M,COLUMN()-8,0),"")</f>
        <v>0</v>
      </c>
      <c r="N1436" s="4">
        <f ca="1">_xlfn.IFNA(VLOOKUP(INDIRECT("G"&amp;ROW()),minfo!$A:$M,COLUMN()-8,0),"")</f>
        <v>0</v>
      </c>
      <c r="O1436" s="4" t="str">
        <f ca="1">_xlfn.IFNA(VLOOKUP(INDIRECT("G"&amp;ROW()),minfo!$A:$M,COLUMN()-8,0),"")</f>
        <v>https://i0.hdslb.com/bfs/station_src/music_metadata/8a1a2e8eae488691d629f3d2f1e80285.jpg</v>
      </c>
      <c r="P1436" s="4" t="str">
        <f ca="1">_xlfn.IFNA(VLOOKUP(INDIRECT("G"&amp;ROW()),minfo!$A:$M,COLUMN()-8,0),"")</f>
        <v>http://i0.hdslb.com/bfs/station_src/music_metadata/c5ab5a99f4a67ed9c0a214fd1cf9769d</v>
      </c>
      <c r="Q1436" s="4">
        <f ca="1">_xlfn.IFNA(VLOOKUP(INDIRECT("G"&amp;ROW()),minfo!$A:$M,COLUMN()-8,0),"")</f>
        <v>198</v>
      </c>
      <c r="R1436" s="4">
        <f ca="1">_xlfn.IFNA(VLOOKUP(INDIRECT("G"&amp;ROW()),minfo!$A:$M,COLUMN()-8,0),"")</f>
        <v>0</v>
      </c>
      <c r="S1436" s="4" t="str">
        <f ca="1">_xlfn.IFNA(VLOOKUP(INDIRECT("G"&amp;ROW()),minfo!$A:$M,COLUMN()-8,0),"")</f>
        <v>我相信</v>
      </c>
      <c r="T1436" s="4">
        <f ca="1">_xlfn.IFNA(VLOOKUP(INDIRECT("G"&amp;ROW()),minfo!$A:$M,COLUMN()-8,0),"")</f>
        <v>57820423</v>
      </c>
      <c r="U1436" s="4">
        <f ca="1">_xlfn.IFNA(VLOOKUP(INDIRECT("G"&amp;ROW()),minfo!$A:$M,COLUMN()-8,0),"")</f>
        <v>0</v>
      </c>
    </row>
    <row r="1437" spans="1:21" ht="15.75" customHeight="1">
      <c r="A1437" s="15">
        <v>1436</v>
      </c>
      <c r="B1437" s="4" t="s">
        <v>5064</v>
      </c>
      <c r="C1437" s="4">
        <v>1437</v>
      </c>
      <c r="D1437" s="4">
        <v>83</v>
      </c>
      <c r="E1437" s="4" t="s">
        <v>324</v>
      </c>
      <c r="F1437" s="16">
        <v>44779</v>
      </c>
      <c r="G1437" s="5" t="s">
        <v>323</v>
      </c>
      <c r="H1437" s="5" t="s">
        <v>4978</v>
      </c>
      <c r="I1437" s="24" t="str">
        <f>HYPERLINK("https://www.bilibili.com/video/BV1ta411X75v?p=83", "BV1ta411X75v?p=83")</f>
        <v>BV1ta411X75v?p=83</v>
      </c>
      <c r="J1437" s="4" t="str">
        <f ca="1">_xlfn.IFNA(VLOOKUP(INDIRECT("G"&amp;ROW()),minfo!$A:$M,COLUMN()-8,0),"")</f>
        <v>致你</v>
      </c>
      <c r="K1437" s="4" t="str">
        <f ca="1">_xlfn.IFNA(VLOOKUP(INDIRECT("G"&amp;ROW()),minfo!$A:$M,COLUMN()-8,0),"")</f>
        <v>王赫野</v>
      </c>
      <c r="L1437" s="4">
        <f ca="1">_xlfn.IFNA(VLOOKUP(INDIRECT("G"&amp;ROW()),minfo!$A:$M,COLUMN()-8,0),"")</f>
        <v>0</v>
      </c>
      <c r="M1437" s="4">
        <f ca="1">_xlfn.IFNA(VLOOKUP(INDIRECT("G"&amp;ROW()),minfo!$A:$M,COLUMN()-8,0),"")</f>
        <v>0</v>
      </c>
      <c r="N1437" s="4">
        <f ca="1">_xlfn.IFNA(VLOOKUP(INDIRECT("G"&amp;ROW()),minfo!$A:$M,COLUMN()-8,0),"")</f>
        <v>0</v>
      </c>
      <c r="O1437" s="4" t="str">
        <f ca="1">_xlfn.IFNA(VLOOKUP(INDIRECT("G"&amp;ROW()),minfo!$A:$M,COLUMN()-8,0),"")</f>
        <v>http://i0.hdslb.com/bfs/station_src/music_metadata/683916d89744a5d7c887a277e409cfaf.jpg</v>
      </c>
      <c r="P1437" s="4">
        <f ca="1">_xlfn.IFNA(VLOOKUP(INDIRECT("G"&amp;ROW()),minfo!$A:$M,COLUMN()-8,0),"")</f>
        <v>0</v>
      </c>
      <c r="Q1437" s="4">
        <f ca="1">_xlfn.IFNA(VLOOKUP(INDIRECT("G"&amp;ROW()),minfo!$A:$M,COLUMN()-8,0),"")</f>
        <v>3362</v>
      </c>
      <c r="R1437" s="4">
        <f ca="1">_xlfn.IFNA(VLOOKUP(INDIRECT("G"&amp;ROW()),minfo!$A:$M,COLUMN()-8,0),"")</f>
        <v>0</v>
      </c>
      <c r="S1437" s="4" t="str">
        <f ca="1">_xlfn.IFNA(VLOOKUP(INDIRECT("G"&amp;ROW()),minfo!$A:$M,COLUMN()-8,0),"")</f>
        <v>致你</v>
      </c>
      <c r="T1437" s="4">
        <f ca="1">_xlfn.IFNA(VLOOKUP(INDIRECT("G"&amp;ROW()),minfo!$A:$M,COLUMN()-8,0),"")</f>
        <v>258996748</v>
      </c>
      <c r="U1437" s="4">
        <f ca="1">_xlfn.IFNA(VLOOKUP(INDIRECT("G"&amp;ROW()),minfo!$A:$M,COLUMN()-8,0),"")</f>
        <v>0</v>
      </c>
    </row>
    <row r="1438" spans="1:21" ht="15.75" customHeight="1">
      <c r="A1438" s="15">
        <v>1437</v>
      </c>
      <c r="B1438" s="4" t="s">
        <v>5065</v>
      </c>
      <c r="C1438" s="4">
        <v>1438</v>
      </c>
      <c r="D1438" s="4">
        <v>84</v>
      </c>
      <c r="E1438" s="4" t="s">
        <v>550</v>
      </c>
      <c r="F1438" s="16">
        <v>44779</v>
      </c>
      <c r="G1438" s="5" t="s">
        <v>549</v>
      </c>
      <c r="H1438" s="5" t="s">
        <v>4978</v>
      </c>
      <c r="I1438" s="24" t="str">
        <f>HYPERLINK("https://www.bilibili.com/video/BV1ta411X75v?p=84", "BV1ta411X75v?p=84")</f>
        <v>BV1ta411X75v?p=84</v>
      </c>
      <c r="J1438" s="4" t="str">
        <f ca="1">_xlfn.IFNA(VLOOKUP(INDIRECT("G"&amp;ROW()),minfo!$A:$M,COLUMN()-8,0),"")</f>
        <v>靠近</v>
      </c>
      <c r="K1438" s="4" t="str">
        <f ca="1">_xlfn.IFNA(VLOOKUP(INDIRECT("G"&amp;ROW()),minfo!$A:$M,COLUMN()-8,0),"")</f>
        <v>罗震环</v>
      </c>
      <c r="L1438" s="4">
        <f ca="1">_xlfn.IFNA(VLOOKUP(INDIRECT("G"&amp;ROW()),minfo!$A:$M,COLUMN()-8,0),"")</f>
        <v>0</v>
      </c>
      <c r="M1438" s="4">
        <f ca="1">_xlfn.IFNA(VLOOKUP(INDIRECT("G"&amp;ROW()),minfo!$A:$M,COLUMN()-8,0),"")</f>
        <v>0</v>
      </c>
      <c r="N1438" s="4">
        <f ca="1">_xlfn.IFNA(VLOOKUP(INDIRECT("G"&amp;ROW()),minfo!$A:$M,COLUMN()-8,0),"")</f>
        <v>0</v>
      </c>
      <c r="O1438" s="4" t="str">
        <f ca="1">_xlfn.IFNA(VLOOKUP(INDIRECT("G"&amp;ROW()),minfo!$A:$M,COLUMN()-8,0),"")</f>
        <v>https://i0.hdslb.com/bfs/station_src/music_metadata/38ab4a46f651a446f01ba757be262549.jpg</v>
      </c>
      <c r="P1438" s="4" t="str">
        <f ca="1">_xlfn.IFNA(VLOOKUP(INDIRECT("G"&amp;ROW()),minfo!$A:$M,COLUMN()-8,0),"")</f>
        <v>https://i0.hdslb.com/bfs/station_src/music_metadata/1aa4ee4fef9645e7092232f4801fb704.txt</v>
      </c>
      <c r="Q1438" s="4">
        <f ca="1">_xlfn.IFNA(VLOOKUP(INDIRECT("G"&amp;ROW()),minfo!$A:$M,COLUMN()-8,0),"")</f>
        <v>1651</v>
      </c>
      <c r="R1438" s="4" t="str">
        <f ca="1">_xlfn.IFNA(VLOOKUP(INDIRECT("G"&amp;ROW()),minfo!$A:$M,COLUMN()-8,0),"")</f>
        <v>《爱情公寓3》电视剧片尾曲</v>
      </c>
      <c r="S1438" s="4" t="str">
        <f ca="1">_xlfn.IFNA(VLOOKUP(INDIRECT("G"&amp;ROW()),minfo!$A:$M,COLUMN()-8,0),"")</f>
        <v>爱情公寓3 电视剧原声带</v>
      </c>
      <c r="T1438" s="4">
        <f ca="1">_xlfn.IFNA(VLOOKUP(INDIRECT("G"&amp;ROW()),minfo!$A:$M,COLUMN()-8,0),"")</f>
        <v>197851447</v>
      </c>
      <c r="U1438" s="4">
        <f ca="1">_xlfn.IFNA(VLOOKUP(INDIRECT("G"&amp;ROW()),minfo!$A:$M,COLUMN()-8,0),"")</f>
        <v>0</v>
      </c>
    </row>
    <row r="1439" spans="1:21" ht="15.75" customHeight="1">
      <c r="A1439" s="15">
        <v>1438</v>
      </c>
      <c r="B1439" s="4" t="s">
        <v>5066</v>
      </c>
      <c r="C1439" s="4">
        <v>1439</v>
      </c>
      <c r="D1439" s="4">
        <v>85</v>
      </c>
      <c r="E1439" s="4" t="s">
        <v>1377</v>
      </c>
      <c r="F1439" s="16">
        <v>44779</v>
      </c>
      <c r="G1439" s="5" t="s">
        <v>1580</v>
      </c>
      <c r="H1439" s="5" t="s">
        <v>4978</v>
      </c>
      <c r="I1439" s="24" t="str">
        <f>HYPERLINK("https://www.bilibili.com/video/BV1ta411X75v?p=85", "BV1ta411X75v?p=85")</f>
        <v>BV1ta411X75v?p=85</v>
      </c>
      <c r="J1439" s="4" t="str">
        <f ca="1">_xlfn.IFNA(VLOOKUP(INDIRECT("G"&amp;ROW()),minfo!$A:$M,COLUMN()-8,0),"")</f>
        <v>小河淌水</v>
      </c>
      <c r="K1439" s="4" t="str">
        <f ca="1">_xlfn.IFNA(VLOOKUP(INDIRECT("G"&amp;ROW()),minfo!$A:$M,COLUMN()-8,0),"")</f>
        <v>黄虹</v>
      </c>
      <c r="L1439" s="4">
        <f ca="1">_xlfn.IFNA(VLOOKUP(INDIRECT("G"&amp;ROW()),minfo!$A:$M,COLUMN()-8,0),"")</f>
        <v>0</v>
      </c>
      <c r="M1439" s="4">
        <f ca="1">_xlfn.IFNA(VLOOKUP(INDIRECT("G"&amp;ROW()),minfo!$A:$M,COLUMN()-8,0),"")</f>
        <v>0</v>
      </c>
      <c r="N1439" s="4">
        <f ca="1">_xlfn.IFNA(VLOOKUP(INDIRECT("G"&amp;ROW()),minfo!$A:$M,COLUMN()-8,0),"")</f>
        <v>0</v>
      </c>
      <c r="O1439" s="4" t="str">
        <f ca="1">_xlfn.IFNA(VLOOKUP(INDIRECT("G"&amp;ROW()),minfo!$A:$M,COLUMN()-8,0),"")</f>
        <v>https://i0.hdslb.com/bfs/station_src/music_metadata/e218df4be9686e673484ef800ad67133.jpg</v>
      </c>
      <c r="P1439" s="4" t="str">
        <f ca="1">_xlfn.IFNA(VLOOKUP(INDIRECT("G"&amp;ROW()),minfo!$A:$M,COLUMN()-8,0),"")</f>
        <v>https://i0.hdslb.com/bfs/station_src/music_metadata/1c7415392f2006564a764f0b5ba325b3.txt</v>
      </c>
      <c r="Q1439" s="4">
        <f ca="1">_xlfn.IFNA(VLOOKUP(INDIRECT("G"&amp;ROW()),minfo!$A:$M,COLUMN()-8,0),"")</f>
        <v>0</v>
      </c>
      <c r="R1439" s="4">
        <f ca="1">_xlfn.IFNA(VLOOKUP(INDIRECT("G"&amp;ROW()),minfo!$A:$M,COLUMN()-8,0),"")</f>
        <v>0</v>
      </c>
      <c r="S1439" s="4" t="str">
        <f ca="1">_xlfn.IFNA(VLOOKUP(INDIRECT("G"&amp;ROW()),minfo!$A:$M,COLUMN()-8,0),"")</f>
        <v>中国民歌集粹 好花红</v>
      </c>
      <c r="T1439" s="4">
        <f ca="1">_xlfn.IFNA(VLOOKUP(INDIRECT("G"&amp;ROW()),minfo!$A:$M,COLUMN()-8,0),"")</f>
        <v>489616</v>
      </c>
      <c r="U1439" s="4">
        <f ca="1">_xlfn.IFNA(VLOOKUP(INDIRECT("G"&amp;ROW()),minfo!$A:$M,COLUMN()-8,0),"")</f>
        <v>0</v>
      </c>
    </row>
    <row r="1440" spans="1:21" ht="15.75" customHeight="1">
      <c r="A1440" s="15">
        <v>1439</v>
      </c>
      <c r="B1440" s="4" t="s">
        <v>5067</v>
      </c>
      <c r="C1440" s="4">
        <v>1440</v>
      </c>
      <c r="D1440" s="4">
        <v>86</v>
      </c>
      <c r="E1440" s="4" t="s">
        <v>754</v>
      </c>
      <c r="F1440" s="16">
        <v>44782</v>
      </c>
      <c r="G1440" s="5" t="s">
        <v>753</v>
      </c>
      <c r="H1440" s="5" t="s">
        <v>4978</v>
      </c>
      <c r="I1440" s="24" t="str">
        <f>HYPERLINK("https://www.bilibili.com/video/BV1ta411X75v?p=86", "BV1ta411X75v?p=86")</f>
        <v>BV1ta411X75v?p=86</v>
      </c>
      <c r="J1440" s="4" t="str">
        <f ca="1">_xlfn.IFNA(VLOOKUP(INDIRECT("G"&amp;ROW()),minfo!$A:$M,COLUMN()-8,0),"")</f>
        <v>台风</v>
      </c>
      <c r="K1440" s="4" t="str">
        <f ca="1">_xlfn.IFNA(VLOOKUP(INDIRECT("G"&amp;ROW()),minfo!$A:$M,COLUMN()-8,0),"")</f>
        <v>郁一凡</v>
      </c>
      <c r="L1440" s="4">
        <f ca="1">_xlfn.IFNA(VLOOKUP(INDIRECT("G"&amp;ROW()),minfo!$A:$M,COLUMN()-8,0),"")</f>
        <v>0</v>
      </c>
      <c r="M1440" s="4">
        <f ca="1">_xlfn.IFNA(VLOOKUP(INDIRECT("G"&amp;ROW()),minfo!$A:$M,COLUMN()-8,0),"")</f>
        <v>0</v>
      </c>
      <c r="N1440" s="4">
        <f ca="1">_xlfn.IFNA(VLOOKUP(INDIRECT("G"&amp;ROW()),minfo!$A:$M,COLUMN()-8,0),"")</f>
        <v>0</v>
      </c>
      <c r="O1440" s="4" t="str">
        <f ca="1">_xlfn.IFNA(VLOOKUP(INDIRECT("G"&amp;ROW()),minfo!$A:$M,COLUMN()-8,0),"")</f>
        <v>https://i0.hdslb.com/bfs/station_src/music_metadata/e62e120e862336e6b171c835ae52b792.jpg</v>
      </c>
      <c r="P1440" s="4" t="str">
        <f ca="1">_xlfn.IFNA(VLOOKUP(INDIRECT("G"&amp;ROW()),minfo!$A:$M,COLUMN()-8,0),"")</f>
        <v>https://i0.hdslb.com/bfs/station_src/music_metadata/4025503f8f2dced9cfa0f785fcbd250a.txt</v>
      </c>
      <c r="Q1440" s="4">
        <f ca="1">_xlfn.IFNA(VLOOKUP(INDIRECT("G"&amp;ROW()),minfo!$A:$M,COLUMN()-8,0),"")</f>
        <v>18</v>
      </c>
      <c r="R1440" s="4">
        <f ca="1">_xlfn.IFNA(VLOOKUP(INDIRECT("G"&amp;ROW()),minfo!$A:$M,COLUMN()-8,0),"")</f>
        <v>0</v>
      </c>
      <c r="S1440" s="4" t="str">
        <f ca="1">_xlfn.IFNA(VLOOKUP(INDIRECT("G"&amp;ROW()),minfo!$A:$M,COLUMN()-8,0),"")</f>
        <v>我的音乐你听吗 第2期</v>
      </c>
      <c r="T1440" s="4">
        <f ca="1">_xlfn.IFNA(VLOOKUP(INDIRECT("G"&amp;ROW()),minfo!$A:$M,COLUMN()-8,0),"")</f>
        <v>11454087</v>
      </c>
      <c r="U1440" s="4">
        <f ca="1">_xlfn.IFNA(VLOOKUP(INDIRECT("G"&amp;ROW()),minfo!$A:$M,COLUMN()-8,0),"")</f>
        <v>0</v>
      </c>
    </row>
    <row r="1441" spans="1:21" ht="15.75" customHeight="1">
      <c r="A1441" s="15">
        <v>1440</v>
      </c>
      <c r="B1441" s="4" t="s">
        <v>5068</v>
      </c>
      <c r="C1441" s="4">
        <v>1441</v>
      </c>
      <c r="D1441" s="4">
        <v>87</v>
      </c>
      <c r="E1441" s="4" t="s">
        <v>1078</v>
      </c>
      <c r="F1441" s="16">
        <v>44782</v>
      </c>
      <c r="G1441" s="5" t="s">
        <v>1077</v>
      </c>
      <c r="H1441" s="5" t="s">
        <v>4978</v>
      </c>
      <c r="I1441" s="24" t="str">
        <f>HYPERLINK("https://www.bilibili.com/video/BV1ta411X75v?p=87", "BV1ta411X75v?p=87")</f>
        <v>BV1ta411X75v?p=87</v>
      </c>
      <c r="J1441" s="4" t="str">
        <f ca="1">_xlfn.IFNA(VLOOKUP(INDIRECT("G"&amp;ROW()),minfo!$A:$M,COLUMN()-8,0),"")</f>
        <v>最长的电影</v>
      </c>
      <c r="K1441" s="4" t="str">
        <f ca="1">_xlfn.IFNA(VLOOKUP(INDIRECT("G"&amp;ROW()),minfo!$A:$M,COLUMN()-8,0),"")</f>
        <v>周杰伦</v>
      </c>
      <c r="L1441" s="4">
        <f ca="1">_xlfn.IFNA(VLOOKUP(INDIRECT("G"&amp;ROW()),minfo!$A:$M,COLUMN()-8,0),"")</f>
        <v>0</v>
      </c>
      <c r="M1441" s="4">
        <f ca="1">_xlfn.IFNA(VLOOKUP(INDIRECT("G"&amp;ROW()),minfo!$A:$M,COLUMN()-8,0),"")</f>
        <v>0</v>
      </c>
      <c r="N1441" s="4">
        <f ca="1">_xlfn.IFNA(VLOOKUP(INDIRECT("G"&amp;ROW()),minfo!$A:$M,COLUMN()-8,0),"")</f>
        <v>0</v>
      </c>
      <c r="O1441" s="4" t="str">
        <f ca="1">_xlfn.IFNA(VLOOKUP(INDIRECT("G"&amp;ROW()),minfo!$A:$M,COLUMN()-8,0),"")</f>
        <v>https://i0.hdslb.com/bfs/station_src/music_metadata/7eaa1a96d6dc901ac8d38b532ba49f47.jpg</v>
      </c>
      <c r="P1441" s="4" t="str">
        <f ca="1">_xlfn.IFNA(VLOOKUP(INDIRECT("G"&amp;ROW()),minfo!$A:$M,COLUMN()-8,0),"")</f>
        <v>http://i0.hdslb.com/bfs/station_src/music_metadata/62e80a61723a09aff7da0f2c4f4612c9</v>
      </c>
      <c r="Q1441" s="4">
        <f ca="1">_xlfn.IFNA(VLOOKUP(INDIRECT("G"&amp;ROW()),minfo!$A:$M,COLUMN()-8,0),"")</f>
        <v>2026</v>
      </c>
      <c r="R1441" s="4">
        <f ca="1">_xlfn.IFNA(VLOOKUP(INDIRECT("G"&amp;ROW()),minfo!$A:$M,COLUMN()-8,0),"")</f>
        <v>0</v>
      </c>
      <c r="S1441" s="4" t="str">
        <f ca="1">_xlfn.IFNA(VLOOKUP(INDIRECT("G"&amp;ROW()),minfo!$A:$M,COLUMN()-8,0),"")</f>
        <v>我很忙</v>
      </c>
      <c r="T1441" s="4">
        <f ca="1">_xlfn.IFNA(VLOOKUP(INDIRECT("G"&amp;ROW()),minfo!$A:$M,COLUMN()-8,0),"")</f>
        <v>437092203</v>
      </c>
      <c r="U1441" s="4">
        <f ca="1">_xlfn.IFNA(VLOOKUP(INDIRECT("G"&amp;ROW()),minfo!$A:$M,COLUMN()-8,0),"")</f>
        <v>0</v>
      </c>
    </row>
    <row r="1442" spans="1:21" ht="15.75" customHeight="1">
      <c r="A1442" s="15">
        <v>1441</v>
      </c>
      <c r="B1442" s="4" t="s">
        <v>5069</v>
      </c>
      <c r="C1442" s="4">
        <v>1442</v>
      </c>
      <c r="D1442" s="4">
        <v>88</v>
      </c>
      <c r="E1442" s="4" t="s">
        <v>1388</v>
      </c>
      <c r="F1442" s="16">
        <v>44782</v>
      </c>
      <c r="G1442" s="5" t="s">
        <v>2894</v>
      </c>
      <c r="H1442" s="5" t="s">
        <v>4978</v>
      </c>
      <c r="I1442" s="24" t="str">
        <f>HYPERLINK("https://www.bilibili.com/video/BV1ta411X75v?p=88", "BV1ta411X75v?p=88")</f>
        <v>BV1ta411X75v?p=88</v>
      </c>
      <c r="J1442" s="4" t="str">
        <f ca="1">_xlfn.IFNA(VLOOKUP(INDIRECT("G"&amp;ROW()),minfo!$A:$M,COLUMN()-8,0),"")</f>
        <v>梨花又开放</v>
      </c>
      <c r="K1442" s="4" t="str">
        <f ca="1">_xlfn.IFNA(VLOOKUP(INDIRECT("G"&amp;ROW()),minfo!$A:$M,COLUMN()-8,0),"")</f>
        <v>周峰</v>
      </c>
      <c r="L1442" s="4">
        <f ca="1">_xlfn.IFNA(VLOOKUP(INDIRECT("G"&amp;ROW()),minfo!$A:$M,COLUMN()-8,0),"")</f>
        <v>0</v>
      </c>
      <c r="M1442" s="4">
        <f ca="1">_xlfn.IFNA(VLOOKUP(INDIRECT("G"&amp;ROW()),minfo!$A:$M,COLUMN()-8,0),"")</f>
        <v>0</v>
      </c>
      <c r="N1442" s="4">
        <f ca="1">_xlfn.IFNA(VLOOKUP(INDIRECT("G"&amp;ROW()),minfo!$A:$M,COLUMN()-8,0),"")</f>
        <v>0</v>
      </c>
      <c r="O1442" s="4" t="str">
        <f ca="1">_xlfn.IFNA(VLOOKUP(INDIRECT("G"&amp;ROW()),minfo!$A:$M,COLUMN()-8,0),"")</f>
        <v>https://i0.hdslb.com/bfs/station_src/music_metadata/5e2ec185bfe0b01a499ae1b0b579d167.jpg</v>
      </c>
      <c r="P1442" s="4" t="str">
        <f ca="1">_xlfn.IFNA(VLOOKUP(INDIRECT("G"&amp;ROW()),minfo!$A:$M,COLUMN()-8,0),"")</f>
        <v>https://i0.hdslb.com/bfs/station_src/music_metadata/04d7571fd896b00132c21369fc27e499.txt</v>
      </c>
      <c r="Q1442" s="4">
        <f ca="1">_xlfn.IFNA(VLOOKUP(INDIRECT("G"&amp;ROW()),minfo!$A:$M,COLUMN()-8,0),"")</f>
        <v>7</v>
      </c>
      <c r="R1442" s="4">
        <f ca="1">_xlfn.IFNA(VLOOKUP(INDIRECT("G"&amp;ROW()),minfo!$A:$M,COLUMN()-8,0),"")</f>
        <v>0</v>
      </c>
      <c r="S1442" s="4" t="str">
        <f ca="1">_xlfn.IFNA(VLOOKUP(INDIRECT("G"&amp;ROW()),minfo!$A:$M,COLUMN()-8,0),"")</f>
        <v>2006超级女声10强入围赛第一场</v>
      </c>
      <c r="T1442" s="4">
        <f ca="1">_xlfn.IFNA(VLOOKUP(INDIRECT("G"&amp;ROW()),minfo!$A:$M,COLUMN()-8,0),"")</f>
        <v>3793203</v>
      </c>
      <c r="U1442" s="4">
        <f ca="1">_xlfn.IFNA(VLOOKUP(INDIRECT("G"&amp;ROW()),minfo!$A:$M,COLUMN()-8,0),"")</f>
        <v>0</v>
      </c>
    </row>
    <row r="1443" spans="1:21" ht="15.75" customHeight="1">
      <c r="A1443" s="15">
        <v>1442</v>
      </c>
      <c r="B1443" s="4" t="s">
        <v>5070</v>
      </c>
      <c r="C1443" s="4">
        <v>1443</v>
      </c>
      <c r="D1443" s="4">
        <v>89</v>
      </c>
      <c r="E1443" s="4" t="s">
        <v>5071</v>
      </c>
      <c r="F1443" s="16">
        <v>44782</v>
      </c>
      <c r="G1443" s="5" t="s">
        <v>2898</v>
      </c>
      <c r="H1443" s="5" t="s">
        <v>4978</v>
      </c>
      <c r="I1443" s="24" t="str">
        <f>HYPERLINK("https://www.bilibili.com/video/BV1ta411X75v?p=89", "BV1ta411X75v?p=89")</f>
        <v>BV1ta411X75v?p=89</v>
      </c>
      <c r="J1443" s="4" t="str">
        <f ca="1">_xlfn.IFNA(VLOOKUP(INDIRECT("G"&amp;ROW()),minfo!$A:$M,COLUMN()-8,0),"")</f>
        <v>我爱你，中国</v>
      </c>
      <c r="K1443" s="4" t="str">
        <f ca="1">_xlfn.IFNA(VLOOKUP(INDIRECT("G"&amp;ROW()),minfo!$A:$M,COLUMN()-8,0),"")</f>
        <v>叶佩英</v>
      </c>
      <c r="L1443" s="4">
        <f ca="1">_xlfn.IFNA(VLOOKUP(INDIRECT("G"&amp;ROW()),minfo!$A:$M,COLUMN()-8,0),"")</f>
        <v>0</v>
      </c>
      <c r="M1443" s="4">
        <f ca="1">_xlfn.IFNA(VLOOKUP(INDIRECT("G"&amp;ROW()),minfo!$A:$M,COLUMN()-8,0),"")</f>
        <v>0</v>
      </c>
      <c r="N1443" s="4">
        <f ca="1">_xlfn.IFNA(VLOOKUP(INDIRECT("G"&amp;ROW()),minfo!$A:$M,COLUMN()-8,0),"")</f>
        <v>0</v>
      </c>
      <c r="O1443" s="4" t="str">
        <f ca="1">_xlfn.IFNA(VLOOKUP(INDIRECT("G"&amp;ROW()),minfo!$A:$M,COLUMN()-8,0),"")</f>
        <v>https://i0.hdslb.com/bfs/station_src/music_metadata/8e8bbac61cafd32bccaae8e8a67e85c8.jpg</v>
      </c>
      <c r="P1443" s="4">
        <f ca="1">_xlfn.IFNA(VLOOKUP(INDIRECT("G"&amp;ROW()),minfo!$A:$M,COLUMN()-8,0),"")</f>
        <v>0</v>
      </c>
      <c r="Q1443" s="4">
        <f ca="1">_xlfn.IFNA(VLOOKUP(INDIRECT("G"&amp;ROW()),minfo!$A:$M,COLUMN()-8,0),"")</f>
        <v>1972</v>
      </c>
      <c r="R1443" s="4" t="str">
        <f ca="1">_xlfn.IFNA(VLOOKUP(INDIRECT("G"&amp;ROW()),minfo!$A:$M,COLUMN()-8,0),"")</f>
        <v>《海外赤子》电影插曲</v>
      </c>
      <c r="S1443" s="4" t="str">
        <f ca="1">_xlfn.IFNA(VLOOKUP(INDIRECT("G"&amp;ROW()),minfo!$A:$M,COLUMN()-8,0),"")</f>
        <v>我爱你，中国</v>
      </c>
      <c r="T1443" s="4">
        <f ca="1">_xlfn.IFNA(VLOOKUP(INDIRECT("G"&amp;ROW()),minfo!$A:$M,COLUMN()-8,0),"")</f>
        <v>332489144</v>
      </c>
      <c r="U1443" s="4">
        <f ca="1">_xlfn.IFNA(VLOOKUP(INDIRECT("G"&amp;ROW()),minfo!$A:$M,COLUMN()-8,0),"")</f>
        <v>0</v>
      </c>
    </row>
    <row r="1444" spans="1:21" ht="15.75" customHeight="1">
      <c r="A1444" s="15">
        <v>1443</v>
      </c>
      <c r="B1444" s="4" t="s">
        <v>5072</v>
      </c>
      <c r="C1444" s="4">
        <v>1444</v>
      </c>
      <c r="D1444" s="4">
        <v>90</v>
      </c>
      <c r="E1444" s="4" t="s">
        <v>226</v>
      </c>
      <c r="F1444" s="16">
        <v>44782</v>
      </c>
      <c r="G1444" s="5" t="s">
        <v>225</v>
      </c>
      <c r="H1444" s="5" t="s">
        <v>4978</v>
      </c>
      <c r="I1444" s="24" t="str">
        <f>HYPERLINK("https://www.bilibili.com/video/BV1ta411X75v?p=90", "BV1ta411X75v?p=90")</f>
        <v>BV1ta411X75v?p=90</v>
      </c>
      <c r="J1444" s="4" t="str">
        <f ca="1">_xlfn.IFNA(VLOOKUP(INDIRECT("G"&amp;ROW()),minfo!$A:$M,COLUMN()-8,0),"")</f>
        <v>如愿</v>
      </c>
      <c r="K1444" s="4" t="str">
        <f ca="1">_xlfn.IFNA(VLOOKUP(INDIRECT("G"&amp;ROW()),minfo!$A:$M,COLUMN()-8,0),"")</f>
        <v>王菲</v>
      </c>
      <c r="L1444" s="4">
        <f ca="1">_xlfn.IFNA(VLOOKUP(INDIRECT("G"&amp;ROW()),minfo!$A:$M,COLUMN()-8,0),"")</f>
        <v>0</v>
      </c>
      <c r="M1444" s="4">
        <f ca="1">_xlfn.IFNA(VLOOKUP(INDIRECT("G"&amp;ROW()),minfo!$A:$M,COLUMN()-8,0),"")</f>
        <v>0</v>
      </c>
      <c r="N1444" s="4">
        <f ca="1">_xlfn.IFNA(VLOOKUP(INDIRECT("G"&amp;ROW()),minfo!$A:$M,COLUMN()-8,0),"")</f>
        <v>0</v>
      </c>
      <c r="O1444" s="4" t="str">
        <f ca="1">_xlfn.IFNA(VLOOKUP(INDIRECT("G"&amp;ROW()),minfo!$A:$M,COLUMN()-8,0),"")</f>
        <v>http://i0.hdslb.com/bfs/station_src/music_metadata/4c29d6e8ea08a5ae0f90cb123bf5f52d.jpg</v>
      </c>
      <c r="P1444" s="4" t="str">
        <f ca="1">_xlfn.IFNA(VLOOKUP(INDIRECT("G"&amp;ROW()),minfo!$A:$M,COLUMN()-8,0),"")</f>
        <v>http://i0.hdslb.com/bfs/station_src/music_metadata/7dfb091f97b87d41cdb10f22a04b20e6</v>
      </c>
      <c r="Q1444" s="4">
        <f ca="1">_xlfn.IFNA(VLOOKUP(INDIRECT("G"&amp;ROW()),minfo!$A:$M,COLUMN()-8,0),"")</f>
        <v>8985</v>
      </c>
      <c r="R1444" s="4" t="str">
        <f ca="1">_xlfn.IFNA(VLOOKUP(INDIRECT("G"&amp;ROW()),minfo!$A:$M,COLUMN()-8,0),"")</f>
        <v>《我和我的父辈》电影主题推广曲</v>
      </c>
      <c r="S1444" s="4" t="str">
        <f ca="1">_xlfn.IFNA(VLOOKUP(INDIRECT("G"&amp;ROW()),minfo!$A:$M,COLUMN()-8,0),"")</f>
        <v>如愿</v>
      </c>
      <c r="T1444" s="4">
        <f ca="1">_xlfn.IFNA(VLOOKUP(INDIRECT("G"&amp;ROW()),minfo!$A:$M,COLUMN()-8,0),"")</f>
        <v>520502983</v>
      </c>
      <c r="U1444" s="4">
        <f ca="1">_xlfn.IFNA(VLOOKUP(INDIRECT("G"&amp;ROW()),minfo!$A:$M,COLUMN()-8,0),"")</f>
        <v>0</v>
      </c>
    </row>
    <row r="1445" spans="1:21" ht="15.75" customHeight="1">
      <c r="A1445" s="15">
        <v>1444</v>
      </c>
      <c r="B1445" s="4" t="s">
        <v>5073</v>
      </c>
      <c r="C1445" s="4">
        <v>1445</v>
      </c>
      <c r="D1445" s="4">
        <v>91</v>
      </c>
      <c r="E1445" s="4" t="s">
        <v>1520</v>
      </c>
      <c r="F1445" s="16">
        <v>44783</v>
      </c>
      <c r="G1445" s="5" t="s">
        <v>1519</v>
      </c>
      <c r="H1445" s="5" t="s">
        <v>4978</v>
      </c>
      <c r="I1445" s="24" t="str">
        <f>HYPERLINK("https://www.bilibili.com/video/BV1ta411X75v?p=91", "BV1ta411X75v?p=91")</f>
        <v>BV1ta411X75v?p=91</v>
      </c>
      <c r="J1445" s="4" t="str">
        <f ca="1">_xlfn.IFNA(VLOOKUP(INDIRECT("G"&amp;ROW()),minfo!$A:$M,COLUMN()-8,0),"")</f>
        <v>望月</v>
      </c>
      <c r="K1445" s="4" t="str">
        <f ca="1">_xlfn.IFNA(VLOOKUP(INDIRECT("G"&amp;ROW()),minfo!$A:$M,COLUMN()-8,0),"")</f>
        <v>宋祖英</v>
      </c>
      <c r="L1445" s="4">
        <f ca="1">_xlfn.IFNA(VLOOKUP(INDIRECT("G"&amp;ROW()),minfo!$A:$M,COLUMN()-8,0),"")</f>
        <v>0</v>
      </c>
      <c r="M1445" s="4">
        <f ca="1">_xlfn.IFNA(VLOOKUP(INDIRECT("G"&amp;ROW()),minfo!$A:$M,COLUMN()-8,0),"")</f>
        <v>0</v>
      </c>
      <c r="N1445" s="4">
        <f ca="1">_xlfn.IFNA(VLOOKUP(INDIRECT("G"&amp;ROW()),minfo!$A:$M,COLUMN()-8,0),"")</f>
        <v>0</v>
      </c>
      <c r="O1445" s="4" t="str">
        <f ca="1">_xlfn.IFNA(VLOOKUP(INDIRECT("G"&amp;ROW()),minfo!$A:$M,COLUMN()-8,0),"")</f>
        <v>https://i0.hdslb.com/bfs/station_src/music_metadata/b784ce989528e3c111409e7fae53c03b.jpg</v>
      </c>
      <c r="P1445" s="4" t="str">
        <f ca="1">_xlfn.IFNA(VLOOKUP(INDIRECT("G"&amp;ROW()),minfo!$A:$M,COLUMN()-8,0),"")</f>
        <v>https://i0.hdslb.com/bfs/station_src/music_metadata/d0de622123bd7df3b723f2f8a109b29b.txt</v>
      </c>
      <c r="Q1445" s="4">
        <f ca="1">_xlfn.IFNA(VLOOKUP(INDIRECT("G"&amp;ROW()),minfo!$A:$M,COLUMN()-8,0),"")</f>
        <v>3</v>
      </c>
      <c r="R1445" s="4">
        <f ca="1">_xlfn.IFNA(VLOOKUP(INDIRECT("G"&amp;ROW()),minfo!$A:$M,COLUMN()-8,0),"")</f>
        <v>0</v>
      </c>
      <c r="S1445" s="4" t="str">
        <f ca="1">_xlfn.IFNA(VLOOKUP(INDIRECT("G"&amp;ROW()),minfo!$A:$M,COLUMN()-8,0),"")</f>
        <v>印青创作歌曲精选</v>
      </c>
      <c r="T1445" s="4">
        <f ca="1">_xlfn.IFNA(VLOOKUP(INDIRECT("G"&amp;ROW()),minfo!$A:$M,COLUMN()-8,0),"")</f>
        <v>1868068</v>
      </c>
      <c r="U1445" s="4">
        <f ca="1">_xlfn.IFNA(VLOOKUP(INDIRECT("G"&amp;ROW()),minfo!$A:$M,COLUMN()-8,0),"")</f>
        <v>0</v>
      </c>
    </row>
    <row r="1446" spans="1:21" ht="15.75" customHeight="1">
      <c r="A1446" s="15">
        <v>1445</v>
      </c>
      <c r="B1446" s="4" t="s">
        <v>5074</v>
      </c>
      <c r="C1446" s="4">
        <v>1446</v>
      </c>
      <c r="D1446" s="4">
        <v>92</v>
      </c>
      <c r="E1446" s="4" t="s">
        <v>2110</v>
      </c>
      <c r="F1446" s="16">
        <v>44783</v>
      </c>
      <c r="G1446" s="5" t="s">
        <v>2109</v>
      </c>
      <c r="H1446" s="5" t="s">
        <v>4978</v>
      </c>
      <c r="I1446" s="24" t="str">
        <f>HYPERLINK("https://www.bilibili.com/video/BV1ta411X75v?p=92", "BV1ta411X75v?p=92")</f>
        <v>BV1ta411X75v?p=92</v>
      </c>
      <c r="J1446" s="4" t="str">
        <f ca="1">_xlfn.IFNA(VLOOKUP(INDIRECT("G"&amp;ROW()),minfo!$A:$M,COLUMN()-8,0),"")</f>
        <v>蜗牛与黄鹂鸟</v>
      </c>
      <c r="K1446" s="4" t="str">
        <f ca="1">_xlfn.IFNA(VLOOKUP(INDIRECT("G"&amp;ROW()),minfo!$A:$M,COLUMN()-8,0),"")</f>
        <v>银霞</v>
      </c>
      <c r="L1446" s="4">
        <f ca="1">_xlfn.IFNA(VLOOKUP(INDIRECT("G"&amp;ROW()),minfo!$A:$M,COLUMN()-8,0),"")</f>
        <v>0</v>
      </c>
      <c r="M1446" s="4">
        <f ca="1">_xlfn.IFNA(VLOOKUP(INDIRECT("G"&amp;ROW()),minfo!$A:$M,COLUMN()-8,0),"")</f>
        <v>0</v>
      </c>
      <c r="N1446" s="4">
        <f ca="1">_xlfn.IFNA(VLOOKUP(INDIRECT("G"&amp;ROW()),minfo!$A:$M,COLUMN()-8,0),"")</f>
        <v>0</v>
      </c>
      <c r="O1446" s="4" t="str">
        <f ca="1">_xlfn.IFNA(VLOOKUP(INDIRECT("G"&amp;ROW()),minfo!$A:$M,COLUMN()-8,0),"")</f>
        <v>https://i0.hdslb.com/bfs/station_src/music_metadata/3e8273ef732c15e784ae8a9d38909401.jpg</v>
      </c>
      <c r="P1446" s="4" t="str">
        <f ca="1">_xlfn.IFNA(VLOOKUP(INDIRECT("G"&amp;ROW()),minfo!$A:$M,COLUMN()-8,0),"")</f>
        <v>https://i0.hdslb.com/bfs/station_src/music_metadata/956ddfc8c365c6414b640d6e6ceff356.txt</v>
      </c>
      <c r="Q1446" s="4">
        <f ca="1">_xlfn.IFNA(VLOOKUP(INDIRECT("G"&amp;ROW()),minfo!$A:$M,COLUMN()-8,0),"")</f>
        <v>191</v>
      </c>
      <c r="R1446" s="4">
        <f ca="1">_xlfn.IFNA(VLOOKUP(INDIRECT("G"&amp;ROW()),minfo!$A:$M,COLUMN()-8,0),"")</f>
        <v>0</v>
      </c>
      <c r="S1446" s="4" t="str">
        <f ca="1">_xlfn.IFNA(VLOOKUP(INDIRECT("G"&amp;ROW()),minfo!$A:$M,COLUMN()-8,0),"")</f>
        <v>校園歌手 銀霞 (壹)</v>
      </c>
      <c r="T1446" s="4">
        <f ca="1">_xlfn.IFNA(VLOOKUP(INDIRECT("G"&amp;ROW()),minfo!$A:$M,COLUMN()-8,0),"")</f>
        <v>105276091</v>
      </c>
      <c r="U1446" s="4">
        <f ca="1">_xlfn.IFNA(VLOOKUP(INDIRECT("G"&amp;ROW()),minfo!$A:$M,COLUMN()-8,0),"")</f>
        <v>0</v>
      </c>
    </row>
    <row r="1447" spans="1:21" ht="15.75" customHeight="1">
      <c r="A1447" s="15">
        <v>1446</v>
      </c>
      <c r="B1447" s="4" t="s">
        <v>5075</v>
      </c>
      <c r="C1447" s="4">
        <v>1447</v>
      </c>
      <c r="D1447" s="4">
        <v>93</v>
      </c>
      <c r="E1447" s="4" t="s">
        <v>198</v>
      </c>
      <c r="F1447" s="16">
        <v>44783</v>
      </c>
      <c r="G1447" s="5" t="s">
        <v>197</v>
      </c>
      <c r="H1447" s="5" t="s">
        <v>4978</v>
      </c>
      <c r="I1447" s="24" t="str">
        <f>HYPERLINK("https://www.bilibili.com/video/BV1ta411X75v?p=93", "BV1ta411X75v?p=93")</f>
        <v>BV1ta411X75v?p=93</v>
      </c>
      <c r="J1447" s="4" t="str">
        <f ca="1">_xlfn.IFNA(VLOOKUP(INDIRECT("G"&amp;ROW()),minfo!$A:$M,COLUMN()-8,0),"")</f>
        <v>好运来</v>
      </c>
      <c r="K1447" s="4" t="str">
        <f ca="1">_xlfn.IFNA(VLOOKUP(INDIRECT("G"&amp;ROW()),minfo!$A:$M,COLUMN()-8,0),"")</f>
        <v>祖海</v>
      </c>
      <c r="L1447" s="4">
        <f ca="1">_xlfn.IFNA(VLOOKUP(INDIRECT("G"&amp;ROW()),minfo!$A:$M,COLUMN()-8,0),"")</f>
        <v>0</v>
      </c>
      <c r="M1447" s="4">
        <f ca="1">_xlfn.IFNA(VLOOKUP(INDIRECT("G"&amp;ROW()),minfo!$A:$M,COLUMN()-8,0),"")</f>
        <v>0</v>
      </c>
      <c r="N1447" s="4">
        <f ca="1">_xlfn.IFNA(VLOOKUP(INDIRECT("G"&amp;ROW()),minfo!$A:$M,COLUMN()-8,0),"")</f>
        <v>0</v>
      </c>
      <c r="O1447" s="4" t="str">
        <f ca="1">_xlfn.IFNA(VLOOKUP(INDIRECT("G"&amp;ROW()),minfo!$A:$M,COLUMN()-8,0),"")</f>
        <v>https://i0.hdslb.com/bfs/station_src/music_metadata/018488b96bcd553df8979332b0d180c7.jpg</v>
      </c>
      <c r="P1447" s="4" t="str">
        <f ca="1">_xlfn.IFNA(VLOOKUP(INDIRECT("G"&amp;ROW()),minfo!$A:$M,COLUMN()-8,0),"")</f>
        <v>http://i0.hdslb.com/bfs/station_src/music_metadata/255887b55931deff5c3b6f86ebdfa127</v>
      </c>
      <c r="Q1447" s="4">
        <f ca="1">_xlfn.IFNA(VLOOKUP(INDIRECT("G"&amp;ROW()),minfo!$A:$M,COLUMN()-8,0),"")</f>
        <v>2851</v>
      </c>
      <c r="R1447" s="4">
        <f ca="1">_xlfn.IFNA(VLOOKUP(INDIRECT("G"&amp;ROW()),minfo!$A:$M,COLUMN()-8,0),"")</f>
        <v>0</v>
      </c>
      <c r="S1447" s="4" t="str">
        <f ca="1">_xlfn.IFNA(VLOOKUP(INDIRECT("G"&amp;ROW()),minfo!$A:$M,COLUMN()-8,0),"")</f>
        <v>好运来</v>
      </c>
      <c r="T1447" s="4">
        <f ca="1">_xlfn.IFNA(VLOOKUP(INDIRECT("G"&amp;ROW()),minfo!$A:$M,COLUMN()-8,0),"")</f>
        <v>1563883536</v>
      </c>
      <c r="U1447" s="4" t="str">
        <f ca="1">_xlfn.IFNA(VLOOKUP(INDIRECT("G"&amp;ROW()),minfo!$A:$M,COLUMN()-8,0),"")</f>
        <v>音乐榜最高NO.2</v>
      </c>
    </row>
    <row r="1448" spans="1:21" ht="15.75" customHeight="1">
      <c r="A1448" s="15">
        <v>1447</v>
      </c>
      <c r="B1448" s="4" t="s">
        <v>5076</v>
      </c>
      <c r="C1448" s="4">
        <v>1448</v>
      </c>
      <c r="D1448" s="4">
        <v>94</v>
      </c>
      <c r="E1448" s="4" t="s">
        <v>726</v>
      </c>
      <c r="F1448" s="16">
        <v>44783</v>
      </c>
      <c r="G1448" s="5" t="s">
        <v>725</v>
      </c>
      <c r="H1448" s="5" t="s">
        <v>4978</v>
      </c>
      <c r="I1448" s="24" t="str">
        <f>HYPERLINK("https://www.bilibili.com/video/BV1ta411X75v?p=94", "BV1ta411X75v?p=94")</f>
        <v>BV1ta411X75v?p=94</v>
      </c>
      <c r="J1448" s="4" t="str">
        <f ca="1">_xlfn.IFNA(VLOOKUP(INDIRECT("G"&amp;ROW()),minfo!$A:$M,COLUMN()-8,0),"")</f>
        <v>茉莉花</v>
      </c>
      <c r="K1448" s="4" t="str">
        <f ca="1">_xlfn.IFNA(VLOOKUP(INDIRECT("G"&amp;ROW()),minfo!$A:$M,COLUMN()-8,0),"")</f>
        <v>群星</v>
      </c>
      <c r="L1448" s="4">
        <f ca="1">_xlfn.IFNA(VLOOKUP(INDIRECT("G"&amp;ROW()),minfo!$A:$M,COLUMN()-8,0),"")</f>
        <v>0</v>
      </c>
      <c r="M1448" s="4">
        <f ca="1">_xlfn.IFNA(VLOOKUP(INDIRECT("G"&amp;ROW()),minfo!$A:$M,COLUMN()-8,0),"")</f>
        <v>0</v>
      </c>
      <c r="N1448" s="4">
        <f ca="1">_xlfn.IFNA(VLOOKUP(INDIRECT("G"&amp;ROW()),minfo!$A:$M,COLUMN()-8,0),"")</f>
        <v>0</v>
      </c>
      <c r="O1448" s="4" t="str">
        <f ca="1">_xlfn.IFNA(VLOOKUP(INDIRECT("G"&amp;ROW()),minfo!$A:$M,COLUMN()-8,0),"")</f>
        <v>https://i0.hdslb.com/bfs/station_src/music_metadata/e03b06a414da98ba449eefdff7d60f88.jpg</v>
      </c>
      <c r="P1448" s="4" t="str">
        <f ca="1">_xlfn.IFNA(VLOOKUP(INDIRECT("G"&amp;ROW()),minfo!$A:$M,COLUMN()-8,0),"")</f>
        <v>https://i0.hdslb.com/bfs/station_src/music_metadata/f7e4d3ca608b74e750bc6ef547b43dbd.txt</v>
      </c>
      <c r="Q1448" s="4">
        <f ca="1">_xlfn.IFNA(VLOOKUP(INDIRECT("G"&amp;ROW()),minfo!$A:$M,COLUMN()-8,0),"")</f>
        <v>39</v>
      </c>
      <c r="R1448" s="4">
        <f ca="1">_xlfn.IFNA(VLOOKUP(INDIRECT("G"&amp;ROW()),minfo!$A:$M,COLUMN()-8,0),"")</f>
        <v>0</v>
      </c>
      <c r="S1448" s="4" t="str">
        <f ca="1">_xlfn.IFNA(VLOOKUP(INDIRECT("G"&amp;ROW()),minfo!$A:$M,COLUMN()-8,0),"")</f>
        <v>试机二号</v>
      </c>
      <c r="T1448" s="4">
        <f ca="1">_xlfn.IFNA(VLOOKUP(INDIRECT("G"&amp;ROW()),minfo!$A:$M,COLUMN()-8,0),"")</f>
        <v>14230993</v>
      </c>
      <c r="U1448" s="4">
        <f ca="1">_xlfn.IFNA(VLOOKUP(INDIRECT("G"&amp;ROW()),minfo!$A:$M,COLUMN()-8,0),"")</f>
        <v>0</v>
      </c>
    </row>
    <row r="1449" spans="1:21" ht="15.75" customHeight="1">
      <c r="A1449" s="15">
        <v>1448</v>
      </c>
      <c r="B1449" s="4" t="s">
        <v>5077</v>
      </c>
      <c r="C1449" s="4">
        <v>1449</v>
      </c>
      <c r="D1449" s="4">
        <v>95</v>
      </c>
      <c r="E1449" s="4" t="s">
        <v>337</v>
      </c>
      <c r="F1449" s="16">
        <v>44783</v>
      </c>
      <c r="G1449" s="5" t="s">
        <v>336</v>
      </c>
      <c r="H1449" s="5" t="s">
        <v>4978</v>
      </c>
      <c r="I1449" s="24" t="str">
        <f>HYPERLINK("https://www.bilibili.com/video/BV1ta411X75v?p=95", "BV1ta411X75v?p=95")</f>
        <v>BV1ta411X75v?p=95</v>
      </c>
      <c r="J1449" s="4" t="str">
        <f ca="1">_xlfn.IFNA(VLOOKUP(INDIRECT("G"&amp;ROW()),minfo!$A:$M,COLUMN()-8,0),"")</f>
        <v>玛依拉变奏曲</v>
      </c>
      <c r="K1449" s="4" t="str">
        <f ca="1">_xlfn.IFNA(VLOOKUP(INDIRECT("G"&amp;ROW()),minfo!$A:$M,COLUMN()-8,0),"")</f>
        <v>常思思</v>
      </c>
      <c r="L1449" s="4">
        <f ca="1">_xlfn.IFNA(VLOOKUP(INDIRECT("G"&amp;ROW()),minfo!$A:$M,COLUMN()-8,0),"")</f>
        <v>0</v>
      </c>
      <c r="M1449" s="4">
        <f ca="1">_xlfn.IFNA(VLOOKUP(INDIRECT("G"&amp;ROW()),minfo!$A:$M,COLUMN()-8,0),"")</f>
        <v>0</v>
      </c>
      <c r="N1449" s="4">
        <f ca="1">_xlfn.IFNA(VLOOKUP(INDIRECT("G"&amp;ROW()),minfo!$A:$M,COLUMN()-8,0),"")</f>
        <v>0</v>
      </c>
      <c r="O1449" s="4" t="str">
        <f ca="1">_xlfn.IFNA(VLOOKUP(INDIRECT("G"&amp;ROW()),minfo!$A:$M,COLUMN()-8,0),"")</f>
        <v>https://i0.hdslb.com/bfs/station_src/music_metadata/44ef3b674b440061a8551258b673f958.jpg</v>
      </c>
      <c r="P1449" s="4" t="str">
        <f ca="1">_xlfn.IFNA(VLOOKUP(INDIRECT("G"&amp;ROW()),minfo!$A:$M,COLUMN()-8,0),"")</f>
        <v>https://i0.hdslb.com/bfs/station_src/music_metadata/0d31f0b335305bb6b2fae9ab4daacc38.txt</v>
      </c>
      <c r="Q1449" s="4">
        <f ca="1">_xlfn.IFNA(VLOOKUP(INDIRECT("G"&amp;ROW()),minfo!$A:$M,COLUMN()-8,0),"")</f>
        <v>6</v>
      </c>
      <c r="R1449" s="4">
        <f ca="1">_xlfn.IFNA(VLOOKUP(INDIRECT("G"&amp;ROW()),minfo!$A:$M,COLUMN()-8,0),"")</f>
        <v>0</v>
      </c>
      <c r="S1449" s="4" t="str">
        <f ca="1">_xlfn.IFNA(VLOOKUP(INDIRECT("G"&amp;ROW()),minfo!$A:$M,COLUMN()-8,0),"")</f>
        <v>龙乐合集 27</v>
      </c>
      <c r="T1449" s="4">
        <f ca="1">_xlfn.IFNA(VLOOKUP(INDIRECT("G"&amp;ROW()),minfo!$A:$M,COLUMN()-8,0),"")</f>
        <v>3469898</v>
      </c>
      <c r="U1449" s="4">
        <f ca="1">_xlfn.IFNA(VLOOKUP(INDIRECT("G"&amp;ROW()),minfo!$A:$M,COLUMN()-8,0),"")</f>
        <v>0</v>
      </c>
    </row>
    <row r="1450" spans="1:21" ht="15.75" customHeight="1">
      <c r="A1450" s="15">
        <v>1449</v>
      </c>
      <c r="B1450" s="4" t="s">
        <v>5078</v>
      </c>
      <c r="C1450" s="4">
        <v>1450</v>
      </c>
      <c r="D1450" s="4">
        <v>96</v>
      </c>
      <c r="E1450" s="4" t="s">
        <v>854</v>
      </c>
      <c r="F1450" s="16">
        <v>44783</v>
      </c>
      <c r="G1450" s="5" t="s">
        <v>853</v>
      </c>
      <c r="H1450" s="5" t="s">
        <v>4978</v>
      </c>
      <c r="I1450" s="24" t="str">
        <f>HYPERLINK("https://www.bilibili.com/video/BV1ta411X75v?p=96", "BV1ta411X75v?p=96")</f>
        <v>BV1ta411X75v?p=96</v>
      </c>
      <c r="J1450" s="4" t="str">
        <f ca="1">_xlfn.IFNA(VLOOKUP(INDIRECT("G"&amp;ROW()),minfo!$A:$M,COLUMN()-8,0),"")</f>
        <v>九儿</v>
      </c>
      <c r="K1450" s="4" t="str">
        <f ca="1">_xlfn.IFNA(VLOOKUP(INDIRECT("G"&amp;ROW()),minfo!$A:$M,COLUMN()-8,0),"")</f>
        <v>韩红</v>
      </c>
      <c r="L1450" s="4">
        <f ca="1">_xlfn.IFNA(VLOOKUP(INDIRECT("G"&amp;ROW()),minfo!$A:$M,COLUMN()-8,0),"")</f>
        <v>0</v>
      </c>
      <c r="M1450" s="4">
        <f ca="1">_xlfn.IFNA(VLOOKUP(INDIRECT("G"&amp;ROW()),minfo!$A:$M,COLUMN()-8,0),"")</f>
        <v>0</v>
      </c>
      <c r="N1450" s="4">
        <f ca="1">_xlfn.IFNA(VLOOKUP(INDIRECT("G"&amp;ROW()),minfo!$A:$M,COLUMN()-8,0),"")</f>
        <v>0</v>
      </c>
      <c r="O1450" s="4" t="str">
        <f ca="1">_xlfn.IFNA(VLOOKUP(INDIRECT("G"&amp;ROW()),minfo!$A:$M,COLUMN()-8,0),"")</f>
        <v>http://i0.hdslb.com/bfs/station_src/music_metadata/4b1235563c7c1ddf528cbdad350afb65.jpg</v>
      </c>
      <c r="P1450" s="4" t="str">
        <f ca="1">_xlfn.IFNA(VLOOKUP(INDIRECT("G"&amp;ROW()),minfo!$A:$M,COLUMN()-8,0),"")</f>
        <v>http://i0.hdslb.com/bfs/station_src/music_metadata/4de1f7be8adf439f12c97751ef8d1383</v>
      </c>
      <c r="Q1450" s="4">
        <f ca="1">_xlfn.IFNA(VLOOKUP(INDIRECT("G"&amp;ROW()),minfo!$A:$M,COLUMN()-8,0),"")</f>
        <v>357</v>
      </c>
      <c r="R1450" s="4" t="str">
        <f ca="1">_xlfn.IFNA(VLOOKUP(INDIRECT("G"&amp;ROW()),minfo!$A:$M,COLUMN()-8,0),"")</f>
        <v>《红高粱》电视剧主题曲</v>
      </c>
      <c r="S1450" s="4" t="str">
        <f ca="1">_xlfn.IFNA(VLOOKUP(INDIRECT("G"&amp;ROW()),minfo!$A:$M,COLUMN()-8,0),"")</f>
        <v>红高粱 电视剧原声带</v>
      </c>
      <c r="T1450" s="4">
        <f ca="1">_xlfn.IFNA(VLOOKUP(INDIRECT("G"&amp;ROW()),minfo!$A:$M,COLUMN()-8,0),"")</f>
        <v>173322581</v>
      </c>
      <c r="U1450" s="4">
        <f ca="1">_xlfn.IFNA(VLOOKUP(INDIRECT("G"&amp;ROW()),minfo!$A:$M,COLUMN()-8,0),"")</f>
        <v>0</v>
      </c>
    </row>
    <row r="1451" spans="1:21" ht="15.75" customHeight="1">
      <c r="A1451" s="15">
        <v>1450</v>
      </c>
      <c r="B1451" s="4" t="s">
        <v>5079</v>
      </c>
      <c r="C1451" s="4">
        <v>1451</v>
      </c>
      <c r="D1451" s="4">
        <v>97</v>
      </c>
      <c r="E1451" s="4" t="s">
        <v>2797</v>
      </c>
      <c r="F1451" s="16">
        <v>44783</v>
      </c>
      <c r="G1451" s="5" t="s">
        <v>2796</v>
      </c>
      <c r="H1451" s="5" t="s">
        <v>4978</v>
      </c>
      <c r="I1451" s="24" t="str">
        <f>HYPERLINK("https://www.bilibili.com/video/BV1ta411X75v?p=97", "BV1ta411X75v?p=97")</f>
        <v>BV1ta411X75v?p=97</v>
      </c>
      <c r="J1451" s="4" t="str">
        <f ca="1">_xlfn.IFNA(VLOOKUP(INDIRECT("G"&amp;ROW()),minfo!$A:$M,COLUMN()-8,0),"")</f>
        <v>浏阳河</v>
      </c>
      <c r="K1451" s="4" t="str">
        <f ca="1">_xlfn.IFNA(VLOOKUP(INDIRECT("G"&amp;ROW()),minfo!$A:$M,COLUMN()-8,0),"")</f>
        <v>李谷一</v>
      </c>
      <c r="L1451" s="4">
        <f ca="1">_xlfn.IFNA(VLOOKUP(INDIRECT("G"&amp;ROW()),minfo!$A:$M,COLUMN()-8,0),"")</f>
        <v>0</v>
      </c>
      <c r="M1451" s="4">
        <f ca="1">_xlfn.IFNA(VLOOKUP(INDIRECT("G"&amp;ROW()),minfo!$A:$M,COLUMN()-8,0),"")</f>
        <v>0</v>
      </c>
      <c r="N1451" s="4">
        <f ca="1">_xlfn.IFNA(VLOOKUP(INDIRECT("G"&amp;ROW()),minfo!$A:$M,COLUMN()-8,0),"")</f>
        <v>0</v>
      </c>
      <c r="O1451" s="4" t="str">
        <f ca="1">_xlfn.IFNA(VLOOKUP(INDIRECT("G"&amp;ROW()),minfo!$A:$M,COLUMN()-8,0),"")</f>
        <v>https://i0.hdslb.com/bfs/station_src/music_metadata/8da95ecb0ac14b3afd37549bd8ccd36b.jpg</v>
      </c>
      <c r="P1451" s="4" t="str">
        <f ca="1">_xlfn.IFNA(VLOOKUP(INDIRECT("G"&amp;ROW()),minfo!$A:$M,COLUMN()-8,0),"")</f>
        <v>https://i0.hdslb.com/bfs/station_src/music_metadata/119c275854ad0cb9162eb161a9341c81.txt</v>
      </c>
      <c r="Q1451" s="4">
        <f ca="1">_xlfn.IFNA(VLOOKUP(INDIRECT("G"&amp;ROW()),minfo!$A:$M,COLUMN()-8,0),"")</f>
        <v>10</v>
      </c>
      <c r="R1451" s="4">
        <f ca="1">_xlfn.IFNA(VLOOKUP(INDIRECT("G"&amp;ROW()),minfo!$A:$M,COLUMN()-8,0),"")</f>
        <v>0</v>
      </c>
      <c r="S1451" s="4" t="str">
        <f ca="1">_xlfn.IFNA(VLOOKUP(INDIRECT("G"&amp;ROW()),minfo!$A:$M,COLUMN()-8,0),"")</f>
        <v>流淌不尽的中国民歌—在那遥远的地方</v>
      </c>
      <c r="T1451" s="4">
        <f ca="1">_xlfn.IFNA(VLOOKUP(INDIRECT("G"&amp;ROW()),minfo!$A:$M,COLUMN()-8,0),"")</f>
        <v>1731390</v>
      </c>
      <c r="U1451" s="4">
        <f ca="1">_xlfn.IFNA(VLOOKUP(INDIRECT("G"&amp;ROW()),minfo!$A:$M,COLUMN()-8,0),"")</f>
        <v>0</v>
      </c>
    </row>
    <row r="1452" spans="1:21" ht="15.75" customHeight="1">
      <c r="A1452" s="15">
        <v>1451</v>
      </c>
      <c r="B1452" s="4" t="s">
        <v>5080</v>
      </c>
      <c r="C1452" s="4">
        <v>1452</v>
      </c>
      <c r="D1452" s="4">
        <v>98</v>
      </c>
      <c r="E1452" s="4" t="s">
        <v>2576</v>
      </c>
      <c r="F1452" s="16">
        <v>44783</v>
      </c>
      <c r="G1452" s="5" t="s">
        <v>2903</v>
      </c>
      <c r="H1452" s="5" t="s">
        <v>4978</v>
      </c>
      <c r="I1452" s="24" t="str">
        <f>HYPERLINK("https://www.bilibili.com/video/BV1ta411X75v?p=98", "BV1ta411X75v?p=98")</f>
        <v>BV1ta411X75v?p=98</v>
      </c>
      <c r="J1452" s="4" t="str">
        <f ca="1">_xlfn.IFNA(VLOOKUP(INDIRECT("G"&amp;ROW()),minfo!$A:$M,COLUMN()-8,0),"")</f>
        <v>映山红</v>
      </c>
      <c r="K1452" s="4" t="str">
        <f ca="1">_xlfn.IFNA(VLOOKUP(INDIRECT("G"&amp;ROW()),minfo!$A:$M,COLUMN()-8,0),"")</f>
        <v>邓玉华</v>
      </c>
      <c r="L1452" s="4">
        <f ca="1">_xlfn.IFNA(VLOOKUP(INDIRECT("G"&amp;ROW()),minfo!$A:$M,COLUMN()-8,0),"")</f>
        <v>0</v>
      </c>
      <c r="M1452" s="4">
        <f ca="1">_xlfn.IFNA(VLOOKUP(INDIRECT("G"&amp;ROW()),minfo!$A:$M,COLUMN()-8,0),"")</f>
        <v>0</v>
      </c>
      <c r="N1452" s="4">
        <f ca="1">_xlfn.IFNA(VLOOKUP(INDIRECT("G"&amp;ROW()),minfo!$A:$M,COLUMN()-8,0),"")</f>
        <v>0</v>
      </c>
      <c r="O1452" s="4" t="str">
        <f ca="1">_xlfn.IFNA(VLOOKUP(INDIRECT("G"&amp;ROW()),minfo!$A:$M,COLUMN()-8,0),"")</f>
        <v>https://i0.hdslb.com/bfs/station_src/music_metadata/f434ff62575a359495993c554220b92e.jpg</v>
      </c>
      <c r="P1452" s="4" t="str">
        <f ca="1">_xlfn.IFNA(VLOOKUP(INDIRECT("G"&amp;ROW()),minfo!$A:$M,COLUMN()-8,0),"")</f>
        <v>https://i0.hdslb.com/bfs/station_src/music_metadata/d701b70e896c7f9b721efba8e7c16f5a.txt</v>
      </c>
      <c r="Q1452" s="4">
        <f ca="1">_xlfn.IFNA(VLOOKUP(INDIRECT("G"&amp;ROW()),minfo!$A:$M,COLUMN()-8,0),"")</f>
        <v>0</v>
      </c>
      <c r="R1452" s="4">
        <f ca="1">_xlfn.IFNA(VLOOKUP(INDIRECT("G"&amp;ROW()),minfo!$A:$M,COLUMN()-8,0),"")</f>
        <v>0</v>
      </c>
      <c r="S1452" s="4" t="str">
        <f ca="1">_xlfn.IFNA(VLOOKUP(INDIRECT("G"&amp;ROW()),minfo!$A:$M,COLUMN()-8,0),"")</f>
        <v>山丹丹花开</v>
      </c>
      <c r="T1452" s="4">
        <f ca="1">_xlfn.IFNA(VLOOKUP(INDIRECT("G"&amp;ROW()),minfo!$A:$M,COLUMN()-8,0),"")</f>
        <v>1982892</v>
      </c>
      <c r="U1452" s="4">
        <f ca="1">_xlfn.IFNA(VLOOKUP(INDIRECT("G"&amp;ROW()),minfo!$A:$M,COLUMN()-8,0),"")</f>
        <v>0</v>
      </c>
    </row>
    <row r="1453" spans="1:21" ht="15.75" customHeight="1">
      <c r="A1453" s="15">
        <v>1452</v>
      </c>
      <c r="B1453" s="4" t="s">
        <v>5081</v>
      </c>
      <c r="C1453" s="4">
        <v>1453</v>
      </c>
      <c r="D1453" s="4">
        <v>99</v>
      </c>
      <c r="E1453" s="4" t="s">
        <v>2576</v>
      </c>
      <c r="F1453" s="16">
        <v>44783</v>
      </c>
      <c r="G1453" s="5" t="s">
        <v>2903</v>
      </c>
      <c r="H1453" s="5" t="s">
        <v>4978</v>
      </c>
      <c r="I1453" s="24" t="str">
        <f>HYPERLINK("https://www.bilibili.com/video/BV1ta411X75v?p=99", "BV1ta411X75v?p=99")</f>
        <v>BV1ta411X75v?p=99</v>
      </c>
      <c r="J1453" s="4" t="str">
        <f ca="1">_xlfn.IFNA(VLOOKUP(INDIRECT("G"&amp;ROW()),minfo!$A:$M,COLUMN()-8,0),"")</f>
        <v>映山红</v>
      </c>
      <c r="K1453" s="4" t="str">
        <f ca="1">_xlfn.IFNA(VLOOKUP(INDIRECT("G"&amp;ROW()),minfo!$A:$M,COLUMN()-8,0),"")</f>
        <v>邓玉华</v>
      </c>
      <c r="L1453" s="4">
        <f ca="1">_xlfn.IFNA(VLOOKUP(INDIRECT("G"&amp;ROW()),minfo!$A:$M,COLUMN()-8,0),"")</f>
        <v>0</v>
      </c>
      <c r="M1453" s="4">
        <f ca="1">_xlfn.IFNA(VLOOKUP(INDIRECT("G"&amp;ROW()),minfo!$A:$M,COLUMN()-8,0),"")</f>
        <v>0</v>
      </c>
      <c r="N1453" s="4">
        <f ca="1">_xlfn.IFNA(VLOOKUP(INDIRECT("G"&amp;ROW()),minfo!$A:$M,COLUMN()-8,0),"")</f>
        <v>0</v>
      </c>
      <c r="O1453" s="4" t="str">
        <f ca="1">_xlfn.IFNA(VLOOKUP(INDIRECT("G"&amp;ROW()),minfo!$A:$M,COLUMN()-8,0),"")</f>
        <v>https://i0.hdslb.com/bfs/station_src/music_metadata/f434ff62575a359495993c554220b92e.jpg</v>
      </c>
      <c r="P1453" s="4" t="str">
        <f ca="1">_xlfn.IFNA(VLOOKUP(INDIRECT("G"&amp;ROW()),minfo!$A:$M,COLUMN()-8,0),"")</f>
        <v>https://i0.hdslb.com/bfs/station_src/music_metadata/d701b70e896c7f9b721efba8e7c16f5a.txt</v>
      </c>
      <c r="Q1453" s="4">
        <f ca="1">_xlfn.IFNA(VLOOKUP(INDIRECT("G"&amp;ROW()),minfo!$A:$M,COLUMN()-8,0),"")</f>
        <v>0</v>
      </c>
      <c r="R1453" s="4">
        <f ca="1">_xlfn.IFNA(VLOOKUP(INDIRECT("G"&amp;ROW()),minfo!$A:$M,COLUMN()-8,0),"")</f>
        <v>0</v>
      </c>
      <c r="S1453" s="4" t="str">
        <f ca="1">_xlfn.IFNA(VLOOKUP(INDIRECT("G"&amp;ROW()),minfo!$A:$M,COLUMN()-8,0),"")</f>
        <v>山丹丹花开</v>
      </c>
      <c r="T1453" s="4">
        <f ca="1">_xlfn.IFNA(VLOOKUP(INDIRECT("G"&amp;ROW()),minfo!$A:$M,COLUMN()-8,0),"")</f>
        <v>1982892</v>
      </c>
      <c r="U1453" s="4">
        <f ca="1">_xlfn.IFNA(VLOOKUP(INDIRECT("G"&amp;ROW()),minfo!$A:$M,COLUMN()-8,0),"")</f>
        <v>0</v>
      </c>
    </row>
    <row r="1454" spans="1:21" ht="15.75" customHeight="1">
      <c r="A1454" s="15">
        <v>1453</v>
      </c>
      <c r="B1454" s="4" t="s">
        <v>5082</v>
      </c>
      <c r="C1454" s="4">
        <v>1454</v>
      </c>
      <c r="D1454" s="4">
        <v>100</v>
      </c>
      <c r="E1454" s="4" t="s">
        <v>5083</v>
      </c>
      <c r="F1454" s="16">
        <v>44783</v>
      </c>
      <c r="G1454" s="5" t="s">
        <v>2907</v>
      </c>
      <c r="H1454" s="5" t="s">
        <v>4978</v>
      </c>
      <c r="I1454" s="24" t="str">
        <f>HYPERLINK("https://www.bilibili.com/video/BV1ta411X75v?p=100", "BV1ta411X75v?p=100")</f>
        <v>BV1ta411X75v?p=100</v>
      </c>
      <c r="J1454" s="4" t="str">
        <f ca="1">_xlfn.IFNA(VLOOKUP(INDIRECT("G"&amp;ROW()),minfo!$A:$M,COLUMN()-8,0),"")</f>
        <v>情深意长</v>
      </c>
      <c r="K1454" s="4" t="str">
        <f ca="1">_xlfn.IFNA(VLOOKUP(INDIRECT("G"&amp;ROW()),minfo!$A:$M,COLUMN()-8,0),"")</f>
        <v>宋祖英</v>
      </c>
      <c r="L1454" s="4">
        <f ca="1">_xlfn.IFNA(VLOOKUP(INDIRECT("G"&amp;ROW()),minfo!$A:$M,COLUMN()-8,0),"")</f>
        <v>0</v>
      </c>
      <c r="M1454" s="4">
        <f ca="1">_xlfn.IFNA(VLOOKUP(INDIRECT("G"&amp;ROW()),minfo!$A:$M,COLUMN()-8,0),"")</f>
        <v>0</v>
      </c>
      <c r="N1454" s="4">
        <f ca="1">_xlfn.IFNA(VLOOKUP(INDIRECT("G"&amp;ROW()),minfo!$A:$M,COLUMN()-8,0),"")</f>
        <v>0</v>
      </c>
      <c r="O1454" s="4" t="str">
        <f ca="1">_xlfn.IFNA(VLOOKUP(INDIRECT("G"&amp;ROW()),minfo!$A:$M,COLUMN()-8,0),"")</f>
        <v>https://i0.hdslb.com/bfs/station_src/music_metadata/b2d1dbd15276284cc698eb980ba29a93.jpg</v>
      </c>
      <c r="P1454" s="4" t="str">
        <f ca="1">_xlfn.IFNA(VLOOKUP(INDIRECT("G"&amp;ROW()),minfo!$A:$M,COLUMN()-8,0),"")</f>
        <v>https://i0.hdslb.com/bfs/station_src/music_metadata/51d0a152295d18ee57f4b04d85af8f96.txt</v>
      </c>
      <c r="Q1454" s="4">
        <f ca="1">_xlfn.IFNA(VLOOKUP(INDIRECT("G"&amp;ROW()),minfo!$A:$M,COLUMN()-8,0),"")</f>
        <v>0</v>
      </c>
      <c r="R1454" s="4">
        <f ca="1">_xlfn.IFNA(VLOOKUP(INDIRECT("G"&amp;ROW()),minfo!$A:$M,COLUMN()-8,0),"")</f>
        <v>0</v>
      </c>
      <c r="S1454" s="4" t="str">
        <f ca="1">_xlfn.IFNA(VLOOKUP(INDIRECT("G"&amp;ROW()),minfo!$A:$M,COLUMN()-8,0),"")</f>
        <v>好日子</v>
      </c>
      <c r="T1454" s="4">
        <f ca="1">_xlfn.IFNA(VLOOKUP(INDIRECT("G"&amp;ROW()),minfo!$A:$M,COLUMN()-8,0),"")</f>
        <v>180267</v>
      </c>
      <c r="U1454" s="4">
        <f ca="1">_xlfn.IFNA(VLOOKUP(INDIRECT("G"&amp;ROW()),minfo!$A:$M,COLUMN()-8,0),"")</f>
        <v>0</v>
      </c>
    </row>
    <row r="1455" spans="1:21" ht="15.75" customHeight="1">
      <c r="A1455" s="15">
        <v>1454</v>
      </c>
      <c r="B1455" s="4" t="s">
        <v>5084</v>
      </c>
      <c r="C1455" s="4">
        <v>1455</v>
      </c>
      <c r="D1455" s="4">
        <v>101</v>
      </c>
      <c r="E1455" s="4" t="s">
        <v>732</v>
      </c>
      <c r="F1455" s="16">
        <v>44786</v>
      </c>
      <c r="G1455" s="5" t="s">
        <v>731</v>
      </c>
      <c r="H1455" s="5" t="s">
        <v>4978</v>
      </c>
      <c r="I1455" s="24" t="str">
        <f>HYPERLINK("https://www.bilibili.com/video/BV1ta411X75v?p=101", "BV1ta411X75v?p=101")</f>
        <v>BV1ta411X75v?p=101</v>
      </c>
      <c r="J1455" s="4" t="str">
        <f ca="1">_xlfn.IFNA(VLOOKUP(INDIRECT("G"&amp;ROW()),minfo!$A:$M,COLUMN()-8,0),"")</f>
        <v>园游会</v>
      </c>
      <c r="K1455" s="4" t="str">
        <f ca="1">_xlfn.IFNA(VLOOKUP(INDIRECT("G"&amp;ROW()),minfo!$A:$M,COLUMN()-8,0),"")</f>
        <v>周杰伦</v>
      </c>
      <c r="L1455" s="4">
        <f ca="1">_xlfn.IFNA(VLOOKUP(INDIRECT("G"&amp;ROW()),minfo!$A:$M,COLUMN()-8,0),"")</f>
        <v>0</v>
      </c>
      <c r="M1455" s="4">
        <f ca="1">_xlfn.IFNA(VLOOKUP(INDIRECT("G"&amp;ROW()),minfo!$A:$M,COLUMN()-8,0),"")</f>
        <v>0</v>
      </c>
      <c r="N1455" s="4">
        <f ca="1">_xlfn.IFNA(VLOOKUP(INDIRECT("G"&amp;ROW()),minfo!$A:$M,COLUMN()-8,0),"")</f>
        <v>0</v>
      </c>
      <c r="O1455" s="4" t="str">
        <f ca="1">_xlfn.IFNA(VLOOKUP(INDIRECT("G"&amp;ROW()),minfo!$A:$M,COLUMN()-8,0),"")</f>
        <v>https://i0.hdslb.com/bfs/station_src/music_metadata/6e1ac13753b4f6ee9b6064e5eea74ee9.jpg</v>
      </c>
      <c r="P1455" s="4">
        <f ca="1">_xlfn.IFNA(VLOOKUP(INDIRECT("G"&amp;ROW()),minfo!$A:$M,COLUMN()-8,0),"")</f>
        <v>0</v>
      </c>
      <c r="Q1455" s="4">
        <f ca="1">_xlfn.IFNA(VLOOKUP(INDIRECT("G"&amp;ROW()),minfo!$A:$M,COLUMN()-8,0),"")</f>
        <v>2471</v>
      </c>
      <c r="R1455" s="4">
        <f ca="1">_xlfn.IFNA(VLOOKUP(INDIRECT("G"&amp;ROW()),minfo!$A:$M,COLUMN()-8,0),"")</f>
        <v>0</v>
      </c>
      <c r="S1455" s="4" t="str">
        <f ca="1">_xlfn.IFNA(VLOOKUP(INDIRECT("G"&amp;ROW()),minfo!$A:$M,COLUMN()-8,0),"")</f>
        <v>七里香</v>
      </c>
      <c r="T1455" s="4">
        <f ca="1">_xlfn.IFNA(VLOOKUP(INDIRECT("G"&amp;ROW()),minfo!$A:$M,COLUMN()-8,0),"")</f>
        <v>492310935</v>
      </c>
      <c r="U1455" s="4" t="str">
        <f ca="1">_xlfn.IFNA(VLOOKUP(INDIRECT("G"&amp;ROW()),minfo!$A:$M,COLUMN()-8,0),"")</f>
        <v>音乐榜最高NO.13</v>
      </c>
    </row>
    <row r="1456" spans="1:21" ht="15.75" customHeight="1">
      <c r="A1456" s="15">
        <v>1455</v>
      </c>
      <c r="B1456" s="4" t="s">
        <v>5085</v>
      </c>
      <c r="C1456" s="4">
        <v>1456</v>
      </c>
      <c r="D1456" s="4">
        <v>102</v>
      </c>
      <c r="E1456" s="4" t="s">
        <v>2375</v>
      </c>
      <c r="F1456" s="16">
        <v>44786</v>
      </c>
      <c r="G1456" s="5" t="s">
        <v>2374</v>
      </c>
      <c r="H1456" s="5" t="s">
        <v>4978</v>
      </c>
      <c r="I1456" s="24" t="str">
        <f>HYPERLINK("https://www.bilibili.com/video/BV1ta411X75v?p=102", "BV1ta411X75v?p=102")</f>
        <v>BV1ta411X75v?p=102</v>
      </c>
      <c r="J1456" s="4" t="str">
        <f ca="1">_xlfn.IFNA(VLOOKUP(INDIRECT("G"&amp;ROW()),minfo!$A:$M,COLUMN()-8,0),"")</f>
        <v>那年夏天宁静的海</v>
      </c>
      <c r="K1456" s="4" t="str">
        <f ca="1">_xlfn.IFNA(VLOOKUP(INDIRECT("G"&amp;ROW()),minfo!$A:$M,COLUMN()-8,0),"")</f>
        <v>王心凌</v>
      </c>
      <c r="L1456" s="4">
        <f ca="1">_xlfn.IFNA(VLOOKUP(INDIRECT("G"&amp;ROW()),minfo!$A:$M,COLUMN()-8,0),"")</f>
        <v>0</v>
      </c>
      <c r="M1456" s="4">
        <f ca="1">_xlfn.IFNA(VLOOKUP(INDIRECT("G"&amp;ROW()),minfo!$A:$M,COLUMN()-8,0),"")</f>
        <v>11</v>
      </c>
      <c r="N1456" s="4">
        <f ca="1">_xlfn.IFNA(VLOOKUP(INDIRECT("G"&amp;ROW()),minfo!$A:$M,COLUMN()-8,0),"")</f>
        <v>3</v>
      </c>
      <c r="O1456" s="4" t="str">
        <f ca="1">_xlfn.IFNA(VLOOKUP(INDIRECT("G"&amp;ROW()),minfo!$A:$M,COLUMN()-8,0),"")</f>
        <v>https://i0.hdslb.com/bfs/station_src/music_metadata/08f5cfe3aeebd61a373ab5fe0b7ca72e.jpg</v>
      </c>
      <c r="P1456" s="4" t="str">
        <f ca="1">_xlfn.IFNA(VLOOKUP(INDIRECT("G"&amp;ROW()),minfo!$A:$M,COLUMN()-8,0),"")</f>
        <v>http://i0.hdslb.com/bfs/station_src/music_metadata/9772e8ba809b3fbd6ee51d206ab6e5b7</v>
      </c>
      <c r="Q1456" s="4">
        <f ca="1">_xlfn.IFNA(VLOOKUP(INDIRECT("G"&amp;ROW()),minfo!$A:$M,COLUMN()-8,0),"")</f>
        <v>328</v>
      </c>
      <c r="R1456" s="4">
        <f ca="1">_xlfn.IFNA(VLOOKUP(INDIRECT("G"&amp;ROW()),minfo!$A:$M,COLUMN()-8,0),"")</f>
        <v>0</v>
      </c>
      <c r="S1456" s="4" t="str">
        <f ca="1">_xlfn.IFNA(VLOOKUP(INDIRECT("G"&amp;ROW()),minfo!$A:$M,COLUMN()-8,0),"")</f>
        <v>Magic Cyndi</v>
      </c>
      <c r="T1456" s="4">
        <f ca="1">_xlfn.IFNA(VLOOKUP(INDIRECT("G"&amp;ROW()),minfo!$A:$M,COLUMN()-8,0),"")</f>
        <v>26340486</v>
      </c>
      <c r="U1456" s="4" t="str">
        <f ca="1">_xlfn.IFNA(VLOOKUP(INDIRECT("G"&amp;ROW()),minfo!$A:$M,COLUMN()-8,0),"")</f>
        <v>音乐榜最高NO.15</v>
      </c>
    </row>
    <row r="1457" spans="1:21" ht="15.75" customHeight="1">
      <c r="A1457" s="15">
        <v>1456</v>
      </c>
      <c r="B1457" s="4" t="s">
        <v>5086</v>
      </c>
      <c r="C1457" s="4">
        <v>1457</v>
      </c>
      <c r="D1457" s="4">
        <v>103</v>
      </c>
      <c r="E1457" s="4" t="s">
        <v>1239</v>
      </c>
      <c r="F1457" s="16">
        <v>44787</v>
      </c>
      <c r="G1457" s="5" t="s">
        <v>1238</v>
      </c>
      <c r="H1457" s="5" t="s">
        <v>4978</v>
      </c>
      <c r="I1457" s="24" t="str">
        <f>HYPERLINK("https://www.bilibili.com/video/BV1ta411X75v?p=103", "BV1ta411X75v?p=103")</f>
        <v>BV1ta411X75v?p=103</v>
      </c>
      <c r="J1457" s="4" t="str">
        <f ca="1">_xlfn.IFNA(VLOOKUP(INDIRECT("G"&amp;ROW()),minfo!$A:$M,COLUMN()-8,0),"")</f>
        <v>送别</v>
      </c>
      <c r="K1457" s="4" t="str">
        <f ca="1">_xlfn.IFNA(VLOOKUP(INDIRECT("G"&amp;ROW()),minfo!$A:$M,COLUMN()-8,0),"")</f>
        <v>朴树</v>
      </c>
      <c r="L1457" s="4">
        <f ca="1">_xlfn.IFNA(VLOOKUP(INDIRECT("G"&amp;ROW()),minfo!$A:$M,COLUMN()-8,0),"")</f>
        <v>0</v>
      </c>
      <c r="M1457" s="4">
        <f ca="1">_xlfn.IFNA(VLOOKUP(INDIRECT("G"&amp;ROW()),minfo!$A:$M,COLUMN()-8,0),"")</f>
        <v>0</v>
      </c>
      <c r="N1457" s="4">
        <f ca="1">_xlfn.IFNA(VLOOKUP(INDIRECT("G"&amp;ROW()),minfo!$A:$M,COLUMN()-8,0),"")</f>
        <v>0</v>
      </c>
      <c r="O1457" s="4" t="str">
        <f ca="1">_xlfn.IFNA(VLOOKUP(INDIRECT("G"&amp;ROW()),minfo!$A:$M,COLUMN()-8,0),"")</f>
        <v>http://i0.hdslb.com/bfs/station_src/music_metadata/c59827a603bb0fb5d6d4fed3e2015a67.jpg</v>
      </c>
      <c r="P1457" s="4" t="str">
        <f ca="1">_xlfn.IFNA(VLOOKUP(INDIRECT("G"&amp;ROW()),minfo!$A:$M,COLUMN()-8,0),"")</f>
        <v>http://i0.hdslb.com/bfs/station_src/music_metadata/b6ba15c1261164c0727a4cb1519182ad</v>
      </c>
      <c r="Q1457" s="4">
        <f ca="1">_xlfn.IFNA(VLOOKUP(INDIRECT("G"&amp;ROW()),minfo!$A:$M,COLUMN()-8,0),"")</f>
        <v>1014</v>
      </c>
      <c r="R1457" s="4" t="str">
        <f ca="1">_xlfn.IFNA(VLOOKUP(INDIRECT("G"&amp;ROW()),minfo!$A:$M,COLUMN()-8,0),"")</f>
        <v>《厨子戏子痞子》电影片尾曲</v>
      </c>
      <c r="S1457" s="4" t="str">
        <f ca="1">_xlfn.IFNA(VLOOKUP(INDIRECT("G"&amp;ROW()),minfo!$A:$M,COLUMN()-8,0),"")</f>
        <v>送别</v>
      </c>
      <c r="T1457" s="4">
        <f ca="1">_xlfn.IFNA(VLOOKUP(INDIRECT("G"&amp;ROW()),minfo!$A:$M,COLUMN()-8,0),"")</f>
        <v>263295360</v>
      </c>
      <c r="U1457" s="4">
        <f ca="1">_xlfn.IFNA(VLOOKUP(INDIRECT("G"&amp;ROW()),minfo!$A:$M,COLUMN()-8,0),"")</f>
        <v>0</v>
      </c>
    </row>
    <row r="1458" spans="1:21" ht="15.75" customHeight="1">
      <c r="A1458" s="15">
        <v>1457</v>
      </c>
      <c r="B1458" s="4" t="s">
        <v>5087</v>
      </c>
      <c r="C1458" s="4">
        <v>1458</v>
      </c>
      <c r="D1458" s="4">
        <v>104</v>
      </c>
      <c r="E1458" s="4" t="s">
        <v>4362</v>
      </c>
      <c r="F1458" s="16">
        <v>44789</v>
      </c>
      <c r="G1458" s="5" t="s">
        <v>1886</v>
      </c>
      <c r="H1458" s="5" t="s">
        <v>4978</v>
      </c>
      <c r="I1458" s="24" t="str">
        <f>HYPERLINK("https://www.bilibili.com/video/BV1ta411X75v?p=104", "BV1ta411X75v?p=104")</f>
        <v>BV1ta411X75v?p=104</v>
      </c>
      <c r="J1458" s="4" t="str">
        <f ca="1">_xlfn.IFNA(VLOOKUP(INDIRECT("G"&amp;ROW()),minfo!$A:$M,COLUMN()-8,0),"")</f>
        <v>快乐手账</v>
      </c>
      <c r="K1458" s="4" t="str">
        <f ca="1">_xlfn.IFNA(VLOOKUP(INDIRECT("G"&amp;ROW()),minfo!$A:$M,COLUMN()-8,0),"")</f>
        <v>初音未来</v>
      </c>
      <c r="L1458" s="4">
        <f ca="1">_xlfn.IFNA(VLOOKUP(INDIRECT("G"&amp;ROW()),minfo!$A:$M,COLUMN()-8,0),"")</f>
        <v>0</v>
      </c>
      <c r="M1458" s="4">
        <f ca="1">_xlfn.IFNA(VLOOKUP(INDIRECT("G"&amp;ROW()),minfo!$A:$M,COLUMN()-8,0),"")</f>
        <v>0</v>
      </c>
      <c r="N1458" s="4">
        <f ca="1">_xlfn.IFNA(VLOOKUP(INDIRECT("G"&amp;ROW()),minfo!$A:$M,COLUMN()-8,0),"")</f>
        <v>0</v>
      </c>
      <c r="O1458" s="4" t="str">
        <f ca="1">_xlfn.IFNA(VLOOKUP(INDIRECT("G"&amp;ROW()),minfo!$A:$M,COLUMN()-8,0),"")</f>
        <v>http://i0.hdslb.com/bfs/station_src/music_metadata/6d0fe4d5c4dc61f5d1d037d0e6855532.jpg</v>
      </c>
      <c r="P1458" s="4">
        <f ca="1">_xlfn.IFNA(VLOOKUP(INDIRECT("G"&amp;ROW()),minfo!$A:$M,COLUMN()-8,0),"")</f>
        <v>0</v>
      </c>
      <c r="Q1458" s="4">
        <f ca="1">_xlfn.IFNA(VLOOKUP(INDIRECT("G"&amp;ROW()),minfo!$A:$M,COLUMN()-8,0),"")</f>
        <v>42</v>
      </c>
      <c r="R1458" s="4">
        <f ca="1">_xlfn.IFNA(VLOOKUP(INDIRECT("G"&amp;ROW()),minfo!$A:$M,COLUMN()-8,0),"")</f>
        <v>0</v>
      </c>
      <c r="S1458" s="4" t="str">
        <f ca="1">_xlfn.IFNA(VLOOKUP(INDIRECT("G"&amp;ROW()),minfo!$A:$M,COLUMN()-8,0),"")</f>
        <v>快乐手账</v>
      </c>
      <c r="T1458" s="4">
        <f ca="1">_xlfn.IFNA(VLOOKUP(INDIRECT("G"&amp;ROW()),minfo!$A:$M,COLUMN()-8,0),"")</f>
        <v>6085354</v>
      </c>
      <c r="U1458" s="4">
        <f ca="1">_xlfn.IFNA(VLOOKUP(INDIRECT("G"&amp;ROW()),minfo!$A:$M,COLUMN()-8,0),"")</f>
        <v>0</v>
      </c>
    </row>
    <row r="1459" spans="1:21" ht="15.75" customHeight="1">
      <c r="A1459" s="15">
        <v>1458</v>
      </c>
      <c r="B1459" s="4" t="s">
        <v>5088</v>
      </c>
      <c r="C1459" s="4">
        <v>1459</v>
      </c>
      <c r="D1459" s="4">
        <v>105</v>
      </c>
      <c r="E1459" s="4" t="s">
        <v>546</v>
      </c>
      <c r="F1459" s="16">
        <v>44789</v>
      </c>
      <c r="G1459" s="5" t="s">
        <v>545</v>
      </c>
      <c r="H1459" s="5" t="s">
        <v>4978</v>
      </c>
      <c r="I1459" s="24" t="str">
        <f>HYPERLINK("https://www.bilibili.com/video/BV1ta411X75v?p=105", "BV1ta411X75v?p=105")</f>
        <v>BV1ta411X75v?p=105</v>
      </c>
      <c r="J1459" s="4" t="str">
        <f ca="1">_xlfn.IFNA(VLOOKUP(INDIRECT("G"&amp;ROW()),minfo!$A:$M,COLUMN()-8,0),"")</f>
        <v>阿楚姑娘</v>
      </c>
      <c r="K1459" s="4" t="str">
        <f ca="1">_xlfn.IFNA(VLOOKUP(INDIRECT("G"&amp;ROW()),minfo!$A:$M,COLUMN()-8,0),"")</f>
        <v>袁娅维TIA RAY</v>
      </c>
      <c r="L1459" s="4">
        <f ca="1">_xlfn.IFNA(VLOOKUP(INDIRECT("G"&amp;ROW()),minfo!$A:$M,COLUMN()-8,0),"")</f>
        <v>0</v>
      </c>
      <c r="M1459" s="4">
        <f ca="1">_xlfn.IFNA(VLOOKUP(INDIRECT("G"&amp;ROW()),minfo!$A:$M,COLUMN()-8,0),"")</f>
        <v>0</v>
      </c>
      <c r="N1459" s="4">
        <f ca="1">_xlfn.IFNA(VLOOKUP(INDIRECT("G"&amp;ROW()),minfo!$A:$M,COLUMN()-8,0),"")</f>
        <v>0</v>
      </c>
      <c r="O1459" s="4" t="str">
        <f ca="1">_xlfn.IFNA(VLOOKUP(INDIRECT("G"&amp;ROW()),minfo!$A:$M,COLUMN()-8,0),"")</f>
        <v>http://i0.hdslb.com/bfs/station_src/music_metadata/490252348b1df68e4145357b5fc3aad5.jpg</v>
      </c>
      <c r="P1459" s="4" t="str">
        <f ca="1">_xlfn.IFNA(VLOOKUP(INDIRECT("G"&amp;ROW()),minfo!$A:$M,COLUMN()-8,0),"")</f>
        <v>http://i0.hdslb.com/bfs/station_src/music_metadata/03c91235e156d3e1f46836f93beeb9f7</v>
      </c>
      <c r="Q1459" s="4">
        <f ca="1">_xlfn.IFNA(VLOOKUP(INDIRECT("G"&amp;ROW()),minfo!$A:$M,COLUMN()-8,0),"")</f>
        <v>139</v>
      </c>
      <c r="R1459" s="4">
        <f ca="1">_xlfn.IFNA(VLOOKUP(INDIRECT("G"&amp;ROW()),minfo!$A:$M,COLUMN()-8,0),"")</f>
        <v>0</v>
      </c>
      <c r="S1459" s="4" t="str">
        <f ca="1">_xlfn.IFNA(VLOOKUP(INDIRECT("G"&amp;ROW()),minfo!$A:$M,COLUMN()-8,0),"")</f>
        <v>阿楚姑娘</v>
      </c>
      <c r="T1459" s="4">
        <f ca="1">_xlfn.IFNA(VLOOKUP(INDIRECT("G"&amp;ROW()),minfo!$A:$M,COLUMN()-8,0),"")</f>
        <v>27303668</v>
      </c>
      <c r="U1459" s="4">
        <f ca="1">_xlfn.IFNA(VLOOKUP(INDIRECT("G"&amp;ROW()),minfo!$A:$M,COLUMN()-8,0),"")</f>
        <v>0</v>
      </c>
    </row>
    <row r="1460" spans="1:21" ht="15.75" customHeight="1">
      <c r="A1460" s="15">
        <v>1459</v>
      </c>
      <c r="B1460" s="4" t="s">
        <v>5089</v>
      </c>
      <c r="C1460" s="4">
        <v>1460</v>
      </c>
      <c r="D1460" s="4">
        <v>106</v>
      </c>
      <c r="E1460" s="4" t="s">
        <v>2912</v>
      </c>
      <c r="F1460" s="16">
        <v>44789</v>
      </c>
      <c r="G1460" s="5" t="s">
        <v>2911</v>
      </c>
      <c r="H1460" s="5" t="s">
        <v>4978</v>
      </c>
      <c r="I1460" s="24" t="str">
        <f>HYPERLINK("https://www.bilibili.com/video/BV1ta411X75v?p=106", "BV1ta411X75v?p=106")</f>
        <v>BV1ta411X75v?p=106</v>
      </c>
      <c r="J1460" s="4" t="str">
        <f ca="1">_xlfn.IFNA(VLOOKUP(INDIRECT("G"&amp;ROW()),minfo!$A:$M,COLUMN()-8,0),"")</f>
        <v>歌者</v>
      </c>
      <c r="K1460" s="4" t="str">
        <f ca="1">_xlfn.IFNA(VLOOKUP(INDIRECT("G"&amp;ROW()),minfo!$A:$M,COLUMN()-8,0),"")</f>
        <v>谭维维</v>
      </c>
      <c r="L1460" s="4">
        <f ca="1">_xlfn.IFNA(VLOOKUP(INDIRECT("G"&amp;ROW()),minfo!$A:$M,COLUMN()-8,0),"")</f>
        <v>0</v>
      </c>
      <c r="M1460" s="4">
        <f ca="1">_xlfn.IFNA(VLOOKUP(INDIRECT("G"&amp;ROW()),minfo!$A:$M,COLUMN()-8,0),"")</f>
        <v>0</v>
      </c>
      <c r="N1460" s="4">
        <f ca="1">_xlfn.IFNA(VLOOKUP(INDIRECT("G"&amp;ROW()),minfo!$A:$M,COLUMN()-8,0),"")</f>
        <v>0</v>
      </c>
      <c r="O1460" s="4" t="str">
        <f ca="1">_xlfn.IFNA(VLOOKUP(INDIRECT("G"&amp;ROW()),minfo!$A:$M,COLUMN()-8,0),"")</f>
        <v>https://i0.hdslb.com/bfs/station_src/music_metadata/3d78d4146f3283aaac04b4050b28bc9c.jpg</v>
      </c>
      <c r="P1460" s="4" t="str">
        <f ca="1">_xlfn.IFNA(VLOOKUP(INDIRECT("G"&amp;ROW()),minfo!$A:$M,COLUMN()-8,0),"")</f>
        <v>http://i0.hdslb.com/bfs/station_src/music_metadata/1d0f6c9719178c262311acdf3f92b492</v>
      </c>
      <c r="Q1460" s="4">
        <f ca="1">_xlfn.IFNA(VLOOKUP(INDIRECT("G"&amp;ROW()),minfo!$A:$M,COLUMN()-8,0),"")</f>
        <v>473</v>
      </c>
      <c r="R1460" s="4" t="str">
        <f ca="1">_xlfn.IFNA(VLOOKUP(INDIRECT("G"&amp;ROW()),minfo!$A:$M,COLUMN()-8,0),"")</f>
        <v>《三体》广播剧最终季主题曲</v>
      </c>
      <c r="S1460" s="4" t="str">
        <f ca="1">_xlfn.IFNA(VLOOKUP(INDIRECT("G"&amp;ROW()),minfo!$A:$M,COLUMN()-8,0),"")</f>
        <v>歌者</v>
      </c>
      <c r="T1460" s="4">
        <f ca="1">_xlfn.IFNA(VLOOKUP(INDIRECT("G"&amp;ROW()),minfo!$A:$M,COLUMN()-8,0),"")</f>
        <v>13389458</v>
      </c>
      <c r="U1460" s="4">
        <f ca="1">_xlfn.IFNA(VLOOKUP(INDIRECT("G"&amp;ROW()),minfo!$A:$M,COLUMN()-8,0),"")</f>
        <v>0</v>
      </c>
    </row>
    <row r="1461" spans="1:21" ht="15.75" customHeight="1">
      <c r="A1461" s="15">
        <v>1460</v>
      </c>
      <c r="B1461" s="4" t="s">
        <v>5090</v>
      </c>
      <c r="C1461" s="4">
        <v>1461</v>
      </c>
      <c r="D1461" s="4">
        <v>107</v>
      </c>
      <c r="E1461" s="4" t="s">
        <v>1944</v>
      </c>
      <c r="F1461" s="16">
        <v>44789</v>
      </c>
      <c r="G1461" s="5" t="s">
        <v>2916</v>
      </c>
      <c r="H1461" s="5" t="s">
        <v>4978</v>
      </c>
      <c r="I1461" s="24" t="str">
        <f>HYPERLINK("https://www.bilibili.com/video/BV1ta411X75v?p=107", "BV1ta411X75v?p=107")</f>
        <v>BV1ta411X75v?p=107</v>
      </c>
      <c r="J1461" s="4" t="str">
        <f ca="1">_xlfn.IFNA(VLOOKUP(INDIRECT("G"&amp;ROW()),minfo!$A:$M,COLUMN()-8,0),"")</f>
        <v>李香兰</v>
      </c>
      <c r="K1461" s="4" t="str">
        <f ca="1">_xlfn.IFNA(VLOOKUP(INDIRECT("G"&amp;ROW()),minfo!$A:$M,COLUMN()-8,0),"")</f>
        <v>张学友</v>
      </c>
      <c r="L1461" s="4">
        <f ca="1">_xlfn.IFNA(VLOOKUP(INDIRECT("G"&amp;ROW()),minfo!$A:$M,COLUMN()-8,0),"")</f>
        <v>0</v>
      </c>
      <c r="M1461" s="4">
        <f ca="1">_xlfn.IFNA(VLOOKUP(INDIRECT("G"&amp;ROW()),minfo!$A:$M,COLUMN()-8,0),"")</f>
        <v>0</v>
      </c>
      <c r="N1461" s="4">
        <f ca="1">_xlfn.IFNA(VLOOKUP(INDIRECT("G"&amp;ROW()),minfo!$A:$M,COLUMN()-8,0),"")</f>
        <v>0</v>
      </c>
      <c r="O1461" s="4" t="str">
        <f ca="1">_xlfn.IFNA(VLOOKUP(INDIRECT("G"&amp;ROW()),minfo!$A:$M,COLUMN()-8,0),"")</f>
        <v>https://i0.hdslb.com/bfs/station_src/music_metadata/ca40eee41363690306ca184b31dd7424.jpg</v>
      </c>
      <c r="P1461" s="4" t="str">
        <f ca="1">_xlfn.IFNA(VLOOKUP(INDIRECT("G"&amp;ROW()),minfo!$A:$M,COLUMN()-8,0),"")</f>
        <v>http://i0.hdslb.com/bfs/station_src/music_metadata/ef4f59db79321f69ff6727607be0915b</v>
      </c>
      <c r="Q1461" s="4">
        <f ca="1">_xlfn.IFNA(VLOOKUP(INDIRECT("G"&amp;ROW()),minfo!$A:$M,COLUMN()-8,0),"")</f>
        <v>209</v>
      </c>
      <c r="R1461" s="4">
        <f ca="1">_xlfn.IFNA(VLOOKUP(INDIRECT("G"&amp;ROW()),minfo!$A:$M,COLUMN()-8,0),"")</f>
        <v>0</v>
      </c>
      <c r="S1461" s="4" t="str">
        <f ca="1">_xlfn.IFNA(VLOOKUP(INDIRECT("G"&amp;ROW()),minfo!$A:$M,COLUMN()-8,0),"")</f>
        <v>梦中的你</v>
      </c>
      <c r="T1461" s="4">
        <f ca="1">_xlfn.IFNA(VLOOKUP(INDIRECT("G"&amp;ROW()),minfo!$A:$M,COLUMN()-8,0),"")</f>
        <v>808497193</v>
      </c>
      <c r="U1461" s="4">
        <f ca="1">_xlfn.IFNA(VLOOKUP(INDIRECT("G"&amp;ROW()),minfo!$A:$M,COLUMN()-8,0),"")</f>
        <v>0</v>
      </c>
    </row>
    <row r="1462" spans="1:21" ht="15.75" customHeight="1">
      <c r="A1462" s="15">
        <v>1461</v>
      </c>
      <c r="B1462" s="4" t="s">
        <v>5091</v>
      </c>
      <c r="C1462" s="4">
        <v>1462</v>
      </c>
      <c r="D1462" s="4">
        <v>108</v>
      </c>
      <c r="E1462" s="4" t="s">
        <v>1229</v>
      </c>
      <c r="F1462" s="16">
        <v>44790</v>
      </c>
      <c r="G1462" s="5" t="s">
        <v>1228</v>
      </c>
      <c r="H1462" s="5" t="s">
        <v>4978</v>
      </c>
      <c r="I1462" s="24" t="str">
        <f>HYPERLINK("https://www.bilibili.com/video/BV1ta411X75v?p=108", "BV1ta411X75v?p=108")</f>
        <v>BV1ta411X75v?p=108</v>
      </c>
      <c r="J1462" s="4" t="str">
        <f ca="1">_xlfn.IFNA(VLOOKUP(INDIRECT("G"&amp;ROW()),minfo!$A:$M,COLUMN()-8,0),"")</f>
        <v>昨日青空</v>
      </c>
      <c r="K1462" s="4" t="str">
        <f ca="1">_xlfn.IFNA(VLOOKUP(INDIRECT("G"&amp;ROW()),minfo!$A:$M,COLUMN()-8,0),"")</f>
        <v>尤长靖</v>
      </c>
      <c r="L1462" s="4">
        <f ca="1">_xlfn.IFNA(VLOOKUP(INDIRECT("G"&amp;ROW()),minfo!$A:$M,COLUMN()-8,0),"")</f>
        <v>0</v>
      </c>
      <c r="M1462" s="4">
        <f ca="1">_xlfn.IFNA(VLOOKUP(INDIRECT("G"&amp;ROW()),minfo!$A:$M,COLUMN()-8,0),"")</f>
        <v>0</v>
      </c>
      <c r="N1462" s="4">
        <f ca="1">_xlfn.IFNA(VLOOKUP(INDIRECT("G"&amp;ROW()),minfo!$A:$M,COLUMN()-8,0),"")</f>
        <v>0</v>
      </c>
      <c r="O1462" s="4" t="str">
        <f ca="1">_xlfn.IFNA(VLOOKUP(INDIRECT("G"&amp;ROW()),minfo!$A:$M,COLUMN()-8,0),"")</f>
        <v>https://i0.hdslb.com/bfs/station_src/music_metadata/abc73110210c595e7074ddc5a01dd754.jpg</v>
      </c>
      <c r="P1462" s="4" t="str">
        <f ca="1">_xlfn.IFNA(VLOOKUP(INDIRECT("G"&amp;ROW()),minfo!$A:$M,COLUMN()-8,0),"")</f>
        <v>http://i0.hdslb.com/bfs/station_src/music_metadata/042fb26c880b233a48dc106af6e82bca</v>
      </c>
      <c r="Q1462" s="4">
        <f ca="1">_xlfn.IFNA(VLOOKUP(INDIRECT("G"&amp;ROW()),minfo!$A:$M,COLUMN()-8,0),"")</f>
        <v>558</v>
      </c>
      <c r="R1462" s="4" t="str">
        <f ca="1">_xlfn.IFNA(VLOOKUP(INDIRECT("G"&amp;ROW()),minfo!$A:$M,COLUMN()-8,0),"")</f>
        <v>《昨日青空》电影同名青春主题曲</v>
      </c>
      <c r="S1462" s="4" t="str">
        <f ca="1">_xlfn.IFNA(VLOOKUP(INDIRECT("G"&amp;ROW()),minfo!$A:$M,COLUMN()-8,0),"")</f>
        <v>昨日青空</v>
      </c>
      <c r="T1462" s="4">
        <f ca="1">_xlfn.IFNA(VLOOKUP(INDIRECT("G"&amp;ROW()),minfo!$A:$M,COLUMN()-8,0),"")</f>
        <v>70470580</v>
      </c>
      <c r="U1462" s="4">
        <f ca="1">_xlfn.IFNA(VLOOKUP(INDIRECT("G"&amp;ROW()),minfo!$A:$M,COLUMN()-8,0),"")</f>
        <v>0</v>
      </c>
    </row>
    <row r="1463" spans="1:21" ht="15.75" customHeight="1">
      <c r="A1463" s="15">
        <v>1462</v>
      </c>
      <c r="B1463" s="4" t="s">
        <v>5092</v>
      </c>
      <c r="C1463" s="4">
        <v>1463</v>
      </c>
      <c r="D1463" s="4">
        <v>109</v>
      </c>
      <c r="E1463" s="4" t="s">
        <v>530</v>
      </c>
      <c r="F1463" s="16">
        <v>44790</v>
      </c>
      <c r="G1463" s="5" t="s">
        <v>529</v>
      </c>
      <c r="H1463" s="5" t="s">
        <v>4978</v>
      </c>
      <c r="I1463" s="24" t="str">
        <f>HYPERLINK("https://www.bilibili.com/video/BV1ta411X75v?p=109", "BV1ta411X75v?p=109")</f>
        <v>BV1ta411X75v?p=109</v>
      </c>
      <c r="J1463" s="4" t="str">
        <f ca="1">_xlfn.IFNA(VLOOKUP(INDIRECT("G"&amp;ROW()),minfo!$A:$M,COLUMN()-8,0),"")</f>
        <v>身骑白马</v>
      </c>
      <c r="K1463" s="4" t="str">
        <f ca="1">_xlfn.IFNA(VLOOKUP(INDIRECT("G"&amp;ROW()),minfo!$A:$M,COLUMN()-8,0),"")</f>
        <v>徐佳莹</v>
      </c>
      <c r="L1463" s="4">
        <f ca="1">_xlfn.IFNA(VLOOKUP(INDIRECT("G"&amp;ROW()),minfo!$A:$M,COLUMN()-8,0),"")</f>
        <v>0</v>
      </c>
      <c r="M1463" s="4">
        <f ca="1">_xlfn.IFNA(VLOOKUP(INDIRECT("G"&amp;ROW()),minfo!$A:$M,COLUMN()-8,0),"")</f>
        <v>0</v>
      </c>
      <c r="N1463" s="4">
        <f ca="1">_xlfn.IFNA(VLOOKUP(INDIRECT("G"&amp;ROW()),minfo!$A:$M,COLUMN()-8,0),"")</f>
        <v>0</v>
      </c>
      <c r="O1463" s="4" t="str">
        <f ca="1">_xlfn.IFNA(VLOOKUP(INDIRECT("G"&amp;ROW()),minfo!$A:$M,COLUMN()-8,0),"")</f>
        <v>http://i0.hdslb.com/bfs/station_src/music_metadata/5309866334d8550fdb4abccc389a5193.jpg</v>
      </c>
      <c r="P1463" s="4" t="str">
        <f ca="1">_xlfn.IFNA(VLOOKUP(INDIRECT("G"&amp;ROW()),minfo!$A:$M,COLUMN()-8,0),"")</f>
        <v>http://i0.hdslb.com/bfs/station_src/music_metadata/54d4cd6cf66cfb9eadbebde296a31478</v>
      </c>
      <c r="Q1463" s="4">
        <f ca="1">_xlfn.IFNA(VLOOKUP(INDIRECT("G"&amp;ROW()),minfo!$A:$M,COLUMN()-8,0),"")</f>
        <v>1245</v>
      </c>
      <c r="R1463" s="4">
        <f ca="1">_xlfn.IFNA(VLOOKUP(INDIRECT("G"&amp;ROW()),minfo!$A:$M,COLUMN()-8,0),"")</f>
        <v>0</v>
      </c>
      <c r="S1463" s="4" t="str">
        <f ca="1">_xlfn.IFNA(VLOOKUP(INDIRECT("G"&amp;ROW()),minfo!$A:$M,COLUMN()-8,0),"")</f>
        <v>LaLa首张创作专辑</v>
      </c>
      <c r="T1463" s="4">
        <f ca="1">_xlfn.IFNA(VLOOKUP(INDIRECT("G"&amp;ROW()),minfo!$A:$M,COLUMN()-8,0),"")</f>
        <v>198103765</v>
      </c>
      <c r="U1463" s="4" t="str">
        <f ca="1">_xlfn.IFNA(VLOOKUP(INDIRECT("G"&amp;ROW()),minfo!$A:$M,COLUMN()-8,0),"")</f>
        <v>音乐榜最高NO.10</v>
      </c>
    </row>
    <row r="1464" spans="1:21" ht="15.75" customHeight="1">
      <c r="A1464" s="15">
        <v>1463</v>
      </c>
      <c r="B1464" s="4" t="s">
        <v>5093</v>
      </c>
      <c r="C1464" s="4">
        <v>1464</v>
      </c>
      <c r="D1464" s="4">
        <v>110</v>
      </c>
      <c r="E1464" s="4" t="s">
        <v>5094</v>
      </c>
      <c r="F1464" s="16">
        <v>44790</v>
      </c>
      <c r="G1464" s="5" t="s">
        <v>294</v>
      </c>
      <c r="H1464" s="5" t="s">
        <v>4978</v>
      </c>
      <c r="I1464" s="24" t="str">
        <f>HYPERLINK("https://www.bilibili.com/video/BV1ta411X75v?p=110", "BV1ta411X75v?p=110")</f>
        <v>BV1ta411X75v?p=110</v>
      </c>
      <c r="J1464" s="4" t="str">
        <f ca="1">_xlfn.IFNA(VLOOKUP(INDIRECT("G"&amp;ROW()),minfo!$A:$M,COLUMN()-8,0),"")</f>
        <v>不能说的秘密</v>
      </c>
      <c r="K1464" s="4" t="str">
        <f ca="1">_xlfn.IFNA(VLOOKUP(INDIRECT("G"&amp;ROW()),minfo!$A:$M,COLUMN()-8,0),"")</f>
        <v>周杰伦</v>
      </c>
      <c r="L1464" s="4">
        <f ca="1">_xlfn.IFNA(VLOOKUP(INDIRECT("G"&amp;ROW()),minfo!$A:$M,COLUMN()-8,0),"")</f>
        <v>0</v>
      </c>
      <c r="M1464" s="4">
        <f ca="1">_xlfn.IFNA(VLOOKUP(INDIRECT("G"&amp;ROW()),minfo!$A:$M,COLUMN()-8,0),"")</f>
        <v>10838</v>
      </c>
      <c r="N1464" s="4">
        <f ca="1">_xlfn.IFNA(VLOOKUP(INDIRECT("G"&amp;ROW()),minfo!$A:$M,COLUMN()-8,0),"")</f>
        <v>384</v>
      </c>
      <c r="O1464" s="4" t="str">
        <f ca="1">_xlfn.IFNA(VLOOKUP(INDIRECT("G"&amp;ROW()),minfo!$A:$M,COLUMN()-8,0),"")</f>
        <v>https://i0.hdslb.com/bfs/station_src/music_metadata/c30e3ade8fa2d678a4fc3f717036ab49.jpg</v>
      </c>
      <c r="P1464" s="4" t="str">
        <f ca="1">_xlfn.IFNA(VLOOKUP(INDIRECT("G"&amp;ROW()),minfo!$A:$M,COLUMN()-8,0),"")</f>
        <v>http://i0.hdslb.com/bfs/station_src/music_metadata/b68ac496d2ba38e3bf8908441abecf91</v>
      </c>
      <c r="Q1464" s="4">
        <f ca="1">_xlfn.IFNA(VLOOKUP(INDIRECT("G"&amp;ROW()),minfo!$A:$M,COLUMN()-8,0),"")</f>
        <v>2938</v>
      </c>
      <c r="R1464" s="4" t="str">
        <f ca="1">_xlfn.IFNA(VLOOKUP(INDIRECT("G"&amp;ROW()),minfo!$A:$M,COLUMN()-8,0),"")</f>
        <v>《不能说的秘密》电影主题曲</v>
      </c>
      <c r="S1464" s="4" t="str">
        <f ca="1">_xlfn.IFNA(VLOOKUP(INDIRECT("G"&amp;ROW()),minfo!$A:$M,COLUMN()-8,0),"")</f>
        <v>不能说的秘密 电影原声带</v>
      </c>
      <c r="T1464" s="4">
        <f ca="1">_xlfn.IFNA(VLOOKUP(INDIRECT("G"&amp;ROW()),minfo!$A:$M,COLUMN()-8,0),"")</f>
        <v>525140241</v>
      </c>
      <c r="U1464" s="4">
        <f ca="1">_xlfn.IFNA(VLOOKUP(INDIRECT("G"&amp;ROW()),minfo!$A:$M,COLUMN()-8,0),"")</f>
        <v>0</v>
      </c>
    </row>
    <row r="1465" spans="1:21" ht="15.75" customHeight="1">
      <c r="A1465" s="15">
        <v>1464</v>
      </c>
      <c r="B1465" s="4" t="s">
        <v>5095</v>
      </c>
      <c r="C1465" s="4">
        <v>1465</v>
      </c>
      <c r="D1465" s="4">
        <v>111</v>
      </c>
      <c r="E1465" s="4" t="s">
        <v>2921</v>
      </c>
      <c r="F1465" s="16">
        <v>44790</v>
      </c>
      <c r="G1465" s="5" t="s">
        <v>2920</v>
      </c>
      <c r="H1465" s="5" t="s">
        <v>4978</v>
      </c>
      <c r="I1465" s="24" t="str">
        <f>HYPERLINK("https://www.bilibili.com/video/BV1ta411X75v?p=111", "BV1ta411X75v?p=111")</f>
        <v>BV1ta411X75v?p=111</v>
      </c>
      <c r="J1465" s="4" t="str">
        <f ca="1">_xlfn.IFNA(VLOOKUP(INDIRECT("G"&amp;ROW()),minfo!$A:$M,COLUMN()-8,0),"")</f>
        <v>后会无期</v>
      </c>
      <c r="K1465" s="4" t="str">
        <f ca="1">_xlfn.IFNA(VLOOKUP(INDIRECT("G"&amp;ROW()),minfo!$A:$M,COLUMN()-8,0),"")</f>
        <v>G.E.M. 邓紫棋</v>
      </c>
      <c r="L1465" s="4">
        <f ca="1">_xlfn.IFNA(VLOOKUP(INDIRECT("G"&amp;ROW()),minfo!$A:$M,COLUMN()-8,0),"")</f>
        <v>0</v>
      </c>
      <c r="M1465" s="4">
        <f ca="1">_xlfn.IFNA(VLOOKUP(INDIRECT("G"&amp;ROW()),minfo!$A:$M,COLUMN()-8,0),"")</f>
        <v>0</v>
      </c>
      <c r="N1465" s="4">
        <f ca="1">_xlfn.IFNA(VLOOKUP(INDIRECT("G"&amp;ROW()),minfo!$A:$M,COLUMN()-8,0),"")</f>
        <v>0</v>
      </c>
      <c r="O1465" s="4" t="str">
        <f ca="1">_xlfn.IFNA(VLOOKUP(INDIRECT("G"&amp;ROW()),minfo!$A:$M,COLUMN()-8,0),"")</f>
        <v>https://i0.hdslb.com/bfs/station_src/music_metadata/59acc49ce3141fb40eb8085a23c465b5.jpg</v>
      </c>
      <c r="P1465" s="4" t="str">
        <f ca="1">_xlfn.IFNA(VLOOKUP(INDIRECT("G"&amp;ROW()),minfo!$A:$M,COLUMN()-8,0),"")</f>
        <v>https://i0.hdslb.com/bfs/station_src/music_metadata/c02c910c44a6e489b0c6dcf933624d23.txt</v>
      </c>
      <c r="Q1465" s="4">
        <f ca="1">_xlfn.IFNA(VLOOKUP(INDIRECT("G"&amp;ROW()),minfo!$A:$M,COLUMN()-8,0),"")</f>
        <v>97</v>
      </c>
      <c r="R1465" s="4" t="str">
        <f ca="1">_xlfn.IFNA(VLOOKUP(INDIRECT("G"&amp;ROW()),minfo!$A:$M,COLUMN()-8,0),"")</f>
        <v>《后会无期》电影同名主题歌</v>
      </c>
      <c r="S1465" s="4" t="str">
        <f ca="1">_xlfn.IFNA(VLOOKUP(INDIRECT("G"&amp;ROW()),minfo!$A:$M,COLUMN()-8,0),"")</f>
        <v>后会无期 电影原声带</v>
      </c>
      <c r="T1465" s="4">
        <f ca="1">_xlfn.IFNA(VLOOKUP(INDIRECT("G"&amp;ROW()),minfo!$A:$M,COLUMN()-8,0),"")</f>
        <v>69541837</v>
      </c>
      <c r="U1465" s="4">
        <f ca="1">_xlfn.IFNA(VLOOKUP(INDIRECT("G"&amp;ROW()),minfo!$A:$M,COLUMN()-8,0),"")</f>
        <v>0</v>
      </c>
    </row>
    <row r="1466" spans="1:21" ht="15.75" customHeight="1">
      <c r="A1466" s="15">
        <v>1465</v>
      </c>
      <c r="B1466" s="4" t="s">
        <v>5096</v>
      </c>
      <c r="C1466" s="4">
        <v>1466</v>
      </c>
      <c r="D1466" s="4">
        <v>112</v>
      </c>
      <c r="E1466" s="4" t="s">
        <v>1637</v>
      </c>
      <c r="F1466" s="16">
        <v>44790</v>
      </c>
      <c r="G1466" s="5" t="s">
        <v>1636</v>
      </c>
      <c r="H1466" s="5" t="s">
        <v>4978</v>
      </c>
      <c r="I1466" s="24" t="str">
        <f>HYPERLINK("https://www.bilibili.com/video/BV1ta411X75v?p=112", "BV1ta411X75v?p=112")</f>
        <v>BV1ta411X75v?p=112</v>
      </c>
      <c r="J1466" s="4" t="str">
        <f ca="1">_xlfn.IFNA(VLOOKUP(INDIRECT("G"&amp;ROW()),minfo!$A:$M,COLUMN()-8,0),"")</f>
        <v>一吻之间</v>
      </c>
      <c r="K1466" s="4" t="str">
        <f ca="1">_xlfn.IFNA(VLOOKUP(INDIRECT("G"&amp;ROW()),minfo!$A:$M,COLUMN()-8,0),"")</f>
        <v>张碧晨</v>
      </c>
      <c r="L1466" s="4">
        <f ca="1">_xlfn.IFNA(VLOOKUP(INDIRECT("G"&amp;ROW()),minfo!$A:$M,COLUMN()-8,0),"")</f>
        <v>0</v>
      </c>
      <c r="M1466" s="4">
        <f ca="1">_xlfn.IFNA(VLOOKUP(INDIRECT("G"&amp;ROW()),minfo!$A:$M,COLUMN()-8,0),"")</f>
        <v>0</v>
      </c>
      <c r="N1466" s="4">
        <f ca="1">_xlfn.IFNA(VLOOKUP(INDIRECT("G"&amp;ROW()),minfo!$A:$M,COLUMN()-8,0),"")</f>
        <v>0</v>
      </c>
      <c r="O1466" s="4" t="str">
        <f ca="1">_xlfn.IFNA(VLOOKUP(INDIRECT("G"&amp;ROW()),minfo!$A:$M,COLUMN()-8,0),"")</f>
        <v>https://i0.hdslb.com/bfs/station_src/music_metadata/a3d43ce9eb78ab875eed490b32b4a29c.jpg</v>
      </c>
      <c r="P1466" s="4" t="str">
        <f ca="1">_xlfn.IFNA(VLOOKUP(INDIRECT("G"&amp;ROW()),minfo!$A:$M,COLUMN()-8,0),"")</f>
        <v>https://i0.hdslb.com/bfs/station_src/music_metadata/72848db79c86b2616cfc18f059965ad3.txt</v>
      </c>
      <c r="Q1466" s="4">
        <f ca="1">_xlfn.IFNA(VLOOKUP(INDIRECT("G"&amp;ROW()),minfo!$A:$M,COLUMN()-8,0),"")</f>
        <v>2</v>
      </c>
      <c r="R1466" s="4" t="str">
        <f ca="1">_xlfn.IFNA(VLOOKUP(INDIRECT("G"&amp;ROW()),minfo!$A:$M,COLUMN()-8,0),"")</f>
        <v>《青年医生》电视剧插曲</v>
      </c>
      <c r="S1466" s="4" t="str">
        <f ca="1">_xlfn.IFNA(VLOOKUP(INDIRECT("G"&amp;ROW()),minfo!$A:$M,COLUMN()-8,0),"")</f>
        <v>青年医生 电视剧原声带</v>
      </c>
      <c r="T1466" s="4">
        <f ca="1">_xlfn.IFNA(VLOOKUP(INDIRECT("G"&amp;ROW()),minfo!$A:$M,COLUMN()-8,0),"")</f>
        <v>3055477</v>
      </c>
      <c r="U1466" s="4">
        <f ca="1">_xlfn.IFNA(VLOOKUP(INDIRECT("G"&amp;ROW()),minfo!$A:$M,COLUMN()-8,0),"")</f>
        <v>0</v>
      </c>
    </row>
    <row r="1467" spans="1:21" ht="15.75" customHeight="1">
      <c r="A1467" s="15">
        <v>1466</v>
      </c>
      <c r="B1467" s="4" t="s">
        <v>5097</v>
      </c>
      <c r="C1467" s="4">
        <v>1467</v>
      </c>
      <c r="D1467" s="4">
        <v>113</v>
      </c>
      <c r="E1467" s="4" t="s">
        <v>2927</v>
      </c>
      <c r="F1467" s="16">
        <v>44790</v>
      </c>
      <c r="G1467" s="5" t="s">
        <v>2926</v>
      </c>
      <c r="H1467" s="5" t="s">
        <v>4978</v>
      </c>
      <c r="I1467" s="24" t="str">
        <f>HYPERLINK("https://www.bilibili.com/video/BV1ta411X75v?p=113", "BV1ta411X75v?p=113")</f>
        <v>BV1ta411X75v?p=113</v>
      </c>
      <c r="J1467" s="4" t="str">
        <f ca="1">_xlfn.IFNA(VLOOKUP(INDIRECT("G"&amp;ROW()),minfo!$A:$M,COLUMN()-8,0),"")</f>
        <v>胡广生</v>
      </c>
      <c r="K1467" s="4" t="str">
        <f ca="1">_xlfn.IFNA(VLOOKUP(INDIRECT("G"&amp;ROW()),minfo!$A:$M,COLUMN()-8,0),"")</f>
        <v>任素汐</v>
      </c>
      <c r="L1467" s="4">
        <f ca="1">_xlfn.IFNA(VLOOKUP(INDIRECT("G"&amp;ROW()),minfo!$A:$M,COLUMN()-8,0),"")</f>
        <v>0</v>
      </c>
      <c r="M1467" s="4">
        <f ca="1">_xlfn.IFNA(VLOOKUP(INDIRECT("G"&amp;ROW()),minfo!$A:$M,COLUMN()-8,0),"")</f>
        <v>0</v>
      </c>
      <c r="N1467" s="4">
        <f ca="1">_xlfn.IFNA(VLOOKUP(INDIRECT("G"&amp;ROW()),minfo!$A:$M,COLUMN()-8,0),"")</f>
        <v>0</v>
      </c>
      <c r="O1467" s="4" t="str">
        <f ca="1">_xlfn.IFNA(VLOOKUP(INDIRECT("G"&amp;ROW()),minfo!$A:$M,COLUMN()-8,0),"")</f>
        <v>http://i0.hdslb.com/bfs/station_src/music_metadata/d11c0649e9a1afe1b9918c21b5ccdfed.jpg</v>
      </c>
      <c r="P1467" s="4" t="str">
        <f ca="1">_xlfn.IFNA(VLOOKUP(INDIRECT("G"&amp;ROW()),minfo!$A:$M,COLUMN()-8,0),"")</f>
        <v>http://i0.hdslb.com/bfs/station_src/music_metadata/19201b92065475f325f8e06675000568</v>
      </c>
      <c r="Q1467" s="4">
        <f ca="1">_xlfn.IFNA(VLOOKUP(INDIRECT("G"&amp;ROW()),minfo!$A:$M,COLUMN()-8,0),"")</f>
        <v>282</v>
      </c>
      <c r="R1467" s="4" t="str">
        <f ca="1">_xlfn.IFNA(VLOOKUP(INDIRECT("G"&amp;ROW()),minfo!$A:$M,COLUMN()-8,0),"")</f>
        <v>《无名之辈》电影宣传推广曲</v>
      </c>
      <c r="S1467" s="4" t="str">
        <f ca="1">_xlfn.IFNA(VLOOKUP(INDIRECT("G"&amp;ROW()),minfo!$A:$M,COLUMN()-8,0),"")</f>
        <v>胡广生</v>
      </c>
      <c r="T1467" s="4">
        <f ca="1">_xlfn.IFNA(VLOOKUP(INDIRECT("G"&amp;ROW()),minfo!$A:$M,COLUMN()-8,0),"")</f>
        <v>74412849</v>
      </c>
      <c r="U1467" s="4">
        <f ca="1">_xlfn.IFNA(VLOOKUP(INDIRECT("G"&amp;ROW()),minfo!$A:$M,COLUMN()-8,0),"")</f>
        <v>0</v>
      </c>
    </row>
    <row r="1468" spans="1:21" ht="15.75" customHeight="1">
      <c r="A1468" s="15">
        <v>1467</v>
      </c>
      <c r="B1468" s="4" t="s">
        <v>5098</v>
      </c>
      <c r="C1468" s="4">
        <v>1468</v>
      </c>
      <c r="D1468" s="4">
        <v>114</v>
      </c>
      <c r="E1468" s="4" t="s">
        <v>536</v>
      </c>
      <c r="F1468" s="16">
        <v>44793</v>
      </c>
      <c r="G1468" s="5" t="s">
        <v>535</v>
      </c>
      <c r="H1468" s="5" t="s">
        <v>4978</v>
      </c>
      <c r="I1468" s="24" t="str">
        <f>HYPERLINK("https://www.bilibili.com/video/BV1ta411X75v?p=114", "BV1ta411X75v?p=114")</f>
        <v>BV1ta411X75v?p=114</v>
      </c>
      <c r="J1468" s="4" t="str">
        <f ca="1">_xlfn.IFNA(VLOOKUP(INDIRECT("G"&amp;ROW()),minfo!$A:$M,COLUMN()-8,0),"")</f>
        <v>红颜如霜</v>
      </c>
      <c r="K1468" s="4" t="str">
        <f ca="1">_xlfn.IFNA(VLOOKUP(INDIRECT("G"&amp;ROW()),minfo!$A:$M,COLUMN()-8,0),"")</f>
        <v>周杰伦</v>
      </c>
      <c r="L1468" s="4">
        <f ca="1">_xlfn.IFNA(VLOOKUP(INDIRECT("G"&amp;ROW()),minfo!$A:$M,COLUMN()-8,0),"")</f>
        <v>0</v>
      </c>
      <c r="M1468" s="4">
        <f ca="1">_xlfn.IFNA(VLOOKUP(INDIRECT("G"&amp;ROW()),minfo!$A:$M,COLUMN()-8,0),"")</f>
        <v>179425</v>
      </c>
      <c r="N1468" s="4">
        <f ca="1">_xlfn.IFNA(VLOOKUP(INDIRECT("G"&amp;ROW()),minfo!$A:$M,COLUMN()-8,0),"")</f>
        <v>61254</v>
      </c>
      <c r="O1468" s="4" t="str">
        <f ca="1">_xlfn.IFNA(VLOOKUP(INDIRECT("G"&amp;ROW()),minfo!$A:$M,COLUMN()-8,0),"")</f>
        <v>https://i0.hdslb.com/bfs/station_src/music_metadata/b0bbef33041121e4c8107f9d82ff0e60.jpg</v>
      </c>
      <c r="P1468" s="4">
        <f ca="1">_xlfn.IFNA(VLOOKUP(INDIRECT("G"&amp;ROW()),minfo!$A:$M,COLUMN()-8,0),"")</f>
        <v>0</v>
      </c>
      <c r="Q1468" s="4">
        <f ca="1">_xlfn.IFNA(VLOOKUP(INDIRECT("G"&amp;ROW()),minfo!$A:$M,COLUMN()-8,0),"")</f>
        <v>17510</v>
      </c>
      <c r="R1468" s="4">
        <f ca="1">_xlfn.IFNA(VLOOKUP(INDIRECT("G"&amp;ROW()),minfo!$A:$M,COLUMN()-8,0),"")</f>
        <v>0</v>
      </c>
      <c r="S1468" s="4" t="str">
        <f ca="1">_xlfn.IFNA(VLOOKUP(INDIRECT("G"&amp;ROW()),minfo!$A:$M,COLUMN()-8,0),"")</f>
        <v>最伟大的作品</v>
      </c>
      <c r="T1468" s="4">
        <f ca="1">_xlfn.IFNA(VLOOKUP(INDIRECT("G"&amp;ROW()),minfo!$A:$M,COLUMN()-8,0),"")</f>
        <v>237302125</v>
      </c>
      <c r="U1468" s="4" t="str">
        <f ca="1">_xlfn.IFNA(VLOOKUP(INDIRECT("G"&amp;ROW()),minfo!$A:$M,COLUMN()-8,0),"")</f>
        <v>音乐榜最高NO.2</v>
      </c>
    </row>
    <row r="1469" spans="1:21" ht="15.75" customHeight="1">
      <c r="A1469" s="15">
        <v>1468</v>
      </c>
      <c r="B1469" s="4" t="s">
        <v>5099</v>
      </c>
      <c r="C1469" s="4">
        <v>1469</v>
      </c>
      <c r="D1469" s="4">
        <v>115</v>
      </c>
      <c r="E1469" s="4" t="s">
        <v>370</v>
      </c>
      <c r="F1469" s="16">
        <v>44793</v>
      </c>
      <c r="G1469" s="5" t="s">
        <v>369</v>
      </c>
      <c r="H1469" s="5" t="s">
        <v>4978</v>
      </c>
      <c r="I1469" s="24" t="str">
        <f>HYPERLINK("https://www.bilibili.com/video/BV1ta411X75v?p=115", "BV1ta411X75v?p=115")</f>
        <v>BV1ta411X75v?p=115</v>
      </c>
      <c r="J1469" s="4" t="str">
        <f ca="1">_xlfn.IFNA(VLOOKUP(INDIRECT("G"&amp;ROW()),minfo!$A:$M,COLUMN()-8,0),"")</f>
        <v>星晴</v>
      </c>
      <c r="K1469" s="4" t="str">
        <f ca="1">_xlfn.IFNA(VLOOKUP(INDIRECT("G"&amp;ROW()),minfo!$A:$M,COLUMN()-8,0),"")</f>
        <v>周杰伦</v>
      </c>
      <c r="L1469" s="4">
        <f ca="1">_xlfn.IFNA(VLOOKUP(INDIRECT("G"&amp;ROW()),minfo!$A:$M,COLUMN()-8,0),"")</f>
        <v>0</v>
      </c>
      <c r="M1469" s="4">
        <f ca="1">_xlfn.IFNA(VLOOKUP(INDIRECT("G"&amp;ROW()),minfo!$A:$M,COLUMN()-8,0),"")</f>
        <v>0</v>
      </c>
      <c r="N1469" s="4">
        <f ca="1">_xlfn.IFNA(VLOOKUP(INDIRECT("G"&amp;ROW()),minfo!$A:$M,COLUMN()-8,0),"")</f>
        <v>0</v>
      </c>
      <c r="O1469" s="4" t="str">
        <f ca="1">_xlfn.IFNA(VLOOKUP(INDIRECT("G"&amp;ROW()),minfo!$A:$M,COLUMN()-8,0),"")</f>
        <v>http://i0.hdslb.com/bfs/station_src/music_metadata/6c5a2e49b22b5017b16436b34ffa8ff4.jpg</v>
      </c>
      <c r="P1469" s="4" t="str">
        <f ca="1">_xlfn.IFNA(VLOOKUP(INDIRECT("G"&amp;ROW()),minfo!$A:$M,COLUMN()-8,0),"")</f>
        <v>http://i0.hdslb.com/bfs/station_src/music_metadata/51698719dd553d61e269f2d4bcc88e0c</v>
      </c>
      <c r="Q1469" s="4">
        <f ca="1">_xlfn.IFNA(VLOOKUP(INDIRECT("G"&amp;ROW()),minfo!$A:$M,COLUMN()-8,0),"")</f>
        <v>1203</v>
      </c>
      <c r="R1469" s="4">
        <f ca="1">_xlfn.IFNA(VLOOKUP(INDIRECT("G"&amp;ROW()),minfo!$A:$M,COLUMN()-8,0),"")</f>
        <v>0</v>
      </c>
      <c r="S1469" s="4" t="str">
        <f ca="1">_xlfn.IFNA(VLOOKUP(INDIRECT("G"&amp;ROW()),minfo!$A:$M,COLUMN()-8,0),"")</f>
        <v>Jay</v>
      </c>
      <c r="T1469" s="4">
        <f ca="1">_xlfn.IFNA(VLOOKUP(INDIRECT("G"&amp;ROW()),minfo!$A:$M,COLUMN()-8,0),"")</f>
        <v>318249236</v>
      </c>
      <c r="U1469" s="4">
        <f ca="1">_xlfn.IFNA(VLOOKUP(INDIRECT("G"&amp;ROW()),minfo!$A:$M,COLUMN()-8,0),"")</f>
        <v>0</v>
      </c>
    </row>
    <row r="1470" spans="1:21" ht="15.75" customHeight="1">
      <c r="A1470" s="15">
        <v>1469</v>
      </c>
      <c r="B1470" s="4" t="s">
        <v>5100</v>
      </c>
      <c r="C1470" s="4">
        <v>1470</v>
      </c>
      <c r="D1470" s="4">
        <v>116</v>
      </c>
      <c r="E1470" s="4" t="s">
        <v>1649</v>
      </c>
      <c r="F1470" s="16">
        <v>44794</v>
      </c>
      <c r="G1470" s="5" t="s">
        <v>1648</v>
      </c>
      <c r="H1470" s="5" t="s">
        <v>4978</v>
      </c>
      <c r="I1470" s="24" t="str">
        <f>HYPERLINK("https://www.bilibili.com/video/BV1ta411X75v?p=116", "BV1ta411X75v?p=116")</f>
        <v>BV1ta411X75v?p=116</v>
      </c>
      <c r="J1470" s="4" t="str">
        <f ca="1">_xlfn.IFNA(VLOOKUP(INDIRECT("G"&amp;ROW()),minfo!$A:$M,COLUMN()-8,0),"")</f>
        <v>白芍花开</v>
      </c>
      <c r="K1470" s="4" t="str">
        <f ca="1">_xlfn.IFNA(VLOOKUP(INDIRECT("G"&amp;ROW()),minfo!$A:$M,COLUMN()-8,0),"")</f>
        <v>张碧晨</v>
      </c>
      <c r="L1470" s="4">
        <f ca="1">_xlfn.IFNA(VLOOKUP(INDIRECT("G"&amp;ROW()),minfo!$A:$M,COLUMN()-8,0),"")</f>
        <v>0</v>
      </c>
      <c r="M1470" s="4">
        <f ca="1">_xlfn.IFNA(VLOOKUP(INDIRECT("G"&amp;ROW()),minfo!$A:$M,COLUMN()-8,0),"")</f>
        <v>0</v>
      </c>
      <c r="N1470" s="4">
        <f ca="1">_xlfn.IFNA(VLOOKUP(INDIRECT("G"&amp;ROW()),minfo!$A:$M,COLUMN()-8,0),"")</f>
        <v>0</v>
      </c>
      <c r="O1470" s="4" t="str">
        <f ca="1">_xlfn.IFNA(VLOOKUP(INDIRECT("G"&amp;ROW()),minfo!$A:$M,COLUMN()-8,0),"")</f>
        <v>https://i0.hdslb.com/bfs/station_src/music_metadata/60c38822d75385bc7f7246251764a48e.jpg</v>
      </c>
      <c r="P1470" s="4">
        <f ca="1">_xlfn.IFNA(VLOOKUP(INDIRECT("G"&amp;ROW()),minfo!$A:$M,COLUMN()-8,0),"")</f>
        <v>0</v>
      </c>
      <c r="Q1470" s="4">
        <f ca="1">_xlfn.IFNA(VLOOKUP(INDIRECT("G"&amp;ROW()),minfo!$A:$M,COLUMN()-8,0),"")</f>
        <v>3</v>
      </c>
      <c r="R1470" s="4" t="str">
        <f ca="1">_xlfn.IFNA(VLOOKUP(INDIRECT("G"&amp;ROW()),minfo!$A:$M,COLUMN()-8,0),"")</f>
        <v>白芍花开</v>
      </c>
      <c r="S1470" s="4" t="str">
        <f ca="1">_xlfn.IFNA(VLOOKUP(INDIRECT("G"&amp;ROW()),minfo!$A:$M,COLUMN()-8,0),"")</f>
        <v>2015羽西品牌广告曲</v>
      </c>
      <c r="T1470" s="4">
        <f ca="1">_xlfn.IFNA(VLOOKUP(INDIRECT("G"&amp;ROW()),minfo!$A:$M,COLUMN()-8,0),"")</f>
        <v>1807396</v>
      </c>
      <c r="U1470" s="4">
        <f ca="1">_xlfn.IFNA(VLOOKUP(INDIRECT("G"&amp;ROW()),minfo!$A:$M,COLUMN()-8,0),"")</f>
        <v>0</v>
      </c>
    </row>
    <row r="1471" spans="1:21" ht="15.75" customHeight="1">
      <c r="A1471" s="15">
        <v>1470</v>
      </c>
      <c r="B1471" s="4" t="s">
        <v>5101</v>
      </c>
      <c r="C1471" s="4">
        <v>1471</v>
      </c>
      <c r="D1471" s="4">
        <v>117</v>
      </c>
      <c r="E1471" s="4" t="s">
        <v>749</v>
      </c>
      <c r="F1471" s="16">
        <v>44804</v>
      </c>
      <c r="G1471" s="5" t="s">
        <v>748</v>
      </c>
      <c r="H1471" s="5" t="s">
        <v>4978</v>
      </c>
      <c r="I1471" s="24" t="str">
        <f>HYPERLINK("https://www.bilibili.com/video/BV1ta411X75v?p=117", "BV1ta411X75v?p=117")</f>
        <v>BV1ta411X75v?p=117</v>
      </c>
      <c r="J1471" s="4" t="str">
        <f ca="1">_xlfn.IFNA(VLOOKUP(INDIRECT("G"&amp;ROW()),minfo!$A:$M,COLUMN()-8,0),"")</f>
        <v>我好想你</v>
      </c>
      <c r="K1471" s="4" t="str">
        <f ca="1">_xlfn.IFNA(VLOOKUP(INDIRECT("G"&amp;ROW()),minfo!$A:$M,COLUMN()-8,0),"")</f>
        <v>苏打绿</v>
      </c>
      <c r="L1471" s="4">
        <f ca="1">_xlfn.IFNA(VLOOKUP(INDIRECT("G"&amp;ROW()),minfo!$A:$M,COLUMN()-8,0),"")</f>
        <v>0</v>
      </c>
      <c r="M1471" s="4">
        <f ca="1">_xlfn.IFNA(VLOOKUP(INDIRECT("G"&amp;ROW()),minfo!$A:$M,COLUMN()-8,0),"")</f>
        <v>0</v>
      </c>
      <c r="N1471" s="4">
        <f ca="1">_xlfn.IFNA(VLOOKUP(INDIRECT("G"&amp;ROW()),minfo!$A:$M,COLUMN()-8,0),"")</f>
        <v>0</v>
      </c>
      <c r="O1471" s="4" t="str">
        <f ca="1">_xlfn.IFNA(VLOOKUP(INDIRECT("G"&amp;ROW()),minfo!$A:$M,COLUMN()-8,0),"")</f>
        <v>https://i0.hdslb.com/bfs/station_src/music_metadata/142298774c35c909c17cc46ed0028323.jpg</v>
      </c>
      <c r="P1471" s="4" t="str">
        <f ca="1">_xlfn.IFNA(VLOOKUP(INDIRECT("G"&amp;ROW()),minfo!$A:$M,COLUMN()-8,0),"")</f>
        <v>http://i0.hdslb.com/bfs/station_src/music_metadata/a561acc490d86e8b1eff97408e8b2033</v>
      </c>
      <c r="Q1471" s="4">
        <f ca="1">_xlfn.IFNA(VLOOKUP(INDIRECT("G"&amp;ROW()),minfo!$A:$M,COLUMN()-8,0),"")</f>
        <v>6140</v>
      </c>
      <c r="R1471" s="4">
        <f ca="1">_xlfn.IFNA(VLOOKUP(INDIRECT("G"&amp;ROW()),minfo!$A:$M,COLUMN()-8,0),"")</f>
        <v>0</v>
      </c>
      <c r="S1471" s="4" t="str">
        <f ca="1">_xlfn.IFNA(VLOOKUP(INDIRECT("G"&amp;ROW()),minfo!$A:$M,COLUMN()-8,0),"")</f>
        <v>MOOV Live 2013 苏打绿</v>
      </c>
      <c r="T1471" s="4">
        <f ca="1">_xlfn.IFNA(VLOOKUP(INDIRECT("G"&amp;ROW()),minfo!$A:$M,COLUMN()-8,0),"")</f>
        <v>400198699</v>
      </c>
      <c r="U1471" s="4" t="str">
        <f ca="1">_xlfn.IFNA(VLOOKUP(INDIRECT("G"&amp;ROW()),minfo!$A:$M,COLUMN()-8,0),"")</f>
        <v>音乐榜最高NO.7</v>
      </c>
    </row>
    <row r="1472" spans="1:21" ht="15.75" customHeight="1">
      <c r="A1472" s="15">
        <v>1471</v>
      </c>
      <c r="B1472" s="4" t="s">
        <v>5102</v>
      </c>
      <c r="C1472" s="4">
        <v>1472</v>
      </c>
      <c r="D1472" s="4">
        <v>118</v>
      </c>
      <c r="E1472" s="4" t="s">
        <v>214</v>
      </c>
      <c r="F1472" s="16">
        <v>44804</v>
      </c>
      <c r="G1472" s="5" t="s">
        <v>213</v>
      </c>
      <c r="H1472" s="5" t="s">
        <v>4978</v>
      </c>
      <c r="I1472" s="24" t="str">
        <f>HYPERLINK("https://www.bilibili.com/video/BV1ta411X75v?p=118", "BV1ta411X75v?p=118")</f>
        <v>BV1ta411X75v?p=118</v>
      </c>
      <c r="J1472" s="4" t="str">
        <f ca="1">_xlfn.IFNA(VLOOKUP(INDIRECT("G"&amp;ROW()),minfo!$A:$M,COLUMN()-8,0),"")</f>
        <v>相思</v>
      </c>
      <c r="K1472" s="4" t="str">
        <f ca="1">_xlfn.IFNA(VLOOKUP(INDIRECT("G"&amp;ROW()),minfo!$A:$M,COLUMN()-8,0),"")</f>
        <v>毛阿敏</v>
      </c>
      <c r="L1472" s="4">
        <f ca="1">_xlfn.IFNA(VLOOKUP(INDIRECT("G"&amp;ROW()),minfo!$A:$M,COLUMN()-8,0),"")</f>
        <v>0</v>
      </c>
      <c r="M1472" s="4">
        <f ca="1">_xlfn.IFNA(VLOOKUP(INDIRECT("G"&amp;ROW()),minfo!$A:$M,COLUMN()-8,0),"")</f>
        <v>0</v>
      </c>
      <c r="N1472" s="4">
        <f ca="1">_xlfn.IFNA(VLOOKUP(INDIRECT("G"&amp;ROW()),minfo!$A:$M,COLUMN()-8,0),"")</f>
        <v>0</v>
      </c>
      <c r="O1472" s="4" t="str">
        <f ca="1">_xlfn.IFNA(VLOOKUP(INDIRECT("G"&amp;ROW()),minfo!$A:$M,COLUMN()-8,0),"")</f>
        <v>https://i0.hdslb.com/bfs/station_src/music_metadata/0603be9293791ccb88f9a80d06e3ce3d.jpg</v>
      </c>
      <c r="P1472" s="4" t="str">
        <f ca="1">_xlfn.IFNA(VLOOKUP(INDIRECT("G"&amp;ROW()),minfo!$A:$M,COLUMN()-8,0),"")</f>
        <v>https://i0.hdslb.com/bfs/station_src/music_metadata/f447da700792e77fcdc9743518f18ce8.txt</v>
      </c>
      <c r="Q1472" s="4">
        <f ca="1">_xlfn.IFNA(VLOOKUP(INDIRECT("G"&amp;ROW()),minfo!$A:$M,COLUMN()-8,0),"")</f>
        <v>554</v>
      </c>
      <c r="R1472" s="4">
        <f ca="1">_xlfn.IFNA(VLOOKUP(INDIRECT("G"&amp;ROW()),minfo!$A:$M,COLUMN()-8,0),"")</f>
        <v>0</v>
      </c>
      <c r="S1472" s="4" t="str">
        <f ca="1">_xlfn.IFNA(VLOOKUP(INDIRECT("G"&amp;ROW()),minfo!$A:$M,COLUMN()-8,0),"")</f>
        <v>直接影响</v>
      </c>
      <c r="T1472" s="4">
        <f ca="1">_xlfn.IFNA(VLOOKUP(INDIRECT("G"&amp;ROW()),minfo!$A:$M,COLUMN()-8,0),"")</f>
        <v>217626434</v>
      </c>
      <c r="U1472" s="4">
        <f ca="1">_xlfn.IFNA(VLOOKUP(INDIRECT("G"&amp;ROW()),minfo!$A:$M,COLUMN()-8,0),"")</f>
        <v>0</v>
      </c>
    </row>
    <row r="1473" spans="1:21" ht="15.75" customHeight="1">
      <c r="A1473" s="15">
        <v>1472</v>
      </c>
      <c r="B1473" s="4" t="s">
        <v>5103</v>
      </c>
      <c r="C1473" s="4">
        <v>1473</v>
      </c>
      <c r="D1473" s="4">
        <v>119</v>
      </c>
      <c r="E1473" s="4" t="s">
        <v>409</v>
      </c>
      <c r="F1473" s="16">
        <v>44804</v>
      </c>
      <c r="G1473" s="5" t="s">
        <v>408</v>
      </c>
      <c r="H1473" s="5" t="s">
        <v>4978</v>
      </c>
      <c r="I1473" s="24" t="str">
        <f>HYPERLINK("https://www.bilibili.com/video/BV1ta411X75v?p=119", "BV1ta411X75v?p=119")</f>
        <v>BV1ta411X75v?p=119</v>
      </c>
      <c r="J1473" s="4" t="str">
        <f ca="1">_xlfn.IFNA(VLOOKUP(INDIRECT("G"&amp;ROW()),minfo!$A:$M,COLUMN()-8,0),"")</f>
        <v>呼吸决定</v>
      </c>
      <c r="K1473" s="4" t="str">
        <f ca="1">_xlfn.IFNA(VLOOKUP(INDIRECT("G"&amp;ROW()),minfo!$A:$M,COLUMN()-8,0),"")</f>
        <v>Fine乐团</v>
      </c>
      <c r="L1473" s="4">
        <f ca="1">_xlfn.IFNA(VLOOKUP(INDIRECT("G"&amp;ROW()),minfo!$A:$M,COLUMN()-8,0),"")</f>
        <v>0</v>
      </c>
      <c r="M1473" s="4">
        <f ca="1">_xlfn.IFNA(VLOOKUP(INDIRECT("G"&amp;ROW()),minfo!$A:$M,COLUMN()-8,0),"")</f>
        <v>0</v>
      </c>
      <c r="N1473" s="4">
        <f ca="1">_xlfn.IFNA(VLOOKUP(INDIRECT("G"&amp;ROW()),minfo!$A:$M,COLUMN()-8,0),"")</f>
        <v>0</v>
      </c>
      <c r="O1473" s="4" t="str">
        <f ca="1">_xlfn.IFNA(VLOOKUP(INDIRECT("G"&amp;ROW()),minfo!$A:$M,COLUMN()-8,0),"")</f>
        <v>http://i0.hdslb.com/bfs/station_src/music_metadata/de6c3020bce1962dc02b42568606781f.jpg</v>
      </c>
      <c r="P1473" s="4" t="str">
        <f ca="1">_xlfn.IFNA(VLOOKUP(INDIRECT("G"&amp;ROW()),minfo!$A:$M,COLUMN()-8,0),"")</f>
        <v>http://i0.hdslb.com/bfs/station_src/music_metadata/9dfd516512eb23be6e624848db3bed57</v>
      </c>
      <c r="Q1473" s="4">
        <f ca="1">_xlfn.IFNA(VLOOKUP(INDIRECT("G"&amp;ROW()),minfo!$A:$M,COLUMN()-8,0),"")</f>
        <v>838</v>
      </c>
      <c r="R1473" s="4">
        <f ca="1">_xlfn.IFNA(VLOOKUP(INDIRECT("G"&amp;ROW()),minfo!$A:$M,COLUMN()-8,0),"")</f>
        <v>0</v>
      </c>
      <c r="S1473" s="4">
        <f ca="1">_xlfn.IFNA(VLOOKUP(INDIRECT("G"&amp;ROW()),minfo!$A:$M,COLUMN()-8,0),"")</f>
        <v>0</v>
      </c>
      <c r="T1473" s="4">
        <f ca="1">_xlfn.IFNA(VLOOKUP(INDIRECT("G"&amp;ROW()),minfo!$A:$M,COLUMN()-8,0),"")</f>
        <v>100019249</v>
      </c>
      <c r="U1473" s="4">
        <f ca="1">_xlfn.IFNA(VLOOKUP(INDIRECT("G"&amp;ROW()),minfo!$A:$M,COLUMN()-8,0),"")</f>
        <v>0</v>
      </c>
    </row>
    <row r="1474" spans="1:21" ht="15.75" customHeight="1">
      <c r="A1474" s="15">
        <v>1473</v>
      </c>
      <c r="B1474" s="4" t="s">
        <v>5104</v>
      </c>
      <c r="C1474" s="4">
        <v>1474</v>
      </c>
      <c r="D1474" s="4">
        <v>120</v>
      </c>
      <c r="E1474" s="4" t="s">
        <v>95</v>
      </c>
      <c r="F1474" s="16">
        <v>44804</v>
      </c>
      <c r="G1474" s="5" t="s">
        <v>203</v>
      </c>
      <c r="H1474" s="5" t="s">
        <v>4978</v>
      </c>
      <c r="I1474" s="24" t="str">
        <f>HYPERLINK("https://www.bilibili.com/video/BV1ta411X75v?p=120", "BV1ta411X75v?p=120")</f>
        <v>BV1ta411X75v?p=120</v>
      </c>
      <c r="J1474" s="4" t="str">
        <f ca="1">_xlfn.IFNA(VLOOKUP(INDIRECT("G"&amp;ROW()),minfo!$A:$M,COLUMN()-8,0),"")</f>
        <v>不问天</v>
      </c>
      <c r="K1474" s="4" t="str">
        <f ca="1">_xlfn.IFNA(VLOOKUP(INDIRECT("G"&amp;ROW()),minfo!$A:$M,COLUMN()-8,0),"")</f>
        <v>说说Crystal</v>
      </c>
      <c r="L1474" s="4">
        <f ca="1">_xlfn.IFNA(VLOOKUP(INDIRECT("G"&amp;ROW()),minfo!$A:$M,COLUMN()-8,0),"")</f>
        <v>0</v>
      </c>
      <c r="M1474" s="4">
        <f ca="1">_xlfn.IFNA(VLOOKUP(INDIRECT("G"&amp;ROW()),minfo!$A:$M,COLUMN()-8,0),"")</f>
        <v>0</v>
      </c>
      <c r="N1474" s="4">
        <f ca="1">_xlfn.IFNA(VLOOKUP(INDIRECT("G"&amp;ROW()),minfo!$A:$M,COLUMN()-8,0),"")</f>
        <v>0</v>
      </c>
      <c r="O1474" s="4" t="str">
        <f ca="1">_xlfn.IFNA(VLOOKUP(INDIRECT("G"&amp;ROW()),minfo!$A:$M,COLUMN()-8,0),"")</f>
        <v>https://i0.hdslb.com/bfs/station_src/music_metadata/ce3a0da2a7e64a49fa42a6e3db521f57.jpg</v>
      </c>
      <c r="P1474" s="4" t="str">
        <f ca="1">_xlfn.IFNA(VLOOKUP(INDIRECT("G"&amp;ROW()),minfo!$A:$M,COLUMN()-8,0),"")</f>
        <v>https://i0.hdslb.com/bfs/station_src/music_metadata/02cd9198a33924449443fc704a92a25a.txt</v>
      </c>
      <c r="Q1474" s="4">
        <f ca="1">_xlfn.IFNA(VLOOKUP(INDIRECT("G"&amp;ROW()),minfo!$A:$M,COLUMN()-8,0),"")</f>
        <v>149</v>
      </c>
      <c r="R1474" s="4">
        <f ca="1">_xlfn.IFNA(VLOOKUP(INDIRECT("G"&amp;ROW()),minfo!$A:$M,COLUMN()-8,0),"")</f>
        <v>0</v>
      </c>
      <c r="S1474" s="4" t="str">
        <f ca="1">_xlfn.IFNA(VLOOKUP(INDIRECT("G"&amp;ROW()),minfo!$A:$M,COLUMN()-8,0),"")</f>
        <v>2021哔哩哔哩拜年纪</v>
      </c>
      <c r="T1474" s="4">
        <f ca="1">_xlfn.IFNA(VLOOKUP(INDIRECT("G"&amp;ROW()),minfo!$A:$M,COLUMN()-8,0),"")</f>
        <v>33137051</v>
      </c>
      <c r="U1474" s="4">
        <f ca="1">_xlfn.IFNA(VLOOKUP(INDIRECT("G"&amp;ROW()),minfo!$A:$M,COLUMN()-8,0),"")</f>
        <v>0</v>
      </c>
    </row>
    <row r="1475" spans="1:21" ht="15.75" customHeight="1">
      <c r="A1475" s="15">
        <v>1474</v>
      </c>
      <c r="B1475" s="4" t="s">
        <v>5105</v>
      </c>
      <c r="C1475" s="4">
        <v>1475</v>
      </c>
      <c r="D1475" s="4">
        <v>121</v>
      </c>
      <c r="E1475" s="4" t="s">
        <v>95</v>
      </c>
      <c r="F1475" s="16">
        <v>44804</v>
      </c>
      <c r="G1475" s="5" t="s">
        <v>203</v>
      </c>
      <c r="H1475" s="5" t="s">
        <v>4978</v>
      </c>
      <c r="I1475" s="24" t="str">
        <f>HYPERLINK("https://www.bilibili.com/video/BV1ta411X75v?p=121", "BV1ta411X75v?p=121")</f>
        <v>BV1ta411X75v?p=121</v>
      </c>
      <c r="J1475" s="4" t="str">
        <f ca="1">_xlfn.IFNA(VLOOKUP(INDIRECT("G"&amp;ROW()),minfo!$A:$M,COLUMN()-8,0),"")</f>
        <v>不问天</v>
      </c>
      <c r="K1475" s="4" t="str">
        <f ca="1">_xlfn.IFNA(VLOOKUP(INDIRECT("G"&amp;ROW()),minfo!$A:$M,COLUMN()-8,0),"")</f>
        <v>说说Crystal</v>
      </c>
      <c r="L1475" s="4">
        <f ca="1">_xlfn.IFNA(VLOOKUP(INDIRECT("G"&amp;ROW()),minfo!$A:$M,COLUMN()-8,0),"")</f>
        <v>0</v>
      </c>
      <c r="M1475" s="4">
        <f ca="1">_xlfn.IFNA(VLOOKUP(INDIRECT("G"&amp;ROW()),minfo!$A:$M,COLUMN()-8,0),"")</f>
        <v>0</v>
      </c>
      <c r="N1475" s="4">
        <f ca="1">_xlfn.IFNA(VLOOKUP(INDIRECT("G"&amp;ROW()),minfo!$A:$M,COLUMN()-8,0),"")</f>
        <v>0</v>
      </c>
      <c r="O1475" s="4" t="str">
        <f ca="1">_xlfn.IFNA(VLOOKUP(INDIRECT("G"&amp;ROW()),minfo!$A:$M,COLUMN()-8,0),"")</f>
        <v>https://i0.hdslb.com/bfs/station_src/music_metadata/ce3a0da2a7e64a49fa42a6e3db521f57.jpg</v>
      </c>
      <c r="P1475" s="4" t="str">
        <f ca="1">_xlfn.IFNA(VLOOKUP(INDIRECT("G"&amp;ROW()),minfo!$A:$M,COLUMN()-8,0),"")</f>
        <v>https://i0.hdslb.com/bfs/station_src/music_metadata/02cd9198a33924449443fc704a92a25a.txt</v>
      </c>
      <c r="Q1475" s="4">
        <f ca="1">_xlfn.IFNA(VLOOKUP(INDIRECT("G"&amp;ROW()),minfo!$A:$M,COLUMN()-8,0),"")</f>
        <v>149</v>
      </c>
      <c r="R1475" s="4">
        <f ca="1">_xlfn.IFNA(VLOOKUP(INDIRECT("G"&amp;ROW()),minfo!$A:$M,COLUMN()-8,0),"")</f>
        <v>0</v>
      </c>
      <c r="S1475" s="4" t="str">
        <f ca="1">_xlfn.IFNA(VLOOKUP(INDIRECT("G"&amp;ROW()),minfo!$A:$M,COLUMN()-8,0),"")</f>
        <v>2021哔哩哔哩拜年纪</v>
      </c>
      <c r="T1475" s="4">
        <f ca="1">_xlfn.IFNA(VLOOKUP(INDIRECT("G"&amp;ROW()),minfo!$A:$M,COLUMN()-8,0),"")</f>
        <v>33137051</v>
      </c>
      <c r="U1475" s="4">
        <f ca="1">_xlfn.IFNA(VLOOKUP(INDIRECT("G"&amp;ROW()),minfo!$A:$M,COLUMN()-8,0),"")</f>
        <v>0</v>
      </c>
    </row>
    <row r="1476" spans="1:21" ht="15.75" customHeight="1">
      <c r="A1476" s="15">
        <v>1475</v>
      </c>
      <c r="B1476" s="4" t="s">
        <v>5106</v>
      </c>
      <c r="C1476" s="4">
        <v>1476</v>
      </c>
      <c r="D1476" s="4">
        <v>122</v>
      </c>
      <c r="E1476" s="4" t="s">
        <v>93</v>
      </c>
      <c r="F1476" s="16">
        <v>44804</v>
      </c>
      <c r="G1476" s="5" t="s">
        <v>273</v>
      </c>
      <c r="H1476" s="5" t="s">
        <v>4978</v>
      </c>
      <c r="I1476" s="24" t="str">
        <f>HYPERLINK("https://www.bilibili.com/video/BV1ta411X75v?p=122", "BV1ta411X75v?p=122")</f>
        <v>BV1ta411X75v?p=122</v>
      </c>
      <c r="J1476" s="4" t="str">
        <f ca="1">_xlfn.IFNA(VLOOKUP(INDIRECT("G"&amp;ROW()),minfo!$A:$M,COLUMN()-8,0),"")</f>
        <v>罗敷</v>
      </c>
      <c r="K1476" s="4" t="str">
        <f ca="1">_xlfn.IFNA(VLOOKUP(INDIRECT("G"&amp;ROW()),minfo!$A:$M,COLUMN()-8,0),"")</f>
        <v>说说Crystal</v>
      </c>
      <c r="L1476" s="4">
        <f ca="1">_xlfn.IFNA(VLOOKUP(INDIRECT("G"&amp;ROW()),minfo!$A:$M,COLUMN()-8,0),"")</f>
        <v>0</v>
      </c>
      <c r="M1476" s="4">
        <f ca="1">_xlfn.IFNA(VLOOKUP(INDIRECT("G"&amp;ROW()),minfo!$A:$M,COLUMN()-8,0),"")</f>
        <v>0</v>
      </c>
      <c r="N1476" s="4">
        <f ca="1">_xlfn.IFNA(VLOOKUP(INDIRECT("G"&amp;ROW()),minfo!$A:$M,COLUMN()-8,0),"")</f>
        <v>0</v>
      </c>
      <c r="O1476" s="4" t="str">
        <f ca="1">_xlfn.IFNA(VLOOKUP(INDIRECT("G"&amp;ROW()),minfo!$A:$M,COLUMN()-8,0),"")</f>
        <v>https://i0.hdslb.com/bfs/station_src/music_metadata/1b7b9e3e2c4c793577a84986cdadb2cc.jpg</v>
      </c>
      <c r="P1476" s="4">
        <f ca="1">_xlfn.IFNA(VLOOKUP(INDIRECT("G"&amp;ROW()),minfo!$A:$M,COLUMN()-8,0),"")</f>
        <v>0</v>
      </c>
      <c r="Q1476" s="4">
        <f ca="1">_xlfn.IFNA(VLOOKUP(INDIRECT("G"&amp;ROW()),minfo!$A:$M,COLUMN()-8,0),"")</f>
        <v>0</v>
      </c>
      <c r="R1476" s="4">
        <f ca="1">_xlfn.IFNA(VLOOKUP(INDIRECT("G"&amp;ROW()),minfo!$A:$M,COLUMN()-8,0),"")</f>
        <v>0</v>
      </c>
      <c r="S1476" s="4" t="str">
        <f ca="1">_xlfn.IFNA(VLOOKUP(INDIRECT("G"&amp;ROW()),minfo!$A:$M,COLUMN()-8,0),"")</f>
        <v>【说说·原创】这一曲只倾心于你 |《罗敷》</v>
      </c>
      <c r="T1476" s="4">
        <f ca="1">_xlfn.IFNA(VLOOKUP(INDIRECT("G"&amp;ROW()),minfo!$A:$M,COLUMN()-8,0),"")</f>
        <v>323164</v>
      </c>
      <c r="U1476" s="4">
        <f ca="1">_xlfn.IFNA(VLOOKUP(INDIRECT("G"&amp;ROW()),minfo!$A:$M,COLUMN()-8,0),"")</f>
        <v>0</v>
      </c>
    </row>
    <row r="1477" spans="1:21" ht="15.75" customHeight="1">
      <c r="A1477" s="15">
        <v>1476</v>
      </c>
      <c r="B1477" s="4" t="s">
        <v>5107</v>
      </c>
      <c r="C1477" s="4">
        <v>1477</v>
      </c>
      <c r="D1477" s="4">
        <v>123</v>
      </c>
      <c r="E1477" s="4" t="s">
        <v>81</v>
      </c>
      <c r="F1477" s="16">
        <v>44804</v>
      </c>
      <c r="G1477" s="5" t="s">
        <v>1690</v>
      </c>
      <c r="H1477" s="5" t="s">
        <v>4978</v>
      </c>
      <c r="I1477" s="24" t="str">
        <f>HYPERLINK("https://www.bilibili.com/video/BV1ta411X75v?p=123", "BV1ta411X75v?p=123")</f>
        <v>BV1ta411X75v?p=123</v>
      </c>
      <c r="J1477" s="4" t="str">
        <f ca="1">_xlfn.IFNA(VLOOKUP(INDIRECT("G"&amp;ROW()),minfo!$A:$M,COLUMN()-8,0),"")</f>
        <v>从前的月光</v>
      </c>
      <c r="K1477" s="4" t="str">
        <f ca="1">_xlfn.IFNA(VLOOKUP(INDIRECT("G"&amp;ROW()),minfo!$A:$M,COLUMN()-8,0),"")</f>
        <v>说说Crystal</v>
      </c>
      <c r="L1477" s="4">
        <f ca="1">_xlfn.IFNA(VLOOKUP(INDIRECT("G"&amp;ROW()),minfo!$A:$M,COLUMN()-8,0),"")</f>
        <v>0</v>
      </c>
      <c r="M1477" s="4">
        <f ca="1">_xlfn.IFNA(VLOOKUP(INDIRECT("G"&amp;ROW()),minfo!$A:$M,COLUMN()-8,0),"")</f>
        <v>0</v>
      </c>
      <c r="N1477" s="4">
        <f ca="1">_xlfn.IFNA(VLOOKUP(INDIRECT("G"&amp;ROW()),minfo!$A:$M,COLUMN()-8,0),"")</f>
        <v>0</v>
      </c>
      <c r="O1477" s="4" t="str">
        <f ca="1">_xlfn.IFNA(VLOOKUP(INDIRECT("G"&amp;ROW()),minfo!$A:$M,COLUMN()-8,0),"")</f>
        <v>https://i0.hdslb.com/bfs/station_src/music_metadata/d3381c4f9efa75a9a131a7c91b7a4a4a.jpg</v>
      </c>
      <c r="P1477" s="4">
        <f ca="1">_xlfn.IFNA(VLOOKUP(INDIRECT("G"&amp;ROW()),minfo!$A:$M,COLUMN()-8,0),"")</f>
        <v>0</v>
      </c>
      <c r="Q1477" s="4">
        <f ca="1">_xlfn.IFNA(VLOOKUP(INDIRECT("G"&amp;ROW()),minfo!$A:$M,COLUMN()-8,0),"")</f>
        <v>0</v>
      </c>
      <c r="R1477" s="4">
        <f ca="1">_xlfn.IFNA(VLOOKUP(INDIRECT("G"&amp;ROW()),minfo!$A:$M,COLUMN()-8,0),"")</f>
        <v>0</v>
      </c>
      <c r="S1477" s="4" t="str">
        <f ca="1">_xlfn.IFNA(VLOOKUP(INDIRECT("G"&amp;ROW()),minfo!$A:$M,COLUMN()-8,0),"")</f>
        <v>从前的月光</v>
      </c>
      <c r="T1477" s="4">
        <f ca="1">_xlfn.IFNA(VLOOKUP(INDIRECT("G"&amp;ROW()),minfo!$A:$M,COLUMN()-8,0),"")</f>
        <v>152535</v>
      </c>
      <c r="U1477" s="4">
        <f ca="1">_xlfn.IFNA(VLOOKUP(INDIRECT("G"&amp;ROW()),minfo!$A:$M,COLUMN()-8,0),"")</f>
        <v>0</v>
      </c>
    </row>
    <row r="1478" spans="1:21" ht="15.75" customHeight="1">
      <c r="A1478" s="15">
        <v>1477</v>
      </c>
      <c r="B1478" s="4" t="s">
        <v>5108</v>
      </c>
      <c r="C1478" s="4">
        <v>1478</v>
      </c>
      <c r="D1478" s="4">
        <v>124</v>
      </c>
      <c r="E1478" s="4" t="s">
        <v>85</v>
      </c>
      <c r="F1478" s="16">
        <v>44804</v>
      </c>
      <c r="G1478" s="5" t="s">
        <v>1937</v>
      </c>
      <c r="H1478" s="5" t="s">
        <v>4978</v>
      </c>
      <c r="I1478" s="24" t="str">
        <f>HYPERLINK("https://www.bilibili.com/video/BV1ta411X75v?p=124", "BV1ta411X75v?p=124")</f>
        <v>BV1ta411X75v?p=124</v>
      </c>
      <c r="J1478" s="4" t="str">
        <f ca="1">_xlfn.IFNA(VLOOKUP(INDIRECT("G"&amp;ROW()),minfo!$A:$M,COLUMN()-8,0),"")</f>
        <v>灯花落</v>
      </c>
      <c r="K1478" s="4" t="str">
        <f ca="1">_xlfn.IFNA(VLOOKUP(INDIRECT("G"&amp;ROW()),minfo!$A:$M,COLUMN()-8,0),"")</f>
        <v>说说Crystal</v>
      </c>
      <c r="L1478" s="4">
        <f ca="1">_xlfn.IFNA(VLOOKUP(INDIRECT("G"&amp;ROW()),minfo!$A:$M,COLUMN()-8,0),"")</f>
        <v>0</v>
      </c>
      <c r="M1478" s="4">
        <f ca="1">_xlfn.IFNA(VLOOKUP(INDIRECT("G"&amp;ROW()),minfo!$A:$M,COLUMN()-8,0),"")</f>
        <v>0</v>
      </c>
      <c r="N1478" s="4">
        <f ca="1">_xlfn.IFNA(VLOOKUP(INDIRECT("G"&amp;ROW()),minfo!$A:$M,COLUMN()-8,0),"")</f>
        <v>0</v>
      </c>
      <c r="O1478" s="4" t="str">
        <f ca="1">_xlfn.IFNA(VLOOKUP(INDIRECT("G"&amp;ROW()),minfo!$A:$M,COLUMN()-8,0),"")</f>
        <v>https://i0.hdslb.com/bfs/station_src/music_metadata/f014cc372efc20dcaf401338a91b51bf.jpg</v>
      </c>
      <c r="P1478" s="4">
        <f ca="1">_xlfn.IFNA(VLOOKUP(INDIRECT("G"&amp;ROW()),minfo!$A:$M,COLUMN()-8,0),"")</f>
        <v>0</v>
      </c>
      <c r="Q1478" s="4">
        <f ca="1">_xlfn.IFNA(VLOOKUP(INDIRECT("G"&amp;ROW()),minfo!$A:$M,COLUMN()-8,0),"")</f>
        <v>0</v>
      </c>
      <c r="R1478" s="4">
        <f ca="1">_xlfn.IFNA(VLOOKUP(INDIRECT("G"&amp;ROW()),minfo!$A:$M,COLUMN()-8,0),"")</f>
        <v>0</v>
      </c>
      <c r="S1478" s="4" t="str">
        <f ca="1">_xlfn.IFNA(VLOOKUP(INDIRECT("G"&amp;ROW()),minfo!$A:$M,COLUMN()-8,0),"")</f>
        <v>灯花落</v>
      </c>
      <c r="T1478" s="4">
        <f ca="1">_xlfn.IFNA(VLOOKUP(INDIRECT("G"&amp;ROW()),minfo!$A:$M,COLUMN()-8,0),"")</f>
        <v>538222</v>
      </c>
      <c r="U1478" s="4">
        <f ca="1">_xlfn.IFNA(VLOOKUP(INDIRECT("G"&amp;ROW()),minfo!$A:$M,COLUMN()-8,0),"")</f>
        <v>0</v>
      </c>
    </row>
    <row r="1479" spans="1:21" ht="15.75" customHeight="1">
      <c r="A1479" s="15">
        <v>1478</v>
      </c>
      <c r="B1479" s="4" t="s">
        <v>5109</v>
      </c>
      <c r="C1479" s="4">
        <v>1479</v>
      </c>
      <c r="D1479" s="4">
        <v>125</v>
      </c>
      <c r="E1479" s="4" t="s">
        <v>105</v>
      </c>
      <c r="F1479" s="16">
        <v>44804</v>
      </c>
      <c r="G1479" s="5" t="s">
        <v>1827</v>
      </c>
      <c r="H1479" s="5" t="s">
        <v>4978</v>
      </c>
      <c r="I1479" s="24" t="str">
        <f>HYPERLINK("https://www.bilibili.com/video/BV1ta411X75v?p=125", "BV1ta411X75v?p=125")</f>
        <v>BV1ta411X75v?p=125</v>
      </c>
      <c r="J1479" s="4" t="str">
        <f ca="1">_xlfn.IFNA(VLOOKUP(INDIRECT("G"&amp;ROW()),minfo!$A:$M,COLUMN()-8,0),"")</f>
        <v>花月妖</v>
      </c>
      <c r="K1479" s="4" t="str">
        <f ca="1">_xlfn.IFNA(VLOOKUP(INDIRECT("G"&amp;ROW()),minfo!$A:$M,COLUMN()-8,0),"")</f>
        <v>说说Crystal</v>
      </c>
      <c r="L1479" s="4">
        <f ca="1">_xlfn.IFNA(VLOOKUP(INDIRECT("G"&amp;ROW()),minfo!$A:$M,COLUMN()-8,0),"")</f>
        <v>0</v>
      </c>
      <c r="M1479" s="4">
        <f ca="1">_xlfn.IFNA(VLOOKUP(INDIRECT("G"&amp;ROW()),minfo!$A:$M,COLUMN()-8,0),"")</f>
        <v>0</v>
      </c>
      <c r="N1479" s="4">
        <f ca="1">_xlfn.IFNA(VLOOKUP(INDIRECT("G"&amp;ROW()),minfo!$A:$M,COLUMN()-8,0),"")</f>
        <v>0</v>
      </c>
      <c r="O1479" s="4" t="str">
        <f ca="1">_xlfn.IFNA(VLOOKUP(INDIRECT("G"&amp;ROW()),minfo!$A:$M,COLUMN()-8,0),"")</f>
        <v>https://i0.hdslb.com/bfs/station_src/music_metadata/55cdb41a446e5a3e7e554b5961143bc7.jpg</v>
      </c>
      <c r="P1479" s="4" t="str">
        <f ca="1">_xlfn.IFNA(VLOOKUP(INDIRECT("G"&amp;ROW()),minfo!$A:$M,COLUMN()-8,0),"")</f>
        <v>https://i0.hdslb.com/bfs/station_src/music_metadata/0c97bbbbf51bc8b21fe5875c0bf27b57.txt</v>
      </c>
      <c r="Q1479" s="4">
        <f ca="1">_xlfn.IFNA(VLOOKUP(INDIRECT("G"&amp;ROW()),minfo!$A:$M,COLUMN()-8,0),"")</f>
        <v>8</v>
      </c>
      <c r="R1479" s="4">
        <f ca="1">_xlfn.IFNA(VLOOKUP(INDIRECT("G"&amp;ROW()),minfo!$A:$M,COLUMN()-8,0),"")</f>
        <v>0</v>
      </c>
      <c r="S1479" s="4" t="str">
        <f ca="1">_xlfn.IFNA(VLOOKUP(INDIRECT("G"&amp;ROW()),minfo!$A:$M,COLUMN()-8,0),"")</f>
        <v>花月妖</v>
      </c>
      <c r="T1479" s="4">
        <f ca="1">_xlfn.IFNA(VLOOKUP(INDIRECT("G"&amp;ROW()),minfo!$A:$M,COLUMN()-8,0),"")</f>
        <v>1163456</v>
      </c>
      <c r="U1479" s="4">
        <f ca="1">_xlfn.IFNA(VLOOKUP(INDIRECT("G"&amp;ROW()),minfo!$A:$M,COLUMN()-8,0),"")</f>
        <v>0</v>
      </c>
    </row>
    <row r="1480" spans="1:21" ht="15.75" customHeight="1">
      <c r="A1480" s="15">
        <v>1479</v>
      </c>
      <c r="B1480" s="4" t="s">
        <v>5110</v>
      </c>
      <c r="C1480" s="4">
        <v>1480</v>
      </c>
      <c r="D1480" s="4">
        <v>126</v>
      </c>
      <c r="E1480" s="4" t="s">
        <v>83</v>
      </c>
      <c r="F1480" s="16">
        <v>44804</v>
      </c>
      <c r="G1480" s="5" t="s">
        <v>1692</v>
      </c>
      <c r="H1480" s="5" t="s">
        <v>4978</v>
      </c>
      <c r="I1480" s="24" t="str">
        <f>HYPERLINK("https://www.bilibili.com/video/BV1ta411X75v?p=126", "BV1ta411X75v?p=126")</f>
        <v>BV1ta411X75v?p=126</v>
      </c>
      <c r="J1480" s="4" t="str">
        <f ca="1">_xlfn.IFNA(VLOOKUP(INDIRECT("G"&amp;ROW()),minfo!$A:$M,COLUMN()-8,0),"")</f>
        <v>蜃楼之下</v>
      </c>
      <c r="K1480" s="4" t="str">
        <f ca="1">_xlfn.IFNA(VLOOKUP(INDIRECT("G"&amp;ROW()),minfo!$A:$M,COLUMN()-8,0),"")</f>
        <v>说说Crystal</v>
      </c>
      <c r="L1480" s="4">
        <f ca="1">_xlfn.IFNA(VLOOKUP(INDIRECT("G"&amp;ROW()),minfo!$A:$M,COLUMN()-8,0),"")</f>
        <v>0</v>
      </c>
      <c r="M1480" s="4">
        <f ca="1">_xlfn.IFNA(VLOOKUP(INDIRECT("G"&amp;ROW()),minfo!$A:$M,COLUMN()-8,0),"")</f>
        <v>0</v>
      </c>
      <c r="N1480" s="4">
        <f ca="1">_xlfn.IFNA(VLOOKUP(INDIRECT("G"&amp;ROW()),minfo!$A:$M,COLUMN()-8,0),"")</f>
        <v>0</v>
      </c>
      <c r="O1480" s="4" t="str">
        <f ca="1">_xlfn.IFNA(VLOOKUP(INDIRECT("G"&amp;ROW()),minfo!$A:$M,COLUMN()-8,0),"")</f>
        <v>https://i0.hdslb.com/bfs/station_src/music_metadata/4e2fa6c3be188c96f2fcbacdcd7c32b9.jpg</v>
      </c>
      <c r="P1480" s="4" t="str">
        <f ca="1">_xlfn.IFNA(VLOOKUP(INDIRECT("G"&amp;ROW()),minfo!$A:$M,COLUMN()-8,0),"")</f>
        <v>https://i0.hdslb.com/bfs/station_src/music_metadata/5fb02cb51d8da687f91eef8353e8054f.txt</v>
      </c>
      <c r="Q1480" s="4">
        <f ca="1">_xlfn.IFNA(VLOOKUP(INDIRECT("G"&amp;ROW()),minfo!$A:$M,COLUMN()-8,0),"")</f>
        <v>0</v>
      </c>
      <c r="R1480" s="4" t="str">
        <f ca="1">_xlfn.IFNA(VLOOKUP(INDIRECT("G"&amp;ROW()),minfo!$A:$M,COLUMN()-8,0),"")</f>
        <v>《红荒》片头曲</v>
      </c>
      <c r="S1480" s="4" t="str">
        <f ca="1">_xlfn.IFNA(VLOOKUP(INDIRECT("G"&amp;ROW()),minfo!$A:$M,COLUMN()-8,0),"")</f>
        <v>红荒 动画原声带</v>
      </c>
      <c r="T1480" s="4">
        <f ca="1">_xlfn.IFNA(VLOOKUP(INDIRECT("G"&amp;ROW()),minfo!$A:$M,COLUMN()-8,0),"")</f>
        <v>403200</v>
      </c>
      <c r="U1480" s="4">
        <f ca="1">_xlfn.IFNA(VLOOKUP(INDIRECT("G"&amp;ROW()),minfo!$A:$M,COLUMN()-8,0),"")</f>
        <v>0</v>
      </c>
    </row>
    <row r="1481" spans="1:21" ht="15.75" customHeight="1">
      <c r="A1481" s="15">
        <v>1480</v>
      </c>
      <c r="B1481" s="4" t="s">
        <v>5111</v>
      </c>
      <c r="C1481" s="4">
        <v>1481</v>
      </c>
      <c r="D1481" s="4">
        <v>127</v>
      </c>
      <c r="E1481" s="4" t="s">
        <v>1932</v>
      </c>
      <c r="F1481" s="16">
        <v>44804</v>
      </c>
      <c r="G1481" s="5" t="s">
        <v>2217</v>
      </c>
      <c r="H1481" s="5" t="s">
        <v>4978</v>
      </c>
      <c r="I1481" s="24" t="str">
        <f>HYPERLINK("https://www.bilibili.com/video/BV1ta411X75v?p=127", "BV1ta411X75v?p=127")</f>
        <v>BV1ta411X75v?p=127</v>
      </c>
      <c r="J1481" s="4" t="str">
        <f ca="1">_xlfn.IFNA(VLOOKUP(INDIRECT("G"&amp;ROW()),minfo!$A:$M,COLUMN()-8,0),"")</f>
        <v>secret base～君がくれたもの～ (Secret Base ～你给我的所有～)</v>
      </c>
      <c r="K1481" s="4" t="str">
        <f ca="1">_xlfn.IFNA(VLOOKUP(INDIRECT("G"&amp;ROW()),minfo!$A:$M,COLUMN()-8,0),"")</f>
        <v>ZONE</v>
      </c>
      <c r="L1481" s="4">
        <f ca="1">_xlfn.IFNA(VLOOKUP(INDIRECT("G"&amp;ROW()),minfo!$A:$M,COLUMN()-8,0),"")</f>
        <v>0</v>
      </c>
      <c r="M1481" s="4">
        <f ca="1">_xlfn.IFNA(VLOOKUP(INDIRECT("G"&amp;ROW()),minfo!$A:$M,COLUMN()-8,0),"")</f>
        <v>0</v>
      </c>
      <c r="N1481" s="4">
        <f ca="1">_xlfn.IFNA(VLOOKUP(INDIRECT("G"&amp;ROW()),minfo!$A:$M,COLUMN()-8,0),"")</f>
        <v>0</v>
      </c>
      <c r="O1481" s="4" t="str">
        <f ca="1">_xlfn.IFNA(VLOOKUP(INDIRECT("G"&amp;ROW()),minfo!$A:$M,COLUMN()-8,0),"")</f>
        <v>https://i0.hdslb.com/bfs/station_src/music_metadata/8554116e25ac6000f51076cdc07b9598.jpg</v>
      </c>
      <c r="P1481" s="4" t="str">
        <f ca="1">_xlfn.IFNA(VLOOKUP(INDIRECT("G"&amp;ROW()),minfo!$A:$M,COLUMN()-8,0),"")</f>
        <v>http://i0.hdslb.com/bfs/station_src/music_metadata/cbd7b2cd34f3d8159d9cd2f22cfadd24</v>
      </c>
      <c r="Q1481" s="4">
        <f ca="1">_xlfn.IFNA(VLOOKUP(INDIRECT("G"&amp;ROW()),minfo!$A:$M,COLUMN()-8,0),"")</f>
        <v>12330</v>
      </c>
      <c r="R1481" s="4">
        <f ca="1">_xlfn.IFNA(VLOOKUP(INDIRECT("G"&amp;ROW()),minfo!$A:$M,COLUMN()-8,0),"")</f>
        <v>0</v>
      </c>
      <c r="S1481" s="4" t="str">
        <f ca="1">_xlfn.IFNA(VLOOKUP(INDIRECT("G"&amp;ROW()),minfo!$A:$M,COLUMN()-8,0),"")</f>
        <v>Z (日本版)</v>
      </c>
      <c r="T1481" s="4">
        <f ca="1">_xlfn.IFNA(VLOOKUP(INDIRECT("G"&amp;ROW()),minfo!$A:$M,COLUMN()-8,0),"")</f>
        <v>917329445</v>
      </c>
      <c r="U1481" s="4" t="str">
        <f ca="1">_xlfn.IFNA(VLOOKUP(INDIRECT("G"&amp;ROW()),minfo!$A:$M,COLUMN()-8,0),"")</f>
        <v>音乐榜最高NO.3</v>
      </c>
    </row>
    <row r="1482" spans="1:21" ht="15.75" customHeight="1">
      <c r="A1482" s="15">
        <v>1481</v>
      </c>
      <c r="B1482" s="4" t="s">
        <v>5112</v>
      </c>
      <c r="C1482" s="4">
        <v>1482</v>
      </c>
      <c r="D1482" s="4">
        <v>128</v>
      </c>
      <c r="E1482" s="4" t="s">
        <v>2932</v>
      </c>
      <c r="F1482" s="16">
        <v>44804</v>
      </c>
      <c r="G1482" s="5" t="s">
        <v>2931</v>
      </c>
      <c r="H1482" s="5" t="s">
        <v>4978</v>
      </c>
      <c r="I1482" s="24" t="str">
        <f>HYPERLINK("https://www.bilibili.com/video/BV1ta411X75v?p=128", "BV1ta411X75v?p=128")</f>
        <v>BV1ta411X75v?p=128</v>
      </c>
      <c r="J1482" s="4" t="str">
        <f ca="1">_xlfn.IFNA(VLOOKUP(INDIRECT("G"&amp;ROW()),minfo!$A:$M,COLUMN()-8,0),"")</f>
        <v>香水有毒</v>
      </c>
      <c r="K1482" s="4" t="str">
        <f ca="1">_xlfn.IFNA(VLOOKUP(INDIRECT("G"&amp;ROW()),minfo!$A:$M,COLUMN()-8,0),"")</f>
        <v>胡杨林</v>
      </c>
      <c r="L1482" s="4">
        <f ca="1">_xlfn.IFNA(VLOOKUP(INDIRECT("G"&amp;ROW()),minfo!$A:$M,COLUMN()-8,0),"")</f>
        <v>0</v>
      </c>
      <c r="M1482" s="4">
        <f ca="1">_xlfn.IFNA(VLOOKUP(INDIRECT("G"&amp;ROW()),minfo!$A:$M,COLUMN()-8,0),"")</f>
        <v>0</v>
      </c>
      <c r="N1482" s="4">
        <f ca="1">_xlfn.IFNA(VLOOKUP(INDIRECT("G"&amp;ROW()),minfo!$A:$M,COLUMN()-8,0),"")</f>
        <v>0</v>
      </c>
      <c r="O1482" s="4" t="str">
        <f ca="1">_xlfn.IFNA(VLOOKUP(INDIRECT("G"&amp;ROW()),minfo!$A:$M,COLUMN()-8,0),"")</f>
        <v>https://i0.hdslb.com/bfs/station_src/music_metadata/d9339da5cd6f9d2c8698de3475fe848f.jpg</v>
      </c>
      <c r="P1482" s="4" t="str">
        <f ca="1">_xlfn.IFNA(VLOOKUP(INDIRECT("G"&amp;ROW()),minfo!$A:$M,COLUMN()-8,0),"")</f>
        <v>http://i0.hdslb.com/bfs/station_src/music_metadata/953b6bcd42baa516e095ffdf65d77a65</v>
      </c>
      <c r="Q1482" s="4">
        <f ca="1">_xlfn.IFNA(VLOOKUP(INDIRECT("G"&amp;ROW()),minfo!$A:$M,COLUMN()-8,0),"")</f>
        <v>496</v>
      </c>
      <c r="R1482" s="4">
        <f ca="1">_xlfn.IFNA(VLOOKUP(INDIRECT("G"&amp;ROW()),minfo!$A:$M,COLUMN()-8,0),"")</f>
        <v>0</v>
      </c>
      <c r="S1482" s="4" t="str">
        <f ca="1">_xlfn.IFNA(VLOOKUP(INDIRECT("G"&amp;ROW()),minfo!$A:$M,COLUMN()-8,0),"")</f>
        <v>香水有毒(宣传单曲)</v>
      </c>
      <c r="T1482" s="4">
        <f ca="1">_xlfn.IFNA(VLOOKUP(INDIRECT("G"&amp;ROW()),minfo!$A:$M,COLUMN()-8,0),"")</f>
        <v>97718337</v>
      </c>
      <c r="U1482" s="4">
        <f ca="1">_xlfn.IFNA(VLOOKUP(INDIRECT("G"&amp;ROW()),minfo!$A:$M,COLUMN()-8,0),"")</f>
        <v>0</v>
      </c>
    </row>
    <row r="1483" spans="1:21" ht="15.75" customHeight="1">
      <c r="A1483" s="15">
        <v>1482</v>
      </c>
      <c r="B1483" s="4" t="s">
        <v>5113</v>
      </c>
      <c r="C1483" s="4">
        <v>1483</v>
      </c>
      <c r="D1483" s="4">
        <v>129</v>
      </c>
      <c r="E1483" s="4" t="s">
        <v>380</v>
      </c>
      <c r="F1483" s="16">
        <v>44804</v>
      </c>
      <c r="G1483" s="5" t="s">
        <v>379</v>
      </c>
      <c r="H1483" s="5" t="s">
        <v>4978</v>
      </c>
      <c r="I1483" s="24" t="str">
        <f>HYPERLINK("https://www.bilibili.com/video/BV1ta411X75v?p=129", "BV1ta411X75v?p=129")</f>
        <v>BV1ta411X75v?p=129</v>
      </c>
      <c r="J1483" s="4" t="str">
        <f ca="1">_xlfn.IFNA(VLOOKUP(INDIRECT("G"&amp;ROW()),minfo!$A:$M,COLUMN()-8,0),"")</f>
        <v>等你下课</v>
      </c>
      <c r="K1483" s="4" t="str">
        <f ca="1">_xlfn.IFNA(VLOOKUP(INDIRECT("G"&amp;ROW()),minfo!$A:$M,COLUMN()-8,0),"")</f>
        <v>周杰伦</v>
      </c>
      <c r="L1483" s="4">
        <f ca="1">_xlfn.IFNA(VLOOKUP(INDIRECT("G"&amp;ROW()),minfo!$A:$M,COLUMN()-8,0),"")</f>
        <v>0</v>
      </c>
      <c r="M1483" s="4">
        <f ca="1">_xlfn.IFNA(VLOOKUP(INDIRECT("G"&amp;ROW()),minfo!$A:$M,COLUMN()-8,0),"")</f>
        <v>80914</v>
      </c>
      <c r="N1483" s="4">
        <f ca="1">_xlfn.IFNA(VLOOKUP(INDIRECT("G"&amp;ROW()),minfo!$A:$M,COLUMN()-8,0),"")</f>
        <v>13096</v>
      </c>
      <c r="O1483" s="4" t="str">
        <f ca="1">_xlfn.IFNA(VLOOKUP(INDIRECT("G"&amp;ROW()),minfo!$A:$M,COLUMN()-8,0),"")</f>
        <v>https://i0.hdslb.com/bfs/station_src/music_metadata/daceac43659e7f7f6326c1570b657381.jpg</v>
      </c>
      <c r="P1483" s="4" t="str">
        <f ca="1">_xlfn.IFNA(VLOOKUP(INDIRECT("G"&amp;ROW()),minfo!$A:$M,COLUMN()-8,0),"")</f>
        <v>http://i0.hdslb.com/bfs/station_src/music_metadata/1b827e689cae1db38482c44b47c8737a</v>
      </c>
      <c r="Q1483" s="4">
        <f ca="1">_xlfn.IFNA(VLOOKUP(INDIRECT("G"&amp;ROW()),minfo!$A:$M,COLUMN()-8,0),"")</f>
        <v>2038</v>
      </c>
      <c r="R1483" s="4">
        <f ca="1">_xlfn.IFNA(VLOOKUP(INDIRECT("G"&amp;ROW()),minfo!$A:$M,COLUMN()-8,0),"")</f>
        <v>0</v>
      </c>
      <c r="S1483" s="4" t="str">
        <f ca="1">_xlfn.IFNA(VLOOKUP(INDIRECT("G"&amp;ROW()),minfo!$A:$M,COLUMN()-8,0),"")</f>
        <v>等你下课</v>
      </c>
      <c r="T1483" s="4">
        <f ca="1">_xlfn.IFNA(VLOOKUP(INDIRECT("G"&amp;ROW()),minfo!$A:$M,COLUMN()-8,0),"")</f>
        <v>419569575</v>
      </c>
      <c r="U1483" s="4">
        <f ca="1">_xlfn.IFNA(VLOOKUP(INDIRECT("G"&amp;ROW()),minfo!$A:$M,COLUMN()-8,0),"")</f>
        <v>0</v>
      </c>
    </row>
    <row r="1484" spans="1:21" ht="15.75" customHeight="1">
      <c r="A1484" s="15">
        <v>1483</v>
      </c>
      <c r="B1484" s="4" t="s">
        <v>5114</v>
      </c>
      <c r="C1484" s="4">
        <v>1484</v>
      </c>
      <c r="D1484" s="4">
        <v>130</v>
      </c>
      <c r="E1484" s="4" t="s">
        <v>2938</v>
      </c>
      <c r="F1484" s="16">
        <v>44806</v>
      </c>
      <c r="G1484" s="5" t="s">
        <v>2937</v>
      </c>
      <c r="H1484" s="5" t="s">
        <v>4978</v>
      </c>
      <c r="I1484" s="24" t="str">
        <f>HYPERLINK("https://www.bilibili.com/video/BV1ta411X75v?p=130", "BV1ta411X75v?p=130")</f>
        <v>BV1ta411X75v?p=130</v>
      </c>
      <c r="J1484" s="4" t="str">
        <f ca="1">_xlfn.IFNA(VLOOKUP(INDIRECT("G"&amp;ROW()),minfo!$A:$M,COLUMN()-8,0),"")</f>
        <v>好春光</v>
      </c>
      <c r="K1484" s="4" t="str">
        <f ca="1">_xlfn.IFNA(VLOOKUP(INDIRECT("G"&amp;ROW()),minfo!$A:$M,COLUMN()-8,0),"")</f>
        <v>吴彤</v>
      </c>
      <c r="L1484" s="4">
        <f ca="1">_xlfn.IFNA(VLOOKUP(INDIRECT("G"&amp;ROW()),minfo!$A:$M,COLUMN()-8,0),"")</f>
        <v>0</v>
      </c>
      <c r="M1484" s="4">
        <f ca="1">_xlfn.IFNA(VLOOKUP(INDIRECT("G"&amp;ROW()),minfo!$A:$M,COLUMN()-8,0),"")</f>
        <v>0</v>
      </c>
      <c r="N1484" s="4">
        <f ca="1">_xlfn.IFNA(VLOOKUP(INDIRECT("G"&amp;ROW()),minfo!$A:$M,COLUMN()-8,0),"")</f>
        <v>0</v>
      </c>
      <c r="O1484" s="4" t="str">
        <f ca="1">_xlfn.IFNA(VLOOKUP(INDIRECT("G"&amp;ROW()),minfo!$A:$M,COLUMN()-8,0),"")</f>
        <v>http://i0.hdslb.com/bfs/station_src/music_metadata/bbe9911dfaf60aed77117f51b4b99c21.jpg</v>
      </c>
      <c r="P1484" s="4" t="str">
        <f ca="1">_xlfn.IFNA(VLOOKUP(INDIRECT("G"&amp;ROW()),minfo!$A:$M,COLUMN()-8,0),"")</f>
        <v>http://i0.hdslb.com/bfs/station_src/music_metadata/d05a94fbca4d56af4fee29e533327264</v>
      </c>
      <c r="Q1484" s="4">
        <f ca="1">_xlfn.IFNA(VLOOKUP(INDIRECT("G"&amp;ROW()),minfo!$A:$M,COLUMN()-8,0),"")</f>
        <v>347</v>
      </c>
      <c r="R1484" s="4" t="str">
        <f ca="1">_xlfn.IFNA(VLOOKUP(INDIRECT("G"&amp;ROW()),minfo!$A:$M,COLUMN()-8,0),"")</f>
        <v>《春光灿烂猪八戒》电视剧主题曲</v>
      </c>
      <c r="S1484" s="4" t="str">
        <f ca="1">_xlfn.IFNA(VLOOKUP(INDIRECT("G"&amp;ROW()),minfo!$A:$M,COLUMN()-8,0),"")</f>
        <v>春光灿烂猪八戒 电视剧原声带</v>
      </c>
      <c r="T1484" s="4">
        <f ca="1">_xlfn.IFNA(VLOOKUP(INDIRECT("G"&amp;ROW()),minfo!$A:$M,COLUMN()-8,0),"")</f>
        <v>180632224</v>
      </c>
      <c r="U1484" s="4">
        <f ca="1">_xlfn.IFNA(VLOOKUP(INDIRECT("G"&amp;ROW()),minfo!$A:$M,COLUMN()-8,0),"")</f>
        <v>0</v>
      </c>
    </row>
    <row r="1485" spans="1:21" ht="15.75" customHeight="1">
      <c r="A1485" s="15">
        <v>1484</v>
      </c>
      <c r="B1485" s="4" t="s">
        <v>5115</v>
      </c>
      <c r="C1485" s="4">
        <v>1485</v>
      </c>
      <c r="D1485" s="4">
        <v>131</v>
      </c>
      <c r="E1485" s="4" t="s">
        <v>1024</v>
      </c>
      <c r="F1485" s="16">
        <v>44806</v>
      </c>
      <c r="G1485" s="5" t="s">
        <v>1023</v>
      </c>
      <c r="H1485" s="5" t="s">
        <v>4978</v>
      </c>
      <c r="I1485" s="24" t="str">
        <f>HYPERLINK("https://www.bilibili.com/video/BV1ta411X75v?p=131", "BV1ta411X75v?p=131")</f>
        <v>BV1ta411X75v?p=131</v>
      </c>
      <c r="J1485" s="4" t="str">
        <f ca="1">_xlfn.IFNA(VLOOKUP(INDIRECT("G"&amp;ROW()),minfo!$A:$M,COLUMN()-8,0),"")</f>
        <v>兰亭序</v>
      </c>
      <c r="K1485" s="4" t="str">
        <f ca="1">_xlfn.IFNA(VLOOKUP(INDIRECT("G"&amp;ROW()),minfo!$A:$M,COLUMN()-8,0),"")</f>
        <v>周杰伦</v>
      </c>
      <c r="L1485" s="4">
        <f ca="1">_xlfn.IFNA(VLOOKUP(INDIRECT("G"&amp;ROW()),minfo!$A:$M,COLUMN()-8,0),"")</f>
        <v>0</v>
      </c>
      <c r="M1485" s="4">
        <f ca="1">_xlfn.IFNA(VLOOKUP(INDIRECT("G"&amp;ROW()),minfo!$A:$M,COLUMN()-8,0),"")</f>
        <v>0</v>
      </c>
      <c r="N1485" s="4">
        <f ca="1">_xlfn.IFNA(VLOOKUP(INDIRECT("G"&amp;ROW()),minfo!$A:$M,COLUMN()-8,0),"")</f>
        <v>0</v>
      </c>
      <c r="O1485" s="4" t="str">
        <f ca="1">_xlfn.IFNA(VLOOKUP(INDIRECT("G"&amp;ROW()),minfo!$A:$M,COLUMN()-8,0),"")</f>
        <v>https://i0.hdslb.com/bfs/station_src/music_metadata/a03f7d174c3b01e4c6b3907a115c5434.jpg</v>
      </c>
      <c r="P1485" s="4">
        <f ca="1">_xlfn.IFNA(VLOOKUP(INDIRECT("G"&amp;ROW()),minfo!$A:$M,COLUMN()-8,0),"")</f>
        <v>0</v>
      </c>
      <c r="Q1485" s="4">
        <f ca="1">_xlfn.IFNA(VLOOKUP(INDIRECT("G"&amp;ROW()),minfo!$A:$M,COLUMN()-8,0),"")</f>
        <v>28515</v>
      </c>
      <c r="R1485" s="4">
        <f ca="1">_xlfn.IFNA(VLOOKUP(INDIRECT("G"&amp;ROW()),minfo!$A:$M,COLUMN()-8,0),"")</f>
        <v>0</v>
      </c>
      <c r="S1485" s="4" t="str">
        <f ca="1">_xlfn.IFNA(VLOOKUP(INDIRECT("G"&amp;ROW()),minfo!$A:$M,COLUMN()-8,0),"")</f>
        <v>魔杰座</v>
      </c>
      <c r="T1485" s="4">
        <f ca="1">_xlfn.IFNA(VLOOKUP(INDIRECT("G"&amp;ROW()),minfo!$A:$M,COLUMN()-8,0),"")</f>
        <v>2546158396</v>
      </c>
      <c r="U1485" s="4" t="str">
        <f ca="1">_xlfn.IFNA(VLOOKUP(INDIRECT("G"&amp;ROW()),minfo!$A:$M,COLUMN()-8,0),"")</f>
        <v>音乐榜最高NO.4</v>
      </c>
    </row>
    <row r="1486" spans="1:21" ht="15.75" customHeight="1">
      <c r="A1486" s="15">
        <v>1485</v>
      </c>
      <c r="B1486" s="4" t="s">
        <v>5116</v>
      </c>
      <c r="C1486" s="4">
        <v>1486</v>
      </c>
      <c r="D1486" s="4">
        <v>132</v>
      </c>
      <c r="E1486" s="4" t="s">
        <v>295</v>
      </c>
      <c r="F1486" s="16">
        <v>44806</v>
      </c>
      <c r="G1486" s="5" t="s">
        <v>294</v>
      </c>
      <c r="H1486" s="5" t="s">
        <v>4978</v>
      </c>
      <c r="I1486" s="24" t="str">
        <f>HYPERLINK("https://www.bilibili.com/video/BV1ta411X75v?p=132", "BV1ta411X75v?p=132")</f>
        <v>BV1ta411X75v?p=132</v>
      </c>
      <c r="J1486" s="4" t="str">
        <f ca="1">_xlfn.IFNA(VLOOKUP(INDIRECT("G"&amp;ROW()),minfo!$A:$M,COLUMN()-8,0),"")</f>
        <v>不能说的秘密</v>
      </c>
      <c r="K1486" s="4" t="str">
        <f ca="1">_xlfn.IFNA(VLOOKUP(INDIRECT("G"&amp;ROW()),minfo!$A:$M,COLUMN()-8,0),"")</f>
        <v>周杰伦</v>
      </c>
      <c r="L1486" s="4">
        <f ca="1">_xlfn.IFNA(VLOOKUP(INDIRECT("G"&amp;ROW()),minfo!$A:$M,COLUMN()-8,0),"")</f>
        <v>0</v>
      </c>
      <c r="M1486" s="4">
        <f ca="1">_xlfn.IFNA(VLOOKUP(INDIRECT("G"&amp;ROW()),minfo!$A:$M,COLUMN()-8,0),"")</f>
        <v>10838</v>
      </c>
      <c r="N1486" s="4">
        <f ca="1">_xlfn.IFNA(VLOOKUP(INDIRECT("G"&amp;ROW()),minfo!$A:$M,COLUMN()-8,0),"")</f>
        <v>384</v>
      </c>
      <c r="O1486" s="4" t="str">
        <f ca="1">_xlfn.IFNA(VLOOKUP(INDIRECT("G"&amp;ROW()),minfo!$A:$M,COLUMN()-8,0),"")</f>
        <v>https://i0.hdslb.com/bfs/station_src/music_metadata/c30e3ade8fa2d678a4fc3f717036ab49.jpg</v>
      </c>
      <c r="P1486" s="4" t="str">
        <f ca="1">_xlfn.IFNA(VLOOKUP(INDIRECT("G"&amp;ROW()),minfo!$A:$M,COLUMN()-8,0),"")</f>
        <v>http://i0.hdslb.com/bfs/station_src/music_metadata/b68ac496d2ba38e3bf8908441abecf91</v>
      </c>
      <c r="Q1486" s="4">
        <f ca="1">_xlfn.IFNA(VLOOKUP(INDIRECT("G"&amp;ROW()),minfo!$A:$M,COLUMN()-8,0),"")</f>
        <v>2938</v>
      </c>
      <c r="R1486" s="4" t="str">
        <f ca="1">_xlfn.IFNA(VLOOKUP(INDIRECT("G"&amp;ROW()),minfo!$A:$M,COLUMN()-8,0),"")</f>
        <v>《不能说的秘密》电影主题曲</v>
      </c>
      <c r="S1486" s="4" t="str">
        <f ca="1">_xlfn.IFNA(VLOOKUP(INDIRECT("G"&amp;ROW()),minfo!$A:$M,COLUMN()-8,0),"")</f>
        <v>不能说的秘密 电影原声带</v>
      </c>
      <c r="T1486" s="4">
        <f ca="1">_xlfn.IFNA(VLOOKUP(INDIRECT("G"&amp;ROW()),minfo!$A:$M,COLUMN()-8,0),"")</f>
        <v>525140241</v>
      </c>
      <c r="U1486" s="4">
        <f ca="1">_xlfn.IFNA(VLOOKUP(INDIRECT("G"&amp;ROW()),minfo!$A:$M,COLUMN()-8,0),"")</f>
        <v>0</v>
      </c>
    </row>
    <row r="1487" spans="1:21" ht="15.75" customHeight="1">
      <c r="A1487" s="15">
        <v>1486</v>
      </c>
      <c r="B1487" s="4" t="s">
        <v>5117</v>
      </c>
      <c r="C1487" s="4">
        <v>1487</v>
      </c>
      <c r="D1487" s="4">
        <v>133</v>
      </c>
      <c r="E1487" s="4" t="s">
        <v>259</v>
      </c>
      <c r="F1487" s="16">
        <v>44806</v>
      </c>
      <c r="G1487" s="5" t="s">
        <v>258</v>
      </c>
      <c r="H1487" s="5" t="s">
        <v>4978</v>
      </c>
      <c r="I1487" s="24" t="str">
        <f>HYPERLINK("https://www.bilibili.com/video/BV1ta411X75v?p=133", "BV1ta411X75v?p=133")</f>
        <v>BV1ta411X75v?p=133</v>
      </c>
      <c r="J1487" s="4" t="str">
        <f ca="1">_xlfn.IFNA(VLOOKUP(INDIRECT("G"&amp;ROW()),minfo!$A:$M,COLUMN()-8,0),"")</f>
        <v>枫</v>
      </c>
      <c r="K1487" s="4" t="str">
        <f ca="1">_xlfn.IFNA(VLOOKUP(INDIRECT("G"&amp;ROW()),minfo!$A:$M,COLUMN()-8,0),"")</f>
        <v>周杰伦</v>
      </c>
      <c r="L1487" s="4">
        <f ca="1">_xlfn.IFNA(VLOOKUP(INDIRECT("G"&amp;ROW()),minfo!$A:$M,COLUMN()-8,0),"")</f>
        <v>0</v>
      </c>
      <c r="M1487" s="4">
        <f ca="1">_xlfn.IFNA(VLOOKUP(INDIRECT("G"&amp;ROW()),minfo!$A:$M,COLUMN()-8,0),"")</f>
        <v>0</v>
      </c>
      <c r="N1487" s="4">
        <f ca="1">_xlfn.IFNA(VLOOKUP(INDIRECT("G"&amp;ROW()),minfo!$A:$M,COLUMN()-8,0),"")</f>
        <v>0</v>
      </c>
      <c r="O1487" s="4" t="str">
        <f ca="1">_xlfn.IFNA(VLOOKUP(INDIRECT("G"&amp;ROW()),minfo!$A:$M,COLUMN()-8,0),"")</f>
        <v>https://i0.hdslb.com/bfs/station_src/music_metadata/fb82b0fb2908b09d88ba13ef0db91863.jpg</v>
      </c>
      <c r="P1487" s="4" t="str">
        <f ca="1">_xlfn.IFNA(VLOOKUP(INDIRECT("G"&amp;ROW()),minfo!$A:$M,COLUMN()-8,0),"")</f>
        <v>http://i0.hdslb.com/bfs/station_src/music_metadata/9b1e7a89ea3eead8b8c6b32cdb30abd9</v>
      </c>
      <c r="Q1487" s="4">
        <f ca="1">_xlfn.IFNA(VLOOKUP(INDIRECT("G"&amp;ROW()),minfo!$A:$M,COLUMN()-8,0),"")</f>
        <v>6002</v>
      </c>
      <c r="R1487" s="4">
        <f ca="1">_xlfn.IFNA(VLOOKUP(INDIRECT("G"&amp;ROW()),minfo!$A:$M,COLUMN()-8,0),"")</f>
        <v>0</v>
      </c>
      <c r="S1487" s="4" t="str">
        <f ca="1">_xlfn.IFNA(VLOOKUP(INDIRECT("G"&amp;ROW()),minfo!$A:$M,COLUMN()-8,0),"")</f>
        <v>十一月的萧邦</v>
      </c>
      <c r="T1487" s="4">
        <f ca="1">_xlfn.IFNA(VLOOKUP(INDIRECT("G"&amp;ROW()),minfo!$A:$M,COLUMN()-8,0),"")</f>
        <v>560749777</v>
      </c>
      <c r="U1487" s="4">
        <f ca="1">_xlfn.IFNA(VLOOKUP(INDIRECT("G"&amp;ROW()),minfo!$A:$M,COLUMN()-8,0),"")</f>
        <v>0</v>
      </c>
    </row>
    <row r="1488" spans="1:21" ht="15.75" customHeight="1">
      <c r="A1488" s="15">
        <v>1487</v>
      </c>
      <c r="B1488" s="4" t="s">
        <v>5118</v>
      </c>
      <c r="C1488" s="4">
        <v>1488</v>
      </c>
      <c r="D1488" s="4">
        <v>134</v>
      </c>
      <c r="E1488" s="4" t="s">
        <v>2945</v>
      </c>
      <c r="F1488" s="16">
        <v>44806</v>
      </c>
      <c r="G1488" s="5" t="s">
        <v>2944</v>
      </c>
      <c r="H1488" s="5" t="s">
        <v>4978</v>
      </c>
      <c r="I1488" s="24" t="str">
        <f>HYPERLINK("https://www.bilibili.com/video/BV1ta411X75v?p=134", "BV1ta411X75v?p=134")</f>
        <v>BV1ta411X75v?p=134</v>
      </c>
      <c r="J1488" s="4" t="str">
        <f ca="1">_xlfn.IFNA(VLOOKUP(INDIRECT("G"&amp;ROW()),minfo!$A:$M,COLUMN()-8,0),"")</f>
        <v>再回首</v>
      </c>
      <c r="K1488" s="4" t="str">
        <f ca="1">_xlfn.IFNA(VLOOKUP(INDIRECT("G"&amp;ROW()),minfo!$A:$M,COLUMN()-8,0),"")</f>
        <v>姜育恒</v>
      </c>
      <c r="L1488" s="4">
        <f ca="1">_xlfn.IFNA(VLOOKUP(INDIRECT("G"&amp;ROW()),minfo!$A:$M,COLUMN()-8,0),"")</f>
        <v>0</v>
      </c>
      <c r="M1488" s="4">
        <f ca="1">_xlfn.IFNA(VLOOKUP(INDIRECT("G"&amp;ROW()),minfo!$A:$M,COLUMN()-8,0),"")</f>
        <v>0</v>
      </c>
      <c r="N1488" s="4">
        <f ca="1">_xlfn.IFNA(VLOOKUP(INDIRECT("G"&amp;ROW()),minfo!$A:$M,COLUMN()-8,0),"")</f>
        <v>0</v>
      </c>
      <c r="O1488" s="4" t="str">
        <f ca="1">_xlfn.IFNA(VLOOKUP(INDIRECT("G"&amp;ROW()),minfo!$A:$M,COLUMN()-8,0),"")</f>
        <v>http://i0.hdslb.com/bfs/station_src/music_metadata/07adb78131cfcf67832ee785a73004e3.jpg</v>
      </c>
      <c r="P1488" s="4" t="str">
        <f ca="1">_xlfn.IFNA(VLOOKUP(INDIRECT("G"&amp;ROW()),minfo!$A:$M,COLUMN()-8,0),"")</f>
        <v>http://i0.hdslb.com/bfs/station_src/music_metadata/61a4a2329767865c6ee9f01c3996a197</v>
      </c>
      <c r="Q1488" s="4">
        <f ca="1">_xlfn.IFNA(VLOOKUP(INDIRECT("G"&amp;ROW()),minfo!$A:$M,COLUMN()-8,0),"")</f>
        <v>340</v>
      </c>
      <c r="R1488" s="4">
        <f ca="1">_xlfn.IFNA(VLOOKUP(INDIRECT("G"&amp;ROW()),minfo!$A:$M,COLUMN()-8,0),"")</f>
        <v>0</v>
      </c>
      <c r="S1488" s="4" t="str">
        <f ca="1">_xlfn.IFNA(VLOOKUP(INDIRECT("G"&amp;ROW()),minfo!$A:$M,COLUMN()-8,0),"")</f>
        <v>多年以后・再回首</v>
      </c>
      <c r="T1488" s="4">
        <f ca="1">_xlfn.IFNA(VLOOKUP(INDIRECT("G"&amp;ROW()),minfo!$A:$M,COLUMN()-8,0),"")</f>
        <v>76937271</v>
      </c>
      <c r="U1488" s="4">
        <f ca="1">_xlfn.IFNA(VLOOKUP(INDIRECT("G"&amp;ROW()),minfo!$A:$M,COLUMN()-8,0),"")</f>
        <v>0</v>
      </c>
    </row>
    <row r="1489" spans="1:21" ht="15.75" customHeight="1">
      <c r="A1489" s="15">
        <v>1488</v>
      </c>
      <c r="B1489" s="4" t="s">
        <v>5119</v>
      </c>
      <c r="C1489" s="4">
        <v>1489</v>
      </c>
      <c r="D1489" s="4">
        <v>135</v>
      </c>
      <c r="E1489" s="4" t="s">
        <v>2121</v>
      </c>
      <c r="F1489" s="16">
        <v>44806</v>
      </c>
      <c r="G1489" s="5" t="s">
        <v>2120</v>
      </c>
      <c r="H1489" s="5" t="s">
        <v>4978</v>
      </c>
      <c r="I1489" s="24" t="str">
        <f>HYPERLINK("https://www.bilibili.com/video/BV1ta411X75v?p=135", "BV1ta411X75v?p=135")</f>
        <v>BV1ta411X75v?p=135</v>
      </c>
      <c r="J1489" s="4" t="str">
        <f ca="1">_xlfn.IFNA(VLOOKUP(INDIRECT("G"&amp;ROW()),minfo!$A:$M,COLUMN()-8,0),"")</f>
        <v>崇拜</v>
      </c>
      <c r="K1489" s="4" t="str">
        <f ca="1">_xlfn.IFNA(VLOOKUP(INDIRECT("G"&amp;ROW()),minfo!$A:$M,COLUMN()-8,0),"")</f>
        <v>梁静茹</v>
      </c>
      <c r="L1489" s="4">
        <f ca="1">_xlfn.IFNA(VLOOKUP(INDIRECT("G"&amp;ROW()),minfo!$A:$M,COLUMN()-8,0),"")</f>
        <v>0</v>
      </c>
      <c r="M1489" s="4">
        <f ca="1">_xlfn.IFNA(VLOOKUP(INDIRECT("G"&amp;ROW()),minfo!$A:$M,COLUMN()-8,0),"")</f>
        <v>0</v>
      </c>
      <c r="N1489" s="4">
        <f ca="1">_xlfn.IFNA(VLOOKUP(INDIRECT("G"&amp;ROW()),minfo!$A:$M,COLUMN()-8,0),"")</f>
        <v>0</v>
      </c>
      <c r="O1489" s="4" t="str">
        <f ca="1">_xlfn.IFNA(VLOOKUP(INDIRECT("G"&amp;ROW()),minfo!$A:$M,COLUMN()-8,0),"")</f>
        <v>https://i0.hdslb.com/bfs/station_src/music_metadata/558a5fdd70d879b81eccaad500c9660d.jpg</v>
      </c>
      <c r="P1489" s="4" t="str">
        <f ca="1">_xlfn.IFNA(VLOOKUP(INDIRECT("G"&amp;ROW()),minfo!$A:$M,COLUMN()-8,0),"")</f>
        <v>http://i0.hdslb.com/bfs/station_src/music_metadata/fdd664bdb7547dbd99deb2d6cc8326ee</v>
      </c>
      <c r="Q1489" s="4">
        <f ca="1">_xlfn.IFNA(VLOOKUP(INDIRECT("G"&amp;ROW()),minfo!$A:$M,COLUMN()-8,0),"")</f>
        <v>131</v>
      </c>
      <c r="R1489" s="4" t="str">
        <f ca="1">_xlfn.IFNA(VLOOKUP(INDIRECT("G"&amp;ROW()),minfo!$A:$M,COLUMN()-8,0),"")</f>
        <v>《黄真伊》电视剧台版片尾曲</v>
      </c>
      <c r="S1489" s="4" t="str">
        <f ca="1">_xlfn.IFNA(VLOOKUP(INDIRECT("G"&amp;ROW()),minfo!$A:$M,COLUMN()-8,0),"")</f>
        <v>崇拜</v>
      </c>
      <c r="T1489" s="4">
        <f ca="1">_xlfn.IFNA(VLOOKUP(INDIRECT("G"&amp;ROW()),minfo!$A:$M,COLUMN()-8,0),"")</f>
        <v>56720759</v>
      </c>
      <c r="U1489" s="4">
        <f ca="1">_xlfn.IFNA(VLOOKUP(INDIRECT("G"&amp;ROW()),minfo!$A:$M,COLUMN()-8,0),"")</f>
        <v>0</v>
      </c>
    </row>
    <row r="1490" spans="1:21" ht="15.75" customHeight="1">
      <c r="A1490" s="15">
        <v>1489</v>
      </c>
      <c r="B1490" s="4" t="s">
        <v>5120</v>
      </c>
      <c r="C1490" s="4">
        <v>1490</v>
      </c>
      <c r="D1490" s="4">
        <v>136</v>
      </c>
      <c r="E1490" s="4" t="s">
        <v>2951</v>
      </c>
      <c r="F1490" s="16">
        <v>44806</v>
      </c>
      <c r="G1490" s="5" t="s">
        <v>2950</v>
      </c>
      <c r="H1490" s="5" t="s">
        <v>4978</v>
      </c>
      <c r="I1490" s="24" t="str">
        <f>HYPERLINK("https://www.bilibili.com/video/BV1ta411X75v?p=136", "BV1ta411X75v?p=136")</f>
        <v>BV1ta411X75v?p=136</v>
      </c>
      <c r="J1490" s="4" t="str">
        <f ca="1">_xlfn.IFNA(VLOOKUP(INDIRECT("G"&amp;ROW()),minfo!$A:$M,COLUMN()-8,0),"")</f>
        <v>咕叽咕叽</v>
      </c>
      <c r="K1490" s="4" t="str">
        <f ca="1">_xlfn.IFNA(VLOOKUP(INDIRECT("G"&amp;ROW()),minfo!$A:$M,COLUMN()-8,0),"")</f>
        <v>孙燕姿</v>
      </c>
      <c r="L1490" s="4">
        <f ca="1">_xlfn.IFNA(VLOOKUP(INDIRECT("G"&amp;ROW()),minfo!$A:$M,COLUMN()-8,0),"")</f>
        <v>0</v>
      </c>
      <c r="M1490" s="4">
        <f ca="1">_xlfn.IFNA(VLOOKUP(INDIRECT("G"&amp;ROW()),minfo!$A:$M,COLUMN()-8,0),"")</f>
        <v>0</v>
      </c>
      <c r="N1490" s="4">
        <f ca="1">_xlfn.IFNA(VLOOKUP(INDIRECT("G"&amp;ROW()),minfo!$A:$M,COLUMN()-8,0),"")</f>
        <v>0</v>
      </c>
      <c r="O1490" s="4" t="str">
        <f ca="1">_xlfn.IFNA(VLOOKUP(INDIRECT("G"&amp;ROW()),minfo!$A:$M,COLUMN()-8,0),"")</f>
        <v>https://i0.hdslb.com/bfs/station_src/music_metadata/10cb8eb19578324e172197369835d71e.jpg</v>
      </c>
      <c r="P1490" s="4" t="str">
        <f ca="1">_xlfn.IFNA(VLOOKUP(INDIRECT("G"&amp;ROW()),minfo!$A:$M,COLUMN()-8,0),"")</f>
        <v>https://i0.hdslb.com/bfs/station_src/music_metadata/7f1510490e67513d3043ec226d2c77e2.txt</v>
      </c>
      <c r="Q1490" s="4">
        <f ca="1">_xlfn.IFNA(VLOOKUP(INDIRECT("G"&amp;ROW()),minfo!$A:$M,COLUMN()-8,0),"")</f>
        <v>11</v>
      </c>
      <c r="R1490" s="4">
        <f ca="1">_xlfn.IFNA(VLOOKUP(INDIRECT("G"&amp;ROW()),minfo!$A:$M,COLUMN()-8,0),"")</f>
        <v>0</v>
      </c>
      <c r="S1490" s="4" t="str">
        <f ca="1">_xlfn.IFNA(VLOOKUP(INDIRECT("G"&amp;ROW()),minfo!$A:$M,COLUMN()-8,0),"")</f>
        <v>逆光</v>
      </c>
      <c r="T1490" s="4">
        <f ca="1">_xlfn.IFNA(VLOOKUP(INDIRECT("G"&amp;ROW()),minfo!$A:$M,COLUMN()-8,0),"")</f>
        <v>11935303</v>
      </c>
      <c r="U1490" s="4">
        <f ca="1">_xlfn.IFNA(VLOOKUP(INDIRECT("G"&amp;ROW()),minfo!$A:$M,COLUMN()-8,0),"")</f>
        <v>0</v>
      </c>
    </row>
    <row r="1491" spans="1:21" ht="15.75" customHeight="1">
      <c r="A1491" s="15">
        <v>1490</v>
      </c>
      <c r="B1491" s="4" t="s">
        <v>5121</v>
      </c>
      <c r="C1491" s="4">
        <v>1491</v>
      </c>
      <c r="D1491" s="4">
        <v>137</v>
      </c>
      <c r="E1491" s="4" t="s">
        <v>872</v>
      </c>
      <c r="F1491" s="16">
        <v>44806</v>
      </c>
      <c r="G1491" s="5" t="s">
        <v>871</v>
      </c>
      <c r="H1491" s="5" t="s">
        <v>4978</v>
      </c>
      <c r="I1491" s="24" t="str">
        <f>HYPERLINK("https://www.bilibili.com/video/BV1ta411X75v?p=137", "BV1ta411X75v?p=137")</f>
        <v>BV1ta411X75v?p=137</v>
      </c>
      <c r="J1491" s="4" t="str">
        <f ca="1">_xlfn.IFNA(VLOOKUP(INDIRECT("G"&amp;ROW()),minfo!$A:$M,COLUMN()-8,0),"")</f>
        <v>一样的月光</v>
      </c>
      <c r="K1491" s="4" t="str">
        <f ca="1">_xlfn.IFNA(VLOOKUP(INDIRECT("G"&amp;ROW()),minfo!$A:$M,COLUMN()-8,0),"")</f>
        <v>徐佳莹</v>
      </c>
      <c r="L1491" s="4">
        <f ca="1">_xlfn.IFNA(VLOOKUP(INDIRECT("G"&amp;ROW()),minfo!$A:$M,COLUMN()-8,0),"")</f>
        <v>0</v>
      </c>
      <c r="M1491" s="4">
        <f ca="1">_xlfn.IFNA(VLOOKUP(INDIRECT("G"&amp;ROW()),minfo!$A:$M,COLUMN()-8,0),"")</f>
        <v>0</v>
      </c>
      <c r="N1491" s="4">
        <f ca="1">_xlfn.IFNA(VLOOKUP(INDIRECT("G"&amp;ROW()),minfo!$A:$M,COLUMN()-8,0),"")</f>
        <v>0</v>
      </c>
      <c r="O1491" s="4" t="str">
        <f ca="1">_xlfn.IFNA(VLOOKUP(INDIRECT("G"&amp;ROW()),minfo!$A:$M,COLUMN()-8,0),"")</f>
        <v>https://i0.hdslb.com/bfs/station_src/music_metadata/bb47ed0b6da92d07d9492a6e3982d7f7.jpg</v>
      </c>
      <c r="P1491" s="4" t="str">
        <f ca="1">_xlfn.IFNA(VLOOKUP(INDIRECT("G"&amp;ROW()),minfo!$A:$M,COLUMN()-8,0),"")</f>
        <v>http://i0.hdslb.com/bfs/station_src/music_metadata/df58f5b1cd8da2f562b22b6c913ab846</v>
      </c>
      <c r="Q1491" s="4">
        <f ca="1">_xlfn.IFNA(VLOOKUP(INDIRECT("G"&amp;ROW()),minfo!$A:$M,COLUMN()-8,0),"")</f>
        <v>1830</v>
      </c>
      <c r="R1491" s="4">
        <f ca="1">_xlfn.IFNA(VLOOKUP(INDIRECT("G"&amp;ROW()),minfo!$A:$M,COLUMN()-8,0),"")</f>
        <v>0</v>
      </c>
      <c r="S1491" s="4" t="str">
        <f ca="1">_xlfn.IFNA(VLOOKUP(INDIRECT("G"&amp;ROW()),minfo!$A:$M,COLUMN()-8,0),"")</f>
        <v>LaLa首张创作专辑</v>
      </c>
      <c r="T1491" s="4">
        <f ca="1">_xlfn.IFNA(VLOOKUP(INDIRECT("G"&amp;ROW()),minfo!$A:$M,COLUMN()-8,0),"")</f>
        <v>312017425</v>
      </c>
      <c r="U1491" s="4">
        <f ca="1">_xlfn.IFNA(VLOOKUP(INDIRECT("G"&amp;ROW()),minfo!$A:$M,COLUMN()-8,0),"")</f>
        <v>0</v>
      </c>
    </row>
    <row r="1492" spans="1:21" ht="15.75" customHeight="1">
      <c r="A1492" s="15">
        <v>1491</v>
      </c>
      <c r="B1492" s="4" t="s">
        <v>5122</v>
      </c>
      <c r="C1492" s="4">
        <v>1492</v>
      </c>
      <c r="D1492" s="4">
        <v>138</v>
      </c>
      <c r="E1492" s="4" t="s">
        <v>1912</v>
      </c>
      <c r="F1492" s="16">
        <v>44806</v>
      </c>
      <c r="G1492" s="5" t="s">
        <v>1911</v>
      </c>
      <c r="H1492" s="5" t="s">
        <v>4978</v>
      </c>
      <c r="I1492" s="24" t="str">
        <f>HYPERLINK("https://www.bilibili.com/video/BV1ta411X75v?p=138", "BV1ta411X75v?p=138")</f>
        <v>BV1ta411X75v?p=138</v>
      </c>
      <c r="J1492" s="4" t="str">
        <f ca="1">_xlfn.IFNA(VLOOKUP(INDIRECT("G"&amp;ROW()),minfo!$A:$M,COLUMN()-8,0),"")</f>
        <v>贝加尔湖畔</v>
      </c>
      <c r="K1492" s="4" t="str">
        <f ca="1">_xlfn.IFNA(VLOOKUP(INDIRECT("G"&amp;ROW()),minfo!$A:$M,COLUMN()-8,0),"")</f>
        <v>李健</v>
      </c>
      <c r="L1492" s="4">
        <f ca="1">_xlfn.IFNA(VLOOKUP(INDIRECT("G"&amp;ROW()),minfo!$A:$M,COLUMN()-8,0),"")</f>
        <v>0</v>
      </c>
      <c r="M1492" s="4">
        <f ca="1">_xlfn.IFNA(VLOOKUP(INDIRECT("G"&amp;ROW()),minfo!$A:$M,COLUMN()-8,0),"")</f>
        <v>0</v>
      </c>
      <c r="N1492" s="4">
        <f ca="1">_xlfn.IFNA(VLOOKUP(INDIRECT("G"&amp;ROW()),minfo!$A:$M,COLUMN()-8,0),"")</f>
        <v>0</v>
      </c>
      <c r="O1492" s="4" t="str">
        <f ca="1">_xlfn.IFNA(VLOOKUP(INDIRECT("G"&amp;ROW()),minfo!$A:$M,COLUMN()-8,0),"")</f>
        <v>https://i0.hdslb.com/bfs/station_src/music_metadata/8ab2083dd90a51914d1b00e7f40d2688.jpg</v>
      </c>
      <c r="P1492" s="4" t="str">
        <f ca="1">_xlfn.IFNA(VLOOKUP(INDIRECT("G"&amp;ROW()),minfo!$A:$M,COLUMN()-8,0),"")</f>
        <v>http://i0.hdslb.com/bfs/station_src/music_metadata/769ecbab206d9e5f0cf58f60a5c7fc82</v>
      </c>
      <c r="Q1492" s="4">
        <f ca="1">_xlfn.IFNA(VLOOKUP(INDIRECT("G"&amp;ROW()),minfo!$A:$M,COLUMN()-8,0),"")</f>
        <v>1064</v>
      </c>
      <c r="R1492" s="4" t="str">
        <f ca="1">_xlfn.IFNA(VLOOKUP(INDIRECT("G"&amp;ROW()),minfo!$A:$M,COLUMN()-8,0),"")</f>
        <v>《无心法师》电视剧片头曲</v>
      </c>
      <c r="S1492" s="4" t="str">
        <f ca="1">_xlfn.IFNA(VLOOKUP(INDIRECT("G"&amp;ROW()),minfo!$A:$M,COLUMN()-8,0),"")</f>
        <v>依然</v>
      </c>
      <c r="T1492" s="4">
        <f ca="1">_xlfn.IFNA(VLOOKUP(INDIRECT("G"&amp;ROW()),minfo!$A:$M,COLUMN()-8,0),"")</f>
        <v>179366306</v>
      </c>
      <c r="U1492" s="4">
        <f ca="1">_xlfn.IFNA(VLOOKUP(INDIRECT("G"&amp;ROW()),minfo!$A:$M,COLUMN()-8,0),"")</f>
        <v>0</v>
      </c>
    </row>
    <row r="1493" spans="1:21" ht="15.75" customHeight="1">
      <c r="A1493" s="15">
        <v>1492</v>
      </c>
      <c r="B1493" s="4" t="s">
        <v>5123</v>
      </c>
      <c r="C1493" s="4">
        <v>1493</v>
      </c>
      <c r="D1493" s="4">
        <v>139</v>
      </c>
      <c r="E1493" s="4" t="s">
        <v>2212</v>
      </c>
      <c r="F1493" s="16">
        <v>44806</v>
      </c>
      <c r="G1493" s="5" t="s">
        <v>2211</v>
      </c>
      <c r="H1493" s="5" t="s">
        <v>4978</v>
      </c>
      <c r="I1493" s="24" t="str">
        <f>HYPERLINK("https://www.bilibili.com/video/BV1ta411X75v?p=139", "BV1ta411X75v?p=139")</f>
        <v>BV1ta411X75v?p=139</v>
      </c>
      <c r="J1493" s="4" t="str">
        <f ca="1">_xlfn.IFNA(VLOOKUP(INDIRECT("G"&amp;ROW()),minfo!$A:$M,COLUMN()-8,0),"")</f>
        <v>亲密爱人</v>
      </c>
      <c r="K1493" s="4" t="str">
        <f ca="1">_xlfn.IFNA(VLOOKUP(INDIRECT("G"&amp;ROW()),minfo!$A:$M,COLUMN()-8,0),"")</f>
        <v>梅艳芳</v>
      </c>
      <c r="L1493" s="4">
        <f ca="1">_xlfn.IFNA(VLOOKUP(INDIRECT("G"&amp;ROW()),minfo!$A:$M,COLUMN()-8,0),"")</f>
        <v>0</v>
      </c>
      <c r="M1493" s="4">
        <f ca="1">_xlfn.IFNA(VLOOKUP(INDIRECT("G"&amp;ROW()),minfo!$A:$M,COLUMN()-8,0),"")</f>
        <v>0</v>
      </c>
      <c r="N1493" s="4">
        <f ca="1">_xlfn.IFNA(VLOOKUP(INDIRECT("G"&amp;ROW()),minfo!$A:$M,COLUMN()-8,0),"")</f>
        <v>0</v>
      </c>
      <c r="O1493" s="4" t="str">
        <f ca="1">_xlfn.IFNA(VLOOKUP(INDIRECT("G"&amp;ROW()),minfo!$A:$M,COLUMN()-8,0),"")</f>
        <v>https://i0.hdslb.com/bfs/station_src/music_metadata/410d0c2fe4f50a29881a29ec55c5aecd.jpg</v>
      </c>
      <c r="P1493" s="4" t="str">
        <f ca="1">_xlfn.IFNA(VLOOKUP(INDIRECT("G"&amp;ROW()),minfo!$A:$M,COLUMN()-8,0),"")</f>
        <v>http://i0.hdslb.com/bfs/station_src/music_metadata/23938ce4c5e859bd8235438a5f004332</v>
      </c>
      <c r="Q1493" s="4">
        <f ca="1">_xlfn.IFNA(VLOOKUP(INDIRECT("G"&amp;ROW()),minfo!$A:$M,COLUMN()-8,0),"")</f>
        <v>113</v>
      </c>
      <c r="R1493" s="4">
        <f ca="1">_xlfn.IFNA(VLOOKUP(INDIRECT("G"&amp;ROW()),minfo!$A:$M,COLUMN()-8,0),"")</f>
        <v>0</v>
      </c>
      <c r="S1493" s="4" t="str">
        <f ca="1">_xlfn.IFNA(VLOOKUP(INDIRECT("G"&amp;ROW()),minfo!$A:$M,COLUMN()-8,0),"")</f>
        <v>我是歌手第四季 第8期: 淘汰赛</v>
      </c>
      <c r="T1493" s="4">
        <f ca="1">_xlfn.IFNA(VLOOKUP(INDIRECT("G"&amp;ROW()),minfo!$A:$M,COLUMN()-8,0),"")</f>
        <v>33715343</v>
      </c>
      <c r="U1493" s="4">
        <f ca="1">_xlfn.IFNA(VLOOKUP(INDIRECT("G"&amp;ROW()),minfo!$A:$M,COLUMN()-8,0),"")</f>
        <v>0</v>
      </c>
    </row>
    <row r="1494" spans="1:21" ht="15.75" customHeight="1">
      <c r="A1494" s="15">
        <v>1493</v>
      </c>
      <c r="B1494" s="4" t="s">
        <v>5124</v>
      </c>
      <c r="C1494" s="4">
        <v>1494</v>
      </c>
      <c r="D1494" s="4">
        <v>140</v>
      </c>
      <c r="E1494" s="4" t="s">
        <v>1757</v>
      </c>
      <c r="F1494" s="16">
        <v>44807</v>
      </c>
      <c r="G1494" s="5" t="s">
        <v>1756</v>
      </c>
      <c r="H1494" s="5" t="s">
        <v>4978</v>
      </c>
      <c r="I1494" s="24" t="str">
        <f>HYPERLINK("https://www.bilibili.com/video/BV1ta411X75v?p=140", "BV1ta411X75v?p=140")</f>
        <v>BV1ta411X75v?p=140</v>
      </c>
      <c r="J1494" s="4" t="str">
        <f ca="1">_xlfn.IFNA(VLOOKUP(INDIRECT("G"&amp;ROW()),minfo!$A:$M,COLUMN()-8,0),"")</f>
        <v>美若黎明</v>
      </c>
      <c r="K1494" s="4" t="str">
        <f ca="1">_xlfn.IFNA(VLOOKUP(INDIRECT("G"&amp;ROW()),minfo!$A:$M,COLUMN()-8,0),"")</f>
        <v>李健</v>
      </c>
      <c r="L1494" s="4">
        <f ca="1">_xlfn.IFNA(VLOOKUP(INDIRECT("G"&amp;ROW()),minfo!$A:$M,COLUMN()-8,0),"")</f>
        <v>0</v>
      </c>
      <c r="M1494" s="4">
        <f ca="1">_xlfn.IFNA(VLOOKUP(INDIRECT("G"&amp;ROW()),minfo!$A:$M,COLUMN()-8,0),"")</f>
        <v>0</v>
      </c>
      <c r="N1494" s="4">
        <f ca="1">_xlfn.IFNA(VLOOKUP(INDIRECT("G"&amp;ROW()),minfo!$A:$M,COLUMN()-8,0),"")</f>
        <v>0</v>
      </c>
      <c r="O1494" s="4" t="str">
        <f ca="1">_xlfn.IFNA(VLOOKUP(INDIRECT("G"&amp;ROW()),minfo!$A:$M,COLUMN()-8,0),"")</f>
        <v>https://i0.hdslb.com/bfs/station_src/music_metadata/6397ee668fb1accb7d18a203fe958d4e.jpg</v>
      </c>
      <c r="P1494" s="4">
        <f ca="1">_xlfn.IFNA(VLOOKUP(INDIRECT("G"&amp;ROW()),minfo!$A:$M,COLUMN()-8,0),"")</f>
        <v>0</v>
      </c>
      <c r="Q1494" s="4">
        <f ca="1">_xlfn.IFNA(VLOOKUP(INDIRECT("G"&amp;ROW()),minfo!$A:$M,COLUMN()-8,0),"")</f>
        <v>15</v>
      </c>
      <c r="R1494" s="4">
        <f ca="1">_xlfn.IFNA(VLOOKUP(INDIRECT("G"&amp;ROW()),minfo!$A:$M,COLUMN()-8,0),"")</f>
        <v>0</v>
      </c>
      <c r="S1494" s="4" t="str">
        <f ca="1">_xlfn.IFNA(VLOOKUP(INDIRECT("G"&amp;ROW()),minfo!$A:$M,COLUMN()-8,0),"")</f>
        <v>李健</v>
      </c>
      <c r="T1494" s="4">
        <f ca="1">_xlfn.IFNA(VLOOKUP(INDIRECT("G"&amp;ROW()),minfo!$A:$M,COLUMN()-8,0),"")</f>
        <v>4758200</v>
      </c>
      <c r="U1494" s="4">
        <f ca="1">_xlfn.IFNA(VLOOKUP(INDIRECT("G"&amp;ROW()),minfo!$A:$M,COLUMN()-8,0),"")</f>
        <v>0</v>
      </c>
    </row>
    <row r="1495" spans="1:21" ht="15.75" customHeight="1">
      <c r="A1495" s="15">
        <v>1494</v>
      </c>
      <c r="B1495" s="4" t="s">
        <v>5125</v>
      </c>
      <c r="C1495" s="4">
        <v>1495</v>
      </c>
      <c r="D1495" s="4">
        <v>141</v>
      </c>
      <c r="E1495" s="4" t="s">
        <v>1394</v>
      </c>
      <c r="F1495" s="16">
        <v>44807</v>
      </c>
      <c r="G1495" s="5" t="s">
        <v>2954</v>
      </c>
      <c r="H1495" s="5" t="s">
        <v>4978</v>
      </c>
      <c r="I1495" s="24" t="str">
        <f>HYPERLINK("https://www.bilibili.com/video/BV1ta411X75v?p=141", "BV1ta411X75v?p=141")</f>
        <v>BV1ta411X75v?p=141</v>
      </c>
      <c r="J1495" s="4" t="str">
        <f ca="1">_xlfn.IFNA(VLOOKUP(INDIRECT("G"&amp;ROW()),minfo!$A:$M,COLUMN()-8,0),"")</f>
        <v>妈妈的娜鲁娃</v>
      </c>
      <c r="K1495" s="4" t="str">
        <f ca="1">_xlfn.IFNA(VLOOKUP(INDIRECT("G"&amp;ROW()),minfo!$A:$M,COLUMN()-8,0),"")</f>
        <v>林俊杰</v>
      </c>
      <c r="L1495" s="4">
        <f ca="1">_xlfn.IFNA(VLOOKUP(INDIRECT("G"&amp;ROW()),minfo!$A:$M,COLUMN()-8,0),"")</f>
        <v>0</v>
      </c>
      <c r="M1495" s="4">
        <f ca="1">_xlfn.IFNA(VLOOKUP(INDIRECT("G"&amp;ROW()),minfo!$A:$M,COLUMN()-8,0),"")</f>
        <v>0</v>
      </c>
      <c r="N1495" s="4">
        <f ca="1">_xlfn.IFNA(VLOOKUP(INDIRECT("G"&amp;ROW()),minfo!$A:$M,COLUMN()-8,0),"")</f>
        <v>0</v>
      </c>
      <c r="O1495" s="4" t="str">
        <f ca="1">_xlfn.IFNA(VLOOKUP(INDIRECT("G"&amp;ROW()),minfo!$A:$M,COLUMN()-8,0),"")</f>
        <v>https://i0.hdslb.com/bfs/station_src/music_metadata/414e8c37ea352a6134832cd36bd522ff.jpg</v>
      </c>
      <c r="P1495" s="4" t="str">
        <f ca="1">_xlfn.IFNA(VLOOKUP(INDIRECT("G"&amp;ROW()),minfo!$A:$M,COLUMN()-8,0),"")</f>
        <v>https://i0.hdslb.com/bfs/station_src/music_metadata/83327928bdd8a1c4a285756d3949aee4.txt</v>
      </c>
      <c r="Q1495" s="4">
        <f ca="1">_xlfn.IFNA(VLOOKUP(INDIRECT("G"&amp;ROW()),minfo!$A:$M,COLUMN()-8,0),"")</f>
        <v>2</v>
      </c>
      <c r="R1495" s="4">
        <f ca="1">_xlfn.IFNA(VLOOKUP(INDIRECT("G"&amp;ROW()),minfo!$A:$M,COLUMN()-8,0),"")</f>
        <v>0</v>
      </c>
      <c r="S1495" s="4" t="str">
        <f ca="1">_xlfn.IFNA(VLOOKUP(INDIRECT("G"&amp;ROW()),minfo!$A:$M,COLUMN()-8,0),"")</f>
        <v>I AM 世界巡回演唱会</v>
      </c>
      <c r="T1495" s="4">
        <f ca="1">_xlfn.IFNA(VLOOKUP(INDIRECT("G"&amp;ROW()),minfo!$A:$M,COLUMN()-8,0),"")</f>
        <v>518151</v>
      </c>
      <c r="U1495" s="4">
        <f ca="1">_xlfn.IFNA(VLOOKUP(INDIRECT("G"&amp;ROW()),minfo!$A:$M,COLUMN()-8,0),"")</f>
        <v>0</v>
      </c>
    </row>
    <row r="1496" spans="1:21" ht="15.75" customHeight="1">
      <c r="A1496" s="15">
        <v>1495</v>
      </c>
      <c r="B1496" s="4" t="s">
        <v>5126</v>
      </c>
      <c r="C1496" s="4">
        <v>1496</v>
      </c>
      <c r="D1496" s="4">
        <v>142</v>
      </c>
      <c r="E1496" s="4" t="s">
        <v>2721</v>
      </c>
      <c r="F1496" s="16">
        <v>44807</v>
      </c>
      <c r="G1496" s="5" t="s">
        <v>2720</v>
      </c>
      <c r="H1496" s="5" t="s">
        <v>4978</v>
      </c>
      <c r="I1496" s="24" t="str">
        <f>HYPERLINK("https://www.bilibili.com/video/BV1ta411X75v?p=142", "BV1ta411X75v?p=142")</f>
        <v>BV1ta411X75v?p=142</v>
      </c>
      <c r="J1496" s="4" t="str">
        <f ca="1">_xlfn.IFNA(VLOOKUP(INDIRECT("G"&amp;ROW()),minfo!$A:$M,COLUMN()-8,0),"")</f>
        <v>天之大</v>
      </c>
      <c r="K1496" s="4" t="str">
        <f ca="1">_xlfn.IFNA(VLOOKUP(INDIRECT("G"&amp;ROW()),minfo!$A:$M,COLUMN()-8,0),"")</f>
        <v>毛阿敏</v>
      </c>
      <c r="L1496" s="4">
        <f ca="1">_xlfn.IFNA(VLOOKUP(INDIRECT("G"&amp;ROW()),minfo!$A:$M,COLUMN()-8,0),"")</f>
        <v>0</v>
      </c>
      <c r="M1496" s="4">
        <f ca="1">_xlfn.IFNA(VLOOKUP(INDIRECT("G"&amp;ROW()),minfo!$A:$M,COLUMN()-8,0),"")</f>
        <v>0</v>
      </c>
      <c r="N1496" s="4">
        <f ca="1">_xlfn.IFNA(VLOOKUP(INDIRECT("G"&amp;ROW()),minfo!$A:$M,COLUMN()-8,0),"")</f>
        <v>0</v>
      </c>
      <c r="O1496" s="4" t="str">
        <f ca="1">_xlfn.IFNA(VLOOKUP(INDIRECT("G"&amp;ROW()),minfo!$A:$M,COLUMN()-8,0),"")</f>
        <v>https://i0.hdslb.com/bfs/station_src/music_metadata/5d003420eda734ee91e6ce9e7d816317.jpg</v>
      </c>
      <c r="P1496" s="4" t="str">
        <f ca="1">_xlfn.IFNA(VLOOKUP(INDIRECT("G"&amp;ROW()),minfo!$A:$M,COLUMN()-8,0),"")</f>
        <v>https://i0.hdslb.com/bfs/station_src/music_metadata/9748587dd5ed905c8c255eff4c762f86.txt</v>
      </c>
      <c r="Q1496" s="4">
        <f ca="1">_xlfn.IFNA(VLOOKUP(INDIRECT("G"&amp;ROW()),minfo!$A:$M,COLUMN()-8,0),"")</f>
        <v>62</v>
      </c>
      <c r="R1496" s="4">
        <f ca="1">_xlfn.IFNA(VLOOKUP(INDIRECT("G"&amp;ROW()),minfo!$A:$M,COLUMN()-8,0),"")</f>
        <v>0</v>
      </c>
      <c r="S1496" s="4" t="str">
        <f ca="1">_xlfn.IFNA(VLOOKUP(INDIRECT("G"&amp;ROW()),minfo!$A:$M,COLUMN()-8,0),"")</f>
        <v>腔.调</v>
      </c>
      <c r="T1496" s="4">
        <f ca="1">_xlfn.IFNA(VLOOKUP(INDIRECT("G"&amp;ROW()),minfo!$A:$M,COLUMN()-8,0),"")</f>
        <v>35288991</v>
      </c>
      <c r="U1496" s="4">
        <f ca="1">_xlfn.IFNA(VLOOKUP(INDIRECT("G"&amp;ROW()),minfo!$A:$M,COLUMN()-8,0),"")</f>
        <v>0</v>
      </c>
    </row>
    <row r="1497" spans="1:21" ht="15.75" customHeight="1">
      <c r="A1497" s="15">
        <v>1496</v>
      </c>
      <c r="B1497" s="4" t="s">
        <v>5127</v>
      </c>
      <c r="C1497" s="4">
        <v>1497</v>
      </c>
      <c r="D1497" s="4">
        <v>143</v>
      </c>
      <c r="E1497" s="4" t="s">
        <v>2959</v>
      </c>
      <c r="F1497" s="16">
        <v>44807</v>
      </c>
      <c r="G1497" s="5" t="s">
        <v>2958</v>
      </c>
      <c r="H1497" s="5" t="s">
        <v>4978</v>
      </c>
      <c r="I1497" s="24" t="str">
        <f>HYPERLINK("https://www.bilibili.com/video/BV1ta411X75v?p=143", "BV1ta411X75v?p=143")</f>
        <v>BV1ta411X75v?p=143</v>
      </c>
      <c r="J1497" s="4" t="str">
        <f ca="1">_xlfn.IFNA(VLOOKUP(INDIRECT("G"&amp;ROW()),minfo!$A:$M,COLUMN()-8,0),"")</f>
        <v>袖手旁观</v>
      </c>
      <c r="K1497" s="4" t="str">
        <f ca="1">_xlfn.IFNA(VLOOKUP(INDIRECT("G"&amp;ROW()),minfo!$A:$M,COLUMN()-8,0),"")</f>
        <v>齐秦</v>
      </c>
      <c r="L1497" s="4">
        <f ca="1">_xlfn.IFNA(VLOOKUP(INDIRECT("G"&amp;ROW()),minfo!$A:$M,COLUMN()-8,0),"")</f>
        <v>0</v>
      </c>
      <c r="M1497" s="4">
        <f ca="1">_xlfn.IFNA(VLOOKUP(INDIRECT("G"&amp;ROW()),minfo!$A:$M,COLUMN()-8,0),"")</f>
        <v>0</v>
      </c>
      <c r="N1497" s="4">
        <f ca="1">_xlfn.IFNA(VLOOKUP(INDIRECT("G"&amp;ROW()),minfo!$A:$M,COLUMN()-8,0),"")</f>
        <v>0</v>
      </c>
      <c r="O1497" s="4" t="str">
        <f ca="1">_xlfn.IFNA(VLOOKUP(INDIRECT("G"&amp;ROW()),minfo!$A:$M,COLUMN()-8,0),"")</f>
        <v>https://i0.hdslb.com/bfs/station_src/music_metadata/75f1f378062ca420c8c47cb3e385e93a.jpg</v>
      </c>
      <c r="P1497" s="4" t="str">
        <f ca="1">_xlfn.IFNA(VLOOKUP(INDIRECT("G"&amp;ROW()),minfo!$A:$M,COLUMN()-8,0),"")</f>
        <v>https://i0.hdslb.com/bfs/station_src/music_metadata/3a310e22a61cf9c70859e44dc7b7e9f7.txt</v>
      </c>
      <c r="Q1497" s="4">
        <f ca="1">_xlfn.IFNA(VLOOKUP(INDIRECT("G"&amp;ROW()),minfo!$A:$M,COLUMN()-8,0),"")</f>
        <v>44</v>
      </c>
      <c r="R1497" s="4">
        <f ca="1">_xlfn.IFNA(VLOOKUP(INDIRECT("G"&amp;ROW()),minfo!$A:$M,COLUMN()-8,0),"")</f>
        <v>0</v>
      </c>
      <c r="S1497" s="4" t="str">
        <f ca="1">_xlfn.IFNA(VLOOKUP(INDIRECT("G"&amp;ROW()),minfo!$A:$M,COLUMN()-8,0),"")</f>
        <v>旷世情歌全记录</v>
      </c>
      <c r="T1497" s="4">
        <f ca="1">_xlfn.IFNA(VLOOKUP(INDIRECT("G"&amp;ROW()),minfo!$A:$M,COLUMN()-8,0),"")</f>
        <v>16138143</v>
      </c>
      <c r="U1497" s="4">
        <f ca="1">_xlfn.IFNA(VLOOKUP(INDIRECT("G"&amp;ROW()),minfo!$A:$M,COLUMN()-8,0),"")</f>
        <v>0</v>
      </c>
    </row>
    <row r="1498" spans="1:21" ht="15.75" customHeight="1">
      <c r="A1498" s="15">
        <v>1497</v>
      </c>
      <c r="B1498" s="4" t="s">
        <v>5128</v>
      </c>
      <c r="C1498" s="4">
        <v>1498</v>
      </c>
      <c r="D1498" s="4">
        <v>144</v>
      </c>
      <c r="E1498" s="4" t="s">
        <v>384</v>
      </c>
      <c r="F1498" s="16">
        <v>44807</v>
      </c>
      <c r="G1498" s="5" t="s">
        <v>383</v>
      </c>
      <c r="H1498" s="5" t="s">
        <v>4978</v>
      </c>
      <c r="I1498" s="24" t="str">
        <f>HYPERLINK("https://www.bilibili.com/video/BV1ta411X75v?p=144", "BV1ta411X75v?p=144")</f>
        <v>BV1ta411X75v?p=144</v>
      </c>
      <c r="J1498" s="4" t="str">
        <f ca="1">_xlfn.IFNA(VLOOKUP(INDIRECT("G"&amp;ROW()),minfo!$A:$M,COLUMN()-8,0),"")</f>
        <v>恰好</v>
      </c>
      <c r="K1498" s="4" t="str">
        <f ca="1">_xlfn.IFNA(VLOOKUP(INDIRECT("G"&amp;ROW()),minfo!$A:$M,COLUMN()-8,0),"")</f>
        <v>黄龄,李鑫一</v>
      </c>
      <c r="L1498" s="4">
        <f ca="1">_xlfn.IFNA(VLOOKUP(INDIRECT("G"&amp;ROW()),minfo!$A:$M,COLUMN()-8,0),"")</f>
        <v>0</v>
      </c>
      <c r="M1498" s="4">
        <f ca="1">_xlfn.IFNA(VLOOKUP(INDIRECT("G"&amp;ROW()),minfo!$A:$M,COLUMN()-8,0),"")</f>
        <v>0</v>
      </c>
      <c r="N1498" s="4">
        <f ca="1">_xlfn.IFNA(VLOOKUP(INDIRECT("G"&amp;ROW()),minfo!$A:$M,COLUMN()-8,0),"")</f>
        <v>0</v>
      </c>
      <c r="O1498" s="4" t="str">
        <f ca="1">_xlfn.IFNA(VLOOKUP(INDIRECT("G"&amp;ROW()),minfo!$A:$M,COLUMN()-8,0),"")</f>
        <v>https://i0.hdslb.com/bfs/station_src/music_metadata/4114b5dce4dc2e8fa6d696106a6624eb.jpg</v>
      </c>
      <c r="P1498" s="4" t="str">
        <f ca="1">_xlfn.IFNA(VLOOKUP(INDIRECT("G"&amp;ROW()),minfo!$A:$M,COLUMN()-8,0),"")</f>
        <v>https://i0.hdslb.com/bfs/station_src/music_metadata/7105373054bbacbd0af01ee959bcd5e2.txt</v>
      </c>
      <c r="Q1498" s="4">
        <f ca="1">_xlfn.IFNA(VLOOKUP(INDIRECT("G"&amp;ROW()),minfo!$A:$M,COLUMN()-8,0),"")</f>
        <v>0</v>
      </c>
      <c r="R1498" s="4">
        <f ca="1">_xlfn.IFNA(VLOOKUP(INDIRECT("G"&amp;ROW()),minfo!$A:$M,COLUMN()-8,0),"")</f>
        <v>0</v>
      </c>
      <c r="S1498" s="4" t="str">
        <f ca="1">_xlfn.IFNA(VLOOKUP(INDIRECT("G"&amp;ROW()),minfo!$A:$M,COLUMN()-8,0),"")</f>
        <v>天赐的声音第二季 第9期</v>
      </c>
      <c r="T1498" s="4">
        <f ca="1">_xlfn.IFNA(VLOOKUP(INDIRECT("G"&amp;ROW()),minfo!$A:$M,COLUMN()-8,0),"")</f>
        <v>436159</v>
      </c>
      <c r="U1498" s="4">
        <f ca="1">_xlfn.IFNA(VLOOKUP(INDIRECT("G"&amp;ROW()),minfo!$A:$M,COLUMN()-8,0),"")</f>
        <v>0</v>
      </c>
    </row>
    <row r="1499" spans="1:21" ht="15.75" customHeight="1">
      <c r="A1499" s="15">
        <v>1498</v>
      </c>
      <c r="B1499" s="4" t="s">
        <v>5129</v>
      </c>
      <c r="C1499" s="4">
        <v>1499</v>
      </c>
      <c r="D1499" s="4">
        <v>145</v>
      </c>
      <c r="E1499" s="4" t="s">
        <v>1585</v>
      </c>
      <c r="F1499" s="16">
        <v>44807</v>
      </c>
      <c r="G1499" s="5" t="s">
        <v>1584</v>
      </c>
      <c r="H1499" s="5" t="s">
        <v>4978</v>
      </c>
      <c r="I1499" s="24" t="str">
        <f>HYPERLINK("https://www.bilibili.com/video/BV1ta411X75v?p=145", "BV1ta411X75v?p=145")</f>
        <v>BV1ta411X75v?p=145</v>
      </c>
      <c r="J1499" s="4" t="str">
        <f ca="1">_xlfn.IFNA(VLOOKUP(INDIRECT("G"&amp;ROW()),minfo!$A:$M,COLUMN()-8,0),"")</f>
        <v>月牙湾</v>
      </c>
      <c r="K1499" s="4" t="str">
        <f ca="1">_xlfn.IFNA(VLOOKUP(INDIRECT("G"&amp;ROW()),minfo!$A:$M,COLUMN()-8,0),"")</f>
        <v>飞儿乐队</v>
      </c>
      <c r="L1499" s="4">
        <f ca="1">_xlfn.IFNA(VLOOKUP(INDIRECT("G"&amp;ROW()),minfo!$A:$M,COLUMN()-8,0),"")</f>
        <v>0</v>
      </c>
      <c r="M1499" s="4">
        <f ca="1">_xlfn.IFNA(VLOOKUP(INDIRECT("G"&amp;ROW()),minfo!$A:$M,COLUMN()-8,0),"")</f>
        <v>0</v>
      </c>
      <c r="N1499" s="4">
        <f ca="1">_xlfn.IFNA(VLOOKUP(INDIRECT("G"&amp;ROW()),minfo!$A:$M,COLUMN()-8,0),"")</f>
        <v>0</v>
      </c>
      <c r="O1499" s="4" t="str">
        <f ca="1">_xlfn.IFNA(VLOOKUP(INDIRECT("G"&amp;ROW()),minfo!$A:$M,COLUMN()-8,0),"")</f>
        <v>https://i0.hdslb.com/bfs/station_src/music_metadata/4d030f96fbe202f9504add491a690ace.jpg</v>
      </c>
      <c r="P1499" s="4" t="str">
        <f ca="1">_xlfn.IFNA(VLOOKUP(INDIRECT("G"&amp;ROW()),minfo!$A:$M,COLUMN()-8,0),"")</f>
        <v>http://i0.hdslb.com/bfs/station_src/music_metadata/b5eef77c8e09fe891a2c85dda279ee2c</v>
      </c>
      <c r="Q1499" s="4">
        <f ca="1">_xlfn.IFNA(VLOOKUP(INDIRECT("G"&amp;ROW()),minfo!$A:$M,COLUMN()-8,0),"")</f>
        <v>1119</v>
      </c>
      <c r="R1499" s="4">
        <f ca="1">_xlfn.IFNA(VLOOKUP(INDIRECT("G"&amp;ROW()),minfo!$A:$M,COLUMN()-8,0),"")</f>
        <v>0</v>
      </c>
      <c r="S1499" s="4" t="str">
        <f ca="1">_xlfn.IFNA(VLOOKUP(INDIRECT("G"&amp;ROW()),minfo!$A:$M,COLUMN()-8,0),"")</f>
        <v>爱‧歌姬</v>
      </c>
      <c r="T1499" s="4">
        <f ca="1">_xlfn.IFNA(VLOOKUP(INDIRECT("G"&amp;ROW()),minfo!$A:$M,COLUMN()-8,0),"")</f>
        <v>217542753</v>
      </c>
      <c r="U1499" s="4">
        <f ca="1">_xlfn.IFNA(VLOOKUP(INDIRECT("G"&amp;ROW()),minfo!$A:$M,COLUMN()-8,0),"")</f>
        <v>0</v>
      </c>
    </row>
    <row r="1500" spans="1:21" ht="15.75" customHeight="1">
      <c r="A1500" s="15">
        <v>1499</v>
      </c>
      <c r="B1500" s="4" t="s">
        <v>5130</v>
      </c>
      <c r="C1500" s="4">
        <v>1500</v>
      </c>
      <c r="D1500" s="4">
        <v>146</v>
      </c>
      <c r="E1500" s="4" t="s">
        <v>426</v>
      </c>
      <c r="F1500" s="16">
        <v>44807</v>
      </c>
      <c r="G1500" s="5" t="s">
        <v>425</v>
      </c>
      <c r="H1500" s="5" t="s">
        <v>4978</v>
      </c>
      <c r="I1500" s="24" t="str">
        <f>HYPERLINK("https://www.bilibili.com/video/BV1ta411X75v?p=146", "BV1ta411X75v?p=146")</f>
        <v>BV1ta411X75v?p=146</v>
      </c>
      <c r="J1500" s="4" t="str">
        <f ca="1">_xlfn.IFNA(VLOOKUP(INDIRECT("G"&amp;ROW()),minfo!$A:$M,COLUMN()-8,0),"")</f>
        <v>说散就散</v>
      </c>
      <c r="K1500" s="4" t="str">
        <f ca="1">_xlfn.IFNA(VLOOKUP(INDIRECT("G"&amp;ROW()),minfo!$A:$M,COLUMN()-8,0),"")</f>
        <v>袁娅维TIA RAY</v>
      </c>
      <c r="L1500" s="4">
        <f ca="1">_xlfn.IFNA(VLOOKUP(INDIRECT("G"&amp;ROW()),minfo!$A:$M,COLUMN()-8,0),"")</f>
        <v>0</v>
      </c>
      <c r="M1500" s="4">
        <f ca="1">_xlfn.IFNA(VLOOKUP(INDIRECT("G"&amp;ROW()),minfo!$A:$M,COLUMN()-8,0),"")</f>
        <v>0</v>
      </c>
      <c r="N1500" s="4">
        <f ca="1">_xlfn.IFNA(VLOOKUP(INDIRECT("G"&amp;ROW()),minfo!$A:$M,COLUMN()-8,0),"")</f>
        <v>0</v>
      </c>
      <c r="O1500" s="4" t="str">
        <f ca="1">_xlfn.IFNA(VLOOKUP(INDIRECT("G"&amp;ROW()),minfo!$A:$M,COLUMN()-8,0),"")</f>
        <v>http://i0.hdslb.com/bfs/station_src/music_metadata/0d2a98cfa94a37041a8fd9f6d060a0aa.jpg</v>
      </c>
      <c r="P1500" s="4" t="str">
        <f ca="1">_xlfn.IFNA(VLOOKUP(INDIRECT("G"&amp;ROW()),minfo!$A:$M,COLUMN()-8,0),"")</f>
        <v>http://i0.hdslb.com/bfs/station_src/music_metadata/ac9c061324965249882f646ffef11dd0</v>
      </c>
      <c r="Q1500" s="4">
        <f ca="1">_xlfn.IFNA(VLOOKUP(INDIRECT("G"&amp;ROW()),minfo!$A:$M,COLUMN()-8,0),"")</f>
        <v>876</v>
      </c>
      <c r="R1500" s="4" t="str">
        <f ca="1">_xlfn.IFNA(VLOOKUP(INDIRECT("G"&amp;ROW()),minfo!$A:$M,COLUMN()-8,0),"")</f>
        <v>《前任3：再见前任》主题曲)</v>
      </c>
      <c r="S1500" s="4" t="str">
        <f ca="1">_xlfn.IFNA(VLOOKUP(INDIRECT("G"&amp;ROW()),minfo!$A:$M,COLUMN()-8,0),"")</f>
        <v>说散就散</v>
      </c>
      <c r="T1500" s="4">
        <f ca="1">_xlfn.IFNA(VLOOKUP(INDIRECT("G"&amp;ROW()),minfo!$A:$M,COLUMN()-8,0),"")</f>
        <v>263880895</v>
      </c>
      <c r="U1500" s="4" t="str">
        <f ca="1">_xlfn.IFNA(VLOOKUP(INDIRECT("G"&amp;ROW()),minfo!$A:$M,COLUMN()-8,0),"")</f>
        <v>音乐榜最高NO.17</v>
      </c>
    </row>
    <row r="1501" spans="1:21" ht="15.75" customHeight="1">
      <c r="A1501" s="15">
        <v>1500</v>
      </c>
      <c r="B1501" s="4" t="s">
        <v>5131</v>
      </c>
      <c r="C1501" s="4">
        <v>1501</v>
      </c>
      <c r="D1501" s="4">
        <v>147</v>
      </c>
      <c r="E1501" s="4" t="s">
        <v>1383</v>
      </c>
      <c r="F1501" s="16">
        <v>44809</v>
      </c>
      <c r="G1501" s="5" t="s">
        <v>1382</v>
      </c>
      <c r="H1501" s="5" t="s">
        <v>4978</v>
      </c>
      <c r="I1501" s="24" t="str">
        <f>HYPERLINK("https://www.bilibili.com/video/BV1ta411X75v?p=147", "BV1ta411X75v?p=147")</f>
        <v>BV1ta411X75v?p=147</v>
      </c>
      <c r="J1501" s="4" t="str">
        <f ca="1">_xlfn.IFNA(VLOOKUP(INDIRECT("G"&amp;ROW()),minfo!$A:$M,COLUMN()-8,0),"")</f>
        <v>飞云之下</v>
      </c>
      <c r="K1501" s="4" t="str">
        <f ca="1">_xlfn.IFNA(VLOOKUP(INDIRECT("G"&amp;ROW()),minfo!$A:$M,COLUMN()-8,0),"")</f>
        <v>韩红,林俊杰</v>
      </c>
      <c r="L1501" s="4">
        <f ca="1">_xlfn.IFNA(VLOOKUP(INDIRECT("G"&amp;ROW()),minfo!$A:$M,COLUMN()-8,0),"")</f>
        <v>0</v>
      </c>
      <c r="M1501" s="4">
        <f ca="1">_xlfn.IFNA(VLOOKUP(INDIRECT("G"&amp;ROW()),minfo!$A:$M,COLUMN()-8,0),"")</f>
        <v>0</v>
      </c>
      <c r="N1501" s="4">
        <f ca="1">_xlfn.IFNA(VLOOKUP(INDIRECT("G"&amp;ROW()),minfo!$A:$M,COLUMN()-8,0),"")</f>
        <v>0</v>
      </c>
      <c r="O1501" s="4" t="str">
        <f ca="1">_xlfn.IFNA(VLOOKUP(INDIRECT("G"&amp;ROW()),minfo!$A:$M,COLUMN()-8,0),"")</f>
        <v>https://i0.hdslb.com/bfs/station_src/music_metadata/8173839e76e61fbdb14a575311cd129c.jpg</v>
      </c>
      <c r="P1501" s="4" t="str">
        <f ca="1">_xlfn.IFNA(VLOOKUP(INDIRECT("G"&amp;ROW()),minfo!$A:$M,COLUMN()-8,0),"")</f>
        <v>http://i0.hdslb.com/bfs/station_src/music_metadata/a707e381fa177d6b768e612785fecf0d</v>
      </c>
      <c r="Q1501" s="4">
        <f ca="1">_xlfn.IFNA(VLOOKUP(INDIRECT("G"&amp;ROW()),minfo!$A:$M,COLUMN()-8,0),"")</f>
        <v>627</v>
      </c>
      <c r="R1501" s="4">
        <f ca="1">_xlfn.IFNA(VLOOKUP(INDIRECT("G"&amp;ROW()),minfo!$A:$M,COLUMN()-8,0),"")</f>
        <v>0</v>
      </c>
      <c r="S1501" s="4" t="str">
        <f ca="1">_xlfn.IFNA(VLOOKUP(INDIRECT("G"&amp;ROW()),minfo!$A:$M,COLUMN()-8,0),"")</f>
        <v>飞云之下</v>
      </c>
      <c r="T1501" s="4">
        <f ca="1">_xlfn.IFNA(VLOOKUP(INDIRECT("G"&amp;ROW()),minfo!$A:$M,COLUMN()-8,0),"")</f>
        <v>133126146</v>
      </c>
      <c r="U1501" s="4">
        <f ca="1">_xlfn.IFNA(VLOOKUP(INDIRECT("G"&amp;ROW()),minfo!$A:$M,COLUMN()-8,0),"")</f>
        <v>0</v>
      </c>
    </row>
    <row r="1502" spans="1:21" ht="15.75" customHeight="1">
      <c r="A1502" s="15">
        <v>1501</v>
      </c>
      <c r="B1502" s="4" t="s">
        <v>5132</v>
      </c>
      <c r="C1502" s="4">
        <v>1502</v>
      </c>
      <c r="D1502" s="4">
        <v>148</v>
      </c>
      <c r="E1502" s="4" t="s">
        <v>1107</v>
      </c>
      <c r="F1502" s="16">
        <v>44809</v>
      </c>
      <c r="G1502" s="5" t="s">
        <v>1106</v>
      </c>
      <c r="H1502" s="5" t="s">
        <v>4978</v>
      </c>
      <c r="I1502" s="24" t="str">
        <f>HYPERLINK("https://www.bilibili.com/video/BV1ta411X75v?p=148", "BV1ta411X75v?p=148")</f>
        <v>BV1ta411X75v?p=148</v>
      </c>
      <c r="J1502" s="4" t="str">
        <f ca="1">_xlfn.IFNA(VLOOKUP(INDIRECT("G"&amp;ROW()),minfo!$A:$M,COLUMN()-8,0),"")</f>
        <v>那些你很冒险的梦</v>
      </c>
      <c r="K1502" s="4" t="str">
        <f ca="1">_xlfn.IFNA(VLOOKUP(INDIRECT("G"&amp;ROW()),minfo!$A:$M,COLUMN()-8,0),"")</f>
        <v>林俊杰</v>
      </c>
      <c r="L1502" s="4">
        <f ca="1">_xlfn.IFNA(VLOOKUP(INDIRECT("G"&amp;ROW()),minfo!$A:$M,COLUMN()-8,0),"")</f>
        <v>0</v>
      </c>
      <c r="M1502" s="4">
        <f ca="1">_xlfn.IFNA(VLOOKUP(INDIRECT("G"&amp;ROW()),minfo!$A:$M,COLUMN()-8,0),"")</f>
        <v>0</v>
      </c>
      <c r="N1502" s="4">
        <f ca="1">_xlfn.IFNA(VLOOKUP(INDIRECT("G"&amp;ROW()),minfo!$A:$M,COLUMN()-8,0),"")</f>
        <v>0</v>
      </c>
      <c r="O1502" s="4" t="str">
        <f ca="1">_xlfn.IFNA(VLOOKUP(INDIRECT("G"&amp;ROW()),minfo!$A:$M,COLUMN()-8,0),"")</f>
        <v>https://i0.hdslb.com/bfs/station_src/music_metadata/06f970ae00e00f724e3ce8b49b192dcc.jpg</v>
      </c>
      <c r="P1502" s="4" t="str">
        <f ca="1">_xlfn.IFNA(VLOOKUP(INDIRECT("G"&amp;ROW()),minfo!$A:$M,COLUMN()-8,0),"")</f>
        <v>http://i0.hdslb.com/bfs/station_src/music_metadata/7d9fd351995e1af5aa9ec35eed740caa</v>
      </c>
      <c r="Q1502" s="4">
        <f ca="1">_xlfn.IFNA(VLOOKUP(INDIRECT("G"&amp;ROW()),minfo!$A:$M,COLUMN()-8,0),"")</f>
        <v>412</v>
      </c>
      <c r="R1502" s="4">
        <f ca="1">_xlfn.IFNA(VLOOKUP(INDIRECT("G"&amp;ROW()),minfo!$A:$M,COLUMN()-8,0),"")</f>
        <v>0</v>
      </c>
      <c r="S1502" s="4" t="str">
        <f ca="1">_xlfn.IFNA(VLOOKUP(INDIRECT("G"&amp;ROW()),minfo!$A:$M,COLUMN()-8,0),"")</f>
        <v>学不会</v>
      </c>
      <c r="T1502" s="4">
        <f ca="1">_xlfn.IFNA(VLOOKUP(INDIRECT("G"&amp;ROW()),minfo!$A:$M,COLUMN()-8,0),"")</f>
        <v>192890831</v>
      </c>
      <c r="U1502" s="4">
        <f ca="1">_xlfn.IFNA(VLOOKUP(INDIRECT("G"&amp;ROW()),minfo!$A:$M,COLUMN()-8,0),"")</f>
        <v>0</v>
      </c>
    </row>
    <row r="1503" spans="1:21" ht="15.75" customHeight="1">
      <c r="A1503" s="15">
        <v>1502</v>
      </c>
      <c r="B1503" s="4" t="s">
        <v>5133</v>
      </c>
      <c r="C1503" s="4">
        <v>1503</v>
      </c>
      <c r="D1503" s="4">
        <v>149</v>
      </c>
      <c r="E1503" s="4" t="s">
        <v>523</v>
      </c>
      <c r="F1503" s="16">
        <v>44811</v>
      </c>
      <c r="G1503" s="5" t="s">
        <v>522</v>
      </c>
      <c r="H1503" s="5" t="s">
        <v>4978</v>
      </c>
      <c r="I1503" s="24" t="str">
        <f>HYPERLINK("https://www.bilibili.com/video/BV1ta411X75v?p=149", "BV1ta411X75v?p=149")</f>
        <v>BV1ta411X75v?p=149</v>
      </c>
      <c r="J1503" s="4" t="str">
        <f ca="1">_xlfn.IFNA(VLOOKUP(INDIRECT("G"&amp;ROW()),minfo!$A:$M,COLUMN()-8,0),"")</f>
        <v>不醉不会</v>
      </c>
      <c r="K1503" s="4" t="str">
        <f ca="1">_xlfn.IFNA(VLOOKUP(INDIRECT("G"&amp;ROW()),minfo!$A:$M,COLUMN()-8,0),"")</f>
        <v>田馥甄</v>
      </c>
      <c r="L1503" s="4">
        <f ca="1">_xlfn.IFNA(VLOOKUP(INDIRECT("G"&amp;ROW()),minfo!$A:$M,COLUMN()-8,0),"")</f>
        <v>0</v>
      </c>
      <c r="M1503" s="4">
        <f ca="1">_xlfn.IFNA(VLOOKUP(INDIRECT("G"&amp;ROW()),minfo!$A:$M,COLUMN()-8,0),"")</f>
        <v>0</v>
      </c>
      <c r="N1503" s="4">
        <f ca="1">_xlfn.IFNA(VLOOKUP(INDIRECT("G"&amp;ROW()),minfo!$A:$M,COLUMN()-8,0),"")</f>
        <v>0</v>
      </c>
      <c r="O1503" s="4" t="str">
        <f ca="1">_xlfn.IFNA(VLOOKUP(INDIRECT("G"&amp;ROW()),minfo!$A:$M,COLUMN()-8,0),"")</f>
        <v>https://i0.hdslb.com/bfs/station_src/music_metadata/89dd3a7fe31b05442c9ebecb6692d9c6.jpg</v>
      </c>
      <c r="P1503" s="4" t="str">
        <f ca="1">_xlfn.IFNA(VLOOKUP(INDIRECT("G"&amp;ROW()),minfo!$A:$M,COLUMN()-8,0),"")</f>
        <v>http://i0.hdslb.com/bfs/station_src/music_metadata/e538f424a7bb1b824c88467288129a7b</v>
      </c>
      <c r="Q1503" s="4">
        <f ca="1">_xlfn.IFNA(VLOOKUP(INDIRECT("G"&amp;ROW()),minfo!$A:$M,COLUMN()-8,0),"")</f>
        <v>46</v>
      </c>
      <c r="R1503" s="4" t="str">
        <f ca="1">_xlfn.IFNA(VLOOKUP(INDIRECT("G"&amp;ROW()),minfo!$A:$M,COLUMN()-8,0),"")</f>
        <v>《没有名字的甜点店》电视剧主题曲</v>
      </c>
      <c r="S1503" s="4" t="str">
        <f ca="1">_xlfn.IFNA(VLOOKUP(INDIRECT("G"&amp;ROW()),minfo!$A:$M,COLUMN()-8,0),"")</f>
        <v>渺小</v>
      </c>
      <c r="T1503" s="4">
        <f ca="1">_xlfn.IFNA(VLOOKUP(INDIRECT("G"&amp;ROW()),minfo!$A:$M,COLUMN()-8,0),"")</f>
        <v>22119844</v>
      </c>
      <c r="U1503" s="4">
        <f ca="1">_xlfn.IFNA(VLOOKUP(INDIRECT("G"&amp;ROW()),minfo!$A:$M,COLUMN()-8,0),"")</f>
        <v>0</v>
      </c>
    </row>
    <row r="1504" spans="1:21" ht="15.75" customHeight="1">
      <c r="A1504" s="15">
        <v>1503</v>
      </c>
      <c r="B1504" s="4" t="s">
        <v>5134</v>
      </c>
      <c r="C1504" s="4">
        <v>1504</v>
      </c>
      <c r="D1504" s="4">
        <v>150</v>
      </c>
      <c r="E1504" s="4" t="s">
        <v>763</v>
      </c>
      <c r="F1504" s="16">
        <v>44811</v>
      </c>
      <c r="G1504" s="5" t="s">
        <v>762</v>
      </c>
      <c r="H1504" s="5" t="s">
        <v>4978</v>
      </c>
      <c r="I1504" s="24" t="str">
        <f>HYPERLINK("https://www.bilibili.com/video/BV1ta411X75v?p=150", "BV1ta411X75v?p=150")</f>
        <v>BV1ta411X75v?p=150</v>
      </c>
      <c r="J1504" s="4" t="str">
        <f ca="1">_xlfn.IFNA(VLOOKUP(INDIRECT("G"&amp;ROW()),minfo!$A:$M,COLUMN()-8,0),"")</f>
        <v>喂</v>
      </c>
      <c r="K1504" s="4" t="str">
        <f ca="1">_xlfn.IFNA(VLOOKUP(INDIRECT("G"&amp;ROW()),minfo!$A:$M,COLUMN()-8,0),"")</f>
        <v>单依纯</v>
      </c>
      <c r="L1504" s="4">
        <f ca="1">_xlfn.IFNA(VLOOKUP(INDIRECT("G"&amp;ROW()),minfo!$A:$M,COLUMN()-8,0),"")</f>
        <v>0</v>
      </c>
      <c r="M1504" s="4">
        <f ca="1">_xlfn.IFNA(VLOOKUP(INDIRECT("G"&amp;ROW()),minfo!$A:$M,COLUMN()-8,0),"")</f>
        <v>0</v>
      </c>
      <c r="N1504" s="4">
        <f ca="1">_xlfn.IFNA(VLOOKUP(INDIRECT("G"&amp;ROW()),minfo!$A:$M,COLUMN()-8,0),"")</f>
        <v>0</v>
      </c>
      <c r="O1504" s="4" t="str">
        <f ca="1">_xlfn.IFNA(VLOOKUP(INDIRECT("G"&amp;ROW()),minfo!$A:$M,COLUMN()-8,0),"")</f>
        <v>http://i0.hdslb.com/bfs/station_src/music_metadata/3e25166ec82d69eca35a1a16729579ed.jpg</v>
      </c>
      <c r="P1504" s="4" t="str">
        <f ca="1">_xlfn.IFNA(VLOOKUP(INDIRECT("G"&amp;ROW()),minfo!$A:$M,COLUMN()-8,0),"")</f>
        <v>http://i0.hdslb.com/bfs/station_src/music_metadata/2751e8840adbe50ca18c15e272712e78</v>
      </c>
      <c r="Q1504" s="4">
        <f ca="1">_xlfn.IFNA(VLOOKUP(INDIRECT("G"&amp;ROW()),minfo!$A:$M,COLUMN()-8,0),"")</f>
        <v>90</v>
      </c>
      <c r="R1504" s="4">
        <f ca="1">_xlfn.IFNA(VLOOKUP(INDIRECT("G"&amp;ROW()),minfo!$A:$M,COLUMN()-8,0),"")</f>
        <v>0</v>
      </c>
      <c r="S1504" s="4" t="str">
        <f ca="1">_xlfn.IFNA(VLOOKUP(INDIRECT("G"&amp;ROW()),minfo!$A:$M,COLUMN()-8,0),"")</f>
        <v>喂</v>
      </c>
      <c r="T1504" s="4">
        <f ca="1">_xlfn.IFNA(VLOOKUP(INDIRECT("G"&amp;ROW()),minfo!$A:$M,COLUMN()-8,0),"")</f>
        <v>9314230</v>
      </c>
      <c r="U1504" s="4">
        <f ca="1">_xlfn.IFNA(VLOOKUP(INDIRECT("G"&amp;ROW()),minfo!$A:$M,COLUMN()-8,0),"")</f>
        <v>0</v>
      </c>
    </row>
    <row r="1505" spans="1:21" ht="15.75" customHeight="1">
      <c r="A1505" s="15">
        <v>1504</v>
      </c>
      <c r="B1505" s="4" t="s">
        <v>5135</v>
      </c>
      <c r="C1505" s="4">
        <v>1505</v>
      </c>
      <c r="D1505" s="4">
        <v>151</v>
      </c>
      <c r="E1505" s="4" t="s">
        <v>220</v>
      </c>
      <c r="F1505" s="16">
        <v>44814</v>
      </c>
      <c r="G1505" s="5" t="s">
        <v>2964</v>
      </c>
      <c r="H1505" s="5" t="s">
        <v>4978</v>
      </c>
      <c r="I1505" s="24" t="str">
        <f>HYPERLINK("https://www.bilibili.com/video/BV1ta411X75v?p=151", "BV1ta411X75v?p=151")</f>
        <v>BV1ta411X75v?p=151</v>
      </c>
      <c r="J1505" s="4" t="str">
        <f ca="1">_xlfn.IFNA(VLOOKUP(INDIRECT("G"&amp;ROW()),minfo!$A:$M,COLUMN()-8,0),"")</f>
        <v>一荤一素</v>
      </c>
      <c r="K1505" s="4" t="str">
        <f ca="1">_xlfn.IFNA(VLOOKUP(INDIRECT("G"&amp;ROW()),minfo!$A:$M,COLUMN()-8,0),"")</f>
        <v>毛不易</v>
      </c>
      <c r="L1505" s="4">
        <f ca="1">_xlfn.IFNA(VLOOKUP(INDIRECT("G"&amp;ROW()),minfo!$A:$M,COLUMN()-8,0),"")</f>
        <v>0</v>
      </c>
      <c r="M1505" s="4">
        <f ca="1">_xlfn.IFNA(VLOOKUP(INDIRECT("G"&amp;ROW()),minfo!$A:$M,COLUMN()-8,0),"")</f>
        <v>0</v>
      </c>
      <c r="N1505" s="4">
        <f ca="1">_xlfn.IFNA(VLOOKUP(INDIRECT("G"&amp;ROW()),minfo!$A:$M,COLUMN()-8,0),"")</f>
        <v>0</v>
      </c>
      <c r="O1505" s="4" t="str">
        <f ca="1">_xlfn.IFNA(VLOOKUP(INDIRECT("G"&amp;ROW()),minfo!$A:$M,COLUMN()-8,0),"")</f>
        <v>https://i0.hdslb.com/bfs/station_src/music_metadata/b92d51fb5d8fda5d8544368b7c32fb01.jpg</v>
      </c>
      <c r="P1505" s="4">
        <f ca="1">_xlfn.IFNA(VLOOKUP(INDIRECT("G"&amp;ROW()),minfo!$A:$M,COLUMN()-8,0),"")</f>
        <v>0</v>
      </c>
      <c r="Q1505" s="4">
        <f ca="1">_xlfn.IFNA(VLOOKUP(INDIRECT("G"&amp;ROW()),minfo!$A:$M,COLUMN()-8,0),"")</f>
        <v>0</v>
      </c>
      <c r="R1505" s="4">
        <f ca="1">_xlfn.IFNA(VLOOKUP(INDIRECT("G"&amp;ROW()),minfo!$A:$M,COLUMN()-8,0),"")</f>
        <v>0</v>
      </c>
      <c r="S1505" s="4" t="str">
        <f ca="1">_xlfn.IFNA(VLOOKUP(INDIRECT("G"&amp;ROW()),minfo!$A:$M,COLUMN()-8,0),"")</f>
        <v>Cσcσ翻唱集</v>
      </c>
      <c r="T1505" s="4">
        <f ca="1">_xlfn.IFNA(VLOOKUP(INDIRECT("G"&amp;ROW()),minfo!$A:$M,COLUMN()-8,0),"")</f>
        <v>323292</v>
      </c>
      <c r="U1505" s="4">
        <f ca="1">_xlfn.IFNA(VLOOKUP(INDIRECT("G"&amp;ROW()),minfo!$A:$M,COLUMN()-8,0),"")</f>
        <v>0</v>
      </c>
    </row>
    <row r="1506" spans="1:21" ht="15.75" customHeight="1">
      <c r="A1506" s="15">
        <v>1505</v>
      </c>
      <c r="B1506" s="4" t="s">
        <v>5136</v>
      </c>
      <c r="C1506" s="4">
        <v>1506</v>
      </c>
      <c r="D1506" s="4">
        <v>152</v>
      </c>
      <c r="E1506" s="4" t="s">
        <v>1423</v>
      </c>
      <c r="F1506" s="16">
        <v>44814</v>
      </c>
      <c r="G1506" s="5" t="s">
        <v>1422</v>
      </c>
      <c r="H1506" s="5" t="s">
        <v>4978</v>
      </c>
      <c r="I1506" s="24" t="str">
        <f>HYPERLINK("https://www.bilibili.com/video/BV1ta411X75v?p=152", "BV1ta411X75v?p=152")</f>
        <v>BV1ta411X75v?p=152</v>
      </c>
      <c r="J1506" s="4" t="str">
        <f ca="1">_xlfn.IFNA(VLOOKUP(INDIRECT("G"&amp;ROW()),minfo!$A:$M,COLUMN()-8,0),"")</f>
        <v>修炼爱情</v>
      </c>
      <c r="K1506" s="4" t="str">
        <f ca="1">_xlfn.IFNA(VLOOKUP(INDIRECT("G"&amp;ROW()),minfo!$A:$M,COLUMN()-8,0),"")</f>
        <v>林俊杰</v>
      </c>
      <c r="L1506" s="4">
        <f ca="1">_xlfn.IFNA(VLOOKUP(INDIRECT("G"&amp;ROW()),minfo!$A:$M,COLUMN()-8,0),"")</f>
        <v>0</v>
      </c>
      <c r="M1506" s="4">
        <f ca="1">_xlfn.IFNA(VLOOKUP(INDIRECT("G"&amp;ROW()),minfo!$A:$M,COLUMN()-8,0),"")</f>
        <v>0</v>
      </c>
      <c r="N1506" s="4">
        <f ca="1">_xlfn.IFNA(VLOOKUP(INDIRECT("G"&amp;ROW()),minfo!$A:$M,COLUMN()-8,0),"")</f>
        <v>0</v>
      </c>
      <c r="O1506" s="4" t="str">
        <f ca="1">_xlfn.IFNA(VLOOKUP(INDIRECT("G"&amp;ROW()),minfo!$A:$M,COLUMN()-8,0),"")</f>
        <v>http://i0.hdslb.com/bfs/station_src/music_metadata/713cd2835e797b42166abbd9090b7ff1.jpg</v>
      </c>
      <c r="P1506" s="4" t="str">
        <f ca="1">_xlfn.IFNA(VLOOKUP(INDIRECT("G"&amp;ROW()),minfo!$A:$M,COLUMN()-8,0),"")</f>
        <v>http://i0.hdslb.com/bfs/station_src/music_metadata/e8eecc0895b84fc8099f903f807b10ff</v>
      </c>
      <c r="Q1506" s="4">
        <f ca="1">_xlfn.IFNA(VLOOKUP(INDIRECT("G"&amp;ROW()),minfo!$A:$M,COLUMN()-8,0),"")</f>
        <v>1053</v>
      </c>
      <c r="R1506" s="4">
        <f ca="1">_xlfn.IFNA(VLOOKUP(INDIRECT("G"&amp;ROW()),minfo!$A:$M,COLUMN()-8,0),"")</f>
        <v>0</v>
      </c>
      <c r="S1506" s="4" t="str">
        <f ca="1">_xlfn.IFNA(VLOOKUP(INDIRECT("G"&amp;ROW()),minfo!$A:$M,COLUMN()-8,0),"")</f>
        <v>因你 而在</v>
      </c>
      <c r="T1506" s="4">
        <f ca="1">_xlfn.IFNA(VLOOKUP(INDIRECT("G"&amp;ROW()),minfo!$A:$M,COLUMN()-8,0),"")</f>
        <v>371141890</v>
      </c>
      <c r="U1506" s="4" t="str">
        <f ca="1">_xlfn.IFNA(VLOOKUP(INDIRECT("G"&amp;ROW()),minfo!$A:$M,COLUMN()-8,0),"")</f>
        <v>音乐榜最高NO.4</v>
      </c>
    </row>
    <row r="1507" spans="1:21" ht="15.75" customHeight="1">
      <c r="A1507" s="15">
        <v>1506</v>
      </c>
      <c r="B1507" s="4" t="s">
        <v>5137</v>
      </c>
      <c r="C1507" s="4">
        <v>1507</v>
      </c>
      <c r="D1507" s="4">
        <v>153</v>
      </c>
      <c r="E1507" s="4" t="s">
        <v>1576</v>
      </c>
      <c r="F1507" s="16">
        <v>44814</v>
      </c>
      <c r="G1507" s="5" t="s">
        <v>1575</v>
      </c>
      <c r="H1507" s="5" t="s">
        <v>4978</v>
      </c>
      <c r="I1507" s="24" t="str">
        <f>HYPERLINK("https://www.bilibili.com/video/BV1ta411X75v?p=153", "BV1ta411X75v?p=153")</f>
        <v>BV1ta411X75v?p=153</v>
      </c>
      <c r="J1507" s="4" t="str">
        <f ca="1">_xlfn.IFNA(VLOOKUP(INDIRECT("G"&amp;ROW()),minfo!$A:$M,COLUMN()-8,0),"")</f>
        <v>但愿人长久</v>
      </c>
      <c r="K1507" s="4" t="str">
        <f ca="1">_xlfn.IFNA(VLOOKUP(INDIRECT("G"&amp;ROW()),minfo!$A:$M,COLUMN()-8,0),"")</f>
        <v>邓丽君</v>
      </c>
      <c r="L1507" s="4">
        <f ca="1">_xlfn.IFNA(VLOOKUP(INDIRECT("G"&amp;ROW()),minfo!$A:$M,COLUMN()-8,0),"")</f>
        <v>0</v>
      </c>
      <c r="M1507" s="4">
        <f ca="1">_xlfn.IFNA(VLOOKUP(INDIRECT("G"&amp;ROW()),minfo!$A:$M,COLUMN()-8,0),"")</f>
        <v>0</v>
      </c>
      <c r="N1507" s="4">
        <f ca="1">_xlfn.IFNA(VLOOKUP(INDIRECT("G"&amp;ROW()),minfo!$A:$M,COLUMN()-8,0),"")</f>
        <v>0</v>
      </c>
      <c r="O1507" s="4" t="str">
        <f ca="1">_xlfn.IFNA(VLOOKUP(INDIRECT("G"&amp;ROW()),minfo!$A:$M,COLUMN()-8,0),"")</f>
        <v>https://i0.hdslb.com/bfs/station_src/music_metadata/7fb7940860e18a3fa0b05d6850c81206.jpg</v>
      </c>
      <c r="P1507" s="4" t="str">
        <f ca="1">_xlfn.IFNA(VLOOKUP(INDIRECT("G"&amp;ROW()),minfo!$A:$M,COLUMN()-8,0),"")</f>
        <v>http://i0.hdslb.com/bfs/station_src/music_metadata/ee3c6651e88071b7a1db572cbc6ce075</v>
      </c>
      <c r="Q1507" s="4">
        <f ca="1">_xlfn.IFNA(VLOOKUP(INDIRECT("G"&amp;ROW()),minfo!$A:$M,COLUMN()-8,0),"")</f>
        <v>372</v>
      </c>
      <c r="R1507" s="4">
        <f ca="1">_xlfn.IFNA(VLOOKUP(INDIRECT("G"&amp;ROW()),minfo!$A:$M,COLUMN()-8,0),"")</f>
        <v>0</v>
      </c>
      <c r="S1507" s="4" t="str">
        <f ca="1">_xlfn.IFNA(VLOOKUP(INDIRECT("G"&amp;ROW()),minfo!$A:$M,COLUMN()-8,0),"")</f>
        <v>夜上海 国语老歌 第九辑</v>
      </c>
      <c r="T1507" s="4">
        <f ca="1">_xlfn.IFNA(VLOOKUP(INDIRECT("G"&amp;ROW()),minfo!$A:$M,COLUMN()-8,0),"")</f>
        <v>91130644</v>
      </c>
      <c r="U1507" s="4">
        <f ca="1">_xlfn.IFNA(VLOOKUP(INDIRECT("G"&amp;ROW()),minfo!$A:$M,COLUMN()-8,0),"")</f>
        <v>0</v>
      </c>
    </row>
    <row r="1508" spans="1:21" ht="15.75" customHeight="1">
      <c r="A1508" s="15">
        <v>1507</v>
      </c>
      <c r="B1508" s="4" t="s">
        <v>5138</v>
      </c>
      <c r="C1508" s="4">
        <v>1508</v>
      </c>
      <c r="D1508" s="4">
        <v>154</v>
      </c>
      <c r="E1508" s="4" t="s">
        <v>1770</v>
      </c>
      <c r="F1508" s="16">
        <v>44814</v>
      </c>
      <c r="G1508" s="5" t="s">
        <v>1769</v>
      </c>
      <c r="H1508" s="5" t="s">
        <v>4978</v>
      </c>
      <c r="I1508" s="24" t="str">
        <f>HYPERLINK("https://www.bilibili.com/video/BV1ta411X75v?p=154", "BV1ta411X75v?p=154")</f>
        <v>BV1ta411X75v?p=154</v>
      </c>
      <c r="J1508" s="4" t="str">
        <f ca="1">_xlfn.IFNA(VLOOKUP(INDIRECT("G"&amp;ROW()),minfo!$A:$M,COLUMN()-8,0),"")</f>
        <v>不识月</v>
      </c>
      <c r="K1508" s="4" t="str">
        <f ca="1">_xlfn.IFNA(VLOOKUP(INDIRECT("G"&amp;ROW()),minfo!$A:$M,COLUMN()-8,0),"")</f>
        <v>Luna Safari,折微微,赤羽</v>
      </c>
      <c r="L1508" s="4">
        <f ca="1">_xlfn.IFNA(VLOOKUP(INDIRECT("G"&amp;ROW()),minfo!$A:$M,COLUMN()-8,0),"")</f>
        <v>0</v>
      </c>
      <c r="M1508" s="4">
        <f ca="1">_xlfn.IFNA(VLOOKUP(INDIRECT("G"&amp;ROW()),minfo!$A:$M,COLUMN()-8,0),"")</f>
        <v>0</v>
      </c>
      <c r="N1508" s="4">
        <f ca="1">_xlfn.IFNA(VLOOKUP(INDIRECT("G"&amp;ROW()),minfo!$A:$M,COLUMN()-8,0),"")</f>
        <v>0</v>
      </c>
      <c r="O1508" s="4" t="str">
        <f ca="1">_xlfn.IFNA(VLOOKUP(INDIRECT("G"&amp;ROW()),minfo!$A:$M,COLUMN()-8,0),"")</f>
        <v>http://i0.hdslb.com/bfs/station_src/music_metadata/0ba4e987c52d0430bd333a7cdc71f19f.jpg</v>
      </c>
      <c r="P1508" s="4" t="str">
        <f ca="1">_xlfn.IFNA(VLOOKUP(INDIRECT("G"&amp;ROW()),minfo!$A:$M,COLUMN()-8,0),"")</f>
        <v>http://i0.hdslb.com/bfs/station_src/music_metadata/8a2c460684eb7937088ad1ba38ab015e</v>
      </c>
      <c r="Q1508" s="4">
        <f ca="1">_xlfn.IFNA(VLOOKUP(INDIRECT("G"&amp;ROW()),minfo!$A:$M,COLUMN()-8,0),"")</f>
        <v>10</v>
      </c>
      <c r="R1508" s="4">
        <f ca="1">_xlfn.IFNA(VLOOKUP(INDIRECT("G"&amp;ROW()),minfo!$A:$M,COLUMN()-8,0),"")</f>
        <v>0</v>
      </c>
      <c r="S1508" s="4" t="str">
        <f ca="1">_xlfn.IFNA(VLOOKUP(INDIRECT("G"&amp;ROW()),minfo!$A:$M,COLUMN()-8,0),"")</f>
        <v>不识月</v>
      </c>
      <c r="T1508" s="4">
        <f ca="1">_xlfn.IFNA(VLOOKUP(INDIRECT("G"&amp;ROW()),minfo!$A:$M,COLUMN()-8,0),"")</f>
        <v>3252187</v>
      </c>
      <c r="U1508" s="4">
        <f ca="1">_xlfn.IFNA(VLOOKUP(INDIRECT("G"&amp;ROW()),minfo!$A:$M,COLUMN()-8,0),"")</f>
        <v>0</v>
      </c>
    </row>
    <row r="1509" spans="1:21" ht="15.75" customHeight="1">
      <c r="A1509" s="15">
        <v>1508</v>
      </c>
      <c r="B1509" s="4" t="s">
        <v>5139</v>
      </c>
      <c r="C1509" s="4">
        <v>1509</v>
      </c>
      <c r="D1509" s="4">
        <v>155</v>
      </c>
      <c r="E1509" s="4" t="s">
        <v>192</v>
      </c>
      <c r="F1509" s="16">
        <v>44814</v>
      </c>
      <c r="G1509" s="5" t="s">
        <v>191</v>
      </c>
      <c r="H1509" s="5" t="s">
        <v>4978</v>
      </c>
      <c r="I1509" s="24" t="str">
        <f>HYPERLINK("https://www.bilibili.com/video/BV1ta411X75v?p=155", "BV1ta411X75v?p=155")</f>
        <v>BV1ta411X75v?p=155</v>
      </c>
      <c r="J1509" s="4" t="str">
        <f ca="1">_xlfn.IFNA(VLOOKUP(INDIRECT("G"&amp;ROW()),minfo!$A:$M,COLUMN()-8,0),"")</f>
        <v>流年如歌</v>
      </c>
      <c r="K1509" s="4" t="str">
        <f ca="1">_xlfn.IFNA(VLOOKUP(INDIRECT("G"&amp;ROW()),minfo!$A:$M,COLUMN()-8,0),"")</f>
        <v>苍穹</v>
      </c>
      <c r="L1509" s="4">
        <f ca="1">_xlfn.IFNA(VLOOKUP(INDIRECT("G"&amp;ROW()),minfo!$A:$M,COLUMN()-8,0),"")</f>
        <v>0</v>
      </c>
      <c r="M1509" s="4">
        <f ca="1">_xlfn.IFNA(VLOOKUP(INDIRECT("G"&amp;ROW()),minfo!$A:$M,COLUMN()-8,0),"")</f>
        <v>0</v>
      </c>
      <c r="N1509" s="4">
        <f ca="1">_xlfn.IFNA(VLOOKUP(INDIRECT("G"&amp;ROW()),minfo!$A:$M,COLUMN()-8,0),"")</f>
        <v>0</v>
      </c>
      <c r="O1509" s="4" t="str">
        <f ca="1">_xlfn.IFNA(VLOOKUP(INDIRECT("G"&amp;ROW()),minfo!$A:$M,COLUMN()-8,0),"")</f>
        <v>https://i0.hdslb.com/bfs/station_src/music_metadata/7d8de08a2fa9fed3e913a7cbedbd7359.jpg</v>
      </c>
      <c r="P1509" s="4" t="str">
        <f ca="1">_xlfn.IFNA(VLOOKUP(INDIRECT("G"&amp;ROW()),minfo!$A:$M,COLUMN()-8,0),"")</f>
        <v>https://i0.hdslb.com/bfs/station_src/music_metadata/39fd2191a90a6dfc42574ff5b43baadb.txt</v>
      </c>
      <c r="Q1509" s="4">
        <f ca="1">_xlfn.IFNA(VLOOKUP(INDIRECT("G"&amp;ROW()),minfo!$A:$M,COLUMN()-8,0),"")</f>
        <v>68</v>
      </c>
      <c r="R1509" s="4">
        <f ca="1">_xlfn.IFNA(VLOOKUP(INDIRECT("G"&amp;ROW()),minfo!$A:$M,COLUMN()-8,0),"")</f>
        <v>0</v>
      </c>
      <c r="S1509" s="4" t="str">
        <f ca="1">_xlfn.IFNA(VLOOKUP(INDIRECT("G"&amp;ROW()),minfo!$A:$M,COLUMN()-8,0),"")</f>
        <v>哔哩哔哩拜年纪金曲回顾</v>
      </c>
      <c r="T1509" s="4">
        <f ca="1">_xlfn.IFNA(VLOOKUP(INDIRECT("G"&amp;ROW()),minfo!$A:$M,COLUMN()-8,0),"")</f>
        <v>14971574</v>
      </c>
      <c r="U1509" s="4">
        <f ca="1">_xlfn.IFNA(VLOOKUP(INDIRECT("G"&amp;ROW()),minfo!$A:$M,COLUMN()-8,0),"")</f>
        <v>0</v>
      </c>
    </row>
    <row r="1510" spans="1:21" ht="15.75" customHeight="1">
      <c r="A1510" s="15">
        <v>1509</v>
      </c>
      <c r="B1510" s="4" t="s">
        <v>5140</v>
      </c>
      <c r="C1510" s="4">
        <v>1510</v>
      </c>
      <c r="D1510" s="4">
        <v>156</v>
      </c>
      <c r="E1510" s="4" t="s">
        <v>922</v>
      </c>
      <c r="F1510" s="16">
        <v>44814</v>
      </c>
      <c r="G1510" s="5" t="s">
        <v>921</v>
      </c>
      <c r="H1510" s="5" t="s">
        <v>4978</v>
      </c>
      <c r="I1510" s="24" t="str">
        <f>HYPERLINK("https://www.bilibili.com/video/BV1ta411X75v?p=156", "BV1ta411X75v?p=156")</f>
        <v>BV1ta411X75v?p=156</v>
      </c>
      <c r="J1510" s="4" t="str">
        <f ca="1">_xlfn.IFNA(VLOOKUP(INDIRECT("G"&amp;ROW()),minfo!$A:$M,COLUMN()-8,0),"")</f>
        <v>月亮代表我的心</v>
      </c>
      <c r="K1510" s="4" t="str">
        <f ca="1">_xlfn.IFNA(VLOOKUP(INDIRECT("G"&amp;ROW()),minfo!$A:$M,COLUMN()-8,0),"")</f>
        <v>邓丽君</v>
      </c>
      <c r="L1510" s="4">
        <f ca="1">_xlfn.IFNA(VLOOKUP(INDIRECT("G"&amp;ROW()),minfo!$A:$M,COLUMN()-8,0),"")</f>
        <v>0</v>
      </c>
      <c r="M1510" s="4">
        <f ca="1">_xlfn.IFNA(VLOOKUP(INDIRECT("G"&amp;ROW()),minfo!$A:$M,COLUMN()-8,0),"")</f>
        <v>0</v>
      </c>
      <c r="N1510" s="4">
        <f ca="1">_xlfn.IFNA(VLOOKUP(INDIRECT("G"&amp;ROW()),minfo!$A:$M,COLUMN()-8,0),"")</f>
        <v>0</v>
      </c>
      <c r="O1510" s="4" t="str">
        <f ca="1">_xlfn.IFNA(VLOOKUP(INDIRECT("G"&amp;ROW()),minfo!$A:$M,COLUMN()-8,0),"")</f>
        <v>http://i0.hdslb.com/bfs/station_src/music_metadata/bd74866c15196fe2e0221c852cd1f687.jpg</v>
      </c>
      <c r="P1510" s="4" t="str">
        <f ca="1">_xlfn.IFNA(VLOOKUP(INDIRECT("G"&amp;ROW()),minfo!$A:$M,COLUMN()-8,0),"")</f>
        <v>http://i0.hdslb.com/bfs/station_src/music_metadata/47c5859ed38ee442afeffa8c3c2a6afb</v>
      </c>
      <c r="Q1510" s="4">
        <f ca="1">_xlfn.IFNA(VLOOKUP(INDIRECT("G"&amp;ROW()),minfo!$A:$M,COLUMN()-8,0),"")</f>
        <v>233</v>
      </c>
      <c r="R1510" s="4">
        <f ca="1">_xlfn.IFNA(VLOOKUP(INDIRECT("G"&amp;ROW()),minfo!$A:$M,COLUMN()-8,0),"")</f>
        <v>0</v>
      </c>
      <c r="S1510" s="4">
        <f ca="1">_xlfn.IFNA(VLOOKUP(INDIRECT("G"&amp;ROW()),minfo!$A:$M,COLUMN()-8,0),"")</f>
        <v>0</v>
      </c>
      <c r="T1510" s="4">
        <f ca="1">_xlfn.IFNA(VLOOKUP(INDIRECT("G"&amp;ROW()),minfo!$A:$M,COLUMN()-8,0),"")</f>
        <v>131757764</v>
      </c>
      <c r="U1510" s="4">
        <f ca="1">_xlfn.IFNA(VLOOKUP(INDIRECT("G"&amp;ROW()),minfo!$A:$M,COLUMN()-8,0),"")</f>
        <v>0</v>
      </c>
    </row>
    <row r="1511" spans="1:21" ht="15.75" customHeight="1">
      <c r="A1511" s="15">
        <v>1510</v>
      </c>
      <c r="B1511" s="4" t="s">
        <v>5141</v>
      </c>
      <c r="C1511" s="4">
        <v>1511</v>
      </c>
      <c r="D1511" s="4">
        <v>157</v>
      </c>
      <c r="E1511" s="4" t="s">
        <v>1489</v>
      </c>
      <c r="F1511" s="16">
        <v>44814</v>
      </c>
      <c r="G1511" s="5" t="s">
        <v>1488</v>
      </c>
      <c r="H1511" s="5" t="s">
        <v>4978</v>
      </c>
      <c r="I1511" s="24" t="str">
        <f>HYPERLINK("https://www.bilibili.com/video/BV1ta411X75v?p=157", "BV1ta411X75v?p=157")</f>
        <v>BV1ta411X75v?p=157</v>
      </c>
      <c r="J1511" s="4" t="str">
        <f ca="1">_xlfn.IFNA(VLOOKUP(INDIRECT("G"&amp;ROW()),minfo!$A:$M,COLUMN()-8,0),"")</f>
        <v>海芋恋</v>
      </c>
      <c r="K1511" s="4" t="str">
        <f ca="1">_xlfn.IFNA(VLOOKUP(INDIRECT("G"&amp;ROW()),minfo!$A:$M,COLUMN()-8,0),"")</f>
        <v>萧敬腾</v>
      </c>
      <c r="L1511" s="4">
        <f ca="1">_xlfn.IFNA(VLOOKUP(INDIRECT("G"&amp;ROW()),minfo!$A:$M,COLUMN()-8,0),"")</f>
        <v>0</v>
      </c>
      <c r="M1511" s="4">
        <f ca="1">_xlfn.IFNA(VLOOKUP(INDIRECT("G"&amp;ROW()),minfo!$A:$M,COLUMN()-8,0),"")</f>
        <v>0</v>
      </c>
      <c r="N1511" s="4">
        <f ca="1">_xlfn.IFNA(VLOOKUP(INDIRECT("G"&amp;ROW()),minfo!$A:$M,COLUMN()-8,0),"")</f>
        <v>0</v>
      </c>
      <c r="O1511" s="4" t="str">
        <f ca="1">_xlfn.IFNA(VLOOKUP(INDIRECT("G"&amp;ROW()),minfo!$A:$M,COLUMN()-8,0),"")</f>
        <v>https://i0.hdslb.com/bfs/station_src/music_metadata/683179c70f1a5eda62c161e62be8d9ed.jpg</v>
      </c>
      <c r="P1511" s="4" t="str">
        <f ca="1">_xlfn.IFNA(VLOOKUP(INDIRECT("G"&amp;ROW()),minfo!$A:$M,COLUMN()-8,0),"")</f>
        <v>http://i0.hdslb.com/bfs/station_src/music_metadata/6bb823a769a34945c2763ae747f03685</v>
      </c>
      <c r="Q1511" s="4">
        <f ca="1">_xlfn.IFNA(VLOOKUP(INDIRECT("G"&amp;ROW()),minfo!$A:$M,COLUMN()-8,0),"")</f>
        <v>319</v>
      </c>
      <c r="R1511" s="4">
        <f ca="1">_xlfn.IFNA(VLOOKUP(INDIRECT("G"&amp;ROW()),minfo!$A:$M,COLUMN()-8,0),"")</f>
        <v>0</v>
      </c>
      <c r="S1511" s="4" t="str">
        <f ca="1">_xlfn.IFNA(VLOOKUP(INDIRECT("G"&amp;ROW()),minfo!$A:$M,COLUMN()-8,0),"")</f>
        <v>萧敬腾 同名专辑</v>
      </c>
      <c r="T1511" s="4">
        <f ca="1">_xlfn.IFNA(VLOOKUP(INDIRECT("G"&amp;ROW()),minfo!$A:$M,COLUMN()-8,0),"")</f>
        <v>101719428</v>
      </c>
      <c r="U1511" s="4">
        <f ca="1">_xlfn.IFNA(VLOOKUP(INDIRECT("G"&amp;ROW()),minfo!$A:$M,COLUMN()-8,0),"")</f>
        <v>0</v>
      </c>
    </row>
    <row r="1512" spans="1:21" ht="15.75" customHeight="1">
      <c r="A1512" s="15">
        <v>1511</v>
      </c>
      <c r="B1512" s="4" t="s">
        <v>5142</v>
      </c>
      <c r="C1512" s="4">
        <v>1512</v>
      </c>
      <c r="D1512" s="4">
        <v>158</v>
      </c>
      <c r="E1512" s="4" t="s">
        <v>1495</v>
      </c>
      <c r="F1512" s="16">
        <v>44817</v>
      </c>
      <c r="G1512" s="5" t="s">
        <v>1494</v>
      </c>
      <c r="H1512" s="5" t="s">
        <v>4978</v>
      </c>
      <c r="I1512" s="24" t="str">
        <f>HYPERLINK("https://www.bilibili.com/video/BV1ta411X75v?p=158", "BV1ta411X75v?p=158")</f>
        <v>BV1ta411X75v?p=158</v>
      </c>
      <c r="J1512" s="4" t="str">
        <f ca="1">_xlfn.IFNA(VLOOKUP(INDIRECT("G"&amp;ROW()),minfo!$A:$M,COLUMN()-8,0),"")</f>
        <v>兜圈</v>
      </c>
      <c r="K1512" s="4" t="str">
        <f ca="1">_xlfn.IFNA(VLOOKUP(INDIRECT("G"&amp;ROW()),minfo!$A:$M,COLUMN()-8,0),"")</f>
        <v>林宥嘉</v>
      </c>
      <c r="L1512" s="4">
        <f ca="1">_xlfn.IFNA(VLOOKUP(INDIRECT("G"&amp;ROW()),minfo!$A:$M,COLUMN()-8,0),"")</f>
        <v>0</v>
      </c>
      <c r="M1512" s="4">
        <f ca="1">_xlfn.IFNA(VLOOKUP(INDIRECT("G"&amp;ROW()),minfo!$A:$M,COLUMN()-8,0),"")</f>
        <v>0</v>
      </c>
      <c r="N1512" s="4">
        <f ca="1">_xlfn.IFNA(VLOOKUP(INDIRECT("G"&amp;ROW()),minfo!$A:$M,COLUMN()-8,0),"")</f>
        <v>0</v>
      </c>
      <c r="O1512" s="4" t="str">
        <f ca="1">_xlfn.IFNA(VLOOKUP(INDIRECT("G"&amp;ROW()),minfo!$A:$M,COLUMN()-8,0),"")</f>
        <v>http://i0.hdslb.com/bfs/station_src/music_metadata/e4aaa8aab2c28fc2fde797d960647814.jpg</v>
      </c>
      <c r="P1512" s="4" t="str">
        <f ca="1">_xlfn.IFNA(VLOOKUP(INDIRECT("G"&amp;ROW()),minfo!$A:$M,COLUMN()-8,0),"")</f>
        <v>http://i0.hdslb.com/bfs/station_src/music_metadata/287cc610c4bd3e3ef13de5df8dde7c02</v>
      </c>
      <c r="Q1512" s="4">
        <f ca="1">_xlfn.IFNA(VLOOKUP(INDIRECT("G"&amp;ROW()),minfo!$A:$M,COLUMN()-8,0),"")</f>
        <v>421</v>
      </c>
      <c r="R1512" s="4">
        <f ca="1">_xlfn.IFNA(VLOOKUP(INDIRECT("G"&amp;ROW()),minfo!$A:$M,COLUMN()-8,0),"")</f>
        <v>0</v>
      </c>
      <c r="S1512" s="4">
        <f ca="1">_xlfn.IFNA(VLOOKUP(INDIRECT("G"&amp;ROW()),minfo!$A:$M,COLUMN()-8,0),"")</f>
        <v>0</v>
      </c>
      <c r="T1512" s="4">
        <f ca="1">_xlfn.IFNA(VLOOKUP(INDIRECT("G"&amp;ROW()),minfo!$A:$M,COLUMN()-8,0),"")</f>
        <v>29390728</v>
      </c>
      <c r="U1512" s="4">
        <f ca="1">_xlfn.IFNA(VLOOKUP(INDIRECT("G"&amp;ROW()),minfo!$A:$M,COLUMN()-8,0),"")</f>
        <v>0</v>
      </c>
    </row>
    <row r="1513" spans="1:21" ht="15.75" customHeight="1">
      <c r="A1513" s="15">
        <v>1512</v>
      </c>
      <c r="B1513" s="4" t="s">
        <v>5143</v>
      </c>
      <c r="C1513" s="4">
        <v>1513</v>
      </c>
      <c r="D1513" s="4">
        <v>159</v>
      </c>
      <c r="E1513" s="4" t="s">
        <v>451</v>
      </c>
      <c r="F1513" s="16">
        <v>44817</v>
      </c>
      <c r="G1513" s="5" t="s">
        <v>450</v>
      </c>
      <c r="H1513" s="5" t="s">
        <v>4978</v>
      </c>
      <c r="I1513" s="24" t="str">
        <f>HYPERLINK("https://www.bilibili.com/video/BV1ta411X75v?p=159", "BV1ta411X75v?p=159")</f>
        <v>BV1ta411X75v?p=159</v>
      </c>
      <c r="J1513" s="4" t="str">
        <f ca="1">_xlfn.IFNA(VLOOKUP(INDIRECT("G"&amp;ROW()),minfo!$A:$M,COLUMN()-8,0),"")</f>
        <v>浪费</v>
      </c>
      <c r="K1513" s="4" t="str">
        <f ca="1">_xlfn.IFNA(VLOOKUP(INDIRECT("G"&amp;ROW()),minfo!$A:$M,COLUMN()-8,0),"")</f>
        <v>林宥嘉</v>
      </c>
      <c r="L1513" s="4">
        <f ca="1">_xlfn.IFNA(VLOOKUP(INDIRECT("G"&amp;ROW()),minfo!$A:$M,COLUMN()-8,0),"")</f>
        <v>0</v>
      </c>
      <c r="M1513" s="4">
        <f ca="1">_xlfn.IFNA(VLOOKUP(INDIRECT("G"&amp;ROW()),minfo!$A:$M,COLUMN()-8,0),"")</f>
        <v>0</v>
      </c>
      <c r="N1513" s="4">
        <f ca="1">_xlfn.IFNA(VLOOKUP(INDIRECT("G"&amp;ROW()),minfo!$A:$M,COLUMN()-8,0),"")</f>
        <v>0</v>
      </c>
      <c r="O1513" s="4" t="str">
        <f ca="1">_xlfn.IFNA(VLOOKUP(INDIRECT("G"&amp;ROW()),minfo!$A:$M,COLUMN()-8,0),"")</f>
        <v>https://i0.hdslb.com/bfs/station_src/music_metadata/8edf4a71ca316f37452096e7b421ff83.jpg</v>
      </c>
      <c r="P1513" s="4" t="str">
        <f ca="1">_xlfn.IFNA(VLOOKUP(INDIRECT("G"&amp;ROW()),minfo!$A:$M,COLUMN()-8,0),"")</f>
        <v>http://i0.hdslb.com/bfs/station_src/music_metadata/7e20539e61bdd7fecdadac6a3f4ae620</v>
      </c>
      <c r="Q1513" s="4">
        <f ca="1">_xlfn.IFNA(VLOOKUP(INDIRECT("G"&amp;ROW()),minfo!$A:$M,COLUMN()-8,0),"")</f>
        <v>87</v>
      </c>
      <c r="R1513" s="4">
        <f ca="1">_xlfn.IFNA(VLOOKUP(INDIRECT("G"&amp;ROW()),minfo!$A:$M,COLUMN()-8,0),"")</f>
        <v>0</v>
      </c>
      <c r="S1513" s="4" t="str">
        <f ca="1">_xlfn.IFNA(VLOOKUP(INDIRECT("G"&amp;ROW()),minfo!$A:$M,COLUMN()-8,0),"")</f>
        <v>大小说家</v>
      </c>
      <c r="T1513" s="4">
        <f ca="1">_xlfn.IFNA(VLOOKUP(INDIRECT("G"&amp;ROW()),minfo!$A:$M,COLUMN()-8,0),"")</f>
        <v>47590404</v>
      </c>
      <c r="U1513" s="4">
        <f ca="1">_xlfn.IFNA(VLOOKUP(INDIRECT("G"&amp;ROW()),minfo!$A:$M,COLUMN()-8,0),"")</f>
        <v>0</v>
      </c>
    </row>
    <row r="1514" spans="1:21" ht="15.75" customHeight="1">
      <c r="A1514" s="15">
        <v>1513</v>
      </c>
      <c r="B1514" s="4" t="s">
        <v>5144</v>
      </c>
      <c r="C1514" s="4">
        <v>1514</v>
      </c>
      <c r="D1514" s="4">
        <v>160</v>
      </c>
      <c r="E1514" s="4" t="s">
        <v>41</v>
      </c>
      <c r="F1514" s="16">
        <v>44818</v>
      </c>
      <c r="G1514" s="5" t="s">
        <v>40</v>
      </c>
      <c r="H1514" s="5" t="s">
        <v>4978</v>
      </c>
      <c r="I1514" s="24" t="str">
        <f>HYPERLINK("https://www.bilibili.com/video/BV1ta411X75v?p=160", "BV1ta411X75v?p=160")</f>
        <v>BV1ta411X75v?p=160</v>
      </c>
      <c r="J1514" s="4" t="str">
        <f ca="1">_xlfn.IFNA(VLOOKUP(INDIRECT("G"&amp;ROW()),minfo!$A:$M,COLUMN()-8,0),"")</f>
        <v>繁华梦</v>
      </c>
      <c r="K1514" s="4" t="str">
        <f ca="1">_xlfn.IFNA(VLOOKUP(INDIRECT("G"&amp;ROW()),minfo!$A:$M,COLUMN()-8,0),"")</f>
        <v>黄龄</v>
      </c>
      <c r="L1514" s="4">
        <f ca="1">_xlfn.IFNA(VLOOKUP(INDIRECT("G"&amp;ROW()),minfo!$A:$M,COLUMN()-8,0),"")</f>
        <v>0</v>
      </c>
      <c r="M1514" s="4">
        <f ca="1">_xlfn.IFNA(VLOOKUP(INDIRECT("G"&amp;ROW()),minfo!$A:$M,COLUMN()-8,0),"")</f>
        <v>0</v>
      </c>
      <c r="N1514" s="4">
        <f ca="1">_xlfn.IFNA(VLOOKUP(INDIRECT("G"&amp;ROW()),minfo!$A:$M,COLUMN()-8,0),"")</f>
        <v>0</v>
      </c>
      <c r="O1514" s="4" t="str">
        <f ca="1">_xlfn.IFNA(VLOOKUP(INDIRECT("G"&amp;ROW()),minfo!$A:$M,COLUMN()-8,0),"")</f>
        <v>https://i0.hdslb.com/bfs/station_src/music_metadata/291e1698332ad9b72c9b1b6d790b1779.jpg</v>
      </c>
      <c r="P1514" s="4" t="str">
        <f ca="1">_xlfn.IFNA(VLOOKUP(INDIRECT("G"&amp;ROW()),minfo!$A:$M,COLUMN()-8,0),"")</f>
        <v>http://i0.hdslb.com/bfs/station_src/music_metadata/ec48c16ed2393142cdaec4ce42b3b6e7</v>
      </c>
      <c r="Q1514" s="4">
        <f ca="1">_xlfn.IFNA(VLOOKUP(INDIRECT("G"&amp;ROW()),minfo!$A:$M,COLUMN()-8,0),"")</f>
        <v>436</v>
      </c>
      <c r="R1514" s="4">
        <f ca="1">_xlfn.IFNA(VLOOKUP(INDIRECT("G"&amp;ROW()),minfo!$A:$M,COLUMN()-8,0),"")</f>
        <v>0</v>
      </c>
      <c r="S1514" s="4" t="str">
        <f ca="1">_xlfn.IFNA(VLOOKUP(INDIRECT("G"&amp;ROW()),minfo!$A:$M,COLUMN()-8,0),"")</f>
        <v>2018CCTV音乐频道全球中文音乐榜上榜</v>
      </c>
      <c r="T1514" s="4">
        <f ca="1">_xlfn.IFNA(VLOOKUP(INDIRECT("G"&amp;ROW()),minfo!$A:$M,COLUMN()-8,0),"")</f>
        <v>54926711</v>
      </c>
      <c r="U1514" s="4">
        <f ca="1">_xlfn.IFNA(VLOOKUP(INDIRECT("G"&amp;ROW()),minfo!$A:$M,COLUMN()-8,0),"")</f>
        <v>0</v>
      </c>
    </row>
    <row r="1515" spans="1:21" ht="15.75" customHeight="1">
      <c r="A1515" s="15">
        <v>1514</v>
      </c>
      <c r="B1515" s="4" t="s">
        <v>5145</v>
      </c>
      <c r="C1515" s="4">
        <v>1515</v>
      </c>
      <c r="D1515" s="4">
        <v>161</v>
      </c>
      <c r="E1515" s="4" t="s">
        <v>1569</v>
      </c>
      <c r="F1515" s="16">
        <v>44818</v>
      </c>
      <c r="G1515" s="5" t="s">
        <v>1568</v>
      </c>
      <c r="H1515" s="5" t="s">
        <v>4978</v>
      </c>
      <c r="I1515" s="24" t="str">
        <f>HYPERLINK("https://www.bilibili.com/video/BV1ta411X75v?p=161", "BV1ta411X75v?p=161")</f>
        <v>BV1ta411X75v?p=161</v>
      </c>
      <c r="J1515" s="4" t="str">
        <f ca="1">_xlfn.IFNA(VLOOKUP(INDIRECT("G"&amp;ROW()),minfo!$A:$M,COLUMN()-8,0),"")</f>
        <v>风月</v>
      </c>
      <c r="K1515" s="4" t="str">
        <f ca="1">_xlfn.IFNA(VLOOKUP(INDIRECT("G"&amp;ROW()),minfo!$A:$M,COLUMN()-8,0),"")</f>
        <v>黄龄</v>
      </c>
      <c r="L1515" s="4">
        <f ca="1">_xlfn.IFNA(VLOOKUP(INDIRECT("G"&amp;ROW()),minfo!$A:$M,COLUMN()-8,0),"")</f>
        <v>0</v>
      </c>
      <c r="M1515" s="4">
        <f ca="1">_xlfn.IFNA(VLOOKUP(INDIRECT("G"&amp;ROW()),minfo!$A:$M,COLUMN()-8,0),"")</f>
        <v>0</v>
      </c>
      <c r="N1515" s="4">
        <f ca="1">_xlfn.IFNA(VLOOKUP(INDIRECT("G"&amp;ROW()),minfo!$A:$M,COLUMN()-8,0),"")</f>
        <v>0</v>
      </c>
      <c r="O1515" s="4" t="str">
        <f ca="1">_xlfn.IFNA(VLOOKUP(INDIRECT("G"&amp;ROW()),minfo!$A:$M,COLUMN()-8,0),"")</f>
        <v>https://i0.hdslb.com/bfs/station_src/music_metadata/874d427c68cbd11ec3a0c97a238991cf.jpg</v>
      </c>
      <c r="P1515" s="4">
        <f ca="1">_xlfn.IFNA(VLOOKUP(INDIRECT("G"&amp;ROW()),minfo!$A:$M,COLUMN()-8,0),"")</f>
        <v>0</v>
      </c>
      <c r="Q1515" s="4">
        <f ca="1">_xlfn.IFNA(VLOOKUP(INDIRECT("G"&amp;ROW()),minfo!$A:$M,COLUMN()-8,0),"")</f>
        <v>778</v>
      </c>
      <c r="R1515" s="4">
        <f ca="1">_xlfn.IFNA(VLOOKUP(INDIRECT("G"&amp;ROW()),minfo!$A:$M,COLUMN()-8,0),"")</f>
        <v>0</v>
      </c>
      <c r="S1515" s="4" t="str">
        <f ca="1">_xlfn.IFNA(VLOOKUP(INDIRECT("G"&amp;ROW()),minfo!$A:$M,COLUMN()-8,0),"")</f>
        <v>2020最美的夜 bilibili晚会</v>
      </c>
      <c r="T1515" s="4">
        <f ca="1">_xlfn.IFNA(VLOOKUP(INDIRECT("G"&amp;ROW()),minfo!$A:$M,COLUMN()-8,0),"")</f>
        <v>174632458</v>
      </c>
      <c r="U1515" s="4">
        <f ca="1">_xlfn.IFNA(VLOOKUP(INDIRECT("G"&amp;ROW()),minfo!$A:$M,COLUMN()-8,0),"")</f>
        <v>0</v>
      </c>
    </row>
    <row r="1516" spans="1:21" ht="15.75" customHeight="1">
      <c r="A1516" s="15">
        <v>1515</v>
      </c>
      <c r="B1516" s="4" t="s">
        <v>5146</v>
      </c>
      <c r="C1516" s="4">
        <v>1516</v>
      </c>
      <c r="D1516" s="4">
        <v>162</v>
      </c>
      <c r="E1516" s="4" t="s">
        <v>889</v>
      </c>
      <c r="F1516" s="16">
        <v>44818</v>
      </c>
      <c r="G1516" s="5" t="s">
        <v>888</v>
      </c>
      <c r="H1516" s="5" t="s">
        <v>4978</v>
      </c>
      <c r="I1516" s="24" t="str">
        <f>HYPERLINK("https://www.bilibili.com/video/BV1ta411X75v?p=162", "BV1ta411X75v?p=162")</f>
        <v>BV1ta411X75v?p=162</v>
      </c>
      <c r="J1516" s="4" t="str">
        <f ca="1">_xlfn.IFNA(VLOOKUP(INDIRECT("G"&amp;ROW()),minfo!$A:$M,COLUMN()-8,0),"")</f>
        <v>牵丝戏</v>
      </c>
      <c r="K1516" s="4" t="str">
        <f ca="1">_xlfn.IFNA(VLOOKUP(INDIRECT("G"&amp;ROW()),minfo!$A:$M,COLUMN()-8,0),"")</f>
        <v>Aki阿杰,银临</v>
      </c>
      <c r="L1516" s="4">
        <f ca="1">_xlfn.IFNA(VLOOKUP(INDIRECT("G"&amp;ROW()),minfo!$A:$M,COLUMN()-8,0),"")</f>
        <v>0</v>
      </c>
      <c r="M1516" s="4">
        <f ca="1">_xlfn.IFNA(VLOOKUP(INDIRECT("G"&amp;ROW()),minfo!$A:$M,COLUMN()-8,0),"")</f>
        <v>0</v>
      </c>
      <c r="N1516" s="4">
        <f ca="1">_xlfn.IFNA(VLOOKUP(INDIRECT("G"&amp;ROW()),minfo!$A:$M,COLUMN()-8,0),"")</f>
        <v>0</v>
      </c>
      <c r="O1516" s="4" t="str">
        <f ca="1">_xlfn.IFNA(VLOOKUP(INDIRECT("G"&amp;ROW()),minfo!$A:$M,COLUMN()-8,0),"")</f>
        <v>http://i0.hdslb.com/bfs/station_src/music_metadata/72595c526fcf49f274790d64d054c75b.jpg</v>
      </c>
      <c r="P1516" s="4" t="str">
        <f ca="1">_xlfn.IFNA(VLOOKUP(INDIRECT("G"&amp;ROW()),minfo!$A:$M,COLUMN()-8,0),"")</f>
        <v>http://i0.hdslb.com/bfs/station_src/music_metadata/14006e77b0b81667b2717d8b056c1ce1</v>
      </c>
      <c r="Q1516" s="4">
        <f ca="1">_xlfn.IFNA(VLOOKUP(INDIRECT("G"&amp;ROW()),minfo!$A:$M,COLUMN()-8,0),"")</f>
        <v>5373</v>
      </c>
      <c r="R1516" s="4">
        <f ca="1">_xlfn.IFNA(VLOOKUP(INDIRECT("G"&amp;ROW()),minfo!$A:$M,COLUMN()-8,0),"")</f>
        <v>0</v>
      </c>
      <c r="S1516" s="4" t="str">
        <f ca="1">_xlfn.IFNA(VLOOKUP(INDIRECT("G"&amp;ROW()),minfo!$A:$M,COLUMN()-8,0),"")</f>
        <v>牵丝戏</v>
      </c>
      <c r="T1516" s="4">
        <f ca="1">_xlfn.IFNA(VLOOKUP(INDIRECT("G"&amp;ROW()),minfo!$A:$M,COLUMN()-8,0),"")</f>
        <v>1130927274</v>
      </c>
      <c r="U1516" s="4">
        <f ca="1">_xlfn.IFNA(VLOOKUP(INDIRECT("G"&amp;ROW()),minfo!$A:$M,COLUMN()-8,0),"")</f>
        <v>0</v>
      </c>
    </row>
    <row r="1517" spans="1:21" ht="15.75" customHeight="1">
      <c r="A1517" s="15">
        <v>1516</v>
      </c>
      <c r="B1517" s="4" t="s">
        <v>5147</v>
      </c>
      <c r="C1517" s="4">
        <v>1517</v>
      </c>
      <c r="D1517" s="4">
        <v>163</v>
      </c>
      <c r="E1517" s="4" t="s">
        <v>834</v>
      </c>
      <c r="F1517" s="16">
        <v>44818</v>
      </c>
      <c r="G1517" s="5" t="s">
        <v>833</v>
      </c>
      <c r="H1517" s="5" t="s">
        <v>4978</v>
      </c>
      <c r="I1517" s="24" t="str">
        <f>HYPERLINK("https://www.bilibili.com/video/BV1ta411X75v?p=163", "BV1ta411X75v?p=163")</f>
        <v>BV1ta411X75v?p=163</v>
      </c>
      <c r="J1517" s="4" t="str">
        <f ca="1">_xlfn.IFNA(VLOOKUP(INDIRECT("G"&amp;ROW()),minfo!$A:$M,COLUMN()-8,0),"")</f>
        <v>锦鲤抄</v>
      </c>
      <c r="K1517" s="4" t="str">
        <f ca="1">_xlfn.IFNA(VLOOKUP(INDIRECT("G"&amp;ROW()),minfo!$A:$M,COLUMN()-8,0),"")</f>
        <v>银临/云の泣</v>
      </c>
      <c r="L1517" s="4">
        <f ca="1">_xlfn.IFNA(VLOOKUP(INDIRECT("G"&amp;ROW()),minfo!$A:$M,COLUMN()-8,0),"")</f>
        <v>0</v>
      </c>
      <c r="M1517" s="4">
        <f ca="1">_xlfn.IFNA(VLOOKUP(INDIRECT("G"&amp;ROW()),minfo!$A:$M,COLUMN()-8,0),"")</f>
        <v>0</v>
      </c>
      <c r="N1517" s="4">
        <f ca="1">_xlfn.IFNA(VLOOKUP(INDIRECT("G"&amp;ROW()),minfo!$A:$M,COLUMN()-8,0),"")</f>
        <v>0</v>
      </c>
      <c r="O1517" s="4" t="str">
        <f ca="1">_xlfn.IFNA(VLOOKUP(INDIRECT("G"&amp;ROW()),minfo!$A:$M,COLUMN()-8,0),"")</f>
        <v>http://i0.hdslb.com/bfs/station_src/music_metadata/4afbefd3c04f63214361dc43c99c9986.jpg</v>
      </c>
      <c r="P1517" s="4" t="str">
        <f ca="1">_xlfn.IFNA(VLOOKUP(INDIRECT("G"&amp;ROW()),minfo!$A:$M,COLUMN()-8,0),"")</f>
        <v>http://i0.hdslb.com/bfs/station_src/music_metadata/5a614dd394085de19715027062d2c8a2</v>
      </c>
      <c r="Q1517" s="4">
        <f ca="1">_xlfn.IFNA(VLOOKUP(INDIRECT("G"&amp;ROW()),minfo!$A:$M,COLUMN()-8,0),"")</f>
        <v>766</v>
      </c>
      <c r="R1517" s="4">
        <f ca="1">_xlfn.IFNA(VLOOKUP(INDIRECT("G"&amp;ROW()),minfo!$A:$M,COLUMN()-8,0),"")</f>
        <v>0</v>
      </c>
      <c r="S1517" s="4" t="str">
        <f ca="1">_xlfn.IFNA(VLOOKUP(INDIRECT("G"&amp;ROW()),minfo!$A:$M,COLUMN()-8,0),"")</f>
        <v>锦鲤抄</v>
      </c>
      <c r="T1517" s="4">
        <f ca="1">_xlfn.IFNA(VLOOKUP(INDIRECT("G"&amp;ROW()),minfo!$A:$M,COLUMN()-8,0),"")</f>
        <v>198812540</v>
      </c>
      <c r="U1517" s="4">
        <f ca="1">_xlfn.IFNA(VLOOKUP(INDIRECT("G"&amp;ROW()),minfo!$A:$M,COLUMN()-8,0),"")</f>
        <v>0</v>
      </c>
    </row>
    <row r="1518" spans="1:21" ht="15.75" customHeight="1">
      <c r="A1518" s="15">
        <v>1517</v>
      </c>
      <c r="B1518" s="4" t="s">
        <v>5148</v>
      </c>
      <c r="C1518" s="4">
        <v>1518</v>
      </c>
      <c r="D1518" s="4">
        <v>164</v>
      </c>
      <c r="E1518" s="4" t="s">
        <v>2968</v>
      </c>
      <c r="F1518" s="16">
        <v>44818</v>
      </c>
      <c r="G1518" s="5" t="s">
        <v>2967</v>
      </c>
      <c r="H1518" s="5" t="s">
        <v>4978</v>
      </c>
      <c r="I1518" s="24" t="str">
        <f>HYPERLINK("https://www.bilibili.com/video/BV1ta411X75v?p=164", "BV1ta411X75v?p=164")</f>
        <v>BV1ta411X75v?p=164</v>
      </c>
      <c r="J1518" s="4" t="str">
        <f ca="1">_xlfn.IFNA(VLOOKUP(INDIRECT("G"&amp;ROW()),minfo!$A:$M,COLUMN()-8,0),"")</f>
        <v>苏幕遮</v>
      </c>
      <c r="K1518" s="4" t="str">
        <f ca="1">_xlfn.IFNA(VLOOKUP(INDIRECT("G"&amp;ROW()),minfo!$A:$M,COLUMN()-8,0),"")</f>
        <v>张晓棠</v>
      </c>
      <c r="L1518" s="4">
        <f ca="1">_xlfn.IFNA(VLOOKUP(INDIRECT("G"&amp;ROW()),minfo!$A:$M,COLUMN()-8,0),"")</f>
        <v>0</v>
      </c>
      <c r="M1518" s="4">
        <f ca="1">_xlfn.IFNA(VLOOKUP(INDIRECT("G"&amp;ROW()),minfo!$A:$M,COLUMN()-8,0),"")</f>
        <v>0</v>
      </c>
      <c r="N1518" s="4">
        <f ca="1">_xlfn.IFNA(VLOOKUP(INDIRECT("G"&amp;ROW()),minfo!$A:$M,COLUMN()-8,0),"")</f>
        <v>0</v>
      </c>
      <c r="O1518" s="4" t="str">
        <f ca="1">_xlfn.IFNA(VLOOKUP(INDIRECT("G"&amp;ROW()),minfo!$A:$M,COLUMN()-8,0),"")</f>
        <v>https://i0.hdslb.com/bfs/station_src/music_metadata/6d4abb378985a85772919adec194ad14.jpg</v>
      </c>
      <c r="P1518" s="4" t="str">
        <f ca="1">_xlfn.IFNA(VLOOKUP(INDIRECT("G"&amp;ROW()),minfo!$A:$M,COLUMN()-8,0),"")</f>
        <v>https://i0.hdslb.com/bfs/station_src/music_metadata/9ecf2ddeccc8f5c9bd142df102c737bf.lrc</v>
      </c>
      <c r="Q1518" s="4">
        <f ca="1">_xlfn.IFNA(VLOOKUP(INDIRECT("G"&amp;ROW()),minfo!$A:$M,COLUMN()-8,0),"")</f>
        <v>2045</v>
      </c>
      <c r="R1518" s="4">
        <f ca="1">_xlfn.IFNA(VLOOKUP(INDIRECT("G"&amp;ROW()),minfo!$A:$M,COLUMN()-8,0),"")</f>
        <v>0</v>
      </c>
      <c r="S1518" s="4" t="str">
        <f ca="1">_xlfn.IFNA(VLOOKUP(INDIRECT("G"&amp;ROW()),minfo!$A:$M,COLUMN()-8,0),"")</f>
        <v>盛世好风光</v>
      </c>
      <c r="T1518" s="4">
        <f ca="1">_xlfn.IFNA(VLOOKUP(INDIRECT("G"&amp;ROW()),minfo!$A:$M,COLUMN()-8,0),"")</f>
        <v>250489326</v>
      </c>
      <c r="U1518" s="4" t="str">
        <f ca="1">_xlfn.IFNA(VLOOKUP(INDIRECT("G"&amp;ROW()),minfo!$A:$M,COLUMN()-8,0),"")</f>
        <v>音乐榜最高NO.20</v>
      </c>
    </row>
    <row r="1519" spans="1:21" ht="15.75" customHeight="1">
      <c r="A1519" s="15">
        <v>1518</v>
      </c>
      <c r="B1519" s="4" t="s">
        <v>5149</v>
      </c>
      <c r="C1519" s="4">
        <v>1519</v>
      </c>
      <c r="D1519" s="4">
        <v>165</v>
      </c>
      <c r="E1519" s="4" t="s">
        <v>5150</v>
      </c>
      <c r="F1519" s="16">
        <v>44823</v>
      </c>
      <c r="G1519" s="5" t="s">
        <v>1880</v>
      </c>
      <c r="H1519" s="5" t="s">
        <v>4978</v>
      </c>
      <c r="I1519" s="24" t="str">
        <f>HYPERLINK("https://www.bilibili.com/video/BV1ta411X75v?p=165", "BV1ta411X75v?p=165")</f>
        <v>BV1ta411X75v?p=165</v>
      </c>
      <c r="J1519" s="4" t="str">
        <f ca="1">_xlfn.IFNA(VLOOKUP(INDIRECT("G"&amp;ROW()),minfo!$A:$M,COLUMN()-8,0),"")</f>
        <v>idontwannabeyouanymore</v>
      </c>
      <c r="K1519" s="4" t="str">
        <f ca="1">_xlfn.IFNA(VLOOKUP(INDIRECT("G"&amp;ROW()),minfo!$A:$M,COLUMN()-8,0),"")</f>
        <v>Billie Eilish</v>
      </c>
      <c r="L1519" s="4">
        <f ca="1">_xlfn.IFNA(VLOOKUP(INDIRECT("G"&amp;ROW()),minfo!$A:$M,COLUMN()-8,0),"")</f>
        <v>0</v>
      </c>
      <c r="M1519" s="4">
        <f ca="1">_xlfn.IFNA(VLOOKUP(INDIRECT("G"&amp;ROW()),minfo!$A:$M,COLUMN()-8,0),"")</f>
        <v>0</v>
      </c>
      <c r="N1519" s="4">
        <f ca="1">_xlfn.IFNA(VLOOKUP(INDIRECT("G"&amp;ROW()),minfo!$A:$M,COLUMN()-8,0),"")</f>
        <v>0</v>
      </c>
      <c r="O1519" s="4" t="str">
        <f ca="1">_xlfn.IFNA(VLOOKUP(INDIRECT("G"&amp;ROW()),minfo!$A:$M,COLUMN()-8,0),"")</f>
        <v>https://i0.hdslb.com/bfs/station_src/music_metadata/b7afec42da0b86523386b90af444ea79.jpg</v>
      </c>
      <c r="P1519" s="4" t="str">
        <f ca="1">_xlfn.IFNA(VLOOKUP(INDIRECT("G"&amp;ROW()),minfo!$A:$M,COLUMN()-8,0),"")</f>
        <v>http://i0.hdslb.com/bfs/station_src/music_metadata/d9cf90a716c883e4addfbed5b3fb35ec</v>
      </c>
      <c r="Q1519" s="4">
        <f ca="1">_xlfn.IFNA(VLOOKUP(INDIRECT("G"&amp;ROW()),minfo!$A:$M,COLUMN()-8,0),"")</f>
        <v>1281</v>
      </c>
      <c r="R1519" s="4">
        <f ca="1">_xlfn.IFNA(VLOOKUP(INDIRECT("G"&amp;ROW()),minfo!$A:$M,COLUMN()-8,0),"")</f>
        <v>0</v>
      </c>
      <c r="S1519" s="4" t="str">
        <f ca="1">_xlfn.IFNA(VLOOKUP(INDIRECT("G"&amp;ROW()),minfo!$A:$M,COLUMN()-8,0),"")</f>
        <v>dont smile at me</v>
      </c>
      <c r="T1519" s="4">
        <f ca="1">_xlfn.IFNA(VLOOKUP(INDIRECT("G"&amp;ROW()),minfo!$A:$M,COLUMN()-8,0),"")</f>
        <v>53235047</v>
      </c>
      <c r="U1519" s="4">
        <f ca="1">_xlfn.IFNA(VLOOKUP(INDIRECT("G"&amp;ROW()),minfo!$A:$M,COLUMN()-8,0),"")</f>
        <v>0</v>
      </c>
    </row>
    <row r="1520" spans="1:21" ht="15.75" customHeight="1">
      <c r="A1520" s="15">
        <v>1519</v>
      </c>
      <c r="B1520" s="4" t="s">
        <v>5151</v>
      </c>
      <c r="C1520" s="4">
        <v>1520</v>
      </c>
      <c r="D1520" s="4">
        <v>166</v>
      </c>
      <c r="E1520" s="4" t="s">
        <v>2338</v>
      </c>
      <c r="F1520" s="16">
        <v>44823</v>
      </c>
      <c r="G1520" s="5" t="s">
        <v>2337</v>
      </c>
      <c r="H1520" s="5" t="s">
        <v>4978</v>
      </c>
      <c r="I1520" s="24" t="str">
        <f>HYPERLINK("https://www.bilibili.com/video/BV1ta411X75v?p=166", "BV1ta411X75v?p=166")</f>
        <v>BV1ta411X75v?p=166</v>
      </c>
      <c r="J1520" s="4" t="str">
        <f ca="1">_xlfn.IFNA(VLOOKUP(INDIRECT("G"&amp;ROW()),minfo!$A:$M,COLUMN()-8,0),"")</f>
        <v>我的悲伤是水做的</v>
      </c>
      <c r="K1520" s="4" t="str">
        <f ca="1">_xlfn.IFNA(VLOOKUP(INDIRECT("G"&amp;ROW()),minfo!$A:$M,COLUMN()-8,0),"")</f>
        <v>ChiliChill,洛天依</v>
      </c>
      <c r="L1520" s="4">
        <f ca="1">_xlfn.IFNA(VLOOKUP(INDIRECT("G"&amp;ROW()),minfo!$A:$M,COLUMN()-8,0),"")</f>
        <v>0</v>
      </c>
      <c r="M1520" s="4">
        <f ca="1">_xlfn.IFNA(VLOOKUP(INDIRECT("G"&amp;ROW()),minfo!$A:$M,COLUMN()-8,0),"")</f>
        <v>0</v>
      </c>
      <c r="N1520" s="4">
        <f ca="1">_xlfn.IFNA(VLOOKUP(INDIRECT("G"&amp;ROW()),minfo!$A:$M,COLUMN()-8,0),"")</f>
        <v>0</v>
      </c>
      <c r="O1520" s="4" t="str">
        <f ca="1">_xlfn.IFNA(VLOOKUP(INDIRECT("G"&amp;ROW()),minfo!$A:$M,COLUMN()-8,0),"")</f>
        <v>http://i0.hdslb.com/bfs/station_src/music_metadata/d2d06be357d85d5931353250415e180e.jpg</v>
      </c>
      <c r="P1520" s="4">
        <f ca="1">_xlfn.IFNA(VLOOKUP(INDIRECT("G"&amp;ROW()),minfo!$A:$M,COLUMN()-8,0),"")</f>
        <v>0</v>
      </c>
      <c r="Q1520" s="4">
        <f ca="1">_xlfn.IFNA(VLOOKUP(INDIRECT("G"&amp;ROW()),minfo!$A:$M,COLUMN()-8,0),"")</f>
        <v>3861</v>
      </c>
      <c r="R1520" s="4">
        <f ca="1">_xlfn.IFNA(VLOOKUP(INDIRECT("G"&amp;ROW()),minfo!$A:$M,COLUMN()-8,0),"")</f>
        <v>0</v>
      </c>
      <c r="S1520" s="4" t="str">
        <f ca="1">_xlfn.IFNA(VLOOKUP(INDIRECT("G"&amp;ROW()),minfo!$A:$M,COLUMN()-8,0),"")</f>
        <v>我的悲伤是水做的</v>
      </c>
      <c r="T1520" s="4">
        <f ca="1">_xlfn.IFNA(VLOOKUP(INDIRECT("G"&amp;ROW()),minfo!$A:$M,COLUMN()-8,0),"")</f>
        <v>137998736</v>
      </c>
      <c r="U1520" s="4">
        <f ca="1">_xlfn.IFNA(VLOOKUP(INDIRECT("G"&amp;ROW()),minfo!$A:$M,COLUMN()-8,0),"")</f>
        <v>0</v>
      </c>
    </row>
    <row r="1521" spans="1:21" ht="15.75" customHeight="1">
      <c r="A1521" s="15">
        <v>1520</v>
      </c>
      <c r="B1521" s="4" t="s">
        <v>5152</v>
      </c>
      <c r="C1521" s="4">
        <v>1521</v>
      </c>
      <c r="D1521" s="4">
        <v>167</v>
      </c>
      <c r="E1521" s="4" t="s">
        <v>1365</v>
      </c>
      <c r="F1521" s="16">
        <v>44823</v>
      </c>
      <c r="G1521" s="5" t="s">
        <v>1364</v>
      </c>
      <c r="H1521" s="5" t="s">
        <v>4978</v>
      </c>
      <c r="I1521" s="24" t="str">
        <f>HYPERLINK("https://www.bilibili.com/video/BV1ta411X75v?p=167", "BV1ta411X75v?p=167")</f>
        <v>BV1ta411X75v?p=167</v>
      </c>
      <c r="J1521" s="4" t="str">
        <f ca="1">_xlfn.IFNA(VLOOKUP(INDIRECT("G"&amp;ROW()),minfo!$A:$M,COLUMN()-8,0),"")</f>
        <v>芦花</v>
      </c>
      <c r="K1521" s="4" t="str">
        <f ca="1">_xlfn.IFNA(VLOOKUP(INDIRECT("G"&amp;ROW()),minfo!$A:$M,COLUMN()-8,0),"")</f>
        <v>雷佳</v>
      </c>
      <c r="L1521" s="4">
        <f ca="1">_xlfn.IFNA(VLOOKUP(INDIRECT("G"&amp;ROW()),minfo!$A:$M,COLUMN()-8,0),"")</f>
        <v>0</v>
      </c>
      <c r="M1521" s="4">
        <f ca="1">_xlfn.IFNA(VLOOKUP(INDIRECT("G"&amp;ROW()),minfo!$A:$M,COLUMN()-8,0),"")</f>
        <v>0</v>
      </c>
      <c r="N1521" s="4">
        <f ca="1">_xlfn.IFNA(VLOOKUP(INDIRECT("G"&amp;ROW()),minfo!$A:$M,COLUMN()-8,0),"")</f>
        <v>0</v>
      </c>
      <c r="O1521" s="4" t="str">
        <f ca="1">_xlfn.IFNA(VLOOKUP(INDIRECT("G"&amp;ROW()),minfo!$A:$M,COLUMN()-8,0),"")</f>
        <v>https://i0.hdslb.com/bfs/station_src/music_metadata/5d10069250016b4dc0f3b44677f25d40.jpg</v>
      </c>
      <c r="P1521" s="4" t="str">
        <f ca="1">_xlfn.IFNA(VLOOKUP(INDIRECT("G"&amp;ROW()),minfo!$A:$M,COLUMN()-8,0),"")</f>
        <v>https://i0.hdslb.com/bfs/station_src/music_metadata/d73271ada4973630cf18fe263ae525c3.txt</v>
      </c>
      <c r="Q1521" s="4">
        <f ca="1">_xlfn.IFNA(VLOOKUP(INDIRECT("G"&amp;ROW()),minfo!$A:$M,COLUMN()-8,0),"")</f>
        <v>7</v>
      </c>
      <c r="R1521" s="4">
        <f ca="1">_xlfn.IFNA(VLOOKUP(INDIRECT("G"&amp;ROW()),minfo!$A:$M,COLUMN()-8,0),"")</f>
        <v>0</v>
      </c>
      <c r="S1521" s="4" t="str">
        <f ca="1">_xlfn.IFNA(VLOOKUP(INDIRECT("G"&amp;ROW()),minfo!$A:$M,COLUMN()-8,0),"")</f>
        <v>一人一首成名曲10</v>
      </c>
      <c r="T1521" s="4">
        <f ca="1">_xlfn.IFNA(VLOOKUP(INDIRECT("G"&amp;ROW()),minfo!$A:$M,COLUMN()-8,0),"")</f>
        <v>2752773</v>
      </c>
      <c r="U1521" s="4">
        <f ca="1">_xlfn.IFNA(VLOOKUP(INDIRECT("G"&amp;ROW()),minfo!$A:$M,COLUMN()-8,0),"")</f>
        <v>0</v>
      </c>
    </row>
    <row r="1522" spans="1:21" ht="15.75" customHeight="1">
      <c r="A1522" s="15">
        <v>1521</v>
      </c>
      <c r="B1522" s="4" t="s">
        <v>5153</v>
      </c>
      <c r="C1522" s="4">
        <v>1522</v>
      </c>
      <c r="D1522" s="4">
        <v>168</v>
      </c>
      <c r="E1522" s="4" t="s">
        <v>3090</v>
      </c>
      <c r="F1522" s="16">
        <v>44823</v>
      </c>
      <c r="G1522" s="5" t="s">
        <v>3089</v>
      </c>
      <c r="H1522" s="5" t="s">
        <v>4978</v>
      </c>
      <c r="I1522" s="24" t="str">
        <f>HYPERLINK("https://www.bilibili.com/video/BV1ta411X75v?p=168", "BV1ta411X75v?p=168")</f>
        <v>BV1ta411X75v?p=168</v>
      </c>
      <c r="J1522" s="4" t="str">
        <f ca="1">_xlfn.IFNA(VLOOKUP(INDIRECT("G"&amp;ROW()),minfo!$A:$M,COLUMN()-8,0),"")</f>
        <v>晚风吹过哨塔</v>
      </c>
      <c r="K1522" s="4" t="str">
        <f ca="1">_xlfn.IFNA(VLOOKUP(INDIRECT("G"&amp;ROW()),minfo!$A:$M,COLUMN()-8,0),"")</f>
        <v>雷佳</v>
      </c>
      <c r="L1522" s="4">
        <f ca="1">_xlfn.IFNA(VLOOKUP(INDIRECT("G"&amp;ROW()),minfo!$A:$M,COLUMN()-8,0),"")</f>
        <v>0</v>
      </c>
      <c r="M1522" s="4">
        <f ca="1">_xlfn.IFNA(VLOOKUP(INDIRECT("G"&amp;ROW()),minfo!$A:$M,COLUMN()-8,0),"")</f>
        <v>0</v>
      </c>
      <c r="N1522" s="4">
        <f ca="1">_xlfn.IFNA(VLOOKUP(INDIRECT("G"&amp;ROW()),minfo!$A:$M,COLUMN()-8,0),"")</f>
        <v>0</v>
      </c>
      <c r="O1522" s="4" t="str">
        <f ca="1">_xlfn.IFNA(VLOOKUP(INDIRECT("G"&amp;ROW()),minfo!$A:$M,COLUMN()-8,0),"")</f>
        <v>https://i0.hdslb.com/bfs/station_src/music_metadata/db3fcba8048bb618baa8da8f5beb418b.jpg</v>
      </c>
      <c r="P1522" s="4" t="str">
        <f ca="1">_xlfn.IFNA(VLOOKUP(INDIRECT("G"&amp;ROW()),minfo!$A:$M,COLUMN()-8,0),"")</f>
        <v>https://i0.hdslb.com/bfs/station_src/music_metadata/ca8ca37a9c31861f1c5197a448b39055.txt</v>
      </c>
      <c r="Q1522" s="4">
        <f ca="1">_xlfn.IFNA(VLOOKUP(INDIRECT("G"&amp;ROW()),minfo!$A:$M,COLUMN()-8,0),"")</f>
        <v>0</v>
      </c>
      <c r="R1522" s="4">
        <f ca="1">_xlfn.IFNA(VLOOKUP(INDIRECT("G"&amp;ROW()),minfo!$A:$M,COLUMN()-8,0),"")</f>
        <v>0</v>
      </c>
      <c r="S1522" s="4" t="str">
        <f ca="1">_xlfn.IFNA(VLOOKUP(INDIRECT("G"&amp;ROW()),minfo!$A:$M,COLUMN()-8,0),"")</f>
        <v>王雅洁空政</v>
      </c>
      <c r="T1522" s="4">
        <f ca="1">_xlfn.IFNA(VLOOKUP(INDIRECT("G"&amp;ROW()),minfo!$A:$M,COLUMN()-8,0),"")</f>
        <v>74851</v>
      </c>
      <c r="U1522" s="4">
        <f ca="1">_xlfn.IFNA(VLOOKUP(INDIRECT("G"&amp;ROW()),minfo!$A:$M,COLUMN()-8,0),"")</f>
        <v>0</v>
      </c>
    </row>
    <row r="1523" spans="1:21" ht="15.75" customHeight="1">
      <c r="A1523" s="15">
        <v>1522</v>
      </c>
      <c r="B1523" s="4" t="s">
        <v>5154</v>
      </c>
      <c r="C1523" s="4">
        <v>1523</v>
      </c>
      <c r="D1523" s="4">
        <v>169</v>
      </c>
      <c r="E1523" s="4" t="s">
        <v>1977</v>
      </c>
      <c r="F1523" s="16">
        <v>44823</v>
      </c>
      <c r="G1523" s="5" t="s">
        <v>1976</v>
      </c>
      <c r="H1523" s="5" t="s">
        <v>4978</v>
      </c>
      <c r="I1523" s="24" t="str">
        <f>HYPERLINK("https://www.bilibili.com/video/BV1ta411X75v?p=169", "BV1ta411X75v?p=169")</f>
        <v>BV1ta411X75v?p=169</v>
      </c>
      <c r="J1523" s="4" t="str">
        <f ca="1">_xlfn.IFNA(VLOOKUP(INDIRECT("G"&amp;ROW()),minfo!$A:$M,COLUMN()-8,0),"")</f>
        <v>如燕</v>
      </c>
      <c r="K1523" s="4" t="str">
        <f ca="1">_xlfn.IFNA(VLOOKUP(INDIRECT("G"&amp;ROW()),minfo!$A:$M,COLUMN()-8,0),"")</f>
        <v>Olivia Ong</v>
      </c>
      <c r="L1523" s="4">
        <f ca="1">_xlfn.IFNA(VLOOKUP(INDIRECT("G"&amp;ROW()),minfo!$A:$M,COLUMN()-8,0),"")</f>
        <v>0</v>
      </c>
      <c r="M1523" s="4">
        <f ca="1">_xlfn.IFNA(VLOOKUP(INDIRECT("G"&amp;ROW()),minfo!$A:$M,COLUMN()-8,0),"")</f>
        <v>0</v>
      </c>
      <c r="N1523" s="4">
        <f ca="1">_xlfn.IFNA(VLOOKUP(INDIRECT("G"&amp;ROW()),minfo!$A:$M,COLUMN()-8,0),"")</f>
        <v>0</v>
      </c>
      <c r="O1523" s="4" t="str">
        <f ca="1">_xlfn.IFNA(VLOOKUP(INDIRECT("G"&amp;ROW()),minfo!$A:$M,COLUMN()-8,0),"")</f>
        <v>https://i0.hdslb.com/bfs/station_src/music_metadata/b2733c4bd517933dcae0cba2b7fa823a.jpg</v>
      </c>
      <c r="P1523" s="4" t="str">
        <f ca="1">_xlfn.IFNA(VLOOKUP(INDIRECT("G"&amp;ROW()),minfo!$A:$M,COLUMN()-8,0),"")</f>
        <v>https://i0.hdslb.com/bfs/station_src/music_metadata/ea39207bb5f0808fc26797b69111daa6.txt</v>
      </c>
      <c r="Q1523" s="4">
        <f ca="1">_xlfn.IFNA(VLOOKUP(INDIRECT("G"&amp;ROW()),minfo!$A:$M,COLUMN()-8,0),"")</f>
        <v>14</v>
      </c>
      <c r="R1523" s="4" t="str">
        <f ca="1">_xlfn.IFNA(VLOOKUP(INDIRECT("G"&amp;ROW()),minfo!$A:$M,COLUMN()-8,0),"")</f>
        <v>《我们的》电视剧主题曲</v>
      </c>
      <c r="S1523" s="4" t="str">
        <f ca="1">_xlfn.IFNA(VLOOKUP(INDIRECT("G"&amp;ROW()),minfo!$A:$M,COLUMN()-8,0),"")</f>
        <v>我们的主题曲</v>
      </c>
      <c r="T1523" s="4">
        <f ca="1">_xlfn.IFNA(VLOOKUP(INDIRECT("G"&amp;ROW()),minfo!$A:$M,COLUMN()-8,0),"")</f>
        <v>2915511</v>
      </c>
      <c r="U1523" s="4">
        <f ca="1">_xlfn.IFNA(VLOOKUP(INDIRECT("G"&amp;ROW()),minfo!$A:$M,COLUMN()-8,0),"")</f>
        <v>0</v>
      </c>
    </row>
    <row r="1524" spans="1:21" ht="15.75" customHeight="1">
      <c r="A1524" s="15">
        <v>1523</v>
      </c>
      <c r="B1524" s="4" t="s">
        <v>5155</v>
      </c>
      <c r="C1524" s="4">
        <v>1524</v>
      </c>
      <c r="D1524" s="4">
        <v>170</v>
      </c>
      <c r="E1524" s="4" t="s">
        <v>5156</v>
      </c>
      <c r="F1524" s="16">
        <v>44823</v>
      </c>
      <c r="G1524" s="5" t="s">
        <v>2973</v>
      </c>
      <c r="H1524" s="5" t="s">
        <v>4978</v>
      </c>
      <c r="I1524" s="24" t="str">
        <f>HYPERLINK("https://www.bilibili.com/video/BV1ta411X75v?p=170", "BV1ta411X75v?p=170")</f>
        <v>BV1ta411X75v?p=170</v>
      </c>
      <c r="J1524" s="4" t="str">
        <f ca="1">_xlfn.IFNA(VLOOKUP(INDIRECT("G"&amp;ROW()),minfo!$A:$M,COLUMN()-8,0),"")</f>
        <v>Friend</v>
      </c>
      <c r="K1524" s="4" t="str">
        <f ca="1">_xlfn.IFNA(VLOOKUP(INDIRECT("G"&amp;ROW()),minfo!$A:$M,COLUMN()-8,0),"")</f>
        <v>玉置浩二</v>
      </c>
      <c r="L1524" s="4">
        <f ca="1">_xlfn.IFNA(VLOOKUP(INDIRECT("G"&amp;ROW()),minfo!$A:$M,COLUMN()-8,0),"")</f>
        <v>0</v>
      </c>
      <c r="M1524" s="4">
        <f ca="1">_xlfn.IFNA(VLOOKUP(INDIRECT("G"&amp;ROW()),minfo!$A:$M,COLUMN()-8,0),"")</f>
        <v>0</v>
      </c>
      <c r="N1524" s="4">
        <f ca="1">_xlfn.IFNA(VLOOKUP(INDIRECT("G"&amp;ROW()),minfo!$A:$M,COLUMN()-8,0),"")</f>
        <v>0</v>
      </c>
      <c r="O1524" s="4" t="str">
        <f ca="1">_xlfn.IFNA(VLOOKUP(INDIRECT("G"&amp;ROW()),minfo!$A:$M,COLUMN()-8,0),"")</f>
        <v>http://i0.hdslb.com/bfs/station_src/music_metadata/4db08dcf1a0682cdad2895bd223e0d93.jpg</v>
      </c>
      <c r="P1524" s="4">
        <f ca="1">_xlfn.IFNA(VLOOKUP(INDIRECT("G"&amp;ROW()),minfo!$A:$M,COLUMN()-8,0),"")</f>
        <v>0</v>
      </c>
      <c r="Q1524" s="4">
        <f ca="1">_xlfn.IFNA(VLOOKUP(INDIRECT("G"&amp;ROW()),minfo!$A:$M,COLUMN()-8,0),"")</f>
        <v>5</v>
      </c>
      <c r="R1524" s="4">
        <f ca="1">_xlfn.IFNA(VLOOKUP(INDIRECT("G"&amp;ROW()),minfo!$A:$M,COLUMN()-8,0),"")</f>
        <v>0</v>
      </c>
      <c r="S1524" s="4" t="str">
        <f ca="1">_xlfn.IFNA(VLOOKUP(INDIRECT("G"&amp;ROW()),minfo!$A:$M,COLUMN()-8,0),"")</f>
        <v>ワインレッドの心</v>
      </c>
      <c r="T1524" s="4">
        <f ca="1">_xlfn.IFNA(VLOOKUP(INDIRECT("G"&amp;ROW()),minfo!$A:$M,COLUMN()-8,0),"")</f>
        <v>1157770</v>
      </c>
      <c r="U1524" s="4">
        <f ca="1">_xlfn.IFNA(VLOOKUP(INDIRECT("G"&amp;ROW()),minfo!$A:$M,COLUMN()-8,0),"")</f>
        <v>0</v>
      </c>
    </row>
    <row r="1525" spans="1:21" ht="15.75" customHeight="1">
      <c r="A1525" s="15">
        <v>1524</v>
      </c>
      <c r="B1525" s="4" t="s">
        <v>5157</v>
      </c>
      <c r="C1525" s="4">
        <v>1525</v>
      </c>
      <c r="D1525" s="4">
        <v>171</v>
      </c>
      <c r="E1525" s="4" t="s">
        <v>1067</v>
      </c>
      <c r="F1525" s="16">
        <v>44825</v>
      </c>
      <c r="G1525" s="5" t="s">
        <v>1066</v>
      </c>
      <c r="H1525" s="5" t="s">
        <v>4978</v>
      </c>
      <c r="I1525" s="24" t="str">
        <f>HYPERLINK("https://www.bilibili.com/video/BV1ta411X75v?p=171", "BV1ta411X75v?p=171")</f>
        <v>BV1ta411X75v?p=171</v>
      </c>
      <c r="J1525" s="4" t="str">
        <f ca="1">_xlfn.IFNA(VLOOKUP(INDIRECT("G"&amp;ROW()),minfo!$A:$M,COLUMN()-8,0),"")</f>
        <v>永不失联的爱</v>
      </c>
      <c r="K1525" s="4" t="str">
        <f ca="1">_xlfn.IFNA(VLOOKUP(INDIRECT("G"&amp;ROW()),minfo!$A:$M,COLUMN()-8,0),"")</f>
        <v>Eric周兴哲</v>
      </c>
      <c r="L1525" s="4">
        <f ca="1">_xlfn.IFNA(VLOOKUP(INDIRECT("G"&amp;ROW()),minfo!$A:$M,COLUMN()-8,0),"")</f>
        <v>0</v>
      </c>
      <c r="M1525" s="4">
        <f ca="1">_xlfn.IFNA(VLOOKUP(INDIRECT("G"&amp;ROW()),minfo!$A:$M,COLUMN()-8,0),"")</f>
        <v>0</v>
      </c>
      <c r="N1525" s="4">
        <f ca="1">_xlfn.IFNA(VLOOKUP(INDIRECT("G"&amp;ROW()),minfo!$A:$M,COLUMN()-8,0),"")</f>
        <v>0</v>
      </c>
      <c r="O1525" s="4" t="str">
        <f ca="1">_xlfn.IFNA(VLOOKUP(INDIRECT("G"&amp;ROW()),minfo!$A:$M,COLUMN()-8,0),"")</f>
        <v>http://i0.hdslb.com/bfs/station_src/music_metadata/66d68e12c7bf06dfcd345e31ea45ac05.jpg</v>
      </c>
      <c r="P1525" s="4" t="str">
        <f ca="1">_xlfn.IFNA(VLOOKUP(INDIRECT("G"&amp;ROW()),minfo!$A:$M,COLUMN()-8,0),"")</f>
        <v>http://i0.hdslb.com/bfs/station_src/music_metadata/4a6a6c9be708e96306f4fbc010bf2a12</v>
      </c>
      <c r="Q1525" s="4">
        <f ca="1">_xlfn.IFNA(VLOOKUP(INDIRECT("G"&amp;ROW()),minfo!$A:$M,COLUMN()-8,0),"")</f>
        <v>1013</v>
      </c>
      <c r="R1525" s="4">
        <f ca="1">_xlfn.IFNA(VLOOKUP(INDIRECT("G"&amp;ROW()),minfo!$A:$M,COLUMN()-8,0),"")</f>
        <v>0</v>
      </c>
      <c r="S1525" s="4" t="str">
        <f ca="1">_xlfn.IFNA(VLOOKUP(INDIRECT("G"&amp;ROW()),minfo!$A:$M,COLUMN()-8,0),"")</f>
        <v>如果雨之后</v>
      </c>
      <c r="T1525" s="4">
        <f ca="1">_xlfn.IFNA(VLOOKUP(INDIRECT("G"&amp;ROW()),minfo!$A:$M,COLUMN()-8,0),"")</f>
        <v>291250605</v>
      </c>
      <c r="U1525" s="4">
        <f ca="1">_xlfn.IFNA(VLOOKUP(INDIRECT("G"&amp;ROW()),minfo!$A:$M,COLUMN()-8,0),"")</f>
        <v>0</v>
      </c>
    </row>
    <row r="1526" spans="1:21" ht="15.75" customHeight="1">
      <c r="A1526" s="15">
        <v>1525</v>
      </c>
      <c r="B1526" s="4" t="s">
        <v>5158</v>
      </c>
      <c r="C1526" s="4">
        <v>1526</v>
      </c>
      <c r="D1526" s="4">
        <v>172</v>
      </c>
      <c r="E1526" s="4" t="s">
        <v>2036</v>
      </c>
      <c r="F1526" s="16">
        <v>44827</v>
      </c>
      <c r="G1526" s="5" t="s">
        <v>2035</v>
      </c>
      <c r="H1526" s="5" t="s">
        <v>4978</v>
      </c>
      <c r="I1526" s="24" t="str">
        <f>HYPERLINK("https://www.bilibili.com/video/BV1ta411X75v?p=172", "BV1ta411X75v?p=172")</f>
        <v>BV1ta411X75v?p=172</v>
      </c>
      <c r="J1526" s="4" t="str">
        <f ca="1">_xlfn.IFNA(VLOOKUP(INDIRECT("G"&amp;ROW()),minfo!$A:$M,COLUMN()-8,0),"")</f>
        <v>孤勇者</v>
      </c>
      <c r="K1526" s="4" t="str">
        <f ca="1">_xlfn.IFNA(VLOOKUP(INDIRECT("G"&amp;ROW()),minfo!$A:$M,COLUMN()-8,0),"")</f>
        <v>陈奕迅</v>
      </c>
      <c r="L1526" s="4">
        <f ca="1">_xlfn.IFNA(VLOOKUP(INDIRECT("G"&amp;ROW()),minfo!$A:$M,COLUMN()-8,0),"")</f>
        <v>0</v>
      </c>
      <c r="M1526" s="4">
        <f ca="1">_xlfn.IFNA(VLOOKUP(INDIRECT("G"&amp;ROW()),minfo!$A:$M,COLUMN()-8,0),"")</f>
        <v>1948052</v>
      </c>
      <c r="N1526" s="4">
        <f ca="1">_xlfn.IFNA(VLOOKUP(INDIRECT("G"&amp;ROW()),minfo!$A:$M,COLUMN()-8,0),"")</f>
        <v>295694</v>
      </c>
      <c r="O1526" s="4" t="str">
        <f ca="1">_xlfn.IFNA(VLOOKUP(INDIRECT("G"&amp;ROW()),minfo!$A:$M,COLUMN()-8,0),"")</f>
        <v>https://i0.hdslb.com/bfs/station_src/music_metadata/53caab26783be0269825917e75c68c60.jpg</v>
      </c>
      <c r="P1526" s="4" t="str">
        <f ca="1">_xlfn.IFNA(VLOOKUP(INDIRECT("G"&amp;ROW()),minfo!$A:$M,COLUMN()-8,0),"")</f>
        <v>http://i0.hdslb.com/bfs/station_src/music_metadata/e0953609612d1dfbccdd6909a88428a2</v>
      </c>
      <c r="Q1526" s="4">
        <f ca="1">_xlfn.IFNA(VLOOKUP(INDIRECT("G"&amp;ROW()),minfo!$A:$M,COLUMN()-8,0),"")</f>
        <v>2054</v>
      </c>
      <c r="R1526" s="4" t="str">
        <f ca="1">_xlfn.IFNA(VLOOKUP(INDIRECT("G"&amp;ROW()),minfo!$A:$M,COLUMN()-8,0),"")</f>
        <v>《英雄联盟：双城之战》动画剧集中文主题曲</v>
      </c>
      <c r="S1526" s="4" t="str">
        <f ca="1">_xlfn.IFNA(VLOOKUP(INDIRECT("G"&amp;ROW()),minfo!$A:$M,COLUMN()-8,0),"")</f>
        <v>孤勇者</v>
      </c>
      <c r="T1526" s="4">
        <f ca="1">_xlfn.IFNA(VLOOKUP(INDIRECT("G"&amp;ROW()),minfo!$A:$M,COLUMN()-8,0),"")</f>
        <v>2817053025</v>
      </c>
      <c r="U1526" s="4" t="str">
        <f ca="1">_xlfn.IFNA(VLOOKUP(INDIRECT("G"&amp;ROW()),minfo!$A:$M,COLUMN()-8,0),"")</f>
        <v>音乐榜最高NO.3</v>
      </c>
    </row>
    <row r="1527" spans="1:21" ht="15.75" customHeight="1">
      <c r="A1527" s="15">
        <v>1526</v>
      </c>
      <c r="B1527" s="4" t="s">
        <v>5159</v>
      </c>
      <c r="C1527" s="4">
        <v>1527</v>
      </c>
      <c r="D1527" s="4">
        <v>173</v>
      </c>
      <c r="E1527" s="4" t="s">
        <v>655</v>
      </c>
      <c r="F1527" s="16">
        <v>44827</v>
      </c>
      <c r="G1527" s="5" t="s">
        <v>654</v>
      </c>
      <c r="H1527" s="5" t="s">
        <v>4978</v>
      </c>
      <c r="I1527" s="24" t="str">
        <f>HYPERLINK("https://www.bilibili.com/video/BV1ta411X75v?p=173", "BV1ta411X75v?p=173")</f>
        <v>BV1ta411X75v?p=173</v>
      </c>
      <c r="J1527" s="4" t="str">
        <f ca="1">_xlfn.IFNA(VLOOKUP(INDIRECT("G"&amp;ROW()),minfo!$A:$M,COLUMN()-8,0),"")</f>
        <v>路过人间</v>
      </c>
      <c r="K1527" s="4" t="str">
        <f ca="1">_xlfn.IFNA(VLOOKUP(INDIRECT("G"&amp;ROW()),minfo!$A:$M,COLUMN()-8,0),"")</f>
        <v>郁可唯</v>
      </c>
      <c r="L1527" s="4">
        <f ca="1">_xlfn.IFNA(VLOOKUP(INDIRECT("G"&amp;ROW()),minfo!$A:$M,COLUMN()-8,0),"")</f>
        <v>0</v>
      </c>
      <c r="M1527" s="4">
        <f ca="1">_xlfn.IFNA(VLOOKUP(INDIRECT("G"&amp;ROW()),minfo!$A:$M,COLUMN()-8,0),"")</f>
        <v>17966</v>
      </c>
      <c r="N1527" s="4">
        <f ca="1">_xlfn.IFNA(VLOOKUP(INDIRECT("G"&amp;ROW()),minfo!$A:$M,COLUMN()-8,0),"")</f>
        <v>8458</v>
      </c>
      <c r="O1527" s="4" t="str">
        <f ca="1">_xlfn.IFNA(VLOOKUP(INDIRECT("G"&amp;ROW()),minfo!$A:$M,COLUMN()-8,0),"")</f>
        <v>http://i0.hdslb.com/bfs/station_src/music_metadata/570f6a193a95780dfeae2a4dfe0cb932.jpg</v>
      </c>
      <c r="P1527" s="4" t="str">
        <f ca="1">_xlfn.IFNA(VLOOKUP(INDIRECT("G"&amp;ROW()),minfo!$A:$M,COLUMN()-8,0),"")</f>
        <v>http://i0.hdslb.com/bfs/station_src/music_metadata/0386d6bc66823747cb1d61d511d20a21</v>
      </c>
      <c r="Q1527" s="4">
        <f ca="1">_xlfn.IFNA(VLOOKUP(INDIRECT("G"&amp;ROW()),minfo!$A:$M,COLUMN()-8,0),"")</f>
        <v>1296</v>
      </c>
      <c r="R1527" s="4">
        <f ca="1">_xlfn.IFNA(VLOOKUP(INDIRECT("G"&amp;ROW()),minfo!$A:$M,COLUMN()-8,0),"")</f>
        <v>0</v>
      </c>
      <c r="S1527" s="4" t="str">
        <f ca="1">_xlfn.IFNA(VLOOKUP(INDIRECT("G"&amp;ROW()),minfo!$A:$M,COLUMN()-8,0),"")</f>
        <v>路过人间</v>
      </c>
      <c r="T1527" s="4">
        <f ca="1">_xlfn.IFNA(VLOOKUP(INDIRECT("G"&amp;ROW()),minfo!$A:$M,COLUMN()-8,0),"")</f>
        <v>218547878</v>
      </c>
      <c r="U1527" s="4" t="str">
        <f ca="1">_xlfn.IFNA(VLOOKUP(INDIRECT("G"&amp;ROW()),minfo!$A:$M,COLUMN()-8,0),"")</f>
        <v>音乐榜最高NO.10</v>
      </c>
    </row>
    <row r="1528" spans="1:21" ht="15.75" customHeight="1">
      <c r="A1528" s="15">
        <v>1527</v>
      </c>
      <c r="B1528" s="4" t="s">
        <v>5160</v>
      </c>
      <c r="C1528" s="4">
        <v>1528</v>
      </c>
      <c r="D1528" s="4">
        <v>174</v>
      </c>
      <c r="E1528" s="4" t="s">
        <v>370</v>
      </c>
      <c r="F1528" s="16">
        <v>44827</v>
      </c>
      <c r="G1528" s="5" t="s">
        <v>369</v>
      </c>
      <c r="H1528" s="5" t="s">
        <v>4978</v>
      </c>
      <c r="I1528" s="24" t="str">
        <f>HYPERLINK("https://www.bilibili.com/video/BV1ta411X75v?p=174", "BV1ta411X75v?p=174")</f>
        <v>BV1ta411X75v?p=174</v>
      </c>
      <c r="J1528" s="4" t="str">
        <f ca="1">_xlfn.IFNA(VLOOKUP(INDIRECT("G"&amp;ROW()),minfo!$A:$M,COLUMN()-8,0),"")</f>
        <v>星晴</v>
      </c>
      <c r="K1528" s="4" t="str">
        <f ca="1">_xlfn.IFNA(VLOOKUP(INDIRECT("G"&amp;ROW()),minfo!$A:$M,COLUMN()-8,0),"")</f>
        <v>周杰伦</v>
      </c>
      <c r="L1528" s="4">
        <f ca="1">_xlfn.IFNA(VLOOKUP(INDIRECT("G"&amp;ROW()),minfo!$A:$M,COLUMN()-8,0),"")</f>
        <v>0</v>
      </c>
      <c r="M1528" s="4">
        <f ca="1">_xlfn.IFNA(VLOOKUP(INDIRECT("G"&amp;ROW()),minfo!$A:$M,COLUMN()-8,0),"")</f>
        <v>0</v>
      </c>
      <c r="N1528" s="4">
        <f ca="1">_xlfn.IFNA(VLOOKUP(INDIRECT("G"&amp;ROW()),minfo!$A:$M,COLUMN()-8,0),"")</f>
        <v>0</v>
      </c>
      <c r="O1528" s="4" t="str">
        <f ca="1">_xlfn.IFNA(VLOOKUP(INDIRECT("G"&amp;ROW()),minfo!$A:$M,COLUMN()-8,0),"")</f>
        <v>http://i0.hdslb.com/bfs/station_src/music_metadata/6c5a2e49b22b5017b16436b34ffa8ff4.jpg</v>
      </c>
      <c r="P1528" s="4" t="str">
        <f ca="1">_xlfn.IFNA(VLOOKUP(INDIRECT("G"&amp;ROW()),minfo!$A:$M,COLUMN()-8,0),"")</f>
        <v>http://i0.hdslb.com/bfs/station_src/music_metadata/51698719dd553d61e269f2d4bcc88e0c</v>
      </c>
      <c r="Q1528" s="4">
        <f ca="1">_xlfn.IFNA(VLOOKUP(INDIRECT("G"&amp;ROW()),minfo!$A:$M,COLUMN()-8,0),"")</f>
        <v>1203</v>
      </c>
      <c r="R1528" s="4">
        <f ca="1">_xlfn.IFNA(VLOOKUP(INDIRECT("G"&amp;ROW()),minfo!$A:$M,COLUMN()-8,0),"")</f>
        <v>0</v>
      </c>
      <c r="S1528" s="4" t="str">
        <f ca="1">_xlfn.IFNA(VLOOKUP(INDIRECT("G"&amp;ROW()),minfo!$A:$M,COLUMN()-8,0),"")</f>
        <v>Jay</v>
      </c>
      <c r="T1528" s="4">
        <f ca="1">_xlfn.IFNA(VLOOKUP(INDIRECT("G"&amp;ROW()),minfo!$A:$M,COLUMN()-8,0),"")</f>
        <v>318249236</v>
      </c>
      <c r="U1528" s="4">
        <f ca="1">_xlfn.IFNA(VLOOKUP(INDIRECT("G"&amp;ROW()),minfo!$A:$M,COLUMN()-8,0),"")</f>
        <v>0</v>
      </c>
    </row>
    <row r="1529" spans="1:21" ht="15.75" customHeight="1">
      <c r="A1529" s="15">
        <v>1528</v>
      </c>
      <c r="B1529" s="4" t="s">
        <v>5161</v>
      </c>
      <c r="C1529" s="4">
        <v>1529</v>
      </c>
      <c r="D1529" s="4">
        <v>175</v>
      </c>
      <c r="E1529" s="4" t="s">
        <v>754</v>
      </c>
      <c r="F1529" s="16">
        <v>44827</v>
      </c>
      <c r="G1529" s="5" t="s">
        <v>753</v>
      </c>
      <c r="H1529" s="5" t="s">
        <v>4978</v>
      </c>
      <c r="I1529" s="24" t="str">
        <f>HYPERLINK("https://www.bilibili.com/video/BV1ta411X75v?p=175", "BV1ta411X75v?p=175")</f>
        <v>BV1ta411X75v?p=175</v>
      </c>
      <c r="J1529" s="4" t="str">
        <f ca="1">_xlfn.IFNA(VLOOKUP(INDIRECT("G"&amp;ROW()),minfo!$A:$M,COLUMN()-8,0),"")</f>
        <v>台风</v>
      </c>
      <c r="K1529" s="4" t="str">
        <f ca="1">_xlfn.IFNA(VLOOKUP(INDIRECT("G"&amp;ROW()),minfo!$A:$M,COLUMN()-8,0),"")</f>
        <v>郁一凡</v>
      </c>
      <c r="L1529" s="4">
        <f ca="1">_xlfn.IFNA(VLOOKUP(INDIRECT("G"&amp;ROW()),minfo!$A:$M,COLUMN()-8,0),"")</f>
        <v>0</v>
      </c>
      <c r="M1529" s="4">
        <f ca="1">_xlfn.IFNA(VLOOKUP(INDIRECT("G"&amp;ROW()),minfo!$A:$M,COLUMN()-8,0),"")</f>
        <v>0</v>
      </c>
      <c r="N1529" s="4">
        <f ca="1">_xlfn.IFNA(VLOOKUP(INDIRECT("G"&amp;ROW()),minfo!$A:$M,COLUMN()-8,0),"")</f>
        <v>0</v>
      </c>
      <c r="O1529" s="4" t="str">
        <f ca="1">_xlfn.IFNA(VLOOKUP(INDIRECT("G"&amp;ROW()),minfo!$A:$M,COLUMN()-8,0),"")</f>
        <v>https://i0.hdslb.com/bfs/station_src/music_metadata/e62e120e862336e6b171c835ae52b792.jpg</v>
      </c>
      <c r="P1529" s="4" t="str">
        <f ca="1">_xlfn.IFNA(VLOOKUP(INDIRECT("G"&amp;ROW()),minfo!$A:$M,COLUMN()-8,0),"")</f>
        <v>https://i0.hdslb.com/bfs/station_src/music_metadata/4025503f8f2dced9cfa0f785fcbd250a.txt</v>
      </c>
      <c r="Q1529" s="4">
        <f ca="1">_xlfn.IFNA(VLOOKUP(INDIRECT("G"&amp;ROW()),minfo!$A:$M,COLUMN()-8,0),"")</f>
        <v>18</v>
      </c>
      <c r="R1529" s="4">
        <f ca="1">_xlfn.IFNA(VLOOKUP(INDIRECT("G"&amp;ROW()),minfo!$A:$M,COLUMN()-8,0),"")</f>
        <v>0</v>
      </c>
      <c r="S1529" s="4" t="str">
        <f ca="1">_xlfn.IFNA(VLOOKUP(INDIRECT("G"&amp;ROW()),minfo!$A:$M,COLUMN()-8,0),"")</f>
        <v>我的音乐你听吗 第2期</v>
      </c>
      <c r="T1529" s="4">
        <f ca="1">_xlfn.IFNA(VLOOKUP(INDIRECT("G"&amp;ROW()),minfo!$A:$M,COLUMN()-8,0),"")</f>
        <v>11454087</v>
      </c>
      <c r="U1529" s="4">
        <f ca="1">_xlfn.IFNA(VLOOKUP(INDIRECT("G"&amp;ROW()),minfo!$A:$M,COLUMN()-8,0),"")</f>
        <v>0</v>
      </c>
    </row>
    <row r="1530" spans="1:21" ht="15.75" customHeight="1">
      <c r="A1530" s="15">
        <v>1529</v>
      </c>
      <c r="B1530" s="4" t="s">
        <v>5162</v>
      </c>
      <c r="C1530" s="4">
        <v>1530</v>
      </c>
      <c r="D1530" s="4">
        <v>176</v>
      </c>
      <c r="E1530" s="4" t="s">
        <v>1867</v>
      </c>
      <c r="F1530" s="16">
        <v>44827</v>
      </c>
      <c r="G1530" s="5" t="s">
        <v>1866</v>
      </c>
      <c r="H1530" s="5" t="s">
        <v>4978</v>
      </c>
      <c r="I1530" s="24" t="str">
        <f>HYPERLINK("https://www.bilibili.com/video/BV1ta411X75v?p=176", "BV1ta411X75v?p=176")</f>
        <v>BV1ta411X75v?p=176</v>
      </c>
      <c r="J1530" s="4" t="str">
        <f ca="1">_xlfn.IFNA(VLOOKUP(INDIRECT("G"&amp;ROW()),minfo!$A:$M,COLUMN()-8,0),"")</f>
        <v>冬眠</v>
      </c>
      <c r="K1530" s="4" t="str">
        <f ca="1">_xlfn.IFNA(VLOOKUP(INDIRECT("G"&amp;ROW()),minfo!$A:$M,COLUMN()-8,0),"")</f>
        <v>司南</v>
      </c>
      <c r="L1530" s="4">
        <f ca="1">_xlfn.IFNA(VLOOKUP(INDIRECT("G"&amp;ROW()),minfo!$A:$M,COLUMN()-8,0),"")</f>
        <v>0</v>
      </c>
      <c r="M1530" s="4">
        <f ca="1">_xlfn.IFNA(VLOOKUP(INDIRECT("G"&amp;ROW()),minfo!$A:$M,COLUMN()-8,0),"")</f>
        <v>0</v>
      </c>
      <c r="N1530" s="4">
        <f ca="1">_xlfn.IFNA(VLOOKUP(INDIRECT("G"&amp;ROW()),minfo!$A:$M,COLUMN()-8,0),"")</f>
        <v>0</v>
      </c>
      <c r="O1530" s="4" t="str">
        <f ca="1">_xlfn.IFNA(VLOOKUP(INDIRECT("G"&amp;ROW()),minfo!$A:$M,COLUMN()-8,0),"")</f>
        <v>https://i0.hdslb.com/bfs/station_src/music_metadata/af7f85ba04e20b74bd2d2f9c594d0f9e.jpg</v>
      </c>
      <c r="P1530" s="4" t="str">
        <f ca="1">_xlfn.IFNA(VLOOKUP(INDIRECT("G"&amp;ROW()),minfo!$A:$M,COLUMN()-8,0),"")</f>
        <v>http://i0.hdslb.com/bfs/station_src/music_metadata/0697acb207ba1205710a76aa2cdbcb72</v>
      </c>
      <c r="Q1530" s="4">
        <f ca="1">_xlfn.IFNA(VLOOKUP(INDIRECT("G"&amp;ROW()),minfo!$A:$M,COLUMN()-8,0),"")</f>
        <v>1234</v>
      </c>
      <c r="R1530" s="4">
        <f ca="1">_xlfn.IFNA(VLOOKUP(INDIRECT("G"&amp;ROW()),minfo!$A:$M,COLUMN()-8,0),"")</f>
        <v>0</v>
      </c>
      <c r="S1530" s="4" t="str">
        <f ca="1">_xlfn.IFNA(VLOOKUP(INDIRECT("G"&amp;ROW()),minfo!$A:$M,COLUMN()-8,0),"")</f>
        <v>冬眠</v>
      </c>
      <c r="T1530" s="4">
        <f ca="1">_xlfn.IFNA(VLOOKUP(INDIRECT("G"&amp;ROW()),minfo!$A:$M,COLUMN()-8,0),"")</f>
        <v>278158388</v>
      </c>
      <c r="U1530" s="4">
        <f ca="1">_xlfn.IFNA(VLOOKUP(INDIRECT("G"&amp;ROW()),minfo!$A:$M,COLUMN()-8,0),"")</f>
        <v>0</v>
      </c>
    </row>
    <row r="1531" spans="1:21" ht="15.75" customHeight="1">
      <c r="A1531" s="15">
        <v>1530</v>
      </c>
      <c r="B1531" s="4" t="s">
        <v>5163</v>
      </c>
      <c r="C1531" s="4">
        <v>1531</v>
      </c>
      <c r="D1531" s="4">
        <v>177</v>
      </c>
      <c r="E1531" s="4" t="s">
        <v>2979</v>
      </c>
      <c r="F1531" s="16">
        <v>44830</v>
      </c>
      <c r="G1531" s="5" t="s">
        <v>2978</v>
      </c>
      <c r="H1531" s="5" t="s">
        <v>4978</v>
      </c>
      <c r="I1531" s="24" t="str">
        <f>HYPERLINK("https://www.bilibili.com/video/BV1ta411X75v?p=177", "BV1ta411X75v?p=177")</f>
        <v>BV1ta411X75v?p=177</v>
      </c>
      <c r="J1531" s="4" t="str">
        <f ca="1">_xlfn.IFNA(VLOOKUP(INDIRECT("G"&amp;ROW()),minfo!$A:$M,COLUMN()-8,0),"")</f>
        <v>陀螺</v>
      </c>
      <c r="K1531" s="4" t="str">
        <f ca="1">_xlfn.IFNA(VLOOKUP(INDIRECT("G"&amp;ROW()),minfo!$A:$M,COLUMN()-8,0),"")</f>
        <v>王乙太</v>
      </c>
      <c r="L1531" s="4">
        <f ca="1">_xlfn.IFNA(VLOOKUP(INDIRECT("G"&amp;ROW()),minfo!$A:$M,COLUMN()-8,0),"")</f>
        <v>0</v>
      </c>
      <c r="M1531" s="4">
        <f ca="1">_xlfn.IFNA(VLOOKUP(INDIRECT("G"&amp;ROW()),minfo!$A:$M,COLUMN()-8,0),"")</f>
        <v>0</v>
      </c>
      <c r="N1531" s="4">
        <f ca="1">_xlfn.IFNA(VLOOKUP(INDIRECT("G"&amp;ROW()),minfo!$A:$M,COLUMN()-8,0),"")</f>
        <v>0</v>
      </c>
      <c r="O1531" s="4" t="str">
        <f ca="1">_xlfn.IFNA(VLOOKUP(INDIRECT("G"&amp;ROW()),minfo!$A:$M,COLUMN()-8,0),"")</f>
        <v>https://i0.hdslb.com/bfs/station_src/music_metadata/986ffe3b10bd4cd4d80f7db0d53d47e9.jpg</v>
      </c>
      <c r="P1531" s="4" t="str">
        <f ca="1">_xlfn.IFNA(VLOOKUP(INDIRECT("G"&amp;ROW()),minfo!$A:$M,COLUMN()-8,0),"")</f>
        <v>https://i0.hdslb.com/bfs/station_src/music_metadata/cb3c9b3a55532068ba6666026bb8058a.txt</v>
      </c>
      <c r="Q1531" s="4">
        <f ca="1">_xlfn.IFNA(VLOOKUP(INDIRECT("G"&amp;ROW()),minfo!$A:$M,COLUMN()-8,0),"")</f>
        <v>1</v>
      </c>
      <c r="R1531" s="4">
        <f ca="1">_xlfn.IFNA(VLOOKUP(INDIRECT("G"&amp;ROW()),minfo!$A:$M,COLUMN()-8,0),"")</f>
        <v>0</v>
      </c>
      <c r="S1531" s="4" t="str">
        <f ca="1">_xlfn.IFNA(VLOOKUP(INDIRECT("G"&amp;ROW()),minfo!$A:$M,COLUMN()-8,0),"")</f>
        <v>画(Painting)</v>
      </c>
      <c r="T1531" s="4">
        <f ca="1">_xlfn.IFNA(VLOOKUP(INDIRECT("G"&amp;ROW()),minfo!$A:$M,COLUMN()-8,0),"")</f>
        <v>324322</v>
      </c>
      <c r="U1531" s="4">
        <f ca="1">_xlfn.IFNA(VLOOKUP(INDIRECT("G"&amp;ROW()),minfo!$A:$M,COLUMN()-8,0),"")</f>
        <v>0</v>
      </c>
    </row>
    <row r="1532" spans="1:21" ht="15.75" customHeight="1">
      <c r="A1532" s="15">
        <v>1531</v>
      </c>
      <c r="B1532" s="4" t="s">
        <v>5164</v>
      </c>
      <c r="C1532" s="4">
        <v>1532</v>
      </c>
      <c r="D1532" s="4">
        <v>178</v>
      </c>
      <c r="E1532" s="4" t="s">
        <v>319</v>
      </c>
      <c r="F1532" s="16">
        <v>44832</v>
      </c>
      <c r="G1532" s="5" t="s">
        <v>318</v>
      </c>
      <c r="H1532" s="5" t="s">
        <v>4978</v>
      </c>
      <c r="I1532" s="24" t="str">
        <f>HYPERLINK("https://www.bilibili.com/video/BV1ta411X75v?p=178", "BV1ta411X75v?p=178")</f>
        <v>BV1ta411X75v?p=178</v>
      </c>
      <c r="J1532" s="4" t="str">
        <f ca="1">_xlfn.IFNA(VLOOKUP(INDIRECT("G"&amp;ROW()),minfo!$A:$M,COLUMN()-8,0),"")</f>
        <v>晴天</v>
      </c>
      <c r="K1532" s="4" t="str">
        <f ca="1">_xlfn.IFNA(VLOOKUP(INDIRECT("G"&amp;ROW()),minfo!$A:$M,COLUMN()-8,0),"")</f>
        <v>周杰伦</v>
      </c>
      <c r="L1532" s="4">
        <f ca="1">_xlfn.IFNA(VLOOKUP(INDIRECT("G"&amp;ROW()),minfo!$A:$M,COLUMN()-8,0),"")</f>
        <v>0</v>
      </c>
      <c r="M1532" s="4">
        <f ca="1">_xlfn.IFNA(VLOOKUP(INDIRECT("G"&amp;ROW()),minfo!$A:$M,COLUMN()-8,0),"")</f>
        <v>5048</v>
      </c>
      <c r="N1532" s="4">
        <f ca="1">_xlfn.IFNA(VLOOKUP(INDIRECT("G"&amp;ROW()),minfo!$A:$M,COLUMN()-8,0),"")</f>
        <v>135</v>
      </c>
      <c r="O1532" s="4" t="str">
        <f ca="1">_xlfn.IFNA(VLOOKUP(INDIRECT("G"&amp;ROW()),minfo!$A:$M,COLUMN()-8,0),"")</f>
        <v>https://i0.hdslb.com/bfs/station_src/music_metadata/2efa8f0df2aff949dee33b3f46a56312.jpg</v>
      </c>
      <c r="P1532" s="4">
        <f ca="1">_xlfn.IFNA(VLOOKUP(INDIRECT("G"&amp;ROW()),minfo!$A:$M,COLUMN()-8,0),"")</f>
        <v>0</v>
      </c>
      <c r="Q1532" s="4">
        <f ca="1">_xlfn.IFNA(VLOOKUP(INDIRECT("G"&amp;ROW()),minfo!$A:$M,COLUMN()-8,0),"")</f>
        <v>15983</v>
      </c>
      <c r="R1532" s="4">
        <f ca="1">_xlfn.IFNA(VLOOKUP(INDIRECT("G"&amp;ROW()),minfo!$A:$M,COLUMN()-8,0),"")</f>
        <v>0</v>
      </c>
      <c r="S1532" s="4" t="str">
        <f ca="1">_xlfn.IFNA(VLOOKUP(INDIRECT("G"&amp;ROW()),minfo!$A:$M,COLUMN()-8,0),"")</f>
        <v>叶惠美</v>
      </c>
      <c r="T1532" s="4">
        <f ca="1">_xlfn.IFNA(VLOOKUP(INDIRECT("G"&amp;ROW()),minfo!$A:$M,COLUMN()-8,0),"")</f>
        <v>1497162616</v>
      </c>
      <c r="U1532" s="4" t="str">
        <f ca="1">_xlfn.IFNA(VLOOKUP(INDIRECT("G"&amp;ROW()),minfo!$A:$M,COLUMN()-8,0),"")</f>
        <v>音乐榜最高NO.8</v>
      </c>
    </row>
    <row r="1533" spans="1:21" ht="15.75" customHeight="1">
      <c r="A1533" s="15">
        <v>1532</v>
      </c>
      <c r="B1533" s="4" t="s">
        <v>5165</v>
      </c>
      <c r="C1533" s="4">
        <v>1533</v>
      </c>
      <c r="D1533" s="4">
        <v>179</v>
      </c>
      <c r="E1533" s="4" t="s">
        <v>2067</v>
      </c>
      <c r="F1533" s="16">
        <v>44832</v>
      </c>
      <c r="G1533" s="5" t="s">
        <v>2066</v>
      </c>
      <c r="H1533" s="5" t="s">
        <v>4978</v>
      </c>
      <c r="I1533" s="24" t="str">
        <f>HYPERLINK("https://www.bilibili.com/video/BV1ta411X75v?p=179", "BV1ta411X75v?p=179")</f>
        <v>BV1ta411X75v?p=179</v>
      </c>
      <c r="J1533" s="4" t="str">
        <f ca="1">_xlfn.IFNA(VLOOKUP(INDIRECT("G"&amp;ROW()),minfo!$A:$M,COLUMN()-8,0),"")</f>
        <v>勾指起誓</v>
      </c>
      <c r="K1533" s="4" t="str">
        <f ca="1">_xlfn.IFNA(VLOOKUP(INDIRECT("G"&amp;ROW()),minfo!$A:$M,COLUMN()-8,0),"")</f>
        <v>洛天依,ilem</v>
      </c>
      <c r="L1533" s="4">
        <f ca="1">_xlfn.IFNA(VLOOKUP(INDIRECT("G"&amp;ROW()),minfo!$A:$M,COLUMN()-8,0),"")</f>
        <v>0</v>
      </c>
      <c r="M1533" s="4">
        <f ca="1">_xlfn.IFNA(VLOOKUP(INDIRECT("G"&amp;ROW()),minfo!$A:$M,COLUMN()-8,0),"")</f>
        <v>0</v>
      </c>
      <c r="N1533" s="4">
        <f ca="1">_xlfn.IFNA(VLOOKUP(INDIRECT("G"&amp;ROW()),minfo!$A:$M,COLUMN()-8,0),"")</f>
        <v>0</v>
      </c>
      <c r="O1533" s="4" t="str">
        <f ca="1">_xlfn.IFNA(VLOOKUP(INDIRECT("G"&amp;ROW()),minfo!$A:$M,COLUMN()-8,0),"")</f>
        <v>https://i0.hdslb.com/bfs/station_src/music_metadata/2bf703ca0968210e39946b5a88262f56.jpg</v>
      </c>
      <c r="P1533" s="4">
        <f ca="1">_xlfn.IFNA(VLOOKUP(INDIRECT("G"&amp;ROW()),minfo!$A:$M,COLUMN()-8,0),"")</f>
        <v>0</v>
      </c>
      <c r="Q1533" s="4">
        <f ca="1">_xlfn.IFNA(VLOOKUP(INDIRECT("G"&amp;ROW()),minfo!$A:$M,COLUMN()-8,0),"")</f>
        <v>5625</v>
      </c>
      <c r="R1533" s="4">
        <f ca="1">_xlfn.IFNA(VLOOKUP(INDIRECT("G"&amp;ROW()),minfo!$A:$M,COLUMN()-8,0),"")</f>
        <v>0</v>
      </c>
      <c r="S1533" s="4" t="str">
        <f ca="1">_xlfn.IFNA(VLOOKUP(INDIRECT("G"&amp;ROW()),minfo!$A:$M,COLUMN()-8,0),"")</f>
        <v>2:3</v>
      </c>
      <c r="T1533" s="4">
        <f ca="1">_xlfn.IFNA(VLOOKUP(INDIRECT("G"&amp;ROW()),minfo!$A:$M,COLUMN()-8,0),"")</f>
        <v>733581386</v>
      </c>
      <c r="U1533" s="4">
        <f ca="1">_xlfn.IFNA(VLOOKUP(INDIRECT("G"&amp;ROW()),minfo!$A:$M,COLUMN()-8,0),"")</f>
        <v>0</v>
      </c>
    </row>
    <row r="1534" spans="1:21" ht="15.75" customHeight="1">
      <c r="A1534" s="15">
        <v>1533</v>
      </c>
      <c r="B1534" s="4" t="s">
        <v>5166</v>
      </c>
      <c r="C1534" s="4">
        <v>1534</v>
      </c>
      <c r="D1534" s="4">
        <v>180</v>
      </c>
      <c r="E1534" s="4" t="s">
        <v>2985</v>
      </c>
      <c r="F1534" s="16">
        <v>44832</v>
      </c>
      <c r="G1534" s="5" t="s">
        <v>2984</v>
      </c>
      <c r="H1534" s="5" t="s">
        <v>4978</v>
      </c>
      <c r="I1534" s="24" t="str">
        <f>HYPERLINK("https://www.bilibili.com/video/BV1ta411X75v?p=180", "BV1ta411X75v?p=180")</f>
        <v>BV1ta411X75v?p=180</v>
      </c>
      <c r="J1534" s="4" t="str">
        <f ca="1">_xlfn.IFNA(VLOOKUP(INDIRECT("G"&amp;ROW()),minfo!$A:$M,COLUMN()-8,0),"")</f>
        <v>桃花谣</v>
      </c>
      <c r="K1534" s="4" t="str">
        <f ca="1">_xlfn.IFNA(VLOOKUP(INDIRECT("G"&amp;ROW()),minfo!$A:$M,COLUMN()-8,0),"")</f>
        <v>谭晶</v>
      </c>
      <c r="L1534" s="4">
        <f ca="1">_xlfn.IFNA(VLOOKUP(INDIRECT("G"&amp;ROW()),minfo!$A:$M,COLUMN()-8,0),"")</f>
        <v>0</v>
      </c>
      <c r="M1534" s="4">
        <f ca="1">_xlfn.IFNA(VLOOKUP(INDIRECT("G"&amp;ROW()),minfo!$A:$M,COLUMN()-8,0),"")</f>
        <v>0</v>
      </c>
      <c r="N1534" s="4">
        <f ca="1">_xlfn.IFNA(VLOOKUP(INDIRECT("G"&amp;ROW()),minfo!$A:$M,COLUMN()-8,0),"")</f>
        <v>0</v>
      </c>
      <c r="O1534" s="4" t="str">
        <f ca="1">_xlfn.IFNA(VLOOKUP(INDIRECT("G"&amp;ROW()),minfo!$A:$M,COLUMN()-8,0),"")</f>
        <v>https://i0.hdslb.com/bfs/station_src/music_metadata/0c92fbd0b0d4d2a8786e193c7e105c92.jpg</v>
      </c>
      <c r="P1534" s="4" t="str">
        <f ca="1">_xlfn.IFNA(VLOOKUP(INDIRECT("G"&amp;ROW()),minfo!$A:$M,COLUMN()-8,0),"")</f>
        <v>https://i0.hdslb.com/bfs/station_src/music_metadata/329a416e8a5c8b00daec20bb07f517be.txt</v>
      </c>
      <c r="Q1534" s="4">
        <f ca="1">_xlfn.IFNA(VLOOKUP(INDIRECT("G"&amp;ROW()),minfo!$A:$M,COLUMN()-8,0),"")</f>
        <v>3</v>
      </c>
      <c r="R1534" s="4" t="str">
        <f ca="1">_xlfn.IFNA(VLOOKUP(INDIRECT("G"&amp;ROW()),minfo!$A:$M,COLUMN()-8,0),"")</f>
        <v>《新四军》电视连续剧主题曲</v>
      </c>
      <c r="S1534" s="4" t="str">
        <f ca="1">_xlfn.IFNA(VLOOKUP(INDIRECT("G"&amp;ROW()),minfo!$A:$M,COLUMN()-8,0),"")</f>
        <v>影视精选</v>
      </c>
      <c r="T1534" s="4">
        <f ca="1">_xlfn.IFNA(VLOOKUP(INDIRECT("G"&amp;ROW()),minfo!$A:$M,COLUMN()-8,0),"")</f>
        <v>1052310</v>
      </c>
      <c r="U1534" s="4">
        <f ca="1">_xlfn.IFNA(VLOOKUP(INDIRECT("G"&amp;ROW()),minfo!$A:$M,COLUMN()-8,0),"")</f>
        <v>0</v>
      </c>
    </row>
    <row r="1535" spans="1:21" ht="15.75" customHeight="1">
      <c r="A1535" s="15">
        <v>1534</v>
      </c>
      <c r="B1535" s="4" t="s">
        <v>5167</v>
      </c>
      <c r="C1535" s="4">
        <v>1535</v>
      </c>
      <c r="D1535" s="4">
        <v>181</v>
      </c>
      <c r="E1535" s="4" t="s">
        <v>918</v>
      </c>
      <c r="F1535" s="16">
        <v>44832</v>
      </c>
      <c r="G1535" s="5" t="s">
        <v>917</v>
      </c>
      <c r="H1535" s="5" t="s">
        <v>4978</v>
      </c>
      <c r="I1535" s="24" t="str">
        <f>HYPERLINK("https://www.bilibili.com/video/BV1ta411X75v?p=181", "BV1ta411X75v?p=181")</f>
        <v>BV1ta411X75v?p=181</v>
      </c>
      <c r="J1535" s="4" t="str">
        <f ca="1">_xlfn.IFNA(VLOOKUP(INDIRECT("G"&amp;ROW()),minfo!$A:$M,COLUMN()-8,0),"")</f>
        <v>暗号</v>
      </c>
      <c r="K1535" s="4" t="str">
        <f ca="1">_xlfn.IFNA(VLOOKUP(INDIRECT("G"&amp;ROW()),minfo!$A:$M,COLUMN()-8,0),"")</f>
        <v>周杰伦</v>
      </c>
      <c r="L1535" s="4">
        <f ca="1">_xlfn.IFNA(VLOOKUP(INDIRECT("G"&amp;ROW()),minfo!$A:$M,COLUMN()-8,0),"")</f>
        <v>0</v>
      </c>
      <c r="M1535" s="4">
        <f ca="1">_xlfn.IFNA(VLOOKUP(INDIRECT("G"&amp;ROW()),minfo!$A:$M,COLUMN()-8,0),"")</f>
        <v>0</v>
      </c>
      <c r="N1535" s="4">
        <f ca="1">_xlfn.IFNA(VLOOKUP(INDIRECT("G"&amp;ROW()),minfo!$A:$M,COLUMN()-8,0),"")</f>
        <v>0</v>
      </c>
      <c r="O1535" s="4" t="str">
        <f ca="1">_xlfn.IFNA(VLOOKUP(INDIRECT("G"&amp;ROW()),minfo!$A:$M,COLUMN()-8,0),"")</f>
        <v>https://i0.hdslb.com/bfs/station_src/music_metadata/836d7078552d6143b4a27f54a2a62598.jpg</v>
      </c>
      <c r="P1535" s="4">
        <f ca="1">_xlfn.IFNA(VLOOKUP(INDIRECT("G"&amp;ROW()),minfo!$A:$M,COLUMN()-8,0),"")</f>
        <v>0</v>
      </c>
      <c r="Q1535" s="4">
        <f ca="1">_xlfn.IFNA(VLOOKUP(INDIRECT("G"&amp;ROW()),minfo!$A:$M,COLUMN()-8,0),"")</f>
        <v>8346</v>
      </c>
      <c r="R1535" s="4">
        <f ca="1">_xlfn.IFNA(VLOOKUP(INDIRECT("G"&amp;ROW()),minfo!$A:$M,COLUMN()-8,0),"")</f>
        <v>0</v>
      </c>
      <c r="S1535" s="4" t="str">
        <f ca="1">_xlfn.IFNA(VLOOKUP(INDIRECT("G"&amp;ROW()),minfo!$A:$M,COLUMN()-8,0),"")</f>
        <v>八度空间</v>
      </c>
      <c r="T1535" s="4">
        <f ca="1">_xlfn.IFNA(VLOOKUP(INDIRECT("G"&amp;ROW()),minfo!$A:$M,COLUMN()-8,0),"")</f>
        <v>445692889</v>
      </c>
      <c r="U1535" s="4">
        <f ca="1">_xlfn.IFNA(VLOOKUP(INDIRECT("G"&amp;ROW()),minfo!$A:$M,COLUMN()-8,0),"")</f>
        <v>0</v>
      </c>
    </row>
    <row r="1536" spans="1:21" ht="15.75" customHeight="1">
      <c r="A1536" s="15">
        <v>1535</v>
      </c>
      <c r="B1536" s="4" t="s">
        <v>5168</v>
      </c>
      <c r="C1536" s="4">
        <v>1536</v>
      </c>
      <c r="D1536" s="4">
        <v>182</v>
      </c>
      <c r="E1536" s="4" t="s">
        <v>2848</v>
      </c>
      <c r="F1536" s="16">
        <v>44832</v>
      </c>
      <c r="G1536" s="5" t="s">
        <v>2847</v>
      </c>
      <c r="H1536" s="5" t="s">
        <v>4978</v>
      </c>
      <c r="I1536" s="24" t="str">
        <f>HYPERLINK("https://www.bilibili.com/video/BV1ta411X75v?p=182", "BV1ta411X75v?p=182")</f>
        <v>BV1ta411X75v?p=182</v>
      </c>
      <c r="J1536" s="4" t="str">
        <f ca="1">_xlfn.IFNA(VLOOKUP(INDIRECT("G"&amp;ROW()),minfo!$A:$M,COLUMN()-8,0),"")</f>
        <v>先行离去</v>
      </c>
      <c r="K1536" s="4" t="str">
        <f ca="1">_xlfn.IFNA(VLOOKUP(INDIRECT("G"&amp;ROW()),minfo!$A:$M,COLUMN()-8,0),"")</f>
        <v>吴奇</v>
      </c>
      <c r="L1536" s="4">
        <f ca="1">_xlfn.IFNA(VLOOKUP(INDIRECT("G"&amp;ROW()),minfo!$A:$M,COLUMN()-8,0),"")</f>
        <v>0</v>
      </c>
      <c r="M1536" s="4">
        <f ca="1">_xlfn.IFNA(VLOOKUP(INDIRECT("G"&amp;ROW()),minfo!$A:$M,COLUMN()-8,0),"")</f>
        <v>0</v>
      </c>
      <c r="N1536" s="4">
        <f ca="1">_xlfn.IFNA(VLOOKUP(INDIRECT("G"&amp;ROW()),minfo!$A:$M,COLUMN()-8,0),"")</f>
        <v>0</v>
      </c>
      <c r="O1536" s="4" t="str">
        <f ca="1">_xlfn.IFNA(VLOOKUP(INDIRECT("G"&amp;ROW()),minfo!$A:$M,COLUMN()-8,0),"")</f>
        <v>https://i0.hdslb.com/bfs/station_src/music_metadata/2ab3a218dcb31c125ffa43f2fed50fdc.jpg</v>
      </c>
      <c r="P1536" s="4" t="str">
        <f ca="1">_xlfn.IFNA(VLOOKUP(INDIRECT("G"&amp;ROW()),minfo!$A:$M,COLUMN()-8,0),"")</f>
        <v>https://i0.hdslb.com/bfs/station_src/music_metadata/3d41af6e60a94a6efa1b22cc893bcf2e.txt</v>
      </c>
      <c r="Q1536" s="4">
        <f ca="1">_xlfn.IFNA(VLOOKUP(INDIRECT("G"&amp;ROW()),minfo!$A:$M,COLUMN()-8,0),"")</f>
        <v>0</v>
      </c>
      <c r="R1536" s="4">
        <f ca="1">_xlfn.IFNA(VLOOKUP(INDIRECT("G"&amp;ROW()),minfo!$A:$M,COLUMN()-8,0),"")</f>
        <v>0</v>
      </c>
      <c r="S1536" s="4" t="str">
        <f ca="1">_xlfn.IFNA(VLOOKUP(INDIRECT("G"&amp;ROW()),minfo!$A:$M,COLUMN()-8,0),"")</f>
        <v>先行离去</v>
      </c>
      <c r="T1536" s="4">
        <f ca="1">_xlfn.IFNA(VLOOKUP(INDIRECT("G"&amp;ROW()),minfo!$A:$M,COLUMN()-8,0),"")</f>
        <v>46506</v>
      </c>
      <c r="U1536" s="4">
        <f ca="1">_xlfn.IFNA(VLOOKUP(INDIRECT("G"&amp;ROW()),minfo!$A:$M,COLUMN()-8,0),"")</f>
        <v>0</v>
      </c>
    </row>
    <row r="1537" spans="1:21" ht="15.75" customHeight="1">
      <c r="A1537" s="15">
        <v>1536</v>
      </c>
      <c r="B1537" s="4" t="s">
        <v>5169</v>
      </c>
      <c r="C1537" s="4">
        <v>1537</v>
      </c>
      <c r="D1537" s="4">
        <v>183</v>
      </c>
      <c r="E1537" s="4" t="s">
        <v>2264</v>
      </c>
      <c r="F1537" s="16">
        <v>44834</v>
      </c>
      <c r="G1537" s="5" t="s">
        <v>2263</v>
      </c>
      <c r="H1537" s="5" t="s">
        <v>4978</v>
      </c>
      <c r="I1537" s="24" t="str">
        <f>HYPERLINK("https://www.bilibili.com/video/BV1ta411X75v?p=183", "BV1ta411X75v?p=183")</f>
        <v>BV1ta411X75v?p=183</v>
      </c>
      <c r="J1537" s="4" t="str">
        <f ca="1">_xlfn.IFNA(VLOOKUP(INDIRECT("G"&amp;ROW()),minfo!$A:$M,COLUMN()-8,0),"")</f>
        <v>一不小心爱上你</v>
      </c>
      <c r="K1537" s="4" t="str">
        <f ca="1">_xlfn.IFNA(VLOOKUP(INDIRECT("G"&amp;ROW()),minfo!$A:$M,COLUMN()-8,0),"")</f>
        <v>张翰,江映蓉</v>
      </c>
      <c r="L1537" s="4">
        <f ca="1">_xlfn.IFNA(VLOOKUP(INDIRECT("G"&amp;ROW()),minfo!$A:$M,COLUMN()-8,0),"")</f>
        <v>0</v>
      </c>
      <c r="M1537" s="4">
        <f ca="1">_xlfn.IFNA(VLOOKUP(INDIRECT("G"&amp;ROW()),minfo!$A:$M,COLUMN()-8,0),"")</f>
        <v>0</v>
      </c>
      <c r="N1537" s="4">
        <f ca="1">_xlfn.IFNA(VLOOKUP(INDIRECT("G"&amp;ROW()),minfo!$A:$M,COLUMN()-8,0),"")</f>
        <v>0</v>
      </c>
      <c r="O1537" s="4" t="str">
        <f ca="1">_xlfn.IFNA(VLOOKUP(INDIRECT("G"&amp;ROW()),minfo!$A:$M,COLUMN()-8,0),"")</f>
        <v>https://i0.hdslb.com/bfs/station_src/music_metadata/cafb2ccf9a624838095d727bb0b0908f.jpg</v>
      </c>
      <c r="P1537" s="4" t="str">
        <f ca="1">_xlfn.IFNA(VLOOKUP(INDIRECT("G"&amp;ROW()),minfo!$A:$M,COLUMN()-8,0),"")</f>
        <v>https://i0.hdslb.com/bfs/station_src/music_metadata/a660c8b2ee98ee1e15a5323134ad7640.txt</v>
      </c>
      <c r="Q1537" s="4">
        <f ca="1">_xlfn.IFNA(VLOOKUP(INDIRECT("G"&amp;ROW()),minfo!$A:$M,COLUMN()-8,0),"")</f>
        <v>11</v>
      </c>
      <c r="R1537" s="4" t="str">
        <f ca="1">_xlfn.IFNA(VLOOKUP(INDIRECT("G"&amp;ROW()),minfo!$A:$M,COLUMN()-8,0),"")</f>
        <v>电视剧《一不小心爱上你》主题曲</v>
      </c>
      <c r="S1537" s="4" t="str">
        <f ca="1">_xlfn.IFNA(VLOOKUP(INDIRECT("G"&amp;ROW()),minfo!$A:$M,COLUMN()-8,0),"")</f>
        <v>一不小心爱上你 电视剧原声带</v>
      </c>
      <c r="T1537" s="4">
        <f ca="1">_xlfn.IFNA(VLOOKUP(INDIRECT("G"&amp;ROW()),minfo!$A:$M,COLUMN()-8,0),"")</f>
        <v>2500283</v>
      </c>
      <c r="U1537" s="4">
        <f ca="1">_xlfn.IFNA(VLOOKUP(INDIRECT("G"&amp;ROW()),minfo!$A:$M,COLUMN()-8,0),"")</f>
        <v>0</v>
      </c>
    </row>
    <row r="1538" spans="1:21" ht="15.75" customHeight="1">
      <c r="A1538" s="15">
        <v>1537</v>
      </c>
      <c r="B1538" s="4" t="s">
        <v>5170</v>
      </c>
      <c r="C1538" s="4">
        <v>1538</v>
      </c>
      <c r="D1538" s="4">
        <v>184</v>
      </c>
      <c r="E1538" s="4" t="s">
        <v>546</v>
      </c>
      <c r="F1538" s="16">
        <v>44834</v>
      </c>
      <c r="G1538" s="5" t="s">
        <v>545</v>
      </c>
      <c r="H1538" s="5" t="s">
        <v>4978</v>
      </c>
      <c r="I1538" s="24" t="str">
        <f>HYPERLINK("https://www.bilibili.com/video/BV1ta411X75v?p=184", "BV1ta411X75v?p=184")</f>
        <v>BV1ta411X75v?p=184</v>
      </c>
      <c r="J1538" s="4" t="str">
        <f ca="1">_xlfn.IFNA(VLOOKUP(INDIRECT("G"&amp;ROW()),minfo!$A:$M,COLUMN()-8,0),"")</f>
        <v>阿楚姑娘</v>
      </c>
      <c r="K1538" s="4" t="str">
        <f ca="1">_xlfn.IFNA(VLOOKUP(INDIRECT("G"&amp;ROW()),minfo!$A:$M,COLUMN()-8,0),"")</f>
        <v>袁娅维TIA RAY</v>
      </c>
      <c r="L1538" s="4">
        <f ca="1">_xlfn.IFNA(VLOOKUP(INDIRECT("G"&amp;ROW()),minfo!$A:$M,COLUMN()-8,0),"")</f>
        <v>0</v>
      </c>
      <c r="M1538" s="4">
        <f ca="1">_xlfn.IFNA(VLOOKUP(INDIRECT("G"&amp;ROW()),minfo!$A:$M,COLUMN()-8,0),"")</f>
        <v>0</v>
      </c>
      <c r="N1538" s="4">
        <f ca="1">_xlfn.IFNA(VLOOKUP(INDIRECT("G"&amp;ROW()),minfo!$A:$M,COLUMN()-8,0),"")</f>
        <v>0</v>
      </c>
      <c r="O1538" s="4" t="str">
        <f ca="1">_xlfn.IFNA(VLOOKUP(INDIRECT("G"&amp;ROW()),minfo!$A:$M,COLUMN()-8,0),"")</f>
        <v>http://i0.hdslb.com/bfs/station_src/music_metadata/490252348b1df68e4145357b5fc3aad5.jpg</v>
      </c>
      <c r="P1538" s="4" t="str">
        <f ca="1">_xlfn.IFNA(VLOOKUP(INDIRECT("G"&amp;ROW()),minfo!$A:$M,COLUMN()-8,0),"")</f>
        <v>http://i0.hdslb.com/bfs/station_src/music_metadata/03c91235e156d3e1f46836f93beeb9f7</v>
      </c>
      <c r="Q1538" s="4">
        <f ca="1">_xlfn.IFNA(VLOOKUP(INDIRECT("G"&amp;ROW()),minfo!$A:$M,COLUMN()-8,0),"")</f>
        <v>139</v>
      </c>
      <c r="R1538" s="4">
        <f ca="1">_xlfn.IFNA(VLOOKUP(INDIRECT("G"&amp;ROW()),minfo!$A:$M,COLUMN()-8,0),"")</f>
        <v>0</v>
      </c>
      <c r="S1538" s="4" t="str">
        <f ca="1">_xlfn.IFNA(VLOOKUP(INDIRECT("G"&amp;ROW()),minfo!$A:$M,COLUMN()-8,0),"")</f>
        <v>阿楚姑娘</v>
      </c>
      <c r="T1538" s="4">
        <f ca="1">_xlfn.IFNA(VLOOKUP(INDIRECT("G"&amp;ROW()),minfo!$A:$M,COLUMN()-8,0),"")</f>
        <v>27303668</v>
      </c>
      <c r="U1538" s="4">
        <f ca="1">_xlfn.IFNA(VLOOKUP(INDIRECT("G"&amp;ROW()),minfo!$A:$M,COLUMN()-8,0),"")</f>
        <v>0</v>
      </c>
    </row>
    <row r="1539" spans="1:21" ht="15.75" customHeight="1">
      <c r="A1539" s="15">
        <v>1538</v>
      </c>
      <c r="B1539" s="4" t="s">
        <v>5171</v>
      </c>
      <c r="C1539" s="4">
        <v>1539</v>
      </c>
      <c r="D1539" s="4">
        <v>185</v>
      </c>
      <c r="E1539" s="4" t="s">
        <v>550</v>
      </c>
      <c r="F1539" s="16">
        <v>44834</v>
      </c>
      <c r="G1539" s="5" t="s">
        <v>549</v>
      </c>
      <c r="H1539" s="5" t="s">
        <v>4978</v>
      </c>
      <c r="I1539" s="24" t="str">
        <f>HYPERLINK("https://www.bilibili.com/video/BV1ta411X75v?p=185", "BV1ta411X75v?p=185")</f>
        <v>BV1ta411X75v?p=185</v>
      </c>
      <c r="J1539" s="4" t="str">
        <f ca="1">_xlfn.IFNA(VLOOKUP(INDIRECT("G"&amp;ROW()),minfo!$A:$M,COLUMN()-8,0),"")</f>
        <v>靠近</v>
      </c>
      <c r="K1539" s="4" t="str">
        <f ca="1">_xlfn.IFNA(VLOOKUP(INDIRECT("G"&amp;ROW()),minfo!$A:$M,COLUMN()-8,0),"")</f>
        <v>罗震环</v>
      </c>
      <c r="L1539" s="4">
        <f ca="1">_xlfn.IFNA(VLOOKUP(INDIRECT("G"&amp;ROW()),minfo!$A:$M,COLUMN()-8,0),"")</f>
        <v>0</v>
      </c>
      <c r="M1539" s="4">
        <f ca="1">_xlfn.IFNA(VLOOKUP(INDIRECT("G"&amp;ROW()),minfo!$A:$M,COLUMN()-8,0),"")</f>
        <v>0</v>
      </c>
      <c r="N1539" s="4">
        <f ca="1">_xlfn.IFNA(VLOOKUP(INDIRECT("G"&amp;ROW()),minfo!$A:$M,COLUMN()-8,0),"")</f>
        <v>0</v>
      </c>
      <c r="O1539" s="4" t="str">
        <f ca="1">_xlfn.IFNA(VLOOKUP(INDIRECT("G"&amp;ROW()),minfo!$A:$M,COLUMN()-8,0),"")</f>
        <v>https://i0.hdslb.com/bfs/station_src/music_metadata/38ab4a46f651a446f01ba757be262549.jpg</v>
      </c>
      <c r="P1539" s="4" t="str">
        <f ca="1">_xlfn.IFNA(VLOOKUP(INDIRECT("G"&amp;ROW()),minfo!$A:$M,COLUMN()-8,0),"")</f>
        <v>https://i0.hdslb.com/bfs/station_src/music_metadata/1aa4ee4fef9645e7092232f4801fb704.txt</v>
      </c>
      <c r="Q1539" s="4">
        <f ca="1">_xlfn.IFNA(VLOOKUP(INDIRECT("G"&amp;ROW()),minfo!$A:$M,COLUMN()-8,0),"")</f>
        <v>1651</v>
      </c>
      <c r="R1539" s="4" t="str">
        <f ca="1">_xlfn.IFNA(VLOOKUP(INDIRECT("G"&amp;ROW()),minfo!$A:$M,COLUMN()-8,0),"")</f>
        <v>《爱情公寓3》电视剧片尾曲</v>
      </c>
      <c r="S1539" s="4" t="str">
        <f ca="1">_xlfn.IFNA(VLOOKUP(INDIRECT("G"&amp;ROW()),minfo!$A:$M,COLUMN()-8,0),"")</f>
        <v>爱情公寓3 电视剧原声带</v>
      </c>
      <c r="T1539" s="4">
        <f ca="1">_xlfn.IFNA(VLOOKUP(INDIRECT("G"&amp;ROW()),minfo!$A:$M,COLUMN()-8,0),"")</f>
        <v>197851447</v>
      </c>
      <c r="U1539" s="4">
        <f ca="1">_xlfn.IFNA(VLOOKUP(INDIRECT("G"&amp;ROW()),minfo!$A:$M,COLUMN()-8,0),"")</f>
        <v>0</v>
      </c>
    </row>
    <row r="1540" spans="1:21" ht="15.75" customHeight="1">
      <c r="A1540" s="15">
        <v>1539</v>
      </c>
      <c r="B1540" s="4" t="s">
        <v>5172</v>
      </c>
      <c r="C1540" s="4">
        <v>1540</v>
      </c>
      <c r="D1540" s="4">
        <v>186</v>
      </c>
      <c r="E1540" s="4" t="s">
        <v>5173</v>
      </c>
      <c r="F1540" s="16">
        <v>44834</v>
      </c>
      <c r="G1540" s="5" t="s">
        <v>2990</v>
      </c>
      <c r="H1540" s="5" t="s">
        <v>4978</v>
      </c>
      <c r="I1540" s="24" t="str">
        <f>HYPERLINK("https://www.bilibili.com/video/BV1ta411X75v?p=186", "BV1ta411X75v?p=186")</f>
        <v>BV1ta411X75v?p=186</v>
      </c>
      <c r="J1540" s="4" t="str">
        <f ca="1">_xlfn.IFNA(VLOOKUP(INDIRECT("G"&amp;ROW()),minfo!$A:$M,COLUMN()-8,0),"")</f>
        <v>Need You Now</v>
      </c>
      <c r="K1540" s="4" t="str">
        <f ca="1">_xlfn.IFNA(VLOOKUP(INDIRECT("G"&amp;ROW()),minfo!$A:$M,COLUMN()-8,0),"")</f>
        <v>Lady A</v>
      </c>
      <c r="L1540" s="4">
        <f ca="1">_xlfn.IFNA(VLOOKUP(INDIRECT("G"&amp;ROW()),minfo!$A:$M,COLUMN()-8,0),"")</f>
        <v>0</v>
      </c>
      <c r="M1540" s="4">
        <f ca="1">_xlfn.IFNA(VLOOKUP(INDIRECT("G"&amp;ROW()),minfo!$A:$M,COLUMN()-8,0),"")</f>
        <v>2</v>
      </c>
      <c r="N1540" s="4">
        <f ca="1">_xlfn.IFNA(VLOOKUP(INDIRECT("G"&amp;ROW()),minfo!$A:$M,COLUMN()-8,0),"")</f>
        <v>1</v>
      </c>
      <c r="O1540" s="4" t="str">
        <f ca="1">_xlfn.IFNA(VLOOKUP(INDIRECT("G"&amp;ROW()),minfo!$A:$M,COLUMN()-8,0),"")</f>
        <v>https://i0.hdslb.com/bfs/station_src/music_metadata/f361826ed75ce4a58feb86f022a32521.jpg</v>
      </c>
      <c r="P1540" s="4" t="str">
        <f ca="1">_xlfn.IFNA(VLOOKUP(INDIRECT("G"&amp;ROW()),minfo!$A:$M,COLUMN()-8,0),"")</f>
        <v>https://i0.hdslb.com/bfs/station_src/music_metadata/3a0c46d35307166f4f847a51571a30f7.txt</v>
      </c>
      <c r="Q1540" s="4">
        <f ca="1">_xlfn.IFNA(VLOOKUP(INDIRECT("G"&amp;ROW()),minfo!$A:$M,COLUMN()-8,0),"")</f>
        <v>155</v>
      </c>
      <c r="R1540" s="4">
        <f ca="1">_xlfn.IFNA(VLOOKUP(INDIRECT("G"&amp;ROW()),minfo!$A:$M,COLUMN()-8,0),"")</f>
        <v>0</v>
      </c>
      <c r="S1540" s="4" t="str">
        <f ca="1">_xlfn.IFNA(VLOOKUP(INDIRECT("G"&amp;ROW()),minfo!$A:$M,COLUMN()-8,0),"")</f>
        <v>Need You Now (Deluxe)</v>
      </c>
      <c r="T1540" s="4">
        <f ca="1">_xlfn.IFNA(VLOOKUP(INDIRECT("G"&amp;ROW()),minfo!$A:$M,COLUMN()-8,0),"")</f>
        <v>64805611</v>
      </c>
      <c r="U1540" s="4">
        <f ca="1">_xlfn.IFNA(VLOOKUP(INDIRECT("G"&amp;ROW()),minfo!$A:$M,COLUMN()-8,0),"")</f>
        <v>0</v>
      </c>
    </row>
    <row r="1541" spans="1:21" ht="15.75" customHeight="1">
      <c r="A1541" s="15">
        <v>1540</v>
      </c>
      <c r="B1541" s="4" t="s">
        <v>5174</v>
      </c>
      <c r="C1541" s="4">
        <v>1541</v>
      </c>
      <c r="D1541" s="4">
        <v>187</v>
      </c>
      <c r="E1541" s="4" t="s">
        <v>342</v>
      </c>
      <c r="F1541" s="16">
        <v>44834</v>
      </c>
      <c r="G1541" s="5" t="s">
        <v>341</v>
      </c>
      <c r="H1541" s="5" t="s">
        <v>4978</v>
      </c>
      <c r="I1541" s="24" t="str">
        <f>HYPERLINK("https://www.bilibili.com/video/BV1ta411X75v?p=187", "BV1ta411X75v?p=187")</f>
        <v>BV1ta411X75v?p=187</v>
      </c>
      <c r="J1541" s="4" t="str">
        <f ca="1">_xlfn.IFNA(VLOOKUP(INDIRECT("G"&amp;ROW()),minfo!$A:$M,COLUMN()-8,0),"")</f>
        <v>灯火里的中国</v>
      </c>
      <c r="K1541" s="4" t="str">
        <f ca="1">_xlfn.IFNA(VLOOKUP(INDIRECT("G"&amp;ROW()),minfo!$A:$M,COLUMN()-8,0),"")</f>
        <v>张也 / 周深</v>
      </c>
      <c r="L1541" s="4">
        <f ca="1">_xlfn.IFNA(VLOOKUP(INDIRECT("G"&amp;ROW()),minfo!$A:$M,COLUMN()-8,0),"")</f>
        <v>0</v>
      </c>
      <c r="M1541" s="4">
        <f ca="1">_xlfn.IFNA(VLOOKUP(INDIRECT("G"&amp;ROW()),minfo!$A:$M,COLUMN()-8,0),"")</f>
        <v>0</v>
      </c>
      <c r="N1541" s="4">
        <f ca="1">_xlfn.IFNA(VLOOKUP(INDIRECT("G"&amp;ROW()),minfo!$A:$M,COLUMN()-8,0),"")</f>
        <v>0</v>
      </c>
      <c r="O1541" s="4" t="str">
        <f ca="1">_xlfn.IFNA(VLOOKUP(INDIRECT("G"&amp;ROW()),minfo!$A:$M,COLUMN()-8,0),"")</f>
        <v>http://i0.hdslb.com/bfs/station_src/music_metadata/0924bf85b82fa62dfcdce38ffb74da1a.jpg</v>
      </c>
      <c r="P1541" s="4" t="str">
        <f ca="1">_xlfn.IFNA(VLOOKUP(INDIRECT("G"&amp;ROW()),minfo!$A:$M,COLUMN()-8,0),"")</f>
        <v>http://i0.hdslb.com/bfs/station_src/music_metadata/6398db62f5d229235035926dbc914370</v>
      </c>
      <c r="Q1541" s="4">
        <f ca="1">_xlfn.IFNA(VLOOKUP(INDIRECT("G"&amp;ROW()),minfo!$A:$M,COLUMN()-8,0),"")</f>
        <v>620</v>
      </c>
      <c r="R1541" s="4">
        <f ca="1">_xlfn.IFNA(VLOOKUP(INDIRECT("G"&amp;ROW()),minfo!$A:$M,COLUMN()-8,0),"")</f>
        <v>0</v>
      </c>
      <c r="S1541" s="4">
        <f ca="1">_xlfn.IFNA(VLOOKUP(INDIRECT("G"&amp;ROW()),minfo!$A:$M,COLUMN()-8,0),"")</f>
        <v>0</v>
      </c>
      <c r="T1541" s="4">
        <f ca="1">_xlfn.IFNA(VLOOKUP(INDIRECT("G"&amp;ROW()),minfo!$A:$M,COLUMN()-8,0),"")</f>
        <v>86381272</v>
      </c>
      <c r="U1541" s="4">
        <f ca="1">_xlfn.IFNA(VLOOKUP(INDIRECT("G"&amp;ROW()),minfo!$A:$M,COLUMN()-8,0),"")</f>
        <v>0</v>
      </c>
    </row>
    <row r="1542" spans="1:21" ht="15.75" customHeight="1">
      <c r="A1542" s="15">
        <v>1541</v>
      </c>
      <c r="B1542" s="4" t="s">
        <v>5175</v>
      </c>
      <c r="C1542" s="4">
        <v>1542</v>
      </c>
      <c r="D1542" s="4">
        <v>188</v>
      </c>
      <c r="E1542" s="4" t="s">
        <v>259</v>
      </c>
      <c r="F1542" s="16">
        <v>44834</v>
      </c>
      <c r="G1542" s="5" t="s">
        <v>258</v>
      </c>
      <c r="H1542" s="5" t="s">
        <v>4978</v>
      </c>
      <c r="I1542" s="24" t="str">
        <f>HYPERLINK("https://www.bilibili.com/video/BV1ta411X75v?p=188", "BV1ta411X75v?p=188")</f>
        <v>BV1ta411X75v?p=188</v>
      </c>
      <c r="J1542" s="4" t="str">
        <f ca="1">_xlfn.IFNA(VLOOKUP(INDIRECT("G"&amp;ROW()),minfo!$A:$M,COLUMN()-8,0),"")</f>
        <v>枫</v>
      </c>
      <c r="K1542" s="4" t="str">
        <f ca="1">_xlfn.IFNA(VLOOKUP(INDIRECT("G"&amp;ROW()),minfo!$A:$M,COLUMN()-8,0),"")</f>
        <v>周杰伦</v>
      </c>
      <c r="L1542" s="4">
        <f ca="1">_xlfn.IFNA(VLOOKUP(INDIRECT("G"&amp;ROW()),minfo!$A:$M,COLUMN()-8,0),"")</f>
        <v>0</v>
      </c>
      <c r="M1542" s="4">
        <f ca="1">_xlfn.IFNA(VLOOKUP(INDIRECT("G"&amp;ROW()),minfo!$A:$M,COLUMN()-8,0),"")</f>
        <v>0</v>
      </c>
      <c r="N1542" s="4">
        <f ca="1">_xlfn.IFNA(VLOOKUP(INDIRECT("G"&amp;ROW()),minfo!$A:$M,COLUMN()-8,0),"")</f>
        <v>0</v>
      </c>
      <c r="O1542" s="4" t="str">
        <f ca="1">_xlfn.IFNA(VLOOKUP(INDIRECT("G"&amp;ROW()),minfo!$A:$M,COLUMN()-8,0),"")</f>
        <v>https://i0.hdslb.com/bfs/station_src/music_metadata/fb82b0fb2908b09d88ba13ef0db91863.jpg</v>
      </c>
      <c r="P1542" s="4" t="str">
        <f ca="1">_xlfn.IFNA(VLOOKUP(INDIRECT("G"&amp;ROW()),minfo!$A:$M,COLUMN()-8,0),"")</f>
        <v>http://i0.hdslb.com/bfs/station_src/music_metadata/9b1e7a89ea3eead8b8c6b32cdb30abd9</v>
      </c>
      <c r="Q1542" s="4">
        <f ca="1">_xlfn.IFNA(VLOOKUP(INDIRECT("G"&amp;ROW()),minfo!$A:$M,COLUMN()-8,0),"")</f>
        <v>6002</v>
      </c>
      <c r="R1542" s="4">
        <f ca="1">_xlfn.IFNA(VLOOKUP(INDIRECT("G"&amp;ROW()),minfo!$A:$M,COLUMN()-8,0),"")</f>
        <v>0</v>
      </c>
      <c r="S1542" s="4" t="str">
        <f ca="1">_xlfn.IFNA(VLOOKUP(INDIRECT("G"&amp;ROW()),minfo!$A:$M,COLUMN()-8,0),"")</f>
        <v>十一月的萧邦</v>
      </c>
      <c r="T1542" s="4">
        <f ca="1">_xlfn.IFNA(VLOOKUP(INDIRECT("G"&amp;ROW()),minfo!$A:$M,COLUMN()-8,0),"")</f>
        <v>560749777</v>
      </c>
      <c r="U1542" s="4">
        <f ca="1">_xlfn.IFNA(VLOOKUP(INDIRECT("G"&amp;ROW()),minfo!$A:$M,COLUMN()-8,0),"")</f>
        <v>0</v>
      </c>
    </row>
    <row r="1543" spans="1:21" ht="15.75" customHeight="1">
      <c r="A1543" s="15">
        <v>1542</v>
      </c>
      <c r="B1543" s="4" t="s">
        <v>5176</v>
      </c>
      <c r="C1543" s="4">
        <v>1543</v>
      </c>
      <c r="D1543" s="4">
        <v>189</v>
      </c>
      <c r="E1543" s="4" t="s">
        <v>390</v>
      </c>
      <c r="F1543" s="16">
        <v>44834</v>
      </c>
      <c r="G1543" s="5" t="s">
        <v>389</v>
      </c>
      <c r="H1543" s="5" t="s">
        <v>4978</v>
      </c>
      <c r="I1543" s="24" t="str">
        <f>HYPERLINK("https://www.bilibili.com/video/BV1ta411X75v?p=189", "BV1ta411X75v?p=189")</f>
        <v>BV1ta411X75v?p=189</v>
      </c>
      <c r="J1543" s="4" t="str">
        <f ca="1">_xlfn.IFNA(VLOOKUP(INDIRECT("G"&amp;ROW()),minfo!$A:$M,COLUMN()-8,0),"")</f>
        <v>龙卷风</v>
      </c>
      <c r="K1543" s="4" t="str">
        <f ca="1">_xlfn.IFNA(VLOOKUP(INDIRECT("G"&amp;ROW()),minfo!$A:$M,COLUMN()-8,0),"")</f>
        <v>周杰伦</v>
      </c>
      <c r="L1543" s="4">
        <f ca="1">_xlfn.IFNA(VLOOKUP(INDIRECT("G"&amp;ROW()),minfo!$A:$M,COLUMN()-8,0),"")</f>
        <v>0</v>
      </c>
      <c r="M1543" s="4">
        <f ca="1">_xlfn.IFNA(VLOOKUP(INDIRECT("G"&amp;ROW()),minfo!$A:$M,COLUMN()-8,0),"")</f>
        <v>0</v>
      </c>
      <c r="N1543" s="4">
        <f ca="1">_xlfn.IFNA(VLOOKUP(INDIRECT("G"&amp;ROW()),minfo!$A:$M,COLUMN()-8,0),"")</f>
        <v>0</v>
      </c>
      <c r="O1543" s="4" t="str">
        <f ca="1">_xlfn.IFNA(VLOOKUP(INDIRECT("G"&amp;ROW()),minfo!$A:$M,COLUMN()-8,0),"")</f>
        <v>https://i0.hdslb.com/bfs/station_src/music_metadata/d343e724b396706e5d98b10b1def1e6a.jpg</v>
      </c>
      <c r="P1543" s="4" t="str">
        <f ca="1">_xlfn.IFNA(VLOOKUP(INDIRECT("G"&amp;ROW()),minfo!$A:$M,COLUMN()-8,0),"")</f>
        <v>http://i0.hdslb.com/bfs/station_src/music_metadata/8c8d724377f706aa02f776532d7ecf5f</v>
      </c>
      <c r="Q1543" s="4">
        <f ca="1">_xlfn.IFNA(VLOOKUP(INDIRECT("G"&amp;ROW()),minfo!$A:$M,COLUMN()-8,0),"")</f>
        <v>4083</v>
      </c>
      <c r="R1543" s="4">
        <f ca="1">_xlfn.IFNA(VLOOKUP(INDIRECT("G"&amp;ROW()),minfo!$A:$M,COLUMN()-8,0),"")</f>
        <v>0</v>
      </c>
      <c r="S1543" s="4" t="str">
        <f ca="1">_xlfn.IFNA(VLOOKUP(INDIRECT("G"&amp;ROW()),minfo!$A:$M,COLUMN()-8,0),"")</f>
        <v>Jay</v>
      </c>
      <c r="T1543" s="4">
        <f ca="1">_xlfn.IFNA(VLOOKUP(INDIRECT("G"&amp;ROW()),minfo!$A:$M,COLUMN()-8,0),"")</f>
        <v>457122858</v>
      </c>
      <c r="U1543" s="4">
        <f ca="1">_xlfn.IFNA(VLOOKUP(INDIRECT("G"&amp;ROW()),minfo!$A:$M,COLUMN()-8,0),"")</f>
        <v>0</v>
      </c>
    </row>
    <row r="1544" spans="1:21" ht="15.75" customHeight="1">
      <c r="A1544" s="15">
        <v>1543</v>
      </c>
      <c r="B1544" s="4" t="s">
        <v>5177</v>
      </c>
      <c r="C1544" s="4">
        <v>1544</v>
      </c>
      <c r="D1544" s="4">
        <v>1</v>
      </c>
      <c r="E1544" s="4" t="s">
        <v>3973</v>
      </c>
      <c r="F1544" s="16">
        <v>44197</v>
      </c>
      <c r="G1544" s="5" t="s">
        <v>1265</v>
      </c>
      <c r="H1544" s="5" t="s">
        <v>5178</v>
      </c>
      <c r="I1544" s="24" t="str">
        <f>HYPERLINK("https://www.bilibili.com/video/BV1kQ4y1z7WD?p=1", "BV1kQ4y1z7WD?p=1")</f>
        <v>BV1kQ4y1z7WD?p=1</v>
      </c>
      <c r="J1544" s="4" t="str">
        <f ca="1">_xlfn.IFNA(VLOOKUP(INDIRECT("G"&amp;ROW()),minfo!$A:$M,COLUMN()-8,0),"")</f>
        <v>Reflection</v>
      </c>
      <c r="K1544" s="4" t="str">
        <f ca="1">_xlfn.IFNA(VLOOKUP(INDIRECT("G"&amp;ROW()),minfo!$A:$M,COLUMN()-8,0),"")</f>
        <v>Christina Aguilera</v>
      </c>
      <c r="L1544" s="4">
        <f ca="1">_xlfn.IFNA(VLOOKUP(INDIRECT("G"&amp;ROW()),minfo!$A:$M,COLUMN()-8,0),"")</f>
        <v>0</v>
      </c>
      <c r="M1544" s="4">
        <f ca="1">_xlfn.IFNA(VLOOKUP(INDIRECT("G"&amp;ROW()),minfo!$A:$M,COLUMN()-8,0),"")</f>
        <v>0</v>
      </c>
      <c r="N1544" s="4">
        <f ca="1">_xlfn.IFNA(VLOOKUP(INDIRECT("G"&amp;ROW()),minfo!$A:$M,COLUMN()-8,0),"")</f>
        <v>0</v>
      </c>
      <c r="O1544" s="4" t="str">
        <f ca="1">_xlfn.IFNA(VLOOKUP(INDIRECT("G"&amp;ROW()),minfo!$A:$M,COLUMN()-8,0),"")</f>
        <v>https://i0.hdslb.com/bfs/station_src/music_metadata/0d7f271e6f2c08fc7ca8314568eac002.jpg</v>
      </c>
      <c r="P1544" s="4" t="str">
        <f ca="1">_xlfn.IFNA(VLOOKUP(INDIRECT("G"&amp;ROW()),minfo!$A:$M,COLUMN()-8,0),"")</f>
        <v>https://i0.hdslb.com/bfs/station_src/music_metadata/bd734f3bc162e7d8c76d4cf3e4b594c3.txt</v>
      </c>
      <c r="Q1544" s="4">
        <f ca="1">_xlfn.IFNA(VLOOKUP(INDIRECT("G"&amp;ROW()),minfo!$A:$M,COLUMN()-8,0),"")</f>
        <v>64</v>
      </c>
      <c r="R1544" s="4" t="str">
        <f ca="1">_xlfn.IFNA(VLOOKUP(INDIRECT("G"&amp;ROW()),minfo!$A:$M,COLUMN()-8,0),"")</f>
        <v>动画电影《花木兰》主题曲</v>
      </c>
      <c r="S1544" s="4" t="str">
        <f ca="1">_xlfn.IFNA(VLOOKUP(INDIRECT("G"&amp;ROW()),minfo!$A:$M,COLUMN()-8,0),"")</f>
        <v>Princess Disneymania</v>
      </c>
      <c r="T1544" s="4">
        <f ca="1">_xlfn.IFNA(VLOOKUP(INDIRECT("G"&amp;ROW()),minfo!$A:$M,COLUMN()-8,0),"")</f>
        <v>15785405</v>
      </c>
      <c r="U1544" s="4">
        <f ca="1">_xlfn.IFNA(VLOOKUP(INDIRECT("G"&amp;ROW()),minfo!$A:$M,COLUMN()-8,0),"")</f>
        <v>0</v>
      </c>
    </row>
    <row r="1545" spans="1:21" ht="15.75" customHeight="1">
      <c r="A1545" s="15">
        <v>1544</v>
      </c>
      <c r="B1545" s="4" t="s">
        <v>5179</v>
      </c>
      <c r="C1545" s="4">
        <v>1545</v>
      </c>
      <c r="D1545" s="4">
        <v>2</v>
      </c>
      <c r="E1545" s="4" t="s">
        <v>1423</v>
      </c>
      <c r="F1545" s="16">
        <v>44197</v>
      </c>
      <c r="G1545" s="5" t="s">
        <v>1422</v>
      </c>
      <c r="H1545" s="5" t="s">
        <v>5178</v>
      </c>
      <c r="I1545" s="24" t="str">
        <f>HYPERLINK("https://www.bilibili.com/video/BV1kQ4y1z7WD?p=2", "BV1kQ4y1z7WD?p=2")</f>
        <v>BV1kQ4y1z7WD?p=2</v>
      </c>
      <c r="J1545" s="4" t="str">
        <f ca="1">_xlfn.IFNA(VLOOKUP(INDIRECT("G"&amp;ROW()),minfo!$A:$M,COLUMN()-8,0),"")</f>
        <v>修炼爱情</v>
      </c>
      <c r="K1545" s="4" t="str">
        <f ca="1">_xlfn.IFNA(VLOOKUP(INDIRECT("G"&amp;ROW()),minfo!$A:$M,COLUMN()-8,0),"")</f>
        <v>林俊杰</v>
      </c>
      <c r="L1545" s="4">
        <f ca="1">_xlfn.IFNA(VLOOKUP(INDIRECT("G"&amp;ROW()),minfo!$A:$M,COLUMN()-8,0),"")</f>
        <v>0</v>
      </c>
      <c r="M1545" s="4">
        <f ca="1">_xlfn.IFNA(VLOOKUP(INDIRECT("G"&amp;ROW()),minfo!$A:$M,COLUMN()-8,0),"")</f>
        <v>0</v>
      </c>
      <c r="N1545" s="4">
        <f ca="1">_xlfn.IFNA(VLOOKUP(INDIRECT("G"&amp;ROW()),minfo!$A:$M,COLUMN()-8,0),"")</f>
        <v>0</v>
      </c>
      <c r="O1545" s="4" t="str">
        <f ca="1">_xlfn.IFNA(VLOOKUP(INDIRECT("G"&amp;ROW()),minfo!$A:$M,COLUMN()-8,0),"")</f>
        <v>http://i0.hdslb.com/bfs/station_src/music_metadata/713cd2835e797b42166abbd9090b7ff1.jpg</v>
      </c>
      <c r="P1545" s="4" t="str">
        <f ca="1">_xlfn.IFNA(VLOOKUP(INDIRECT("G"&amp;ROW()),minfo!$A:$M,COLUMN()-8,0),"")</f>
        <v>http://i0.hdslb.com/bfs/station_src/music_metadata/e8eecc0895b84fc8099f903f807b10ff</v>
      </c>
      <c r="Q1545" s="4">
        <f ca="1">_xlfn.IFNA(VLOOKUP(INDIRECT("G"&amp;ROW()),minfo!$A:$M,COLUMN()-8,0),"")</f>
        <v>1053</v>
      </c>
      <c r="R1545" s="4">
        <f ca="1">_xlfn.IFNA(VLOOKUP(INDIRECT("G"&amp;ROW()),minfo!$A:$M,COLUMN()-8,0),"")</f>
        <v>0</v>
      </c>
      <c r="S1545" s="4" t="str">
        <f ca="1">_xlfn.IFNA(VLOOKUP(INDIRECT("G"&amp;ROW()),minfo!$A:$M,COLUMN()-8,0),"")</f>
        <v>因你 而在</v>
      </c>
      <c r="T1545" s="4">
        <f ca="1">_xlfn.IFNA(VLOOKUP(INDIRECT("G"&amp;ROW()),minfo!$A:$M,COLUMN()-8,0),"")</f>
        <v>371141890</v>
      </c>
      <c r="U1545" s="4" t="str">
        <f ca="1">_xlfn.IFNA(VLOOKUP(INDIRECT("G"&amp;ROW()),minfo!$A:$M,COLUMN()-8,0),"")</f>
        <v>音乐榜最高NO.4</v>
      </c>
    </row>
    <row r="1546" spans="1:21" ht="15.75" customHeight="1">
      <c r="A1546" s="15">
        <v>1545</v>
      </c>
      <c r="B1546" s="4" t="s">
        <v>5180</v>
      </c>
      <c r="C1546" s="4">
        <v>1546</v>
      </c>
      <c r="D1546" s="4">
        <v>3</v>
      </c>
      <c r="E1546" s="4" t="s">
        <v>1229</v>
      </c>
      <c r="F1546" s="16">
        <v>44197</v>
      </c>
      <c r="G1546" s="5" t="s">
        <v>1228</v>
      </c>
      <c r="H1546" s="5" t="s">
        <v>5178</v>
      </c>
      <c r="I1546" s="24" t="str">
        <f>HYPERLINK("https://www.bilibili.com/video/BV1kQ4y1z7WD?p=3", "BV1kQ4y1z7WD?p=3")</f>
        <v>BV1kQ4y1z7WD?p=3</v>
      </c>
      <c r="J1546" s="4" t="str">
        <f ca="1">_xlfn.IFNA(VLOOKUP(INDIRECT("G"&amp;ROW()),minfo!$A:$M,COLUMN()-8,0),"")</f>
        <v>昨日青空</v>
      </c>
      <c r="K1546" s="4" t="str">
        <f ca="1">_xlfn.IFNA(VLOOKUP(INDIRECT("G"&amp;ROW()),minfo!$A:$M,COLUMN()-8,0),"")</f>
        <v>尤长靖</v>
      </c>
      <c r="L1546" s="4">
        <f ca="1">_xlfn.IFNA(VLOOKUP(INDIRECT("G"&amp;ROW()),minfo!$A:$M,COLUMN()-8,0),"")</f>
        <v>0</v>
      </c>
      <c r="M1546" s="4">
        <f ca="1">_xlfn.IFNA(VLOOKUP(INDIRECT("G"&amp;ROW()),minfo!$A:$M,COLUMN()-8,0),"")</f>
        <v>0</v>
      </c>
      <c r="N1546" s="4">
        <f ca="1">_xlfn.IFNA(VLOOKUP(INDIRECT("G"&amp;ROW()),minfo!$A:$M,COLUMN()-8,0),"")</f>
        <v>0</v>
      </c>
      <c r="O1546" s="4" t="str">
        <f ca="1">_xlfn.IFNA(VLOOKUP(INDIRECT("G"&amp;ROW()),minfo!$A:$M,COLUMN()-8,0),"")</f>
        <v>https://i0.hdslb.com/bfs/station_src/music_metadata/abc73110210c595e7074ddc5a01dd754.jpg</v>
      </c>
      <c r="P1546" s="4" t="str">
        <f ca="1">_xlfn.IFNA(VLOOKUP(INDIRECT("G"&amp;ROW()),minfo!$A:$M,COLUMN()-8,0),"")</f>
        <v>http://i0.hdslb.com/bfs/station_src/music_metadata/042fb26c880b233a48dc106af6e82bca</v>
      </c>
      <c r="Q1546" s="4">
        <f ca="1">_xlfn.IFNA(VLOOKUP(INDIRECT("G"&amp;ROW()),minfo!$A:$M,COLUMN()-8,0),"")</f>
        <v>558</v>
      </c>
      <c r="R1546" s="4" t="str">
        <f ca="1">_xlfn.IFNA(VLOOKUP(INDIRECT("G"&amp;ROW()),minfo!$A:$M,COLUMN()-8,0),"")</f>
        <v>《昨日青空》电影同名青春主题曲</v>
      </c>
      <c r="S1546" s="4" t="str">
        <f ca="1">_xlfn.IFNA(VLOOKUP(INDIRECT("G"&amp;ROW()),minfo!$A:$M,COLUMN()-8,0),"")</f>
        <v>昨日青空</v>
      </c>
      <c r="T1546" s="4">
        <f ca="1">_xlfn.IFNA(VLOOKUP(INDIRECT("G"&amp;ROW()),minfo!$A:$M,COLUMN()-8,0),"")</f>
        <v>70470580</v>
      </c>
      <c r="U1546" s="4">
        <f ca="1">_xlfn.IFNA(VLOOKUP(INDIRECT("G"&amp;ROW()),minfo!$A:$M,COLUMN()-8,0),"")</f>
        <v>0</v>
      </c>
    </row>
    <row r="1547" spans="1:21" ht="15.75" customHeight="1">
      <c r="A1547" s="15">
        <v>1546</v>
      </c>
      <c r="B1547" s="4" t="s">
        <v>5181</v>
      </c>
      <c r="C1547" s="4">
        <v>1547</v>
      </c>
      <c r="D1547" s="4">
        <v>4</v>
      </c>
      <c r="E1547" s="4" t="s">
        <v>342</v>
      </c>
      <c r="F1547" s="16">
        <v>44197</v>
      </c>
      <c r="G1547" s="5" t="s">
        <v>341</v>
      </c>
      <c r="H1547" s="5" t="s">
        <v>5178</v>
      </c>
      <c r="I1547" s="24" t="str">
        <f>HYPERLINK("https://www.bilibili.com/video/BV1kQ4y1z7WD?p=4", "BV1kQ4y1z7WD?p=4")</f>
        <v>BV1kQ4y1z7WD?p=4</v>
      </c>
      <c r="J1547" s="4" t="str">
        <f ca="1">_xlfn.IFNA(VLOOKUP(INDIRECT("G"&amp;ROW()),minfo!$A:$M,COLUMN()-8,0),"")</f>
        <v>灯火里的中国</v>
      </c>
      <c r="K1547" s="4" t="str">
        <f ca="1">_xlfn.IFNA(VLOOKUP(INDIRECT("G"&amp;ROW()),minfo!$A:$M,COLUMN()-8,0),"")</f>
        <v>张也 / 周深</v>
      </c>
      <c r="L1547" s="4">
        <f ca="1">_xlfn.IFNA(VLOOKUP(INDIRECT("G"&amp;ROW()),minfo!$A:$M,COLUMN()-8,0),"")</f>
        <v>0</v>
      </c>
      <c r="M1547" s="4">
        <f ca="1">_xlfn.IFNA(VLOOKUP(INDIRECT("G"&amp;ROW()),minfo!$A:$M,COLUMN()-8,0),"")</f>
        <v>0</v>
      </c>
      <c r="N1547" s="4">
        <f ca="1">_xlfn.IFNA(VLOOKUP(INDIRECT("G"&amp;ROW()),minfo!$A:$M,COLUMN()-8,0),"")</f>
        <v>0</v>
      </c>
      <c r="O1547" s="4" t="str">
        <f ca="1">_xlfn.IFNA(VLOOKUP(INDIRECT("G"&amp;ROW()),minfo!$A:$M,COLUMN()-8,0),"")</f>
        <v>http://i0.hdslb.com/bfs/station_src/music_metadata/0924bf85b82fa62dfcdce38ffb74da1a.jpg</v>
      </c>
      <c r="P1547" s="4" t="str">
        <f ca="1">_xlfn.IFNA(VLOOKUP(INDIRECT("G"&amp;ROW()),minfo!$A:$M,COLUMN()-8,0),"")</f>
        <v>http://i0.hdslb.com/bfs/station_src/music_metadata/6398db62f5d229235035926dbc914370</v>
      </c>
      <c r="Q1547" s="4">
        <f ca="1">_xlfn.IFNA(VLOOKUP(INDIRECT("G"&amp;ROW()),minfo!$A:$M,COLUMN()-8,0),"")</f>
        <v>620</v>
      </c>
      <c r="R1547" s="4">
        <f ca="1">_xlfn.IFNA(VLOOKUP(INDIRECT("G"&amp;ROW()),minfo!$A:$M,COLUMN()-8,0),"")</f>
        <v>0</v>
      </c>
      <c r="S1547" s="4">
        <f ca="1">_xlfn.IFNA(VLOOKUP(INDIRECT("G"&amp;ROW()),minfo!$A:$M,COLUMN()-8,0),"")</f>
        <v>0</v>
      </c>
      <c r="T1547" s="4">
        <f ca="1">_xlfn.IFNA(VLOOKUP(INDIRECT("G"&amp;ROW()),minfo!$A:$M,COLUMN()-8,0),"")</f>
        <v>86381272</v>
      </c>
      <c r="U1547" s="4">
        <f ca="1">_xlfn.IFNA(VLOOKUP(INDIRECT("G"&amp;ROW()),minfo!$A:$M,COLUMN()-8,0),"")</f>
        <v>0</v>
      </c>
    </row>
    <row r="1548" spans="1:21" ht="15.75" customHeight="1">
      <c r="A1548" s="15">
        <v>1547</v>
      </c>
      <c r="B1548" s="4" t="s">
        <v>5182</v>
      </c>
      <c r="C1548" s="4">
        <v>1548</v>
      </c>
      <c r="D1548" s="4">
        <v>5</v>
      </c>
      <c r="E1548" s="4" t="s">
        <v>2030</v>
      </c>
      <c r="F1548" s="16">
        <v>44197</v>
      </c>
      <c r="G1548" s="5" t="s">
        <v>2029</v>
      </c>
      <c r="H1548" s="5" t="s">
        <v>5178</v>
      </c>
      <c r="I1548" s="24" t="str">
        <f>HYPERLINK("https://www.bilibili.com/video/BV1kQ4y1z7WD?p=5", "BV1kQ4y1z7WD?p=5")</f>
        <v>BV1kQ4y1z7WD?p=5</v>
      </c>
      <c r="J1548" s="4" t="str">
        <f ca="1">_xlfn.IFNA(VLOOKUP(INDIRECT("G"&amp;ROW()),minfo!$A:$M,COLUMN()-8,0),"")</f>
        <v>你被写在我的歌里</v>
      </c>
      <c r="K1548" s="4" t="str">
        <f ca="1">_xlfn.IFNA(VLOOKUP(INDIRECT("G"&amp;ROW()),minfo!$A:$M,COLUMN()-8,0),"")</f>
        <v>苏打绿,Ella陈嘉桦</v>
      </c>
      <c r="L1548" s="4">
        <f ca="1">_xlfn.IFNA(VLOOKUP(INDIRECT("G"&amp;ROW()),minfo!$A:$M,COLUMN()-8,0),"")</f>
        <v>0</v>
      </c>
      <c r="M1548" s="4">
        <f ca="1">_xlfn.IFNA(VLOOKUP(INDIRECT("G"&amp;ROW()),minfo!$A:$M,COLUMN()-8,0),"")</f>
        <v>0</v>
      </c>
      <c r="N1548" s="4">
        <f ca="1">_xlfn.IFNA(VLOOKUP(INDIRECT("G"&amp;ROW()),minfo!$A:$M,COLUMN()-8,0),"")</f>
        <v>0</v>
      </c>
      <c r="O1548" s="4" t="str">
        <f ca="1">_xlfn.IFNA(VLOOKUP(INDIRECT("G"&amp;ROW()),minfo!$A:$M,COLUMN()-8,0),"")</f>
        <v>https://i0.hdslb.com/bfs/station_src/music_metadata/0efd1d645b5569027c60d8a7e266060b.jpg</v>
      </c>
      <c r="P1548" s="4" t="str">
        <f ca="1">_xlfn.IFNA(VLOOKUP(INDIRECT("G"&amp;ROW()),minfo!$A:$M,COLUMN()-8,0),"")</f>
        <v>http://i0.hdslb.com/bfs/station_src/music_metadata/c10c28818a304d5b95d6904829eb8ba7</v>
      </c>
      <c r="Q1548" s="4">
        <f ca="1">_xlfn.IFNA(VLOOKUP(INDIRECT("G"&amp;ROW()),minfo!$A:$M,COLUMN()-8,0),"")</f>
        <v>131</v>
      </c>
      <c r="R1548" s="4">
        <f ca="1">_xlfn.IFNA(VLOOKUP(INDIRECT("G"&amp;ROW()),minfo!$A:$M,COLUMN()-8,0),"")</f>
        <v>0</v>
      </c>
      <c r="S1548" s="4" t="str">
        <f ca="1">_xlfn.IFNA(VLOOKUP(INDIRECT("G"&amp;ROW()),minfo!$A:$M,COLUMN()-8,0),"")</f>
        <v>Walk Together Live 2012台北小巨蛋演唱会</v>
      </c>
      <c r="T1548" s="4">
        <f ca="1">_xlfn.IFNA(VLOOKUP(INDIRECT("G"&amp;ROW()),minfo!$A:$M,COLUMN()-8,0),"")</f>
        <v>46588974</v>
      </c>
      <c r="U1548" s="4">
        <f ca="1">_xlfn.IFNA(VLOOKUP(INDIRECT("G"&amp;ROW()),minfo!$A:$M,COLUMN()-8,0),"")</f>
        <v>0</v>
      </c>
    </row>
    <row r="1549" spans="1:21" ht="15.75" customHeight="1">
      <c r="A1549" s="15">
        <v>1548</v>
      </c>
      <c r="B1549" s="4" t="s">
        <v>5183</v>
      </c>
      <c r="C1549" s="4">
        <v>1549</v>
      </c>
      <c r="D1549" s="4">
        <v>6</v>
      </c>
      <c r="E1549" s="4" t="s">
        <v>433</v>
      </c>
      <c r="F1549" s="16">
        <v>44197</v>
      </c>
      <c r="G1549" s="5" t="s">
        <v>432</v>
      </c>
      <c r="H1549" s="5" t="s">
        <v>5178</v>
      </c>
      <c r="I1549" s="24" t="str">
        <f>HYPERLINK("https://www.bilibili.com/video/BV1kQ4y1z7WD?p=6", "BV1kQ4y1z7WD?p=6")</f>
        <v>BV1kQ4y1z7WD?p=6</v>
      </c>
      <c r="J1549" s="4" t="str">
        <f ca="1">_xlfn.IFNA(VLOOKUP(INDIRECT("G"&amp;ROW()),minfo!$A:$M,COLUMN()-8,0),"")</f>
        <v>喜欢你</v>
      </c>
      <c r="K1549" s="4" t="str">
        <f ca="1">_xlfn.IFNA(VLOOKUP(INDIRECT("G"&amp;ROW()),minfo!$A:$M,COLUMN()-8,0),"")</f>
        <v>陈洁仪</v>
      </c>
      <c r="L1549" s="4">
        <f ca="1">_xlfn.IFNA(VLOOKUP(INDIRECT("G"&amp;ROW()),minfo!$A:$M,COLUMN()-8,0),"")</f>
        <v>0</v>
      </c>
      <c r="M1549" s="4">
        <f ca="1">_xlfn.IFNA(VLOOKUP(INDIRECT("G"&amp;ROW()),minfo!$A:$M,COLUMN()-8,0),"")</f>
        <v>0</v>
      </c>
      <c r="N1549" s="4">
        <f ca="1">_xlfn.IFNA(VLOOKUP(INDIRECT("G"&amp;ROW()),minfo!$A:$M,COLUMN()-8,0),"")</f>
        <v>0</v>
      </c>
      <c r="O1549" s="4" t="str">
        <f ca="1">_xlfn.IFNA(VLOOKUP(INDIRECT("G"&amp;ROW()),minfo!$A:$M,COLUMN()-8,0),"")</f>
        <v>https://i0.hdslb.com/bfs/station_src/music_metadata/657c63920e8cf9a7db4753eb939d1dce.jpg</v>
      </c>
      <c r="P1549" s="4" t="str">
        <f ca="1">_xlfn.IFNA(VLOOKUP(INDIRECT("G"&amp;ROW()),minfo!$A:$M,COLUMN()-8,0),"")</f>
        <v>http://i0.hdslb.com/bfs/station_src/music_metadata/6bffe0eed99a109396ffa9741cc156c7</v>
      </c>
      <c r="Q1549" s="4">
        <f ca="1">_xlfn.IFNA(VLOOKUP(INDIRECT("G"&amp;ROW()),minfo!$A:$M,COLUMN()-8,0),"")</f>
        <v>587</v>
      </c>
      <c r="R1549" s="4">
        <f ca="1">_xlfn.IFNA(VLOOKUP(INDIRECT("G"&amp;ROW()),minfo!$A:$M,COLUMN()-8,0),"")</f>
        <v>0</v>
      </c>
      <c r="S1549" s="4" t="str">
        <f ca="1">_xlfn.IFNA(VLOOKUP(INDIRECT("G"&amp;ROW()),minfo!$A:$M,COLUMN()-8,0),"")</f>
        <v>陈洁仪的异想世界</v>
      </c>
      <c r="T1549" s="4">
        <f ca="1">_xlfn.IFNA(VLOOKUP(INDIRECT("G"&amp;ROW()),minfo!$A:$M,COLUMN()-8,0),"")</f>
        <v>163210062</v>
      </c>
      <c r="U1549" s="4">
        <f ca="1">_xlfn.IFNA(VLOOKUP(INDIRECT("G"&amp;ROW()),minfo!$A:$M,COLUMN()-8,0),"")</f>
        <v>0</v>
      </c>
    </row>
    <row r="1550" spans="1:21" ht="15.75" customHeight="1">
      <c r="A1550" s="15">
        <v>1549</v>
      </c>
      <c r="B1550" s="4" t="s">
        <v>5184</v>
      </c>
      <c r="C1550" s="4">
        <v>1550</v>
      </c>
      <c r="D1550" s="4">
        <v>7</v>
      </c>
      <c r="E1550" s="4" t="s">
        <v>426</v>
      </c>
      <c r="F1550" s="16">
        <v>44197</v>
      </c>
      <c r="G1550" s="5" t="s">
        <v>425</v>
      </c>
      <c r="H1550" s="5" t="s">
        <v>5178</v>
      </c>
      <c r="I1550" s="24" t="str">
        <f>HYPERLINK("https://www.bilibili.com/video/BV1kQ4y1z7WD?p=7", "BV1kQ4y1z7WD?p=7")</f>
        <v>BV1kQ4y1z7WD?p=7</v>
      </c>
      <c r="J1550" s="4" t="str">
        <f ca="1">_xlfn.IFNA(VLOOKUP(INDIRECT("G"&amp;ROW()),minfo!$A:$M,COLUMN()-8,0),"")</f>
        <v>说散就散</v>
      </c>
      <c r="K1550" s="4" t="str">
        <f ca="1">_xlfn.IFNA(VLOOKUP(INDIRECT("G"&amp;ROW()),minfo!$A:$M,COLUMN()-8,0),"")</f>
        <v>袁娅维TIA RAY</v>
      </c>
      <c r="L1550" s="4">
        <f ca="1">_xlfn.IFNA(VLOOKUP(INDIRECT("G"&amp;ROW()),minfo!$A:$M,COLUMN()-8,0),"")</f>
        <v>0</v>
      </c>
      <c r="M1550" s="4">
        <f ca="1">_xlfn.IFNA(VLOOKUP(INDIRECT("G"&amp;ROW()),minfo!$A:$M,COLUMN()-8,0),"")</f>
        <v>0</v>
      </c>
      <c r="N1550" s="4">
        <f ca="1">_xlfn.IFNA(VLOOKUP(INDIRECT("G"&amp;ROW()),minfo!$A:$M,COLUMN()-8,0),"")</f>
        <v>0</v>
      </c>
      <c r="O1550" s="4" t="str">
        <f ca="1">_xlfn.IFNA(VLOOKUP(INDIRECT("G"&amp;ROW()),minfo!$A:$M,COLUMN()-8,0),"")</f>
        <v>http://i0.hdslb.com/bfs/station_src/music_metadata/0d2a98cfa94a37041a8fd9f6d060a0aa.jpg</v>
      </c>
      <c r="P1550" s="4" t="str">
        <f ca="1">_xlfn.IFNA(VLOOKUP(INDIRECT("G"&amp;ROW()),minfo!$A:$M,COLUMN()-8,0),"")</f>
        <v>http://i0.hdslb.com/bfs/station_src/music_metadata/ac9c061324965249882f646ffef11dd0</v>
      </c>
      <c r="Q1550" s="4">
        <f ca="1">_xlfn.IFNA(VLOOKUP(INDIRECT("G"&amp;ROW()),minfo!$A:$M,COLUMN()-8,0),"")</f>
        <v>876</v>
      </c>
      <c r="R1550" s="4" t="str">
        <f ca="1">_xlfn.IFNA(VLOOKUP(INDIRECT("G"&amp;ROW()),minfo!$A:$M,COLUMN()-8,0),"")</f>
        <v>《前任3：再见前任》主题曲)</v>
      </c>
      <c r="S1550" s="4" t="str">
        <f ca="1">_xlfn.IFNA(VLOOKUP(INDIRECT("G"&amp;ROW()),minfo!$A:$M,COLUMN()-8,0),"")</f>
        <v>说散就散</v>
      </c>
      <c r="T1550" s="4">
        <f ca="1">_xlfn.IFNA(VLOOKUP(INDIRECT("G"&amp;ROW()),minfo!$A:$M,COLUMN()-8,0),"")</f>
        <v>263880895</v>
      </c>
      <c r="U1550" s="4" t="str">
        <f ca="1">_xlfn.IFNA(VLOOKUP(INDIRECT("G"&amp;ROW()),minfo!$A:$M,COLUMN()-8,0),"")</f>
        <v>音乐榜最高NO.17</v>
      </c>
    </row>
    <row r="1551" spans="1:21" ht="15.75" customHeight="1">
      <c r="A1551" s="15">
        <v>1550</v>
      </c>
      <c r="B1551" s="4" t="s">
        <v>5185</v>
      </c>
      <c r="C1551" s="4">
        <v>1551</v>
      </c>
      <c r="D1551" s="4">
        <v>8</v>
      </c>
      <c r="E1551" s="4" t="s">
        <v>2001</v>
      </c>
      <c r="F1551" s="16">
        <v>44197</v>
      </c>
      <c r="G1551" s="5" t="s">
        <v>2000</v>
      </c>
      <c r="H1551" s="5" t="s">
        <v>5178</v>
      </c>
      <c r="I1551" s="24" t="str">
        <f>HYPERLINK("https://www.bilibili.com/video/BV1kQ4y1z7WD?p=8", "BV1kQ4y1z7WD?p=8")</f>
        <v>BV1kQ4y1z7WD?p=8</v>
      </c>
      <c r="J1551" s="4" t="str">
        <f ca="1">_xlfn.IFNA(VLOOKUP(INDIRECT("G"&amp;ROW()),minfo!$A:$M,COLUMN()-8,0),"")</f>
        <v>海水正蓝</v>
      </c>
      <c r="K1551" s="4" t="str">
        <f ca="1">_xlfn.IFNA(VLOOKUP(INDIRECT("G"&amp;ROW()),minfo!$A:$M,COLUMN()-8,0),"")</f>
        <v>郭美美</v>
      </c>
      <c r="L1551" s="4">
        <f ca="1">_xlfn.IFNA(VLOOKUP(INDIRECT("G"&amp;ROW()),minfo!$A:$M,COLUMN()-8,0),"")</f>
        <v>0</v>
      </c>
      <c r="M1551" s="4">
        <f ca="1">_xlfn.IFNA(VLOOKUP(INDIRECT("G"&amp;ROW()),minfo!$A:$M,COLUMN()-8,0),"")</f>
        <v>0</v>
      </c>
      <c r="N1551" s="4">
        <f ca="1">_xlfn.IFNA(VLOOKUP(INDIRECT("G"&amp;ROW()),minfo!$A:$M,COLUMN()-8,0),"")</f>
        <v>0</v>
      </c>
      <c r="O1551" s="4" t="str">
        <f ca="1">_xlfn.IFNA(VLOOKUP(INDIRECT("G"&amp;ROW()),minfo!$A:$M,COLUMN()-8,0),"")</f>
        <v>https://i0.hdslb.com/bfs/station_src/music_metadata/b606f8807d03af892eff1ad8e08c8d32.jpg</v>
      </c>
      <c r="P1551" s="4" t="str">
        <f ca="1">_xlfn.IFNA(VLOOKUP(INDIRECT("G"&amp;ROW()),minfo!$A:$M,COLUMN()-8,0),"")</f>
        <v>https://i0.hdslb.com/bfs/station_src/music_metadata/7caade17bfdf90599d3260060ce49c6d.txt</v>
      </c>
      <c r="Q1551" s="4">
        <f ca="1">_xlfn.IFNA(VLOOKUP(INDIRECT("G"&amp;ROW()),minfo!$A:$M,COLUMN()-8,0),"")</f>
        <v>1</v>
      </c>
      <c r="R1551" s="4" t="str">
        <f ca="1">_xlfn.IFNA(VLOOKUP(INDIRECT("G"&amp;ROW()),minfo!$A:$M,COLUMN()-8,0),"")</f>
        <v>电视剧《丝丝心动》主题曲</v>
      </c>
      <c r="S1551" s="4" t="str">
        <f ca="1">_xlfn.IFNA(VLOOKUP(INDIRECT("G"&amp;ROW()),minfo!$A:$M,COLUMN()-8,0),"")</f>
        <v>我是郭美美</v>
      </c>
      <c r="T1551" s="4">
        <f ca="1">_xlfn.IFNA(VLOOKUP(INDIRECT("G"&amp;ROW()),minfo!$A:$M,COLUMN()-8,0),"")</f>
        <v>709617</v>
      </c>
      <c r="U1551" s="4">
        <f ca="1">_xlfn.IFNA(VLOOKUP(INDIRECT("G"&amp;ROW()),minfo!$A:$M,COLUMN()-8,0),"")</f>
        <v>0</v>
      </c>
    </row>
    <row r="1552" spans="1:21" ht="15.75" customHeight="1">
      <c r="A1552" s="15">
        <v>1551</v>
      </c>
      <c r="B1552" s="4" t="s">
        <v>5186</v>
      </c>
      <c r="C1552" s="4">
        <v>1552</v>
      </c>
      <c r="D1552" s="4">
        <v>9</v>
      </c>
      <c r="E1552" s="4" t="s">
        <v>2207</v>
      </c>
      <c r="F1552" s="16">
        <v>44197</v>
      </c>
      <c r="G1552" s="5" t="s">
        <v>2206</v>
      </c>
      <c r="H1552" s="5" t="s">
        <v>5178</v>
      </c>
      <c r="I1552" s="24" t="str">
        <f>HYPERLINK("https://www.bilibili.com/video/BV1kQ4y1z7WD?p=9", "BV1kQ4y1z7WD?p=9")</f>
        <v>BV1kQ4y1z7WD?p=9</v>
      </c>
      <c r="J1552" s="4" t="str">
        <f ca="1">_xlfn.IFNA(VLOOKUP(INDIRECT("G"&amp;ROW()),minfo!$A:$M,COLUMN()-8,0),"")</f>
        <v>从前慢</v>
      </c>
      <c r="K1552" s="4" t="str">
        <f ca="1">_xlfn.IFNA(VLOOKUP(INDIRECT("G"&amp;ROW()),minfo!$A:$M,COLUMN()-8,0),"")</f>
        <v>叶炫清</v>
      </c>
      <c r="L1552" s="4">
        <f ca="1">_xlfn.IFNA(VLOOKUP(INDIRECT("G"&amp;ROW()),minfo!$A:$M,COLUMN()-8,0),"")</f>
        <v>0</v>
      </c>
      <c r="M1552" s="4">
        <f ca="1">_xlfn.IFNA(VLOOKUP(INDIRECT("G"&amp;ROW()),minfo!$A:$M,COLUMN()-8,0),"")</f>
        <v>0</v>
      </c>
      <c r="N1552" s="4">
        <f ca="1">_xlfn.IFNA(VLOOKUP(INDIRECT("G"&amp;ROW()),minfo!$A:$M,COLUMN()-8,0),"")</f>
        <v>0</v>
      </c>
      <c r="O1552" s="4" t="str">
        <f ca="1">_xlfn.IFNA(VLOOKUP(INDIRECT("G"&amp;ROW()),minfo!$A:$M,COLUMN()-8,0),"")</f>
        <v>https://i0.hdslb.com/bfs/station_src/music_metadata/faf9842a8445f6617532907f5fad7805.jpg</v>
      </c>
      <c r="P1552" s="4" t="str">
        <f ca="1">_xlfn.IFNA(VLOOKUP(INDIRECT("G"&amp;ROW()),minfo!$A:$M,COLUMN()-8,0),"")</f>
        <v>http://i0.hdslb.com/bfs/station_src/music_metadata/d7a54726ba2793501aa8c80d9329a5f8</v>
      </c>
      <c r="Q1552" s="4">
        <f ca="1">_xlfn.IFNA(VLOOKUP(INDIRECT("G"&amp;ROW()),minfo!$A:$M,COLUMN()-8,0),"")</f>
        <v>34</v>
      </c>
      <c r="R1552" s="4">
        <f ca="1">_xlfn.IFNA(VLOOKUP(INDIRECT("G"&amp;ROW()),minfo!$A:$M,COLUMN()-8,0),"")</f>
        <v>0</v>
      </c>
      <c r="S1552" s="4" t="str">
        <f ca="1">_xlfn.IFNA(VLOOKUP(INDIRECT("G"&amp;ROW()),minfo!$A:$M,COLUMN()-8,0),"")</f>
        <v>从前慢</v>
      </c>
      <c r="T1552" s="4">
        <f ca="1">_xlfn.IFNA(VLOOKUP(INDIRECT("G"&amp;ROW()),minfo!$A:$M,COLUMN()-8,0),"")</f>
        <v>36546010</v>
      </c>
      <c r="U1552" s="4">
        <f ca="1">_xlfn.IFNA(VLOOKUP(INDIRECT("G"&amp;ROW()),minfo!$A:$M,COLUMN()-8,0),"")</f>
        <v>0</v>
      </c>
    </row>
    <row r="1553" spans="1:21" ht="15.75" customHeight="1">
      <c r="A1553" s="15">
        <v>1552</v>
      </c>
      <c r="B1553" s="4" t="s">
        <v>5187</v>
      </c>
      <c r="C1553" s="4">
        <v>1553</v>
      </c>
      <c r="D1553" s="4">
        <v>10</v>
      </c>
      <c r="E1553" s="4" t="s">
        <v>1871</v>
      </c>
      <c r="F1553" s="16">
        <v>44197</v>
      </c>
      <c r="G1553" s="5" t="s">
        <v>1870</v>
      </c>
      <c r="H1553" s="5" t="s">
        <v>5178</v>
      </c>
      <c r="I1553" s="24" t="str">
        <f>HYPERLINK("https://www.bilibili.com/video/BV1kQ4y1z7WD?p=10", "BV1kQ4y1z7WD?p=10")</f>
        <v>BV1kQ4y1z7WD?p=10</v>
      </c>
      <c r="J1553" s="4" t="str">
        <f ca="1">_xlfn.IFNA(VLOOKUP(INDIRECT("G"&amp;ROW()),minfo!$A:$M,COLUMN()-8,0),"")</f>
        <v>一剪梅</v>
      </c>
      <c r="K1553" s="4" t="str">
        <f ca="1">_xlfn.IFNA(VLOOKUP(INDIRECT("G"&amp;ROW()),minfo!$A:$M,COLUMN()-8,0),"")</f>
        <v>费玉清</v>
      </c>
      <c r="L1553" s="4">
        <f ca="1">_xlfn.IFNA(VLOOKUP(INDIRECT("G"&amp;ROW()),minfo!$A:$M,COLUMN()-8,0),"")</f>
        <v>0</v>
      </c>
      <c r="M1553" s="4">
        <f ca="1">_xlfn.IFNA(VLOOKUP(INDIRECT("G"&amp;ROW()),minfo!$A:$M,COLUMN()-8,0),"")</f>
        <v>0</v>
      </c>
      <c r="N1553" s="4">
        <f ca="1">_xlfn.IFNA(VLOOKUP(INDIRECT("G"&amp;ROW()),minfo!$A:$M,COLUMN()-8,0),"")</f>
        <v>0</v>
      </c>
      <c r="O1553" s="4" t="str">
        <f ca="1">_xlfn.IFNA(VLOOKUP(INDIRECT("G"&amp;ROW()),minfo!$A:$M,COLUMN()-8,0),"")</f>
        <v>https://i0.hdslb.com/bfs/station_src/music_metadata/7833ac2095b43502a967252ec8358c54.jpg</v>
      </c>
      <c r="P1553" s="4" t="str">
        <f ca="1">_xlfn.IFNA(VLOOKUP(INDIRECT("G"&amp;ROW()),minfo!$A:$M,COLUMN()-8,0),"")</f>
        <v>http://i0.hdslb.com/bfs/station_src/music_metadata/97843366a57afc1798cff4c49317f50b</v>
      </c>
      <c r="Q1553" s="4">
        <f ca="1">_xlfn.IFNA(VLOOKUP(INDIRECT("G"&amp;ROW()),minfo!$A:$M,COLUMN()-8,0),"")</f>
        <v>1513</v>
      </c>
      <c r="R1553" s="4">
        <f ca="1">_xlfn.IFNA(VLOOKUP(INDIRECT("G"&amp;ROW()),minfo!$A:$M,COLUMN()-8,0),"")</f>
        <v>0</v>
      </c>
      <c r="S1553" s="4" t="str">
        <f ca="1">_xlfn.IFNA(VLOOKUP(INDIRECT("G"&amp;ROW()),minfo!$A:$M,COLUMN()-8,0),"")</f>
        <v>金曲精选6 一剪梅</v>
      </c>
      <c r="T1553" s="4">
        <f ca="1">_xlfn.IFNA(VLOOKUP(INDIRECT("G"&amp;ROW()),minfo!$A:$M,COLUMN()-8,0),"")</f>
        <v>971283646</v>
      </c>
      <c r="U1553" s="4" t="str">
        <f ca="1">_xlfn.IFNA(VLOOKUP(INDIRECT("G"&amp;ROW()),minfo!$A:$M,COLUMN()-8,0),"")</f>
        <v>音乐榜最高NO.11</v>
      </c>
    </row>
    <row r="1554" spans="1:21" ht="15.75" customHeight="1">
      <c r="A1554" s="15">
        <v>1553</v>
      </c>
      <c r="B1554" s="4" t="s">
        <v>5188</v>
      </c>
      <c r="C1554" s="4">
        <v>1554</v>
      </c>
      <c r="D1554" s="4">
        <v>11</v>
      </c>
      <c r="E1554" s="4" t="s">
        <v>1626</v>
      </c>
      <c r="F1554" s="16">
        <v>44197</v>
      </c>
      <c r="G1554" s="5" t="s">
        <v>1625</v>
      </c>
      <c r="H1554" s="5" t="s">
        <v>5178</v>
      </c>
      <c r="I1554" s="24" t="str">
        <f>HYPERLINK("https://www.bilibili.com/video/BV1kQ4y1z7WD?p=11", "BV1kQ4y1z7WD?p=11")</f>
        <v>BV1kQ4y1z7WD?p=11</v>
      </c>
      <c r="J1554" s="4" t="str">
        <f ca="1">_xlfn.IFNA(VLOOKUP(INDIRECT("G"&amp;ROW()),minfo!$A:$M,COLUMN()-8,0),"")</f>
        <v>胡桃夹子</v>
      </c>
      <c r="K1554" s="4" t="str">
        <f ca="1">_xlfn.IFNA(VLOOKUP(INDIRECT("G"&amp;ROW()),minfo!$A:$M,COLUMN()-8,0),"")</f>
        <v>张碧晨</v>
      </c>
      <c r="L1554" s="4">
        <f ca="1">_xlfn.IFNA(VLOOKUP(INDIRECT("G"&amp;ROW()),minfo!$A:$M,COLUMN()-8,0),"")</f>
        <v>0</v>
      </c>
      <c r="M1554" s="4">
        <f ca="1">_xlfn.IFNA(VLOOKUP(INDIRECT("G"&amp;ROW()),minfo!$A:$M,COLUMN()-8,0),"")</f>
        <v>0</v>
      </c>
      <c r="N1554" s="4">
        <f ca="1">_xlfn.IFNA(VLOOKUP(INDIRECT("G"&amp;ROW()),minfo!$A:$M,COLUMN()-8,0),"")</f>
        <v>0</v>
      </c>
      <c r="O1554" s="4" t="str">
        <f ca="1">_xlfn.IFNA(VLOOKUP(INDIRECT("G"&amp;ROW()),minfo!$A:$M,COLUMN()-8,0),"")</f>
        <v>https://i0.hdslb.com/bfs/station_src/music_metadata/08b6c6308b2c1cf59367111a3273728c.jpg</v>
      </c>
      <c r="P1554" s="4" t="str">
        <f ca="1">_xlfn.IFNA(VLOOKUP(INDIRECT("G"&amp;ROW()),minfo!$A:$M,COLUMN()-8,0),"")</f>
        <v>http://i0.hdslb.com/bfs/station_src/music_metadata/0cef69ab24d021bdbe707a67ed2d53f4</v>
      </c>
      <c r="Q1554" s="4">
        <f ca="1">_xlfn.IFNA(VLOOKUP(INDIRECT("G"&amp;ROW()),minfo!$A:$M,COLUMN()-8,0),"")</f>
        <v>26</v>
      </c>
      <c r="R1554" s="4" t="str">
        <f ca="1">_xlfn.IFNA(VLOOKUP(INDIRECT("G"&amp;ROW()),minfo!$A:$M,COLUMN()-8,0),"")</f>
        <v>《健忘村》电影宣传曲</v>
      </c>
      <c r="S1554" s="4" t="str">
        <f ca="1">_xlfn.IFNA(VLOOKUP(INDIRECT("G"&amp;ROW()),minfo!$A:$M,COLUMN()-8,0),"")</f>
        <v>开往早晨的午夜</v>
      </c>
      <c r="T1554" s="4">
        <f ca="1">_xlfn.IFNA(VLOOKUP(INDIRECT("G"&amp;ROW()),minfo!$A:$M,COLUMN()-8,0),"")</f>
        <v>19335728</v>
      </c>
      <c r="U1554" s="4">
        <f ca="1">_xlfn.IFNA(VLOOKUP(INDIRECT("G"&amp;ROW()),minfo!$A:$M,COLUMN()-8,0),"")</f>
        <v>0</v>
      </c>
    </row>
    <row r="1555" spans="1:21" ht="15.75" customHeight="1">
      <c r="A1555" s="15">
        <v>1554</v>
      </c>
      <c r="B1555" s="4" t="s">
        <v>5189</v>
      </c>
      <c r="C1555" s="4">
        <v>1555</v>
      </c>
      <c r="D1555" s="4">
        <v>12</v>
      </c>
      <c r="E1555" s="4" t="s">
        <v>220</v>
      </c>
      <c r="F1555" s="16">
        <v>44197</v>
      </c>
      <c r="G1555" s="5" t="s">
        <v>219</v>
      </c>
      <c r="H1555" s="5" t="s">
        <v>5178</v>
      </c>
      <c r="I1555" s="24" t="str">
        <f>HYPERLINK("https://www.bilibili.com/video/BV1kQ4y1z7WD?p=12", "BV1kQ4y1z7WD?p=12")</f>
        <v>BV1kQ4y1z7WD?p=12</v>
      </c>
      <c r="J1555" s="4" t="str">
        <f ca="1">_xlfn.IFNA(VLOOKUP(INDIRECT("G"&amp;ROW()),minfo!$A:$M,COLUMN()-8,0),"")</f>
        <v>一荤一素</v>
      </c>
      <c r="K1555" s="4" t="str">
        <f ca="1">_xlfn.IFNA(VLOOKUP(INDIRECT("G"&amp;ROW()),minfo!$A:$M,COLUMN()-8,0),"")</f>
        <v>毛不易</v>
      </c>
      <c r="L1555" s="4">
        <f ca="1">_xlfn.IFNA(VLOOKUP(INDIRECT("G"&amp;ROW()),minfo!$A:$M,COLUMN()-8,0),"")</f>
        <v>0</v>
      </c>
      <c r="M1555" s="4">
        <f ca="1">_xlfn.IFNA(VLOOKUP(INDIRECT("G"&amp;ROW()),minfo!$A:$M,COLUMN()-8,0),"")</f>
        <v>1071</v>
      </c>
      <c r="N1555" s="4">
        <f ca="1">_xlfn.IFNA(VLOOKUP(INDIRECT("G"&amp;ROW()),minfo!$A:$M,COLUMN()-8,0),"")</f>
        <v>194</v>
      </c>
      <c r="O1555" s="4" t="str">
        <f ca="1">_xlfn.IFNA(VLOOKUP(INDIRECT("G"&amp;ROW()),minfo!$A:$M,COLUMN()-8,0),"")</f>
        <v>https://i0.hdslb.com/bfs/station_src/music_metadata/7f59fe0f47fb65bdae2eeac57b76228c.jpg</v>
      </c>
      <c r="P1555" s="4" t="str">
        <f ca="1">_xlfn.IFNA(VLOOKUP(INDIRECT("G"&amp;ROW()),minfo!$A:$M,COLUMN()-8,0),"")</f>
        <v>http://i0.hdslb.com/bfs/station_src/music_metadata/592263cf9a711b6ee593a6429c442efb</v>
      </c>
      <c r="Q1555" s="4">
        <f ca="1">_xlfn.IFNA(VLOOKUP(INDIRECT("G"&amp;ROW()),minfo!$A:$M,COLUMN()-8,0),"")</f>
        <v>905</v>
      </c>
      <c r="R1555" s="4">
        <f ca="1">_xlfn.IFNA(VLOOKUP(INDIRECT("G"&amp;ROW()),minfo!$A:$M,COLUMN()-8,0),"")</f>
        <v>0</v>
      </c>
      <c r="S1555" s="4" t="str">
        <f ca="1">_xlfn.IFNA(VLOOKUP(INDIRECT("G"&amp;ROW()),minfo!$A:$M,COLUMN()-8,0),"")</f>
        <v>平凡的一天</v>
      </c>
      <c r="T1555" s="4">
        <f ca="1">_xlfn.IFNA(VLOOKUP(INDIRECT("G"&amp;ROW()),minfo!$A:$M,COLUMN()-8,0),"")</f>
        <v>132554728</v>
      </c>
      <c r="U1555" s="4">
        <f ca="1">_xlfn.IFNA(VLOOKUP(INDIRECT("G"&amp;ROW()),minfo!$A:$M,COLUMN()-8,0),"")</f>
        <v>0</v>
      </c>
    </row>
    <row r="1556" spans="1:21" ht="15.75" customHeight="1">
      <c r="A1556" s="15">
        <v>1555</v>
      </c>
      <c r="B1556" s="4" t="s">
        <v>5190</v>
      </c>
      <c r="C1556" s="4">
        <v>1556</v>
      </c>
      <c r="D1556" s="4">
        <v>13</v>
      </c>
      <c r="E1556" s="4" t="s">
        <v>3823</v>
      </c>
      <c r="F1556" s="16">
        <v>44197</v>
      </c>
      <c r="G1556" s="5" t="s">
        <v>965</v>
      </c>
      <c r="H1556" s="5" t="s">
        <v>5178</v>
      </c>
      <c r="I1556" s="24" t="str">
        <f>HYPERLINK("https://www.bilibili.com/video/BV1kQ4y1z7WD?p=13", "BV1kQ4y1z7WD?p=13")</f>
        <v>BV1kQ4y1z7WD?p=13</v>
      </c>
      <c r="J1556" s="4" t="str">
        <f ca="1">_xlfn.IFNA(VLOOKUP(INDIRECT("G"&amp;ROW()),minfo!$A:$M,COLUMN()-8,0),"")</f>
        <v>房间</v>
      </c>
      <c r="K1556" s="4" t="str">
        <f ca="1">_xlfn.IFNA(VLOOKUP(INDIRECT("G"&amp;ROW()),minfo!$A:$M,COLUMN()-8,0),"")</f>
        <v>刘瑞琦</v>
      </c>
      <c r="L1556" s="4">
        <f ca="1">_xlfn.IFNA(VLOOKUP(INDIRECT("G"&amp;ROW()),minfo!$A:$M,COLUMN()-8,0),"")</f>
        <v>0</v>
      </c>
      <c r="M1556" s="4">
        <f ca="1">_xlfn.IFNA(VLOOKUP(INDIRECT("G"&amp;ROW()),minfo!$A:$M,COLUMN()-8,0),"")</f>
        <v>0</v>
      </c>
      <c r="N1556" s="4">
        <f ca="1">_xlfn.IFNA(VLOOKUP(INDIRECT("G"&amp;ROW()),minfo!$A:$M,COLUMN()-8,0),"")</f>
        <v>0</v>
      </c>
      <c r="O1556" s="4">
        <f ca="1">_xlfn.IFNA(VLOOKUP(INDIRECT("G"&amp;ROW()),minfo!$A:$M,COLUMN()-8,0),"")</f>
        <v>0</v>
      </c>
      <c r="P1556" s="4">
        <f ca="1">_xlfn.IFNA(VLOOKUP(INDIRECT("G"&amp;ROW()),minfo!$A:$M,COLUMN()-8,0),"")</f>
        <v>0</v>
      </c>
      <c r="Q1556" s="4">
        <f ca="1">_xlfn.IFNA(VLOOKUP(INDIRECT("G"&amp;ROW()),minfo!$A:$M,COLUMN()-8,0),"")</f>
        <v>0</v>
      </c>
      <c r="R1556" s="4">
        <f ca="1">_xlfn.IFNA(VLOOKUP(INDIRECT("G"&amp;ROW()),minfo!$A:$M,COLUMN()-8,0),"")</f>
        <v>0</v>
      </c>
      <c r="S1556" s="4">
        <f ca="1">_xlfn.IFNA(VLOOKUP(INDIRECT("G"&amp;ROW()),minfo!$A:$M,COLUMN()-8,0),"")</f>
        <v>0</v>
      </c>
      <c r="T1556" s="4">
        <f ca="1">_xlfn.IFNA(VLOOKUP(INDIRECT("G"&amp;ROW()),minfo!$A:$M,COLUMN()-8,0),"")</f>
        <v>0</v>
      </c>
      <c r="U1556" s="4">
        <f ca="1">_xlfn.IFNA(VLOOKUP(INDIRECT("G"&amp;ROW()),minfo!$A:$M,COLUMN()-8,0),"")</f>
        <v>0</v>
      </c>
    </row>
    <row r="1557" spans="1:21" ht="15.75" customHeight="1">
      <c r="A1557" s="15">
        <v>1556</v>
      </c>
      <c r="B1557" s="4" t="s">
        <v>5191</v>
      </c>
      <c r="C1557" s="4">
        <v>1557</v>
      </c>
      <c r="D1557" s="4">
        <v>14</v>
      </c>
      <c r="E1557" s="4" t="s">
        <v>2322</v>
      </c>
      <c r="F1557" s="16">
        <v>44197</v>
      </c>
      <c r="G1557" s="5" t="s">
        <v>2321</v>
      </c>
      <c r="H1557" s="5" t="s">
        <v>5178</v>
      </c>
      <c r="I1557" s="24" t="str">
        <f>HYPERLINK("https://www.bilibili.com/video/BV1kQ4y1z7WD?p=14", "BV1kQ4y1z7WD?p=14")</f>
        <v>BV1kQ4y1z7WD?p=14</v>
      </c>
      <c r="J1557" s="4" t="str">
        <f ca="1">_xlfn.IFNA(VLOOKUP(INDIRECT("G"&amp;ROW()),minfo!$A:$M,COLUMN()-8,0),"")</f>
        <v>宝贝</v>
      </c>
      <c r="K1557" s="4" t="str">
        <f ca="1">_xlfn.IFNA(VLOOKUP(INDIRECT("G"&amp;ROW()),minfo!$A:$M,COLUMN()-8,0),"")</f>
        <v>张悬</v>
      </c>
      <c r="L1557" s="4">
        <f ca="1">_xlfn.IFNA(VLOOKUP(INDIRECT("G"&amp;ROW()),minfo!$A:$M,COLUMN()-8,0),"")</f>
        <v>0</v>
      </c>
      <c r="M1557" s="4">
        <f ca="1">_xlfn.IFNA(VLOOKUP(INDIRECT("G"&amp;ROW()),minfo!$A:$M,COLUMN()-8,0),"")</f>
        <v>0</v>
      </c>
      <c r="N1557" s="4">
        <f ca="1">_xlfn.IFNA(VLOOKUP(INDIRECT("G"&amp;ROW()),minfo!$A:$M,COLUMN()-8,0),"")</f>
        <v>0</v>
      </c>
      <c r="O1557" s="4" t="str">
        <f ca="1">_xlfn.IFNA(VLOOKUP(INDIRECT("G"&amp;ROW()),minfo!$A:$M,COLUMN()-8,0),"")</f>
        <v>https://i0.hdslb.com/bfs/station_src/music_metadata/7d0b1aa106b4a6a94bc0ffdd78a1ad23.jpg</v>
      </c>
      <c r="P1557" s="4" t="str">
        <f ca="1">_xlfn.IFNA(VLOOKUP(INDIRECT("G"&amp;ROW()),minfo!$A:$M,COLUMN()-8,0),"")</f>
        <v>https://i0.hdslb.com/bfs/station_src/music_metadata/cdce23b8d73a5ec76812a5995cbc22fa.txt</v>
      </c>
      <c r="Q1557" s="4">
        <f ca="1">_xlfn.IFNA(VLOOKUP(INDIRECT("G"&amp;ROW()),minfo!$A:$M,COLUMN()-8,0),"")</f>
        <v>185</v>
      </c>
      <c r="R1557" s="4">
        <f ca="1">_xlfn.IFNA(VLOOKUP(INDIRECT("G"&amp;ROW()),minfo!$A:$M,COLUMN()-8,0),"")</f>
        <v>0</v>
      </c>
      <c r="S1557" s="4" t="str">
        <f ca="1">_xlfn.IFNA(VLOOKUP(INDIRECT("G"&amp;ROW()),minfo!$A:$M,COLUMN()-8,0),"")</f>
        <v>my life will…</v>
      </c>
      <c r="T1557" s="4">
        <f ca="1">_xlfn.IFNA(VLOOKUP(INDIRECT("G"&amp;ROW()),minfo!$A:$M,COLUMN()-8,0),"")</f>
        <v>91894714</v>
      </c>
      <c r="U1557" s="4">
        <f ca="1">_xlfn.IFNA(VLOOKUP(INDIRECT("G"&amp;ROW()),minfo!$A:$M,COLUMN()-8,0),"")</f>
        <v>0</v>
      </c>
    </row>
    <row r="1558" spans="1:21" ht="15.75" customHeight="1">
      <c r="A1558" s="15">
        <v>1557</v>
      </c>
      <c r="B1558" s="4" t="s">
        <v>5192</v>
      </c>
      <c r="C1558" s="4">
        <v>1558</v>
      </c>
      <c r="D1558" s="4">
        <v>15</v>
      </c>
      <c r="E1558" s="4" t="s">
        <v>546</v>
      </c>
      <c r="F1558" s="16">
        <v>44197</v>
      </c>
      <c r="G1558" s="5" t="s">
        <v>545</v>
      </c>
      <c r="H1558" s="5" t="s">
        <v>5178</v>
      </c>
      <c r="I1558" s="24" t="str">
        <f>HYPERLINK("https://www.bilibili.com/video/BV1kQ4y1z7WD?p=15", "BV1kQ4y1z7WD?p=15")</f>
        <v>BV1kQ4y1z7WD?p=15</v>
      </c>
      <c r="J1558" s="4" t="str">
        <f ca="1">_xlfn.IFNA(VLOOKUP(INDIRECT("G"&amp;ROW()),minfo!$A:$M,COLUMN()-8,0),"")</f>
        <v>阿楚姑娘</v>
      </c>
      <c r="K1558" s="4" t="str">
        <f ca="1">_xlfn.IFNA(VLOOKUP(INDIRECT("G"&amp;ROW()),minfo!$A:$M,COLUMN()-8,0),"")</f>
        <v>袁娅维TIA RAY</v>
      </c>
      <c r="L1558" s="4">
        <f ca="1">_xlfn.IFNA(VLOOKUP(INDIRECT("G"&amp;ROW()),minfo!$A:$M,COLUMN()-8,0),"")</f>
        <v>0</v>
      </c>
      <c r="M1558" s="4">
        <f ca="1">_xlfn.IFNA(VLOOKUP(INDIRECT("G"&amp;ROW()),minfo!$A:$M,COLUMN()-8,0),"")</f>
        <v>0</v>
      </c>
      <c r="N1558" s="4">
        <f ca="1">_xlfn.IFNA(VLOOKUP(INDIRECT("G"&amp;ROW()),minfo!$A:$M,COLUMN()-8,0),"")</f>
        <v>0</v>
      </c>
      <c r="O1558" s="4" t="str">
        <f ca="1">_xlfn.IFNA(VLOOKUP(INDIRECT("G"&amp;ROW()),minfo!$A:$M,COLUMN()-8,0),"")</f>
        <v>http://i0.hdslb.com/bfs/station_src/music_metadata/490252348b1df68e4145357b5fc3aad5.jpg</v>
      </c>
      <c r="P1558" s="4" t="str">
        <f ca="1">_xlfn.IFNA(VLOOKUP(INDIRECT("G"&amp;ROW()),minfo!$A:$M,COLUMN()-8,0),"")</f>
        <v>http://i0.hdslb.com/bfs/station_src/music_metadata/03c91235e156d3e1f46836f93beeb9f7</v>
      </c>
      <c r="Q1558" s="4">
        <f ca="1">_xlfn.IFNA(VLOOKUP(INDIRECT("G"&amp;ROW()),minfo!$A:$M,COLUMN()-8,0),"")</f>
        <v>139</v>
      </c>
      <c r="R1558" s="4">
        <f ca="1">_xlfn.IFNA(VLOOKUP(INDIRECT("G"&amp;ROW()),minfo!$A:$M,COLUMN()-8,0),"")</f>
        <v>0</v>
      </c>
      <c r="S1558" s="4" t="str">
        <f ca="1">_xlfn.IFNA(VLOOKUP(INDIRECT("G"&amp;ROW()),minfo!$A:$M,COLUMN()-8,0),"")</f>
        <v>阿楚姑娘</v>
      </c>
      <c r="T1558" s="4">
        <f ca="1">_xlfn.IFNA(VLOOKUP(INDIRECT("G"&amp;ROW()),minfo!$A:$M,COLUMN()-8,0),"")</f>
        <v>27303668</v>
      </c>
      <c r="U1558" s="4">
        <f ca="1">_xlfn.IFNA(VLOOKUP(INDIRECT("G"&amp;ROW()),minfo!$A:$M,COLUMN()-8,0),"")</f>
        <v>0</v>
      </c>
    </row>
    <row r="1559" spans="1:21" ht="15.75" customHeight="1">
      <c r="A1559" s="15">
        <v>1558</v>
      </c>
      <c r="B1559" s="4" t="s">
        <v>5193</v>
      </c>
      <c r="C1559" s="4">
        <v>1559</v>
      </c>
      <c r="D1559" s="4">
        <v>16</v>
      </c>
      <c r="E1559" s="4" t="s">
        <v>1088</v>
      </c>
      <c r="F1559" s="16">
        <v>44197</v>
      </c>
      <c r="G1559" s="5" t="s">
        <v>1087</v>
      </c>
      <c r="H1559" s="5" t="s">
        <v>5178</v>
      </c>
      <c r="I1559" s="24" t="str">
        <f>HYPERLINK("https://www.bilibili.com/video/BV1kQ4y1z7WD?p=16", "BV1kQ4y1z7WD?p=16")</f>
        <v>BV1kQ4y1z7WD?p=16</v>
      </c>
      <c r="J1559" s="4" t="str">
        <f ca="1">_xlfn.IFNA(VLOOKUP(INDIRECT("G"&amp;ROW()),minfo!$A:$M,COLUMN()-8,0),"")</f>
        <v>落在胸口的星星</v>
      </c>
      <c r="K1559" s="4" t="str">
        <f ca="1">_xlfn.IFNA(VLOOKUP(INDIRECT("G"&amp;ROW()),minfo!$A:$M,COLUMN()-8,0),"")</f>
        <v>郁可唯</v>
      </c>
      <c r="L1559" s="4">
        <f ca="1">_xlfn.IFNA(VLOOKUP(INDIRECT("G"&amp;ROW()),minfo!$A:$M,COLUMN()-8,0),"")</f>
        <v>0</v>
      </c>
      <c r="M1559" s="4">
        <f ca="1">_xlfn.IFNA(VLOOKUP(INDIRECT("G"&amp;ROW()),minfo!$A:$M,COLUMN()-8,0),"")</f>
        <v>0</v>
      </c>
      <c r="N1559" s="4">
        <f ca="1">_xlfn.IFNA(VLOOKUP(INDIRECT("G"&amp;ROW()),minfo!$A:$M,COLUMN()-8,0),"")</f>
        <v>0</v>
      </c>
      <c r="O1559" s="4" t="str">
        <f ca="1">_xlfn.IFNA(VLOOKUP(INDIRECT("G"&amp;ROW()),minfo!$A:$M,COLUMN()-8,0),"")</f>
        <v>https://i0.hdslb.com/bfs/station_src/music_metadata/50c77e28db4c8227c00d9a071a65db1e.jpg</v>
      </c>
      <c r="P1559" s="4" t="str">
        <f ca="1">_xlfn.IFNA(VLOOKUP(INDIRECT("G"&amp;ROW()),minfo!$A:$M,COLUMN()-8,0),"")</f>
        <v>https://i0.hdslb.com/bfs/station_src/music_metadata/709099508f630786ca5d062cce060acd.txt</v>
      </c>
      <c r="Q1559" s="4">
        <f ca="1">_xlfn.IFNA(VLOOKUP(INDIRECT("G"&amp;ROW()),minfo!$A:$M,COLUMN()-8,0),"")</f>
        <v>0</v>
      </c>
      <c r="R1559" s="4" t="str">
        <f ca="1">_xlfn.IFNA(VLOOKUP(INDIRECT("G"&amp;ROW()),minfo!$A:$M,COLUMN()-8,0),"")</f>
        <v>《美容针》电影主题曲</v>
      </c>
      <c r="S1559" s="4" t="str">
        <f ca="1">_xlfn.IFNA(VLOOKUP(INDIRECT("G"&amp;ROW()),minfo!$A:$M,COLUMN()-8,0),"")</f>
        <v>落在胸口的星星</v>
      </c>
      <c r="T1559" s="4">
        <f ca="1">_xlfn.IFNA(VLOOKUP(INDIRECT("G"&amp;ROW()),minfo!$A:$M,COLUMN()-8,0),"")</f>
        <v>2086840</v>
      </c>
      <c r="U1559" s="4">
        <f ca="1">_xlfn.IFNA(VLOOKUP(INDIRECT("G"&amp;ROW()),minfo!$A:$M,COLUMN()-8,0),"")</f>
        <v>0</v>
      </c>
    </row>
    <row r="1560" spans="1:21" ht="15.75" customHeight="1">
      <c r="A1560" s="15">
        <v>1559</v>
      </c>
      <c r="B1560" s="4" t="s">
        <v>5194</v>
      </c>
      <c r="C1560" s="4">
        <v>1560</v>
      </c>
      <c r="D1560" s="4">
        <v>17</v>
      </c>
      <c r="E1560" s="4" t="s">
        <v>2230</v>
      </c>
      <c r="F1560" s="16">
        <v>44197</v>
      </c>
      <c r="G1560" s="5" t="s">
        <v>2229</v>
      </c>
      <c r="H1560" s="5" t="s">
        <v>5178</v>
      </c>
      <c r="I1560" s="24" t="str">
        <f>HYPERLINK("https://www.bilibili.com/video/BV1kQ4y1z7WD?p=17", "BV1kQ4y1z7WD?p=17")</f>
        <v>BV1kQ4y1z7WD?p=17</v>
      </c>
      <c r="J1560" s="4" t="str">
        <f ca="1">_xlfn.IFNA(VLOOKUP(INDIRECT("G"&amp;ROW()),minfo!$A:$M,COLUMN()-8,0),"")</f>
        <v>匆匆那年</v>
      </c>
      <c r="K1560" s="4" t="str">
        <f ca="1">_xlfn.IFNA(VLOOKUP(INDIRECT("G"&amp;ROW()),minfo!$A:$M,COLUMN()-8,0),"")</f>
        <v>王菲</v>
      </c>
      <c r="L1560" s="4">
        <f ca="1">_xlfn.IFNA(VLOOKUP(INDIRECT("G"&amp;ROW()),minfo!$A:$M,COLUMN()-8,0),"")</f>
        <v>0</v>
      </c>
      <c r="M1560" s="4">
        <f ca="1">_xlfn.IFNA(VLOOKUP(INDIRECT("G"&amp;ROW()),minfo!$A:$M,COLUMN()-8,0),"")</f>
        <v>0</v>
      </c>
      <c r="N1560" s="4">
        <f ca="1">_xlfn.IFNA(VLOOKUP(INDIRECT("G"&amp;ROW()),minfo!$A:$M,COLUMN()-8,0),"")</f>
        <v>0</v>
      </c>
      <c r="O1560" s="4" t="str">
        <f ca="1">_xlfn.IFNA(VLOOKUP(INDIRECT("G"&amp;ROW()),minfo!$A:$M,COLUMN()-8,0),"")</f>
        <v>https://i0.hdslb.com/bfs/station_src/music_metadata/cab45a20ca2d7c220522553551bea5b0.jpg</v>
      </c>
      <c r="P1560" s="4" t="str">
        <f ca="1">_xlfn.IFNA(VLOOKUP(INDIRECT("G"&amp;ROW()),minfo!$A:$M,COLUMN()-8,0),"")</f>
        <v>http://i0.hdslb.com/bfs/station_src/music_metadata/a8de399662b8d3e4904e3d3bc5933073</v>
      </c>
      <c r="Q1560" s="4">
        <f ca="1">_xlfn.IFNA(VLOOKUP(INDIRECT("G"&amp;ROW()),minfo!$A:$M,COLUMN()-8,0),"")</f>
        <v>2705</v>
      </c>
      <c r="R1560" s="4" t="str">
        <f ca="1">_xlfn.IFNA(VLOOKUP(INDIRECT("G"&amp;ROW()),minfo!$A:$M,COLUMN()-8,0),"")</f>
        <v>《匆匆那年》电影同名主题曲</v>
      </c>
      <c r="S1560" s="4" t="str">
        <f ca="1">_xlfn.IFNA(VLOOKUP(INDIRECT("G"&amp;ROW()),minfo!$A:$M,COLUMN()-8,0),"")</f>
        <v>匆匆那年</v>
      </c>
      <c r="T1560" s="4">
        <f ca="1">_xlfn.IFNA(VLOOKUP(INDIRECT("G"&amp;ROW()),minfo!$A:$M,COLUMN()-8,0),"")</f>
        <v>420865010</v>
      </c>
      <c r="U1560" s="4" t="str">
        <f ca="1">_xlfn.IFNA(VLOOKUP(INDIRECT("G"&amp;ROW()),minfo!$A:$M,COLUMN()-8,0),"")</f>
        <v>音乐榜最高NO.3</v>
      </c>
    </row>
    <row r="1561" spans="1:21" ht="15.75" customHeight="1">
      <c r="A1561" s="15">
        <v>1560</v>
      </c>
      <c r="B1561" s="4" t="s">
        <v>5195</v>
      </c>
      <c r="C1561" s="4">
        <v>1561</v>
      </c>
      <c r="D1561" s="4">
        <v>18</v>
      </c>
      <c r="E1561" s="4" t="s">
        <v>3551</v>
      </c>
      <c r="F1561" s="16">
        <v>44197</v>
      </c>
      <c r="G1561" s="5" t="s">
        <v>186</v>
      </c>
      <c r="H1561" s="5" t="s">
        <v>5178</v>
      </c>
      <c r="I1561" s="24" t="str">
        <f>HYPERLINK("https://www.bilibili.com/video/BV1kQ4y1z7WD?p=18", "BV1kQ4y1z7WD?p=18")</f>
        <v>BV1kQ4y1z7WD?p=18</v>
      </c>
      <c r="J1561" s="4" t="str">
        <f ca="1">_xlfn.IFNA(VLOOKUP(INDIRECT("G"&amp;ROW()),minfo!$A:$M,COLUMN()-8,0),"")</f>
        <v>Rubia</v>
      </c>
      <c r="K1561" s="4" t="str">
        <f ca="1">_xlfn.IFNA(VLOOKUP(INDIRECT("G"&amp;ROW()),minfo!$A:$M,COLUMN()-8,0),"")</f>
        <v>周深</v>
      </c>
      <c r="L1561" s="4">
        <f ca="1">_xlfn.IFNA(VLOOKUP(INDIRECT("G"&amp;ROW()),minfo!$A:$M,COLUMN()-8,0),"")</f>
        <v>0</v>
      </c>
      <c r="M1561" s="4">
        <f ca="1">_xlfn.IFNA(VLOOKUP(INDIRECT("G"&amp;ROW()),minfo!$A:$M,COLUMN()-8,0),"")</f>
        <v>516030</v>
      </c>
      <c r="N1561" s="4">
        <f ca="1">_xlfn.IFNA(VLOOKUP(INDIRECT("G"&amp;ROW()),minfo!$A:$M,COLUMN()-8,0),"")</f>
        <v>96155</v>
      </c>
      <c r="O1561" s="4" t="str">
        <f ca="1">_xlfn.IFNA(VLOOKUP(INDIRECT("G"&amp;ROW()),minfo!$A:$M,COLUMN()-8,0),"")</f>
        <v>https://i0.hdslb.com/bfs/station_src/music_metadata/58bc0047ef309717106ab37f9f0eaaef.jpg</v>
      </c>
      <c r="P1561" s="4" t="str">
        <f ca="1">_xlfn.IFNA(VLOOKUP(INDIRECT("G"&amp;ROW()),minfo!$A:$M,COLUMN()-8,0),"")</f>
        <v>http://i0.hdslb.com/bfs/station_src/music_metadata/004573c098a52ded7995aead78b01386</v>
      </c>
      <c r="Q1561" s="4">
        <f ca="1">_xlfn.IFNA(VLOOKUP(INDIRECT("G"&amp;ROW()),minfo!$A:$M,COLUMN()-8,0),"")</f>
        <v>4410</v>
      </c>
      <c r="R1561" s="4">
        <f ca="1">_xlfn.IFNA(VLOOKUP(INDIRECT("G"&amp;ROW()),minfo!$A:$M,COLUMN()-8,0),"")</f>
        <v>0</v>
      </c>
      <c r="S1561" s="4" t="str">
        <f ca="1">_xlfn.IFNA(VLOOKUP(INDIRECT("G"&amp;ROW()),minfo!$A:$M,COLUMN()-8,0),"")</f>
        <v>Rubia</v>
      </c>
      <c r="T1561" s="4">
        <f ca="1">_xlfn.IFNA(VLOOKUP(INDIRECT("G"&amp;ROW()),minfo!$A:$M,COLUMN()-8,0),"")</f>
        <v>217211932</v>
      </c>
      <c r="U1561" s="4">
        <f ca="1">_xlfn.IFNA(VLOOKUP(INDIRECT("G"&amp;ROW()),minfo!$A:$M,COLUMN()-8,0),"")</f>
        <v>0</v>
      </c>
    </row>
    <row r="1562" spans="1:21" ht="15.75" customHeight="1">
      <c r="A1562" s="15">
        <v>1561</v>
      </c>
      <c r="B1562" s="4" t="s">
        <v>5196</v>
      </c>
      <c r="C1562" s="4">
        <v>1562</v>
      </c>
      <c r="D1562" s="4">
        <v>19</v>
      </c>
      <c r="E1562" s="4" t="s">
        <v>1184</v>
      </c>
      <c r="F1562" s="16">
        <v>44197</v>
      </c>
      <c r="G1562" s="5" t="s">
        <v>1183</v>
      </c>
      <c r="H1562" s="5" t="s">
        <v>5178</v>
      </c>
      <c r="I1562" s="24" t="str">
        <f>HYPERLINK("https://www.bilibili.com/video/BV1kQ4y1z7WD?p=19", "BV1kQ4y1z7WD?p=19")</f>
        <v>BV1kQ4y1z7WD?p=19</v>
      </c>
      <c r="J1562" s="4" t="str">
        <f ca="1">_xlfn.IFNA(VLOOKUP(INDIRECT("G"&amp;ROW()),minfo!$A:$M,COLUMN()-8,0),"")</f>
        <v>喜欢寂寞</v>
      </c>
      <c r="K1562" s="4" t="str">
        <f ca="1">_xlfn.IFNA(VLOOKUP(INDIRECT("G"&amp;ROW()),minfo!$A:$M,COLUMN()-8,0),"")</f>
        <v>苏打绿</v>
      </c>
      <c r="L1562" s="4">
        <f ca="1">_xlfn.IFNA(VLOOKUP(INDIRECT("G"&amp;ROW()),minfo!$A:$M,COLUMN()-8,0),"")</f>
        <v>0</v>
      </c>
      <c r="M1562" s="4">
        <f ca="1">_xlfn.IFNA(VLOOKUP(INDIRECT("G"&amp;ROW()),minfo!$A:$M,COLUMN()-8,0),"")</f>
        <v>0</v>
      </c>
      <c r="N1562" s="4">
        <f ca="1">_xlfn.IFNA(VLOOKUP(INDIRECT("G"&amp;ROW()),minfo!$A:$M,COLUMN()-8,0),"")</f>
        <v>0</v>
      </c>
      <c r="O1562" s="4" t="str">
        <f ca="1">_xlfn.IFNA(VLOOKUP(INDIRECT("G"&amp;ROW()),minfo!$A:$M,COLUMN()-8,0),"")</f>
        <v>https://i0.hdslb.com/bfs/station_src/music_metadata/d121c3715408b7ed00de8d570a7c5b94.jpg</v>
      </c>
      <c r="P1562" s="4" t="str">
        <f ca="1">_xlfn.IFNA(VLOOKUP(INDIRECT("G"&amp;ROW()),minfo!$A:$M,COLUMN()-8,0),"")</f>
        <v>https://i0.hdslb.com/bfs/station_src/music_metadata/7751ffa790ea57dc1e90f19496ce8669.txt</v>
      </c>
      <c r="Q1562" s="4">
        <f ca="1">_xlfn.IFNA(VLOOKUP(INDIRECT("G"&amp;ROW()),minfo!$A:$M,COLUMN()-8,0),"")</f>
        <v>13</v>
      </c>
      <c r="R1562" s="4">
        <f ca="1">_xlfn.IFNA(VLOOKUP(INDIRECT("G"&amp;ROW()),minfo!$A:$M,COLUMN()-8,0),"")</f>
        <v>0</v>
      </c>
      <c r="S1562" s="4" t="str">
        <f ca="1">_xlfn.IFNA(VLOOKUP(INDIRECT("G"&amp;ROW()),minfo!$A:$M,COLUMN()-8,0),"")</f>
        <v>2011 Hit Fm 年度百首单曲</v>
      </c>
      <c r="T1562" s="4">
        <f ca="1">_xlfn.IFNA(VLOOKUP(INDIRECT("G"&amp;ROW()),minfo!$A:$M,COLUMN()-8,0),"")</f>
        <v>6139411</v>
      </c>
      <c r="U1562" s="4">
        <f ca="1">_xlfn.IFNA(VLOOKUP(INDIRECT("G"&amp;ROW()),minfo!$A:$M,COLUMN()-8,0),"")</f>
        <v>0</v>
      </c>
    </row>
    <row r="1563" spans="1:21" ht="15.75" customHeight="1">
      <c r="A1563" s="15">
        <v>1562</v>
      </c>
      <c r="B1563" s="4" t="s">
        <v>5197</v>
      </c>
      <c r="C1563" s="4">
        <v>1563</v>
      </c>
      <c r="D1563" s="4">
        <v>20</v>
      </c>
      <c r="E1563" s="4" t="s">
        <v>1067</v>
      </c>
      <c r="F1563" s="16">
        <v>44197</v>
      </c>
      <c r="G1563" s="5" t="s">
        <v>1066</v>
      </c>
      <c r="H1563" s="5" t="s">
        <v>5178</v>
      </c>
      <c r="I1563" s="24" t="str">
        <f>HYPERLINK("https://www.bilibili.com/video/BV1kQ4y1z7WD?p=20", "BV1kQ4y1z7WD?p=20")</f>
        <v>BV1kQ4y1z7WD?p=20</v>
      </c>
      <c r="J1563" s="4" t="str">
        <f ca="1">_xlfn.IFNA(VLOOKUP(INDIRECT("G"&amp;ROW()),minfo!$A:$M,COLUMN()-8,0),"")</f>
        <v>永不失联的爱</v>
      </c>
      <c r="K1563" s="4" t="str">
        <f ca="1">_xlfn.IFNA(VLOOKUP(INDIRECT("G"&amp;ROW()),minfo!$A:$M,COLUMN()-8,0),"")</f>
        <v>Eric周兴哲</v>
      </c>
      <c r="L1563" s="4">
        <f ca="1">_xlfn.IFNA(VLOOKUP(INDIRECT("G"&amp;ROW()),minfo!$A:$M,COLUMN()-8,0),"")</f>
        <v>0</v>
      </c>
      <c r="M1563" s="4">
        <f ca="1">_xlfn.IFNA(VLOOKUP(INDIRECT("G"&amp;ROW()),minfo!$A:$M,COLUMN()-8,0),"")</f>
        <v>0</v>
      </c>
      <c r="N1563" s="4">
        <f ca="1">_xlfn.IFNA(VLOOKUP(INDIRECT("G"&amp;ROW()),minfo!$A:$M,COLUMN()-8,0),"")</f>
        <v>0</v>
      </c>
      <c r="O1563" s="4" t="str">
        <f ca="1">_xlfn.IFNA(VLOOKUP(INDIRECT("G"&amp;ROW()),minfo!$A:$M,COLUMN()-8,0),"")</f>
        <v>http://i0.hdslb.com/bfs/station_src/music_metadata/66d68e12c7bf06dfcd345e31ea45ac05.jpg</v>
      </c>
      <c r="P1563" s="4" t="str">
        <f ca="1">_xlfn.IFNA(VLOOKUP(INDIRECT("G"&amp;ROW()),minfo!$A:$M,COLUMN()-8,0),"")</f>
        <v>http://i0.hdslb.com/bfs/station_src/music_metadata/4a6a6c9be708e96306f4fbc010bf2a12</v>
      </c>
      <c r="Q1563" s="4">
        <f ca="1">_xlfn.IFNA(VLOOKUP(INDIRECT("G"&amp;ROW()),minfo!$A:$M,COLUMN()-8,0),"")</f>
        <v>1013</v>
      </c>
      <c r="R1563" s="4">
        <f ca="1">_xlfn.IFNA(VLOOKUP(INDIRECT("G"&amp;ROW()),minfo!$A:$M,COLUMN()-8,0),"")</f>
        <v>0</v>
      </c>
      <c r="S1563" s="4" t="str">
        <f ca="1">_xlfn.IFNA(VLOOKUP(INDIRECT("G"&amp;ROW()),minfo!$A:$M,COLUMN()-8,0),"")</f>
        <v>如果雨之后</v>
      </c>
      <c r="T1563" s="4">
        <f ca="1">_xlfn.IFNA(VLOOKUP(INDIRECT("G"&amp;ROW()),minfo!$A:$M,COLUMN()-8,0),"")</f>
        <v>291250605</v>
      </c>
      <c r="U1563" s="4">
        <f ca="1">_xlfn.IFNA(VLOOKUP(INDIRECT("G"&amp;ROW()),minfo!$A:$M,COLUMN()-8,0),"")</f>
        <v>0</v>
      </c>
    </row>
    <row r="1564" spans="1:21" ht="15.75" customHeight="1">
      <c r="A1564" s="15">
        <v>1563</v>
      </c>
      <c r="B1564" s="4" t="s">
        <v>5198</v>
      </c>
      <c r="C1564" s="4">
        <v>1564</v>
      </c>
      <c r="D1564" s="4">
        <v>21</v>
      </c>
      <c r="E1564" s="4" t="s">
        <v>313</v>
      </c>
      <c r="F1564" s="16">
        <v>44197</v>
      </c>
      <c r="G1564" s="5" t="s">
        <v>312</v>
      </c>
      <c r="H1564" s="5" t="s">
        <v>5178</v>
      </c>
      <c r="I1564" s="24" t="str">
        <f>HYPERLINK("https://www.bilibili.com/video/BV1kQ4y1z7WD?p=21", "BV1kQ4y1z7WD?p=21")</f>
        <v>BV1kQ4y1z7WD?p=21</v>
      </c>
      <c r="J1564" s="4" t="str">
        <f ca="1">_xlfn.IFNA(VLOOKUP(INDIRECT("G"&amp;ROW()),minfo!$A:$M,COLUMN()-8,0),"")</f>
        <v>鸿雁</v>
      </c>
      <c r="K1564" s="4" t="str">
        <f ca="1">_xlfn.IFNA(VLOOKUP(INDIRECT("G"&amp;ROW()),minfo!$A:$M,COLUMN()-8,0),"")</f>
        <v>呼斯楞,柏菲音乐</v>
      </c>
      <c r="L1564" s="4">
        <f ca="1">_xlfn.IFNA(VLOOKUP(INDIRECT("G"&amp;ROW()),minfo!$A:$M,COLUMN()-8,0),"")</f>
        <v>0</v>
      </c>
      <c r="M1564" s="4">
        <f ca="1">_xlfn.IFNA(VLOOKUP(INDIRECT("G"&amp;ROW()),minfo!$A:$M,COLUMN()-8,0),"")</f>
        <v>0</v>
      </c>
      <c r="N1564" s="4">
        <f ca="1">_xlfn.IFNA(VLOOKUP(INDIRECT("G"&amp;ROW()),minfo!$A:$M,COLUMN()-8,0),"")</f>
        <v>0</v>
      </c>
      <c r="O1564" s="4" t="str">
        <f ca="1">_xlfn.IFNA(VLOOKUP(INDIRECT("G"&amp;ROW()),minfo!$A:$M,COLUMN()-8,0),"")</f>
        <v>https://i0.hdslb.com/bfs/station_src/music_metadata/757ef72664f713a69ffc3e10d1eaad5d.jpg</v>
      </c>
      <c r="P1564" s="4" t="str">
        <f ca="1">_xlfn.IFNA(VLOOKUP(INDIRECT("G"&amp;ROW()),minfo!$A:$M,COLUMN()-8,0),"")</f>
        <v>https://i0.hdslb.com/bfs/station_src/music_metadata/1cc81a2b8e82def7add1a73a9f9486fe.txt</v>
      </c>
      <c r="Q1564" s="4">
        <f ca="1">_xlfn.IFNA(VLOOKUP(INDIRECT("G"&amp;ROW()),minfo!$A:$M,COLUMN()-8,0),"")</f>
        <v>1717</v>
      </c>
      <c r="R1564" s="4">
        <f ca="1">_xlfn.IFNA(VLOOKUP(INDIRECT("G"&amp;ROW()),minfo!$A:$M,COLUMN()-8,0),"")</f>
        <v>0</v>
      </c>
      <c r="S1564" s="4" t="str">
        <f ca="1">_xlfn.IFNA(VLOOKUP(INDIRECT("G"&amp;ROW()),minfo!$A:$M,COLUMN()-8,0),"")</f>
        <v>非同凡响NO·3</v>
      </c>
      <c r="T1564" s="4">
        <f ca="1">_xlfn.IFNA(VLOOKUP(INDIRECT("G"&amp;ROW()),minfo!$A:$M,COLUMN()-8,0),"")</f>
        <v>79378829</v>
      </c>
      <c r="U1564" s="4">
        <f ca="1">_xlfn.IFNA(VLOOKUP(INDIRECT("G"&amp;ROW()),minfo!$A:$M,COLUMN()-8,0),"")</f>
        <v>0</v>
      </c>
    </row>
    <row r="1565" spans="1:21" ht="15.75" customHeight="1">
      <c r="A1565" s="15">
        <v>1564</v>
      </c>
      <c r="B1565" s="4" t="s">
        <v>5199</v>
      </c>
      <c r="C1565" s="4">
        <v>1565</v>
      </c>
      <c r="D1565" s="4">
        <v>22</v>
      </c>
      <c r="E1565" s="4" t="s">
        <v>1365</v>
      </c>
      <c r="F1565" s="16">
        <v>44197</v>
      </c>
      <c r="G1565" s="5" t="s">
        <v>1364</v>
      </c>
      <c r="H1565" s="5" t="s">
        <v>5178</v>
      </c>
      <c r="I1565" s="24" t="str">
        <f>HYPERLINK("https://www.bilibili.com/video/BV1kQ4y1z7WD?p=22", "BV1kQ4y1z7WD?p=22")</f>
        <v>BV1kQ4y1z7WD?p=22</v>
      </c>
      <c r="J1565" s="4" t="str">
        <f ca="1">_xlfn.IFNA(VLOOKUP(INDIRECT("G"&amp;ROW()),minfo!$A:$M,COLUMN()-8,0),"")</f>
        <v>芦花</v>
      </c>
      <c r="K1565" s="4" t="str">
        <f ca="1">_xlfn.IFNA(VLOOKUP(INDIRECT("G"&amp;ROW()),minfo!$A:$M,COLUMN()-8,0),"")</f>
        <v>雷佳</v>
      </c>
      <c r="L1565" s="4">
        <f ca="1">_xlfn.IFNA(VLOOKUP(INDIRECT("G"&amp;ROW()),minfo!$A:$M,COLUMN()-8,0),"")</f>
        <v>0</v>
      </c>
      <c r="M1565" s="4">
        <f ca="1">_xlfn.IFNA(VLOOKUP(INDIRECT("G"&amp;ROW()),minfo!$A:$M,COLUMN()-8,0),"")</f>
        <v>0</v>
      </c>
      <c r="N1565" s="4">
        <f ca="1">_xlfn.IFNA(VLOOKUP(INDIRECT("G"&amp;ROW()),minfo!$A:$M,COLUMN()-8,0),"")</f>
        <v>0</v>
      </c>
      <c r="O1565" s="4" t="str">
        <f ca="1">_xlfn.IFNA(VLOOKUP(INDIRECT("G"&amp;ROW()),minfo!$A:$M,COLUMN()-8,0),"")</f>
        <v>https://i0.hdslb.com/bfs/station_src/music_metadata/5d10069250016b4dc0f3b44677f25d40.jpg</v>
      </c>
      <c r="P1565" s="4" t="str">
        <f ca="1">_xlfn.IFNA(VLOOKUP(INDIRECT("G"&amp;ROW()),minfo!$A:$M,COLUMN()-8,0),"")</f>
        <v>https://i0.hdslb.com/bfs/station_src/music_metadata/d73271ada4973630cf18fe263ae525c3.txt</v>
      </c>
      <c r="Q1565" s="4">
        <f ca="1">_xlfn.IFNA(VLOOKUP(INDIRECT("G"&amp;ROW()),minfo!$A:$M,COLUMN()-8,0),"")</f>
        <v>7</v>
      </c>
      <c r="R1565" s="4">
        <f ca="1">_xlfn.IFNA(VLOOKUP(INDIRECT("G"&amp;ROW()),minfo!$A:$M,COLUMN()-8,0),"")</f>
        <v>0</v>
      </c>
      <c r="S1565" s="4" t="str">
        <f ca="1">_xlfn.IFNA(VLOOKUP(INDIRECT("G"&amp;ROW()),minfo!$A:$M,COLUMN()-8,0),"")</f>
        <v>一人一首成名曲10</v>
      </c>
      <c r="T1565" s="4">
        <f ca="1">_xlfn.IFNA(VLOOKUP(INDIRECT("G"&amp;ROW()),minfo!$A:$M,COLUMN()-8,0),"")</f>
        <v>2752773</v>
      </c>
      <c r="U1565" s="4">
        <f ca="1">_xlfn.IFNA(VLOOKUP(INDIRECT("G"&amp;ROW()),minfo!$A:$M,COLUMN()-8,0),"")</f>
        <v>0</v>
      </c>
    </row>
    <row r="1566" spans="1:21" ht="15.75" customHeight="1">
      <c r="A1566" s="15">
        <v>1565</v>
      </c>
      <c r="B1566" s="4" t="s">
        <v>5200</v>
      </c>
      <c r="C1566" s="4">
        <v>1566</v>
      </c>
      <c r="D1566" s="4">
        <v>23</v>
      </c>
      <c r="E1566" s="4" t="s">
        <v>2088</v>
      </c>
      <c r="F1566" s="16">
        <v>44197</v>
      </c>
      <c r="G1566" s="5" t="s">
        <v>2996</v>
      </c>
      <c r="H1566" s="5" t="s">
        <v>5178</v>
      </c>
      <c r="I1566" s="24" t="str">
        <f>HYPERLINK("https://www.bilibili.com/video/BV1kQ4y1z7WD?p=23", "BV1kQ4y1z7WD?p=23")</f>
        <v>BV1kQ4y1z7WD?p=23</v>
      </c>
      <c r="J1566" s="4" t="str">
        <f ca="1">_xlfn.IFNA(VLOOKUP(INDIRECT("G"&amp;ROW()),minfo!$A:$M,COLUMN()-8,0),"")</f>
        <v>乌兰巴托的夜</v>
      </c>
      <c r="K1566" s="4" t="str">
        <f ca="1">_xlfn.IFNA(VLOOKUP(INDIRECT("G"&amp;ROW()),minfo!$A:$M,COLUMN()-8,0),"")</f>
        <v>谭维维</v>
      </c>
      <c r="L1566" s="4">
        <f ca="1">_xlfn.IFNA(VLOOKUP(INDIRECT("G"&amp;ROW()),minfo!$A:$M,COLUMN()-8,0),"")</f>
        <v>0</v>
      </c>
      <c r="M1566" s="4">
        <f ca="1">_xlfn.IFNA(VLOOKUP(INDIRECT("G"&amp;ROW()),minfo!$A:$M,COLUMN()-8,0),"")</f>
        <v>0</v>
      </c>
      <c r="N1566" s="4">
        <f ca="1">_xlfn.IFNA(VLOOKUP(INDIRECT("G"&amp;ROW()),minfo!$A:$M,COLUMN()-8,0),"")</f>
        <v>0</v>
      </c>
      <c r="O1566" s="4" t="str">
        <f ca="1">_xlfn.IFNA(VLOOKUP(INDIRECT("G"&amp;ROW()),minfo!$A:$M,COLUMN()-8,0),"")</f>
        <v>https://i0.hdslb.com/bfs/station_src/music_metadata/83084f80c987e2891a4f611fad52f476.jpg</v>
      </c>
      <c r="P1566" s="4" t="str">
        <f ca="1">_xlfn.IFNA(VLOOKUP(INDIRECT("G"&amp;ROW()),minfo!$A:$M,COLUMN()-8,0),"")</f>
        <v>https://i0.hdslb.com/bfs/station_src/music_metadata/5ff2e94fba4074601c2df670f83c3c91.txt</v>
      </c>
      <c r="Q1566" s="4">
        <f ca="1">_xlfn.IFNA(VLOOKUP(INDIRECT("G"&amp;ROW()),minfo!$A:$M,COLUMN()-8,0),"")</f>
        <v>3295</v>
      </c>
      <c r="R1566" s="4">
        <f ca="1">_xlfn.IFNA(VLOOKUP(INDIRECT("G"&amp;ROW()),minfo!$A:$M,COLUMN()-8,0),"")</f>
        <v>0</v>
      </c>
      <c r="S1566" s="4" t="str">
        <f ca="1">_xlfn.IFNA(VLOOKUP(INDIRECT("G"&amp;ROW()),minfo!$A:$M,COLUMN()-8,0),"")</f>
        <v>我的名字叫做安</v>
      </c>
      <c r="T1566" s="4">
        <f ca="1">_xlfn.IFNA(VLOOKUP(INDIRECT("G"&amp;ROW()),minfo!$A:$M,COLUMN()-8,0),"")</f>
        <v>132388811</v>
      </c>
      <c r="U1566" s="4" t="str">
        <f ca="1">_xlfn.IFNA(VLOOKUP(INDIRECT("G"&amp;ROW()),minfo!$A:$M,COLUMN()-8,0),"")</f>
        <v>音乐榜最高NO.16</v>
      </c>
    </row>
    <row r="1567" spans="1:21" ht="15.75" customHeight="1">
      <c r="A1567" s="15">
        <v>1566</v>
      </c>
      <c r="B1567" s="4" t="s">
        <v>5201</v>
      </c>
      <c r="C1567" s="4">
        <v>1567</v>
      </c>
      <c r="D1567" s="4">
        <v>24</v>
      </c>
      <c r="E1567" s="4" t="s">
        <v>2283</v>
      </c>
      <c r="F1567" s="16">
        <v>44197</v>
      </c>
      <c r="G1567" s="5" t="s">
        <v>2282</v>
      </c>
      <c r="H1567" s="5" t="s">
        <v>5178</v>
      </c>
      <c r="I1567" s="24" t="str">
        <f>HYPERLINK("https://www.bilibili.com/video/BV1kQ4y1z7WD?p=24", "BV1kQ4y1z7WD?p=24")</f>
        <v>BV1kQ4y1z7WD?p=24</v>
      </c>
      <c r="J1567" s="4" t="str">
        <f ca="1">_xlfn.IFNA(VLOOKUP(INDIRECT("G"&amp;ROW()),minfo!$A:$M,COLUMN()-8,0),"")</f>
        <v>红豆</v>
      </c>
      <c r="K1567" s="4" t="str">
        <f ca="1">_xlfn.IFNA(VLOOKUP(INDIRECT("G"&amp;ROW()),minfo!$A:$M,COLUMN()-8,0),"")</f>
        <v>王菲</v>
      </c>
      <c r="L1567" s="4">
        <f ca="1">_xlfn.IFNA(VLOOKUP(INDIRECT("G"&amp;ROW()),minfo!$A:$M,COLUMN()-8,0),"")</f>
        <v>0</v>
      </c>
      <c r="M1567" s="4">
        <f ca="1">_xlfn.IFNA(VLOOKUP(INDIRECT("G"&amp;ROW()),minfo!$A:$M,COLUMN()-8,0),"")</f>
        <v>0</v>
      </c>
      <c r="N1567" s="4">
        <f ca="1">_xlfn.IFNA(VLOOKUP(INDIRECT("G"&amp;ROW()),minfo!$A:$M,COLUMN()-8,0),"")</f>
        <v>0</v>
      </c>
      <c r="O1567" s="4" t="str">
        <f ca="1">_xlfn.IFNA(VLOOKUP(INDIRECT("G"&amp;ROW()),minfo!$A:$M,COLUMN()-8,0),"")</f>
        <v>https://i0.hdslb.com/bfs/station_src/music_metadata/d68db1979610db8b9cc1f37b75a77123.jpg</v>
      </c>
      <c r="P1567" s="4" t="str">
        <f ca="1">_xlfn.IFNA(VLOOKUP(INDIRECT("G"&amp;ROW()),minfo!$A:$M,COLUMN()-8,0),"")</f>
        <v>http://i0.hdslb.com/bfs/station_src/music_metadata/70c2611798b8f5ee7fda5c676928e8c0</v>
      </c>
      <c r="Q1567" s="4">
        <f ca="1">_xlfn.IFNA(VLOOKUP(INDIRECT("G"&amp;ROW()),minfo!$A:$M,COLUMN()-8,0),"")</f>
        <v>906</v>
      </c>
      <c r="R1567" s="4">
        <f ca="1">_xlfn.IFNA(VLOOKUP(INDIRECT("G"&amp;ROW()),minfo!$A:$M,COLUMN()-8,0),"")</f>
        <v>0</v>
      </c>
      <c r="S1567" s="4" t="str">
        <f ca="1">_xlfn.IFNA(VLOOKUP(INDIRECT("G"&amp;ROW()),minfo!$A:$M,COLUMN()-8,0),"")</f>
        <v>唱游</v>
      </c>
      <c r="T1567" s="4">
        <f ca="1">_xlfn.IFNA(VLOOKUP(INDIRECT("G"&amp;ROW()),minfo!$A:$M,COLUMN()-8,0),"")</f>
        <v>156411344</v>
      </c>
      <c r="U1567" s="4">
        <f ca="1">_xlfn.IFNA(VLOOKUP(INDIRECT("G"&amp;ROW()),minfo!$A:$M,COLUMN()-8,0),"")</f>
        <v>0</v>
      </c>
    </row>
    <row r="1568" spans="1:21" ht="15.75" customHeight="1">
      <c r="A1568" s="15">
        <v>1567</v>
      </c>
      <c r="B1568" s="4" t="s">
        <v>5202</v>
      </c>
      <c r="C1568" s="4">
        <v>1568</v>
      </c>
      <c r="D1568" s="4">
        <v>25</v>
      </c>
      <c r="E1568" s="4" t="s">
        <v>1576</v>
      </c>
      <c r="F1568" s="16">
        <v>44197</v>
      </c>
      <c r="G1568" s="5" t="s">
        <v>1575</v>
      </c>
      <c r="H1568" s="5" t="s">
        <v>5178</v>
      </c>
      <c r="I1568" s="24" t="str">
        <f>HYPERLINK("https://www.bilibili.com/video/BV1kQ4y1z7WD?p=25", "BV1kQ4y1z7WD?p=25")</f>
        <v>BV1kQ4y1z7WD?p=25</v>
      </c>
      <c r="J1568" s="4" t="str">
        <f ca="1">_xlfn.IFNA(VLOOKUP(INDIRECT("G"&amp;ROW()),minfo!$A:$M,COLUMN()-8,0),"")</f>
        <v>但愿人长久</v>
      </c>
      <c r="K1568" s="4" t="str">
        <f ca="1">_xlfn.IFNA(VLOOKUP(INDIRECT("G"&amp;ROW()),minfo!$A:$M,COLUMN()-8,0),"")</f>
        <v>邓丽君</v>
      </c>
      <c r="L1568" s="4">
        <f ca="1">_xlfn.IFNA(VLOOKUP(INDIRECT("G"&amp;ROW()),minfo!$A:$M,COLUMN()-8,0),"")</f>
        <v>0</v>
      </c>
      <c r="M1568" s="4">
        <f ca="1">_xlfn.IFNA(VLOOKUP(INDIRECT("G"&amp;ROW()),minfo!$A:$M,COLUMN()-8,0),"")</f>
        <v>0</v>
      </c>
      <c r="N1568" s="4">
        <f ca="1">_xlfn.IFNA(VLOOKUP(INDIRECT("G"&amp;ROW()),minfo!$A:$M,COLUMN()-8,0),"")</f>
        <v>0</v>
      </c>
      <c r="O1568" s="4" t="str">
        <f ca="1">_xlfn.IFNA(VLOOKUP(INDIRECT("G"&amp;ROW()),minfo!$A:$M,COLUMN()-8,0),"")</f>
        <v>https://i0.hdslb.com/bfs/station_src/music_metadata/7fb7940860e18a3fa0b05d6850c81206.jpg</v>
      </c>
      <c r="P1568" s="4" t="str">
        <f ca="1">_xlfn.IFNA(VLOOKUP(INDIRECT("G"&amp;ROW()),minfo!$A:$M,COLUMN()-8,0),"")</f>
        <v>http://i0.hdslb.com/bfs/station_src/music_metadata/ee3c6651e88071b7a1db572cbc6ce075</v>
      </c>
      <c r="Q1568" s="4">
        <f ca="1">_xlfn.IFNA(VLOOKUP(INDIRECT("G"&amp;ROW()),minfo!$A:$M,COLUMN()-8,0),"")</f>
        <v>372</v>
      </c>
      <c r="R1568" s="4">
        <f ca="1">_xlfn.IFNA(VLOOKUP(INDIRECT("G"&amp;ROW()),minfo!$A:$M,COLUMN()-8,0),"")</f>
        <v>0</v>
      </c>
      <c r="S1568" s="4" t="str">
        <f ca="1">_xlfn.IFNA(VLOOKUP(INDIRECT("G"&amp;ROW()),minfo!$A:$M,COLUMN()-8,0),"")</f>
        <v>夜上海 国语老歌 第九辑</v>
      </c>
      <c r="T1568" s="4">
        <f ca="1">_xlfn.IFNA(VLOOKUP(INDIRECT("G"&amp;ROW()),minfo!$A:$M,COLUMN()-8,0),"")</f>
        <v>91130644</v>
      </c>
      <c r="U1568" s="4">
        <f ca="1">_xlfn.IFNA(VLOOKUP(INDIRECT("G"&amp;ROW()),minfo!$A:$M,COLUMN()-8,0),"")</f>
        <v>0</v>
      </c>
    </row>
    <row r="1569" spans="1:21" ht="15.75" customHeight="1">
      <c r="A1569" s="15">
        <v>1568</v>
      </c>
      <c r="B1569" s="4" t="s">
        <v>5203</v>
      </c>
      <c r="C1569" s="4">
        <v>1569</v>
      </c>
      <c r="D1569" s="4">
        <v>26</v>
      </c>
      <c r="E1569" s="4" t="s">
        <v>812</v>
      </c>
      <c r="F1569" s="16">
        <v>44197</v>
      </c>
      <c r="G1569" s="5" t="s">
        <v>811</v>
      </c>
      <c r="H1569" s="5" t="s">
        <v>5178</v>
      </c>
      <c r="I1569" s="24" t="str">
        <f>HYPERLINK("https://www.bilibili.com/video/BV1kQ4y1z7WD?p=26", "BV1kQ4y1z7WD?p=26")</f>
        <v>BV1kQ4y1z7WD?p=26</v>
      </c>
      <c r="J1569" s="4" t="str">
        <f ca="1">_xlfn.IFNA(VLOOKUP(INDIRECT("G"&amp;ROW()),minfo!$A:$M,COLUMN()-8,0),"")</f>
        <v>下雨的夜晚</v>
      </c>
      <c r="K1569" s="4" t="str">
        <f ca="1">_xlfn.IFNA(VLOOKUP(INDIRECT("G"&amp;ROW()),minfo!$A:$M,COLUMN()-8,0),"")</f>
        <v>苏打绿</v>
      </c>
      <c r="L1569" s="4">
        <f ca="1">_xlfn.IFNA(VLOOKUP(INDIRECT("G"&amp;ROW()),minfo!$A:$M,COLUMN()-8,0),"")</f>
        <v>0</v>
      </c>
      <c r="M1569" s="4">
        <f ca="1">_xlfn.IFNA(VLOOKUP(INDIRECT("G"&amp;ROW()),minfo!$A:$M,COLUMN()-8,0),"")</f>
        <v>0</v>
      </c>
      <c r="N1569" s="4">
        <f ca="1">_xlfn.IFNA(VLOOKUP(INDIRECT("G"&amp;ROW()),minfo!$A:$M,COLUMN()-8,0),"")</f>
        <v>0</v>
      </c>
      <c r="O1569" s="4" t="str">
        <f ca="1">_xlfn.IFNA(VLOOKUP(INDIRECT("G"&amp;ROW()),minfo!$A:$M,COLUMN()-8,0),"")</f>
        <v>https://i0.hdslb.com/bfs/station_src/music_metadata/515892bd2a4d344caf93fec714c813be.jpg</v>
      </c>
      <c r="P1569" s="4">
        <f ca="1">_xlfn.IFNA(VLOOKUP(INDIRECT("G"&amp;ROW()),minfo!$A:$M,COLUMN()-8,0),"")</f>
        <v>0</v>
      </c>
      <c r="Q1569" s="4">
        <f ca="1">_xlfn.IFNA(VLOOKUP(INDIRECT("G"&amp;ROW()),minfo!$A:$M,COLUMN()-8,0),"")</f>
        <v>14</v>
      </c>
      <c r="R1569" s="4">
        <f ca="1">_xlfn.IFNA(VLOOKUP(INDIRECT("G"&amp;ROW()),minfo!$A:$M,COLUMN()-8,0),"")</f>
        <v>0</v>
      </c>
      <c r="S1569" s="4" t="str">
        <f ca="1">_xlfn.IFNA(VLOOKUP(INDIRECT("G"&amp;ROW()),minfo!$A:$M,COLUMN()-8,0),"")</f>
        <v>冬 未了</v>
      </c>
      <c r="T1569" s="4">
        <f ca="1">_xlfn.IFNA(VLOOKUP(INDIRECT("G"&amp;ROW()),minfo!$A:$M,COLUMN()-8,0),"")</f>
        <v>3649724</v>
      </c>
      <c r="U1569" s="4">
        <f ca="1">_xlfn.IFNA(VLOOKUP(INDIRECT("G"&amp;ROW()),minfo!$A:$M,COLUMN()-8,0),"")</f>
        <v>0</v>
      </c>
    </row>
    <row r="1570" spans="1:21" ht="15.75" customHeight="1">
      <c r="A1570" s="15">
        <v>1569</v>
      </c>
      <c r="B1570" s="4" t="s">
        <v>5204</v>
      </c>
      <c r="C1570" s="4">
        <v>1570</v>
      </c>
      <c r="D1570" s="4">
        <v>27</v>
      </c>
      <c r="E1570" s="4" t="s">
        <v>2599</v>
      </c>
      <c r="F1570" s="16">
        <v>44197</v>
      </c>
      <c r="G1570" s="5" t="s">
        <v>2598</v>
      </c>
      <c r="H1570" s="5" t="s">
        <v>5178</v>
      </c>
      <c r="I1570" s="24" t="str">
        <f>HYPERLINK("https://www.bilibili.com/video/BV1kQ4y1z7WD?p=27", "BV1kQ4y1z7WD?p=27")</f>
        <v>BV1kQ4y1z7WD?p=27</v>
      </c>
      <c r="J1570" s="4" t="str">
        <f ca="1">_xlfn.IFNA(VLOOKUP(INDIRECT("G"&amp;ROW()),minfo!$A:$M,COLUMN()-8,0),"")</f>
        <v>小时候</v>
      </c>
      <c r="K1570" s="4" t="str">
        <f ca="1">_xlfn.IFNA(VLOOKUP(INDIRECT("G"&amp;ROW()),minfo!$A:$M,COLUMN()-8,0),"")</f>
        <v>黄晓明</v>
      </c>
      <c r="L1570" s="4">
        <f ca="1">_xlfn.IFNA(VLOOKUP(INDIRECT("G"&amp;ROW()),minfo!$A:$M,COLUMN()-8,0),"")</f>
        <v>0</v>
      </c>
      <c r="M1570" s="4">
        <f ca="1">_xlfn.IFNA(VLOOKUP(INDIRECT("G"&amp;ROW()),minfo!$A:$M,COLUMN()-8,0),"")</f>
        <v>0</v>
      </c>
      <c r="N1570" s="4">
        <f ca="1">_xlfn.IFNA(VLOOKUP(INDIRECT("G"&amp;ROW()),minfo!$A:$M,COLUMN()-8,0),"")</f>
        <v>0</v>
      </c>
      <c r="O1570" s="4" t="str">
        <f ca="1">_xlfn.IFNA(VLOOKUP(INDIRECT("G"&amp;ROW()),minfo!$A:$M,COLUMN()-8,0),"")</f>
        <v>https://i0.hdslb.com/bfs/station_src/music_metadata/f689066d83e1cfa3c0fca83925d4aa23.jpg</v>
      </c>
      <c r="P1570" s="4" t="str">
        <f ca="1">_xlfn.IFNA(VLOOKUP(INDIRECT("G"&amp;ROW()),minfo!$A:$M,COLUMN()-8,0),"")</f>
        <v>https://i0.hdslb.com/bfs/station_src/music_metadata/3d81746cb471a4e6f324aa92573fa356.txt</v>
      </c>
      <c r="Q1570" s="4">
        <f ca="1">_xlfn.IFNA(VLOOKUP(INDIRECT("G"&amp;ROW()),minfo!$A:$M,COLUMN()-8,0),"")</f>
        <v>1</v>
      </c>
      <c r="R1570" s="4">
        <f ca="1">_xlfn.IFNA(VLOOKUP(INDIRECT("G"&amp;ROW()),minfo!$A:$M,COLUMN()-8,0),"")</f>
        <v>0</v>
      </c>
      <c r="S1570" s="4" t="str">
        <f ca="1">_xlfn.IFNA(VLOOKUP(INDIRECT("G"&amp;ROW()),minfo!$A:$M,COLUMN()-8,0),"")</f>
        <v>2016湖南卫视小年夜春晚</v>
      </c>
      <c r="T1570" s="4">
        <f ca="1">_xlfn.IFNA(VLOOKUP(INDIRECT("G"&amp;ROW()),minfo!$A:$M,COLUMN()-8,0),"")</f>
        <v>1921450</v>
      </c>
      <c r="U1570" s="4">
        <f ca="1">_xlfn.IFNA(VLOOKUP(INDIRECT("G"&amp;ROW()),minfo!$A:$M,COLUMN()-8,0),"")</f>
        <v>0</v>
      </c>
    </row>
    <row r="1571" spans="1:21" ht="15.75" customHeight="1">
      <c r="A1571" s="15">
        <v>1570</v>
      </c>
      <c r="B1571" s="4" t="s">
        <v>5205</v>
      </c>
      <c r="C1571" s="4">
        <v>1571</v>
      </c>
      <c r="D1571" s="4">
        <v>28</v>
      </c>
      <c r="E1571" s="4" t="s">
        <v>214</v>
      </c>
      <c r="F1571" s="16">
        <v>44197</v>
      </c>
      <c r="G1571" s="5" t="s">
        <v>213</v>
      </c>
      <c r="H1571" s="5" t="s">
        <v>5178</v>
      </c>
      <c r="I1571" s="24" t="str">
        <f>HYPERLINK("https://www.bilibili.com/video/BV1kQ4y1z7WD?p=28", "BV1kQ4y1z7WD?p=28")</f>
        <v>BV1kQ4y1z7WD?p=28</v>
      </c>
      <c r="J1571" s="4" t="str">
        <f ca="1">_xlfn.IFNA(VLOOKUP(INDIRECT("G"&amp;ROW()),minfo!$A:$M,COLUMN()-8,0),"")</f>
        <v>相思</v>
      </c>
      <c r="K1571" s="4" t="str">
        <f ca="1">_xlfn.IFNA(VLOOKUP(INDIRECT("G"&amp;ROW()),minfo!$A:$M,COLUMN()-8,0),"")</f>
        <v>毛阿敏</v>
      </c>
      <c r="L1571" s="4">
        <f ca="1">_xlfn.IFNA(VLOOKUP(INDIRECT("G"&amp;ROW()),minfo!$A:$M,COLUMN()-8,0),"")</f>
        <v>0</v>
      </c>
      <c r="M1571" s="4">
        <f ca="1">_xlfn.IFNA(VLOOKUP(INDIRECT("G"&amp;ROW()),minfo!$A:$M,COLUMN()-8,0),"")</f>
        <v>0</v>
      </c>
      <c r="N1571" s="4">
        <f ca="1">_xlfn.IFNA(VLOOKUP(INDIRECT("G"&amp;ROW()),minfo!$A:$M,COLUMN()-8,0),"")</f>
        <v>0</v>
      </c>
      <c r="O1571" s="4" t="str">
        <f ca="1">_xlfn.IFNA(VLOOKUP(INDIRECT("G"&amp;ROW()),minfo!$A:$M,COLUMN()-8,0),"")</f>
        <v>https://i0.hdslb.com/bfs/station_src/music_metadata/0603be9293791ccb88f9a80d06e3ce3d.jpg</v>
      </c>
      <c r="P1571" s="4" t="str">
        <f ca="1">_xlfn.IFNA(VLOOKUP(INDIRECT("G"&amp;ROW()),minfo!$A:$M,COLUMN()-8,0),"")</f>
        <v>https://i0.hdslb.com/bfs/station_src/music_metadata/f447da700792e77fcdc9743518f18ce8.txt</v>
      </c>
      <c r="Q1571" s="4">
        <f ca="1">_xlfn.IFNA(VLOOKUP(INDIRECT("G"&amp;ROW()),minfo!$A:$M,COLUMN()-8,0),"")</f>
        <v>554</v>
      </c>
      <c r="R1571" s="4">
        <f ca="1">_xlfn.IFNA(VLOOKUP(INDIRECT("G"&amp;ROW()),minfo!$A:$M,COLUMN()-8,0),"")</f>
        <v>0</v>
      </c>
      <c r="S1571" s="4" t="str">
        <f ca="1">_xlfn.IFNA(VLOOKUP(INDIRECT("G"&amp;ROW()),minfo!$A:$M,COLUMN()-8,0),"")</f>
        <v>直接影响</v>
      </c>
      <c r="T1571" s="4">
        <f ca="1">_xlfn.IFNA(VLOOKUP(INDIRECT("G"&amp;ROW()),minfo!$A:$M,COLUMN()-8,0),"")</f>
        <v>217626434</v>
      </c>
      <c r="U1571" s="4">
        <f ca="1">_xlfn.IFNA(VLOOKUP(INDIRECT("G"&amp;ROW()),minfo!$A:$M,COLUMN()-8,0),"")</f>
        <v>0</v>
      </c>
    </row>
    <row r="1572" spans="1:21" ht="15.75" customHeight="1">
      <c r="A1572" s="15">
        <v>1571</v>
      </c>
      <c r="B1572" s="4" t="s">
        <v>5206</v>
      </c>
      <c r="C1572" s="4">
        <v>1572</v>
      </c>
      <c r="D1572" s="4">
        <v>29</v>
      </c>
      <c r="E1572" s="4" t="s">
        <v>1563</v>
      </c>
      <c r="F1572" s="16">
        <v>44197</v>
      </c>
      <c r="G1572" s="5" t="s">
        <v>1562</v>
      </c>
      <c r="H1572" s="5" t="s">
        <v>5178</v>
      </c>
      <c r="I1572" s="24" t="str">
        <f>HYPERLINK("https://www.bilibili.com/video/BV1kQ4y1z7WD?p=29", "BV1kQ4y1z7WD?p=29")</f>
        <v>BV1kQ4y1z7WD?p=29</v>
      </c>
      <c r="J1572" s="4" t="str">
        <f ca="1">_xlfn.IFNA(VLOOKUP(INDIRECT("G"&amp;ROW()),minfo!$A:$M,COLUMN()-8,0),"")</f>
        <v>广寒宫</v>
      </c>
      <c r="K1572" s="4" t="str">
        <f ca="1">_xlfn.IFNA(VLOOKUP(INDIRECT("G"&amp;ROW()),minfo!$A:$M,COLUMN()-8,0),"")</f>
        <v>丸子呦</v>
      </c>
      <c r="L1572" s="4">
        <f ca="1">_xlfn.IFNA(VLOOKUP(INDIRECT("G"&amp;ROW()),minfo!$A:$M,COLUMN()-8,0),"")</f>
        <v>0</v>
      </c>
      <c r="M1572" s="4">
        <f ca="1">_xlfn.IFNA(VLOOKUP(INDIRECT("G"&amp;ROW()),minfo!$A:$M,COLUMN()-8,0),"")</f>
        <v>0</v>
      </c>
      <c r="N1572" s="4">
        <f ca="1">_xlfn.IFNA(VLOOKUP(INDIRECT("G"&amp;ROW()),minfo!$A:$M,COLUMN()-8,0),"")</f>
        <v>0</v>
      </c>
      <c r="O1572" s="4" t="str">
        <f ca="1">_xlfn.IFNA(VLOOKUP(INDIRECT("G"&amp;ROW()),minfo!$A:$M,COLUMN()-8,0),"")</f>
        <v>http://i0.hdslb.com/bfs/station_src/music_metadata/34ca6b8e730825da76cd496fc8ec788e.jpg</v>
      </c>
      <c r="P1572" s="4" t="str">
        <f ca="1">_xlfn.IFNA(VLOOKUP(INDIRECT("G"&amp;ROW()),minfo!$A:$M,COLUMN()-8,0),"")</f>
        <v>http://i0.hdslb.com/bfs/station_src/music_metadata/a95b0d50c3fc759441c9e4331e2e9148</v>
      </c>
      <c r="Q1572" s="4">
        <f ca="1">_xlfn.IFNA(VLOOKUP(INDIRECT("G"&amp;ROW()),minfo!$A:$M,COLUMN()-8,0),"")</f>
        <v>1984</v>
      </c>
      <c r="R1572" s="4">
        <f ca="1">_xlfn.IFNA(VLOOKUP(INDIRECT("G"&amp;ROW()),minfo!$A:$M,COLUMN()-8,0),"")</f>
        <v>0</v>
      </c>
      <c r="S1572" s="4" t="str">
        <f ca="1">_xlfn.IFNA(VLOOKUP(INDIRECT("G"&amp;ROW()),minfo!$A:$M,COLUMN()-8,0),"")</f>
        <v xml:space="preserve"> 广寒宫 </v>
      </c>
      <c r="T1572" s="4">
        <f ca="1">_xlfn.IFNA(VLOOKUP(INDIRECT("G"&amp;ROW()),minfo!$A:$M,COLUMN()-8,0),"")</f>
        <v>812417214</v>
      </c>
      <c r="U1572" s="4">
        <f ca="1">_xlfn.IFNA(VLOOKUP(INDIRECT("G"&amp;ROW()),minfo!$A:$M,COLUMN()-8,0),"")</f>
        <v>0</v>
      </c>
    </row>
    <row r="1573" spans="1:21" ht="15.75" customHeight="1">
      <c r="A1573" s="15">
        <v>1572</v>
      </c>
      <c r="B1573" s="4" t="s">
        <v>5207</v>
      </c>
      <c r="C1573" s="4">
        <v>1573</v>
      </c>
      <c r="D1573" s="4">
        <v>30</v>
      </c>
      <c r="E1573" s="4" t="s">
        <v>1465</v>
      </c>
      <c r="F1573" s="16">
        <v>44197</v>
      </c>
      <c r="G1573" s="5" t="s">
        <v>1464</v>
      </c>
      <c r="H1573" s="5" t="s">
        <v>5178</v>
      </c>
      <c r="I1573" s="24" t="str">
        <f>HYPERLINK("https://www.bilibili.com/video/BV1kQ4y1z7WD?p=30", "BV1kQ4y1z7WD?p=30")</f>
        <v>BV1kQ4y1z7WD?p=30</v>
      </c>
      <c r="J1573" s="4" t="str">
        <f ca="1">_xlfn.IFNA(VLOOKUP(INDIRECT("G"&amp;ROW()),minfo!$A:$M,COLUMN()-8,0),"")</f>
        <v>岁月神偷</v>
      </c>
      <c r="K1573" s="4" t="str">
        <f ca="1">_xlfn.IFNA(VLOOKUP(INDIRECT("G"&amp;ROW()),minfo!$A:$M,COLUMN()-8,0),"")</f>
        <v>金玟岐</v>
      </c>
      <c r="L1573" s="4">
        <f ca="1">_xlfn.IFNA(VLOOKUP(INDIRECT("G"&amp;ROW()),minfo!$A:$M,COLUMN()-8,0),"")</f>
        <v>0</v>
      </c>
      <c r="M1573" s="4">
        <f ca="1">_xlfn.IFNA(VLOOKUP(INDIRECT("G"&amp;ROW()),minfo!$A:$M,COLUMN()-8,0),"")</f>
        <v>0</v>
      </c>
      <c r="N1573" s="4">
        <f ca="1">_xlfn.IFNA(VLOOKUP(INDIRECT("G"&amp;ROW()),minfo!$A:$M,COLUMN()-8,0),"")</f>
        <v>0</v>
      </c>
      <c r="O1573" s="4" t="str">
        <f ca="1">_xlfn.IFNA(VLOOKUP(INDIRECT("G"&amp;ROW()),minfo!$A:$M,COLUMN()-8,0),"")</f>
        <v>https://i0.hdslb.com/bfs/station_src/music_metadata/327ad462fdbb00a2610dd5b7139ebc74.jpg</v>
      </c>
      <c r="P1573" s="4">
        <f ca="1">_xlfn.IFNA(VLOOKUP(INDIRECT("G"&amp;ROW()),minfo!$A:$M,COLUMN()-8,0),"")</f>
        <v>0</v>
      </c>
      <c r="Q1573" s="4">
        <f ca="1">_xlfn.IFNA(VLOOKUP(INDIRECT("G"&amp;ROW()),minfo!$A:$M,COLUMN()-8,0),"")</f>
        <v>705</v>
      </c>
      <c r="R1573" s="4">
        <f ca="1">_xlfn.IFNA(VLOOKUP(INDIRECT("G"&amp;ROW()),minfo!$A:$M,COLUMN()-8,0),"")</f>
        <v>0</v>
      </c>
      <c r="S1573" s="4" t="str">
        <f ca="1">_xlfn.IFNA(VLOOKUP(INDIRECT("G"&amp;ROW()),minfo!$A:$M,COLUMN()-8,0),"")</f>
        <v>完美世界</v>
      </c>
      <c r="T1573" s="4">
        <f ca="1">_xlfn.IFNA(VLOOKUP(INDIRECT("G"&amp;ROW()),minfo!$A:$M,COLUMN()-8,0),"")</f>
        <v>270809489</v>
      </c>
      <c r="U1573" s="4">
        <f ca="1">_xlfn.IFNA(VLOOKUP(INDIRECT("G"&amp;ROW()),minfo!$A:$M,COLUMN()-8,0),"")</f>
        <v>0</v>
      </c>
    </row>
    <row r="1574" spans="1:21" ht="15.75" customHeight="1">
      <c r="A1574" s="15">
        <v>1573</v>
      </c>
      <c r="B1574" s="4" t="s">
        <v>5208</v>
      </c>
      <c r="C1574" s="4">
        <v>1574</v>
      </c>
      <c r="D1574" s="4">
        <v>31</v>
      </c>
      <c r="E1574" s="4" t="s">
        <v>1514</v>
      </c>
      <c r="F1574" s="16">
        <v>44197</v>
      </c>
      <c r="G1574" s="5" t="s">
        <v>1513</v>
      </c>
      <c r="H1574" s="5" t="s">
        <v>5178</v>
      </c>
      <c r="I1574" s="24" t="str">
        <f>HYPERLINK("https://www.bilibili.com/video/BV1kQ4y1z7WD?p=31", "BV1kQ4y1z7WD?p=31")</f>
        <v>BV1kQ4y1z7WD?p=31</v>
      </c>
      <c r="J1574" s="4" t="str">
        <f ca="1">_xlfn.IFNA(VLOOKUP(INDIRECT("G"&amp;ROW()),minfo!$A:$M,COLUMN()-8,0),"")</f>
        <v>满月</v>
      </c>
      <c r="K1574" s="4" t="str">
        <f ca="1">_xlfn.IFNA(VLOOKUP(INDIRECT("G"&amp;ROW()),minfo!$A:$M,COLUMN()-8,0),"")</f>
        <v>陈思思</v>
      </c>
      <c r="L1574" s="4">
        <f ca="1">_xlfn.IFNA(VLOOKUP(INDIRECT("G"&amp;ROW()),minfo!$A:$M,COLUMN()-8,0),"")</f>
        <v>0</v>
      </c>
      <c r="M1574" s="4">
        <f ca="1">_xlfn.IFNA(VLOOKUP(INDIRECT("G"&amp;ROW()),minfo!$A:$M,COLUMN()-8,0),"")</f>
        <v>0</v>
      </c>
      <c r="N1574" s="4">
        <f ca="1">_xlfn.IFNA(VLOOKUP(INDIRECT("G"&amp;ROW()),minfo!$A:$M,COLUMN()-8,0),"")</f>
        <v>0</v>
      </c>
      <c r="O1574" s="4" t="str">
        <f ca="1">_xlfn.IFNA(VLOOKUP(INDIRECT("G"&amp;ROW()),minfo!$A:$M,COLUMN()-8,0),"")</f>
        <v>https://i0.hdslb.com/bfs/station_src/music_metadata/43a9966e91cd69b2348a555c6041cfb6.jpg</v>
      </c>
      <c r="P1574" s="4" t="str">
        <f ca="1">_xlfn.IFNA(VLOOKUP(INDIRECT("G"&amp;ROW()),minfo!$A:$M,COLUMN()-8,0),"")</f>
        <v>https://i0.hdslb.com/bfs/station_src/music_metadata/2a1df572abce1d44c082f0b985cf3183.txt</v>
      </c>
      <c r="Q1574" s="4">
        <f ca="1">_xlfn.IFNA(VLOOKUP(INDIRECT("G"&amp;ROW()),minfo!$A:$M,COLUMN()-8,0),"")</f>
        <v>5</v>
      </c>
      <c r="R1574" s="4">
        <f ca="1">_xlfn.IFNA(VLOOKUP(INDIRECT("G"&amp;ROW()),minfo!$A:$M,COLUMN()-8,0),"")</f>
        <v>0</v>
      </c>
      <c r="S1574" s="4" t="str">
        <f ca="1">_xlfn.IFNA(VLOOKUP(INDIRECT("G"&amp;ROW()),minfo!$A:$M,COLUMN()-8,0),"")</f>
        <v>星光璀璨</v>
      </c>
      <c r="T1574" s="4">
        <f ca="1">_xlfn.IFNA(VLOOKUP(INDIRECT("G"&amp;ROW()),minfo!$A:$M,COLUMN()-8,0),"")</f>
        <v>3821199</v>
      </c>
      <c r="U1574" s="4">
        <f ca="1">_xlfn.IFNA(VLOOKUP(INDIRECT("G"&amp;ROW()),minfo!$A:$M,COLUMN()-8,0),"")</f>
        <v>0</v>
      </c>
    </row>
    <row r="1575" spans="1:21" ht="15.75" customHeight="1">
      <c r="A1575" s="15">
        <v>1574</v>
      </c>
      <c r="B1575" s="4" t="s">
        <v>5209</v>
      </c>
      <c r="C1575" s="4">
        <v>1575</v>
      </c>
      <c r="D1575" s="4">
        <v>32</v>
      </c>
      <c r="E1575" s="4" t="s">
        <v>846</v>
      </c>
      <c r="F1575" s="16">
        <v>44197</v>
      </c>
      <c r="G1575" s="5" t="s">
        <v>845</v>
      </c>
      <c r="H1575" s="5" t="s">
        <v>5178</v>
      </c>
      <c r="I1575" s="24" t="str">
        <f>HYPERLINK("https://www.bilibili.com/video/BV1kQ4y1z7WD?p=32", "BV1kQ4y1z7WD?p=32")</f>
        <v>BV1kQ4y1z7WD?p=32</v>
      </c>
      <c r="J1575" s="4" t="str">
        <f ca="1">_xlfn.IFNA(VLOOKUP(INDIRECT("G"&amp;ROW()),minfo!$A:$M,COLUMN()-8,0),"")</f>
        <v>左手指月</v>
      </c>
      <c r="K1575" s="4" t="str">
        <f ca="1">_xlfn.IFNA(VLOOKUP(INDIRECT("G"&amp;ROW()),minfo!$A:$M,COLUMN()-8,0),"")</f>
        <v>萨顶顶</v>
      </c>
      <c r="L1575" s="4">
        <f ca="1">_xlfn.IFNA(VLOOKUP(INDIRECT("G"&amp;ROW()),minfo!$A:$M,COLUMN()-8,0),"")</f>
        <v>0</v>
      </c>
      <c r="M1575" s="4">
        <f ca="1">_xlfn.IFNA(VLOOKUP(INDIRECT("G"&amp;ROW()),minfo!$A:$M,COLUMN()-8,0),"")</f>
        <v>0</v>
      </c>
      <c r="N1575" s="4">
        <f ca="1">_xlfn.IFNA(VLOOKUP(INDIRECT("G"&amp;ROW()),minfo!$A:$M,COLUMN()-8,0),"")</f>
        <v>0</v>
      </c>
      <c r="O1575" s="4" t="str">
        <f ca="1">_xlfn.IFNA(VLOOKUP(INDIRECT("G"&amp;ROW()),minfo!$A:$M,COLUMN()-8,0),"")</f>
        <v>http://i0.hdslb.com/bfs/station_src/music_metadata/fe8994db7a3105222f29993a7e9a6d6e.jpg</v>
      </c>
      <c r="P1575" s="4" t="str">
        <f ca="1">_xlfn.IFNA(VLOOKUP(INDIRECT("G"&amp;ROW()),minfo!$A:$M,COLUMN()-8,0),"")</f>
        <v>http://i0.hdslb.com/bfs/station_src/music_metadata/78e1f08a3ddf3473daad2f7995590a90</v>
      </c>
      <c r="Q1575" s="4">
        <f ca="1">_xlfn.IFNA(VLOOKUP(INDIRECT("G"&amp;ROW()),minfo!$A:$M,COLUMN()-8,0),"")</f>
        <v>1334</v>
      </c>
      <c r="R1575" s="4" t="str">
        <f ca="1">_xlfn.IFNA(VLOOKUP(INDIRECT("G"&amp;ROW()),minfo!$A:$M,COLUMN()-8,0),"")</f>
        <v>《香蜜沉沉烬如霜》电视剧片尾曲</v>
      </c>
      <c r="S1575" s="4" t="str">
        <f ca="1">_xlfn.IFNA(VLOOKUP(INDIRECT("G"&amp;ROW()),minfo!$A:$M,COLUMN()-8,0),"")</f>
        <v>香蜜沉沉烬如霜 电视原声音乐专辑</v>
      </c>
      <c r="T1575" s="4">
        <f ca="1">_xlfn.IFNA(VLOOKUP(INDIRECT("G"&amp;ROW()),minfo!$A:$M,COLUMN()-8,0),"")</f>
        <v>594956132</v>
      </c>
      <c r="U1575" s="4" t="str">
        <f ca="1">_xlfn.IFNA(VLOOKUP(INDIRECT("G"&amp;ROW()),minfo!$A:$M,COLUMN()-8,0),"")</f>
        <v>音乐榜最高NO.16</v>
      </c>
    </row>
    <row r="1576" spans="1:21" ht="15.75" customHeight="1">
      <c r="A1576" s="15">
        <v>1575</v>
      </c>
      <c r="B1576" s="4" t="s">
        <v>5210</v>
      </c>
      <c r="C1576" s="4">
        <v>1576</v>
      </c>
      <c r="D1576" s="4">
        <v>33</v>
      </c>
      <c r="E1576" s="4" t="s">
        <v>2375</v>
      </c>
      <c r="F1576" s="16">
        <v>44197</v>
      </c>
      <c r="G1576" s="5" t="s">
        <v>2374</v>
      </c>
      <c r="H1576" s="5" t="s">
        <v>5178</v>
      </c>
      <c r="I1576" s="24" t="str">
        <f>HYPERLINK("https://www.bilibili.com/video/BV1kQ4y1z7WD?p=33", "BV1kQ4y1z7WD?p=33")</f>
        <v>BV1kQ4y1z7WD?p=33</v>
      </c>
      <c r="J1576" s="4" t="str">
        <f ca="1">_xlfn.IFNA(VLOOKUP(INDIRECT("G"&amp;ROW()),minfo!$A:$M,COLUMN()-8,0),"")</f>
        <v>那年夏天宁静的海</v>
      </c>
      <c r="K1576" s="4" t="str">
        <f ca="1">_xlfn.IFNA(VLOOKUP(INDIRECT("G"&amp;ROW()),minfo!$A:$M,COLUMN()-8,0),"")</f>
        <v>王心凌</v>
      </c>
      <c r="L1576" s="4">
        <f ca="1">_xlfn.IFNA(VLOOKUP(INDIRECT("G"&amp;ROW()),minfo!$A:$M,COLUMN()-8,0),"")</f>
        <v>0</v>
      </c>
      <c r="M1576" s="4">
        <f ca="1">_xlfn.IFNA(VLOOKUP(INDIRECT("G"&amp;ROW()),minfo!$A:$M,COLUMN()-8,0),"")</f>
        <v>11</v>
      </c>
      <c r="N1576" s="4">
        <f ca="1">_xlfn.IFNA(VLOOKUP(INDIRECT("G"&amp;ROW()),minfo!$A:$M,COLUMN()-8,0),"")</f>
        <v>3</v>
      </c>
      <c r="O1576" s="4" t="str">
        <f ca="1">_xlfn.IFNA(VLOOKUP(INDIRECT("G"&amp;ROW()),minfo!$A:$M,COLUMN()-8,0),"")</f>
        <v>https://i0.hdslb.com/bfs/station_src/music_metadata/08f5cfe3aeebd61a373ab5fe0b7ca72e.jpg</v>
      </c>
      <c r="P1576" s="4" t="str">
        <f ca="1">_xlfn.IFNA(VLOOKUP(INDIRECT("G"&amp;ROW()),minfo!$A:$M,COLUMN()-8,0),"")</f>
        <v>http://i0.hdslb.com/bfs/station_src/music_metadata/9772e8ba809b3fbd6ee51d206ab6e5b7</v>
      </c>
      <c r="Q1576" s="4">
        <f ca="1">_xlfn.IFNA(VLOOKUP(INDIRECT("G"&amp;ROW()),minfo!$A:$M,COLUMN()-8,0),"")</f>
        <v>328</v>
      </c>
      <c r="R1576" s="4">
        <f ca="1">_xlfn.IFNA(VLOOKUP(INDIRECT("G"&amp;ROW()),minfo!$A:$M,COLUMN()-8,0),"")</f>
        <v>0</v>
      </c>
      <c r="S1576" s="4" t="str">
        <f ca="1">_xlfn.IFNA(VLOOKUP(INDIRECT("G"&amp;ROW()),minfo!$A:$M,COLUMN()-8,0),"")</f>
        <v>Magic Cyndi</v>
      </c>
      <c r="T1576" s="4">
        <f ca="1">_xlfn.IFNA(VLOOKUP(INDIRECT("G"&amp;ROW()),minfo!$A:$M,COLUMN()-8,0),"")</f>
        <v>26340486</v>
      </c>
      <c r="U1576" s="4" t="str">
        <f ca="1">_xlfn.IFNA(VLOOKUP(INDIRECT("G"&amp;ROW()),minfo!$A:$M,COLUMN()-8,0),"")</f>
        <v>音乐榜最高NO.15</v>
      </c>
    </row>
    <row r="1577" spans="1:21" ht="15.75" customHeight="1">
      <c r="A1577" s="15">
        <v>1576</v>
      </c>
      <c r="B1577" s="4" t="s">
        <v>5211</v>
      </c>
      <c r="C1577" s="4">
        <v>1577</v>
      </c>
      <c r="D1577" s="4">
        <v>34</v>
      </c>
      <c r="E1577" s="4" t="s">
        <v>607</v>
      </c>
      <c r="F1577" s="16">
        <v>44197</v>
      </c>
      <c r="G1577" s="5" t="s">
        <v>606</v>
      </c>
      <c r="H1577" s="5" t="s">
        <v>5178</v>
      </c>
      <c r="I1577" s="24" t="str">
        <f>HYPERLINK("https://www.bilibili.com/video/BV1kQ4y1z7WD?p=34", "BV1kQ4y1z7WD?p=34")</f>
        <v>BV1kQ4y1z7WD?p=34</v>
      </c>
      <c r="J1577" s="4" t="str">
        <f ca="1">_xlfn.IFNA(VLOOKUP(INDIRECT("G"&amp;ROW()),minfo!$A:$M,COLUMN()-8,0),"")</f>
        <v>紫</v>
      </c>
      <c r="K1577" s="4" t="str">
        <f ca="1">_xlfn.IFNA(VLOOKUP(INDIRECT("G"&amp;ROW()),minfo!$A:$M,COLUMN()-8,0),"")</f>
        <v>蔡健雅</v>
      </c>
      <c r="L1577" s="4">
        <f ca="1">_xlfn.IFNA(VLOOKUP(INDIRECT("G"&amp;ROW()),minfo!$A:$M,COLUMN()-8,0),"")</f>
        <v>0</v>
      </c>
      <c r="M1577" s="4">
        <f ca="1">_xlfn.IFNA(VLOOKUP(INDIRECT("G"&amp;ROW()),minfo!$A:$M,COLUMN()-8,0),"")</f>
        <v>0</v>
      </c>
      <c r="N1577" s="4">
        <f ca="1">_xlfn.IFNA(VLOOKUP(INDIRECT("G"&amp;ROW()),minfo!$A:$M,COLUMN()-8,0),"")</f>
        <v>0</v>
      </c>
      <c r="O1577" s="4" t="str">
        <f ca="1">_xlfn.IFNA(VLOOKUP(INDIRECT("G"&amp;ROW()),minfo!$A:$M,COLUMN()-8,0),"")</f>
        <v>https://i0.hdslb.com/bfs/station_src/music_metadata/0ee1f50e85aaa87f457222254614ff14.jpg</v>
      </c>
      <c r="P1577" s="4" t="str">
        <f ca="1">_xlfn.IFNA(VLOOKUP(INDIRECT("G"&amp;ROW()),minfo!$A:$M,COLUMN()-8,0),"")</f>
        <v>http://i0.hdslb.com/bfs/station_src/music_metadata/3f01cd76b8f7163484e41682aefb646c</v>
      </c>
      <c r="Q1577" s="4">
        <f ca="1">_xlfn.IFNA(VLOOKUP(INDIRECT("G"&amp;ROW()),minfo!$A:$M,COLUMN()-8,0),"")</f>
        <v>1051</v>
      </c>
      <c r="R1577" s="4" t="str">
        <f ca="1">_xlfn.IFNA(VLOOKUP(INDIRECT("G"&amp;ROW()),minfo!$A:$M,COLUMN()-8,0),"")</f>
        <v>《悟空传》电影插曲</v>
      </c>
      <c r="S1577" s="4" t="str">
        <f ca="1">_xlfn.IFNA(VLOOKUP(INDIRECT("G"&amp;ROW()),minfo!$A:$M,COLUMN()-8,0),"")</f>
        <v>悟空传 电影音乐原声带</v>
      </c>
      <c r="T1577" s="4">
        <f ca="1">_xlfn.IFNA(VLOOKUP(INDIRECT("G"&amp;ROW()),minfo!$A:$M,COLUMN()-8,0),"")</f>
        <v>114809007</v>
      </c>
      <c r="U1577" s="4">
        <f ca="1">_xlfn.IFNA(VLOOKUP(INDIRECT("G"&amp;ROW()),minfo!$A:$M,COLUMN()-8,0),"")</f>
        <v>0</v>
      </c>
    </row>
    <row r="1578" spans="1:21" ht="15.75" customHeight="1">
      <c r="A1578" s="15">
        <v>1577</v>
      </c>
      <c r="B1578" s="4" t="s">
        <v>5212</v>
      </c>
      <c r="C1578" s="4">
        <v>1578</v>
      </c>
      <c r="D1578" s="4">
        <v>35</v>
      </c>
      <c r="E1578" s="4" t="s">
        <v>1388</v>
      </c>
      <c r="F1578" s="16">
        <v>44197</v>
      </c>
      <c r="G1578" s="5" t="s">
        <v>2894</v>
      </c>
      <c r="H1578" s="5" t="s">
        <v>5178</v>
      </c>
      <c r="I1578" s="24" t="str">
        <f>HYPERLINK("https://www.bilibili.com/video/BV1kQ4y1z7WD?p=35", "BV1kQ4y1z7WD?p=35")</f>
        <v>BV1kQ4y1z7WD?p=35</v>
      </c>
      <c r="J1578" s="4" t="str">
        <f ca="1">_xlfn.IFNA(VLOOKUP(INDIRECT("G"&amp;ROW()),minfo!$A:$M,COLUMN()-8,0),"")</f>
        <v>梨花又开放</v>
      </c>
      <c r="K1578" s="4" t="str">
        <f ca="1">_xlfn.IFNA(VLOOKUP(INDIRECT("G"&amp;ROW()),minfo!$A:$M,COLUMN()-8,0),"")</f>
        <v>周峰</v>
      </c>
      <c r="L1578" s="4">
        <f ca="1">_xlfn.IFNA(VLOOKUP(INDIRECT("G"&amp;ROW()),minfo!$A:$M,COLUMN()-8,0),"")</f>
        <v>0</v>
      </c>
      <c r="M1578" s="4">
        <f ca="1">_xlfn.IFNA(VLOOKUP(INDIRECT("G"&amp;ROW()),minfo!$A:$M,COLUMN()-8,0),"")</f>
        <v>0</v>
      </c>
      <c r="N1578" s="4">
        <f ca="1">_xlfn.IFNA(VLOOKUP(INDIRECT("G"&amp;ROW()),minfo!$A:$M,COLUMN()-8,0),"")</f>
        <v>0</v>
      </c>
      <c r="O1578" s="4" t="str">
        <f ca="1">_xlfn.IFNA(VLOOKUP(INDIRECT("G"&amp;ROW()),minfo!$A:$M,COLUMN()-8,0),"")</f>
        <v>https://i0.hdslb.com/bfs/station_src/music_metadata/5e2ec185bfe0b01a499ae1b0b579d167.jpg</v>
      </c>
      <c r="P1578" s="4" t="str">
        <f ca="1">_xlfn.IFNA(VLOOKUP(INDIRECT("G"&amp;ROW()),minfo!$A:$M,COLUMN()-8,0),"")</f>
        <v>https://i0.hdslb.com/bfs/station_src/music_metadata/04d7571fd896b00132c21369fc27e499.txt</v>
      </c>
      <c r="Q1578" s="4">
        <f ca="1">_xlfn.IFNA(VLOOKUP(INDIRECT("G"&amp;ROW()),minfo!$A:$M,COLUMN()-8,0),"")</f>
        <v>7</v>
      </c>
      <c r="R1578" s="4">
        <f ca="1">_xlfn.IFNA(VLOOKUP(INDIRECT("G"&amp;ROW()),minfo!$A:$M,COLUMN()-8,0),"")</f>
        <v>0</v>
      </c>
      <c r="S1578" s="4" t="str">
        <f ca="1">_xlfn.IFNA(VLOOKUP(INDIRECT("G"&amp;ROW()),minfo!$A:$M,COLUMN()-8,0),"")</f>
        <v>2006超级女声10强入围赛第一场</v>
      </c>
      <c r="T1578" s="4">
        <f ca="1">_xlfn.IFNA(VLOOKUP(INDIRECT("G"&amp;ROW()),minfo!$A:$M,COLUMN()-8,0),"")</f>
        <v>3793203</v>
      </c>
      <c r="U1578" s="4">
        <f ca="1">_xlfn.IFNA(VLOOKUP(INDIRECT("G"&amp;ROW()),minfo!$A:$M,COLUMN()-8,0),"")</f>
        <v>0</v>
      </c>
    </row>
    <row r="1579" spans="1:21" ht="15.75" customHeight="1">
      <c r="A1579" s="15">
        <v>1578</v>
      </c>
      <c r="B1579" s="4" t="s">
        <v>5213</v>
      </c>
      <c r="C1579" s="4">
        <v>1579</v>
      </c>
      <c r="D1579" s="4">
        <v>36</v>
      </c>
      <c r="E1579" s="4" t="s">
        <v>2212</v>
      </c>
      <c r="F1579" s="16">
        <v>44197</v>
      </c>
      <c r="G1579" s="5" t="s">
        <v>3000</v>
      </c>
      <c r="H1579" s="5" t="s">
        <v>5178</v>
      </c>
      <c r="I1579" s="24" t="str">
        <f>HYPERLINK("https://www.bilibili.com/video/BV1kQ4y1z7WD?p=36", "BV1kQ4y1z7WD?p=36")</f>
        <v>BV1kQ4y1z7WD?p=36</v>
      </c>
      <c r="J1579" s="4" t="str">
        <f ca="1">_xlfn.IFNA(VLOOKUP(INDIRECT("G"&amp;ROW()),minfo!$A:$M,COLUMN()-8,0),"")</f>
        <v>亲密爱人</v>
      </c>
      <c r="K1579" s="4" t="str">
        <f ca="1">_xlfn.IFNA(VLOOKUP(INDIRECT("G"&amp;ROW()),minfo!$A:$M,COLUMN()-8,0),"")</f>
        <v>梅艳芳</v>
      </c>
      <c r="L1579" s="4">
        <f ca="1">_xlfn.IFNA(VLOOKUP(INDIRECT("G"&amp;ROW()),minfo!$A:$M,COLUMN()-8,0),"")</f>
        <v>0</v>
      </c>
      <c r="M1579" s="4">
        <f ca="1">_xlfn.IFNA(VLOOKUP(INDIRECT("G"&amp;ROW()),minfo!$A:$M,COLUMN()-8,0),"")</f>
        <v>0</v>
      </c>
      <c r="N1579" s="4">
        <f ca="1">_xlfn.IFNA(VLOOKUP(INDIRECT("G"&amp;ROW()),minfo!$A:$M,COLUMN()-8,0),"")</f>
        <v>0</v>
      </c>
      <c r="O1579" s="4" t="str">
        <f ca="1">_xlfn.IFNA(VLOOKUP(INDIRECT("G"&amp;ROW()),minfo!$A:$M,COLUMN()-8,0),"")</f>
        <v>https://i0.hdslb.com/bfs/station_src/music_metadata/b61e1f56cc524a8bc87397b9024a28b5.jpg</v>
      </c>
      <c r="P1579" s="4" t="str">
        <f ca="1">_xlfn.IFNA(VLOOKUP(INDIRECT("G"&amp;ROW()),minfo!$A:$M,COLUMN()-8,0),"")</f>
        <v>https://i0.hdslb.com/bfs/station_src/music_metadata/5c4b3829305f23c15daaf4a4e8c84bd1.txt</v>
      </c>
      <c r="Q1579" s="4">
        <f ca="1">_xlfn.IFNA(VLOOKUP(INDIRECT("G"&amp;ROW()),minfo!$A:$M,COLUMN()-8,0),"")</f>
        <v>6</v>
      </c>
      <c r="R1579" s="4">
        <f ca="1">_xlfn.IFNA(VLOOKUP(INDIRECT("G"&amp;ROW()),minfo!$A:$M,COLUMN()-8,0),"")</f>
        <v>0</v>
      </c>
      <c r="S1579" s="4" t="str">
        <f ca="1">_xlfn.IFNA(VLOOKUP(INDIRECT("G"&amp;ROW()),minfo!$A:$M,COLUMN()-8,0),"")</f>
        <v>音乐心旅程LIVE①</v>
      </c>
      <c r="T1579" s="4">
        <f ca="1">_xlfn.IFNA(VLOOKUP(INDIRECT("G"&amp;ROW()),minfo!$A:$M,COLUMN()-8,0),"")</f>
        <v>12745241</v>
      </c>
      <c r="U1579" s="4">
        <f ca="1">_xlfn.IFNA(VLOOKUP(INDIRECT("G"&amp;ROW()),minfo!$A:$M,COLUMN()-8,0),"")</f>
        <v>0</v>
      </c>
    </row>
    <row r="1580" spans="1:21" ht="15.75" customHeight="1">
      <c r="A1580" s="15">
        <v>1579</v>
      </c>
      <c r="B1580" s="4" t="s">
        <v>5214</v>
      </c>
      <c r="C1580" s="4">
        <v>1580</v>
      </c>
      <c r="D1580" s="4">
        <v>37</v>
      </c>
      <c r="E1580" s="4" t="s">
        <v>492</v>
      </c>
      <c r="F1580" s="16">
        <v>44197</v>
      </c>
      <c r="G1580" s="5" t="s">
        <v>491</v>
      </c>
      <c r="H1580" s="5" t="s">
        <v>5178</v>
      </c>
      <c r="I1580" s="24" t="str">
        <f>HYPERLINK("https://www.bilibili.com/video/BV1kQ4y1z7WD?p=37", "BV1kQ4y1z7WD?p=37")</f>
        <v>BV1kQ4y1z7WD?p=37</v>
      </c>
      <c r="J1580" s="4" t="str">
        <f ca="1">_xlfn.IFNA(VLOOKUP(INDIRECT("G"&amp;ROW()),minfo!$A:$M,COLUMN()-8,0),"")</f>
        <v>像风一样</v>
      </c>
      <c r="K1580" s="4" t="str">
        <f ca="1">_xlfn.IFNA(VLOOKUP(INDIRECT("G"&amp;ROW()),minfo!$A:$M,COLUMN()-8,0),"")</f>
        <v>薛之谦</v>
      </c>
      <c r="L1580" s="4">
        <f ca="1">_xlfn.IFNA(VLOOKUP(INDIRECT("G"&amp;ROW()),minfo!$A:$M,COLUMN()-8,0),"")</f>
        <v>0</v>
      </c>
      <c r="M1580" s="4">
        <f ca="1">_xlfn.IFNA(VLOOKUP(INDIRECT("G"&amp;ROW()),minfo!$A:$M,COLUMN()-8,0),"")</f>
        <v>658</v>
      </c>
      <c r="N1580" s="4">
        <f ca="1">_xlfn.IFNA(VLOOKUP(INDIRECT("G"&amp;ROW()),minfo!$A:$M,COLUMN()-8,0),"")</f>
        <v>85</v>
      </c>
      <c r="O1580" s="4" t="str">
        <f ca="1">_xlfn.IFNA(VLOOKUP(INDIRECT("G"&amp;ROW()),minfo!$A:$M,COLUMN()-8,0),"")</f>
        <v>http://i0.hdslb.com/bfs/station_src/music_metadata/a3a8c61a923efdb7e46195d46e94c363.jpg</v>
      </c>
      <c r="P1580" s="4">
        <f ca="1">_xlfn.IFNA(VLOOKUP(INDIRECT("G"&amp;ROW()),minfo!$A:$M,COLUMN()-8,0),"")</f>
        <v>0</v>
      </c>
      <c r="Q1580" s="4">
        <f ca="1">_xlfn.IFNA(VLOOKUP(INDIRECT("G"&amp;ROW()),minfo!$A:$M,COLUMN()-8,0),"")</f>
        <v>125</v>
      </c>
      <c r="R1580" s="4" t="str">
        <f ca="1">_xlfn.IFNA(VLOOKUP(INDIRECT("G"&amp;ROW()),minfo!$A:$M,COLUMN()-8,0),"")</f>
        <v>像风一样</v>
      </c>
      <c r="S1580" s="4" t="str">
        <f ca="1">_xlfn.IFNA(VLOOKUP(INDIRECT("G"&amp;ROW()),minfo!$A:$M,COLUMN()-8,0),"")</f>
        <v>渡 The Crossing</v>
      </c>
      <c r="T1580" s="4">
        <f ca="1">_xlfn.IFNA(VLOOKUP(INDIRECT("G"&amp;ROW()),minfo!$A:$M,COLUMN()-8,0),"")</f>
        <v>87463982</v>
      </c>
      <c r="U1580" s="4">
        <f ca="1">_xlfn.IFNA(VLOOKUP(INDIRECT("G"&amp;ROW()),minfo!$A:$M,COLUMN()-8,0),"")</f>
        <v>0</v>
      </c>
    </row>
    <row r="1581" spans="1:21" ht="15.75" customHeight="1">
      <c r="A1581" s="15">
        <v>1580</v>
      </c>
      <c r="B1581" s="4" t="s">
        <v>5215</v>
      </c>
      <c r="C1581" s="4">
        <v>1581</v>
      </c>
      <c r="D1581" s="4">
        <v>38</v>
      </c>
      <c r="E1581" s="4" t="s">
        <v>2853</v>
      </c>
      <c r="F1581" s="16">
        <v>44197</v>
      </c>
      <c r="G1581" s="5" t="s">
        <v>2852</v>
      </c>
      <c r="H1581" s="5" t="s">
        <v>5178</v>
      </c>
      <c r="I1581" s="24" t="str">
        <f>HYPERLINK("https://www.bilibili.com/video/BV1kQ4y1z7WD?p=38", "BV1kQ4y1z7WD?p=38")</f>
        <v>BV1kQ4y1z7WD?p=38</v>
      </c>
      <c r="J1581" s="4" t="str">
        <f ca="1">_xlfn.IFNA(VLOOKUP(INDIRECT("G"&amp;ROW()),minfo!$A:$M,COLUMN()-8,0),"")</f>
        <v>千言万语</v>
      </c>
      <c r="K1581" s="4" t="str">
        <f ca="1">_xlfn.IFNA(VLOOKUP(INDIRECT("G"&amp;ROW()),minfo!$A:$M,COLUMN()-8,0),"")</f>
        <v>王菲</v>
      </c>
      <c r="L1581" s="4">
        <f ca="1">_xlfn.IFNA(VLOOKUP(INDIRECT("G"&amp;ROW()),minfo!$A:$M,COLUMN()-8,0),"")</f>
        <v>0</v>
      </c>
      <c r="M1581" s="4">
        <f ca="1">_xlfn.IFNA(VLOOKUP(INDIRECT("G"&amp;ROW()),minfo!$A:$M,COLUMN()-8,0),"")</f>
        <v>0</v>
      </c>
      <c r="N1581" s="4">
        <f ca="1">_xlfn.IFNA(VLOOKUP(INDIRECT("G"&amp;ROW()),minfo!$A:$M,COLUMN()-8,0),"")</f>
        <v>0</v>
      </c>
      <c r="O1581" s="4" t="str">
        <f ca="1">_xlfn.IFNA(VLOOKUP(INDIRECT("G"&amp;ROW()),minfo!$A:$M,COLUMN()-8,0),"")</f>
        <v>https://i0.hdslb.com/bfs/station_src/music_metadata/19c273df71aa5f1fa70772f958b331a4.jpg</v>
      </c>
      <c r="P1581" s="4" t="str">
        <f ca="1">_xlfn.IFNA(VLOOKUP(INDIRECT("G"&amp;ROW()),minfo!$A:$M,COLUMN()-8,0),"")</f>
        <v>http://i0.hdslb.com/bfs/station_src/music_metadata/3a247556a205d8ec11b927df9fb446a4</v>
      </c>
      <c r="Q1581" s="4">
        <f ca="1">_xlfn.IFNA(VLOOKUP(INDIRECT("G"&amp;ROW()),minfo!$A:$M,COLUMN()-8,0),"")</f>
        <v>14</v>
      </c>
      <c r="R1581" s="4" t="str">
        <f ca="1">_xlfn.IFNA(VLOOKUP(INDIRECT("G"&amp;ROW()),minfo!$A:$M,COLUMN()-8,0),"")</f>
        <v>1994香港最精彩演唱会</v>
      </c>
      <c r="S1581" s="4" t="str">
        <f ca="1">_xlfn.IFNA(VLOOKUP(INDIRECT("G"&amp;ROW()),minfo!$A:$M,COLUMN()-8,0),"")</f>
        <v>王菲最精彩的演唱会</v>
      </c>
      <c r="T1581" s="4">
        <f ca="1">_xlfn.IFNA(VLOOKUP(INDIRECT("G"&amp;ROW()),minfo!$A:$M,COLUMN()-8,0),"")</f>
        <v>10421588</v>
      </c>
      <c r="U1581" s="4">
        <f ca="1">_xlfn.IFNA(VLOOKUP(INDIRECT("G"&amp;ROW()),minfo!$A:$M,COLUMN()-8,0),"")</f>
        <v>0</v>
      </c>
    </row>
    <row r="1582" spans="1:21" ht="15.75" customHeight="1">
      <c r="A1582" s="15">
        <v>1581</v>
      </c>
      <c r="B1582" s="4" t="s">
        <v>5216</v>
      </c>
      <c r="C1582" s="4">
        <v>1582</v>
      </c>
      <c r="D1582" s="4">
        <v>39</v>
      </c>
      <c r="E1582" s="4" t="s">
        <v>732</v>
      </c>
      <c r="F1582" s="16">
        <v>44197</v>
      </c>
      <c r="G1582" s="5" t="s">
        <v>731</v>
      </c>
      <c r="H1582" s="5" t="s">
        <v>5178</v>
      </c>
      <c r="I1582" s="24" t="str">
        <f>HYPERLINK("https://www.bilibili.com/video/BV1kQ4y1z7WD?p=39", "BV1kQ4y1z7WD?p=39")</f>
        <v>BV1kQ4y1z7WD?p=39</v>
      </c>
      <c r="J1582" s="4" t="str">
        <f ca="1">_xlfn.IFNA(VLOOKUP(INDIRECT("G"&amp;ROW()),minfo!$A:$M,COLUMN()-8,0),"")</f>
        <v>园游会</v>
      </c>
      <c r="K1582" s="4" t="str">
        <f ca="1">_xlfn.IFNA(VLOOKUP(INDIRECT("G"&amp;ROW()),minfo!$A:$M,COLUMN()-8,0),"")</f>
        <v>周杰伦</v>
      </c>
      <c r="L1582" s="4">
        <f ca="1">_xlfn.IFNA(VLOOKUP(INDIRECT("G"&amp;ROW()),minfo!$A:$M,COLUMN()-8,0),"")</f>
        <v>0</v>
      </c>
      <c r="M1582" s="4">
        <f ca="1">_xlfn.IFNA(VLOOKUP(INDIRECT("G"&amp;ROW()),minfo!$A:$M,COLUMN()-8,0),"")</f>
        <v>0</v>
      </c>
      <c r="N1582" s="4">
        <f ca="1">_xlfn.IFNA(VLOOKUP(INDIRECT("G"&amp;ROW()),minfo!$A:$M,COLUMN()-8,0),"")</f>
        <v>0</v>
      </c>
      <c r="O1582" s="4" t="str">
        <f ca="1">_xlfn.IFNA(VLOOKUP(INDIRECT("G"&amp;ROW()),minfo!$A:$M,COLUMN()-8,0),"")</f>
        <v>https://i0.hdslb.com/bfs/station_src/music_metadata/6e1ac13753b4f6ee9b6064e5eea74ee9.jpg</v>
      </c>
      <c r="P1582" s="4">
        <f ca="1">_xlfn.IFNA(VLOOKUP(INDIRECT("G"&amp;ROW()),minfo!$A:$M,COLUMN()-8,0),"")</f>
        <v>0</v>
      </c>
      <c r="Q1582" s="4">
        <f ca="1">_xlfn.IFNA(VLOOKUP(INDIRECT("G"&amp;ROW()),minfo!$A:$M,COLUMN()-8,0),"")</f>
        <v>2471</v>
      </c>
      <c r="R1582" s="4">
        <f ca="1">_xlfn.IFNA(VLOOKUP(INDIRECT("G"&amp;ROW()),minfo!$A:$M,COLUMN()-8,0),"")</f>
        <v>0</v>
      </c>
      <c r="S1582" s="4" t="str">
        <f ca="1">_xlfn.IFNA(VLOOKUP(INDIRECT("G"&amp;ROW()),minfo!$A:$M,COLUMN()-8,0),"")</f>
        <v>七里香</v>
      </c>
      <c r="T1582" s="4">
        <f ca="1">_xlfn.IFNA(VLOOKUP(INDIRECT("G"&amp;ROW()),minfo!$A:$M,COLUMN()-8,0),"")</f>
        <v>492310935</v>
      </c>
      <c r="U1582" s="4" t="str">
        <f ca="1">_xlfn.IFNA(VLOOKUP(INDIRECT("G"&amp;ROW()),minfo!$A:$M,COLUMN()-8,0),"")</f>
        <v>音乐榜最高NO.13</v>
      </c>
    </row>
    <row r="1583" spans="1:21" ht="15.75" customHeight="1">
      <c r="A1583" s="15">
        <v>1582</v>
      </c>
      <c r="B1583" s="4" t="s">
        <v>5217</v>
      </c>
      <c r="C1583" s="4">
        <v>1583</v>
      </c>
      <c r="D1583" s="4">
        <v>40</v>
      </c>
      <c r="E1583" s="4" t="s">
        <v>1534</v>
      </c>
      <c r="F1583" s="16">
        <v>44197</v>
      </c>
      <c r="G1583" s="5" t="s">
        <v>1533</v>
      </c>
      <c r="H1583" s="5" t="s">
        <v>5178</v>
      </c>
      <c r="I1583" s="24" t="str">
        <f>HYPERLINK("https://www.bilibili.com/video/BV1kQ4y1z7WD?p=40", "BV1kQ4y1z7WD?p=40")</f>
        <v>BV1kQ4y1z7WD?p=40</v>
      </c>
      <c r="J1583" s="4" t="str">
        <f ca="1">_xlfn.IFNA(VLOOKUP(INDIRECT("G"&amp;ROW()),minfo!$A:$M,COLUMN()-8,0),"")</f>
        <v>夏天的风</v>
      </c>
      <c r="K1583" s="4" t="str">
        <f ca="1">_xlfn.IFNA(VLOOKUP(INDIRECT("G"&amp;ROW()),minfo!$A:$M,COLUMN()-8,0),"")</f>
        <v>温岚</v>
      </c>
      <c r="L1583" s="4">
        <f ca="1">_xlfn.IFNA(VLOOKUP(INDIRECT("G"&amp;ROW()),minfo!$A:$M,COLUMN()-8,0),"")</f>
        <v>0</v>
      </c>
      <c r="M1583" s="4">
        <f ca="1">_xlfn.IFNA(VLOOKUP(INDIRECT("G"&amp;ROW()),minfo!$A:$M,COLUMN()-8,0),"")</f>
        <v>0</v>
      </c>
      <c r="N1583" s="4">
        <f ca="1">_xlfn.IFNA(VLOOKUP(INDIRECT("G"&amp;ROW()),minfo!$A:$M,COLUMN()-8,0),"")</f>
        <v>0</v>
      </c>
      <c r="O1583" s="4" t="str">
        <f ca="1">_xlfn.IFNA(VLOOKUP(INDIRECT("G"&amp;ROW()),minfo!$A:$M,COLUMN()-8,0),"")</f>
        <v>http://i0.hdslb.com/bfs/station_src/music_metadata/299064b429626e564b820aa490025cf3.jpg</v>
      </c>
      <c r="P1583" s="4" t="str">
        <f ca="1">_xlfn.IFNA(VLOOKUP(INDIRECT("G"&amp;ROW()),minfo!$A:$M,COLUMN()-8,0),"")</f>
        <v>http://i0.hdslb.com/bfs/station_src/music_metadata/1738086c832f4a90ef3a8c8e24d13a84</v>
      </c>
      <c r="Q1583" s="4">
        <f ca="1">_xlfn.IFNA(VLOOKUP(INDIRECT("G"&amp;ROW()),minfo!$A:$M,COLUMN()-8,0),"")</f>
        <v>1370</v>
      </c>
      <c r="R1583" s="4">
        <f ca="1">_xlfn.IFNA(VLOOKUP(INDIRECT("G"&amp;ROW()),minfo!$A:$M,COLUMN()-8,0),"")</f>
        <v>0</v>
      </c>
      <c r="S1583" s="4" t="str">
        <f ca="1">_xlfn.IFNA(VLOOKUP(INDIRECT("G"&amp;ROW()),minfo!$A:$M,COLUMN()-8,0),"")</f>
        <v>温式效应</v>
      </c>
      <c r="T1583" s="4">
        <f ca="1">_xlfn.IFNA(VLOOKUP(INDIRECT("G"&amp;ROW()),minfo!$A:$M,COLUMN()-8,0),"")</f>
        <v>529974853</v>
      </c>
      <c r="U1583" s="4">
        <f ca="1">_xlfn.IFNA(VLOOKUP(INDIRECT("G"&amp;ROW()),minfo!$A:$M,COLUMN()-8,0),"")</f>
        <v>0</v>
      </c>
    </row>
    <row r="1584" spans="1:21" ht="15.75" customHeight="1">
      <c r="A1584" s="15">
        <v>1583</v>
      </c>
      <c r="B1584" s="4" t="s">
        <v>5218</v>
      </c>
      <c r="C1584" s="4">
        <v>1584</v>
      </c>
      <c r="D1584" s="4">
        <v>41</v>
      </c>
      <c r="E1584" s="4" t="s">
        <v>319</v>
      </c>
      <c r="F1584" s="16">
        <v>44197</v>
      </c>
      <c r="G1584" s="5" t="s">
        <v>318</v>
      </c>
      <c r="H1584" s="5" t="s">
        <v>5178</v>
      </c>
      <c r="I1584" s="24" t="str">
        <f>HYPERLINK("https://www.bilibili.com/video/BV1kQ4y1z7WD?p=41", "BV1kQ4y1z7WD?p=41")</f>
        <v>BV1kQ4y1z7WD?p=41</v>
      </c>
      <c r="J1584" s="4" t="str">
        <f ca="1">_xlfn.IFNA(VLOOKUP(INDIRECT("G"&amp;ROW()),minfo!$A:$M,COLUMN()-8,0),"")</f>
        <v>晴天</v>
      </c>
      <c r="K1584" s="4" t="str">
        <f ca="1">_xlfn.IFNA(VLOOKUP(INDIRECT("G"&amp;ROW()),minfo!$A:$M,COLUMN()-8,0),"")</f>
        <v>周杰伦</v>
      </c>
      <c r="L1584" s="4">
        <f ca="1">_xlfn.IFNA(VLOOKUP(INDIRECT("G"&amp;ROW()),minfo!$A:$M,COLUMN()-8,0),"")</f>
        <v>0</v>
      </c>
      <c r="M1584" s="4">
        <f ca="1">_xlfn.IFNA(VLOOKUP(INDIRECT("G"&amp;ROW()),minfo!$A:$M,COLUMN()-8,0),"")</f>
        <v>5048</v>
      </c>
      <c r="N1584" s="4">
        <f ca="1">_xlfn.IFNA(VLOOKUP(INDIRECT("G"&amp;ROW()),minfo!$A:$M,COLUMN()-8,0),"")</f>
        <v>135</v>
      </c>
      <c r="O1584" s="4" t="str">
        <f ca="1">_xlfn.IFNA(VLOOKUP(INDIRECT("G"&amp;ROW()),minfo!$A:$M,COLUMN()-8,0),"")</f>
        <v>https://i0.hdslb.com/bfs/station_src/music_metadata/2efa8f0df2aff949dee33b3f46a56312.jpg</v>
      </c>
      <c r="P1584" s="4">
        <f ca="1">_xlfn.IFNA(VLOOKUP(INDIRECT("G"&amp;ROW()),minfo!$A:$M,COLUMN()-8,0),"")</f>
        <v>0</v>
      </c>
      <c r="Q1584" s="4">
        <f ca="1">_xlfn.IFNA(VLOOKUP(INDIRECT("G"&amp;ROW()),minfo!$A:$M,COLUMN()-8,0),"")</f>
        <v>15983</v>
      </c>
      <c r="R1584" s="4">
        <f ca="1">_xlfn.IFNA(VLOOKUP(INDIRECT("G"&amp;ROW()),minfo!$A:$M,COLUMN()-8,0),"")</f>
        <v>0</v>
      </c>
      <c r="S1584" s="4" t="str">
        <f ca="1">_xlfn.IFNA(VLOOKUP(INDIRECT("G"&amp;ROW()),minfo!$A:$M,COLUMN()-8,0),"")</f>
        <v>叶惠美</v>
      </c>
      <c r="T1584" s="4">
        <f ca="1">_xlfn.IFNA(VLOOKUP(INDIRECT("G"&amp;ROW()),minfo!$A:$M,COLUMN()-8,0),"")</f>
        <v>1497162616</v>
      </c>
      <c r="U1584" s="4" t="str">
        <f ca="1">_xlfn.IFNA(VLOOKUP(INDIRECT("G"&amp;ROW()),minfo!$A:$M,COLUMN()-8,0),"")</f>
        <v>音乐榜最高NO.8</v>
      </c>
    </row>
    <row r="1585" spans="1:21" ht="15.75" customHeight="1">
      <c r="A1585" s="15">
        <v>1584</v>
      </c>
      <c r="B1585" s="4" t="s">
        <v>5219</v>
      </c>
      <c r="C1585" s="4">
        <v>1585</v>
      </c>
      <c r="D1585" s="4">
        <v>42</v>
      </c>
      <c r="E1585" s="4" t="s">
        <v>167</v>
      </c>
      <c r="F1585" s="16">
        <v>44197</v>
      </c>
      <c r="G1585" s="5" t="s">
        <v>166</v>
      </c>
      <c r="H1585" s="5" t="s">
        <v>5178</v>
      </c>
      <c r="I1585" s="24" t="str">
        <f>HYPERLINK("https://www.bilibili.com/video/BV1kQ4y1z7WD?p=42", "BV1kQ4y1z7WD?p=42")</f>
        <v>BV1kQ4y1z7WD?p=42</v>
      </c>
      <c r="J1585" s="4" t="str">
        <f ca="1">_xlfn.IFNA(VLOOKUP(INDIRECT("G"&amp;ROW()),minfo!$A:$M,COLUMN()-8,0),"")</f>
        <v>枉凝眉</v>
      </c>
      <c r="K1585" s="4" t="str">
        <f ca="1">_xlfn.IFNA(VLOOKUP(INDIRECT("G"&amp;ROW()),minfo!$A:$M,COLUMN()-8,0),"")</f>
        <v>陈力</v>
      </c>
      <c r="L1585" s="4">
        <f ca="1">_xlfn.IFNA(VLOOKUP(INDIRECT("G"&amp;ROW()),minfo!$A:$M,COLUMN()-8,0),"")</f>
        <v>0</v>
      </c>
      <c r="M1585" s="4">
        <f ca="1">_xlfn.IFNA(VLOOKUP(INDIRECT("G"&amp;ROW()),minfo!$A:$M,COLUMN()-8,0),"")</f>
        <v>0</v>
      </c>
      <c r="N1585" s="4">
        <f ca="1">_xlfn.IFNA(VLOOKUP(INDIRECT("G"&amp;ROW()),minfo!$A:$M,COLUMN()-8,0),"")</f>
        <v>0</v>
      </c>
      <c r="O1585" s="4" t="str">
        <f ca="1">_xlfn.IFNA(VLOOKUP(INDIRECT("G"&amp;ROW()),minfo!$A:$M,COLUMN()-8,0),"")</f>
        <v>https://i0.hdslb.com/bfs/station_src/music_metadata/a5785f300c36a338ca6af40d3a254971.jpg</v>
      </c>
      <c r="P1585" s="4" t="str">
        <f ca="1">_xlfn.IFNA(VLOOKUP(INDIRECT("G"&amp;ROW()),minfo!$A:$M,COLUMN()-8,0),"")</f>
        <v>http://i0.hdslb.com/bfs/station_src/music_metadata/ac94f1b9302ef4c0640dc2afded16037</v>
      </c>
      <c r="Q1585" s="4">
        <f ca="1">_xlfn.IFNA(VLOOKUP(INDIRECT("G"&amp;ROW()),minfo!$A:$M,COLUMN()-8,0),"")</f>
        <v>224</v>
      </c>
      <c r="R1585" s="4" t="str">
        <f ca="1">_xlfn.IFNA(VLOOKUP(INDIRECT("G"&amp;ROW()),minfo!$A:$M,COLUMN()-8,0),"")</f>
        <v>《红楼梦》电视剧主题曲</v>
      </c>
      <c r="S1585" s="4" t="str">
        <f ca="1">_xlfn.IFNA(VLOOKUP(INDIRECT("G"&amp;ROW()),minfo!$A:$M,COLUMN()-8,0),"")</f>
        <v>红楼梦 电视连续剧歌曲集原声带</v>
      </c>
      <c r="T1585" s="4">
        <f ca="1">_xlfn.IFNA(VLOOKUP(INDIRECT("G"&amp;ROW()),minfo!$A:$M,COLUMN()-8,0),"")</f>
        <v>116853011</v>
      </c>
      <c r="U1585" s="4">
        <f ca="1">_xlfn.IFNA(VLOOKUP(INDIRECT("G"&amp;ROW()),minfo!$A:$M,COLUMN()-8,0),"")</f>
        <v>0</v>
      </c>
    </row>
    <row r="1586" spans="1:21" ht="15.75" customHeight="1">
      <c r="A1586" s="15">
        <v>1585</v>
      </c>
      <c r="B1586" s="4" t="s">
        <v>5220</v>
      </c>
      <c r="C1586" s="4">
        <v>1586</v>
      </c>
      <c r="D1586" s="4">
        <v>43</v>
      </c>
      <c r="E1586" s="4" t="s">
        <v>192</v>
      </c>
      <c r="F1586" s="16">
        <v>44197</v>
      </c>
      <c r="G1586" s="5" t="s">
        <v>191</v>
      </c>
      <c r="H1586" s="5" t="s">
        <v>5178</v>
      </c>
      <c r="I1586" s="24" t="str">
        <f>HYPERLINK("https://www.bilibili.com/video/BV1kQ4y1z7WD?p=43", "BV1kQ4y1z7WD?p=43")</f>
        <v>BV1kQ4y1z7WD?p=43</v>
      </c>
      <c r="J1586" s="4" t="str">
        <f ca="1">_xlfn.IFNA(VLOOKUP(INDIRECT("G"&amp;ROW()),minfo!$A:$M,COLUMN()-8,0),"")</f>
        <v>流年如歌</v>
      </c>
      <c r="K1586" s="4" t="str">
        <f ca="1">_xlfn.IFNA(VLOOKUP(INDIRECT("G"&amp;ROW()),minfo!$A:$M,COLUMN()-8,0),"")</f>
        <v>苍穹</v>
      </c>
      <c r="L1586" s="4">
        <f ca="1">_xlfn.IFNA(VLOOKUP(INDIRECT("G"&amp;ROW()),minfo!$A:$M,COLUMN()-8,0),"")</f>
        <v>0</v>
      </c>
      <c r="M1586" s="4">
        <f ca="1">_xlfn.IFNA(VLOOKUP(INDIRECT("G"&amp;ROW()),minfo!$A:$M,COLUMN()-8,0),"")</f>
        <v>0</v>
      </c>
      <c r="N1586" s="4">
        <f ca="1">_xlfn.IFNA(VLOOKUP(INDIRECT("G"&amp;ROW()),minfo!$A:$M,COLUMN()-8,0),"")</f>
        <v>0</v>
      </c>
      <c r="O1586" s="4" t="str">
        <f ca="1">_xlfn.IFNA(VLOOKUP(INDIRECT("G"&amp;ROW()),minfo!$A:$M,COLUMN()-8,0),"")</f>
        <v>https://i0.hdslb.com/bfs/station_src/music_metadata/7d8de08a2fa9fed3e913a7cbedbd7359.jpg</v>
      </c>
      <c r="P1586" s="4" t="str">
        <f ca="1">_xlfn.IFNA(VLOOKUP(INDIRECT("G"&amp;ROW()),minfo!$A:$M,COLUMN()-8,0),"")</f>
        <v>https://i0.hdslb.com/bfs/station_src/music_metadata/39fd2191a90a6dfc42574ff5b43baadb.txt</v>
      </c>
      <c r="Q1586" s="4">
        <f ca="1">_xlfn.IFNA(VLOOKUP(INDIRECT("G"&amp;ROW()),minfo!$A:$M,COLUMN()-8,0),"")</f>
        <v>68</v>
      </c>
      <c r="R1586" s="4">
        <f ca="1">_xlfn.IFNA(VLOOKUP(INDIRECT("G"&amp;ROW()),minfo!$A:$M,COLUMN()-8,0),"")</f>
        <v>0</v>
      </c>
      <c r="S1586" s="4" t="str">
        <f ca="1">_xlfn.IFNA(VLOOKUP(INDIRECT("G"&amp;ROW()),minfo!$A:$M,COLUMN()-8,0),"")</f>
        <v>哔哩哔哩拜年纪金曲回顾</v>
      </c>
      <c r="T1586" s="4">
        <f ca="1">_xlfn.IFNA(VLOOKUP(INDIRECT("G"&amp;ROW()),minfo!$A:$M,COLUMN()-8,0),"")</f>
        <v>14971574</v>
      </c>
      <c r="U1586" s="4">
        <f ca="1">_xlfn.IFNA(VLOOKUP(INDIRECT("G"&amp;ROW()),minfo!$A:$M,COLUMN()-8,0),"")</f>
        <v>0</v>
      </c>
    </row>
    <row r="1587" spans="1:21" ht="15.75" customHeight="1">
      <c r="A1587" s="15">
        <v>1586</v>
      </c>
      <c r="B1587" s="4" t="s">
        <v>5221</v>
      </c>
      <c r="C1587" s="4">
        <v>1587</v>
      </c>
      <c r="D1587" s="4">
        <v>44</v>
      </c>
      <c r="E1587" s="4" t="s">
        <v>5222</v>
      </c>
      <c r="F1587" s="16">
        <v>44197</v>
      </c>
      <c r="G1587" s="5" t="s">
        <v>2011</v>
      </c>
      <c r="H1587" s="5" t="s">
        <v>5178</v>
      </c>
      <c r="I1587" s="24" t="str">
        <f>HYPERLINK("https://www.bilibili.com/video/BV1kQ4y1z7WD?p=44", "BV1kQ4y1z7WD?p=44")</f>
        <v>BV1kQ4y1z7WD?p=44</v>
      </c>
      <c r="J1587" s="4" t="str">
        <f ca="1">_xlfn.IFNA(VLOOKUP(INDIRECT("G"&amp;ROW()),minfo!$A:$M,COLUMN()-8,0),"")</f>
        <v>知否知否</v>
      </c>
      <c r="K1587" s="4" t="str">
        <f ca="1">_xlfn.IFNA(VLOOKUP(INDIRECT("G"&amp;ROW()),minfo!$A:$M,COLUMN()-8,0),"")</f>
        <v>胡夏,郁可唯</v>
      </c>
      <c r="L1587" s="4">
        <f ca="1">_xlfn.IFNA(VLOOKUP(INDIRECT("G"&amp;ROW()),minfo!$A:$M,COLUMN()-8,0),"")</f>
        <v>0</v>
      </c>
      <c r="M1587" s="4">
        <f ca="1">_xlfn.IFNA(VLOOKUP(INDIRECT("G"&amp;ROW()),minfo!$A:$M,COLUMN()-8,0),"")</f>
        <v>0</v>
      </c>
      <c r="N1587" s="4">
        <f ca="1">_xlfn.IFNA(VLOOKUP(INDIRECT("G"&amp;ROW()),minfo!$A:$M,COLUMN()-8,0),"")</f>
        <v>0</v>
      </c>
      <c r="O1587" s="4" t="str">
        <f ca="1">_xlfn.IFNA(VLOOKUP(INDIRECT("G"&amp;ROW()),minfo!$A:$M,COLUMN()-8,0),"")</f>
        <v>http://i0.hdslb.com/bfs/station_src/music_metadata/95894e72087c08133adecbe31e755eed.jpg</v>
      </c>
      <c r="P1587" s="4" t="str">
        <f ca="1">_xlfn.IFNA(VLOOKUP(INDIRECT("G"&amp;ROW()),minfo!$A:$M,COLUMN()-8,0),"")</f>
        <v>http://i0.hdslb.com/bfs/station_src/music_metadata/d76c10f10df8c8eb0080ea2ccc5426f7</v>
      </c>
      <c r="Q1587" s="4">
        <f ca="1">_xlfn.IFNA(VLOOKUP(INDIRECT("G"&amp;ROW()),minfo!$A:$M,COLUMN()-8,0),"")</f>
        <v>1499</v>
      </c>
      <c r="R1587" s="4" t="str">
        <f ca="1">_xlfn.IFNA(VLOOKUP(INDIRECT("G"&amp;ROW()),minfo!$A:$M,COLUMN()-8,0),"")</f>
        <v>《知否知否应是绿肥红瘦》电视剧主题曲</v>
      </c>
      <c r="S1587" s="4" t="str">
        <f ca="1">_xlfn.IFNA(VLOOKUP(INDIRECT("G"&amp;ROW()),minfo!$A:$M,COLUMN()-8,0),"")</f>
        <v>知否知否应是绿肥红瘦 电视剧原声带</v>
      </c>
      <c r="T1587" s="4">
        <f ca="1">_xlfn.IFNA(VLOOKUP(INDIRECT("G"&amp;ROW()),minfo!$A:$M,COLUMN()-8,0),"")</f>
        <v>316782479</v>
      </c>
      <c r="U1587" s="4">
        <f ca="1">_xlfn.IFNA(VLOOKUP(INDIRECT("G"&amp;ROW()),minfo!$A:$M,COLUMN()-8,0),"")</f>
        <v>0</v>
      </c>
    </row>
    <row r="1588" spans="1:21" ht="15.75" customHeight="1">
      <c r="A1588" s="15">
        <v>1587</v>
      </c>
      <c r="B1588" s="4" t="s">
        <v>5223</v>
      </c>
      <c r="C1588" s="4">
        <v>1588</v>
      </c>
      <c r="D1588" s="4">
        <v>45</v>
      </c>
      <c r="E1588" s="4" t="s">
        <v>3041</v>
      </c>
      <c r="F1588" s="16">
        <v>44197</v>
      </c>
      <c r="G1588" s="5" t="s">
        <v>3040</v>
      </c>
      <c r="H1588" s="5" t="s">
        <v>5178</v>
      </c>
      <c r="I1588" s="24" t="str">
        <f>HYPERLINK("https://www.bilibili.com/video/BV1kQ4y1z7WD?p=45", "BV1kQ4y1z7WD?p=45")</f>
        <v>BV1kQ4y1z7WD?p=45</v>
      </c>
      <c r="J1588" s="4" t="str">
        <f ca="1">_xlfn.IFNA(VLOOKUP(INDIRECT("G"&amp;ROW()),minfo!$A:$M,COLUMN()-8,0),"")</f>
        <v>陪我歌唱</v>
      </c>
      <c r="K1588" s="4" t="str">
        <f ca="1">_xlfn.IFNA(VLOOKUP(INDIRECT("G"&amp;ROW()),minfo!$A:$M,COLUMN()-8,0),"")</f>
        <v>苏打绿</v>
      </c>
      <c r="L1588" s="4">
        <f ca="1">_xlfn.IFNA(VLOOKUP(INDIRECT("G"&amp;ROW()),minfo!$A:$M,COLUMN()-8,0),"")</f>
        <v>0</v>
      </c>
      <c r="M1588" s="4">
        <f ca="1">_xlfn.IFNA(VLOOKUP(INDIRECT("G"&amp;ROW()),minfo!$A:$M,COLUMN()-8,0),"")</f>
        <v>0</v>
      </c>
      <c r="N1588" s="4">
        <f ca="1">_xlfn.IFNA(VLOOKUP(INDIRECT("G"&amp;ROW()),minfo!$A:$M,COLUMN()-8,0),"")</f>
        <v>0</v>
      </c>
      <c r="O1588" s="4" t="str">
        <f ca="1">_xlfn.IFNA(VLOOKUP(INDIRECT("G"&amp;ROW()),minfo!$A:$M,COLUMN()-8,0),"")</f>
        <v>https://i0.hdslb.com/bfs/station_src/music_metadata/d1866137a55e3bfd54656084f70d6f21.jpg</v>
      </c>
      <c r="P1588" s="4" t="str">
        <f ca="1">_xlfn.IFNA(VLOOKUP(INDIRECT("G"&amp;ROW()),minfo!$A:$M,COLUMN()-8,0),"")</f>
        <v>https://i0.hdslb.com/bfs/station_src/music_metadata/a46b2487416574fd19a099188181565d.txt</v>
      </c>
      <c r="Q1588" s="4">
        <f ca="1">_xlfn.IFNA(VLOOKUP(INDIRECT("G"&amp;ROW()),minfo!$A:$M,COLUMN()-8,0),"")</f>
        <v>0</v>
      </c>
      <c r="R1588" s="4">
        <f ca="1">_xlfn.IFNA(VLOOKUP(INDIRECT("G"&amp;ROW()),minfo!$A:$M,COLUMN()-8,0),"")</f>
        <v>0</v>
      </c>
      <c r="S1588" s="4" t="str">
        <f ca="1">_xlfn.IFNA(VLOOKUP(INDIRECT("G"&amp;ROW()),minfo!$A:$M,COLUMN()-8,0),"")</f>
        <v>陪我歌唱 (苏打绿版)</v>
      </c>
      <c r="T1588" s="4">
        <f ca="1">_xlfn.IFNA(VLOOKUP(INDIRECT("G"&amp;ROW()),minfo!$A:$M,COLUMN()-8,0),"")</f>
        <v>493220</v>
      </c>
      <c r="U1588" s="4">
        <f ca="1">_xlfn.IFNA(VLOOKUP(INDIRECT("G"&amp;ROW()),minfo!$A:$M,COLUMN()-8,0),"")</f>
        <v>0</v>
      </c>
    </row>
    <row r="1589" spans="1:21" ht="15.75" customHeight="1">
      <c r="A1589" s="15">
        <v>1588</v>
      </c>
      <c r="B1589" s="4" t="s">
        <v>5224</v>
      </c>
      <c r="C1589" s="4">
        <v>1589</v>
      </c>
      <c r="D1589" s="4">
        <v>46</v>
      </c>
      <c r="E1589" s="4" t="s">
        <v>4603</v>
      </c>
      <c r="F1589" s="16">
        <v>44197</v>
      </c>
      <c r="G1589" s="5" t="s">
        <v>2257</v>
      </c>
      <c r="H1589" s="5" t="s">
        <v>5178</v>
      </c>
      <c r="I1589" s="24" t="str">
        <f>HYPERLINK("https://www.bilibili.com/video/BV1kQ4y1z7WD?p=46", "BV1kQ4y1z7WD?p=46")</f>
        <v>BV1kQ4y1z7WD?p=46</v>
      </c>
      <c r="J1589" s="4" t="str">
        <f ca="1">_xlfn.IFNA(VLOOKUP(INDIRECT("G"&amp;ROW()),minfo!$A:$M,COLUMN()-8,0),"")</f>
        <v>亲爱的，那不是爱情</v>
      </c>
      <c r="K1589" s="4" t="str">
        <f ca="1">_xlfn.IFNA(VLOOKUP(INDIRECT("G"&amp;ROW()),minfo!$A:$M,COLUMN()-8,0),"")</f>
        <v>张韶涵</v>
      </c>
      <c r="L1589" s="4">
        <f ca="1">_xlfn.IFNA(VLOOKUP(INDIRECT("G"&amp;ROW()),minfo!$A:$M,COLUMN()-8,0),"")</f>
        <v>0</v>
      </c>
      <c r="M1589" s="4">
        <f ca="1">_xlfn.IFNA(VLOOKUP(INDIRECT("G"&amp;ROW()),minfo!$A:$M,COLUMN()-8,0),"")</f>
        <v>0</v>
      </c>
      <c r="N1589" s="4">
        <f ca="1">_xlfn.IFNA(VLOOKUP(INDIRECT("G"&amp;ROW()),minfo!$A:$M,COLUMN()-8,0),"")</f>
        <v>0</v>
      </c>
      <c r="O1589" s="4" t="str">
        <f ca="1">_xlfn.IFNA(VLOOKUP(INDIRECT("G"&amp;ROW()),minfo!$A:$M,COLUMN()-8,0),"")</f>
        <v>https://i0.hdslb.com/bfs/station_src/music_metadata/cadfdb236ffea3cdecdfa4cb6b14a2a2.jpg</v>
      </c>
      <c r="P1589" s="4" t="str">
        <f ca="1">_xlfn.IFNA(VLOOKUP(INDIRECT("G"&amp;ROW()),minfo!$A:$M,COLUMN()-8,0),"")</f>
        <v>http://i0.hdslb.com/bfs/station_src/music_metadata/3079156787de0a4a5d3b76f0960b7676</v>
      </c>
      <c r="Q1589" s="4">
        <f ca="1">_xlfn.IFNA(VLOOKUP(INDIRECT("G"&amp;ROW()),minfo!$A:$M,COLUMN()-8,0),"")</f>
        <v>439</v>
      </c>
      <c r="R1589" s="4" t="str">
        <f ca="1">_xlfn.IFNA(VLOOKUP(INDIRECT("G"&amp;ROW()),minfo!$A:$M,COLUMN()-8,0),"")</f>
        <v>《宫-野蛮王妃》电视剧片尾曲</v>
      </c>
      <c r="S1589" s="4" t="str">
        <f ca="1">_xlfn.IFNA(VLOOKUP(INDIRECT("G"&amp;ROW()),minfo!$A:$M,COLUMN()-8,0),"")</f>
        <v>Ang 5.0</v>
      </c>
      <c r="T1589" s="4">
        <f ca="1">_xlfn.IFNA(VLOOKUP(INDIRECT("G"&amp;ROW()),minfo!$A:$M,COLUMN()-8,0),"")</f>
        <v>189255789</v>
      </c>
      <c r="U1589" s="4">
        <f ca="1">_xlfn.IFNA(VLOOKUP(INDIRECT("G"&amp;ROW()),minfo!$A:$M,COLUMN()-8,0),"")</f>
        <v>0</v>
      </c>
    </row>
    <row r="1590" spans="1:21" ht="15.75" customHeight="1">
      <c r="A1590" s="15">
        <v>1589</v>
      </c>
      <c r="B1590" s="4" t="s">
        <v>5225</v>
      </c>
      <c r="C1590" s="4">
        <v>1590</v>
      </c>
      <c r="D1590" s="4">
        <v>47</v>
      </c>
      <c r="E1590" s="4" t="s">
        <v>3005</v>
      </c>
      <c r="F1590" s="16">
        <v>44197</v>
      </c>
      <c r="G1590" s="5" t="s">
        <v>3004</v>
      </c>
      <c r="H1590" s="5" t="s">
        <v>5178</v>
      </c>
      <c r="I1590" s="24" t="str">
        <f>HYPERLINK("https://www.bilibili.com/video/BV1kQ4y1z7WD?p=47", "BV1kQ4y1z7WD?p=47")</f>
        <v>BV1kQ4y1z7WD?p=47</v>
      </c>
      <c r="J1590" s="4" t="str">
        <f ca="1">_xlfn.IFNA(VLOOKUP(INDIRECT("G"&amp;ROW()),minfo!$A:$M,COLUMN()-8,0),"")</f>
        <v>挥着翅膀的女孩</v>
      </c>
      <c r="K1590" s="4" t="str">
        <f ca="1">_xlfn.IFNA(VLOOKUP(INDIRECT("G"&amp;ROW()),minfo!$A:$M,COLUMN()-8,0),"")</f>
        <v>容祖儿</v>
      </c>
      <c r="L1590" s="4">
        <f ca="1">_xlfn.IFNA(VLOOKUP(INDIRECT("G"&amp;ROW()),minfo!$A:$M,COLUMN()-8,0),"")</f>
        <v>0</v>
      </c>
      <c r="M1590" s="4">
        <f ca="1">_xlfn.IFNA(VLOOKUP(INDIRECT("G"&amp;ROW()),minfo!$A:$M,COLUMN()-8,0),"")</f>
        <v>0</v>
      </c>
      <c r="N1590" s="4">
        <f ca="1">_xlfn.IFNA(VLOOKUP(INDIRECT("G"&amp;ROW()),minfo!$A:$M,COLUMN()-8,0),"")</f>
        <v>0</v>
      </c>
      <c r="O1590" s="4" t="str">
        <f ca="1">_xlfn.IFNA(VLOOKUP(INDIRECT("G"&amp;ROW()),minfo!$A:$M,COLUMN()-8,0),"")</f>
        <v>https://i0.hdslb.com/bfs/station_src/music_metadata/b0a5d0585f3328d575b35162bcc895e8.jpg</v>
      </c>
      <c r="P1590" s="4" t="str">
        <f ca="1">_xlfn.IFNA(VLOOKUP(INDIRECT("G"&amp;ROW()),minfo!$A:$M,COLUMN()-8,0),"")</f>
        <v>https://i0.hdslb.com/bfs/station_src/music_metadata/cc848bcd6df7ad9b226f3f060711be05.txt</v>
      </c>
      <c r="Q1590" s="4">
        <f ca="1">_xlfn.IFNA(VLOOKUP(INDIRECT("G"&amp;ROW()),minfo!$A:$M,COLUMN()-8,0),"")</f>
        <v>197</v>
      </c>
      <c r="R1590" s="4">
        <f ca="1">_xlfn.IFNA(VLOOKUP(INDIRECT("G"&amp;ROW()),minfo!$A:$M,COLUMN()-8,0),"")</f>
        <v>0</v>
      </c>
      <c r="S1590" s="4" t="str">
        <f ca="1">_xlfn.IFNA(VLOOKUP(INDIRECT("G"&amp;ROW()),minfo!$A:$M,COLUMN()-8,0),"")</f>
        <v>独照</v>
      </c>
      <c r="T1590" s="4">
        <f ca="1">_xlfn.IFNA(VLOOKUP(INDIRECT("G"&amp;ROW()),minfo!$A:$M,COLUMN()-8,0),"")</f>
        <v>86858299</v>
      </c>
      <c r="U1590" s="4">
        <f ca="1">_xlfn.IFNA(VLOOKUP(INDIRECT("G"&amp;ROW()),minfo!$A:$M,COLUMN()-8,0),"")</f>
        <v>0</v>
      </c>
    </row>
    <row r="1591" spans="1:21" ht="15.75" customHeight="1">
      <c r="A1591" s="15">
        <v>1590</v>
      </c>
      <c r="B1591" s="4" t="s">
        <v>5226</v>
      </c>
      <c r="C1591" s="4">
        <v>1591</v>
      </c>
      <c r="D1591" s="4">
        <v>48</v>
      </c>
      <c r="E1591" s="4" t="s">
        <v>1558</v>
      </c>
      <c r="F1591" s="16">
        <v>44197</v>
      </c>
      <c r="G1591" s="5" t="s">
        <v>1557</v>
      </c>
      <c r="H1591" s="5" t="s">
        <v>5178</v>
      </c>
      <c r="I1591" s="24" t="str">
        <f>HYPERLINK("https://www.bilibili.com/video/BV1kQ4y1z7WD?p=48", "BV1kQ4y1z7WD?p=48")</f>
        <v>BV1kQ4y1z7WD?p=48</v>
      </c>
      <c r="J1591" s="4" t="str">
        <f ca="1">_xlfn.IFNA(VLOOKUP(INDIRECT("G"&amp;ROW()),minfo!$A:$M,COLUMN()-8,0),"")</f>
        <v>童话</v>
      </c>
      <c r="K1591" s="4" t="str">
        <f ca="1">_xlfn.IFNA(VLOOKUP(INDIRECT("G"&amp;ROW()),minfo!$A:$M,COLUMN()-8,0),"")</f>
        <v>光良</v>
      </c>
      <c r="L1591" s="4">
        <f ca="1">_xlfn.IFNA(VLOOKUP(INDIRECT("G"&amp;ROW()),minfo!$A:$M,COLUMN()-8,0),"")</f>
        <v>0</v>
      </c>
      <c r="M1591" s="4">
        <f ca="1">_xlfn.IFNA(VLOOKUP(INDIRECT("G"&amp;ROW()),minfo!$A:$M,COLUMN()-8,0),"")</f>
        <v>0</v>
      </c>
      <c r="N1591" s="4">
        <f ca="1">_xlfn.IFNA(VLOOKUP(INDIRECT("G"&amp;ROW()),minfo!$A:$M,COLUMN()-8,0),"")</f>
        <v>0</v>
      </c>
      <c r="O1591" s="4" t="str">
        <f ca="1">_xlfn.IFNA(VLOOKUP(INDIRECT("G"&amp;ROW()),minfo!$A:$M,COLUMN()-8,0),"")</f>
        <v>https://i0.hdslb.com/bfs/station_src/music_metadata/7df55e39676b3da5a3fd7ef9d94469db.jpg</v>
      </c>
      <c r="P1591" s="4" t="str">
        <f ca="1">_xlfn.IFNA(VLOOKUP(INDIRECT("G"&amp;ROW()),minfo!$A:$M,COLUMN()-8,0),"")</f>
        <v>https://i0.hdslb.com/bfs/station_src/music_metadata/56678415403ced751ddc9bc6f2f99d52.txt</v>
      </c>
      <c r="Q1591" s="4">
        <f ca="1">_xlfn.IFNA(VLOOKUP(INDIRECT("G"&amp;ROW()),minfo!$A:$M,COLUMN()-8,0),"")</f>
        <v>829</v>
      </c>
      <c r="R1591" s="4">
        <f ca="1">_xlfn.IFNA(VLOOKUP(INDIRECT("G"&amp;ROW()),minfo!$A:$M,COLUMN()-8,0),"")</f>
        <v>0</v>
      </c>
      <c r="S1591" s="4" t="str">
        <f ca="1">_xlfn.IFNA(VLOOKUP(INDIRECT("G"&amp;ROW()),minfo!$A:$M,COLUMN()-8,0),"")</f>
        <v>童话</v>
      </c>
      <c r="T1591" s="4">
        <f ca="1">_xlfn.IFNA(VLOOKUP(INDIRECT("G"&amp;ROW()),minfo!$A:$M,COLUMN()-8,0),"")</f>
        <v>330373359</v>
      </c>
      <c r="U1591" s="4">
        <f ca="1">_xlfn.IFNA(VLOOKUP(INDIRECT("G"&amp;ROW()),minfo!$A:$M,COLUMN()-8,0),"")</f>
        <v>0</v>
      </c>
    </row>
    <row r="1592" spans="1:21" ht="15.75" customHeight="1">
      <c r="A1592" s="15">
        <v>1591</v>
      </c>
      <c r="B1592" s="4" t="s">
        <v>5227</v>
      </c>
      <c r="C1592" s="4">
        <v>1592</v>
      </c>
      <c r="D1592" s="4">
        <v>49</v>
      </c>
      <c r="E1592" s="4" t="s">
        <v>3947</v>
      </c>
      <c r="F1592" s="16">
        <v>44197</v>
      </c>
      <c r="G1592" s="5" t="s">
        <v>2543</v>
      </c>
      <c r="H1592" s="5" t="s">
        <v>5178</v>
      </c>
      <c r="I1592" s="24" t="str">
        <f>HYPERLINK("https://www.bilibili.com/video/BV1kQ4y1z7WD?p=49", "BV1kQ4y1z7WD?p=49")</f>
        <v>BV1kQ4y1z7WD?p=49</v>
      </c>
      <c r="J1592" s="4" t="str">
        <f ca="1">_xlfn.IFNA(VLOOKUP(INDIRECT("G"&amp;ROW()),minfo!$A:$M,COLUMN()-8,0),"")</f>
        <v>记念</v>
      </c>
      <c r="K1592" s="4" t="str">
        <f ca="1">_xlfn.IFNA(VLOOKUP(INDIRECT("G"&amp;ROW()),minfo!$A:$M,COLUMN()-8,0),"")</f>
        <v>雷雨心</v>
      </c>
      <c r="L1592" s="4">
        <f ca="1">_xlfn.IFNA(VLOOKUP(INDIRECT("G"&amp;ROW()),minfo!$A:$M,COLUMN()-8,0),"")</f>
        <v>0</v>
      </c>
      <c r="M1592" s="4">
        <f ca="1">_xlfn.IFNA(VLOOKUP(INDIRECT("G"&amp;ROW()),minfo!$A:$M,COLUMN()-8,0),"")</f>
        <v>0</v>
      </c>
      <c r="N1592" s="4">
        <f ca="1">_xlfn.IFNA(VLOOKUP(INDIRECT("G"&amp;ROW()),minfo!$A:$M,COLUMN()-8,0),"")</f>
        <v>0</v>
      </c>
      <c r="O1592" s="4" t="str">
        <f ca="1">_xlfn.IFNA(VLOOKUP(INDIRECT("G"&amp;ROW()),minfo!$A:$M,COLUMN()-8,0),"")</f>
        <v>https://i0.hdslb.com/bfs/station_src/music_metadata/df461555388d556675705b1e413e876d.jpg</v>
      </c>
      <c r="P1592" s="4" t="str">
        <f ca="1">_xlfn.IFNA(VLOOKUP(INDIRECT("G"&amp;ROW()),minfo!$A:$M,COLUMN()-8,0),"")</f>
        <v>http://i0.hdslb.com/bfs/station_src/music_metadata/aad0c256d8916e3d3a7c730320b46445</v>
      </c>
      <c r="Q1592" s="4">
        <f ca="1">_xlfn.IFNA(VLOOKUP(INDIRECT("G"&amp;ROW()),minfo!$A:$M,COLUMN()-8,0),"")</f>
        <v>2133</v>
      </c>
      <c r="R1592" s="4">
        <f ca="1">_xlfn.IFNA(VLOOKUP(INDIRECT("G"&amp;ROW()),minfo!$A:$M,COLUMN()-8,0),"")</f>
        <v>0</v>
      </c>
      <c r="S1592" s="4" t="str">
        <f ca="1">_xlfn.IFNA(VLOOKUP(INDIRECT("G"&amp;ROW()),minfo!$A:$M,COLUMN()-8,0),"")</f>
        <v>记念</v>
      </c>
      <c r="T1592" s="4">
        <f ca="1">_xlfn.IFNA(VLOOKUP(INDIRECT("G"&amp;ROW()),minfo!$A:$M,COLUMN()-8,0),"")</f>
        <v>182047718</v>
      </c>
      <c r="U1592" s="4">
        <f ca="1">_xlfn.IFNA(VLOOKUP(INDIRECT("G"&amp;ROW()),minfo!$A:$M,COLUMN()-8,0),"")</f>
        <v>0</v>
      </c>
    </row>
    <row r="1593" spans="1:21" ht="15.75" customHeight="1">
      <c r="A1593" s="15">
        <v>1592</v>
      </c>
      <c r="B1593" s="4" t="s">
        <v>5228</v>
      </c>
      <c r="C1593" s="4">
        <v>1593</v>
      </c>
      <c r="D1593" s="4">
        <v>50</v>
      </c>
      <c r="E1593" s="4" t="s">
        <v>3095</v>
      </c>
      <c r="F1593" s="16">
        <v>44197</v>
      </c>
      <c r="G1593" s="5" t="s">
        <v>3094</v>
      </c>
      <c r="H1593" s="5" t="s">
        <v>5178</v>
      </c>
      <c r="I1593" s="24" t="str">
        <f>HYPERLINK("https://www.bilibili.com/video/BV1kQ4y1z7WD?p=50", "BV1kQ4y1z7WD?p=50")</f>
        <v>BV1kQ4y1z7WD?p=50</v>
      </c>
      <c r="J1593" s="4" t="str">
        <f ca="1">_xlfn.IFNA(VLOOKUP(INDIRECT("G"&amp;ROW()),minfo!$A:$M,COLUMN()-8,0),"")</f>
        <v>隐形的翅膀</v>
      </c>
      <c r="K1593" s="4" t="str">
        <f ca="1">_xlfn.IFNA(VLOOKUP(INDIRECT("G"&amp;ROW()),minfo!$A:$M,COLUMN()-8,0),"")</f>
        <v>张韶涵</v>
      </c>
      <c r="L1593" s="4">
        <f ca="1">_xlfn.IFNA(VLOOKUP(INDIRECT("G"&amp;ROW()),minfo!$A:$M,COLUMN()-8,0),"")</f>
        <v>0</v>
      </c>
      <c r="M1593" s="4">
        <f ca="1">_xlfn.IFNA(VLOOKUP(INDIRECT("G"&amp;ROW()),minfo!$A:$M,COLUMN()-8,0),"")</f>
        <v>0</v>
      </c>
      <c r="N1593" s="4">
        <f ca="1">_xlfn.IFNA(VLOOKUP(INDIRECT("G"&amp;ROW()),minfo!$A:$M,COLUMN()-8,0),"")</f>
        <v>0</v>
      </c>
      <c r="O1593" s="4" t="str">
        <f ca="1">_xlfn.IFNA(VLOOKUP(INDIRECT("G"&amp;ROW()),minfo!$A:$M,COLUMN()-8,0),"")</f>
        <v>http://i0.hdslb.com/bfs/station_src/music_metadata/aa953bf60b656ee83e04fc90c7875821.jpg</v>
      </c>
      <c r="P1593" s="4" t="str">
        <f ca="1">_xlfn.IFNA(VLOOKUP(INDIRECT("G"&amp;ROW()),minfo!$A:$M,COLUMN()-8,0),"")</f>
        <v>http://i0.hdslb.com/bfs/station_src/music_metadata/415fcea3d0f265e9b480bc3abb878e01</v>
      </c>
      <c r="Q1593" s="4">
        <f ca="1">_xlfn.IFNA(VLOOKUP(INDIRECT("G"&amp;ROW()),minfo!$A:$M,COLUMN()-8,0),"")</f>
        <v>834</v>
      </c>
      <c r="R1593" s="4">
        <f ca="1">_xlfn.IFNA(VLOOKUP(INDIRECT("G"&amp;ROW()),minfo!$A:$M,COLUMN()-8,0),"")</f>
        <v>0</v>
      </c>
      <c r="S1593" s="4" t="str">
        <f ca="1">_xlfn.IFNA(VLOOKUP(INDIRECT("G"&amp;ROW()),minfo!$A:$M,COLUMN()-8,0),"")</f>
        <v>潘朵拉</v>
      </c>
      <c r="T1593" s="4">
        <f ca="1">_xlfn.IFNA(VLOOKUP(INDIRECT("G"&amp;ROW()),minfo!$A:$M,COLUMN()-8,0),"")</f>
        <v>308693057</v>
      </c>
      <c r="U1593" s="4">
        <f ca="1">_xlfn.IFNA(VLOOKUP(INDIRECT("G"&amp;ROW()),minfo!$A:$M,COLUMN()-8,0),"")</f>
        <v>0</v>
      </c>
    </row>
    <row r="1594" spans="1:21" ht="15.75" customHeight="1">
      <c r="A1594" s="15">
        <v>1593</v>
      </c>
      <c r="B1594" s="4" t="s">
        <v>5229</v>
      </c>
      <c r="C1594" s="4">
        <v>1594</v>
      </c>
      <c r="D1594" s="4">
        <v>51</v>
      </c>
      <c r="E1594" s="4" t="s">
        <v>1977</v>
      </c>
      <c r="F1594" s="16">
        <v>44197</v>
      </c>
      <c r="G1594" s="5" t="s">
        <v>1976</v>
      </c>
      <c r="H1594" s="5" t="s">
        <v>5178</v>
      </c>
      <c r="I1594" s="24" t="str">
        <f>HYPERLINK("https://www.bilibili.com/video/BV1kQ4y1z7WD?p=51", "BV1kQ4y1z7WD?p=51")</f>
        <v>BV1kQ4y1z7WD?p=51</v>
      </c>
      <c r="J1594" s="4" t="str">
        <f ca="1">_xlfn.IFNA(VLOOKUP(INDIRECT("G"&amp;ROW()),minfo!$A:$M,COLUMN()-8,0),"")</f>
        <v>如燕</v>
      </c>
      <c r="K1594" s="4" t="str">
        <f ca="1">_xlfn.IFNA(VLOOKUP(INDIRECT("G"&amp;ROW()),minfo!$A:$M,COLUMN()-8,0),"")</f>
        <v>Olivia Ong</v>
      </c>
      <c r="L1594" s="4">
        <f ca="1">_xlfn.IFNA(VLOOKUP(INDIRECT("G"&amp;ROW()),minfo!$A:$M,COLUMN()-8,0),"")</f>
        <v>0</v>
      </c>
      <c r="M1594" s="4">
        <f ca="1">_xlfn.IFNA(VLOOKUP(INDIRECT("G"&amp;ROW()),minfo!$A:$M,COLUMN()-8,0),"")</f>
        <v>0</v>
      </c>
      <c r="N1594" s="4">
        <f ca="1">_xlfn.IFNA(VLOOKUP(INDIRECT("G"&amp;ROW()),minfo!$A:$M,COLUMN()-8,0),"")</f>
        <v>0</v>
      </c>
      <c r="O1594" s="4" t="str">
        <f ca="1">_xlfn.IFNA(VLOOKUP(INDIRECT("G"&amp;ROW()),minfo!$A:$M,COLUMN()-8,0),"")</f>
        <v>https://i0.hdslb.com/bfs/station_src/music_metadata/b2733c4bd517933dcae0cba2b7fa823a.jpg</v>
      </c>
      <c r="P1594" s="4" t="str">
        <f ca="1">_xlfn.IFNA(VLOOKUP(INDIRECT("G"&amp;ROW()),minfo!$A:$M,COLUMN()-8,0),"")</f>
        <v>https://i0.hdslb.com/bfs/station_src/music_metadata/ea39207bb5f0808fc26797b69111daa6.txt</v>
      </c>
      <c r="Q1594" s="4">
        <f ca="1">_xlfn.IFNA(VLOOKUP(INDIRECT("G"&amp;ROW()),minfo!$A:$M,COLUMN()-8,0),"")</f>
        <v>14</v>
      </c>
      <c r="R1594" s="4" t="str">
        <f ca="1">_xlfn.IFNA(VLOOKUP(INDIRECT("G"&amp;ROW()),minfo!$A:$M,COLUMN()-8,0),"")</f>
        <v>《我们的》电视剧主题曲</v>
      </c>
      <c r="S1594" s="4" t="str">
        <f ca="1">_xlfn.IFNA(VLOOKUP(INDIRECT("G"&amp;ROW()),minfo!$A:$M,COLUMN()-8,0),"")</f>
        <v>我们的主题曲</v>
      </c>
      <c r="T1594" s="4">
        <f ca="1">_xlfn.IFNA(VLOOKUP(INDIRECT("G"&amp;ROW()),minfo!$A:$M,COLUMN()-8,0),"")</f>
        <v>2915511</v>
      </c>
      <c r="U1594" s="4">
        <f ca="1">_xlfn.IFNA(VLOOKUP(INDIRECT("G"&amp;ROW()),minfo!$A:$M,COLUMN()-8,0),"")</f>
        <v>0</v>
      </c>
    </row>
    <row r="1595" spans="1:21" ht="15.75" customHeight="1">
      <c r="A1595" s="15">
        <v>1594</v>
      </c>
      <c r="B1595" s="4" t="s">
        <v>5230</v>
      </c>
      <c r="C1595" s="4">
        <v>1595</v>
      </c>
      <c r="D1595" s="4">
        <v>52</v>
      </c>
      <c r="E1595" s="4" t="s">
        <v>3010</v>
      </c>
      <c r="F1595" s="16">
        <v>44197</v>
      </c>
      <c r="G1595" s="5" t="s">
        <v>3009</v>
      </c>
      <c r="H1595" s="5" t="s">
        <v>5178</v>
      </c>
      <c r="I1595" s="24" t="str">
        <f>HYPERLINK("https://www.bilibili.com/video/BV1kQ4y1z7WD?p=52", "BV1kQ4y1z7WD?p=52")</f>
        <v>BV1kQ4y1z7WD?p=52</v>
      </c>
      <c r="J1595" s="4" t="str">
        <f ca="1">_xlfn.IFNA(VLOOKUP(INDIRECT("G"&amp;ROW()),minfo!$A:$M,COLUMN()-8,0),"")</f>
        <v>小手拍拍</v>
      </c>
      <c r="K1595" s="4" t="str">
        <f ca="1">_xlfn.IFNA(VLOOKUP(INDIRECT("G"&amp;ROW()),minfo!$A:$M,COLUMN()-8,0),"")</f>
        <v>宝宝巴士</v>
      </c>
      <c r="L1595" s="4">
        <f ca="1">_xlfn.IFNA(VLOOKUP(INDIRECT("G"&amp;ROW()),minfo!$A:$M,COLUMN()-8,0),"")</f>
        <v>0</v>
      </c>
      <c r="M1595" s="4">
        <f ca="1">_xlfn.IFNA(VLOOKUP(INDIRECT("G"&amp;ROW()),minfo!$A:$M,COLUMN()-8,0),"")</f>
        <v>0</v>
      </c>
      <c r="N1595" s="4">
        <f ca="1">_xlfn.IFNA(VLOOKUP(INDIRECT("G"&amp;ROW()),minfo!$A:$M,COLUMN()-8,0),"")</f>
        <v>0</v>
      </c>
      <c r="O1595" s="4" t="str">
        <f ca="1">_xlfn.IFNA(VLOOKUP(INDIRECT("G"&amp;ROW()),minfo!$A:$M,COLUMN()-8,0),"")</f>
        <v>https://i0.hdslb.com/bfs/station_src/music_metadata/876eae7f17a17a049f7a41ee4e96ca69.jpg</v>
      </c>
      <c r="P1595" s="4" t="str">
        <f ca="1">_xlfn.IFNA(VLOOKUP(INDIRECT("G"&amp;ROW()),minfo!$A:$M,COLUMN()-8,0),"")</f>
        <v>https://i0.hdslb.com/bfs/station_src/music_metadata/280c0c327fa8bda2396a928938a304b2.txt</v>
      </c>
      <c r="Q1595" s="4">
        <f ca="1">_xlfn.IFNA(VLOOKUP(INDIRECT("G"&amp;ROW()),minfo!$A:$M,COLUMN()-8,0),"")</f>
        <v>10</v>
      </c>
      <c r="R1595" s="4">
        <f ca="1">_xlfn.IFNA(VLOOKUP(INDIRECT("G"&amp;ROW()),minfo!$A:$M,COLUMN()-8,0),"")</f>
        <v>0</v>
      </c>
      <c r="S1595" s="4" t="str">
        <f ca="1">_xlfn.IFNA(VLOOKUP(INDIRECT("G"&amp;ROW()),minfo!$A:$M,COLUMN()-8,0),"")</f>
        <v>宝宝巴士中文儿歌200首</v>
      </c>
      <c r="T1595" s="4">
        <f ca="1">_xlfn.IFNA(VLOOKUP(INDIRECT("G"&amp;ROW()),minfo!$A:$M,COLUMN()-8,0),"")</f>
        <v>753707</v>
      </c>
      <c r="U1595" s="4">
        <f ca="1">_xlfn.IFNA(VLOOKUP(INDIRECT("G"&amp;ROW()),minfo!$A:$M,COLUMN()-8,0),"")</f>
        <v>0</v>
      </c>
    </row>
    <row r="1596" spans="1:21" ht="15.75" customHeight="1">
      <c r="A1596" s="15">
        <v>1595</v>
      </c>
      <c r="B1596" s="4" t="s">
        <v>5231</v>
      </c>
      <c r="C1596" s="4">
        <v>1596</v>
      </c>
      <c r="D1596" s="4">
        <v>53</v>
      </c>
      <c r="E1596" s="4" t="s">
        <v>332</v>
      </c>
      <c r="F1596" s="16">
        <v>44197</v>
      </c>
      <c r="G1596" s="5" t="s">
        <v>331</v>
      </c>
      <c r="H1596" s="5" t="s">
        <v>5178</v>
      </c>
      <c r="I1596" s="24" t="str">
        <f>HYPERLINK("https://www.bilibili.com/video/BV1kQ4y1z7WD?p=53", "BV1kQ4y1z7WD?p=53")</f>
        <v>BV1kQ4y1z7WD?p=53</v>
      </c>
      <c r="J1596" s="4" t="str">
        <f ca="1">_xlfn.IFNA(VLOOKUP(INDIRECT("G"&amp;ROW()),minfo!$A:$M,COLUMN()-8,0),"")</f>
        <v>春天的芭蕾</v>
      </c>
      <c r="K1596" s="4" t="str">
        <f ca="1">_xlfn.IFNA(VLOOKUP(INDIRECT("G"&amp;ROW()),minfo!$A:$M,COLUMN()-8,0),"")</f>
        <v>常思思</v>
      </c>
      <c r="L1596" s="4">
        <f ca="1">_xlfn.IFNA(VLOOKUP(INDIRECT("G"&amp;ROW()),minfo!$A:$M,COLUMN()-8,0),"")</f>
        <v>0</v>
      </c>
      <c r="M1596" s="4">
        <f ca="1">_xlfn.IFNA(VLOOKUP(INDIRECT("G"&amp;ROW()),minfo!$A:$M,COLUMN()-8,0),"")</f>
        <v>0</v>
      </c>
      <c r="N1596" s="4">
        <f ca="1">_xlfn.IFNA(VLOOKUP(INDIRECT("G"&amp;ROW()),minfo!$A:$M,COLUMN()-8,0),"")</f>
        <v>0</v>
      </c>
      <c r="O1596" s="4" t="str">
        <f ca="1">_xlfn.IFNA(VLOOKUP(INDIRECT("G"&amp;ROW()),minfo!$A:$M,COLUMN()-8,0),"")</f>
        <v>http://i0.hdslb.com/bfs/station_src/music_metadata/7202bafed8b495edfdc98691518442b5.jpg</v>
      </c>
      <c r="P1596" s="4" t="str">
        <f ca="1">_xlfn.IFNA(VLOOKUP(INDIRECT("G"&amp;ROW()),minfo!$A:$M,COLUMN()-8,0),"")</f>
        <v>http://i0.hdslb.com/bfs/station_src/music_metadata/1faf7f1d5734fb67fc3aa5824aaf8ed2</v>
      </c>
      <c r="Q1596" s="4">
        <f ca="1">_xlfn.IFNA(VLOOKUP(INDIRECT("G"&amp;ROW()),minfo!$A:$M,COLUMN()-8,0),"")</f>
        <v>173</v>
      </c>
      <c r="R1596" s="4">
        <f ca="1">_xlfn.IFNA(VLOOKUP(INDIRECT("G"&amp;ROW()),minfo!$A:$M,COLUMN()-8,0),"")</f>
        <v>0</v>
      </c>
      <c r="S1596" s="4">
        <f ca="1">_xlfn.IFNA(VLOOKUP(INDIRECT("G"&amp;ROW()),minfo!$A:$M,COLUMN()-8,0),"")</f>
        <v>0</v>
      </c>
      <c r="T1596" s="4">
        <f ca="1">_xlfn.IFNA(VLOOKUP(INDIRECT("G"&amp;ROW()),minfo!$A:$M,COLUMN()-8,0),"")</f>
        <v>25997684</v>
      </c>
      <c r="U1596" s="4">
        <f ca="1">_xlfn.IFNA(VLOOKUP(INDIRECT("G"&amp;ROW()),minfo!$A:$M,COLUMN()-8,0),"")</f>
        <v>0</v>
      </c>
    </row>
    <row r="1597" spans="1:21" ht="15.75" customHeight="1">
      <c r="A1597" s="15">
        <v>1596</v>
      </c>
      <c r="B1597" s="4" t="s">
        <v>5232</v>
      </c>
      <c r="C1597" s="4">
        <v>1597</v>
      </c>
      <c r="D1597" s="4">
        <v>54</v>
      </c>
      <c r="E1597" s="4" t="s">
        <v>337</v>
      </c>
      <c r="F1597" s="16">
        <v>44197</v>
      </c>
      <c r="G1597" s="5" t="s">
        <v>336</v>
      </c>
      <c r="H1597" s="5" t="s">
        <v>5178</v>
      </c>
      <c r="I1597" s="24" t="str">
        <f>HYPERLINK("https://www.bilibili.com/video/BV1kQ4y1z7WD?p=54", "BV1kQ4y1z7WD?p=54")</f>
        <v>BV1kQ4y1z7WD?p=54</v>
      </c>
      <c r="J1597" s="4" t="str">
        <f ca="1">_xlfn.IFNA(VLOOKUP(INDIRECT("G"&amp;ROW()),minfo!$A:$M,COLUMN()-8,0),"")</f>
        <v>玛依拉变奏曲</v>
      </c>
      <c r="K1597" s="4" t="str">
        <f ca="1">_xlfn.IFNA(VLOOKUP(INDIRECT("G"&amp;ROW()),minfo!$A:$M,COLUMN()-8,0),"")</f>
        <v>常思思</v>
      </c>
      <c r="L1597" s="4">
        <f ca="1">_xlfn.IFNA(VLOOKUP(INDIRECT("G"&amp;ROW()),minfo!$A:$M,COLUMN()-8,0),"")</f>
        <v>0</v>
      </c>
      <c r="M1597" s="4">
        <f ca="1">_xlfn.IFNA(VLOOKUP(INDIRECT("G"&amp;ROW()),minfo!$A:$M,COLUMN()-8,0),"")</f>
        <v>0</v>
      </c>
      <c r="N1597" s="4">
        <f ca="1">_xlfn.IFNA(VLOOKUP(INDIRECT("G"&amp;ROW()),minfo!$A:$M,COLUMN()-8,0),"")</f>
        <v>0</v>
      </c>
      <c r="O1597" s="4" t="str">
        <f ca="1">_xlfn.IFNA(VLOOKUP(INDIRECT("G"&amp;ROW()),minfo!$A:$M,COLUMN()-8,0),"")</f>
        <v>https://i0.hdslb.com/bfs/station_src/music_metadata/44ef3b674b440061a8551258b673f958.jpg</v>
      </c>
      <c r="P1597" s="4" t="str">
        <f ca="1">_xlfn.IFNA(VLOOKUP(INDIRECT("G"&amp;ROW()),minfo!$A:$M,COLUMN()-8,0),"")</f>
        <v>https://i0.hdslb.com/bfs/station_src/music_metadata/0d31f0b335305bb6b2fae9ab4daacc38.txt</v>
      </c>
      <c r="Q1597" s="4">
        <f ca="1">_xlfn.IFNA(VLOOKUP(INDIRECT("G"&amp;ROW()),minfo!$A:$M,COLUMN()-8,0),"")</f>
        <v>6</v>
      </c>
      <c r="R1597" s="4">
        <f ca="1">_xlfn.IFNA(VLOOKUP(INDIRECT("G"&amp;ROW()),minfo!$A:$M,COLUMN()-8,0),"")</f>
        <v>0</v>
      </c>
      <c r="S1597" s="4" t="str">
        <f ca="1">_xlfn.IFNA(VLOOKUP(INDIRECT("G"&amp;ROW()),minfo!$A:$M,COLUMN()-8,0),"")</f>
        <v>龙乐合集 27</v>
      </c>
      <c r="T1597" s="4">
        <f ca="1">_xlfn.IFNA(VLOOKUP(INDIRECT("G"&amp;ROW()),minfo!$A:$M,COLUMN()-8,0),"")</f>
        <v>3469898</v>
      </c>
      <c r="U1597" s="4">
        <f ca="1">_xlfn.IFNA(VLOOKUP(INDIRECT("G"&amp;ROW()),minfo!$A:$M,COLUMN()-8,0),"")</f>
        <v>0</v>
      </c>
    </row>
    <row r="1598" spans="1:21" ht="15.75" customHeight="1">
      <c r="A1598" s="15">
        <v>1597</v>
      </c>
      <c r="B1598" s="4" t="s">
        <v>5233</v>
      </c>
      <c r="C1598" s="4">
        <v>1598</v>
      </c>
      <c r="D1598" s="4">
        <v>55</v>
      </c>
      <c r="E1598" s="4" t="s">
        <v>497</v>
      </c>
      <c r="F1598" s="16">
        <v>44197</v>
      </c>
      <c r="G1598" s="5" t="s">
        <v>496</v>
      </c>
      <c r="H1598" s="5" t="s">
        <v>5178</v>
      </c>
      <c r="I1598" s="24" t="str">
        <f>HYPERLINK("https://www.bilibili.com/video/BV1kQ4y1z7WD?p=55", "BV1kQ4y1z7WD?p=55")</f>
        <v>BV1kQ4y1z7WD?p=55</v>
      </c>
      <c r="J1598" s="4" t="str">
        <f ca="1">_xlfn.IFNA(VLOOKUP(INDIRECT("G"&amp;ROW()),minfo!$A:$M,COLUMN()-8,0),"")</f>
        <v>给电影人的情书</v>
      </c>
      <c r="K1598" s="4" t="str">
        <f ca="1">_xlfn.IFNA(VLOOKUP(INDIRECT("G"&amp;ROW()),minfo!$A:$M,COLUMN()-8,0),"")</f>
        <v>蔡琴</v>
      </c>
      <c r="L1598" s="4">
        <f ca="1">_xlfn.IFNA(VLOOKUP(INDIRECT("G"&amp;ROW()),minfo!$A:$M,COLUMN()-8,0),"")</f>
        <v>0</v>
      </c>
      <c r="M1598" s="4">
        <f ca="1">_xlfn.IFNA(VLOOKUP(INDIRECT("G"&amp;ROW()),minfo!$A:$M,COLUMN()-8,0),"")</f>
        <v>0</v>
      </c>
      <c r="N1598" s="4">
        <f ca="1">_xlfn.IFNA(VLOOKUP(INDIRECT("G"&amp;ROW()),minfo!$A:$M,COLUMN()-8,0),"")</f>
        <v>0</v>
      </c>
      <c r="O1598" s="4" t="str">
        <f ca="1">_xlfn.IFNA(VLOOKUP(INDIRECT("G"&amp;ROW()),minfo!$A:$M,COLUMN()-8,0),"")</f>
        <v>https://i0.hdslb.com/bfs/station_src/music_metadata/5a642b125d5c75496a65d82a8b356a5f.jpg</v>
      </c>
      <c r="P1598" s="4" t="str">
        <f ca="1">_xlfn.IFNA(VLOOKUP(INDIRECT("G"&amp;ROW()),minfo!$A:$M,COLUMN()-8,0),"")</f>
        <v>http://i0.hdslb.com/bfs/station_src/music_metadata/b70311934da8d72b044401d31b44294e</v>
      </c>
      <c r="Q1598" s="4">
        <f ca="1">_xlfn.IFNA(VLOOKUP(INDIRECT("G"&amp;ROW()),minfo!$A:$M,COLUMN()-8,0),"")</f>
        <v>192</v>
      </c>
      <c r="R1598" s="4">
        <f ca="1">_xlfn.IFNA(VLOOKUP(INDIRECT("G"&amp;ROW()),minfo!$A:$M,COLUMN()-8,0),"")</f>
        <v>0</v>
      </c>
      <c r="S1598" s="4" t="str">
        <f ca="1">_xlfn.IFNA(VLOOKUP(INDIRECT("G"&amp;ROW()),minfo!$A:$M,COLUMN()-8,0),"")</f>
        <v>不悔</v>
      </c>
      <c r="T1598" s="4">
        <f ca="1">_xlfn.IFNA(VLOOKUP(INDIRECT("G"&amp;ROW()),minfo!$A:$M,COLUMN()-8,0),"")</f>
        <v>47527216</v>
      </c>
      <c r="U1598" s="4">
        <f ca="1">_xlfn.IFNA(VLOOKUP(INDIRECT("G"&amp;ROW()),minfo!$A:$M,COLUMN()-8,0),"")</f>
        <v>0</v>
      </c>
    </row>
    <row r="1599" spans="1:21" ht="15.75" customHeight="1">
      <c r="A1599" s="15">
        <v>1598</v>
      </c>
      <c r="B1599" s="4" t="s">
        <v>5234</v>
      </c>
      <c r="C1599" s="4">
        <v>1599</v>
      </c>
      <c r="D1599" s="4">
        <v>56</v>
      </c>
      <c r="E1599" s="4" t="s">
        <v>530</v>
      </c>
      <c r="F1599" s="16">
        <v>44197</v>
      </c>
      <c r="G1599" s="5" t="s">
        <v>529</v>
      </c>
      <c r="H1599" s="5" t="s">
        <v>5178</v>
      </c>
      <c r="I1599" s="24" t="str">
        <f>HYPERLINK("https://www.bilibili.com/video/BV1kQ4y1z7WD?p=56", "BV1kQ4y1z7WD?p=56")</f>
        <v>BV1kQ4y1z7WD?p=56</v>
      </c>
      <c r="J1599" s="4" t="str">
        <f ca="1">_xlfn.IFNA(VLOOKUP(INDIRECT("G"&amp;ROW()),minfo!$A:$M,COLUMN()-8,0),"")</f>
        <v>身骑白马</v>
      </c>
      <c r="K1599" s="4" t="str">
        <f ca="1">_xlfn.IFNA(VLOOKUP(INDIRECT("G"&amp;ROW()),minfo!$A:$M,COLUMN()-8,0),"")</f>
        <v>徐佳莹</v>
      </c>
      <c r="L1599" s="4">
        <f ca="1">_xlfn.IFNA(VLOOKUP(INDIRECT("G"&amp;ROW()),minfo!$A:$M,COLUMN()-8,0),"")</f>
        <v>0</v>
      </c>
      <c r="M1599" s="4">
        <f ca="1">_xlfn.IFNA(VLOOKUP(INDIRECT("G"&amp;ROW()),minfo!$A:$M,COLUMN()-8,0),"")</f>
        <v>0</v>
      </c>
      <c r="N1599" s="4">
        <f ca="1">_xlfn.IFNA(VLOOKUP(INDIRECT("G"&amp;ROW()),minfo!$A:$M,COLUMN()-8,0),"")</f>
        <v>0</v>
      </c>
      <c r="O1599" s="4" t="str">
        <f ca="1">_xlfn.IFNA(VLOOKUP(INDIRECT("G"&amp;ROW()),minfo!$A:$M,COLUMN()-8,0),"")</f>
        <v>http://i0.hdslb.com/bfs/station_src/music_metadata/5309866334d8550fdb4abccc389a5193.jpg</v>
      </c>
      <c r="P1599" s="4" t="str">
        <f ca="1">_xlfn.IFNA(VLOOKUP(INDIRECT("G"&amp;ROW()),minfo!$A:$M,COLUMN()-8,0),"")</f>
        <v>http://i0.hdslb.com/bfs/station_src/music_metadata/54d4cd6cf66cfb9eadbebde296a31478</v>
      </c>
      <c r="Q1599" s="4">
        <f ca="1">_xlfn.IFNA(VLOOKUP(INDIRECT("G"&amp;ROW()),minfo!$A:$M,COLUMN()-8,0),"")</f>
        <v>1245</v>
      </c>
      <c r="R1599" s="4">
        <f ca="1">_xlfn.IFNA(VLOOKUP(INDIRECT("G"&amp;ROW()),minfo!$A:$M,COLUMN()-8,0),"")</f>
        <v>0</v>
      </c>
      <c r="S1599" s="4" t="str">
        <f ca="1">_xlfn.IFNA(VLOOKUP(INDIRECT("G"&amp;ROW()),minfo!$A:$M,COLUMN()-8,0),"")</f>
        <v>LaLa首张创作专辑</v>
      </c>
      <c r="T1599" s="4">
        <f ca="1">_xlfn.IFNA(VLOOKUP(INDIRECT("G"&amp;ROW()),minfo!$A:$M,COLUMN()-8,0),"")</f>
        <v>198103765</v>
      </c>
      <c r="U1599" s="4" t="str">
        <f ca="1">_xlfn.IFNA(VLOOKUP(INDIRECT("G"&amp;ROW()),minfo!$A:$M,COLUMN()-8,0),"")</f>
        <v>音乐榜最高NO.10</v>
      </c>
    </row>
    <row r="1600" spans="1:21" ht="15.75" customHeight="1">
      <c r="A1600" s="15">
        <v>1599</v>
      </c>
      <c r="B1600" s="4" t="s">
        <v>5235</v>
      </c>
      <c r="C1600" s="4">
        <v>1600</v>
      </c>
      <c r="D1600" s="4">
        <v>57</v>
      </c>
      <c r="E1600" s="4" t="s">
        <v>1569</v>
      </c>
      <c r="F1600" s="16">
        <v>44197</v>
      </c>
      <c r="G1600" s="5" t="s">
        <v>1568</v>
      </c>
      <c r="H1600" s="5" t="s">
        <v>5178</v>
      </c>
      <c r="I1600" s="24" t="str">
        <f>HYPERLINK("https://www.bilibili.com/video/BV1kQ4y1z7WD?p=57", "BV1kQ4y1z7WD?p=57")</f>
        <v>BV1kQ4y1z7WD?p=57</v>
      </c>
      <c r="J1600" s="4" t="str">
        <f ca="1">_xlfn.IFNA(VLOOKUP(INDIRECT("G"&amp;ROW()),minfo!$A:$M,COLUMN()-8,0),"")</f>
        <v>风月</v>
      </c>
      <c r="K1600" s="4" t="str">
        <f ca="1">_xlfn.IFNA(VLOOKUP(INDIRECT("G"&amp;ROW()),minfo!$A:$M,COLUMN()-8,0),"")</f>
        <v>黄龄</v>
      </c>
      <c r="L1600" s="4">
        <f ca="1">_xlfn.IFNA(VLOOKUP(INDIRECT("G"&amp;ROW()),minfo!$A:$M,COLUMN()-8,0),"")</f>
        <v>0</v>
      </c>
      <c r="M1600" s="4">
        <f ca="1">_xlfn.IFNA(VLOOKUP(INDIRECT("G"&amp;ROW()),minfo!$A:$M,COLUMN()-8,0),"")</f>
        <v>0</v>
      </c>
      <c r="N1600" s="4">
        <f ca="1">_xlfn.IFNA(VLOOKUP(INDIRECT("G"&amp;ROW()),minfo!$A:$M,COLUMN()-8,0),"")</f>
        <v>0</v>
      </c>
      <c r="O1600" s="4" t="str">
        <f ca="1">_xlfn.IFNA(VLOOKUP(INDIRECT("G"&amp;ROW()),minfo!$A:$M,COLUMN()-8,0),"")</f>
        <v>https://i0.hdslb.com/bfs/station_src/music_metadata/874d427c68cbd11ec3a0c97a238991cf.jpg</v>
      </c>
      <c r="P1600" s="4">
        <f ca="1">_xlfn.IFNA(VLOOKUP(INDIRECT("G"&amp;ROW()),minfo!$A:$M,COLUMN()-8,0),"")</f>
        <v>0</v>
      </c>
      <c r="Q1600" s="4">
        <f ca="1">_xlfn.IFNA(VLOOKUP(INDIRECT("G"&amp;ROW()),minfo!$A:$M,COLUMN()-8,0),"")</f>
        <v>778</v>
      </c>
      <c r="R1600" s="4">
        <f ca="1">_xlfn.IFNA(VLOOKUP(INDIRECT("G"&amp;ROW()),minfo!$A:$M,COLUMN()-8,0),"")</f>
        <v>0</v>
      </c>
      <c r="S1600" s="4" t="str">
        <f ca="1">_xlfn.IFNA(VLOOKUP(INDIRECT("G"&amp;ROW()),minfo!$A:$M,COLUMN()-8,0),"")</f>
        <v>2020最美的夜 bilibili晚会</v>
      </c>
      <c r="T1600" s="4">
        <f ca="1">_xlfn.IFNA(VLOOKUP(INDIRECT("G"&amp;ROW()),minfo!$A:$M,COLUMN()-8,0),"")</f>
        <v>174632458</v>
      </c>
      <c r="U1600" s="4">
        <f ca="1">_xlfn.IFNA(VLOOKUP(INDIRECT("G"&amp;ROW()),minfo!$A:$M,COLUMN()-8,0),"")</f>
        <v>0</v>
      </c>
    </row>
    <row r="1601" spans="1:21" ht="15.75" customHeight="1">
      <c r="A1601" s="15">
        <v>1600</v>
      </c>
      <c r="B1601" s="4" t="s">
        <v>5236</v>
      </c>
      <c r="C1601" s="4">
        <v>1601</v>
      </c>
      <c r="D1601" s="4">
        <v>58</v>
      </c>
      <c r="E1601" s="4" t="s">
        <v>5237</v>
      </c>
      <c r="F1601" s="16">
        <v>44197</v>
      </c>
      <c r="G1601" s="5" t="s">
        <v>853</v>
      </c>
      <c r="H1601" s="5" t="s">
        <v>5178</v>
      </c>
      <c r="I1601" s="24" t="str">
        <f>HYPERLINK("https://www.bilibili.com/video/BV1kQ4y1z7WD?p=58", "BV1kQ4y1z7WD?p=58")</f>
        <v>BV1kQ4y1z7WD?p=58</v>
      </c>
      <c r="J1601" s="4" t="str">
        <f ca="1">_xlfn.IFNA(VLOOKUP(INDIRECT("G"&amp;ROW()),minfo!$A:$M,COLUMN()-8,0),"")</f>
        <v>九儿</v>
      </c>
      <c r="K1601" s="4" t="str">
        <f ca="1">_xlfn.IFNA(VLOOKUP(INDIRECT("G"&amp;ROW()),minfo!$A:$M,COLUMN()-8,0),"")</f>
        <v>韩红</v>
      </c>
      <c r="L1601" s="4">
        <f ca="1">_xlfn.IFNA(VLOOKUP(INDIRECT("G"&amp;ROW()),minfo!$A:$M,COLUMN()-8,0),"")</f>
        <v>0</v>
      </c>
      <c r="M1601" s="4">
        <f ca="1">_xlfn.IFNA(VLOOKUP(INDIRECT("G"&amp;ROW()),minfo!$A:$M,COLUMN()-8,0),"")</f>
        <v>0</v>
      </c>
      <c r="N1601" s="4">
        <f ca="1">_xlfn.IFNA(VLOOKUP(INDIRECT("G"&amp;ROW()),minfo!$A:$M,COLUMN()-8,0),"")</f>
        <v>0</v>
      </c>
      <c r="O1601" s="4" t="str">
        <f ca="1">_xlfn.IFNA(VLOOKUP(INDIRECT("G"&amp;ROW()),minfo!$A:$M,COLUMN()-8,0),"")</f>
        <v>http://i0.hdslb.com/bfs/station_src/music_metadata/4b1235563c7c1ddf528cbdad350afb65.jpg</v>
      </c>
      <c r="P1601" s="4" t="str">
        <f ca="1">_xlfn.IFNA(VLOOKUP(INDIRECT("G"&amp;ROW()),minfo!$A:$M,COLUMN()-8,0),"")</f>
        <v>http://i0.hdslb.com/bfs/station_src/music_metadata/4de1f7be8adf439f12c97751ef8d1383</v>
      </c>
      <c r="Q1601" s="4">
        <f ca="1">_xlfn.IFNA(VLOOKUP(INDIRECT("G"&amp;ROW()),minfo!$A:$M,COLUMN()-8,0),"")</f>
        <v>357</v>
      </c>
      <c r="R1601" s="4" t="str">
        <f ca="1">_xlfn.IFNA(VLOOKUP(INDIRECT("G"&amp;ROW()),minfo!$A:$M,COLUMN()-8,0),"")</f>
        <v>《红高粱》电视剧主题曲</v>
      </c>
      <c r="S1601" s="4" t="str">
        <f ca="1">_xlfn.IFNA(VLOOKUP(INDIRECT("G"&amp;ROW()),minfo!$A:$M,COLUMN()-8,0),"")</f>
        <v>红高粱 电视剧原声带</v>
      </c>
      <c r="T1601" s="4">
        <f ca="1">_xlfn.IFNA(VLOOKUP(INDIRECT("G"&amp;ROW()),minfo!$A:$M,COLUMN()-8,0),"")</f>
        <v>173322581</v>
      </c>
      <c r="U1601" s="4">
        <f ca="1">_xlfn.IFNA(VLOOKUP(INDIRECT("G"&amp;ROW()),minfo!$A:$M,COLUMN()-8,0),"")</f>
        <v>0</v>
      </c>
    </row>
    <row r="1602" spans="1:21" ht="15.75" customHeight="1">
      <c r="A1602" s="15">
        <v>1601</v>
      </c>
      <c r="B1602" s="4" t="s">
        <v>5238</v>
      </c>
      <c r="C1602" s="4">
        <v>1602</v>
      </c>
      <c r="D1602" s="4">
        <v>59</v>
      </c>
      <c r="E1602" s="4" t="s">
        <v>2082</v>
      </c>
      <c r="F1602" s="16">
        <v>44197</v>
      </c>
      <c r="G1602" s="5" t="s">
        <v>2081</v>
      </c>
      <c r="H1602" s="5" t="s">
        <v>5178</v>
      </c>
      <c r="I1602" s="24" t="str">
        <f>HYPERLINK("https://www.bilibili.com/video/BV1kQ4y1z7WD?p=59", "BV1kQ4y1z7WD?p=59")</f>
        <v>BV1kQ4y1z7WD?p=59</v>
      </c>
      <c r="J1602" s="4" t="str">
        <f ca="1">_xlfn.IFNA(VLOOKUP(INDIRECT("G"&amp;ROW()),minfo!$A:$M,COLUMN()-8,0),"")</f>
        <v>依然爱你</v>
      </c>
      <c r="K1602" s="4" t="str">
        <f ca="1">_xlfn.IFNA(VLOOKUP(INDIRECT("G"&amp;ROW()),minfo!$A:$M,COLUMN()-8,0),"")</f>
        <v>韩宝仪</v>
      </c>
      <c r="L1602" s="4">
        <f ca="1">_xlfn.IFNA(VLOOKUP(INDIRECT("G"&amp;ROW()),minfo!$A:$M,COLUMN()-8,0),"")</f>
        <v>0</v>
      </c>
      <c r="M1602" s="4">
        <f ca="1">_xlfn.IFNA(VLOOKUP(INDIRECT("G"&amp;ROW()),minfo!$A:$M,COLUMN()-8,0),"")</f>
        <v>0</v>
      </c>
      <c r="N1602" s="4">
        <f ca="1">_xlfn.IFNA(VLOOKUP(INDIRECT("G"&amp;ROW()),minfo!$A:$M,COLUMN()-8,0),"")</f>
        <v>0</v>
      </c>
      <c r="O1602" s="4" t="str">
        <f ca="1">_xlfn.IFNA(VLOOKUP(INDIRECT("G"&amp;ROW()),minfo!$A:$M,COLUMN()-8,0),"")</f>
        <v>https://i0.hdslb.com/bfs/station_src/music_metadata/242392b0da3fcaa10a3784f95a249902.jpg</v>
      </c>
      <c r="P1602" s="4" t="str">
        <f ca="1">_xlfn.IFNA(VLOOKUP(INDIRECT("G"&amp;ROW()),minfo!$A:$M,COLUMN()-8,0),"")</f>
        <v>http://i0.hdslb.com/bfs/station_src/music_metadata/949caec540a59346f0baa126ef4029c8</v>
      </c>
      <c r="Q1602" s="4">
        <f ca="1">_xlfn.IFNA(VLOOKUP(INDIRECT("G"&amp;ROW()),minfo!$A:$M,COLUMN()-8,0),"")</f>
        <v>34</v>
      </c>
      <c r="R1602" s="4">
        <f ca="1">_xlfn.IFNA(VLOOKUP(INDIRECT("G"&amp;ROW()),minfo!$A:$M,COLUMN()-8,0),"")</f>
        <v>0</v>
      </c>
      <c r="S1602" s="4" t="str">
        <f ca="1">_xlfn.IFNA(VLOOKUP(INDIRECT("G"&amp;ROW()),minfo!$A:$M,COLUMN()-8,0),"")</f>
        <v>又见宝仪</v>
      </c>
      <c r="T1602" s="4">
        <f ca="1">_xlfn.IFNA(VLOOKUP(INDIRECT("G"&amp;ROW()),minfo!$A:$M,COLUMN()-8,0),"")</f>
        <v>46570561</v>
      </c>
      <c r="U1602" s="4">
        <f ca="1">_xlfn.IFNA(VLOOKUP(INDIRECT("G"&amp;ROW()),minfo!$A:$M,COLUMN()-8,0),"")</f>
        <v>0</v>
      </c>
    </row>
    <row r="1603" spans="1:21" ht="15.75" customHeight="1">
      <c r="A1603" s="15">
        <v>1602</v>
      </c>
      <c r="B1603" s="4" t="s">
        <v>5239</v>
      </c>
      <c r="C1603" s="4">
        <v>1603</v>
      </c>
      <c r="D1603" s="4">
        <v>60</v>
      </c>
      <c r="E1603" s="4" t="s">
        <v>1585</v>
      </c>
      <c r="F1603" s="16">
        <v>44197</v>
      </c>
      <c r="G1603" s="5" t="s">
        <v>1584</v>
      </c>
      <c r="H1603" s="5" t="s">
        <v>5178</v>
      </c>
      <c r="I1603" s="24" t="str">
        <f>HYPERLINK("https://www.bilibili.com/video/BV1kQ4y1z7WD?p=60", "BV1kQ4y1z7WD?p=60")</f>
        <v>BV1kQ4y1z7WD?p=60</v>
      </c>
      <c r="J1603" s="4" t="str">
        <f ca="1">_xlfn.IFNA(VLOOKUP(INDIRECT("G"&amp;ROW()),minfo!$A:$M,COLUMN()-8,0),"")</f>
        <v>月牙湾</v>
      </c>
      <c r="K1603" s="4" t="str">
        <f ca="1">_xlfn.IFNA(VLOOKUP(INDIRECT("G"&amp;ROW()),minfo!$A:$M,COLUMN()-8,0),"")</f>
        <v>飞儿乐队</v>
      </c>
      <c r="L1603" s="4">
        <f ca="1">_xlfn.IFNA(VLOOKUP(INDIRECT("G"&amp;ROW()),minfo!$A:$M,COLUMN()-8,0),"")</f>
        <v>0</v>
      </c>
      <c r="M1603" s="4">
        <f ca="1">_xlfn.IFNA(VLOOKUP(INDIRECT("G"&amp;ROW()),minfo!$A:$M,COLUMN()-8,0),"")</f>
        <v>0</v>
      </c>
      <c r="N1603" s="4">
        <f ca="1">_xlfn.IFNA(VLOOKUP(INDIRECT("G"&amp;ROW()),minfo!$A:$M,COLUMN()-8,0),"")</f>
        <v>0</v>
      </c>
      <c r="O1603" s="4" t="str">
        <f ca="1">_xlfn.IFNA(VLOOKUP(INDIRECT("G"&amp;ROW()),minfo!$A:$M,COLUMN()-8,0),"")</f>
        <v>https://i0.hdslb.com/bfs/station_src/music_metadata/4d030f96fbe202f9504add491a690ace.jpg</v>
      </c>
      <c r="P1603" s="4" t="str">
        <f ca="1">_xlfn.IFNA(VLOOKUP(INDIRECT("G"&amp;ROW()),minfo!$A:$M,COLUMN()-8,0),"")</f>
        <v>http://i0.hdslb.com/bfs/station_src/music_metadata/b5eef77c8e09fe891a2c85dda279ee2c</v>
      </c>
      <c r="Q1603" s="4">
        <f ca="1">_xlfn.IFNA(VLOOKUP(INDIRECT("G"&amp;ROW()),minfo!$A:$M,COLUMN()-8,0),"")</f>
        <v>1119</v>
      </c>
      <c r="R1603" s="4">
        <f ca="1">_xlfn.IFNA(VLOOKUP(INDIRECT("G"&amp;ROW()),minfo!$A:$M,COLUMN()-8,0),"")</f>
        <v>0</v>
      </c>
      <c r="S1603" s="4" t="str">
        <f ca="1">_xlfn.IFNA(VLOOKUP(INDIRECT("G"&amp;ROW()),minfo!$A:$M,COLUMN()-8,0),"")</f>
        <v>爱‧歌姬</v>
      </c>
      <c r="T1603" s="4">
        <f ca="1">_xlfn.IFNA(VLOOKUP(INDIRECT("G"&amp;ROW()),minfo!$A:$M,COLUMN()-8,0),"")</f>
        <v>217542753</v>
      </c>
      <c r="U1603" s="4">
        <f ca="1">_xlfn.IFNA(VLOOKUP(INDIRECT("G"&amp;ROW()),minfo!$A:$M,COLUMN()-8,0),"")</f>
        <v>0</v>
      </c>
    </row>
    <row r="1604" spans="1:21" ht="15.75" customHeight="1">
      <c r="A1604" s="15">
        <v>1603</v>
      </c>
      <c r="B1604" s="4" t="s">
        <v>5240</v>
      </c>
      <c r="C1604" s="4">
        <v>1604</v>
      </c>
      <c r="D1604" s="4">
        <v>61</v>
      </c>
      <c r="E1604" s="4" t="s">
        <v>523</v>
      </c>
      <c r="F1604" s="16">
        <v>44197</v>
      </c>
      <c r="G1604" s="5" t="s">
        <v>522</v>
      </c>
      <c r="H1604" s="5" t="s">
        <v>5178</v>
      </c>
      <c r="I1604" s="24" t="str">
        <f>HYPERLINK("https://www.bilibili.com/video/BV1kQ4y1z7WD?p=61", "BV1kQ4y1z7WD?p=61")</f>
        <v>BV1kQ4y1z7WD?p=61</v>
      </c>
      <c r="J1604" s="4" t="str">
        <f ca="1">_xlfn.IFNA(VLOOKUP(INDIRECT("G"&amp;ROW()),minfo!$A:$M,COLUMN()-8,0),"")</f>
        <v>不醉不会</v>
      </c>
      <c r="K1604" s="4" t="str">
        <f ca="1">_xlfn.IFNA(VLOOKUP(INDIRECT("G"&amp;ROW()),minfo!$A:$M,COLUMN()-8,0),"")</f>
        <v>田馥甄</v>
      </c>
      <c r="L1604" s="4">
        <f ca="1">_xlfn.IFNA(VLOOKUP(INDIRECT("G"&amp;ROW()),minfo!$A:$M,COLUMN()-8,0),"")</f>
        <v>0</v>
      </c>
      <c r="M1604" s="4">
        <f ca="1">_xlfn.IFNA(VLOOKUP(INDIRECT("G"&amp;ROW()),minfo!$A:$M,COLUMN()-8,0),"")</f>
        <v>0</v>
      </c>
      <c r="N1604" s="4">
        <f ca="1">_xlfn.IFNA(VLOOKUP(INDIRECT("G"&amp;ROW()),minfo!$A:$M,COLUMN()-8,0),"")</f>
        <v>0</v>
      </c>
      <c r="O1604" s="4" t="str">
        <f ca="1">_xlfn.IFNA(VLOOKUP(INDIRECT("G"&amp;ROW()),minfo!$A:$M,COLUMN()-8,0),"")</f>
        <v>https://i0.hdslb.com/bfs/station_src/music_metadata/89dd3a7fe31b05442c9ebecb6692d9c6.jpg</v>
      </c>
      <c r="P1604" s="4" t="str">
        <f ca="1">_xlfn.IFNA(VLOOKUP(INDIRECT("G"&amp;ROW()),minfo!$A:$M,COLUMN()-8,0),"")</f>
        <v>http://i0.hdslb.com/bfs/station_src/music_metadata/e538f424a7bb1b824c88467288129a7b</v>
      </c>
      <c r="Q1604" s="4">
        <f ca="1">_xlfn.IFNA(VLOOKUP(INDIRECT("G"&amp;ROW()),minfo!$A:$M,COLUMN()-8,0),"")</f>
        <v>46</v>
      </c>
      <c r="R1604" s="4" t="str">
        <f ca="1">_xlfn.IFNA(VLOOKUP(INDIRECT("G"&amp;ROW()),minfo!$A:$M,COLUMN()-8,0),"")</f>
        <v>《没有名字的甜点店》电视剧主题曲</v>
      </c>
      <c r="S1604" s="4" t="str">
        <f ca="1">_xlfn.IFNA(VLOOKUP(INDIRECT("G"&amp;ROW()),minfo!$A:$M,COLUMN()-8,0),"")</f>
        <v>渺小</v>
      </c>
      <c r="T1604" s="4">
        <f ca="1">_xlfn.IFNA(VLOOKUP(INDIRECT("G"&amp;ROW()),minfo!$A:$M,COLUMN()-8,0),"")</f>
        <v>22119844</v>
      </c>
      <c r="U1604" s="4">
        <f ca="1">_xlfn.IFNA(VLOOKUP(INDIRECT("G"&amp;ROW()),minfo!$A:$M,COLUMN()-8,0),"")</f>
        <v>0</v>
      </c>
    </row>
    <row r="1605" spans="1:21" ht="15.75" customHeight="1">
      <c r="A1605" s="15">
        <v>1604</v>
      </c>
      <c r="B1605" s="4" t="s">
        <v>5241</v>
      </c>
      <c r="C1605" s="4">
        <v>1605</v>
      </c>
      <c r="D1605" s="4">
        <v>62</v>
      </c>
      <c r="E1605" s="4" t="s">
        <v>1703</v>
      </c>
      <c r="F1605" s="16">
        <v>44197</v>
      </c>
      <c r="G1605" s="5" t="s">
        <v>1702</v>
      </c>
      <c r="H1605" s="5" t="s">
        <v>5178</v>
      </c>
      <c r="I1605" s="24" t="str">
        <f>HYPERLINK("https://www.bilibili.com/video/BV1kQ4y1z7WD?p=62", "BV1kQ4y1z7WD?p=62")</f>
        <v>BV1kQ4y1z7WD?p=62</v>
      </c>
      <c r="J1605" s="4" t="str">
        <f ca="1">_xlfn.IFNA(VLOOKUP(INDIRECT("G"&amp;ROW()),minfo!$A:$M,COLUMN()-8,0),"")</f>
        <v>无人知晓</v>
      </c>
      <c r="K1605" s="4" t="str">
        <f ca="1">_xlfn.IFNA(VLOOKUP(INDIRECT("G"&amp;ROW()),minfo!$A:$M,COLUMN()-8,0),"")</f>
        <v>吴萌,谢馨哲,田馥甄,葛大为</v>
      </c>
      <c r="L1605" s="4">
        <f ca="1">_xlfn.IFNA(VLOOKUP(INDIRECT("G"&amp;ROW()),minfo!$A:$M,COLUMN()-8,0),"")</f>
        <v>0</v>
      </c>
      <c r="M1605" s="4">
        <f ca="1">_xlfn.IFNA(VLOOKUP(INDIRECT("G"&amp;ROW()),minfo!$A:$M,COLUMN()-8,0),"")</f>
        <v>0</v>
      </c>
      <c r="N1605" s="4">
        <f ca="1">_xlfn.IFNA(VLOOKUP(INDIRECT("G"&amp;ROW()),minfo!$A:$M,COLUMN()-8,0),"")</f>
        <v>0</v>
      </c>
      <c r="O1605" s="4" t="str">
        <f ca="1">_xlfn.IFNA(VLOOKUP(INDIRECT("G"&amp;ROW()),minfo!$A:$M,COLUMN()-8,0),"")</f>
        <v>https://i0.hdslb.com/bfs/station_src/music_metadata/704d1b1de81203cb3373876c09643308.jpg</v>
      </c>
      <c r="P1605" s="4" t="str">
        <f ca="1">_xlfn.IFNA(VLOOKUP(INDIRECT("G"&amp;ROW()),minfo!$A:$M,COLUMN()-8,0),"")</f>
        <v>http://i0.hdslb.com/bfs/station_src/music_metadata/93f8007479900becc71f2f06effb6990</v>
      </c>
      <c r="Q1605" s="4">
        <f ca="1">_xlfn.IFNA(VLOOKUP(INDIRECT("G"&amp;ROW()),minfo!$A:$M,COLUMN()-8,0),"")</f>
        <v>68</v>
      </c>
      <c r="R1605" s="4" t="str">
        <f ca="1">_xlfn.IFNA(VLOOKUP(INDIRECT("G"&amp;ROW()),minfo!$A:$M,COLUMN()-8,0),"")</f>
        <v>" 吴萌""]</v>
      </c>
      <c r="S1605" s="4" t="str">
        <f ca="1">_xlfn.IFNA(VLOOKUP(INDIRECT("G"&amp;ROW()),minfo!$A:$M,COLUMN()-8,0),"")</f>
        <v>无人知晓</v>
      </c>
      <c r="T1605" s="4">
        <f ca="1">_xlfn.IFNA(VLOOKUP(INDIRECT("G"&amp;ROW()),minfo!$A:$M,COLUMN()-8,0),"")</f>
        <v>7299841</v>
      </c>
      <c r="U1605" s="4">
        <f ca="1">_xlfn.IFNA(VLOOKUP(INDIRECT("G"&amp;ROW()),minfo!$A:$M,COLUMN()-8,0),"")</f>
        <v>0</v>
      </c>
    </row>
    <row r="1606" spans="1:21" ht="15.75" customHeight="1">
      <c r="A1606" s="15">
        <v>1605</v>
      </c>
      <c r="B1606" s="4" t="s">
        <v>5242</v>
      </c>
      <c r="C1606" s="4">
        <v>1606</v>
      </c>
      <c r="D1606" s="4">
        <v>63</v>
      </c>
      <c r="E1606" s="4" t="s">
        <v>5243</v>
      </c>
      <c r="F1606" s="16">
        <v>44197</v>
      </c>
      <c r="G1606" s="5" t="s">
        <v>35</v>
      </c>
      <c r="H1606" s="5" t="s">
        <v>5178</v>
      </c>
      <c r="I1606" s="24" t="str">
        <f>HYPERLINK("https://www.bilibili.com/video/BV1kQ4y1z7WD?p=63", "BV1kQ4y1z7WD?p=63")</f>
        <v>BV1kQ4y1z7WD?p=63</v>
      </c>
      <c r="J1606" s="4" t="str">
        <f ca="1">_xlfn.IFNA(VLOOKUP(INDIRECT("G"&amp;ROW()),minfo!$A:$M,COLUMN()-8,0),"")</f>
        <v>刻在我心底的名字</v>
      </c>
      <c r="K1606" s="4" t="str">
        <f ca="1">_xlfn.IFNA(VLOOKUP(INDIRECT("G"&amp;ROW()),minfo!$A:$M,COLUMN()-8,0),"")</f>
        <v>卢广仲</v>
      </c>
      <c r="L1606" s="4">
        <f ca="1">_xlfn.IFNA(VLOOKUP(INDIRECT("G"&amp;ROW()),minfo!$A:$M,COLUMN()-8,0),"")</f>
        <v>0</v>
      </c>
      <c r="M1606" s="4">
        <f ca="1">_xlfn.IFNA(VLOOKUP(INDIRECT("G"&amp;ROW()),minfo!$A:$M,COLUMN()-8,0),"")</f>
        <v>0</v>
      </c>
      <c r="N1606" s="4">
        <f ca="1">_xlfn.IFNA(VLOOKUP(INDIRECT("G"&amp;ROW()),minfo!$A:$M,COLUMN()-8,0),"")</f>
        <v>0</v>
      </c>
      <c r="O1606" s="4" t="str">
        <f ca="1">_xlfn.IFNA(VLOOKUP(INDIRECT("G"&amp;ROW()),minfo!$A:$M,COLUMN()-8,0),"")</f>
        <v>http://i0.hdslb.com/bfs/station_src/music_metadata/37ea3e391ee95afdcce1b5218d7a6b89.jpg</v>
      </c>
      <c r="P1606" s="4" t="str">
        <f ca="1">_xlfn.IFNA(VLOOKUP(INDIRECT("G"&amp;ROW()),minfo!$A:$M,COLUMN()-8,0),"")</f>
        <v>http://i0.hdslb.com/bfs/station_src/music_metadata/5a0249850c66fe79f1f63995afb75828</v>
      </c>
      <c r="Q1606" s="4">
        <f ca="1">_xlfn.IFNA(VLOOKUP(INDIRECT("G"&amp;ROW()),minfo!$A:$M,COLUMN()-8,0),"")</f>
        <v>938</v>
      </c>
      <c r="R1606" s="4">
        <f ca="1">_xlfn.IFNA(VLOOKUP(INDIRECT("G"&amp;ROW()),minfo!$A:$M,COLUMN()-8,0),"")</f>
        <v>0</v>
      </c>
      <c r="S1606" s="4" t="str">
        <f ca="1">_xlfn.IFNA(VLOOKUP(INDIRECT("G"&amp;ROW()),minfo!$A:$M,COLUMN()-8,0),"")</f>
        <v>刻在我心底的名字</v>
      </c>
      <c r="T1606" s="4">
        <f ca="1">_xlfn.IFNA(VLOOKUP(INDIRECT("G"&amp;ROW()),minfo!$A:$M,COLUMN()-8,0),"")</f>
        <v>127569700</v>
      </c>
      <c r="U1606" s="4">
        <f ca="1">_xlfn.IFNA(VLOOKUP(INDIRECT("G"&amp;ROW()),minfo!$A:$M,COLUMN()-8,0),"")</f>
        <v>0</v>
      </c>
    </row>
    <row r="1607" spans="1:21" ht="15.75" customHeight="1">
      <c r="A1607" s="15">
        <v>1606</v>
      </c>
      <c r="B1607" s="4" t="s">
        <v>5244</v>
      </c>
      <c r="C1607" s="4">
        <v>1607</v>
      </c>
      <c r="D1607" s="4">
        <v>64</v>
      </c>
      <c r="E1607" s="4" t="s">
        <v>5245</v>
      </c>
      <c r="F1607" s="16">
        <v>44197</v>
      </c>
      <c r="G1607" s="5" t="s">
        <v>1077</v>
      </c>
      <c r="H1607" s="5" t="s">
        <v>5178</v>
      </c>
      <c r="I1607" s="24" t="str">
        <f>HYPERLINK("https://www.bilibili.com/video/BV1kQ4y1z7WD?p=64", "BV1kQ4y1z7WD?p=64")</f>
        <v>BV1kQ4y1z7WD?p=64</v>
      </c>
      <c r="J1607" s="4" t="str">
        <f ca="1">_xlfn.IFNA(VLOOKUP(INDIRECT("G"&amp;ROW()),minfo!$A:$M,COLUMN()-8,0),"")</f>
        <v>最长的电影</v>
      </c>
      <c r="K1607" s="4" t="str">
        <f ca="1">_xlfn.IFNA(VLOOKUP(INDIRECT("G"&amp;ROW()),minfo!$A:$M,COLUMN()-8,0),"")</f>
        <v>周杰伦</v>
      </c>
      <c r="L1607" s="4">
        <f ca="1">_xlfn.IFNA(VLOOKUP(INDIRECT("G"&amp;ROW()),minfo!$A:$M,COLUMN()-8,0),"")</f>
        <v>0</v>
      </c>
      <c r="M1607" s="4">
        <f ca="1">_xlfn.IFNA(VLOOKUP(INDIRECT("G"&amp;ROW()),minfo!$A:$M,COLUMN()-8,0),"")</f>
        <v>0</v>
      </c>
      <c r="N1607" s="4">
        <f ca="1">_xlfn.IFNA(VLOOKUP(INDIRECT("G"&amp;ROW()),minfo!$A:$M,COLUMN()-8,0),"")</f>
        <v>0</v>
      </c>
      <c r="O1607" s="4" t="str">
        <f ca="1">_xlfn.IFNA(VLOOKUP(INDIRECT("G"&amp;ROW()),minfo!$A:$M,COLUMN()-8,0),"")</f>
        <v>https://i0.hdslb.com/bfs/station_src/music_metadata/7eaa1a96d6dc901ac8d38b532ba49f47.jpg</v>
      </c>
      <c r="P1607" s="4" t="str">
        <f ca="1">_xlfn.IFNA(VLOOKUP(INDIRECT("G"&amp;ROW()),minfo!$A:$M,COLUMN()-8,0),"")</f>
        <v>http://i0.hdslb.com/bfs/station_src/music_metadata/62e80a61723a09aff7da0f2c4f4612c9</v>
      </c>
      <c r="Q1607" s="4">
        <f ca="1">_xlfn.IFNA(VLOOKUP(INDIRECT("G"&amp;ROW()),minfo!$A:$M,COLUMN()-8,0),"")</f>
        <v>2026</v>
      </c>
      <c r="R1607" s="4">
        <f ca="1">_xlfn.IFNA(VLOOKUP(INDIRECT("G"&amp;ROW()),minfo!$A:$M,COLUMN()-8,0),"")</f>
        <v>0</v>
      </c>
      <c r="S1607" s="4" t="str">
        <f ca="1">_xlfn.IFNA(VLOOKUP(INDIRECT("G"&amp;ROW()),minfo!$A:$M,COLUMN()-8,0),"")</f>
        <v>我很忙</v>
      </c>
      <c r="T1607" s="4">
        <f ca="1">_xlfn.IFNA(VLOOKUP(INDIRECT("G"&amp;ROW()),minfo!$A:$M,COLUMN()-8,0),"")</f>
        <v>437092203</v>
      </c>
      <c r="U1607" s="4">
        <f ca="1">_xlfn.IFNA(VLOOKUP(INDIRECT("G"&amp;ROW()),minfo!$A:$M,COLUMN()-8,0),"")</f>
        <v>0</v>
      </c>
    </row>
    <row r="1608" spans="1:21" ht="15.75" customHeight="1">
      <c r="A1608" s="15">
        <v>1607</v>
      </c>
      <c r="B1608" s="4" t="s">
        <v>5246</v>
      </c>
      <c r="C1608" s="4">
        <v>1608</v>
      </c>
      <c r="D1608" s="4">
        <v>65</v>
      </c>
      <c r="E1608" s="4" t="s">
        <v>557</v>
      </c>
      <c r="F1608" s="16">
        <v>44197</v>
      </c>
      <c r="G1608" s="5" t="s">
        <v>556</v>
      </c>
      <c r="H1608" s="5" t="s">
        <v>5178</v>
      </c>
      <c r="I1608" s="24" t="str">
        <f>HYPERLINK("https://www.bilibili.com/video/BV1kQ4y1z7WD?p=65", "BV1kQ4y1z7WD?p=65")</f>
        <v>BV1kQ4y1z7WD?p=65</v>
      </c>
      <c r="J1608" s="4" t="str">
        <f ca="1">_xlfn.IFNA(VLOOKUP(INDIRECT("G"&amp;ROW()),minfo!$A:$M,COLUMN()-8,0),"")</f>
        <v>在那东山顶上</v>
      </c>
      <c r="K1608" s="4" t="str">
        <f ca="1">_xlfn.IFNA(VLOOKUP(INDIRECT("G"&amp;ROW()),minfo!$A:$M,COLUMN()-8,0),"")</f>
        <v>谭晶</v>
      </c>
      <c r="L1608" s="4">
        <f ca="1">_xlfn.IFNA(VLOOKUP(INDIRECT("G"&amp;ROW()),minfo!$A:$M,COLUMN()-8,0),"")</f>
        <v>0</v>
      </c>
      <c r="M1608" s="4">
        <f ca="1">_xlfn.IFNA(VLOOKUP(INDIRECT("G"&amp;ROW()),minfo!$A:$M,COLUMN()-8,0),"")</f>
        <v>0</v>
      </c>
      <c r="N1608" s="4">
        <f ca="1">_xlfn.IFNA(VLOOKUP(INDIRECT("G"&amp;ROW()),minfo!$A:$M,COLUMN()-8,0),"")</f>
        <v>0</v>
      </c>
      <c r="O1608" s="4" t="str">
        <f ca="1">_xlfn.IFNA(VLOOKUP(INDIRECT("G"&amp;ROW()),minfo!$A:$M,COLUMN()-8,0),"")</f>
        <v>https://i0.hdslb.com/bfs/station_src/music_metadata/59de415080268909059e7e45a48b31ec.jpg</v>
      </c>
      <c r="P1608" s="4" t="str">
        <f ca="1">_xlfn.IFNA(VLOOKUP(INDIRECT("G"&amp;ROW()),minfo!$A:$M,COLUMN()-8,0),"")</f>
        <v>https://i0.hdslb.com/bfs/station_src/music_metadata/eda2f54f706c4adaca6ef517d1b4f09d.txt</v>
      </c>
      <c r="Q1608" s="4">
        <f ca="1">_xlfn.IFNA(VLOOKUP(INDIRECT("G"&amp;ROW()),minfo!$A:$M,COLUMN()-8,0),"")</f>
        <v>6</v>
      </c>
      <c r="R1608" s="4">
        <f ca="1">_xlfn.IFNA(VLOOKUP(INDIRECT("G"&amp;ROW()),minfo!$A:$M,COLUMN()-8,0),"")</f>
        <v>0</v>
      </c>
      <c r="S1608" s="4" t="str">
        <f ca="1">_xlfn.IFNA(VLOOKUP(INDIRECT("G"&amp;ROW()),minfo!$A:$M,COLUMN()-8,0),"")</f>
        <v>龙图腾</v>
      </c>
      <c r="T1608" s="4">
        <f ca="1">_xlfn.IFNA(VLOOKUP(INDIRECT("G"&amp;ROW()),minfo!$A:$M,COLUMN()-8,0),"")</f>
        <v>6950668</v>
      </c>
      <c r="U1608" s="4">
        <f ca="1">_xlfn.IFNA(VLOOKUP(INDIRECT("G"&amp;ROW()),minfo!$A:$M,COLUMN()-8,0),"")</f>
        <v>0</v>
      </c>
    </row>
    <row r="1609" spans="1:21" ht="15.75" customHeight="1">
      <c r="A1609" s="15">
        <v>1608</v>
      </c>
      <c r="B1609" s="4" t="s">
        <v>5247</v>
      </c>
      <c r="C1609" s="4">
        <v>1609</v>
      </c>
      <c r="D1609" s="4">
        <v>66</v>
      </c>
      <c r="E1609" s="4" t="s">
        <v>2093</v>
      </c>
      <c r="F1609" s="16">
        <v>44197</v>
      </c>
      <c r="G1609" s="5" t="s">
        <v>2092</v>
      </c>
      <c r="H1609" s="5" t="s">
        <v>5178</v>
      </c>
      <c r="I1609" s="24" t="str">
        <f>HYPERLINK("https://www.bilibili.com/video/BV1kQ4y1z7WD?p=66", "BV1kQ4y1z7WD?p=66")</f>
        <v>BV1kQ4y1z7WD?p=66</v>
      </c>
      <c r="J1609" s="4" t="str">
        <f ca="1">_xlfn.IFNA(VLOOKUP(INDIRECT("G"&amp;ROW()),minfo!$A:$M,COLUMN()-8,0),"")</f>
        <v>女儿情</v>
      </c>
      <c r="K1609" s="4" t="str">
        <f ca="1">_xlfn.IFNA(VLOOKUP(INDIRECT("G"&amp;ROW()),minfo!$A:$M,COLUMN()-8,0),"")</f>
        <v>吴静</v>
      </c>
      <c r="L1609" s="4">
        <f ca="1">_xlfn.IFNA(VLOOKUP(INDIRECT("G"&amp;ROW()),minfo!$A:$M,COLUMN()-8,0),"")</f>
        <v>0</v>
      </c>
      <c r="M1609" s="4">
        <f ca="1">_xlfn.IFNA(VLOOKUP(INDIRECT("G"&amp;ROW()),minfo!$A:$M,COLUMN()-8,0),"")</f>
        <v>0</v>
      </c>
      <c r="N1609" s="4">
        <f ca="1">_xlfn.IFNA(VLOOKUP(INDIRECT("G"&amp;ROW()),minfo!$A:$M,COLUMN()-8,0),"")</f>
        <v>0</v>
      </c>
      <c r="O1609" s="4" t="str">
        <f ca="1">_xlfn.IFNA(VLOOKUP(INDIRECT("G"&amp;ROW()),minfo!$A:$M,COLUMN()-8,0),"")</f>
        <v>http://i0.hdslb.com/bfs/station_src/music_metadata/a2c00fd4066b56fa69f2043135e08f1b.jpg</v>
      </c>
      <c r="P1609" s="4" t="str">
        <f ca="1">_xlfn.IFNA(VLOOKUP(INDIRECT("G"&amp;ROW()),minfo!$A:$M,COLUMN()-8,0),"")</f>
        <v>http://i0.hdslb.com/bfs/station_src/music_metadata/35d43660f2b14e012718bd6fdbf5865c</v>
      </c>
      <c r="Q1609" s="4">
        <f ca="1">_xlfn.IFNA(VLOOKUP(INDIRECT("G"&amp;ROW()),minfo!$A:$M,COLUMN()-8,0),"")</f>
        <v>853</v>
      </c>
      <c r="R1609" s="4" t="str">
        <f ca="1">_xlfn.IFNA(VLOOKUP(INDIRECT("G"&amp;ROW()),minfo!$A:$M,COLUMN()-8,0),"")</f>
        <v>《西游记》电视剧插曲</v>
      </c>
      <c r="S1609" s="4" t="str">
        <f ca="1">_xlfn.IFNA(VLOOKUP(INDIRECT("G"&amp;ROW()),minfo!$A:$M,COLUMN()-8,0),"")</f>
        <v>西游记 电视剧原声带</v>
      </c>
      <c r="T1609" s="4">
        <f ca="1">_xlfn.IFNA(VLOOKUP(INDIRECT("G"&amp;ROW()),minfo!$A:$M,COLUMN()-8,0),"")</f>
        <v>299210152</v>
      </c>
      <c r="U1609" s="4">
        <f ca="1">_xlfn.IFNA(VLOOKUP(INDIRECT("G"&amp;ROW()),minfo!$A:$M,COLUMN()-8,0),"")</f>
        <v>0</v>
      </c>
    </row>
    <row r="1610" spans="1:21" ht="15.75" customHeight="1">
      <c r="A1610" s="15">
        <v>1609</v>
      </c>
      <c r="B1610" s="4" t="s">
        <v>5248</v>
      </c>
      <c r="C1610" s="4">
        <v>1610</v>
      </c>
      <c r="D1610" s="4">
        <v>67</v>
      </c>
      <c r="E1610" s="4" t="s">
        <v>477</v>
      </c>
      <c r="F1610" s="16">
        <v>44197</v>
      </c>
      <c r="G1610" s="5" t="s">
        <v>476</v>
      </c>
      <c r="H1610" s="5" t="s">
        <v>5178</v>
      </c>
      <c r="I1610" s="24" t="str">
        <f>HYPERLINK("https://www.bilibili.com/video/BV1kQ4y1z7WD?p=67", "BV1kQ4y1z7WD?p=67")</f>
        <v>BV1kQ4y1z7WD?p=67</v>
      </c>
      <c r="J1610" s="4" t="str">
        <f ca="1">_xlfn.IFNA(VLOOKUP(INDIRECT("G"&amp;ROW()),minfo!$A:$M,COLUMN()-8,0),"")</f>
        <v>我只在乎你</v>
      </c>
      <c r="K1610" s="4" t="str">
        <f ca="1">_xlfn.IFNA(VLOOKUP(INDIRECT("G"&amp;ROW()),minfo!$A:$M,COLUMN()-8,0),"")</f>
        <v>邓丽君</v>
      </c>
      <c r="L1610" s="4">
        <f ca="1">_xlfn.IFNA(VLOOKUP(INDIRECT("G"&amp;ROW()),minfo!$A:$M,COLUMN()-8,0),"")</f>
        <v>0</v>
      </c>
      <c r="M1610" s="4">
        <f ca="1">_xlfn.IFNA(VLOOKUP(INDIRECT("G"&amp;ROW()),minfo!$A:$M,COLUMN()-8,0),"")</f>
        <v>0</v>
      </c>
      <c r="N1610" s="4">
        <f ca="1">_xlfn.IFNA(VLOOKUP(INDIRECT("G"&amp;ROW()),minfo!$A:$M,COLUMN()-8,0),"")</f>
        <v>0</v>
      </c>
      <c r="O1610" s="4" t="str">
        <f ca="1">_xlfn.IFNA(VLOOKUP(INDIRECT("G"&amp;ROW()),minfo!$A:$M,COLUMN()-8,0),"")</f>
        <v>https://i0.hdslb.com/bfs/station_src/music_metadata/20edcc42dece649a8fcfbc7a532d33cf.jpg</v>
      </c>
      <c r="P1610" s="4" t="str">
        <f ca="1">_xlfn.IFNA(VLOOKUP(INDIRECT("G"&amp;ROW()),minfo!$A:$M,COLUMN()-8,0),"")</f>
        <v>http://i0.hdslb.com/bfs/station_src/music_metadata/49dfa16b48e0cab94adf65044415eee3</v>
      </c>
      <c r="Q1610" s="4">
        <f ca="1">_xlfn.IFNA(VLOOKUP(INDIRECT("G"&amp;ROW()),minfo!$A:$M,COLUMN()-8,0),"")</f>
        <v>486</v>
      </c>
      <c r="R1610" s="4">
        <f ca="1">_xlfn.IFNA(VLOOKUP(INDIRECT("G"&amp;ROW()),minfo!$A:$M,COLUMN()-8,0),"")</f>
        <v>0</v>
      </c>
      <c r="S1610" s="4" t="str">
        <f ca="1">_xlfn.IFNA(VLOOKUP(INDIRECT("G"&amp;ROW()),minfo!$A:$M,COLUMN()-8,0),"")</f>
        <v>邓丽君金曲选01</v>
      </c>
      <c r="T1610" s="4">
        <f ca="1">_xlfn.IFNA(VLOOKUP(INDIRECT("G"&amp;ROW()),minfo!$A:$M,COLUMN()-8,0),"")</f>
        <v>196147959</v>
      </c>
      <c r="U1610" s="4">
        <f ca="1">_xlfn.IFNA(VLOOKUP(INDIRECT("G"&amp;ROW()),minfo!$A:$M,COLUMN()-8,0),"")</f>
        <v>0</v>
      </c>
    </row>
    <row r="1611" spans="1:21" ht="15.75" customHeight="1">
      <c r="A1611" s="15">
        <v>1610</v>
      </c>
      <c r="B1611" s="4" t="s">
        <v>5249</v>
      </c>
      <c r="C1611" s="4">
        <v>1611</v>
      </c>
      <c r="D1611" s="4">
        <v>68</v>
      </c>
      <c r="E1611" s="4" t="s">
        <v>1944</v>
      </c>
      <c r="F1611" s="16">
        <v>44197</v>
      </c>
      <c r="G1611" s="5" t="s">
        <v>3015</v>
      </c>
      <c r="H1611" s="5" t="s">
        <v>5178</v>
      </c>
      <c r="I1611" s="24" t="str">
        <f>HYPERLINK("https://www.bilibili.com/video/BV1kQ4y1z7WD?p=68", "BV1kQ4y1z7WD?p=68")</f>
        <v>BV1kQ4y1z7WD?p=68</v>
      </c>
      <c r="J1611" s="4" t="str">
        <f ca="1">_xlfn.IFNA(VLOOKUP(INDIRECT("G"&amp;ROW()),minfo!$A:$M,COLUMN()-8,0),"")</f>
        <v>秋意浓</v>
      </c>
      <c r="K1611" s="4" t="str">
        <f ca="1">_xlfn.IFNA(VLOOKUP(INDIRECT("G"&amp;ROW()),minfo!$A:$M,COLUMN()-8,0),"")</f>
        <v>张靓颖</v>
      </c>
      <c r="L1611" s="4">
        <f ca="1">_xlfn.IFNA(VLOOKUP(INDIRECT("G"&amp;ROW()),minfo!$A:$M,COLUMN()-8,0),"")</f>
        <v>0</v>
      </c>
      <c r="M1611" s="4">
        <f ca="1">_xlfn.IFNA(VLOOKUP(INDIRECT("G"&amp;ROW()),minfo!$A:$M,COLUMN()-8,0),"")</f>
        <v>0</v>
      </c>
      <c r="N1611" s="4">
        <f ca="1">_xlfn.IFNA(VLOOKUP(INDIRECT("G"&amp;ROW()),minfo!$A:$M,COLUMN()-8,0),"")</f>
        <v>0</v>
      </c>
      <c r="O1611" s="4" t="str">
        <f ca="1">_xlfn.IFNA(VLOOKUP(INDIRECT("G"&amp;ROW()),minfo!$A:$M,COLUMN()-8,0),"")</f>
        <v>https://i0.hdslb.com/bfs/station_src/music_metadata/44a6f3a568be06813c0be769e1fe38e4.jpg</v>
      </c>
      <c r="P1611" s="4">
        <f ca="1">_xlfn.IFNA(VLOOKUP(INDIRECT("G"&amp;ROW()),minfo!$A:$M,COLUMN()-8,0),"")</f>
        <v>0</v>
      </c>
      <c r="Q1611" s="4">
        <f ca="1">_xlfn.IFNA(VLOOKUP(INDIRECT("G"&amp;ROW()),minfo!$A:$M,COLUMN()-8,0),"")</f>
        <v>0</v>
      </c>
      <c r="R1611" s="4" t="str">
        <f ca="1">_xlfn.IFNA(VLOOKUP(INDIRECT("G"&amp;ROW()),minfo!$A:$M,COLUMN()-8,0),"")</f>
        <v>秋意浓</v>
      </c>
      <c r="S1611" s="4" t="str">
        <f ca="1">_xlfn.IFNA(VLOOKUP(INDIRECT("G"&amp;ROW()),minfo!$A:$M,COLUMN()-8,0),"")</f>
        <v>好声音深圳演唱会</v>
      </c>
      <c r="T1611" s="4">
        <f ca="1">_xlfn.IFNA(VLOOKUP(INDIRECT("G"&amp;ROW()),minfo!$A:$M,COLUMN()-8,0),"")</f>
        <v>199023</v>
      </c>
      <c r="U1611" s="4">
        <f ca="1">_xlfn.IFNA(VLOOKUP(INDIRECT("G"&amp;ROW()),minfo!$A:$M,COLUMN()-8,0),"")</f>
        <v>0</v>
      </c>
    </row>
    <row r="1612" spans="1:21" ht="15.75" customHeight="1">
      <c r="A1612" s="15">
        <v>1611</v>
      </c>
      <c r="B1612" s="4" t="s">
        <v>5250</v>
      </c>
      <c r="C1612" s="4">
        <v>1612</v>
      </c>
      <c r="D1612" s="4">
        <v>69</v>
      </c>
      <c r="E1612" s="4" t="s">
        <v>366</v>
      </c>
      <c r="F1612" s="16">
        <v>44197</v>
      </c>
      <c r="G1612" s="5" t="s">
        <v>365</v>
      </c>
      <c r="H1612" s="5" t="s">
        <v>5178</v>
      </c>
      <c r="I1612" s="24" t="str">
        <f>HYPERLINK("https://www.bilibili.com/video/BV1kQ4y1z7WD?p=69", "BV1kQ4y1z7WD?p=69")</f>
        <v>BV1kQ4y1z7WD?p=69</v>
      </c>
      <c r="J1612" s="4" t="str">
        <f ca="1">_xlfn.IFNA(VLOOKUP(INDIRECT("G"&amp;ROW()),minfo!$A:$M,COLUMN()-8,0),"")</f>
        <v>难忘今宵</v>
      </c>
      <c r="K1612" s="4" t="str">
        <f ca="1">_xlfn.IFNA(VLOOKUP(INDIRECT("G"&amp;ROW()),minfo!$A:$M,COLUMN()-8,0),"")</f>
        <v>二珂</v>
      </c>
      <c r="L1612" s="4">
        <f ca="1">_xlfn.IFNA(VLOOKUP(INDIRECT("G"&amp;ROW()),minfo!$A:$M,COLUMN()-8,0),"")</f>
        <v>0</v>
      </c>
      <c r="M1612" s="4">
        <f ca="1">_xlfn.IFNA(VLOOKUP(INDIRECT("G"&amp;ROW()),minfo!$A:$M,COLUMN()-8,0),"")</f>
        <v>0</v>
      </c>
      <c r="N1612" s="4">
        <f ca="1">_xlfn.IFNA(VLOOKUP(INDIRECT("G"&amp;ROW()),minfo!$A:$M,COLUMN()-8,0),"")</f>
        <v>0</v>
      </c>
      <c r="O1612" s="4" t="str">
        <f ca="1">_xlfn.IFNA(VLOOKUP(INDIRECT("G"&amp;ROW()),minfo!$A:$M,COLUMN()-8,0),"")</f>
        <v>http://y.gtimg.cn/music/photo_new/T002R300x300M000.jpg</v>
      </c>
      <c r="P1612" s="4">
        <f ca="1">_xlfn.IFNA(VLOOKUP(INDIRECT("G"&amp;ROW()),minfo!$A:$M,COLUMN()-8,0),"")</f>
        <v>0</v>
      </c>
      <c r="Q1612" s="4">
        <f ca="1">_xlfn.IFNA(VLOOKUP(INDIRECT("G"&amp;ROW()),minfo!$A:$M,COLUMN()-8,0),"")</f>
        <v>4</v>
      </c>
      <c r="R1612" s="4">
        <f ca="1">_xlfn.IFNA(VLOOKUP(INDIRECT("G"&amp;ROW()),minfo!$A:$M,COLUMN()-8,0),"")</f>
        <v>0</v>
      </c>
      <c r="S1612" s="4">
        <f ca="1">_xlfn.IFNA(VLOOKUP(INDIRECT("G"&amp;ROW()),minfo!$A:$M,COLUMN()-8,0),"")</f>
        <v>0</v>
      </c>
      <c r="T1612" s="4">
        <f ca="1">_xlfn.IFNA(VLOOKUP(INDIRECT("G"&amp;ROW()),minfo!$A:$M,COLUMN()-8,0),"")</f>
        <v>5415807</v>
      </c>
      <c r="U1612" s="4">
        <f ca="1">_xlfn.IFNA(VLOOKUP(INDIRECT("G"&amp;ROW()),minfo!$A:$M,COLUMN()-8,0),"")</f>
        <v>0</v>
      </c>
    </row>
    <row r="1613" spans="1:21" ht="15.75" customHeight="1">
      <c r="A1613" s="15">
        <v>1612</v>
      </c>
      <c r="B1613" s="4" t="s">
        <v>5251</v>
      </c>
      <c r="C1613" s="4">
        <v>1613</v>
      </c>
      <c r="D1613" s="4">
        <v>70</v>
      </c>
      <c r="E1613" s="4" t="s">
        <v>3019</v>
      </c>
      <c r="F1613" s="16">
        <v>44197</v>
      </c>
      <c r="G1613" s="5" t="s">
        <v>3018</v>
      </c>
      <c r="H1613" s="5" t="s">
        <v>5178</v>
      </c>
      <c r="I1613" s="24" t="str">
        <f>HYPERLINK("https://www.bilibili.com/video/BV1kQ4y1z7WD?p=70", "BV1kQ4y1z7WD?p=70")</f>
        <v>BV1kQ4y1z7WD?p=70</v>
      </c>
      <c r="J1613" s="4" t="str">
        <f ca="1">_xlfn.IFNA(VLOOKUP(INDIRECT("G"&amp;ROW()),minfo!$A:$M,COLUMN()-8,0),"")</f>
        <v>天黑黑</v>
      </c>
      <c r="K1613" s="4" t="str">
        <f ca="1">_xlfn.IFNA(VLOOKUP(INDIRECT("G"&amp;ROW()),minfo!$A:$M,COLUMN()-8,0),"")</f>
        <v>孙燕姿</v>
      </c>
      <c r="L1613" s="4">
        <f ca="1">_xlfn.IFNA(VLOOKUP(INDIRECT("G"&amp;ROW()),minfo!$A:$M,COLUMN()-8,0),"")</f>
        <v>0</v>
      </c>
      <c r="M1613" s="4">
        <f ca="1">_xlfn.IFNA(VLOOKUP(INDIRECT("G"&amp;ROW()),minfo!$A:$M,COLUMN()-8,0),"")</f>
        <v>0</v>
      </c>
      <c r="N1613" s="4">
        <f ca="1">_xlfn.IFNA(VLOOKUP(INDIRECT("G"&amp;ROW()),minfo!$A:$M,COLUMN()-8,0),"")</f>
        <v>0</v>
      </c>
      <c r="O1613" s="4" t="str">
        <f ca="1">_xlfn.IFNA(VLOOKUP(INDIRECT("G"&amp;ROW()),minfo!$A:$M,COLUMN()-8,0),"")</f>
        <v>http://i0.hdslb.com/bfs/station_src/music_metadata/3ed97306ed82ceb6cfac2cebe223f6be.jpg</v>
      </c>
      <c r="P1613" s="4" t="str">
        <f ca="1">_xlfn.IFNA(VLOOKUP(INDIRECT("G"&amp;ROW()),minfo!$A:$M,COLUMN()-8,0),"")</f>
        <v>http://i0.hdslb.com/bfs/station_src/music_metadata/ab21c7271579b4d489cbb7e8aa223bac</v>
      </c>
      <c r="Q1613" s="4">
        <f ca="1">_xlfn.IFNA(VLOOKUP(INDIRECT("G"&amp;ROW()),minfo!$A:$M,COLUMN()-8,0),"")</f>
        <v>353</v>
      </c>
      <c r="R1613" s="4">
        <f ca="1">_xlfn.IFNA(VLOOKUP(INDIRECT("G"&amp;ROW()),minfo!$A:$M,COLUMN()-8,0),"")</f>
        <v>0</v>
      </c>
      <c r="S1613" s="4" t="str">
        <f ca="1">_xlfn.IFNA(VLOOKUP(INDIRECT("G"&amp;ROW()),minfo!$A:$M,COLUMN()-8,0),"")</f>
        <v>孙燕姿同名专辑</v>
      </c>
      <c r="T1613" s="4">
        <f ca="1">_xlfn.IFNA(VLOOKUP(INDIRECT("G"&amp;ROW()),minfo!$A:$M,COLUMN()-8,0),"")</f>
        <v>101139915</v>
      </c>
      <c r="U1613" s="4">
        <f ca="1">_xlfn.IFNA(VLOOKUP(INDIRECT("G"&amp;ROW()),minfo!$A:$M,COLUMN()-8,0),"")</f>
        <v>0</v>
      </c>
    </row>
    <row r="1614" spans="1:21" ht="15.75" customHeight="1">
      <c r="A1614" s="15">
        <v>1613</v>
      </c>
      <c r="B1614" s="4" t="s">
        <v>5252</v>
      </c>
      <c r="C1614" s="4">
        <v>1614</v>
      </c>
      <c r="D1614" s="4">
        <v>71</v>
      </c>
      <c r="E1614" s="4" t="s">
        <v>597</v>
      </c>
      <c r="F1614" s="16">
        <v>44197</v>
      </c>
      <c r="G1614" s="5" t="s">
        <v>596</v>
      </c>
      <c r="H1614" s="5" t="s">
        <v>5178</v>
      </c>
      <c r="I1614" s="24" t="str">
        <f>HYPERLINK("https://www.bilibili.com/video/BV1kQ4y1z7WD?p=71", "BV1kQ4y1z7WD?p=71")</f>
        <v>BV1kQ4y1z7WD?p=71</v>
      </c>
      <c r="J1614" s="4" t="str">
        <f ca="1">_xlfn.IFNA(VLOOKUP(INDIRECT("G"&amp;ROW()),minfo!$A:$M,COLUMN()-8,0),"")</f>
        <v>十万毫升泪水</v>
      </c>
      <c r="K1614" s="4" t="str">
        <f ca="1">_xlfn.IFNA(VLOOKUP(INDIRECT("G"&amp;ROW()),minfo!$A:$M,COLUMN()-8,0),"")</f>
        <v>蔡健雅</v>
      </c>
      <c r="L1614" s="4">
        <f ca="1">_xlfn.IFNA(VLOOKUP(INDIRECT("G"&amp;ROW()),minfo!$A:$M,COLUMN()-8,0),"")</f>
        <v>0</v>
      </c>
      <c r="M1614" s="4">
        <f ca="1">_xlfn.IFNA(VLOOKUP(INDIRECT("G"&amp;ROW()),minfo!$A:$M,COLUMN()-8,0),"")</f>
        <v>0</v>
      </c>
      <c r="N1614" s="4">
        <f ca="1">_xlfn.IFNA(VLOOKUP(INDIRECT("G"&amp;ROW()),minfo!$A:$M,COLUMN()-8,0),"")</f>
        <v>0</v>
      </c>
      <c r="O1614" s="4" t="str">
        <f ca="1">_xlfn.IFNA(VLOOKUP(INDIRECT("G"&amp;ROW()),minfo!$A:$M,COLUMN()-8,0),"")</f>
        <v>https://i0.hdslb.com/bfs/station_src/music_metadata/43003db948184238a261743b3e985d11.jpg</v>
      </c>
      <c r="P1614" s="4" t="str">
        <f ca="1">_xlfn.IFNA(VLOOKUP(INDIRECT("G"&amp;ROW()),minfo!$A:$M,COLUMN()-8,0),"")</f>
        <v>https://i0.hdslb.com/bfs/station_src/music_metadata/b460bce037ba5523f9fe4dceb112d960.txt</v>
      </c>
      <c r="Q1614" s="4">
        <f ca="1">_xlfn.IFNA(VLOOKUP(INDIRECT("G"&amp;ROW()),minfo!$A:$M,COLUMN()-8,0),"")</f>
        <v>6</v>
      </c>
      <c r="R1614" s="4" t="str">
        <f ca="1">_xlfn.IFNA(VLOOKUP(INDIRECT("G"&amp;ROW()),minfo!$A:$M,COLUMN()-8,0),"")</f>
        <v>电影《爱在午夜希腊时》中文宣传曲</v>
      </c>
      <c r="S1614" s="4" t="str">
        <f ca="1">_xlfn.IFNA(VLOOKUP(INDIRECT("G"&amp;ROW()),minfo!$A:$M,COLUMN()-8,0),"")</f>
        <v>十万毫升泪水</v>
      </c>
      <c r="T1614" s="4">
        <f ca="1">_xlfn.IFNA(VLOOKUP(INDIRECT("G"&amp;ROW()),minfo!$A:$M,COLUMN()-8,0),"")</f>
        <v>7862640</v>
      </c>
      <c r="U1614" s="4">
        <f ca="1">_xlfn.IFNA(VLOOKUP(INDIRECT("G"&amp;ROW()),minfo!$A:$M,COLUMN()-8,0),"")</f>
        <v>0</v>
      </c>
    </row>
    <row r="1615" spans="1:21" ht="15.75" customHeight="1">
      <c r="A1615" s="15">
        <v>1614</v>
      </c>
      <c r="B1615" s="4" t="s">
        <v>5253</v>
      </c>
      <c r="C1615" s="4">
        <v>1615</v>
      </c>
      <c r="D1615" s="4">
        <v>72</v>
      </c>
      <c r="E1615" s="4" t="s">
        <v>160</v>
      </c>
      <c r="F1615" s="16">
        <v>44197</v>
      </c>
      <c r="G1615" s="5" t="s">
        <v>159</v>
      </c>
      <c r="H1615" s="5" t="s">
        <v>5178</v>
      </c>
      <c r="I1615" s="24" t="str">
        <f>HYPERLINK("https://www.bilibili.com/video/BV1kQ4y1z7WD?p=72", "BV1kQ4y1z7WD?p=72")</f>
        <v>BV1kQ4y1z7WD?p=72</v>
      </c>
      <c r="J1615" s="4" t="str">
        <f ca="1">_xlfn.IFNA(VLOOKUP(INDIRECT("G"&amp;ROW()),minfo!$A:$M,COLUMN()-8,0),"")</f>
        <v>梨花颂</v>
      </c>
      <c r="K1615" s="4" t="str">
        <f ca="1">_xlfn.IFNA(VLOOKUP(INDIRECT("G"&amp;ROW()),minfo!$A:$M,COLUMN()-8,0),"")</f>
        <v>梅葆玖</v>
      </c>
      <c r="L1615" s="4">
        <f ca="1">_xlfn.IFNA(VLOOKUP(INDIRECT("G"&amp;ROW()),minfo!$A:$M,COLUMN()-8,0),"")</f>
        <v>0</v>
      </c>
      <c r="M1615" s="4">
        <f ca="1">_xlfn.IFNA(VLOOKUP(INDIRECT("G"&amp;ROW()),minfo!$A:$M,COLUMN()-8,0),"")</f>
        <v>0</v>
      </c>
      <c r="N1615" s="4">
        <f ca="1">_xlfn.IFNA(VLOOKUP(INDIRECT("G"&amp;ROW()),minfo!$A:$M,COLUMN()-8,0),"")</f>
        <v>0</v>
      </c>
      <c r="O1615" s="4" t="str">
        <f ca="1">_xlfn.IFNA(VLOOKUP(INDIRECT("G"&amp;ROW()),minfo!$A:$M,COLUMN()-8,0),"")</f>
        <v>https://i0.hdslb.com/bfs/station_src/music_metadata/9abefe4483d585f499e254df741d2f35.jpg</v>
      </c>
      <c r="P1615" s="4" t="str">
        <f ca="1">_xlfn.IFNA(VLOOKUP(INDIRECT("G"&amp;ROW()),minfo!$A:$M,COLUMN()-8,0),"")</f>
        <v>https://i0.hdslb.com/bfs/station_src/music_metadata/0357286453ce4a1fc693b22b663fe56d.txt</v>
      </c>
      <c r="Q1615" s="4">
        <f ca="1">_xlfn.IFNA(VLOOKUP(INDIRECT("G"&amp;ROW()),minfo!$A:$M,COLUMN()-8,0),"")</f>
        <v>75</v>
      </c>
      <c r="R1615" s="4" t="str">
        <f ca="1">_xlfn.IFNA(VLOOKUP(INDIRECT("G"&amp;ROW()),minfo!$A:$M,COLUMN()-8,0),"")</f>
        <v>新编历史京剧《大唐贵妃》主题曲</v>
      </c>
      <c r="S1615" s="4" t="str">
        <f ca="1">_xlfn.IFNA(VLOOKUP(INDIRECT("G"&amp;ROW()),minfo!$A:$M,COLUMN()-8,0),"")</f>
        <v>热门华语260</v>
      </c>
      <c r="T1615" s="4">
        <f ca="1">_xlfn.IFNA(VLOOKUP(INDIRECT("G"&amp;ROW()),minfo!$A:$M,COLUMN()-8,0),"")</f>
        <v>19576567</v>
      </c>
      <c r="U1615" s="4">
        <f ca="1">_xlfn.IFNA(VLOOKUP(INDIRECT("G"&amp;ROW()),minfo!$A:$M,COLUMN()-8,0),"")</f>
        <v>0</v>
      </c>
    </row>
    <row r="1616" spans="1:21" ht="15.75" customHeight="1">
      <c r="A1616" s="15">
        <v>1615</v>
      </c>
      <c r="B1616" s="4" t="s">
        <v>5254</v>
      </c>
      <c r="C1616" s="4">
        <v>1616</v>
      </c>
      <c r="D1616" s="4">
        <v>73</v>
      </c>
      <c r="E1616" s="4" t="s">
        <v>2131</v>
      </c>
      <c r="F1616" s="16">
        <v>44197</v>
      </c>
      <c r="G1616" s="5" t="s">
        <v>2130</v>
      </c>
      <c r="H1616" s="5" t="s">
        <v>5178</v>
      </c>
      <c r="I1616" s="24" t="str">
        <f>HYPERLINK("https://www.bilibili.com/video/BV1kQ4y1z7WD?p=73", "BV1kQ4y1z7WD?p=73")</f>
        <v>BV1kQ4y1z7WD?p=73</v>
      </c>
      <c r="J1616" s="4" t="str">
        <f ca="1">_xlfn.IFNA(VLOOKUP(INDIRECT("G"&amp;ROW()),minfo!$A:$M,COLUMN()-8,0),"")</f>
        <v>虫儿飞</v>
      </c>
      <c r="K1616" s="4" t="str">
        <f ca="1">_xlfn.IFNA(VLOOKUP(INDIRECT("G"&amp;ROW()),minfo!$A:$M,COLUMN()-8,0),"")</f>
        <v>郑伊健</v>
      </c>
      <c r="L1616" s="4">
        <f ca="1">_xlfn.IFNA(VLOOKUP(INDIRECT("G"&amp;ROW()),minfo!$A:$M,COLUMN()-8,0),"")</f>
        <v>0</v>
      </c>
      <c r="M1616" s="4">
        <f ca="1">_xlfn.IFNA(VLOOKUP(INDIRECT("G"&amp;ROW()),minfo!$A:$M,COLUMN()-8,0),"")</f>
        <v>0</v>
      </c>
      <c r="N1616" s="4">
        <f ca="1">_xlfn.IFNA(VLOOKUP(INDIRECT("G"&amp;ROW()),minfo!$A:$M,COLUMN()-8,0),"")</f>
        <v>0</v>
      </c>
      <c r="O1616" s="4" t="str">
        <f ca="1">_xlfn.IFNA(VLOOKUP(INDIRECT("G"&amp;ROW()),minfo!$A:$M,COLUMN()-8,0),"")</f>
        <v>https://i0.hdslb.com/bfs/station_src/music_metadata/0eb231200bbd0f5b27d34f14e934273f.jpg</v>
      </c>
      <c r="P1616" s="4" t="str">
        <f ca="1">_xlfn.IFNA(VLOOKUP(INDIRECT("G"&amp;ROW()),minfo!$A:$M,COLUMN()-8,0),"")</f>
        <v>http://i0.hdslb.com/bfs/station_src/music_metadata/df89a0b8e3382bb26395eafd13a35ea2</v>
      </c>
      <c r="Q1616" s="4">
        <f ca="1">_xlfn.IFNA(VLOOKUP(INDIRECT("G"&amp;ROW()),minfo!$A:$M,COLUMN()-8,0),"")</f>
        <v>866</v>
      </c>
      <c r="R1616" s="4">
        <f ca="1">_xlfn.IFNA(VLOOKUP(INDIRECT("G"&amp;ROW()),minfo!$A:$M,COLUMN()-8,0),"")</f>
        <v>0</v>
      </c>
      <c r="S1616" s="4" t="str">
        <f ca="1">_xlfn.IFNA(VLOOKUP(INDIRECT("G"&amp;ROW()),minfo!$A:$M,COLUMN()-8,0),"")</f>
        <v>风云雄霸天下电影原声大碟</v>
      </c>
      <c r="T1616" s="4">
        <f ca="1">_xlfn.IFNA(VLOOKUP(INDIRECT("G"&amp;ROW()),minfo!$A:$M,COLUMN()-8,0),"")</f>
        <v>124839208</v>
      </c>
      <c r="U1616" s="4">
        <f ca="1">_xlfn.IFNA(VLOOKUP(INDIRECT("G"&amp;ROW()),minfo!$A:$M,COLUMN()-8,0),"")</f>
        <v>0</v>
      </c>
    </row>
    <row r="1617" spans="1:21" ht="15.75" customHeight="1">
      <c r="A1617" s="15">
        <v>1616</v>
      </c>
      <c r="B1617" s="4" t="s">
        <v>5255</v>
      </c>
      <c r="C1617" s="4">
        <v>1617</v>
      </c>
      <c r="D1617" s="4">
        <v>74</v>
      </c>
      <c r="E1617" s="4" t="s">
        <v>2067</v>
      </c>
      <c r="F1617" s="16">
        <v>44197</v>
      </c>
      <c r="G1617" s="5" t="s">
        <v>2066</v>
      </c>
      <c r="H1617" s="5" t="s">
        <v>5178</v>
      </c>
      <c r="I1617" s="24" t="str">
        <f>HYPERLINK("https://www.bilibili.com/video/BV1kQ4y1z7WD?p=74", "BV1kQ4y1z7WD?p=74")</f>
        <v>BV1kQ4y1z7WD?p=74</v>
      </c>
      <c r="J1617" s="4" t="str">
        <f ca="1">_xlfn.IFNA(VLOOKUP(INDIRECT("G"&amp;ROW()),minfo!$A:$M,COLUMN()-8,0),"")</f>
        <v>勾指起誓</v>
      </c>
      <c r="K1617" s="4" t="str">
        <f ca="1">_xlfn.IFNA(VLOOKUP(INDIRECT("G"&amp;ROW()),minfo!$A:$M,COLUMN()-8,0),"")</f>
        <v>洛天依,ilem</v>
      </c>
      <c r="L1617" s="4">
        <f ca="1">_xlfn.IFNA(VLOOKUP(INDIRECT("G"&amp;ROW()),minfo!$A:$M,COLUMN()-8,0),"")</f>
        <v>0</v>
      </c>
      <c r="M1617" s="4">
        <f ca="1">_xlfn.IFNA(VLOOKUP(INDIRECT("G"&amp;ROW()),minfo!$A:$M,COLUMN()-8,0),"")</f>
        <v>0</v>
      </c>
      <c r="N1617" s="4">
        <f ca="1">_xlfn.IFNA(VLOOKUP(INDIRECT("G"&amp;ROW()),minfo!$A:$M,COLUMN()-8,0),"")</f>
        <v>0</v>
      </c>
      <c r="O1617" s="4" t="str">
        <f ca="1">_xlfn.IFNA(VLOOKUP(INDIRECT("G"&amp;ROW()),minfo!$A:$M,COLUMN()-8,0),"")</f>
        <v>https://i0.hdslb.com/bfs/station_src/music_metadata/2bf703ca0968210e39946b5a88262f56.jpg</v>
      </c>
      <c r="P1617" s="4">
        <f ca="1">_xlfn.IFNA(VLOOKUP(INDIRECT("G"&amp;ROW()),minfo!$A:$M,COLUMN()-8,0),"")</f>
        <v>0</v>
      </c>
      <c r="Q1617" s="4">
        <f ca="1">_xlfn.IFNA(VLOOKUP(INDIRECT("G"&amp;ROW()),minfo!$A:$M,COLUMN()-8,0),"")</f>
        <v>5625</v>
      </c>
      <c r="R1617" s="4">
        <f ca="1">_xlfn.IFNA(VLOOKUP(INDIRECT("G"&amp;ROW()),minfo!$A:$M,COLUMN()-8,0),"")</f>
        <v>0</v>
      </c>
      <c r="S1617" s="4" t="str">
        <f ca="1">_xlfn.IFNA(VLOOKUP(INDIRECT("G"&amp;ROW()),minfo!$A:$M,COLUMN()-8,0),"")</f>
        <v>2:3</v>
      </c>
      <c r="T1617" s="4">
        <f ca="1">_xlfn.IFNA(VLOOKUP(INDIRECT("G"&amp;ROW()),minfo!$A:$M,COLUMN()-8,0),"")</f>
        <v>733581386</v>
      </c>
      <c r="U1617" s="4">
        <f ca="1">_xlfn.IFNA(VLOOKUP(INDIRECT("G"&amp;ROW()),minfo!$A:$M,COLUMN()-8,0),"")</f>
        <v>0</v>
      </c>
    </row>
    <row r="1618" spans="1:21" ht="15.75" customHeight="1">
      <c r="A1618" s="15">
        <v>1617</v>
      </c>
      <c r="B1618" s="4" t="s">
        <v>5256</v>
      </c>
      <c r="C1618" s="4">
        <v>1618</v>
      </c>
      <c r="D1618" s="4">
        <v>75</v>
      </c>
      <c r="E1618" s="4" t="s">
        <v>798</v>
      </c>
      <c r="F1618" s="16">
        <v>44197</v>
      </c>
      <c r="G1618" s="5" t="s">
        <v>797</v>
      </c>
      <c r="H1618" s="5" t="s">
        <v>5178</v>
      </c>
      <c r="I1618" s="24" t="str">
        <f>HYPERLINK("https://www.bilibili.com/video/BV1kQ4y1z7WD?p=75", "BV1kQ4y1z7WD?p=75")</f>
        <v>BV1kQ4y1z7WD?p=75</v>
      </c>
      <c r="J1618" s="4" t="str">
        <f ca="1">_xlfn.IFNA(VLOOKUP(INDIRECT("G"&amp;ROW()),minfo!$A:$M,COLUMN()-8,0),"")</f>
        <v>让她降落</v>
      </c>
      <c r="K1618" s="4" t="str">
        <f ca="1">_xlfn.IFNA(VLOOKUP(INDIRECT("G"&amp;ROW()),minfo!$A:$M,COLUMN()-8,0),"")</f>
        <v>何璐</v>
      </c>
      <c r="L1618" s="4">
        <f ca="1">_xlfn.IFNA(VLOOKUP(INDIRECT("G"&amp;ROW()),minfo!$A:$M,COLUMN()-8,0),"")</f>
        <v>0</v>
      </c>
      <c r="M1618" s="4">
        <f ca="1">_xlfn.IFNA(VLOOKUP(INDIRECT("G"&amp;ROW()),minfo!$A:$M,COLUMN()-8,0),"")</f>
        <v>0</v>
      </c>
      <c r="N1618" s="4">
        <f ca="1">_xlfn.IFNA(VLOOKUP(INDIRECT("G"&amp;ROW()),minfo!$A:$M,COLUMN()-8,0),"")</f>
        <v>0</v>
      </c>
      <c r="O1618" s="4" t="str">
        <f ca="1">_xlfn.IFNA(VLOOKUP(INDIRECT("G"&amp;ROW()),minfo!$A:$M,COLUMN()-8,0),"")</f>
        <v>http://i0.hdslb.com/bfs/station_src/music_metadata/cac3cdb113beb631fc51a8ee80236746.jpg</v>
      </c>
      <c r="P1618" s="4" t="str">
        <f ca="1">_xlfn.IFNA(VLOOKUP(INDIRECT("G"&amp;ROW()),minfo!$A:$M,COLUMN()-8,0),"")</f>
        <v>http://i0.hdslb.com/bfs/station_src/music_metadata/61a0ea9f4aae0b0d39b3cda25e077499</v>
      </c>
      <c r="Q1618" s="4">
        <f ca="1">_xlfn.IFNA(VLOOKUP(INDIRECT("G"&amp;ROW()),minfo!$A:$M,COLUMN()-8,0),"")</f>
        <v>850</v>
      </c>
      <c r="R1618" s="4">
        <f ca="1">_xlfn.IFNA(VLOOKUP(INDIRECT("G"&amp;ROW()),minfo!$A:$M,COLUMN()-8,0),"")</f>
        <v>0</v>
      </c>
      <c r="S1618" s="4" t="str">
        <f ca="1">_xlfn.IFNA(VLOOKUP(INDIRECT("G"&amp;ROW()),minfo!$A:$M,COLUMN()-8,0),"")</f>
        <v>让她降落</v>
      </c>
      <c r="T1618" s="4">
        <f ca="1">_xlfn.IFNA(VLOOKUP(INDIRECT("G"&amp;ROW()),minfo!$A:$M,COLUMN()-8,0),"")</f>
        <v>168699816</v>
      </c>
      <c r="U1618" s="4">
        <f ca="1">_xlfn.IFNA(VLOOKUP(INDIRECT("G"&amp;ROW()),minfo!$A:$M,COLUMN()-8,0),"")</f>
        <v>0</v>
      </c>
    </row>
    <row r="1619" spans="1:21" ht="15.75" customHeight="1">
      <c r="A1619" s="15">
        <v>1618</v>
      </c>
      <c r="B1619" s="4" t="s">
        <v>5257</v>
      </c>
      <c r="C1619" s="4">
        <v>1619</v>
      </c>
      <c r="D1619" s="4">
        <v>76</v>
      </c>
      <c r="E1619" s="4" t="s">
        <v>3024</v>
      </c>
      <c r="F1619" s="16">
        <v>44197</v>
      </c>
      <c r="G1619" s="5" t="s">
        <v>3023</v>
      </c>
      <c r="H1619" s="5" t="s">
        <v>5178</v>
      </c>
      <c r="I1619" s="24" t="str">
        <f>HYPERLINK("https://www.bilibili.com/video/BV1kQ4y1z7WD?p=76", "BV1kQ4y1z7WD?p=76")</f>
        <v>BV1kQ4y1z7WD?p=76</v>
      </c>
      <c r="J1619" s="4" t="str">
        <f ca="1">_xlfn.IFNA(VLOOKUP(INDIRECT("G"&amp;ROW()),minfo!$A:$M,COLUMN()-8,0),"")</f>
        <v>我的祖国</v>
      </c>
      <c r="K1619" s="4" t="str">
        <f ca="1">_xlfn.IFNA(VLOOKUP(INDIRECT("G"&amp;ROW()),minfo!$A:$M,COLUMN()-8,0),"")</f>
        <v>郭兰英</v>
      </c>
      <c r="L1619" s="4">
        <f ca="1">_xlfn.IFNA(VLOOKUP(INDIRECT("G"&amp;ROW()),minfo!$A:$M,COLUMN()-8,0),"")</f>
        <v>0</v>
      </c>
      <c r="M1619" s="4">
        <f ca="1">_xlfn.IFNA(VLOOKUP(INDIRECT("G"&amp;ROW()),minfo!$A:$M,COLUMN()-8,0),"")</f>
        <v>0</v>
      </c>
      <c r="N1619" s="4">
        <f ca="1">_xlfn.IFNA(VLOOKUP(INDIRECT("G"&amp;ROW()),minfo!$A:$M,COLUMN()-8,0),"")</f>
        <v>0</v>
      </c>
      <c r="O1619" s="4" t="str">
        <f ca="1">_xlfn.IFNA(VLOOKUP(INDIRECT("G"&amp;ROW()),minfo!$A:$M,COLUMN()-8,0),"")</f>
        <v>https://i0.hdslb.com/bfs/station_src/music_metadata/f1f0babcd6982acdd0de35063dea0c85.jpg</v>
      </c>
      <c r="P1619" s="4" t="str">
        <f ca="1">_xlfn.IFNA(VLOOKUP(INDIRECT("G"&amp;ROW()),minfo!$A:$M,COLUMN()-8,0),"")</f>
        <v>http://i0.hdslb.com/bfs/station_src/music_metadata/d60ead561af337ae57599b642db57734</v>
      </c>
      <c r="Q1619" s="4">
        <f ca="1">_xlfn.IFNA(VLOOKUP(INDIRECT("G"&amp;ROW()),minfo!$A:$M,COLUMN()-8,0),"")</f>
        <v>500</v>
      </c>
      <c r="R1619" s="4">
        <f ca="1">_xlfn.IFNA(VLOOKUP(INDIRECT("G"&amp;ROW()),minfo!$A:$M,COLUMN()-8,0),"")</f>
        <v>0</v>
      </c>
      <c r="S1619" s="4" t="str">
        <f ca="1">_xlfn.IFNA(VLOOKUP(INDIRECT("G"&amp;ROW()),minfo!$A:$M,COLUMN()-8,0),"")</f>
        <v>一人一首成名曲1</v>
      </c>
      <c r="T1619" s="4">
        <f ca="1">_xlfn.IFNA(VLOOKUP(INDIRECT("G"&amp;ROW()),minfo!$A:$M,COLUMN()-8,0),"")</f>
        <v>178826067</v>
      </c>
      <c r="U1619" s="4">
        <f ca="1">_xlfn.IFNA(VLOOKUP(INDIRECT("G"&amp;ROW()),minfo!$A:$M,COLUMN()-8,0),"")</f>
        <v>0</v>
      </c>
    </row>
    <row r="1620" spans="1:21" ht="15.75" customHeight="1">
      <c r="A1620" s="15">
        <v>1619</v>
      </c>
      <c r="B1620" s="4" t="s">
        <v>5258</v>
      </c>
      <c r="C1620" s="4">
        <v>1620</v>
      </c>
      <c r="D1620" s="4">
        <v>77</v>
      </c>
      <c r="E1620" s="4" t="s">
        <v>2570</v>
      </c>
      <c r="F1620" s="16">
        <v>44197</v>
      </c>
      <c r="G1620" s="5" t="s">
        <v>2569</v>
      </c>
      <c r="H1620" s="5" t="s">
        <v>5178</v>
      </c>
      <c r="I1620" s="24" t="str">
        <f>HYPERLINK("https://www.bilibili.com/video/BV1kQ4y1z7WD?p=77", "BV1kQ4y1z7WD?p=77")</f>
        <v>BV1kQ4y1z7WD?p=77</v>
      </c>
      <c r="J1620" s="4" t="str">
        <f ca="1">_xlfn.IFNA(VLOOKUP(INDIRECT("G"&amp;ROW()),minfo!$A:$M,COLUMN()-8,0),"")</f>
        <v>我和我的祖国</v>
      </c>
      <c r="K1620" s="4" t="str">
        <f ca="1">_xlfn.IFNA(VLOOKUP(INDIRECT("G"&amp;ROW()),minfo!$A:$M,COLUMN()-8,0),"")</f>
        <v>李谷一,少年合唱团</v>
      </c>
      <c r="L1620" s="4">
        <f ca="1">_xlfn.IFNA(VLOOKUP(INDIRECT("G"&amp;ROW()),minfo!$A:$M,COLUMN()-8,0),"")</f>
        <v>0</v>
      </c>
      <c r="M1620" s="4">
        <f ca="1">_xlfn.IFNA(VLOOKUP(INDIRECT("G"&amp;ROW()),minfo!$A:$M,COLUMN()-8,0),"")</f>
        <v>0</v>
      </c>
      <c r="N1620" s="4">
        <f ca="1">_xlfn.IFNA(VLOOKUP(INDIRECT("G"&amp;ROW()),minfo!$A:$M,COLUMN()-8,0),"")</f>
        <v>0</v>
      </c>
      <c r="O1620" s="4" t="str">
        <f ca="1">_xlfn.IFNA(VLOOKUP(INDIRECT("G"&amp;ROW()),minfo!$A:$M,COLUMN()-8,0),"")</f>
        <v>https://i0.hdslb.com/bfs/station_src/music_metadata/771b26d560f1fee8f4b8772d941687b2.jpg</v>
      </c>
      <c r="P1620" s="4" t="str">
        <f ca="1">_xlfn.IFNA(VLOOKUP(INDIRECT("G"&amp;ROW()),minfo!$A:$M,COLUMN()-8,0),"")</f>
        <v>http://i0.hdslb.com/bfs/station_src/music_metadata/3de622a3a168b53cc76ecc7cbc19b2de</v>
      </c>
      <c r="Q1620" s="4">
        <f ca="1">_xlfn.IFNA(VLOOKUP(INDIRECT("G"&amp;ROW()),minfo!$A:$M,COLUMN()-8,0),"")</f>
        <v>569</v>
      </c>
      <c r="R1620" s="4">
        <f ca="1">_xlfn.IFNA(VLOOKUP(INDIRECT("G"&amp;ROW()),minfo!$A:$M,COLUMN()-8,0),"")</f>
        <v>0</v>
      </c>
      <c r="S1620" s="4" t="str">
        <f ca="1">_xlfn.IFNA(VLOOKUP(INDIRECT("G"&amp;ROW()),minfo!$A:$M,COLUMN()-8,0),"")</f>
        <v>2016 开学第一课</v>
      </c>
      <c r="T1620" s="4">
        <f ca="1">_xlfn.IFNA(VLOOKUP(INDIRECT("G"&amp;ROW()),minfo!$A:$M,COLUMN()-8,0),"")</f>
        <v>274618058</v>
      </c>
      <c r="U1620" s="4">
        <f ca="1">_xlfn.IFNA(VLOOKUP(INDIRECT("G"&amp;ROW()),minfo!$A:$M,COLUMN()-8,0),"")</f>
        <v>0</v>
      </c>
    </row>
    <row r="1621" spans="1:21" ht="15.75" customHeight="1">
      <c r="A1621" s="15">
        <v>1620</v>
      </c>
      <c r="B1621" s="4" t="s">
        <v>5259</v>
      </c>
      <c r="C1621" s="4">
        <v>1621</v>
      </c>
      <c r="D1621" s="4">
        <v>78</v>
      </c>
      <c r="E1621" s="4" t="s">
        <v>456</v>
      </c>
      <c r="F1621" s="16">
        <v>44197</v>
      </c>
      <c r="G1621" s="5" t="s">
        <v>455</v>
      </c>
      <c r="H1621" s="5" t="s">
        <v>5178</v>
      </c>
      <c r="I1621" s="24" t="str">
        <f>HYPERLINK("https://www.bilibili.com/video/BV1kQ4y1z7WD?p=78", "BV1kQ4y1z7WD?p=78")</f>
        <v>BV1kQ4y1z7WD?p=78</v>
      </c>
      <c r="J1621" s="4" t="str">
        <f ca="1">_xlfn.IFNA(VLOOKUP(INDIRECT("G"&amp;ROW()),minfo!$A:$M,COLUMN()-8,0),"")</f>
        <v>有可能的夜晚</v>
      </c>
      <c r="K1621" s="4" t="str">
        <f ca="1">_xlfn.IFNA(VLOOKUP(INDIRECT("G"&amp;ROW()),minfo!$A:$M,COLUMN()-8,0),"")</f>
        <v>曾轶可</v>
      </c>
      <c r="L1621" s="4">
        <f ca="1">_xlfn.IFNA(VLOOKUP(INDIRECT("G"&amp;ROW()),minfo!$A:$M,COLUMN()-8,0),"")</f>
        <v>0</v>
      </c>
      <c r="M1621" s="4">
        <f ca="1">_xlfn.IFNA(VLOOKUP(INDIRECT("G"&amp;ROW()),minfo!$A:$M,COLUMN()-8,0),"")</f>
        <v>0</v>
      </c>
      <c r="N1621" s="4">
        <f ca="1">_xlfn.IFNA(VLOOKUP(INDIRECT("G"&amp;ROW()),minfo!$A:$M,COLUMN()-8,0),"")</f>
        <v>0</v>
      </c>
      <c r="O1621" s="4" t="str">
        <f ca="1">_xlfn.IFNA(VLOOKUP(INDIRECT("G"&amp;ROW()),minfo!$A:$M,COLUMN()-8,0),"")</f>
        <v>https://i0.hdslb.com/bfs/station_src/music_metadata/53d23a3f0bdaa3ba13e216981a35b510.jpg</v>
      </c>
      <c r="P1621" s="4" t="str">
        <f ca="1">_xlfn.IFNA(VLOOKUP(INDIRECT("G"&amp;ROW()),minfo!$A:$M,COLUMN()-8,0),"")</f>
        <v>http://i0.hdslb.com/bfs/station_src/music_metadata/063b2a09ab4d9b1d20d545d5870808b2</v>
      </c>
      <c r="Q1621" s="4">
        <f ca="1">_xlfn.IFNA(VLOOKUP(INDIRECT("G"&amp;ROW()),minfo!$A:$M,COLUMN()-8,0),"")</f>
        <v>189</v>
      </c>
      <c r="R1621" s="4">
        <f ca="1">_xlfn.IFNA(VLOOKUP(INDIRECT("G"&amp;ROW()),minfo!$A:$M,COLUMN()-8,0),"")</f>
        <v>0</v>
      </c>
      <c r="S1621" s="4" t="str">
        <f ca="1">_xlfn.IFNA(VLOOKUP(INDIRECT("G"&amp;ROW()),minfo!$A:$M,COLUMN()-8,0),"")</f>
        <v>会飞的贼</v>
      </c>
      <c r="T1621" s="4">
        <f ca="1">_xlfn.IFNA(VLOOKUP(INDIRECT("G"&amp;ROW()),minfo!$A:$M,COLUMN()-8,0),"")</f>
        <v>61806044</v>
      </c>
      <c r="U1621" s="4">
        <f ca="1">_xlfn.IFNA(VLOOKUP(INDIRECT("G"&amp;ROW()),minfo!$A:$M,COLUMN()-8,0),"")</f>
        <v>0</v>
      </c>
    </row>
    <row r="1622" spans="1:21" ht="15.75" customHeight="1">
      <c r="A1622" s="15">
        <v>1621</v>
      </c>
      <c r="B1622" s="4" t="s">
        <v>5260</v>
      </c>
      <c r="C1622" s="4">
        <v>1622</v>
      </c>
      <c r="D1622" s="4">
        <v>79</v>
      </c>
      <c r="E1622" s="4" t="s">
        <v>3030</v>
      </c>
      <c r="F1622" s="16">
        <v>44197</v>
      </c>
      <c r="G1622" s="5" t="s">
        <v>3029</v>
      </c>
      <c r="H1622" s="5" t="s">
        <v>5178</v>
      </c>
      <c r="I1622" s="24" t="str">
        <f>HYPERLINK("https://www.bilibili.com/video/BV1kQ4y1z7WD?p=79", "BV1kQ4y1z7WD?p=79")</f>
        <v>BV1kQ4y1z7WD?p=79</v>
      </c>
      <c r="J1622" s="4" t="str">
        <f ca="1">_xlfn.IFNA(VLOOKUP(INDIRECT("G"&amp;ROW()),minfo!$A:$M,COLUMN()-8,0),"")</f>
        <v>蓝色爱情海</v>
      </c>
      <c r="K1622" s="4" t="str">
        <f ca="1">_xlfn.IFNA(VLOOKUP(INDIRECT("G"&amp;ROW()),minfo!$A:$M,COLUMN()-8,0),"")</f>
        <v>叶翠</v>
      </c>
      <c r="L1622" s="4">
        <f ca="1">_xlfn.IFNA(VLOOKUP(INDIRECT("G"&amp;ROW()),minfo!$A:$M,COLUMN()-8,0),"")</f>
        <v>0</v>
      </c>
      <c r="M1622" s="4">
        <f ca="1">_xlfn.IFNA(VLOOKUP(INDIRECT("G"&amp;ROW()),minfo!$A:$M,COLUMN()-8,0),"")</f>
        <v>0</v>
      </c>
      <c r="N1622" s="4">
        <f ca="1">_xlfn.IFNA(VLOOKUP(INDIRECT("G"&amp;ROW()),minfo!$A:$M,COLUMN()-8,0),"")</f>
        <v>0</v>
      </c>
      <c r="O1622" s="4" t="str">
        <f ca="1">_xlfn.IFNA(VLOOKUP(INDIRECT("G"&amp;ROW()),minfo!$A:$M,COLUMN()-8,0),"")</f>
        <v>https://i0.hdslb.com/bfs/station_src/music_metadata/c336dff9e3172c95e969afa2a0a8c559.jpg</v>
      </c>
      <c r="P1622" s="4" t="str">
        <f ca="1">_xlfn.IFNA(VLOOKUP(INDIRECT("G"&amp;ROW()),minfo!$A:$M,COLUMN()-8,0),"")</f>
        <v>https://i0.hdslb.com/bfs/station_src/music_metadata/549c9f59c46cfa7552dbc64337189be8.txt</v>
      </c>
      <c r="Q1622" s="4">
        <f ca="1">_xlfn.IFNA(VLOOKUP(INDIRECT("G"&amp;ROW()),minfo!$A:$M,COLUMN()-8,0),"")</f>
        <v>2</v>
      </c>
      <c r="R1622" s="4">
        <f ca="1">_xlfn.IFNA(VLOOKUP(INDIRECT("G"&amp;ROW()),minfo!$A:$M,COLUMN()-8,0),"")</f>
        <v>0</v>
      </c>
      <c r="S1622" s="4" t="str">
        <f ca="1">_xlfn.IFNA(VLOOKUP(INDIRECT("G"&amp;ROW()),minfo!$A:$M,COLUMN()-8,0),"")</f>
        <v>蓝色爱情海</v>
      </c>
      <c r="T1622" s="4">
        <f ca="1">_xlfn.IFNA(VLOOKUP(INDIRECT("G"&amp;ROW()),minfo!$A:$M,COLUMN()-8,0),"")</f>
        <v>738635</v>
      </c>
      <c r="U1622" s="4">
        <f ca="1">_xlfn.IFNA(VLOOKUP(INDIRECT("G"&amp;ROW()),minfo!$A:$M,COLUMN()-8,0),"")</f>
        <v>0</v>
      </c>
    </row>
    <row r="1623" spans="1:21" ht="15.75" customHeight="1">
      <c r="A1623" s="15">
        <v>1622</v>
      </c>
      <c r="B1623" s="4" t="s">
        <v>5261</v>
      </c>
      <c r="C1623" s="4">
        <v>1623</v>
      </c>
      <c r="D1623" s="4">
        <v>80</v>
      </c>
      <c r="E1623" s="4" t="s">
        <v>1102</v>
      </c>
      <c r="F1623" s="16">
        <v>44197</v>
      </c>
      <c r="G1623" s="5" t="s">
        <v>1101</v>
      </c>
      <c r="H1623" s="5" t="s">
        <v>5178</v>
      </c>
      <c r="I1623" s="24" t="str">
        <f>HYPERLINK("https://www.bilibili.com/video/BV1kQ4y1z7WD?p=80", "BV1kQ4y1z7WD?p=80")</f>
        <v>BV1kQ4y1z7WD?p=80</v>
      </c>
      <c r="J1623" s="4" t="str">
        <f ca="1">_xlfn.IFNA(VLOOKUP(INDIRECT("G"&amp;ROW()),minfo!$A:$M,COLUMN()-8,0),"")</f>
        <v>一生等你</v>
      </c>
      <c r="K1623" s="4" t="str">
        <f ca="1">_xlfn.IFNA(VLOOKUP(INDIRECT("G"&amp;ROW()),minfo!$A:$M,COLUMN()-8,0),"")</f>
        <v>袁娅维TIA RAY</v>
      </c>
      <c r="L1623" s="4">
        <f ca="1">_xlfn.IFNA(VLOOKUP(INDIRECT("G"&amp;ROW()),minfo!$A:$M,COLUMN()-8,0),"")</f>
        <v>0</v>
      </c>
      <c r="M1623" s="4">
        <f ca="1">_xlfn.IFNA(VLOOKUP(INDIRECT("G"&amp;ROW()),minfo!$A:$M,COLUMN()-8,0),"")</f>
        <v>0</v>
      </c>
      <c r="N1623" s="4">
        <f ca="1">_xlfn.IFNA(VLOOKUP(INDIRECT("G"&amp;ROW()),minfo!$A:$M,COLUMN()-8,0),"")</f>
        <v>0</v>
      </c>
      <c r="O1623" s="4" t="str">
        <f ca="1">_xlfn.IFNA(VLOOKUP(INDIRECT("G"&amp;ROW()),minfo!$A:$M,COLUMN()-8,0),"")</f>
        <v>http://i0.hdslb.com/bfs/station_src/music_metadata/6b290dc35e11386d12c150c4f46c485e.jpg</v>
      </c>
      <c r="P1623" s="4">
        <f ca="1">_xlfn.IFNA(VLOOKUP(INDIRECT("G"&amp;ROW()),minfo!$A:$M,COLUMN()-8,0),"")</f>
        <v>0</v>
      </c>
      <c r="Q1623" s="4">
        <f ca="1">_xlfn.IFNA(VLOOKUP(INDIRECT("G"&amp;ROW()),minfo!$A:$M,COLUMN()-8,0),"")</f>
        <v>541</v>
      </c>
      <c r="R1623" s="4" t="str">
        <f ca="1">_xlfn.IFNA(VLOOKUP(INDIRECT("G"&amp;ROW()),minfo!$A:$M,COLUMN()-8,0),"")</f>
        <v>《媚者无疆》电视剧主题曲</v>
      </c>
      <c r="S1623" s="4" t="str">
        <f ca="1">_xlfn.IFNA(VLOOKUP(INDIRECT("G"&amp;ROW()),minfo!$A:$M,COLUMN()-8,0),"")</f>
        <v>媚者无疆 电视剧原声带</v>
      </c>
      <c r="T1623" s="4">
        <f ca="1">_xlfn.IFNA(VLOOKUP(INDIRECT("G"&amp;ROW()),minfo!$A:$M,COLUMN()-8,0),"")</f>
        <v>100001088</v>
      </c>
      <c r="U1623" s="4">
        <f ca="1">_xlfn.IFNA(VLOOKUP(INDIRECT("G"&amp;ROW()),minfo!$A:$M,COLUMN()-8,0),"")</f>
        <v>0</v>
      </c>
    </row>
    <row r="1624" spans="1:21" ht="15.75" customHeight="1">
      <c r="A1624" s="15">
        <v>1623</v>
      </c>
      <c r="B1624" s="4" t="s">
        <v>5262</v>
      </c>
      <c r="C1624" s="4">
        <v>1624</v>
      </c>
      <c r="D1624" s="4">
        <v>81</v>
      </c>
      <c r="E1624" s="4" t="s">
        <v>26</v>
      </c>
      <c r="F1624" s="16">
        <v>44197</v>
      </c>
      <c r="G1624" s="5" t="s">
        <v>25</v>
      </c>
      <c r="H1624" s="5" t="s">
        <v>5178</v>
      </c>
      <c r="I1624" s="24" t="str">
        <f>HYPERLINK("https://www.bilibili.com/video/BV1kQ4y1z7WD?p=81", "BV1kQ4y1z7WD?p=81")</f>
        <v>BV1kQ4y1z7WD?p=81</v>
      </c>
      <c r="J1624" s="4" t="str">
        <f ca="1">_xlfn.IFNA(VLOOKUP(INDIRECT("G"&amp;ROW()),minfo!$A:$M,COLUMN()-8,0),"")</f>
        <v>失落沙洲</v>
      </c>
      <c r="K1624" s="4" t="str">
        <f ca="1">_xlfn.IFNA(VLOOKUP(INDIRECT("G"&amp;ROW()),minfo!$A:$M,COLUMN()-8,0),"")</f>
        <v>徐佳莹</v>
      </c>
      <c r="L1624" s="4">
        <f ca="1">_xlfn.IFNA(VLOOKUP(INDIRECT("G"&amp;ROW()),minfo!$A:$M,COLUMN()-8,0),"")</f>
        <v>0</v>
      </c>
      <c r="M1624" s="4">
        <f ca="1">_xlfn.IFNA(VLOOKUP(INDIRECT("G"&amp;ROW()),minfo!$A:$M,COLUMN()-8,0),"")</f>
        <v>72</v>
      </c>
      <c r="N1624" s="4">
        <f ca="1">_xlfn.IFNA(VLOOKUP(INDIRECT("G"&amp;ROW()),minfo!$A:$M,COLUMN()-8,0),"")</f>
        <v>18</v>
      </c>
      <c r="O1624" s="4" t="str">
        <f ca="1">_xlfn.IFNA(VLOOKUP(INDIRECT("G"&amp;ROW()),minfo!$A:$M,COLUMN()-8,0),"")</f>
        <v>http://i0.hdslb.com/bfs/station_src/music_metadata/7f95eaafe5cfc03dd6c22a1bac11aee8.jpg</v>
      </c>
      <c r="P1624" s="4">
        <f ca="1">_xlfn.IFNA(VLOOKUP(INDIRECT("G"&amp;ROW()),minfo!$A:$M,COLUMN()-8,0),"")</f>
        <v>0</v>
      </c>
      <c r="Q1624" s="4">
        <f ca="1">_xlfn.IFNA(VLOOKUP(INDIRECT("G"&amp;ROW()),minfo!$A:$M,COLUMN()-8,0),"")</f>
        <v>51</v>
      </c>
      <c r="R1624" s="4">
        <f ca="1">_xlfn.IFNA(VLOOKUP(INDIRECT("G"&amp;ROW()),minfo!$A:$M,COLUMN()-8,0),"")</f>
        <v>0</v>
      </c>
      <c r="S1624" s="4" t="str">
        <f ca="1">_xlfn.IFNA(VLOOKUP(INDIRECT("G"&amp;ROW()),minfo!$A:$M,COLUMN()-8,0),"")</f>
        <v>失落沙洲</v>
      </c>
      <c r="T1624" s="4">
        <f ca="1">_xlfn.IFNA(VLOOKUP(INDIRECT("G"&amp;ROW()),minfo!$A:$M,COLUMN()-8,0),"")</f>
        <v>13227275</v>
      </c>
      <c r="U1624" s="4">
        <f ca="1">_xlfn.IFNA(VLOOKUP(INDIRECT("G"&amp;ROW()),minfo!$A:$M,COLUMN()-8,0),"")</f>
        <v>0</v>
      </c>
    </row>
    <row r="1625" spans="1:21" ht="15.75" customHeight="1">
      <c r="A1625" s="15">
        <v>1624</v>
      </c>
      <c r="B1625" s="4" t="s">
        <v>5263</v>
      </c>
      <c r="C1625" s="4">
        <v>1625</v>
      </c>
      <c r="D1625" s="4">
        <v>82</v>
      </c>
      <c r="E1625" s="4" t="s">
        <v>445</v>
      </c>
      <c r="F1625" s="16">
        <v>44197</v>
      </c>
      <c r="G1625" s="5" t="s">
        <v>444</v>
      </c>
      <c r="H1625" s="5" t="s">
        <v>5178</v>
      </c>
      <c r="I1625" s="24" t="str">
        <f>HYPERLINK("https://www.bilibili.com/video/BV1kQ4y1z7WD?p=82", "BV1kQ4y1z7WD?p=82")</f>
        <v>BV1kQ4y1z7WD?p=82</v>
      </c>
      <c r="J1625" s="4" t="str">
        <f ca="1">_xlfn.IFNA(VLOOKUP(INDIRECT("G"&amp;ROW()),minfo!$A:$M,COLUMN()-8,0),"")</f>
        <v>残酷月光</v>
      </c>
      <c r="K1625" s="4" t="str">
        <f ca="1">_xlfn.IFNA(VLOOKUP(INDIRECT("G"&amp;ROW()),minfo!$A:$M,COLUMN()-8,0),"")</f>
        <v>林宥嘉</v>
      </c>
      <c r="L1625" s="4">
        <f ca="1">_xlfn.IFNA(VLOOKUP(INDIRECT("G"&amp;ROW()),minfo!$A:$M,COLUMN()-8,0),"")</f>
        <v>0</v>
      </c>
      <c r="M1625" s="4">
        <f ca="1">_xlfn.IFNA(VLOOKUP(INDIRECT("G"&amp;ROW()),minfo!$A:$M,COLUMN()-8,0),"")</f>
        <v>0</v>
      </c>
      <c r="N1625" s="4">
        <f ca="1">_xlfn.IFNA(VLOOKUP(INDIRECT("G"&amp;ROW()),minfo!$A:$M,COLUMN()-8,0),"")</f>
        <v>0</v>
      </c>
      <c r="O1625" s="4" t="str">
        <f ca="1">_xlfn.IFNA(VLOOKUP(INDIRECT("G"&amp;ROW()),minfo!$A:$M,COLUMN()-8,0),"")</f>
        <v>https://i0.hdslb.com/bfs/station_src/music_metadata/ce9ac424f4b7f0eefa82ac853ca376b9.jpg</v>
      </c>
      <c r="P1625" s="4" t="str">
        <f ca="1">_xlfn.IFNA(VLOOKUP(INDIRECT("G"&amp;ROW()),minfo!$A:$M,COLUMN()-8,0),"")</f>
        <v>http://i0.hdslb.com/bfs/station_src/music_metadata/7ac56c3c98e60f9cff717672bce72537</v>
      </c>
      <c r="Q1625" s="4">
        <f ca="1">_xlfn.IFNA(VLOOKUP(INDIRECT("G"&amp;ROW()),minfo!$A:$M,COLUMN()-8,0),"")</f>
        <v>181</v>
      </c>
      <c r="R1625" s="4">
        <f ca="1">_xlfn.IFNA(VLOOKUP(INDIRECT("G"&amp;ROW()),minfo!$A:$M,COLUMN()-8,0),"")</f>
        <v>0</v>
      </c>
      <c r="S1625" s="4" t="str">
        <f ca="1">_xlfn.IFNA(VLOOKUP(INDIRECT("G"&amp;ROW()),minfo!$A:$M,COLUMN()-8,0),"")</f>
        <v>神秘嘉宾</v>
      </c>
      <c r="T1625" s="4">
        <f ca="1">_xlfn.IFNA(VLOOKUP(INDIRECT("G"&amp;ROW()),minfo!$A:$M,COLUMN()-8,0),"")</f>
        <v>44513923</v>
      </c>
      <c r="U1625" s="4">
        <f ca="1">_xlfn.IFNA(VLOOKUP(INDIRECT("G"&amp;ROW()),minfo!$A:$M,COLUMN()-8,0),"")</f>
        <v>0</v>
      </c>
    </row>
    <row r="1626" spans="1:21" ht="15.75" customHeight="1">
      <c r="A1626" s="15">
        <v>1625</v>
      </c>
      <c r="B1626" s="4" t="s">
        <v>5264</v>
      </c>
      <c r="C1626" s="4">
        <v>1626</v>
      </c>
      <c r="D1626" s="4">
        <v>83</v>
      </c>
      <c r="E1626" s="4" t="s">
        <v>451</v>
      </c>
      <c r="F1626" s="16">
        <v>44197</v>
      </c>
      <c r="G1626" s="5" t="s">
        <v>450</v>
      </c>
      <c r="H1626" s="5" t="s">
        <v>5178</v>
      </c>
      <c r="I1626" s="24" t="str">
        <f>HYPERLINK("https://www.bilibili.com/video/BV1kQ4y1z7WD?p=83", "BV1kQ4y1z7WD?p=83")</f>
        <v>BV1kQ4y1z7WD?p=83</v>
      </c>
      <c r="J1626" s="4" t="str">
        <f ca="1">_xlfn.IFNA(VLOOKUP(INDIRECT("G"&amp;ROW()),minfo!$A:$M,COLUMN()-8,0),"")</f>
        <v>浪费</v>
      </c>
      <c r="K1626" s="4" t="str">
        <f ca="1">_xlfn.IFNA(VLOOKUP(INDIRECT("G"&amp;ROW()),minfo!$A:$M,COLUMN()-8,0),"")</f>
        <v>林宥嘉</v>
      </c>
      <c r="L1626" s="4">
        <f ca="1">_xlfn.IFNA(VLOOKUP(INDIRECT("G"&amp;ROW()),minfo!$A:$M,COLUMN()-8,0),"")</f>
        <v>0</v>
      </c>
      <c r="M1626" s="4">
        <f ca="1">_xlfn.IFNA(VLOOKUP(INDIRECT("G"&amp;ROW()),minfo!$A:$M,COLUMN()-8,0),"")</f>
        <v>0</v>
      </c>
      <c r="N1626" s="4">
        <f ca="1">_xlfn.IFNA(VLOOKUP(INDIRECT("G"&amp;ROW()),minfo!$A:$M,COLUMN()-8,0),"")</f>
        <v>0</v>
      </c>
      <c r="O1626" s="4" t="str">
        <f ca="1">_xlfn.IFNA(VLOOKUP(INDIRECT("G"&amp;ROW()),minfo!$A:$M,COLUMN()-8,0),"")</f>
        <v>https://i0.hdslb.com/bfs/station_src/music_metadata/8edf4a71ca316f37452096e7b421ff83.jpg</v>
      </c>
      <c r="P1626" s="4" t="str">
        <f ca="1">_xlfn.IFNA(VLOOKUP(INDIRECT("G"&amp;ROW()),minfo!$A:$M,COLUMN()-8,0),"")</f>
        <v>http://i0.hdslb.com/bfs/station_src/music_metadata/7e20539e61bdd7fecdadac6a3f4ae620</v>
      </c>
      <c r="Q1626" s="4">
        <f ca="1">_xlfn.IFNA(VLOOKUP(INDIRECT("G"&amp;ROW()),minfo!$A:$M,COLUMN()-8,0),"")</f>
        <v>87</v>
      </c>
      <c r="R1626" s="4">
        <f ca="1">_xlfn.IFNA(VLOOKUP(INDIRECT("G"&amp;ROW()),minfo!$A:$M,COLUMN()-8,0),"")</f>
        <v>0</v>
      </c>
      <c r="S1626" s="4" t="str">
        <f ca="1">_xlfn.IFNA(VLOOKUP(INDIRECT("G"&amp;ROW()),minfo!$A:$M,COLUMN()-8,0),"")</f>
        <v>大小说家</v>
      </c>
      <c r="T1626" s="4">
        <f ca="1">_xlfn.IFNA(VLOOKUP(INDIRECT("G"&amp;ROW()),minfo!$A:$M,COLUMN()-8,0),"")</f>
        <v>47590404</v>
      </c>
      <c r="U1626" s="4">
        <f ca="1">_xlfn.IFNA(VLOOKUP(INDIRECT("G"&amp;ROW()),minfo!$A:$M,COLUMN()-8,0),"")</f>
        <v>0</v>
      </c>
    </row>
    <row r="1627" spans="1:21" ht="15.75" customHeight="1">
      <c r="A1627" s="15">
        <v>1626</v>
      </c>
      <c r="B1627" s="4" t="s">
        <v>5265</v>
      </c>
      <c r="C1627" s="4">
        <v>1627</v>
      </c>
      <c r="D1627" s="4">
        <v>84</v>
      </c>
      <c r="E1627" s="4" t="s">
        <v>1441</v>
      </c>
      <c r="F1627" s="16">
        <v>44197</v>
      </c>
      <c r="G1627" s="5" t="s">
        <v>1440</v>
      </c>
      <c r="H1627" s="5" t="s">
        <v>5178</v>
      </c>
      <c r="I1627" s="24" t="str">
        <f>HYPERLINK("https://www.bilibili.com/video/BV1kQ4y1z7WD?p=84", "BV1kQ4y1z7WD?p=84")</f>
        <v>BV1kQ4y1z7WD?p=84</v>
      </c>
      <c r="J1627" s="4" t="str">
        <f ca="1">_xlfn.IFNA(VLOOKUP(INDIRECT("G"&amp;ROW()),minfo!$A:$M,COLUMN()-8,0),"")</f>
        <v>看得最远的地方</v>
      </c>
      <c r="K1627" s="4" t="str">
        <f ca="1">_xlfn.IFNA(VLOOKUP(INDIRECT("G"&amp;ROW()),minfo!$A:$M,COLUMN()-8,0),"")</f>
        <v>张韶涵</v>
      </c>
      <c r="L1627" s="4">
        <f ca="1">_xlfn.IFNA(VLOOKUP(INDIRECT("G"&amp;ROW()),minfo!$A:$M,COLUMN()-8,0),"")</f>
        <v>0</v>
      </c>
      <c r="M1627" s="4">
        <f ca="1">_xlfn.IFNA(VLOOKUP(INDIRECT("G"&amp;ROW()),minfo!$A:$M,COLUMN()-8,0),"")</f>
        <v>0</v>
      </c>
      <c r="N1627" s="4">
        <f ca="1">_xlfn.IFNA(VLOOKUP(INDIRECT("G"&amp;ROW()),minfo!$A:$M,COLUMN()-8,0),"")</f>
        <v>0</v>
      </c>
      <c r="O1627" s="4" t="str">
        <f ca="1">_xlfn.IFNA(VLOOKUP(INDIRECT("G"&amp;ROW()),minfo!$A:$M,COLUMN()-8,0),"")</f>
        <v>http://i0.hdslb.com/bfs/station_src/music_metadata/9322541561a8ea8bf5994345bd442ee0.jpg</v>
      </c>
      <c r="P1627" s="4" t="str">
        <f ca="1">_xlfn.IFNA(VLOOKUP(INDIRECT("G"&amp;ROW()),minfo!$A:$M,COLUMN()-8,0),"")</f>
        <v>http://i0.hdslb.com/bfs/station_src/music_metadata/12ffa6a40a1d3e55c4c95c5bf8cf65b6</v>
      </c>
      <c r="Q1627" s="4">
        <f ca="1">_xlfn.IFNA(VLOOKUP(INDIRECT("G"&amp;ROW()),minfo!$A:$M,COLUMN()-8,0),"")</f>
        <v>550</v>
      </c>
      <c r="R1627" s="4" t="str">
        <f ca="1">_xlfn.IFNA(VLOOKUP(INDIRECT("G"&amp;ROW()),minfo!$A:$M,COLUMN()-8,0),"")</f>
        <v>《爱的谎言》韩剧片尾曲</v>
      </c>
      <c r="S1627" s="4" t="str">
        <f ca="1">_xlfn.IFNA(VLOOKUP(INDIRECT("G"&amp;ROW()),minfo!$A:$M,COLUMN()-8,0),"")</f>
        <v>非常完美 电影原声带</v>
      </c>
      <c r="T1627" s="4">
        <f ca="1">_xlfn.IFNA(VLOOKUP(INDIRECT("G"&amp;ROW()),minfo!$A:$M,COLUMN()-8,0),"")</f>
        <v>168634997</v>
      </c>
      <c r="U1627" s="4">
        <f ca="1">_xlfn.IFNA(VLOOKUP(INDIRECT("G"&amp;ROW()),minfo!$A:$M,COLUMN()-8,0),"")</f>
        <v>0</v>
      </c>
    </row>
    <row r="1628" spans="1:21" ht="15.75" customHeight="1">
      <c r="A1628" s="15">
        <v>1627</v>
      </c>
      <c r="B1628" s="4" t="s">
        <v>5266</v>
      </c>
      <c r="C1628" s="4">
        <v>1628</v>
      </c>
      <c r="D1628" s="4">
        <v>85</v>
      </c>
      <c r="E1628" s="4" t="s">
        <v>259</v>
      </c>
      <c r="F1628" s="16">
        <v>44197</v>
      </c>
      <c r="G1628" s="5" t="s">
        <v>258</v>
      </c>
      <c r="H1628" s="5" t="s">
        <v>5178</v>
      </c>
      <c r="I1628" s="24" t="str">
        <f>HYPERLINK("https://www.bilibili.com/video/BV1kQ4y1z7WD?p=85", "BV1kQ4y1z7WD?p=85")</f>
        <v>BV1kQ4y1z7WD?p=85</v>
      </c>
      <c r="J1628" s="4" t="str">
        <f ca="1">_xlfn.IFNA(VLOOKUP(INDIRECT("G"&amp;ROW()),minfo!$A:$M,COLUMN()-8,0),"")</f>
        <v>枫</v>
      </c>
      <c r="K1628" s="4" t="str">
        <f ca="1">_xlfn.IFNA(VLOOKUP(INDIRECT("G"&amp;ROW()),minfo!$A:$M,COLUMN()-8,0),"")</f>
        <v>周杰伦</v>
      </c>
      <c r="L1628" s="4">
        <f ca="1">_xlfn.IFNA(VLOOKUP(INDIRECT("G"&amp;ROW()),minfo!$A:$M,COLUMN()-8,0),"")</f>
        <v>0</v>
      </c>
      <c r="M1628" s="4">
        <f ca="1">_xlfn.IFNA(VLOOKUP(INDIRECT("G"&amp;ROW()),minfo!$A:$M,COLUMN()-8,0),"")</f>
        <v>0</v>
      </c>
      <c r="N1628" s="4">
        <f ca="1">_xlfn.IFNA(VLOOKUP(INDIRECT("G"&amp;ROW()),minfo!$A:$M,COLUMN()-8,0),"")</f>
        <v>0</v>
      </c>
      <c r="O1628" s="4" t="str">
        <f ca="1">_xlfn.IFNA(VLOOKUP(INDIRECT("G"&amp;ROW()),minfo!$A:$M,COLUMN()-8,0),"")</f>
        <v>https://i0.hdslb.com/bfs/station_src/music_metadata/fb82b0fb2908b09d88ba13ef0db91863.jpg</v>
      </c>
      <c r="P1628" s="4" t="str">
        <f ca="1">_xlfn.IFNA(VLOOKUP(INDIRECT("G"&amp;ROW()),minfo!$A:$M,COLUMN()-8,0),"")</f>
        <v>http://i0.hdslb.com/bfs/station_src/music_metadata/9b1e7a89ea3eead8b8c6b32cdb30abd9</v>
      </c>
      <c r="Q1628" s="4">
        <f ca="1">_xlfn.IFNA(VLOOKUP(INDIRECT("G"&amp;ROW()),minfo!$A:$M,COLUMN()-8,0),"")</f>
        <v>6002</v>
      </c>
      <c r="R1628" s="4">
        <f ca="1">_xlfn.IFNA(VLOOKUP(INDIRECT("G"&amp;ROW()),minfo!$A:$M,COLUMN()-8,0),"")</f>
        <v>0</v>
      </c>
      <c r="S1628" s="4" t="str">
        <f ca="1">_xlfn.IFNA(VLOOKUP(INDIRECT("G"&amp;ROW()),minfo!$A:$M,COLUMN()-8,0),"")</f>
        <v>十一月的萧邦</v>
      </c>
      <c r="T1628" s="4">
        <f ca="1">_xlfn.IFNA(VLOOKUP(INDIRECT("G"&amp;ROW()),minfo!$A:$M,COLUMN()-8,0),"")</f>
        <v>560749777</v>
      </c>
      <c r="U1628" s="4">
        <f ca="1">_xlfn.IFNA(VLOOKUP(INDIRECT("G"&amp;ROW()),minfo!$A:$M,COLUMN()-8,0),"")</f>
        <v>0</v>
      </c>
    </row>
    <row r="1629" spans="1:21" ht="15.75" customHeight="1">
      <c r="A1629" s="15">
        <v>1628</v>
      </c>
      <c r="B1629" s="4" t="s">
        <v>5267</v>
      </c>
      <c r="C1629" s="4">
        <v>1629</v>
      </c>
      <c r="D1629" s="4">
        <v>86</v>
      </c>
      <c r="E1629" s="4" t="s">
        <v>2921</v>
      </c>
      <c r="F1629" s="16">
        <v>44197</v>
      </c>
      <c r="G1629" s="5" t="s">
        <v>2920</v>
      </c>
      <c r="H1629" s="5" t="s">
        <v>5178</v>
      </c>
      <c r="I1629" s="24" t="str">
        <f>HYPERLINK("https://www.bilibili.com/video/BV1kQ4y1z7WD?p=86", "BV1kQ4y1z7WD?p=86")</f>
        <v>BV1kQ4y1z7WD?p=86</v>
      </c>
      <c r="J1629" s="4" t="str">
        <f ca="1">_xlfn.IFNA(VLOOKUP(INDIRECT("G"&amp;ROW()),minfo!$A:$M,COLUMN()-8,0),"")</f>
        <v>后会无期</v>
      </c>
      <c r="K1629" s="4" t="str">
        <f ca="1">_xlfn.IFNA(VLOOKUP(INDIRECT("G"&amp;ROW()),minfo!$A:$M,COLUMN()-8,0),"")</f>
        <v>G.E.M. 邓紫棋</v>
      </c>
      <c r="L1629" s="4">
        <f ca="1">_xlfn.IFNA(VLOOKUP(INDIRECT("G"&amp;ROW()),minfo!$A:$M,COLUMN()-8,0),"")</f>
        <v>0</v>
      </c>
      <c r="M1629" s="4">
        <f ca="1">_xlfn.IFNA(VLOOKUP(INDIRECT("G"&amp;ROW()),minfo!$A:$M,COLUMN()-8,0),"")</f>
        <v>0</v>
      </c>
      <c r="N1629" s="4">
        <f ca="1">_xlfn.IFNA(VLOOKUP(INDIRECT("G"&amp;ROW()),minfo!$A:$M,COLUMN()-8,0),"")</f>
        <v>0</v>
      </c>
      <c r="O1629" s="4" t="str">
        <f ca="1">_xlfn.IFNA(VLOOKUP(INDIRECT("G"&amp;ROW()),minfo!$A:$M,COLUMN()-8,0),"")</f>
        <v>https://i0.hdslb.com/bfs/station_src/music_metadata/59acc49ce3141fb40eb8085a23c465b5.jpg</v>
      </c>
      <c r="P1629" s="4" t="str">
        <f ca="1">_xlfn.IFNA(VLOOKUP(INDIRECT("G"&amp;ROW()),minfo!$A:$M,COLUMN()-8,0),"")</f>
        <v>https://i0.hdslb.com/bfs/station_src/music_metadata/c02c910c44a6e489b0c6dcf933624d23.txt</v>
      </c>
      <c r="Q1629" s="4">
        <f ca="1">_xlfn.IFNA(VLOOKUP(INDIRECT("G"&amp;ROW()),minfo!$A:$M,COLUMN()-8,0),"")</f>
        <v>97</v>
      </c>
      <c r="R1629" s="4" t="str">
        <f ca="1">_xlfn.IFNA(VLOOKUP(INDIRECT("G"&amp;ROW()),minfo!$A:$M,COLUMN()-8,0),"")</f>
        <v>《后会无期》电影同名主题歌</v>
      </c>
      <c r="S1629" s="4" t="str">
        <f ca="1">_xlfn.IFNA(VLOOKUP(INDIRECT("G"&amp;ROW()),minfo!$A:$M,COLUMN()-8,0),"")</f>
        <v>后会无期 电影原声带</v>
      </c>
      <c r="T1629" s="4">
        <f ca="1">_xlfn.IFNA(VLOOKUP(INDIRECT("G"&amp;ROW()),minfo!$A:$M,COLUMN()-8,0),"")</f>
        <v>69541837</v>
      </c>
      <c r="U1629" s="4">
        <f ca="1">_xlfn.IFNA(VLOOKUP(INDIRECT("G"&amp;ROW()),minfo!$A:$M,COLUMN()-8,0),"")</f>
        <v>0</v>
      </c>
    </row>
    <row r="1630" spans="1:21" ht="15.75" customHeight="1">
      <c r="A1630" s="15">
        <v>1629</v>
      </c>
      <c r="B1630" s="4" t="s">
        <v>5268</v>
      </c>
      <c r="C1630" s="4">
        <v>1630</v>
      </c>
      <c r="D1630" s="4">
        <v>87</v>
      </c>
      <c r="E1630" s="4" t="s">
        <v>1923</v>
      </c>
      <c r="F1630" s="16">
        <v>44197</v>
      </c>
      <c r="G1630" s="5" t="s">
        <v>1922</v>
      </c>
      <c r="H1630" s="5" t="s">
        <v>5178</v>
      </c>
      <c r="I1630" s="24" t="str">
        <f>HYPERLINK("https://www.bilibili.com/video/BV1kQ4y1z7WD?p=87", "BV1kQ4y1z7WD?p=87")</f>
        <v>BV1kQ4y1z7WD?p=87</v>
      </c>
      <c r="J1630" s="4" t="str">
        <f ca="1">_xlfn.IFNA(VLOOKUP(INDIRECT("G"&amp;ROW()),minfo!$A:$M,COLUMN()-8,0),"")</f>
        <v>在水一方</v>
      </c>
      <c r="K1630" s="4" t="str">
        <f ca="1">_xlfn.IFNA(VLOOKUP(INDIRECT("G"&amp;ROW()),minfo!$A:$M,COLUMN()-8,0),"")</f>
        <v>邓丽君</v>
      </c>
      <c r="L1630" s="4">
        <f ca="1">_xlfn.IFNA(VLOOKUP(INDIRECT("G"&amp;ROW()),minfo!$A:$M,COLUMN()-8,0),"")</f>
        <v>0</v>
      </c>
      <c r="M1630" s="4">
        <f ca="1">_xlfn.IFNA(VLOOKUP(INDIRECT("G"&amp;ROW()),minfo!$A:$M,COLUMN()-8,0),"")</f>
        <v>0</v>
      </c>
      <c r="N1630" s="4">
        <f ca="1">_xlfn.IFNA(VLOOKUP(INDIRECT("G"&amp;ROW()),minfo!$A:$M,COLUMN()-8,0),"")</f>
        <v>0</v>
      </c>
      <c r="O1630" s="4" t="str">
        <f ca="1">_xlfn.IFNA(VLOOKUP(INDIRECT("G"&amp;ROW()),minfo!$A:$M,COLUMN()-8,0),"")</f>
        <v>https://i0.hdslb.com/bfs/station_src/music_metadata/175674bd7923821572887bc818ee2513.jpg</v>
      </c>
      <c r="P1630" s="4" t="str">
        <f ca="1">_xlfn.IFNA(VLOOKUP(INDIRECT("G"&amp;ROW()),minfo!$A:$M,COLUMN()-8,0),"")</f>
        <v>http://i0.hdslb.com/bfs/station_src/music_metadata/5f76295c7b03d1917761b2babaf3ebff</v>
      </c>
      <c r="Q1630" s="4">
        <f ca="1">_xlfn.IFNA(VLOOKUP(INDIRECT("G"&amp;ROW()),minfo!$A:$M,COLUMN()-8,0),"")</f>
        <v>777</v>
      </c>
      <c r="R1630" s="4">
        <f ca="1">_xlfn.IFNA(VLOOKUP(INDIRECT("G"&amp;ROW()),minfo!$A:$M,COLUMN()-8,0),"")</f>
        <v>0</v>
      </c>
      <c r="S1630" s="4" t="str">
        <f ca="1">_xlfn.IFNA(VLOOKUP(INDIRECT("G"&amp;ROW()),minfo!$A:$M,COLUMN()-8,0),"")</f>
        <v>恋君情深 永恒巨星 邓丽君 第二乐章</v>
      </c>
      <c r="T1630" s="4">
        <f ca="1">_xlfn.IFNA(VLOOKUP(INDIRECT("G"&amp;ROW()),minfo!$A:$M,COLUMN()-8,0),"")</f>
        <v>131989323</v>
      </c>
      <c r="U1630" s="4">
        <f ca="1">_xlfn.IFNA(VLOOKUP(INDIRECT("G"&amp;ROW()),minfo!$A:$M,COLUMN()-8,0),"")</f>
        <v>0</v>
      </c>
    </row>
    <row r="1631" spans="1:21" ht="15.75" customHeight="1">
      <c r="A1631" s="15">
        <v>1630</v>
      </c>
      <c r="B1631" s="4" t="s">
        <v>5269</v>
      </c>
      <c r="C1631" s="4">
        <v>1631</v>
      </c>
      <c r="D1631" s="4">
        <v>88</v>
      </c>
      <c r="E1631" s="4" t="s">
        <v>3035</v>
      </c>
      <c r="F1631" s="16">
        <v>44197</v>
      </c>
      <c r="G1631" s="5" t="s">
        <v>3034</v>
      </c>
      <c r="H1631" s="5" t="s">
        <v>5178</v>
      </c>
      <c r="I1631" s="24" t="str">
        <f>HYPERLINK("https://www.bilibili.com/video/BV1kQ4y1z7WD?p=88", "BV1kQ4y1z7WD?p=88")</f>
        <v>BV1kQ4y1z7WD?p=88</v>
      </c>
      <c r="J1631" s="4" t="str">
        <f ca="1">_xlfn.IFNA(VLOOKUP(INDIRECT("G"&amp;ROW()),minfo!$A:$M,COLUMN()-8,0),"")</f>
        <v>我期待</v>
      </c>
      <c r="K1631" s="4" t="str">
        <f ca="1">_xlfn.IFNA(VLOOKUP(INDIRECT("G"&amp;ROW()),minfo!$A:$M,COLUMN()-8,0),"")</f>
        <v>张雨生</v>
      </c>
      <c r="L1631" s="4">
        <f ca="1">_xlfn.IFNA(VLOOKUP(INDIRECT("G"&amp;ROW()),minfo!$A:$M,COLUMN()-8,0),"")</f>
        <v>0</v>
      </c>
      <c r="M1631" s="4">
        <f ca="1">_xlfn.IFNA(VLOOKUP(INDIRECT("G"&amp;ROW()),minfo!$A:$M,COLUMN()-8,0),"")</f>
        <v>0</v>
      </c>
      <c r="N1631" s="4">
        <f ca="1">_xlfn.IFNA(VLOOKUP(INDIRECT("G"&amp;ROW()),minfo!$A:$M,COLUMN()-8,0),"")</f>
        <v>0</v>
      </c>
      <c r="O1631" s="4" t="str">
        <f ca="1">_xlfn.IFNA(VLOOKUP(INDIRECT("G"&amp;ROW()),minfo!$A:$M,COLUMN()-8,0),"")</f>
        <v>https://i0.hdslb.com/bfs/station_src/music_metadata/ae4743be720bf95c67f9e9ece645177b.jpg</v>
      </c>
      <c r="P1631" s="4" t="str">
        <f ca="1">_xlfn.IFNA(VLOOKUP(INDIRECT("G"&amp;ROW()),minfo!$A:$M,COLUMN()-8,0),"")</f>
        <v>http://i0.hdslb.com/bfs/station_src/music_metadata/9eec8ac74e8e0b5db63c9530f2b3ed6c</v>
      </c>
      <c r="Q1631" s="4">
        <f ca="1">_xlfn.IFNA(VLOOKUP(INDIRECT("G"&amp;ROW()),minfo!$A:$M,COLUMN()-8,0),"")</f>
        <v>236</v>
      </c>
      <c r="R1631" s="4">
        <f ca="1">_xlfn.IFNA(VLOOKUP(INDIRECT("G"&amp;ROW()),minfo!$A:$M,COLUMN()-8,0),"")</f>
        <v>0</v>
      </c>
      <c r="S1631" s="4" t="str">
        <f ca="1">_xlfn.IFNA(VLOOKUP(INDIRECT("G"&amp;ROW()),minfo!$A:$M,COLUMN()-8,0),"")</f>
        <v>卡拉OK.台北.我</v>
      </c>
      <c r="T1631" s="4">
        <f ca="1">_xlfn.IFNA(VLOOKUP(INDIRECT("G"&amp;ROW()),minfo!$A:$M,COLUMN()-8,0),"")</f>
        <v>26084115</v>
      </c>
      <c r="U1631" s="4" t="str">
        <f ca="1">_xlfn.IFNA(VLOOKUP(INDIRECT("G"&amp;ROW()),minfo!$A:$M,COLUMN()-8,0),"")</f>
        <v>音乐榜最高NO.2</v>
      </c>
    </row>
    <row r="1632" spans="1:21" ht="15.75" customHeight="1">
      <c r="A1632" s="15">
        <v>1631</v>
      </c>
      <c r="B1632" s="4" t="s">
        <v>5270</v>
      </c>
      <c r="C1632" s="4">
        <v>1632</v>
      </c>
      <c r="D1632" s="4">
        <v>89</v>
      </c>
      <c r="E1632" s="4" t="s">
        <v>359</v>
      </c>
      <c r="F1632" s="16">
        <v>44197</v>
      </c>
      <c r="G1632" s="5" t="s">
        <v>358</v>
      </c>
      <c r="H1632" s="5" t="s">
        <v>5178</v>
      </c>
      <c r="I1632" s="24" t="str">
        <f>HYPERLINK("https://www.bilibili.com/video/BV1kQ4y1z7WD?p=89", "BV1kQ4y1z7WD?p=89")</f>
        <v>BV1kQ4y1z7WD?p=89</v>
      </c>
      <c r="J1632" s="4" t="str">
        <f ca="1">_xlfn.IFNA(VLOOKUP(INDIRECT("G"&amp;ROW()),minfo!$A:$M,COLUMN()-8,0),"")</f>
        <v>不要忘记我爱你</v>
      </c>
      <c r="K1632" s="4" t="str">
        <f ca="1">_xlfn.IFNA(VLOOKUP(INDIRECT("G"&amp;ROW()),minfo!$A:$M,COLUMN()-8,0),"")</f>
        <v>张碧晨</v>
      </c>
      <c r="L1632" s="4">
        <f ca="1">_xlfn.IFNA(VLOOKUP(INDIRECT("G"&amp;ROW()),minfo!$A:$M,COLUMN()-8,0),"")</f>
        <v>0</v>
      </c>
      <c r="M1632" s="4">
        <f ca="1">_xlfn.IFNA(VLOOKUP(INDIRECT("G"&amp;ROW()),minfo!$A:$M,COLUMN()-8,0),"")</f>
        <v>0</v>
      </c>
      <c r="N1632" s="4">
        <f ca="1">_xlfn.IFNA(VLOOKUP(INDIRECT("G"&amp;ROW()),minfo!$A:$M,COLUMN()-8,0),"")</f>
        <v>0</v>
      </c>
      <c r="O1632" s="4" t="str">
        <f ca="1">_xlfn.IFNA(VLOOKUP(INDIRECT("G"&amp;ROW()),minfo!$A:$M,COLUMN()-8,0),"")</f>
        <v>https://i0.hdslb.com/bfs/station_src/music_metadata/89a4b343c6ddfcb41c83a237c9ede180.jpg</v>
      </c>
      <c r="P1632" s="4" t="str">
        <f ca="1">_xlfn.IFNA(VLOOKUP(INDIRECT("G"&amp;ROW()),minfo!$A:$M,COLUMN()-8,0),"")</f>
        <v>https://i0.hdslb.com/bfs/station_src/music_metadata/fb8463eff10dadf3902c622968acef08.txt</v>
      </c>
      <c r="Q1632" s="4">
        <f ca="1">_xlfn.IFNA(VLOOKUP(INDIRECT("G"&amp;ROW()),minfo!$A:$M,COLUMN()-8,0),"")</f>
        <v>314</v>
      </c>
      <c r="R1632" s="4" t="str">
        <f ca="1">_xlfn.IFNA(VLOOKUP(INDIRECT("G"&amp;ROW()),minfo!$A:$M,COLUMN()-8,0),"")</f>
        <v>《神犬小七》电视剧主题曲|《麻辣变形计第一季》电视剧主题曲</v>
      </c>
      <c r="S1632" s="4" t="str">
        <f ca="1">_xlfn.IFNA(VLOOKUP(INDIRECT("G"&amp;ROW()),minfo!$A:$M,COLUMN()-8,0),"")</f>
        <v>电视剧《神犬小七》</v>
      </c>
      <c r="T1632" s="4">
        <f ca="1">_xlfn.IFNA(VLOOKUP(INDIRECT("G"&amp;ROW()),minfo!$A:$M,COLUMN()-8,0),"")</f>
        <v>93242865</v>
      </c>
      <c r="U1632" s="4">
        <f ca="1">_xlfn.IFNA(VLOOKUP(INDIRECT("G"&amp;ROW()),minfo!$A:$M,COLUMN()-8,0),"")</f>
        <v>0</v>
      </c>
    </row>
    <row r="1633" spans="1:21" ht="15.75" customHeight="1">
      <c r="A1633" s="15">
        <v>1632</v>
      </c>
      <c r="B1633" s="4" t="s">
        <v>5271</v>
      </c>
      <c r="C1633" s="4">
        <v>1633</v>
      </c>
      <c r="D1633" s="4">
        <v>90</v>
      </c>
      <c r="E1633" s="4" t="s">
        <v>2224</v>
      </c>
      <c r="F1633" s="16">
        <v>44197</v>
      </c>
      <c r="G1633" s="5" t="s">
        <v>2223</v>
      </c>
      <c r="H1633" s="5" t="s">
        <v>5178</v>
      </c>
      <c r="I1633" s="24" t="str">
        <f>HYPERLINK("https://www.bilibili.com/video/BV1kQ4y1z7WD?p=90", "BV1kQ4y1z7WD?p=90")</f>
        <v>BV1kQ4y1z7WD?p=90</v>
      </c>
      <c r="J1633" s="4" t="str">
        <f ca="1">_xlfn.IFNA(VLOOKUP(INDIRECT("G"&amp;ROW()),minfo!$A:$M,COLUMN()-8,0),"")</f>
        <v>最美的期待</v>
      </c>
      <c r="K1633" s="4" t="str">
        <f ca="1">_xlfn.IFNA(VLOOKUP(INDIRECT("G"&amp;ROW()),minfo!$A:$M,COLUMN()-8,0),"")</f>
        <v>周笔畅</v>
      </c>
      <c r="L1633" s="4">
        <f ca="1">_xlfn.IFNA(VLOOKUP(INDIRECT("G"&amp;ROW()),minfo!$A:$M,COLUMN()-8,0),"")</f>
        <v>0</v>
      </c>
      <c r="M1633" s="4">
        <f ca="1">_xlfn.IFNA(VLOOKUP(INDIRECT("G"&amp;ROW()),minfo!$A:$M,COLUMN()-8,0),"")</f>
        <v>0</v>
      </c>
      <c r="N1633" s="4">
        <f ca="1">_xlfn.IFNA(VLOOKUP(INDIRECT("G"&amp;ROW()),minfo!$A:$M,COLUMN()-8,0),"")</f>
        <v>0</v>
      </c>
      <c r="O1633" s="4" t="str">
        <f ca="1">_xlfn.IFNA(VLOOKUP(INDIRECT("G"&amp;ROW()),minfo!$A:$M,COLUMN()-8,0),"")</f>
        <v>https://i0.hdslb.com/bfs/station_src/music_metadata/f2a2a8c93cd09a6682d0a39064813d69.jpg</v>
      </c>
      <c r="P1633" s="4" t="str">
        <f ca="1">_xlfn.IFNA(VLOOKUP(INDIRECT("G"&amp;ROW()),minfo!$A:$M,COLUMN()-8,0),"")</f>
        <v>http://i0.hdslb.com/bfs/station_src/music_metadata/76dd4b0f588d1a3ad4d799d610379778</v>
      </c>
      <c r="Q1633" s="4">
        <f ca="1">_xlfn.IFNA(VLOOKUP(INDIRECT("G"&amp;ROW()),minfo!$A:$M,COLUMN()-8,0),"")</f>
        <v>635</v>
      </c>
      <c r="R1633" s="4" t="str">
        <f ca="1">_xlfn.IFNA(VLOOKUP(INDIRECT("G"&amp;ROW()),minfo!$A:$M,COLUMN()-8,0),"")</f>
        <v>《茧镇奇缘》电视剧片头曲</v>
      </c>
      <c r="S1633" s="4" t="str">
        <f ca="1">_xlfn.IFNA(VLOOKUP(INDIRECT("G"&amp;ROW()),minfo!$A:$M,COLUMN()-8,0),"")</f>
        <v>最美的期待</v>
      </c>
      <c r="T1633" s="4">
        <f ca="1">_xlfn.IFNA(VLOOKUP(INDIRECT("G"&amp;ROW()),minfo!$A:$M,COLUMN()-8,0),"")</f>
        <v>333836783</v>
      </c>
      <c r="U1633" s="4">
        <f ca="1">_xlfn.IFNA(VLOOKUP(INDIRECT("G"&amp;ROW()),minfo!$A:$M,COLUMN()-8,0),"")</f>
        <v>0</v>
      </c>
    </row>
    <row r="1634" spans="1:21" ht="15.75" customHeight="1">
      <c r="A1634" s="15">
        <v>1633</v>
      </c>
      <c r="B1634" s="4" t="s">
        <v>5272</v>
      </c>
      <c r="C1634" s="4">
        <v>1634</v>
      </c>
      <c r="D1634" s="4">
        <v>91</v>
      </c>
      <c r="E1634" s="4" t="s">
        <v>930</v>
      </c>
      <c r="F1634" s="16">
        <v>44197</v>
      </c>
      <c r="G1634" s="5" t="s">
        <v>929</v>
      </c>
      <c r="H1634" s="5" t="s">
        <v>5178</v>
      </c>
      <c r="I1634" s="24" t="str">
        <f>HYPERLINK("https://www.bilibili.com/video/BV1kQ4y1z7WD?p=91", "BV1kQ4y1z7WD?p=91")</f>
        <v>BV1kQ4y1z7WD?p=91</v>
      </c>
      <c r="J1634" s="4" t="str">
        <f ca="1">_xlfn.IFNA(VLOOKUP(INDIRECT("G"&amp;ROW()),minfo!$A:$M,COLUMN()-8,0),"")</f>
        <v>蝶恋花</v>
      </c>
      <c r="K1634" s="4" t="str">
        <f ca="1">_xlfn.IFNA(VLOOKUP(INDIRECT("G"&amp;ROW()),minfo!$A:$M,COLUMN()-8,0),"")</f>
        <v>说说Crystal</v>
      </c>
      <c r="L1634" s="4">
        <f ca="1">_xlfn.IFNA(VLOOKUP(INDIRECT("G"&amp;ROW()),minfo!$A:$M,COLUMN()-8,0),"")</f>
        <v>0</v>
      </c>
      <c r="M1634" s="4">
        <f ca="1">_xlfn.IFNA(VLOOKUP(INDIRECT("G"&amp;ROW()),minfo!$A:$M,COLUMN()-8,0),"")</f>
        <v>0</v>
      </c>
      <c r="N1634" s="4">
        <f ca="1">_xlfn.IFNA(VLOOKUP(INDIRECT("G"&amp;ROW()),minfo!$A:$M,COLUMN()-8,0),"")</f>
        <v>0</v>
      </c>
      <c r="O1634" s="4" t="str">
        <f ca="1">_xlfn.IFNA(VLOOKUP(INDIRECT("G"&amp;ROW()),minfo!$A:$M,COLUMN()-8,0),"")</f>
        <v>https://i0.hdslb.com/bfs/station_src/music_metadata/1f79684c02756b9086386bb0054e5df4.jpg</v>
      </c>
      <c r="P1634" s="4" t="str">
        <f ca="1">_xlfn.IFNA(VLOOKUP(INDIRECT("G"&amp;ROW()),minfo!$A:$M,COLUMN()-8,0),"")</f>
        <v>https://i0.hdslb.com/bfs/station_src/music_metadata/4f297640d47e7f96e96f64cfd258bb5f.txt</v>
      </c>
      <c r="Q1634" s="4">
        <f ca="1">_xlfn.IFNA(VLOOKUP(INDIRECT("G"&amp;ROW()),minfo!$A:$M,COLUMN()-8,0),"")</f>
        <v>1</v>
      </c>
      <c r="R1634" s="4">
        <f ca="1">_xlfn.IFNA(VLOOKUP(INDIRECT("G"&amp;ROW()),minfo!$A:$M,COLUMN()-8,0),"")</f>
        <v>0</v>
      </c>
      <c r="S1634" s="4" t="str">
        <f ca="1">_xlfn.IFNA(VLOOKUP(INDIRECT("G"&amp;ROW()),minfo!$A:$M,COLUMN()-8,0),"")</f>
        <v>蝶恋花</v>
      </c>
      <c r="T1634" s="4">
        <f ca="1">_xlfn.IFNA(VLOOKUP(INDIRECT("G"&amp;ROW()),minfo!$A:$M,COLUMN()-8,0),"")</f>
        <v>514547</v>
      </c>
      <c r="U1634" s="4">
        <f ca="1">_xlfn.IFNA(VLOOKUP(INDIRECT("G"&amp;ROW()),minfo!$A:$M,COLUMN()-8,0),"")</f>
        <v>0</v>
      </c>
    </row>
    <row r="1635" spans="1:21" ht="15.75" customHeight="1">
      <c r="A1635" s="15">
        <v>1634</v>
      </c>
      <c r="B1635" s="4" t="s">
        <v>5273</v>
      </c>
      <c r="C1635" s="4">
        <v>1635</v>
      </c>
      <c r="D1635" s="4">
        <v>92</v>
      </c>
      <c r="E1635" s="4" t="s">
        <v>1529</v>
      </c>
      <c r="F1635" s="16">
        <v>44197</v>
      </c>
      <c r="G1635" s="5" t="s">
        <v>1528</v>
      </c>
      <c r="H1635" s="5" t="s">
        <v>5178</v>
      </c>
      <c r="I1635" s="24" t="str">
        <f>HYPERLINK("https://www.bilibili.com/video/BV1kQ4y1z7WD?p=92", "BV1kQ4y1z7WD?p=92")</f>
        <v>BV1kQ4y1z7WD?p=92</v>
      </c>
      <c r="J1635" s="4" t="str">
        <f ca="1">_xlfn.IFNA(VLOOKUP(INDIRECT("G"&amp;ROW()),minfo!$A:$M,COLUMN()-8,0),"")</f>
        <v>大鱼</v>
      </c>
      <c r="K1635" s="4" t="str">
        <f ca="1">_xlfn.IFNA(VLOOKUP(INDIRECT("G"&amp;ROW()),minfo!$A:$M,COLUMN()-8,0),"")</f>
        <v>周深</v>
      </c>
      <c r="L1635" s="4">
        <f ca="1">_xlfn.IFNA(VLOOKUP(INDIRECT("G"&amp;ROW()),minfo!$A:$M,COLUMN()-8,0),"")</f>
        <v>0</v>
      </c>
      <c r="M1635" s="4">
        <f ca="1">_xlfn.IFNA(VLOOKUP(INDIRECT("G"&amp;ROW()),minfo!$A:$M,COLUMN()-8,0),"")</f>
        <v>0</v>
      </c>
      <c r="N1635" s="4">
        <f ca="1">_xlfn.IFNA(VLOOKUP(INDIRECT("G"&amp;ROW()),minfo!$A:$M,COLUMN()-8,0),"")</f>
        <v>0</v>
      </c>
      <c r="O1635" s="4" t="str">
        <f ca="1">_xlfn.IFNA(VLOOKUP(INDIRECT("G"&amp;ROW()),minfo!$A:$M,COLUMN()-8,0),"")</f>
        <v>http://i0.hdslb.com/bfs/station_src/music_metadata/8a70d72d1642278d2951984ed21f64b8.jpg</v>
      </c>
      <c r="P1635" s="4" t="str">
        <f ca="1">_xlfn.IFNA(VLOOKUP(INDIRECT("G"&amp;ROW()),minfo!$A:$M,COLUMN()-8,0),"")</f>
        <v>http://i0.hdslb.com/bfs/station_src/music_metadata/1ca26ab8b49fda9fd7daa1b9e44e8cab</v>
      </c>
      <c r="Q1635" s="4">
        <f ca="1">_xlfn.IFNA(VLOOKUP(INDIRECT("G"&amp;ROW()),minfo!$A:$M,COLUMN()-8,0),"")</f>
        <v>2637</v>
      </c>
      <c r="R1635" s="4" t="str">
        <f ca="1">_xlfn.IFNA(VLOOKUP(INDIRECT("G"&amp;ROW()),minfo!$A:$M,COLUMN()-8,0),"")</f>
        <v>《大鱼海棠》动画电影印象曲</v>
      </c>
      <c r="S1635" s="4" t="str">
        <f ca="1">_xlfn.IFNA(VLOOKUP(INDIRECT("G"&amp;ROW()),minfo!$A:$M,COLUMN()-8,0),"")</f>
        <v>大鱼</v>
      </c>
      <c r="T1635" s="4">
        <f ca="1">_xlfn.IFNA(VLOOKUP(INDIRECT("G"&amp;ROW()),minfo!$A:$M,COLUMN()-8,0),"")</f>
        <v>1065218649</v>
      </c>
      <c r="U1635" s="4">
        <f ca="1">_xlfn.IFNA(VLOOKUP(INDIRECT("G"&amp;ROW()),minfo!$A:$M,COLUMN()-8,0),"")</f>
        <v>0</v>
      </c>
    </row>
    <row r="1636" spans="1:21" ht="15.75" customHeight="1">
      <c r="A1636" s="15">
        <v>1635</v>
      </c>
      <c r="B1636" s="4" t="s">
        <v>5274</v>
      </c>
      <c r="C1636" s="4">
        <v>1636</v>
      </c>
      <c r="D1636" s="4">
        <v>93</v>
      </c>
      <c r="E1636" s="4" t="s">
        <v>711</v>
      </c>
      <c r="F1636" s="16">
        <v>44197</v>
      </c>
      <c r="G1636" s="5" t="s">
        <v>2051</v>
      </c>
      <c r="H1636" s="5" t="s">
        <v>5178</v>
      </c>
      <c r="I1636" s="24" t="str">
        <f>HYPERLINK("https://www.bilibili.com/video/BV1kQ4y1z7WD?p=93", "BV1kQ4y1z7WD?p=93")</f>
        <v>BV1kQ4y1z7WD?p=93</v>
      </c>
      <c r="J1636" s="4" t="str">
        <f ca="1">_xlfn.IFNA(VLOOKUP(INDIRECT("G"&amp;ROW()),minfo!$A:$M,COLUMN()-8,0),"")</f>
        <v>阿刁</v>
      </c>
      <c r="K1636" s="4" t="str">
        <f ca="1">_xlfn.IFNA(VLOOKUP(INDIRECT("G"&amp;ROW()),minfo!$A:$M,COLUMN()-8,0),"")</f>
        <v>张韶涵</v>
      </c>
      <c r="L1636" s="4">
        <f ca="1">_xlfn.IFNA(VLOOKUP(INDIRECT("G"&amp;ROW()),minfo!$A:$M,COLUMN()-8,0),"")</f>
        <v>0</v>
      </c>
      <c r="M1636" s="4">
        <f ca="1">_xlfn.IFNA(VLOOKUP(INDIRECT("G"&amp;ROW()),minfo!$A:$M,COLUMN()-8,0),"")</f>
        <v>0</v>
      </c>
      <c r="N1636" s="4">
        <f ca="1">_xlfn.IFNA(VLOOKUP(INDIRECT("G"&amp;ROW()),minfo!$A:$M,COLUMN()-8,0),"")</f>
        <v>0</v>
      </c>
      <c r="O1636" s="4" t="str">
        <f ca="1">_xlfn.IFNA(VLOOKUP(INDIRECT("G"&amp;ROW()),minfo!$A:$M,COLUMN()-8,0),"")</f>
        <v>https://i0.hdslb.com/bfs/station_src/music_metadata/6c24faf59e5fa21424cc5032ad5bcef5.jpg</v>
      </c>
      <c r="P1636" s="4" t="str">
        <f ca="1">_xlfn.IFNA(VLOOKUP(INDIRECT("G"&amp;ROW()),minfo!$A:$M,COLUMN()-8,0),"")</f>
        <v>https://i0.hdslb.com/bfs/station_src/music_metadata/de8d4d08b4e50ba36afa87d4c2a63d1e.txt</v>
      </c>
      <c r="Q1636" s="4">
        <f ca="1">_xlfn.IFNA(VLOOKUP(INDIRECT("G"&amp;ROW()),minfo!$A:$M,COLUMN()-8,0),"")</f>
        <v>13</v>
      </c>
      <c r="R1636" s="4">
        <f ca="1">_xlfn.IFNA(VLOOKUP(INDIRECT("G"&amp;ROW()),minfo!$A:$M,COLUMN()-8,0),"")</f>
        <v>0</v>
      </c>
      <c r="S1636" s="4" t="str">
        <f ca="1">_xlfn.IFNA(VLOOKUP(INDIRECT("G"&amp;ROW()),minfo!$A:$M,COLUMN()-8,0),"")</f>
        <v>阿刁（翻张韶涵版本）</v>
      </c>
      <c r="T1636" s="4">
        <f ca="1">_xlfn.IFNA(VLOOKUP(INDIRECT("G"&amp;ROW()),minfo!$A:$M,COLUMN()-8,0),"")</f>
        <v>69550159</v>
      </c>
      <c r="U1636" s="4">
        <f ca="1">_xlfn.IFNA(VLOOKUP(INDIRECT("G"&amp;ROW()),minfo!$A:$M,COLUMN()-8,0),"")</f>
        <v>0</v>
      </c>
    </row>
    <row r="1637" spans="1:21" ht="15.75" customHeight="1">
      <c r="A1637" s="15">
        <v>1636</v>
      </c>
      <c r="B1637" s="4" t="s">
        <v>5275</v>
      </c>
      <c r="D1637" s="4">
        <v>1</v>
      </c>
      <c r="E1637" s="4" t="s">
        <v>259</v>
      </c>
      <c r="F1637" s="16">
        <v>45352</v>
      </c>
      <c r="G1637" s="5" t="s">
        <v>258</v>
      </c>
      <c r="H1637" s="5" t="s">
        <v>5276</v>
      </c>
      <c r="I1637" s="24" t="str">
        <f>HYPERLINK("https://www.bilibili.com/video/BV1oF4m1G7Du", "BV1oF4m1G7Du")</f>
        <v>BV1oF4m1G7Du</v>
      </c>
      <c r="J1637" s="4" t="str">
        <f ca="1">_xlfn.IFNA(VLOOKUP(INDIRECT("G"&amp;ROW()),minfo!$A:$M,COLUMN()-8,0),"")</f>
        <v>枫</v>
      </c>
      <c r="K1637" s="4" t="str">
        <f ca="1">_xlfn.IFNA(VLOOKUP(INDIRECT("G"&amp;ROW()),minfo!$A:$M,COLUMN()-8,0),"")</f>
        <v>周杰伦</v>
      </c>
      <c r="L1637" s="4">
        <f ca="1">_xlfn.IFNA(VLOOKUP(INDIRECT("G"&amp;ROW()),minfo!$A:$M,COLUMN()-8,0),"")</f>
        <v>0</v>
      </c>
      <c r="M1637" s="4">
        <f ca="1">_xlfn.IFNA(VLOOKUP(INDIRECT("G"&amp;ROW()),minfo!$A:$M,COLUMN()-8,0),"")</f>
        <v>0</v>
      </c>
      <c r="N1637" s="4">
        <f ca="1">_xlfn.IFNA(VLOOKUP(INDIRECT("G"&amp;ROW()),minfo!$A:$M,COLUMN()-8,0),"")</f>
        <v>0</v>
      </c>
      <c r="O1637" s="4" t="str">
        <f ca="1">_xlfn.IFNA(VLOOKUP(INDIRECT("G"&amp;ROW()),minfo!$A:$M,COLUMN()-8,0),"")</f>
        <v>https://i0.hdslb.com/bfs/station_src/music_metadata/fb82b0fb2908b09d88ba13ef0db91863.jpg</v>
      </c>
      <c r="P1637" s="4" t="str">
        <f ca="1">_xlfn.IFNA(VLOOKUP(INDIRECT("G"&amp;ROW()),minfo!$A:$M,COLUMN()-8,0),"")</f>
        <v>http://i0.hdslb.com/bfs/station_src/music_metadata/9b1e7a89ea3eead8b8c6b32cdb30abd9</v>
      </c>
      <c r="Q1637" s="4">
        <f ca="1">_xlfn.IFNA(VLOOKUP(INDIRECT("G"&amp;ROW()),minfo!$A:$M,COLUMN()-8,0),"")</f>
        <v>6002</v>
      </c>
      <c r="R1637" s="4">
        <f ca="1">_xlfn.IFNA(VLOOKUP(INDIRECT("G"&amp;ROW()),minfo!$A:$M,COLUMN()-8,0),"")</f>
        <v>0</v>
      </c>
      <c r="S1637" s="4" t="str">
        <f ca="1">_xlfn.IFNA(VLOOKUP(INDIRECT("G"&amp;ROW()),minfo!$A:$M,COLUMN()-8,0),"")</f>
        <v>十一月的萧邦</v>
      </c>
      <c r="T1637" s="4">
        <f ca="1">_xlfn.IFNA(VLOOKUP(INDIRECT("G"&amp;ROW()),minfo!$A:$M,COLUMN()-8,0),"")</f>
        <v>560749777</v>
      </c>
      <c r="U1637" s="4">
        <f ca="1">_xlfn.IFNA(VLOOKUP(INDIRECT("G"&amp;ROW()),minfo!$A:$M,COLUMN()-8,0),"")</f>
        <v>0</v>
      </c>
    </row>
    <row r="1638" spans="1:21" ht="15.75" customHeight="1">
      <c r="A1638" s="15">
        <v>1637</v>
      </c>
      <c r="B1638" s="4" t="s">
        <v>5277</v>
      </c>
      <c r="D1638" s="4">
        <v>1</v>
      </c>
      <c r="E1638" s="4" t="s">
        <v>150</v>
      </c>
      <c r="F1638" s="16">
        <v>45352</v>
      </c>
      <c r="G1638" s="5" t="s">
        <v>149</v>
      </c>
      <c r="H1638" s="5" t="s">
        <v>5278</v>
      </c>
      <c r="I1638" s="24" t="str">
        <f>HYPERLINK("https://www.bilibili.com/video/BV1GC411a7PN", "BV1GC411a7PN")</f>
        <v>BV1GC411a7PN</v>
      </c>
      <c r="J1638" s="4" t="str">
        <f ca="1">_xlfn.IFNA(VLOOKUP(INDIRECT("G"&amp;ROW()),minfo!$A:$M,COLUMN()-8,0),"")</f>
        <v>繁华唱遍</v>
      </c>
      <c r="K1638" s="4" t="str">
        <f ca="1">_xlfn.IFNA(VLOOKUP(INDIRECT("G"&amp;ROW()),minfo!$A:$M,COLUMN()-8,0),"")</f>
        <v>乐正绫</v>
      </c>
      <c r="L1638" s="4">
        <f ca="1">_xlfn.IFNA(VLOOKUP(INDIRECT("G"&amp;ROW()),minfo!$A:$M,COLUMN()-8,0),"")</f>
        <v>0</v>
      </c>
      <c r="M1638" s="4">
        <f ca="1">_xlfn.IFNA(VLOOKUP(INDIRECT("G"&amp;ROW()),minfo!$A:$M,COLUMN()-8,0),"")</f>
        <v>277</v>
      </c>
      <c r="N1638" s="4">
        <f ca="1">_xlfn.IFNA(VLOOKUP(INDIRECT("G"&amp;ROW()),minfo!$A:$M,COLUMN()-8,0),"")</f>
        <v>2</v>
      </c>
      <c r="O1638" s="4">
        <f ca="1">_xlfn.IFNA(VLOOKUP(INDIRECT("G"&amp;ROW()),minfo!$A:$M,COLUMN()-8,0),"")</f>
        <v>0</v>
      </c>
      <c r="P1638" s="4">
        <f ca="1">_xlfn.IFNA(VLOOKUP(INDIRECT("G"&amp;ROW()),minfo!$A:$M,COLUMN()-8,0),"")</f>
        <v>0</v>
      </c>
      <c r="Q1638" s="4">
        <f ca="1">_xlfn.IFNA(VLOOKUP(INDIRECT("G"&amp;ROW()),minfo!$A:$M,COLUMN()-8,0),"")</f>
        <v>156</v>
      </c>
      <c r="R1638" s="4">
        <f ca="1">_xlfn.IFNA(VLOOKUP(INDIRECT("G"&amp;ROW()),minfo!$A:$M,COLUMN()-8,0),"")</f>
        <v>0</v>
      </c>
      <c r="S1638" s="4">
        <f ca="1">_xlfn.IFNA(VLOOKUP(INDIRECT("G"&amp;ROW()),minfo!$A:$M,COLUMN()-8,0),"")</f>
        <v>0</v>
      </c>
      <c r="T1638" s="4">
        <f ca="1">_xlfn.IFNA(VLOOKUP(INDIRECT("G"&amp;ROW()),minfo!$A:$M,COLUMN()-8,0),"")</f>
        <v>71832236</v>
      </c>
      <c r="U1638" s="4">
        <f ca="1">_xlfn.IFNA(VLOOKUP(INDIRECT("G"&amp;ROW()),minfo!$A:$M,COLUMN()-8,0),"")</f>
        <v>0</v>
      </c>
    </row>
    <row r="1639" spans="1:21" ht="15.75" customHeight="1">
      <c r="A1639" s="15">
        <v>1638</v>
      </c>
      <c r="B1639" s="4" t="s">
        <v>5279</v>
      </c>
      <c r="D1639" s="4">
        <v>1</v>
      </c>
      <c r="E1639" s="4" t="s">
        <v>1289</v>
      </c>
      <c r="F1639" s="16">
        <v>45352</v>
      </c>
      <c r="G1639" s="5" t="s">
        <v>1288</v>
      </c>
      <c r="H1639" s="5" t="s">
        <v>5280</v>
      </c>
      <c r="I1639" s="24" t="str">
        <f>HYPERLINK("https://www.bilibili.com/video/BV1yt421t7MD", "BV1yt421t7MD")</f>
        <v>BV1yt421t7MD</v>
      </c>
      <c r="J1639" s="4" t="str">
        <f ca="1">_xlfn.IFNA(VLOOKUP(INDIRECT("G"&amp;ROW()),minfo!$A:$M,COLUMN()-8,0),"")</f>
        <v>孤独娱乐</v>
      </c>
      <c r="K1639" s="4" t="str">
        <f ca="1">_xlfn.IFNA(VLOOKUP(INDIRECT("G"&amp;ROW()),minfo!$A:$M,COLUMN()-8,0),"")</f>
        <v>林俊杰</v>
      </c>
      <c r="L1639" s="4">
        <f ca="1">_xlfn.IFNA(VLOOKUP(INDIRECT("G"&amp;ROW()),minfo!$A:$M,COLUMN()-8,0),"")</f>
        <v>0</v>
      </c>
      <c r="M1639" s="4">
        <f ca="1">_xlfn.IFNA(VLOOKUP(INDIRECT("G"&amp;ROW()),minfo!$A:$M,COLUMN()-8,0),"")</f>
        <v>0</v>
      </c>
      <c r="N1639" s="4">
        <f ca="1">_xlfn.IFNA(VLOOKUP(INDIRECT("G"&amp;ROW()),minfo!$A:$M,COLUMN()-8,0),"")</f>
        <v>0</v>
      </c>
      <c r="O1639" s="4" t="str">
        <f ca="1">_xlfn.IFNA(VLOOKUP(INDIRECT("G"&amp;ROW()),minfo!$A:$M,COLUMN()-8,0),"")</f>
        <v>http://i0.hdslb.com/bfs/station_src/music_metadata/84561b5e1d6e1dfa852adcf51e34eb8f.jpg</v>
      </c>
      <c r="P1639" s="4">
        <f ca="1">_xlfn.IFNA(VLOOKUP(INDIRECT("G"&amp;ROW()),minfo!$A:$M,COLUMN()-8,0),"")</f>
        <v>0</v>
      </c>
      <c r="Q1639" s="4">
        <f ca="1">_xlfn.IFNA(VLOOKUP(INDIRECT("G"&amp;ROW()),minfo!$A:$M,COLUMN()-8,0),"")</f>
        <v>79</v>
      </c>
      <c r="R1639" s="4">
        <f ca="1">_xlfn.IFNA(VLOOKUP(INDIRECT("G"&amp;ROW()),minfo!$A:$M,COLUMN()-8,0),"")</f>
        <v>0</v>
      </c>
      <c r="S1639" s="4" t="str">
        <f ca="1">_xlfn.IFNA(VLOOKUP(INDIRECT("G"&amp;ROW()),minfo!$A:$M,COLUMN()-8,0),"")</f>
        <v>重拾_快乐</v>
      </c>
      <c r="T1639" s="4">
        <f ca="1">_xlfn.IFNA(VLOOKUP(INDIRECT("G"&amp;ROW()),minfo!$A:$M,COLUMN()-8,0),"")</f>
        <v>19753956</v>
      </c>
      <c r="U1639" s="4">
        <f ca="1">_xlfn.IFNA(VLOOKUP(INDIRECT("G"&amp;ROW()),minfo!$A:$M,COLUMN()-8,0),"")</f>
        <v>0</v>
      </c>
    </row>
    <row r="1640" spans="1:21" ht="15.75" customHeight="1">
      <c r="A1640" s="15">
        <v>1639</v>
      </c>
      <c r="B1640" s="4" t="s">
        <v>5281</v>
      </c>
      <c r="D1640" s="4">
        <v>1</v>
      </c>
      <c r="E1640" s="4" t="s">
        <v>30</v>
      </c>
      <c r="F1640" s="16">
        <v>45350</v>
      </c>
      <c r="G1640" s="5" t="s">
        <v>29</v>
      </c>
      <c r="H1640" s="5" t="s">
        <v>5282</v>
      </c>
      <c r="I1640" s="24" t="str">
        <f>HYPERLINK("https://www.bilibili.com/video/BV1KS421A7Ej", "BV1KS421A7Ej")</f>
        <v>BV1KS421A7Ej</v>
      </c>
      <c r="J1640" s="4" t="str">
        <f ca="1">_xlfn.IFNA(VLOOKUP(INDIRECT("G"&amp;ROW()),minfo!$A:$M,COLUMN()-8,0),"")</f>
        <v>下雨天</v>
      </c>
      <c r="K1640" s="4" t="str">
        <f ca="1">_xlfn.IFNA(VLOOKUP(INDIRECT("G"&amp;ROW()),minfo!$A:$M,COLUMN()-8,0),"")</f>
        <v>南拳妈妈</v>
      </c>
      <c r="L1640" s="4">
        <f ca="1">_xlfn.IFNA(VLOOKUP(INDIRECT("G"&amp;ROW()),minfo!$A:$M,COLUMN()-8,0),"")</f>
        <v>0</v>
      </c>
      <c r="M1640" s="4">
        <f ca="1">_xlfn.IFNA(VLOOKUP(INDIRECT("G"&amp;ROW()),minfo!$A:$M,COLUMN()-8,0),"")</f>
        <v>0</v>
      </c>
      <c r="N1640" s="4">
        <f ca="1">_xlfn.IFNA(VLOOKUP(INDIRECT("G"&amp;ROW()),minfo!$A:$M,COLUMN()-8,0),"")</f>
        <v>0</v>
      </c>
      <c r="O1640" s="4" t="str">
        <f ca="1">_xlfn.IFNA(VLOOKUP(INDIRECT("G"&amp;ROW()),minfo!$A:$M,COLUMN()-8,0),"")</f>
        <v>http://i0.hdslb.com/bfs/station_src/music_metadata/11894af49c3a6335acdcff5503de93ca.jpg</v>
      </c>
      <c r="P1640" s="4" t="str">
        <f ca="1">_xlfn.IFNA(VLOOKUP(INDIRECT("G"&amp;ROW()),minfo!$A:$M,COLUMN()-8,0),"")</f>
        <v>http://i0.hdslb.com/bfs/station_src/music_metadata/7562376c6e398641a1432bf3281bc565</v>
      </c>
      <c r="Q1640" s="4">
        <f ca="1">_xlfn.IFNA(VLOOKUP(INDIRECT("G"&amp;ROW()),minfo!$A:$M,COLUMN()-8,0),"")</f>
        <v>1858</v>
      </c>
      <c r="R1640" s="4">
        <f ca="1">_xlfn.IFNA(VLOOKUP(INDIRECT("G"&amp;ROW()),minfo!$A:$M,COLUMN()-8,0),"")</f>
        <v>0</v>
      </c>
      <c r="S1640" s="4" t="str">
        <f ca="1">_xlfn.IFNA(VLOOKUP(INDIRECT("G"&amp;ROW()),minfo!$A:$M,COLUMN()-8,0),"")</f>
        <v>优の良曲 南搞小孩</v>
      </c>
      <c r="T1640" s="4">
        <f ca="1">_xlfn.IFNA(VLOOKUP(INDIRECT("G"&amp;ROW()),minfo!$A:$M,COLUMN()-8,0),"")</f>
        <v>282780877</v>
      </c>
      <c r="U1640" s="4" t="str">
        <f ca="1">_xlfn.IFNA(VLOOKUP(INDIRECT("G"&amp;ROW()),minfo!$A:$M,COLUMN()-8,0),"")</f>
        <v>音乐榜最高NO.14</v>
      </c>
    </row>
    <row r="1641" spans="1:21" ht="15.75" customHeight="1">
      <c r="A1641" s="15">
        <v>1640</v>
      </c>
      <c r="B1641" s="4" t="s">
        <v>5283</v>
      </c>
      <c r="D1641" s="4">
        <v>1</v>
      </c>
      <c r="E1641" s="4" t="s">
        <v>347</v>
      </c>
      <c r="F1641" s="16">
        <v>45349</v>
      </c>
      <c r="G1641" s="5" t="s">
        <v>346</v>
      </c>
      <c r="H1641" s="5" t="s">
        <v>5284</v>
      </c>
      <c r="I1641" s="24" t="str">
        <f>HYPERLINK("https://www.bilibili.com/video/BV1A1421f794", "BV1A1421f794")</f>
        <v>BV1A1421f794</v>
      </c>
      <c r="J1641" s="4" t="str">
        <f ca="1">_xlfn.IFNA(VLOOKUP(INDIRECT("G"&amp;ROW()),minfo!$A:$M,COLUMN()-8,0),"")</f>
        <v>雨樱花</v>
      </c>
      <c r="K1641" s="4" t="str">
        <f ca="1">_xlfn.IFNA(VLOOKUP(INDIRECT("G"&amp;ROW()),minfo!$A:$M,COLUMN()-8,0),"")</f>
        <v>F.I.R.飞儿乐团</v>
      </c>
      <c r="L1641" s="4">
        <f ca="1">_xlfn.IFNA(VLOOKUP(INDIRECT("G"&amp;ROW()),minfo!$A:$M,COLUMN()-8,0),"")</f>
        <v>0</v>
      </c>
      <c r="M1641" s="4">
        <f ca="1">_xlfn.IFNA(VLOOKUP(INDIRECT("G"&amp;ROW()),minfo!$A:$M,COLUMN()-8,0),"")</f>
        <v>0</v>
      </c>
      <c r="N1641" s="4">
        <f ca="1">_xlfn.IFNA(VLOOKUP(INDIRECT("G"&amp;ROW()),minfo!$A:$M,COLUMN()-8,0),"")</f>
        <v>0</v>
      </c>
      <c r="O1641" s="4" t="str">
        <f ca="1">_xlfn.IFNA(VLOOKUP(INDIRECT("G"&amp;ROW()),minfo!$A:$M,COLUMN()-8,0),"")</f>
        <v>https://i0.hdslb.com/bfs/station_src/music_metadata/00afd05b69966a9e0c7f56c6963242d8.jpg</v>
      </c>
      <c r="P1641" s="4" t="str">
        <f ca="1">_xlfn.IFNA(VLOOKUP(INDIRECT("G"&amp;ROW()),minfo!$A:$M,COLUMN()-8,0),"")</f>
        <v>http://i0.hdslb.com/bfs/station_src/music_metadata/d8a209457fb9a9d83e2536a27c94344c</v>
      </c>
      <c r="Q1641" s="4">
        <f ca="1">_xlfn.IFNA(VLOOKUP(INDIRECT("G"&amp;ROW()),minfo!$A:$M,COLUMN()-8,0),"")</f>
        <v>39</v>
      </c>
      <c r="R1641" s="4">
        <f ca="1">_xlfn.IFNA(VLOOKUP(INDIRECT("G"&amp;ROW()),minfo!$A:$M,COLUMN()-8,0),"")</f>
        <v>0</v>
      </c>
      <c r="S1641" s="4" t="str">
        <f ca="1">_xlfn.IFNA(VLOOKUP(INDIRECT("G"&amp;ROW()),minfo!$A:$M,COLUMN()-8,0),"")</f>
        <v>飞行部落</v>
      </c>
      <c r="T1641" s="4">
        <f ca="1">_xlfn.IFNA(VLOOKUP(INDIRECT("G"&amp;ROW()),minfo!$A:$M,COLUMN()-8,0),"")</f>
        <v>13683214</v>
      </c>
      <c r="U1641" s="4">
        <f ca="1">_xlfn.IFNA(VLOOKUP(INDIRECT("G"&amp;ROW()),minfo!$A:$M,COLUMN()-8,0),"")</f>
        <v>0</v>
      </c>
    </row>
    <row r="1642" spans="1:21" ht="15.75" customHeight="1">
      <c r="A1642" s="15">
        <v>1641</v>
      </c>
      <c r="B1642" s="4" t="s">
        <v>5285</v>
      </c>
      <c r="D1642" s="4">
        <v>1</v>
      </c>
      <c r="E1642" s="4" t="s">
        <v>5286</v>
      </c>
      <c r="F1642" s="16">
        <v>45349</v>
      </c>
      <c r="G1642" s="5" t="s">
        <v>3099</v>
      </c>
      <c r="H1642" s="5" t="s">
        <v>5287</v>
      </c>
      <c r="I1642" s="24" t="str">
        <f>HYPERLINK("https://www.bilibili.com/video/BV1cH4y1E7oD", "BV1cH4y1E7oD")</f>
        <v>BV1cH4y1E7oD</v>
      </c>
      <c r="J1642" s="4" t="str">
        <f ca="1">_xlfn.IFNA(VLOOKUP(INDIRECT("G"&amp;ROW()),minfo!$A:$M,COLUMN()-8,0),"")</f>
        <v>いつも何度でも</v>
      </c>
      <c r="K1642" s="4" t="str">
        <f ca="1">_xlfn.IFNA(VLOOKUP(INDIRECT("G"&amp;ROW()),minfo!$A:$M,COLUMN()-8,0),"")</f>
        <v>木村弓</v>
      </c>
      <c r="L1642" s="4">
        <f ca="1">_xlfn.IFNA(VLOOKUP(INDIRECT("G"&amp;ROW()),minfo!$A:$M,COLUMN()-8,0),"")</f>
        <v>0</v>
      </c>
      <c r="M1642" s="4">
        <f ca="1">_xlfn.IFNA(VLOOKUP(INDIRECT("G"&amp;ROW()),minfo!$A:$M,COLUMN()-8,0),"")</f>
        <v>0</v>
      </c>
      <c r="N1642" s="4">
        <f ca="1">_xlfn.IFNA(VLOOKUP(INDIRECT("G"&amp;ROW()),minfo!$A:$M,COLUMN()-8,0),"")</f>
        <v>0</v>
      </c>
      <c r="O1642" s="4" t="str">
        <f ca="1">_xlfn.IFNA(VLOOKUP(INDIRECT("G"&amp;ROW()),minfo!$A:$M,COLUMN()-8,0),"")</f>
        <v>https://i0.hdslb.com/bfs/station_src/music_metadata/a74a219e973f8bd4932d44001ff77d73.jpg</v>
      </c>
      <c r="P1642" s="4" t="str">
        <f ca="1">_xlfn.IFNA(VLOOKUP(INDIRECT("G"&amp;ROW()),minfo!$A:$M,COLUMN()-8,0),"")</f>
        <v>http://i0.hdslb.com/bfs/station_src/music_metadata/2d95bba91ac492f063f26203d9fd96e0</v>
      </c>
      <c r="Q1642" s="4">
        <f ca="1">_xlfn.IFNA(VLOOKUP(INDIRECT("G"&amp;ROW()),minfo!$A:$M,COLUMN()-8,0),"")</f>
        <v>6987</v>
      </c>
      <c r="R1642" s="4" t="str">
        <f ca="1">_xlfn.IFNA(VLOOKUP(INDIRECT("G"&amp;ROW()),minfo!$A:$M,COLUMN()-8,0),"")</f>
        <v>《千与千寻》动画电影主题曲|《いつも何度でも》日语版</v>
      </c>
      <c r="S1642" s="4" t="str">
        <f ca="1">_xlfn.IFNA(VLOOKUP(INDIRECT("G"&amp;ROW()),minfo!$A:$M,COLUMN()-8,0),"")</f>
        <v>千と千尋の神隠し サウンドトラック</v>
      </c>
      <c r="T1642" s="4">
        <f ca="1">_xlfn.IFNA(VLOOKUP(INDIRECT("G"&amp;ROW()),minfo!$A:$M,COLUMN()-8,0),"")</f>
        <v>1280393493</v>
      </c>
      <c r="U1642" s="4">
        <f ca="1">_xlfn.IFNA(VLOOKUP(INDIRECT("G"&amp;ROW()),minfo!$A:$M,COLUMN()-8,0),"")</f>
        <v>0</v>
      </c>
    </row>
    <row r="1643" spans="1:21" ht="15.75" customHeight="1">
      <c r="A1643" s="15">
        <v>1642</v>
      </c>
      <c r="B1643" s="4" t="s">
        <v>5288</v>
      </c>
      <c r="D1643" s="4">
        <v>1</v>
      </c>
      <c r="E1643" s="4" t="s">
        <v>1529</v>
      </c>
      <c r="F1643" s="16">
        <v>45349</v>
      </c>
      <c r="G1643" s="5" t="s">
        <v>1528</v>
      </c>
      <c r="H1643" s="5" t="s">
        <v>5289</v>
      </c>
      <c r="I1643" s="24" t="str">
        <f>HYPERLINK("https://www.bilibili.com/video/BV1Qj421S7X6", "BV1Qj421S7X6")</f>
        <v>BV1Qj421S7X6</v>
      </c>
      <c r="J1643" s="4" t="str">
        <f ca="1">_xlfn.IFNA(VLOOKUP(INDIRECT("G"&amp;ROW()),minfo!$A:$M,COLUMN()-8,0),"")</f>
        <v>大鱼</v>
      </c>
      <c r="K1643" s="4" t="str">
        <f ca="1">_xlfn.IFNA(VLOOKUP(INDIRECT("G"&amp;ROW()),minfo!$A:$M,COLUMN()-8,0),"")</f>
        <v>周深</v>
      </c>
      <c r="L1643" s="4">
        <f ca="1">_xlfn.IFNA(VLOOKUP(INDIRECT("G"&amp;ROW()),minfo!$A:$M,COLUMN()-8,0),"")</f>
        <v>0</v>
      </c>
      <c r="M1643" s="4">
        <f ca="1">_xlfn.IFNA(VLOOKUP(INDIRECT("G"&amp;ROW()),minfo!$A:$M,COLUMN()-8,0),"")</f>
        <v>0</v>
      </c>
      <c r="N1643" s="4">
        <f ca="1">_xlfn.IFNA(VLOOKUP(INDIRECT("G"&amp;ROW()),minfo!$A:$M,COLUMN()-8,0),"")</f>
        <v>0</v>
      </c>
      <c r="O1643" s="4" t="str">
        <f ca="1">_xlfn.IFNA(VLOOKUP(INDIRECT("G"&amp;ROW()),minfo!$A:$M,COLUMN()-8,0),"")</f>
        <v>http://i0.hdslb.com/bfs/station_src/music_metadata/8a70d72d1642278d2951984ed21f64b8.jpg</v>
      </c>
      <c r="P1643" s="4" t="str">
        <f ca="1">_xlfn.IFNA(VLOOKUP(INDIRECT("G"&amp;ROW()),minfo!$A:$M,COLUMN()-8,0),"")</f>
        <v>http://i0.hdslb.com/bfs/station_src/music_metadata/1ca26ab8b49fda9fd7daa1b9e44e8cab</v>
      </c>
      <c r="Q1643" s="4">
        <f ca="1">_xlfn.IFNA(VLOOKUP(INDIRECT("G"&amp;ROW()),minfo!$A:$M,COLUMN()-8,0),"")</f>
        <v>2637</v>
      </c>
      <c r="R1643" s="4" t="str">
        <f ca="1">_xlfn.IFNA(VLOOKUP(INDIRECT("G"&amp;ROW()),minfo!$A:$M,COLUMN()-8,0),"")</f>
        <v>《大鱼海棠》动画电影印象曲</v>
      </c>
      <c r="S1643" s="4" t="str">
        <f ca="1">_xlfn.IFNA(VLOOKUP(INDIRECT("G"&amp;ROW()),minfo!$A:$M,COLUMN()-8,0),"")</f>
        <v>大鱼</v>
      </c>
      <c r="T1643" s="4">
        <f ca="1">_xlfn.IFNA(VLOOKUP(INDIRECT("G"&amp;ROW()),minfo!$A:$M,COLUMN()-8,0),"")</f>
        <v>1065218649</v>
      </c>
      <c r="U1643" s="4">
        <f ca="1">_xlfn.IFNA(VLOOKUP(INDIRECT("G"&amp;ROW()),minfo!$A:$M,COLUMN()-8,0),"")</f>
        <v>0</v>
      </c>
    </row>
    <row r="1644" spans="1:21" ht="15.75" customHeight="1">
      <c r="A1644" s="15">
        <v>1643</v>
      </c>
      <c r="B1644" s="4" t="s">
        <v>5290</v>
      </c>
      <c r="D1644" s="4">
        <v>1</v>
      </c>
      <c r="E1644" s="4" t="s">
        <v>1760</v>
      </c>
      <c r="F1644" s="16">
        <v>45349</v>
      </c>
      <c r="G1644" s="5" t="s">
        <v>1759</v>
      </c>
      <c r="H1644" s="5" t="s">
        <v>5291</v>
      </c>
      <c r="I1644" s="24" t="str">
        <f>HYPERLINK("https://www.bilibili.com/video/BV1jj421S7uk", "BV1jj421S7uk")</f>
        <v>BV1jj421S7uk</v>
      </c>
      <c r="J1644" s="4" t="str">
        <f ca="1">_xlfn.IFNA(VLOOKUP(INDIRECT("G"&amp;ROW()),minfo!$A:$M,COLUMN()-8,0),"")</f>
        <v>流沙</v>
      </c>
      <c r="K1644" s="4" t="str">
        <f ca="1">_xlfn.IFNA(VLOOKUP(INDIRECT("G"&amp;ROW()),minfo!$A:$M,COLUMN()-8,0),"")</f>
        <v>陶喆</v>
      </c>
      <c r="L1644" s="4">
        <f ca="1">_xlfn.IFNA(VLOOKUP(INDIRECT("G"&amp;ROW()),minfo!$A:$M,COLUMN()-8,0),"")</f>
        <v>0</v>
      </c>
      <c r="M1644" s="4">
        <f ca="1">_xlfn.IFNA(VLOOKUP(INDIRECT("G"&amp;ROW()),minfo!$A:$M,COLUMN()-8,0),"")</f>
        <v>118332</v>
      </c>
      <c r="N1644" s="4">
        <f ca="1">_xlfn.IFNA(VLOOKUP(INDIRECT("G"&amp;ROW()),minfo!$A:$M,COLUMN()-8,0),"")</f>
        <v>39248</v>
      </c>
      <c r="O1644" s="4" t="str">
        <f ca="1">_xlfn.IFNA(VLOOKUP(INDIRECT("G"&amp;ROW()),minfo!$A:$M,COLUMN()-8,0),"")</f>
        <v>https://i0.hdslb.com/bfs/station_src/music_metadata/3abb213a0a4505c94b03db6cd2a432a2.jpg</v>
      </c>
      <c r="P1644" s="4" t="str">
        <f ca="1">_xlfn.IFNA(VLOOKUP(INDIRECT("G"&amp;ROW()),minfo!$A:$M,COLUMN()-8,0),"")</f>
        <v>http://i0.hdslb.com/bfs/station_src/music_metadata/a0dc9ad65068fe35854808089a4fcbf0</v>
      </c>
      <c r="Q1644" s="4">
        <f ca="1">_xlfn.IFNA(VLOOKUP(INDIRECT("G"&amp;ROW()),minfo!$A:$M,COLUMN()-8,0),"")</f>
        <v>740</v>
      </c>
      <c r="R1644" s="4">
        <f ca="1">_xlfn.IFNA(VLOOKUP(INDIRECT("G"&amp;ROW()),minfo!$A:$M,COLUMN()-8,0),"")</f>
        <v>0</v>
      </c>
      <c r="S1644" s="4" t="str">
        <f ca="1">_xlfn.IFNA(VLOOKUP(INDIRECT("G"&amp;ROW()),minfo!$A:$M,COLUMN()-8,0),"")</f>
        <v>陶喆同名专辑</v>
      </c>
      <c r="T1644" s="4">
        <f ca="1">_xlfn.IFNA(VLOOKUP(INDIRECT("G"&amp;ROW()),minfo!$A:$M,COLUMN()-8,0),"")</f>
        <v>127092149</v>
      </c>
      <c r="U1644" s="4">
        <f ca="1">_xlfn.IFNA(VLOOKUP(INDIRECT("G"&amp;ROW()),minfo!$A:$M,COLUMN()-8,0),"")</f>
        <v>0</v>
      </c>
    </row>
    <row r="1645" spans="1:21" ht="15.75" customHeight="1">
      <c r="A1645" s="15">
        <v>1644</v>
      </c>
      <c r="B1645" s="4" t="s">
        <v>5292</v>
      </c>
      <c r="D1645" s="4">
        <v>1</v>
      </c>
      <c r="E1645" s="4" t="s">
        <v>3107</v>
      </c>
      <c r="F1645" s="16">
        <v>45349</v>
      </c>
      <c r="G1645" s="5" t="s">
        <v>3106</v>
      </c>
      <c r="H1645" s="5" t="s">
        <v>5293</v>
      </c>
      <c r="I1645" s="24" t="str">
        <f>HYPERLINK("https://www.bilibili.com/video/BV1Ku4m1w7FB", "BV1Ku4m1w7FB")</f>
        <v>BV1Ku4m1w7FB</v>
      </c>
      <c r="J1645" s="4" t="str">
        <f ca="1">_xlfn.IFNA(VLOOKUP(INDIRECT("G"&amp;ROW()),minfo!$A:$M,COLUMN()-8,0),"")</f>
        <v>交换余生</v>
      </c>
      <c r="K1645" s="4" t="str">
        <f ca="1">_xlfn.IFNA(VLOOKUP(INDIRECT("G"&amp;ROW()),minfo!$A:$M,COLUMN()-8,0),"")</f>
        <v>林俊杰</v>
      </c>
      <c r="L1645" s="4" t="str">
        <f ca="1">_xlfn.IFNA(VLOOKUP(INDIRECT("G"&amp;ROW()),minfo!$A:$M,COLUMN()-8,0),"")</f>
        <v>BV1s5411P7uA</v>
      </c>
      <c r="M1645" s="4">
        <f ca="1">_xlfn.IFNA(VLOOKUP(INDIRECT("G"&amp;ROW()),minfo!$A:$M,COLUMN()-8,0),"")</f>
        <v>285</v>
      </c>
      <c r="N1645" s="4">
        <f ca="1">_xlfn.IFNA(VLOOKUP(INDIRECT("G"&amp;ROW()),minfo!$A:$M,COLUMN()-8,0),"")</f>
        <v>40</v>
      </c>
      <c r="O1645" s="4" t="str">
        <f ca="1">_xlfn.IFNA(VLOOKUP(INDIRECT("G"&amp;ROW()),minfo!$A:$M,COLUMN()-8,0),"")</f>
        <v>https://i0.hdslb.com/bfs/station_src/music_metadata/1bd7ba45ae53c9c5b38bea79ba0477e1.jpg</v>
      </c>
      <c r="P1645" s="4" t="str">
        <f ca="1">_xlfn.IFNA(VLOOKUP(INDIRECT("G"&amp;ROW()),minfo!$A:$M,COLUMN()-8,0),"")</f>
        <v>http://i0.hdslb.com/bfs/station_src/music_metadata/f1583c4593a309d1c410fa650e14752b</v>
      </c>
      <c r="Q1645" s="4">
        <f ca="1">_xlfn.IFNA(VLOOKUP(INDIRECT("G"&amp;ROW()),minfo!$A:$M,COLUMN()-8,0),"")</f>
        <v>1022</v>
      </c>
      <c r="R1645" s="4">
        <f ca="1">_xlfn.IFNA(VLOOKUP(INDIRECT("G"&amp;ROW()),minfo!$A:$M,COLUMN()-8,0),"")</f>
        <v>0</v>
      </c>
      <c r="S1645" s="4" t="str">
        <f ca="1">_xlfn.IFNA(VLOOKUP(INDIRECT("G"&amp;ROW()),minfo!$A:$M,COLUMN()-8,0),"")</f>
        <v>交换余生</v>
      </c>
      <c r="T1645" s="4">
        <f ca="1">_xlfn.IFNA(VLOOKUP(INDIRECT("G"&amp;ROW()),minfo!$A:$M,COLUMN()-8,0),"")</f>
        <v>491095581</v>
      </c>
      <c r="U1645" s="4" t="str">
        <f ca="1">_xlfn.IFNA(VLOOKUP(INDIRECT("G"&amp;ROW()),minfo!$A:$M,COLUMN()-8,0),"")</f>
        <v>音乐榜最高NO.12</v>
      </c>
    </row>
    <row r="1646" spans="1:21" ht="15.75" customHeight="1">
      <c r="A1646" s="15">
        <v>1645</v>
      </c>
      <c r="B1646" s="4" t="s">
        <v>5294</v>
      </c>
      <c r="D1646" s="4">
        <v>1</v>
      </c>
      <c r="E1646" s="4" t="s">
        <v>497</v>
      </c>
      <c r="F1646" s="16">
        <v>45348</v>
      </c>
      <c r="G1646" s="5" t="s">
        <v>496</v>
      </c>
      <c r="H1646" s="5" t="s">
        <v>5295</v>
      </c>
      <c r="I1646" s="24" t="str">
        <f>HYPERLINK("https://www.bilibili.com/video/BV1Dw4m1Z7Z2", "BV1Dw4m1Z7Z2")</f>
        <v>BV1Dw4m1Z7Z2</v>
      </c>
      <c r="J1646" s="4" t="str">
        <f ca="1">_xlfn.IFNA(VLOOKUP(INDIRECT("G"&amp;ROW()),minfo!$A:$M,COLUMN()-8,0),"")</f>
        <v>给电影人的情书</v>
      </c>
      <c r="K1646" s="4" t="str">
        <f ca="1">_xlfn.IFNA(VLOOKUP(INDIRECT("G"&amp;ROW()),minfo!$A:$M,COLUMN()-8,0),"")</f>
        <v>蔡琴</v>
      </c>
      <c r="L1646" s="4">
        <f ca="1">_xlfn.IFNA(VLOOKUP(INDIRECT("G"&amp;ROW()),minfo!$A:$M,COLUMN()-8,0),"")</f>
        <v>0</v>
      </c>
      <c r="M1646" s="4">
        <f ca="1">_xlfn.IFNA(VLOOKUP(INDIRECT("G"&amp;ROW()),minfo!$A:$M,COLUMN()-8,0),"")</f>
        <v>0</v>
      </c>
      <c r="N1646" s="4">
        <f ca="1">_xlfn.IFNA(VLOOKUP(INDIRECT("G"&amp;ROW()),minfo!$A:$M,COLUMN()-8,0),"")</f>
        <v>0</v>
      </c>
      <c r="O1646" s="4" t="str">
        <f ca="1">_xlfn.IFNA(VLOOKUP(INDIRECT("G"&amp;ROW()),minfo!$A:$M,COLUMN()-8,0),"")</f>
        <v>https://i0.hdslb.com/bfs/station_src/music_metadata/5a642b125d5c75496a65d82a8b356a5f.jpg</v>
      </c>
      <c r="P1646" s="4" t="str">
        <f ca="1">_xlfn.IFNA(VLOOKUP(INDIRECT("G"&amp;ROW()),minfo!$A:$M,COLUMN()-8,0),"")</f>
        <v>http://i0.hdslb.com/bfs/station_src/music_metadata/b70311934da8d72b044401d31b44294e</v>
      </c>
      <c r="Q1646" s="4">
        <f ca="1">_xlfn.IFNA(VLOOKUP(INDIRECT("G"&amp;ROW()),minfo!$A:$M,COLUMN()-8,0),"")</f>
        <v>192</v>
      </c>
      <c r="R1646" s="4">
        <f ca="1">_xlfn.IFNA(VLOOKUP(INDIRECT("G"&amp;ROW()),minfo!$A:$M,COLUMN()-8,0),"")</f>
        <v>0</v>
      </c>
      <c r="S1646" s="4" t="str">
        <f ca="1">_xlfn.IFNA(VLOOKUP(INDIRECT("G"&amp;ROW()),minfo!$A:$M,COLUMN()-8,0),"")</f>
        <v>不悔</v>
      </c>
      <c r="T1646" s="4">
        <f ca="1">_xlfn.IFNA(VLOOKUP(INDIRECT("G"&amp;ROW()),minfo!$A:$M,COLUMN()-8,0),"")</f>
        <v>47527216</v>
      </c>
      <c r="U1646" s="4">
        <f ca="1">_xlfn.IFNA(VLOOKUP(INDIRECT("G"&amp;ROW()),minfo!$A:$M,COLUMN()-8,0),"")</f>
        <v>0</v>
      </c>
    </row>
    <row r="1647" spans="1:21" ht="15.75" customHeight="1">
      <c r="A1647" s="15">
        <v>1646</v>
      </c>
      <c r="B1647" s="4" t="s">
        <v>5296</v>
      </c>
      <c r="D1647" s="4">
        <v>1</v>
      </c>
      <c r="E1647" s="4" t="s">
        <v>3112</v>
      </c>
      <c r="F1647" s="16">
        <v>45348</v>
      </c>
      <c r="G1647" s="5" t="s">
        <v>3111</v>
      </c>
      <c r="H1647" s="5" t="s">
        <v>5297</v>
      </c>
      <c r="I1647" s="24" t="str">
        <f>HYPERLINK("https://www.bilibili.com/video/BV1FU411F7LV", "BV1FU411F7LV")</f>
        <v>BV1FU411F7LV</v>
      </c>
      <c r="J1647" s="4" t="str">
        <f ca="1">_xlfn.IFNA(VLOOKUP(INDIRECT("G"&amp;ROW()),minfo!$A:$M,COLUMN()-8,0),"")</f>
        <v>蝴蝶</v>
      </c>
      <c r="K1647" s="4" t="str">
        <f ca="1">_xlfn.IFNA(VLOOKUP(INDIRECT("G"&amp;ROW()),minfo!$A:$M,COLUMN()-8,0),"")</f>
        <v>陶喆</v>
      </c>
      <c r="L1647" s="4">
        <f ca="1">_xlfn.IFNA(VLOOKUP(INDIRECT("G"&amp;ROW()),minfo!$A:$M,COLUMN()-8,0),"")</f>
        <v>0</v>
      </c>
      <c r="M1647" s="4">
        <f ca="1">_xlfn.IFNA(VLOOKUP(INDIRECT("G"&amp;ROW()),minfo!$A:$M,COLUMN()-8,0),"")</f>
        <v>0</v>
      </c>
      <c r="N1647" s="4">
        <f ca="1">_xlfn.IFNA(VLOOKUP(INDIRECT("G"&amp;ROW()),minfo!$A:$M,COLUMN()-8,0),"")</f>
        <v>0</v>
      </c>
      <c r="O1647" s="4" t="str">
        <f ca="1">_xlfn.IFNA(VLOOKUP(INDIRECT("G"&amp;ROW()),minfo!$A:$M,COLUMN()-8,0),"")</f>
        <v>http://i0.hdslb.com/bfs/station_src/music_metadata/e5d3bb7013a47cd0591827980d75d0cd.jpg</v>
      </c>
      <c r="P1647" s="4" t="str">
        <f ca="1">_xlfn.IFNA(VLOOKUP(INDIRECT("G"&amp;ROW()),minfo!$A:$M,COLUMN()-8,0),"")</f>
        <v>http://i0.hdslb.com/bfs/station_src/music_metadata/34fc209ba811ed1140833b7573d4ccca</v>
      </c>
      <c r="Q1647" s="4">
        <f ca="1">_xlfn.IFNA(VLOOKUP(INDIRECT("G"&amp;ROW()),minfo!$A:$M,COLUMN()-8,0),"")</f>
        <v>463</v>
      </c>
      <c r="R1647" s="4">
        <f ca="1">_xlfn.IFNA(VLOOKUP(INDIRECT("G"&amp;ROW()),minfo!$A:$M,COLUMN()-8,0),"")</f>
        <v>0</v>
      </c>
      <c r="S1647" s="4" t="str">
        <f ca="1">_xlfn.IFNA(VLOOKUP(INDIRECT("G"&amp;ROW()),minfo!$A:$M,COLUMN()-8,0),"")</f>
        <v>黑色柳丁</v>
      </c>
      <c r="T1647" s="4">
        <f ca="1">_xlfn.IFNA(VLOOKUP(INDIRECT("G"&amp;ROW()),minfo!$A:$M,COLUMN()-8,0),"")</f>
        <v>41950349</v>
      </c>
      <c r="U1647" s="4">
        <f ca="1">_xlfn.IFNA(VLOOKUP(INDIRECT("G"&amp;ROW()),minfo!$A:$M,COLUMN()-8,0),"")</f>
        <v>0</v>
      </c>
    </row>
    <row r="1648" spans="1:21" ht="15.75" customHeight="1">
      <c r="A1648" s="15">
        <v>1647</v>
      </c>
      <c r="B1648" s="4" t="s">
        <v>5298</v>
      </c>
      <c r="D1648" s="4">
        <v>1</v>
      </c>
      <c r="E1648" s="4" t="s">
        <v>1222</v>
      </c>
      <c r="F1648" s="16">
        <v>45348</v>
      </c>
      <c r="G1648" s="5" t="s">
        <v>1221</v>
      </c>
      <c r="H1648" s="5" t="s">
        <v>5299</v>
      </c>
      <c r="I1648" s="24" t="str">
        <f>HYPERLINK("https://www.bilibili.com/video/BV1My421676c", "BV1My421676c")</f>
        <v>BV1My421676c</v>
      </c>
      <c r="J1648" s="4" t="str">
        <f ca="1">_xlfn.IFNA(VLOOKUP(INDIRECT("G"&amp;ROW()),minfo!$A:$M,COLUMN()-8,0),"")</f>
        <v>我们的歌</v>
      </c>
      <c r="K1648" s="4" t="str">
        <f ca="1">_xlfn.IFNA(VLOOKUP(INDIRECT("G"&amp;ROW()),minfo!$A:$M,COLUMN()-8,0),"")</f>
        <v>王力宏</v>
      </c>
      <c r="L1648" s="4">
        <f ca="1">_xlfn.IFNA(VLOOKUP(INDIRECT("G"&amp;ROW()),minfo!$A:$M,COLUMN()-8,0),"")</f>
        <v>0</v>
      </c>
      <c r="M1648" s="4">
        <f ca="1">_xlfn.IFNA(VLOOKUP(INDIRECT("G"&amp;ROW()),minfo!$A:$M,COLUMN()-8,0),"")</f>
        <v>29709</v>
      </c>
      <c r="N1648" s="4">
        <f ca="1">_xlfn.IFNA(VLOOKUP(INDIRECT("G"&amp;ROW()),minfo!$A:$M,COLUMN()-8,0),"")</f>
        <v>4401</v>
      </c>
      <c r="O1648" s="4" t="str">
        <f ca="1">_xlfn.IFNA(VLOOKUP(INDIRECT("G"&amp;ROW()),minfo!$A:$M,COLUMN()-8,0),"")</f>
        <v>https://i0.hdslb.com/bfs/station_src/music_metadata/b2f17a47f4397b15cfdd64c4260f8c97.jpg</v>
      </c>
      <c r="P1648" s="4">
        <f ca="1">_xlfn.IFNA(VLOOKUP(INDIRECT("G"&amp;ROW()),minfo!$A:$M,COLUMN()-8,0),"")</f>
        <v>0</v>
      </c>
      <c r="Q1648" s="4">
        <f ca="1">_xlfn.IFNA(VLOOKUP(INDIRECT("G"&amp;ROW()),minfo!$A:$M,COLUMN()-8,0),"")</f>
        <v>1235</v>
      </c>
      <c r="R1648" s="4">
        <f ca="1">_xlfn.IFNA(VLOOKUP(INDIRECT("G"&amp;ROW()),minfo!$A:$M,COLUMN()-8,0),"")</f>
        <v>0</v>
      </c>
      <c r="S1648" s="4" t="str">
        <f ca="1">_xlfn.IFNA(VLOOKUP(INDIRECT("G"&amp;ROW()),minfo!$A:$M,COLUMN()-8,0),"")</f>
        <v>改变自己</v>
      </c>
      <c r="T1648" s="4">
        <f ca="1">_xlfn.IFNA(VLOOKUP(INDIRECT("G"&amp;ROW()),minfo!$A:$M,COLUMN()-8,0),"")</f>
        <v>249141822</v>
      </c>
      <c r="U1648" s="4" t="str">
        <f ca="1">_xlfn.IFNA(VLOOKUP(INDIRECT("G"&amp;ROW()),minfo!$A:$M,COLUMN()-8,0),"")</f>
        <v>音乐榜最高NO.20</v>
      </c>
    </row>
    <row r="1649" spans="1:21" ht="15.75" customHeight="1">
      <c r="A1649" s="15">
        <v>1648</v>
      </c>
      <c r="B1649" s="4" t="s">
        <v>5300</v>
      </c>
      <c r="D1649" s="4">
        <v>1</v>
      </c>
      <c r="E1649" s="4" t="s">
        <v>1014</v>
      </c>
      <c r="F1649" s="16">
        <v>45348</v>
      </c>
      <c r="G1649" s="5" t="s">
        <v>1013</v>
      </c>
      <c r="H1649" s="5" t="s">
        <v>5301</v>
      </c>
      <c r="I1649" s="24" t="str">
        <f>HYPERLINK("https://www.bilibili.com/video/BV1mH4y177vR", "BV1mH4y177vR")</f>
        <v>BV1mH4y177vR</v>
      </c>
      <c r="J1649" s="4" t="str">
        <f ca="1">_xlfn.IFNA(VLOOKUP(INDIRECT("G"&amp;ROW()),minfo!$A:$M,COLUMN()-8,0),"")</f>
        <v>退后</v>
      </c>
      <c r="K1649" s="4" t="str">
        <f ca="1">_xlfn.IFNA(VLOOKUP(INDIRECT("G"&amp;ROW()),minfo!$A:$M,COLUMN()-8,0),"")</f>
        <v>周杰伦</v>
      </c>
      <c r="L1649" s="4">
        <f ca="1">_xlfn.IFNA(VLOOKUP(INDIRECT("G"&amp;ROW()),minfo!$A:$M,COLUMN()-8,0),"")</f>
        <v>0</v>
      </c>
      <c r="M1649" s="4">
        <f ca="1">_xlfn.IFNA(VLOOKUP(INDIRECT("G"&amp;ROW()),minfo!$A:$M,COLUMN()-8,0),"")</f>
        <v>0</v>
      </c>
      <c r="N1649" s="4">
        <f ca="1">_xlfn.IFNA(VLOOKUP(INDIRECT("G"&amp;ROW()),minfo!$A:$M,COLUMN()-8,0),"")</f>
        <v>0</v>
      </c>
      <c r="O1649" s="4" t="str">
        <f ca="1">_xlfn.IFNA(VLOOKUP(INDIRECT("G"&amp;ROW()),minfo!$A:$M,COLUMN()-8,0),"")</f>
        <v>https://i0.hdslb.com/bfs/station_src/music_metadata/f15e73f798d4a0f5f331d77b333ef1a8.jpg</v>
      </c>
      <c r="P1649" s="4" t="str">
        <f ca="1">_xlfn.IFNA(VLOOKUP(INDIRECT("G"&amp;ROW()),minfo!$A:$M,COLUMN()-8,0),"")</f>
        <v>copyright-crawler/music/task-lyric/650e62defad724c0d01134a0.txt</v>
      </c>
      <c r="Q1649" s="4">
        <f ca="1">_xlfn.IFNA(VLOOKUP(INDIRECT("G"&amp;ROW()),minfo!$A:$M,COLUMN()-8,0),"")</f>
        <v>1135</v>
      </c>
      <c r="R1649" s="4" t="str">
        <f ca="1">_xlfn.IFNA(VLOOKUP(INDIRECT("G"&amp;ROW()),minfo!$A:$M,COLUMN()-8,0),"")</f>
        <v>退后</v>
      </c>
      <c r="S1649" s="4" t="str">
        <f ca="1">_xlfn.IFNA(VLOOKUP(INDIRECT("G"&amp;ROW()),minfo!$A:$M,COLUMN()-8,0),"")</f>
        <v>依然范特西</v>
      </c>
      <c r="T1649" s="4">
        <f ca="1">_xlfn.IFNA(VLOOKUP(INDIRECT("G"&amp;ROW()),minfo!$A:$M,COLUMN()-8,0),"")</f>
        <v>327291034</v>
      </c>
      <c r="U1649" s="4" t="str">
        <f ca="1">_xlfn.IFNA(VLOOKUP(INDIRECT("G"&amp;ROW()),minfo!$A:$M,COLUMN()-8,0),"")</f>
        <v>音乐榜最高NO.19</v>
      </c>
    </row>
    <row r="1650" spans="1:21" ht="15.75" customHeight="1">
      <c r="A1650" s="15">
        <v>1649</v>
      </c>
      <c r="B1650" s="4" t="s">
        <v>5302</v>
      </c>
      <c r="D1650" s="4">
        <v>1</v>
      </c>
      <c r="E1650" s="4" t="s">
        <v>1912</v>
      </c>
      <c r="F1650" s="16">
        <v>45348</v>
      </c>
      <c r="G1650" s="5" t="s">
        <v>1911</v>
      </c>
      <c r="H1650" s="5" t="s">
        <v>5303</v>
      </c>
      <c r="I1650" s="24" t="str">
        <f>HYPERLINK("https://www.bilibili.com/video/BV1kt42147TV", "BV1kt42147TV")</f>
        <v>BV1kt42147TV</v>
      </c>
      <c r="J1650" s="4" t="str">
        <f ca="1">_xlfn.IFNA(VLOOKUP(INDIRECT("G"&amp;ROW()),minfo!$A:$M,COLUMN()-8,0),"")</f>
        <v>贝加尔湖畔</v>
      </c>
      <c r="K1650" s="4" t="str">
        <f ca="1">_xlfn.IFNA(VLOOKUP(INDIRECT("G"&amp;ROW()),minfo!$A:$M,COLUMN()-8,0),"")</f>
        <v>李健</v>
      </c>
      <c r="L1650" s="4">
        <f ca="1">_xlfn.IFNA(VLOOKUP(INDIRECT("G"&amp;ROW()),minfo!$A:$M,COLUMN()-8,0),"")</f>
        <v>0</v>
      </c>
      <c r="M1650" s="4">
        <f ca="1">_xlfn.IFNA(VLOOKUP(INDIRECT("G"&amp;ROW()),minfo!$A:$M,COLUMN()-8,0),"")</f>
        <v>0</v>
      </c>
      <c r="N1650" s="4">
        <f ca="1">_xlfn.IFNA(VLOOKUP(INDIRECT("G"&amp;ROW()),minfo!$A:$M,COLUMN()-8,0),"")</f>
        <v>0</v>
      </c>
      <c r="O1650" s="4" t="str">
        <f ca="1">_xlfn.IFNA(VLOOKUP(INDIRECT("G"&amp;ROW()),minfo!$A:$M,COLUMN()-8,0),"")</f>
        <v>https://i0.hdslb.com/bfs/station_src/music_metadata/8ab2083dd90a51914d1b00e7f40d2688.jpg</v>
      </c>
      <c r="P1650" s="4" t="str">
        <f ca="1">_xlfn.IFNA(VLOOKUP(INDIRECT("G"&amp;ROW()),minfo!$A:$M,COLUMN()-8,0),"")</f>
        <v>http://i0.hdslb.com/bfs/station_src/music_metadata/769ecbab206d9e5f0cf58f60a5c7fc82</v>
      </c>
      <c r="Q1650" s="4">
        <f ca="1">_xlfn.IFNA(VLOOKUP(INDIRECT("G"&amp;ROW()),minfo!$A:$M,COLUMN()-8,0),"")</f>
        <v>1064</v>
      </c>
      <c r="R1650" s="4" t="str">
        <f ca="1">_xlfn.IFNA(VLOOKUP(INDIRECT("G"&amp;ROW()),minfo!$A:$M,COLUMN()-8,0),"")</f>
        <v>《无心法师》电视剧片头曲</v>
      </c>
      <c r="S1650" s="4" t="str">
        <f ca="1">_xlfn.IFNA(VLOOKUP(INDIRECT("G"&amp;ROW()),minfo!$A:$M,COLUMN()-8,0),"")</f>
        <v>依然</v>
      </c>
      <c r="T1650" s="4">
        <f ca="1">_xlfn.IFNA(VLOOKUP(INDIRECT("G"&amp;ROW()),minfo!$A:$M,COLUMN()-8,0),"")</f>
        <v>179366306</v>
      </c>
      <c r="U1650" s="4">
        <f ca="1">_xlfn.IFNA(VLOOKUP(INDIRECT("G"&amp;ROW()),minfo!$A:$M,COLUMN()-8,0),"")</f>
        <v>0</v>
      </c>
    </row>
    <row r="1651" spans="1:21" ht="15.75" customHeight="1">
      <c r="A1651" s="15">
        <v>1650</v>
      </c>
      <c r="B1651" s="4" t="s">
        <v>5304</v>
      </c>
      <c r="D1651" s="4">
        <v>1</v>
      </c>
      <c r="E1651" s="4" t="s">
        <v>3116</v>
      </c>
      <c r="F1651" s="16">
        <v>45348</v>
      </c>
      <c r="G1651" s="5" t="s">
        <v>3115</v>
      </c>
      <c r="H1651" s="5" t="s">
        <v>5305</v>
      </c>
      <c r="I1651" s="24" t="str">
        <f>HYPERLINK("https://www.bilibili.com/video/BV1iF4m157Wa", "BV1iF4m157Wa")</f>
        <v>BV1iF4m157Wa</v>
      </c>
      <c r="J1651" s="4" t="str">
        <f ca="1">_xlfn.IFNA(VLOOKUP(INDIRECT("G"&amp;ROW()),minfo!$A:$M,COLUMN()-8,0),"")</f>
        <v>两只蝴蝶</v>
      </c>
      <c r="K1651" s="4" t="str">
        <f ca="1">_xlfn.IFNA(VLOOKUP(INDIRECT("G"&amp;ROW()),minfo!$A:$M,COLUMN()-8,0),"")</f>
        <v>庞龙</v>
      </c>
      <c r="L1651" s="4">
        <f ca="1">_xlfn.IFNA(VLOOKUP(INDIRECT("G"&amp;ROW()),minfo!$A:$M,COLUMN()-8,0),"")</f>
        <v>0</v>
      </c>
      <c r="M1651" s="4">
        <f ca="1">_xlfn.IFNA(VLOOKUP(INDIRECT("G"&amp;ROW()),minfo!$A:$M,COLUMN()-8,0),"")</f>
        <v>0</v>
      </c>
      <c r="N1651" s="4">
        <f ca="1">_xlfn.IFNA(VLOOKUP(INDIRECT("G"&amp;ROW()),minfo!$A:$M,COLUMN()-8,0),"")</f>
        <v>0</v>
      </c>
      <c r="O1651" s="4" t="str">
        <f ca="1">_xlfn.IFNA(VLOOKUP(INDIRECT("G"&amp;ROW()),minfo!$A:$M,COLUMN()-8,0),"")</f>
        <v>http://i0.hdslb.com/bfs/station_src/music_metadata/123b67dd446e9f71999c14e36a7456df.jpg</v>
      </c>
      <c r="P1651" s="4">
        <f ca="1">_xlfn.IFNA(VLOOKUP(INDIRECT("G"&amp;ROW()),minfo!$A:$M,COLUMN()-8,0),"")</f>
        <v>0</v>
      </c>
      <c r="Q1651" s="4">
        <f ca="1">_xlfn.IFNA(VLOOKUP(INDIRECT("G"&amp;ROW()),minfo!$A:$M,COLUMN()-8,0),"")</f>
        <v>218</v>
      </c>
      <c r="R1651" s="4">
        <f ca="1">_xlfn.IFNA(VLOOKUP(INDIRECT("G"&amp;ROW()),minfo!$A:$M,COLUMN()-8,0),"")</f>
        <v>0</v>
      </c>
      <c r="S1651" s="4" t="str">
        <f ca="1">_xlfn.IFNA(VLOOKUP(INDIRECT("G"&amp;ROW()),minfo!$A:$M,COLUMN()-8,0),"")</f>
        <v>两只蝴蝶</v>
      </c>
      <c r="T1651" s="4">
        <f ca="1">_xlfn.IFNA(VLOOKUP(INDIRECT("G"&amp;ROW()),minfo!$A:$M,COLUMN()-8,0),"")</f>
        <v>46774286</v>
      </c>
      <c r="U1651" s="4">
        <f ca="1">_xlfn.IFNA(VLOOKUP(INDIRECT("G"&amp;ROW()),minfo!$A:$M,COLUMN()-8,0),"")</f>
        <v>0</v>
      </c>
    </row>
    <row r="1652" spans="1:21" ht="15.75" customHeight="1">
      <c r="A1652" s="15">
        <v>1651</v>
      </c>
      <c r="B1652" s="4" t="s">
        <v>5306</v>
      </c>
      <c r="D1652" s="4">
        <v>1</v>
      </c>
      <c r="E1652" s="4" t="s">
        <v>3120</v>
      </c>
      <c r="F1652" s="16">
        <v>45348</v>
      </c>
      <c r="G1652" s="5" t="s">
        <v>3119</v>
      </c>
      <c r="H1652" s="5" t="s">
        <v>5307</v>
      </c>
      <c r="I1652" s="24" t="str">
        <f>HYPERLINK("https://www.bilibili.com/video/BV1qr421s7Kg", "BV1qr421s7Kg")</f>
        <v>BV1qr421s7Kg</v>
      </c>
      <c r="J1652" s="4" t="str">
        <f ca="1">_xlfn.IFNA(VLOOKUP(INDIRECT("G"&amp;ROW()),minfo!$A:$M,COLUMN()-8,0),"")</f>
        <v>不爱</v>
      </c>
      <c r="K1652" s="4" t="str">
        <f ca="1">_xlfn.IFNA(VLOOKUP(INDIRECT("G"&amp;ROW()),minfo!$A:$M,COLUMN()-8,0),"")</f>
        <v>陶喆</v>
      </c>
      <c r="L1652" s="4">
        <f ca="1">_xlfn.IFNA(VLOOKUP(INDIRECT("G"&amp;ROW()),minfo!$A:$M,COLUMN()-8,0),"")</f>
        <v>0</v>
      </c>
      <c r="M1652" s="4">
        <f ca="1">_xlfn.IFNA(VLOOKUP(INDIRECT("G"&amp;ROW()),minfo!$A:$M,COLUMN()-8,0),"")</f>
        <v>0</v>
      </c>
      <c r="N1652" s="4">
        <f ca="1">_xlfn.IFNA(VLOOKUP(INDIRECT("G"&amp;ROW()),minfo!$A:$M,COLUMN()-8,0),"")</f>
        <v>0</v>
      </c>
      <c r="O1652" s="4" t="str">
        <f ca="1">_xlfn.IFNA(VLOOKUP(INDIRECT("G"&amp;ROW()),minfo!$A:$M,COLUMN()-8,0),"")</f>
        <v>http://i0.hdslb.com/bfs/station_src/music_metadata/57c0581c9b32ae8e5213f3e68d2e127d.jpg</v>
      </c>
      <c r="P1652" s="4" t="str">
        <f ca="1">_xlfn.IFNA(VLOOKUP(INDIRECT("G"&amp;ROW()),minfo!$A:$M,COLUMN()-8,0),"")</f>
        <v>https://i0.hdslb.com/bfs/station_src/music_metadata/7483c1014e875bc10e24c73ef4824037.txt</v>
      </c>
      <c r="Q1652" s="4">
        <f ca="1">_xlfn.IFNA(VLOOKUP(INDIRECT("G"&amp;ROW()),minfo!$A:$M,COLUMN()-8,0),"")</f>
        <v>0</v>
      </c>
      <c r="R1652" s="4">
        <f ca="1">_xlfn.IFNA(VLOOKUP(INDIRECT("G"&amp;ROW()),minfo!$A:$M,COLUMN()-8,0),"")</f>
        <v>0</v>
      </c>
      <c r="S1652" s="4" t="str">
        <f ca="1">_xlfn.IFNA(VLOOKUP(INDIRECT("G"&amp;ROW()),minfo!$A:$M,COLUMN()-8,0),"")</f>
        <v>太美丽</v>
      </c>
      <c r="T1652" s="4">
        <f ca="1">_xlfn.IFNA(VLOOKUP(INDIRECT("G"&amp;ROW()),minfo!$A:$M,COLUMN()-8,0),"")</f>
        <v>199012</v>
      </c>
      <c r="U1652" s="4">
        <f ca="1">_xlfn.IFNA(VLOOKUP(INDIRECT("G"&amp;ROW()),minfo!$A:$M,COLUMN()-8,0),"")</f>
        <v>0</v>
      </c>
    </row>
    <row r="1653" spans="1:21" ht="15.75" customHeight="1">
      <c r="A1653" s="15">
        <v>1652</v>
      </c>
      <c r="B1653" s="4" t="s">
        <v>5308</v>
      </c>
      <c r="D1653" s="4">
        <v>1</v>
      </c>
      <c r="E1653" s="4" t="s">
        <v>295</v>
      </c>
      <c r="F1653" s="16">
        <v>45344</v>
      </c>
      <c r="G1653" s="5" t="s">
        <v>294</v>
      </c>
      <c r="H1653" s="5" t="s">
        <v>5309</v>
      </c>
      <c r="I1653" s="24" t="str">
        <f>HYPERLINK("https://www.bilibili.com/video/BV1dA4m137u3", "BV1dA4m137u3")</f>
        <v>BV1dA4m137u3</v>
      </c>
      <c r="J1653" s="4" t="str">
        <f ca="1">_xlfn.IFNA(VLOOKUP(INDIRECT("G"&amp;ROW()),minfo!$A:$M,COLUMN()-8,0),"")</f>
        <v>不能说的秘密</v>
      </c>
      <c r="K1653" s="4" t="str">
        <f ca="1">_xlfn.IFNA(VLOOKUP(INDIRECT("G"&amp;ROW()),minfo!$A:$M,COLUMN()-8,0),"")</f>
        <v>周杰伦</v>
      </c>
      <c r="L1653" s="4">
        <f ca="1">_xlfn.IFNA(VLOOKUP(INDIRECT("G"&amp;ROW()),minfo!$A:$M,COLUMN()-8,0),"")</f>
        <v>0</v>
      </c>
      <c r="M1653" s="4">
        <f ca="1">_xlfn.IFNA(VLOOKUP(INDIRECT("G"&amp;ROW()),minfo!$A:$M,COLUMN()-8,0),"")</f>
        <v>10838</v>
      </c>
      <c r="N1653" s="4">
        <f ca="1">_xlfn.IFNA(VLOOKUP(INDIRECT("G"&amp;ROW()),minfo!$A:$M,COLUMN()-8,0),"")</f>
        <v>384</v>
      </c>
      <c r="O1653" s="4" t="str">
        <f ca="1">_xlfn.IFNA(VLOOKUP(INDIRECT("G"&amp;ROW()),minfo!$A:$M,COLUMN()-8,0),"")</f>
        <v>https://i0.hdslb.com/bfs/station_src/music_metadata/c30e3ade8fa2d678a4fc3f717036ab49.jpg</v>
      </c>
      <c r="P1653" s="4" t="str">
        <f ca="1">_xlfn.IFNA(VLOOKUP(INDIRECT("G"&amp;ROW()),minfo!$A:$M,COLUMN()-8,0),"")</f>
        <v>http://i0.hdslb.com/bfs/station_src/music_metadata/b68ac496d2ba38e3bf8908441abecf91</v>
      </c>
      <c r="Q1653" s="4">
        <f ca="1">_xlfn.IFNA(VLOOKUP(INDIRECT("G"&amp;ROW()),minfo!$A:$M,COLUMN()-8,0),"")</f>
        <v>2938</v>
      </c>
      <c r="R1653" s="4" t="str">
        <f ca="1">_xlfn.IFNA(VLOOKUP(INDIRECT("G"&amp;ROW()),minfo!$A:$M,COLUMN()-8,0),"")</f>
        <v>《不能说的秘密》电影主题曲</v>
      </c>
      <c r="S1653" s="4" t="str">
        <f ca="1">_xlfn.IFNA(VLOOKUP(INDIRECT("G"&amp;ROW()),minfo!$A:$M,COLUMN()-8,0),"")</f>
        <v>不能说的秘密 电影原声带</v>
      </c>
      <c r="T1653" s="4">
        <f ca="1">_xlfn.IFNA(VLOOKUP(INDIRECT("G"&amp;ROW()),minfo!$A:$M,COLUMN()-8,0),"")</f>
        <v>525140241</v>
      </c>
      <c r="U1653" s="4">
        <f ca="1">_xlfn.IFNA(VLOOKUP(INDIRECT("G"&amp;ROW()),minfo!$A:$M,COLUMN()-8,0),"")</f>
        <v>0</v>
      </c>
    </row>
    <row r="1654" spans="1:21" ht="15.75" customHeight="1">
      <c r="A1654" s="15">
        <v>1653</v>
      </c>
      <c r="B1654" s="4" t="s">
        <v>5310</v>
      </c>
      <c r="D1654" s="4">
        <v>1</v>
      </c>
      <c r="E1654" s="4" t="s">
        <v>259</v>
      </c>
      <c r="F1654" s="16">
        <v>45344</v>
      </c>
      <c r="G1654" s="5" t="s">
        <v>258</v>
      </c>
      <c r="H1654" s="5" t="s">
        <v>5311</v>
      </c>
      <c r="I1654" s="24" t="str">
        <f>HYPERLINK("https://www.bilibili.com/video/BV1Mm411S7t4", "BV1Mm411S7t4")</f>
        <v>BV1Mm411S7t4</v>
      </c>
      <c r="J1654" s="4" t="str">
        <f ca="1">_xlfn.IFNA(VLOOKUP(INDIRECT("G"&amp;ROW()),minfo!$A:$M,COLUMN()-8,0),"")</f>
        <v>枫</v>
      </c>
      <c r="K1654" s="4" t="str">
        <f ca="1">_xlfn.IFNA(VLOOKUP(INDIRECT("G"&amp;ROW()),minfo!$A:$M,COLUMN()-8,0),"")</f>
        <v>周杰伦</v>
      </c>
      <c r="L1654" s="4">
        <f ca="1">_xlfn.IFNA(VLOOKUP(INDIRECT("G"&amp;ROW()),minfo!$A:$M,COLUMN()-8,0),"")</f>
        <v>0</v>
      </c>
      <c r="M1654" s="4">
        <f ca="1">_xlfn.IFNA(VLOOKUP(INDIRECT("G"&amp;ROW()),minfo!$A:$M,COLUMN()-8,0),"")</f>
        <v>0</v>
      </c>
      <c r="N1654" s="4">
        <f ca="1">_xlfn.IFNA(VLOOKUP(INDIRECT("G"&amp;ROW()),minfo!$A:$M,COLUMN()-8,0),"")</f>
        <v>0</v>
      </c>
      <c r="O1654" s="4" t="str">
        <f ca="1">_xlfn.IFNA(VLOOKUP(INDIRECT("G"&amp;ROW()),minfo!$A:$M,COLUMN()-8,0),"")</f>
        <v>https://i0.hdslb.com/bfs/station_src/music_metadata/fb82b0fb2908b09d88ba13ef0db91863.jpg</v>
      </c>
      <c r="P1654" s="4" t="str">
        <f ca="1">_xlfn.IFNA(VLOOKUP(INDIRECT("G"&amp;ROW()),minfo!$A:$M,COLUMN()-8,0),"")</f>
        <v>http://i0.hdslb.com/bfs/station_src/music_metadata/9b1e7a89ea3eead8b8c6b32cdb30abd9</v>
      </c>
      <c r="Q1654" s="4">
        <f ca="1">_xlfn.IFNA(VLOOKUP(INDIRECT("G"&amp;ROW()),minfo!$A:$M,COLUMN()-8,0),"")</f>
        <v>6002</v>
      </c>
      <c r="R1654" s="4">
        <f ca="1">_xlfn.IFNA(VLOOKUP(INDIRECT("G"&amp;ROW()),minfo!$A:$M,COLUMN()-8,0),"")</f>
        <v>0</v>
      </c>
      <c r="S1654" s="4" t="str">
        <f ca="1">_xlfn.IFNA(VLOOKUP(INDIRECT("G"&amp;ROW()),minfo!$A:$M,COLUMN()-8,0),"")</f>
        <v>十一月的萧邦</v>
      </c>
      <c r="T1654" s="4">
        <f ca="1">_xlfn.IFNA(VLOOKUP(INDIRECT("G"&amp;ROW()),minfo!$A:$M,COLUMN()-8,0),"")</f>
        <v>560749777</v>
      </c>
      <c r="U1654" s="4">
        <f ca="1">_xlfn.IFNA(VLOOKUP(INDIRECT("G"&amp;ROW()),minfo!$A:$M,COLUMN()-8,0),"")</f>
        <v>0</v>
      </c>
    </row>
    <row r="1655" spans="1:21" ht="15.75" customHeight="1">
      <c r="A1655" s="15">
        <v>1654</v>
      </c>
      <c r="B1655" s="4" t="s">
        <v>5312</v>
      </c>
      <c r="D1655" s="4">
        <v>1</v>
      </c>
      <c r="E1655" s="4" t="s">
        <v>3125</v>
      </c>
      <c r="F1655" s="16">
        <v>45344</v>
      </c>
      <c r="G1655" s="5" t="s">
        <v>3124</v>
      </c>
      <c r="H1655" s="5" t="s">
        <v>5313</v>
      </c>
      <c r="I1655" s="24" t="str">
        <f>HYPERLINK("https://www.bilibili.com/video/BV18x4y1k7NQ", "BV18x4y1k7NQ")</f>
        <v>BV18x4y1k7NQ</v>
      </c>
      <c r="J1655" s="4" t="str">
        <f ca="1">_xlfn.IFNA(VLOOKUP(INDIRECT("G"&amp;ROW()),minfo!$A:$M,COLUMN()-8,0),"")</f>
        <v>爱我你就抱抱我</v>
      </c>
      <c r="K1655" s="4" t="str">
        <f ca="1">_xlfn.IFNA(VLOOKUP(INDIRECT("G"&amp;ROW()),minfo!$A:$M,COLUMN()-8,0),"")</f>
        <v>林妙可</v>
      </c>
      <c r="L1655" s="4">
        <f ca="1">_xlfn.IFNA(VLOOKUP(INDIRECT("G"&amp;ROW()),minfo!$A:$M,COLUMN()-8,0),"")</f>
        <v>0</v>
      </c>
      <c r="M1655" s="4">
        <f ca="1">_xlfn.IFNA(VLOOKUP(INDIRECT("G"&amp;ROW()),minfo!$A:$M,COLUMN()-8,0),"")</f>
        <v>0</v>
      </c>
      <c r="N1655" s="4">
        <f ca="1">_xlfn.IFNA(VLOOKUP(INDIRECT("G"&amp;ROW()),minfo!$A:$M,COLUMN()-8,0),"")</f>
        <v>0</v>
      </c>
      <c r="O1655" s="4" t="str">
        <f ca="1">_xlfn.IFNA(VLOOKUP(INDIRECT("G"&amp;ROW()),minfo!$A:$M,COLUMN()-8,0),"")</f>
        <v>https://i0.hdslb.com/bfs/station_src/music_metadata/56f8fa62a516466023faaa94313042e0.jpg</v>
      </c>
      <c r="P1655" s="4" t="str">
        <f ca="1">_xlfn.IFNA(VLOOKUP(INDIRECT("G"&amp;ROW()),minfo!$A:$M,COLUMN()-8,0),"")</f>
        <v>https://i0.hdslb.com/bfs/station_src/music_metadata/e2f6e78553e3c41b8f53b7ac5cfb46bb.txt</v>
      </c>
      <c r="Q1655" s="4">
        <f ca="1">_xlfn.IFNA(VLOOKUP(INDIRECT("G"&amp;ROW()),minfo!$A:$M,COLUMN()-8,0),"")</f>
        <v>240</v>
      </c>
      <c r="R1655" s="4">
        <f ca="1">_xlfn.IFNA(VLOOKUP(INDIRECT("G"&amp;ROW()),minfo!$A:$M,COLUMN()-8,0),"")</f>
        <v>0</v>
      </c>
      <c r="S1655" s="4" t="str">
        <f ca="1">_xlfn.IFNA(VLOOKUP(INDIRECT("G"&amp;ROW()),minfo!$A:$M,COLUMN()-8,0),"")</f>
        <v>经典儿歌</v>
      </c>
      <c r="T1655" s="4">
        <f ca="1">_xlfn.IFNA(VLOOKUP(INDIRECT("G"&amp;ROW()),minfo!$A:$M,COLUMN()-8,0),"")</f>
        <v>71736447</v>
      </c>
      <c r="U1655" s="4">
        <f ca="1">_xlfn.IFNA(VLOOKUP(INDIRECT("G"&amp;ROW()),minfo!$A:$M,COLUMN()-8,0),"")</f>
        <v>0</v>
      </c>
    </row>
    <row r="1656" spans="1:21" ht="15.75" customHeight="1">
      <c r="A1656" s="15">
        <v>1655</v>
      </c>
      <c r="B1656" s="4" t="s">
        <v>5314</v>
      </c>
      <c r="D1656" s="4">
        <v>1</v>
      </c>
      <c r="E1656" s="4" t="s">
        <v>1326</v>
      </c>
      <c r="F1656" s="16">
        <v>45344</v>
      </c>
      <c r="G1656" s="5" t="s">
        <v>1325</v>
      </c>
      <c r="H1656" s="5" t="s">
        <v>5315</v>
      </c>
      <c r="I1656" s="24" t="str">
        <f>HYPERLINK("https://www.bilibili.com/video/BV1ZH4y1j79Y", "BV1ZH4y1j79Y")</f>
        <v>BV1ZH4y1j79Y</v>
      </c>
      <c r="J1656" s="4" t="str">
        <f ca="1">_xlfn.IFNA(VLOOKUP(INDIRECT("G"&amp;ROW()),minfo!$A:$M,COLUMN()-8,0),"")</f>
        <v>东风破</v>
      </c>
      <c r="K1656" s="4" t="str">
        <f ca="1">_xlfn.IFNA(VLOOKUP(INDIRECT("G"&amp;ROW()),minfo!$A:$M,COLUMN()-8,0),"")</f>
        <v>周杰伦</v>
      </c>
      <c r="L1656" s="4">
        <f ca="1">_xlfn.IFNA(VLOOKUP(INDIRECT("G"&amp;ROW()),minfo!$A:$M,COLUMN()-8,0),"")</f>
        <v>0</v>
      </c>
      <c r="M1656" s="4">
        <f ca="1">_xlfn.IFNA(VLOOKUP(INDIRECT("G"&amp;ROW()),minfo!$A:$M,COLUMN()-8,0),"")</f>
        <v>0</v>
      </c>
      <c r="N1656" s="4">
        <f ca="1">_xlfn.IFNA(VLOOKUP(INDIRECT("G"&amp;ROW()),minfo!$A:$M,COLUMN()-8,0),"")</f>
        <v>0</v>
      </c>
      <c r="O1656" s="4" t="str">
        <f ca="1">_xlfn.IFNA(VLOOKUP(INDIRECT("G"&amp;ROW()),minfo!$A:$M,COLUMN()-8,0),"")</f>
        <v>https://i0.hdslb.com/bfs/station_src/music_metadata/8480d5b9cca7b1a7e5af2101531478e9.jpg</v>
      </c>
      <c r="P1656" s="4" t="str">
        <f ca="1">_xlfn.IFNA(VLOOKUP(INDIRECT("G"&amp;ROW()),minfo!$A:$M,COLUMN()-8,0),"")</f>
        <v>copyright-crawler/music/task-lyric/650e6317fad724c0d0113e31.txt</v>
      </c>
      <c r="Q1656" s="4">
        <f ca="1">_xlfn.IFNA(VLOOKUP(INDIRECT("G"&amp;ROW()),minfo!$A:$M,COLUMN()-8,0),"")</f>
        <v>1661</v>
      </c>
      <c r="R1656" s="4" t="str">
        <f ca="1">_xlfn.IFNA(VLOOKUP(INDIRECT("G"&amp;ROW()),minfo!$A:$M,COLUMN()-8,0),"")</f>
        <v>东风破</v>
      </c>
      <c r="S1656" s="4" t="str">
        <f ca="1">_xlfn.IFNA(VLOOKUP(INDIRECT("G"&amp;ROW()),minfo!$A:$M,COLUMN()-8,0),"")</f>
        <v>叶惠美</v>
      </c>
      <c r="T1656" s="4">
        <f ca="1">_xlfn.IFNA(VLOOKUP(INDIRECT("G"&amp;ROW()),minfo!$A:$M,COLUMN()-8,0),"")</f>
        <v>406111219</v>
      </c>
      <c r="U1656" s="4">
        <f ca="1">_xlfn.IFNA(VLOOKUP(INDIRECT("G"&amp;ROW()),minfo!$A:$M,COLUMN()-8,0),"")</f>
        <v>0</v>
      </c>
    </row>
    <row r="1657" spans="1:21" ht="15.75" customHeight="1">
      <c r="A1657" s="15">
        <v>1656</v>
      </c>
      <c r="B1657" s="4" t="s">
        <v>5316</v>
      </c>
      <c r="D1657" s="4">
        <v>1</v>
      </c>
      <c r="E1657" s="4" t="s">
        <v>3131</v>
      </c>
      <c r="F1657" s="16">
        <v>45344</v>
      </c>
      <c r="G1657" s="5" t="s">
        <v>3130</v>
      </c>
      <c r="H1657" s="5" t="s">
        <v>5317</v>
      </c>
      <c r="I1657" s="24" t="str">
        <f>HYPERLINK("https://www.bilibili.com/video/BV1C6421M7C1", "BV1C6421M7C1")</f>
        <v>BV1C6421M7C1</v>
      </c>
      <c r="J1657" s="4" t="str">
        <f ca="1">_xlfn.IFNA(VLOOKUP(INDIRECT("G"&amp;ROW()),minfo!$A:$M,COLUMN()-8,0),"")</f>
        <v>想把哥哥追</v>
      </c>
      <c r="K1657" s="4" t="str">
        <f ca="1">_xlfn.IFNA(VLOOKUP(INDIRECT("G"&amp;ROW()),minfo!$A:$M,COLUMN()-8,0),"")</f>
        <v>6a会魔法</v>
      </c>
      <c r="L1657" s="4">
        <f ca="1">_xlfn.IFNA(VLOOKUP(INDIRECT("G"&amp;ROW()),minfo!$A:$M,COLUMN()-8,0),"")</f>
        <v>0</v>
      </c>
      <c r="M1657" s="4">
        <f ca="1">_xlfn.IFNA(VLOOKUP(INDIRECT("G"&amp;ROW()),minfo!$A:$M,COLUMN()-8,0),"")</f>
        <v>0</v>
      </c>
      <c r="N1657" s="4">
        <f ca="1">_xlfn.IFNA(VLOOKUP(INDIRECT("G"&amp;ROW()),minfo!$A:$M,COLUMN()-8,0),"")</f>
        <v>0</v>
      </c>
      <c r="O1657" s="4" t="str">
        <f ca="1">_xlfn.IFNA(VLOOKUP(INDIRECT("G"&amp;ROW()),minfo!$A:$M,COLUMN()-8,0),"")</f>
        <v>https://i0.hdslb.com/bfs/station_src/music_metadata/5a796e31f4703d0b8dc745487432b038.jpg</v>
      </c>
      <c r="P1657" s="4" t="str">
        <f ca="1">_xlfn.IFNA(VLOOKUP(INDIRECT("G"&amp;ROW()),minfo!$A:$M,COLUMN()-8,0),"")</f>
        <v>https://i0.hdslb.com/bfs/station_src/music_metadata/2a6dda5a27efb1f0ac5a1a2202696ef3.txt</v>
      </c>
      <c r="Q1657" s="4">
        <f ca="1">_xlfn.IFNA(VLOOKUP(INDIRECT("G"&amp;ROW()),minfo!$A:$M,COLUMN()-8,0),"")</f>
        <v>98</v>
      </c>
      <c r="R1657" s="4">
        <f ca="1">_xlfn.IFNA(VLOOKUP(INDIRECT("G"&amp;ROW()),minfo!$A:$M,COLUMN()-8,0),"")</f>
        <v>0</v>
      </c>
      <c r="S1657" s="4" t="str">
        <f ca="1">_xlfn.IFNA(VLOOKUP(INDIRECT("G"&amp;ROW()),minfo!$A:$M,COLUMN()-8,0),"")</f>
        <v>想把哥哥追</v>
      </c>
      <c r="T1657" s="4">
        <f ca="1">_xlfn.IFNA(VLOOKUP(INDIRECT("G"&amp;ROW()),minfo!$A:$M,COLUMN()-8,0),"")</f>
        <v>12394708</v>
      </c>
      <c r="U1657" s="4">
        <f ca="1">_xlfn.IFNA(VLOOKUP(INDIRECT("G"&amp;ROW()),minfo!$A:$M,COLUMN()-8,0),"")</f>
        <v>0</v>
      </c>
    </row>
    <row r="1658" spans="1:21" ht="15.75" customHeight="1">
      <c r="A1658" s="15">
        <v>1657</v>
      </c>
      <c r="B1658" s="4" t="s">
        <v>5318</v>
      </c>
      <c r="D1658" s="4">
        <v>1</v>
      </c>
      <c r="E1658" s="4" t="s">
        <v>61</v>
      </c>
      <c r="F1658" s="16">
        <v>45331</v>
      </c>
      <c r="G1658" s="5" t="s">
        <v>61</v>
      </c>
      <c r="H1658" s="5" t="s">
        <v>5319</v>
      </c>
      <c r="I1658" s="24" t="str">
        <f>HYPERLINK("https://www.bilibili.com/video/BV19B421B73g", "BV19B421B73g")</f>
        <v>BV19B421B73g</v>
      </c>
      <c r="J1658" s="4" t="str">
        <f ca="1">_xlfn.IFNA(VLOOKUP(INDIRECT("G"&amp;ROW()),minfo!$A:$M,COLUMN()-8,0),"")</f>
        <v>桃華</v>
      </c>
      <c r="K1658" s="4" t="str">
        <f ca="1">_xlfn.IFNA(VLOOKUP(INDIRECT("G"&amp;ROW()),minfo!$A:$M,COLUMN()-8,0),"")</f>
        <v>说说Crystal</v>
      </c>
      <c r="L1658" s="4" t="str">
        <f ca="1">_xlfn.IFNA(VLOOKUP(INDIRECT("G"&amp;ROW()),minfo!$A:$M,COLUMN()-8,0),"")</f>
        <v>BV14z4y1H7Jn</v>
      </c>
      <c r="M1658" s="4">
        <f ca="1">_xlfn.IFNA(VLOOKUP(INDIRECT("G"&amp;ROW()),minfo!$A:$M,COLUMN()-8,0),"")</f>
        <v>0</v>
      </c>
      <c r="N1658" s="4">
        <f ca="1">_xlfn.IFNA(VLOOKUP(INDIRECT("G"&amp;ROW()),minfo!$A:$M,COLUMN()-8,0),"")</f>
        <v>0</v>
      </c>
      <c r="O1658" s="4">
        <f ca="1">_xlfn.IFNA(VLOOKUP(INDIRECT("G"&amp;ROW()),minfo!$A:$M,COLUMN()-8,0),"")</f>
        <v>0</v>
      </c>
      <c r="P1658" s="4">
        <f ca="1">_xlfn.IFNA(VLOOKUP(INDIRECT("G"&amp;ROW()),minfo!$A:$M,COLUMN()-8,0),"")</f>
        <v>0</v>
      </c>
      <c r="Q1658" s="4">
        <f ca="1">_xlfn.IFNA(VLOOKUP(INDIRECT("G"&amp;ROW()),minfo!$A:$M,COLUMN()-8,0),"")</f>
        <v>0</v>
      </c>
      <c r="R1658" s="4">
        <f ca="1">_xlfn.IFNA(VLOOKUP(INDIRECT("G"&amp;ROW()),minfo!$A:$M,COLUMN()-8,0),"")</f>
        <v>0</v>
      </c>
      <c r="S1658" s="4">
        <f ca="1">_xlfn.IFNA(VLOOKUP(INDIRECT("G"&amp;ROW()),minfo!$A:$M,COLUMN()-8,0),"")</f>
        <v>0</v>
      </c>
      <c r="T1658" s="4">
        <f ca="1">_xlfn.IFNA(VLOOKUP(INDIRECT("G"&amp;ROW()),minfo!$A:$M,COLUMN()-8,0),"")</f>
        <v>0</v>
      </c>
      <c r="U1658" s="4">
        <f ca="1">_xlfn.IFNA(VLOOKUP(INDIRECT("G"&amp;ROW()),minfo!$A:$M,COLUMN()-8,0),"")</f>
        <v>0</v>
      </c>
    </row>
    <row r="1659" spans="1:21" ht="15.75" customHeight="1">
      <c r="A1659" s="15">
        <v>1658</v>
      </c>
      <c r="B1659" s="4" t="s">
        <v>5320</v>
      </c>
      <c r="D1659" s="4">
        <v>1</v>
      </c>
      <c r="E1659" s="4" t="s">
        <v>366</v>
      </c>
      <c r="F1659" s="16">
        <v>45331</v>
      </c>
      <c r="G1659" s="5" t="s">
        <v>365</v>
      </c>
      <c r="H1659" s="5" t="s">
        <v>5321</v>
      </c>
      <c r="I1659" s="24" t="str">
        <f>HYPERLINK("https://www.bilibili.com/video/BV1HZ421U7RR", "BV1HZ421U7RR")</f>
        <v>BV1HZ421U7RR</v>
      </c>
      <c r="J1659" s="4" t="str">
        <f ca="1">_xlfn.IFNA(VLOOKUP(INDIRECT("G"&amp;ROW()),minfo!$A:$M,COLUMN()-8,0),"")</f>
        <v>难忘今宵</v>
      </c>
      <c r="K1659" s="4" t="str">
        <f ca="1">_xlfn.IFNA(VLOOKUP(INDIRECT("G"&amp;ROW()),minfo!$A:$M,COLUMN()-8,0),"")</f>
        <v>二珂</v>
      </c>
      <c r="L1659" s="4">
        <f ca="1">_xlfn.IFNA(VLOOKUP(INDIRECT("G"&amp;ROW()),minfo!$A:$M,COLUMN()-8,0),"")</f>
        <v>0</v>
      </c>
      <c r="M1659" s="4">
        <f ca="1">_xlfn.IFNA(VLOOKUP(INDIRECT("G"&amp;ROW()),minfo!$A:$M,COLUMN()-8,0),"")</f>
        <v>0</v>
      </c>
      <c r="N1659" s="4">
        <f ca="1">_xlfn.IFNA(VLOOKUP(INDIRECT("G"&amp;ROW()),minfo!$A:$M,COLUMN()-8,0),"")</f>
        <v>0</v>
      </c>
      <c r="O1659" s="4" t="str">
        <f ca="1">_xlfn.IFNA(VLOOKUP(INDIRECT("G"&amp;ROW()),minfo!$A:$M,COLUMN()-8,0),"")</f>
        <v>http://y.gtimg.cn/music/photo_new/T002R300x300M000.jpg</v>
      </c>
      <c r="P1659" s="4">
        <f ca="1">_xlfn.IFNA(VLOOKUP(INDIRECT("G"&amp;ROW()),minfo!$A:$M,COLUMN()-8,0),"")</f>
        <v>0</v>
      </c>
      <c r="Q1659" s="4">
        <f ca="1">_xlfn.IFNA(VLOOKUP(INDIRECT("G"&amp;ROW()),minfo!$A:$M,COLUMN()-8,0),"")</f>
        <v>4</v>
      </c>
      <c r="R1659" s="4">
        <f ca="1">_xlfn.IFNA(VLOOKUP(INDIRECT("G"&amp;ROW()),minfo!$A:$M,COLUMN()-8,0),"")</f>
        <v>0</v>
      </c>
      <c r="S1659" s="4">
        <f ca="1">_xlfn.IFNA(VLOOKUP(INDIRECT("G"&amp;ROW()),minfo!$A:$M,COLUMN()-8,0),"")</f>
        <v>0</v>
      </c>
      <c r="T1659" s="4">
        <f ca="1">_xlfn.IFNA(VLOOKUP(INDIRECT("G"&amp;ROW()),minfo!$A:$M,COLUMN()-8,0),"")</f>
        <v>5415807</v>
      </c>
      <c r="U1659" s="4">
        <f ca="1">_xlfn.IFNA(VLOOKUP(INDIRECT("G"&amp;ROW()),minfo!$A:$M,COLUMN()-8,0),"")</f>
        <v>0</v>
      </c>
    </row>
    <row r="1660" spans="1:21" ht="15.75" customHeight="1">
      <c r="A1660" s="15">
        <v>1659</v>
      </c>
      <c r="B1660" s="4" t="s">
        <v>5322</v>
      </c>
      <c r="D1660" s="4">
        <v>1</v>
      </c>
      <c r="E1660" s="4" t="s">
        <v>192</v>
      </c>
      <c r="F1660" s="16">
        <v>45331</v>
      </c>
      <c r="G1660" s="5" t="s">
        <v>191</v>
      </c>
      <c r="H1660" s="5" t="s">
        <v>5323</v>
      </c>
      <c r="I1660" s="24" t="str">
        <f>HYPERLINK("https://www.bilibili.com/video/BV1h2421c7Vk", "BV1h2421c7Vk")</f>
        <v>BV1h2421c7Vk</v>
      </c>
      <c r="J1660" s="4" t="str">
        <f ca="1">_xlfn.IFNA(VLOOKUP(INDIRECT("G"&amp;ROW()),minfo!$A:$M,COLUMN()-8,0),"")</f>
        <v>流年如歌</v>
      </c>
      <c r="K1660" s="4" t="str">
        <f ca="1">_xlfn.IFNA(VLOOKUP(INDIRECT("G"&amp;ROW()),minfo!$A:$M,COLUMN()-8,0),"")</f>
        <v>苍穹</v>
      </c>
      <c r="L1660" s="4">
        <f ca="1">_xlfn.IFNA(VLOOKUP(INDIRECT("G"&amp;ROW()),minfo!$A:$M,COLUMN()-8,0),"")</f>
        <v>0</v>
      </c>
      <c r="M1660" s="4">
        <f ca="1">_xlfn.IFNA(VLOOKUP(INDIRECT("G"&amp;ROW()),minfo!$A:$M,COLUMN()-8,0),"")</f>
        <v>0</v>
      </c>
      <c r="N1660" s="4">
        <f ca="1">_xlfn.IFNA(VLOOKUP(INDIRECT("G"&amp;ROW()),minfo!$A:$M,COLUMN()-8,0),"")</f>
        <v>0</v>
      </c>
      <c r="O1660" s="4" t="str">
        <f ca="1">_xlfn.IFNA(VLOOKUP(INDIRECT("G"&amp;ROW()),minfo!$A:$M,COLUMN()-8,0),"")</f>
        <v>https://i0.hdslb.com/bfs/station_src/music_metadata/7d8de08a2fa9fed3e913a7cbedbd7359.jpg</v>
      </c>
      <c r="P1660" s="4" t="str">
        <f ca="1">_xlfn.IFNA(VLOOKUP(INDIRECT("G"&amp;ROW()),minfo!$A:$M,COLUMN()-8,0),"")</f>
        <v>https://i0.hdslb.com/bfs/station_src/music_metadata/39fd2191a90a6dfc42574ff5b43baadb.txt</v>
      </c>
      <c r="Q1660" s="4">
        <f ca="1">_xlfn.IFNA(VLOOKUP(INDIRECT("G"&amp;ROW()),minfo!$A:$M,COLUMN()-8,0),"")</f>
        <v>68</v>
      </c>
      <c r="R1660" s="4">
        <f ca="1">_xlfn.IFNA(VLOOKUP(INDIRECT("G"&amp;ROW()),minfo!$A:$M,COLUMN()-8,0),"")</f>
        <v>0</v>
      </c>
      <c r="S1660" s="4" t="str">
        <f ca="1">_xlfn.IFNA(VLOOKUP(INDIRECT("G"&amp;ROW()),minfo!$A:$M,COLUMN()-8,0),"")</f>
        <v>哔哩哔哩拜年纪金曲回顾</v>
      </c>
      <c r="T1660" s="4">
        <f ca="1">_xlfn.IFNA(VLOOKUP(INDIRECT("G"&amp;ROW()),minfo!$A:$M,COLUMN()-8,0),"")</f>
        <v>14971574</v>
      </c>
      <c r="U1660" s="4">
        <f ca="1">_xlfn.IFNA(VLOOKUP(INDIRECT("G"&amp;ROW()),minfo!$A:$M,COLUMN()-8,0),"")</f>
        <v>0</v>
      </c>
    </row>
    <row r="1661" spans="1:21" ht="15.75" customHeight="1">
      <c r="A1661" s="15">
        <v>1660</v>
      </c>
      <c r="B1661" s="4" t="s">
        <v>5324</v>
      </c>
      <c r="D1661" s="4">
        <v>1</v>
      </c>
      <c r="E1661" s="4" t="s">
        <v>95</v>
      </c>
      <c r="F1661" s="16">
        <v>45331</v>
      </c>
      <c r="G1661" s="5" t="s">
        <v>203</v>
      </c>
      <c r="H1661" s="5" t="s">
        <v>5325</v>
      </c>
      <c r="I1661" s="24" t="str">
        <f>HYPERLINK("https://www.bilibili.com/video/BV15J4m1t7Ys", "BV15J4m1t7Ys")</f>
        <v>BV15J4m1t7Ys</v>
      </c>
      <c r="J1661" s="4" t="str">
        <f ca="1">_xlfn.IFNA(VLOOKUP(INDIRECT("G"&amp;ROW()),minfo!$A:$M,COLUMN()-8,0),"")</f>
        <v>不问天</v>
      </c>
      <c r="K1661" s="4" t="str">
        <f ca="1">_xlfn.IFNA(VLOOKUP(INDIRECT("G"&amp;ROW()),minfo!$A:$M,COLUMN()-8,0),"")</f>
        <v>说说Crystal</v>
      </c>
      <c r="L1661" s="4">
        <f ca="1">_xlfn.IFNA(VLOOKUP(INDIRECT("G"&amp;ROW()),minfo!$A:$M,COLUMN()-8,0),"")</f>
        <v>0</v>
      </c>
      <c r="M1661" s="4">
        <f ca="1">_xlfn.IFNA(VLOOKUP(INDIRECT("G"&amp;ROW()),minfo!$A:$M,COLUMN()-8,0),"")</f>
        <v>0</v>
      </c>
      <c r="N1661" s="4">
        <f ca="1">_xlfn.IFNA(VLOOKUP(INDIRECT("G"&amp;ROW()),minfo!$A:$M,COLUMN()-8,0),"")</f>
        <v>0</v>
      </c>
      <c r="O1661" s="4" t="str">
        <f ca="1">_xlfn.IFNA(VLOOKUP(INDIRECT("G"&amp;ROW()),minfo!$A:$M,COLUMN()-8,0),"")</f>
        <v>https://i0.hdslb.com/bfs/station_src/music_metadata/ce3a0da2a7e64a49fa42a6e3db521f57.jpg</v>
      </c>
      <c r="P1661" s="4" t="str">
        <f ca="1">_xlfn.IFNA(VLOOKUP(INDIRECT("G"&amp;ROW()),minfo!$A:$M,COLUMN()-8,0),"")</f>
        <v>https://i0.hdslb.com/bfs/station_src/music_metadata/02cd9198a33924449443fc704a92a25a.txt</v>
      </c>
      <c r="Q1661" s="4">
        <f ca="1">_xlfn.IFNA(VLOOKUP(INDIRECT("G"&amp;ROW()),minfo!$A:$M,COLUMN()-8,0),"")</f>
        <v>149</v>
      </c>
      <c r="R1661" s="4">
        <f ca="1">_xlfn.IFNA(VLOOKUP(INDIRECT("G"&amp;ROW()),minfo!$A:$M,COLUMN()-8,0),"")</f>
        <v>0</v>
      </c>
      <c r="S1661" s="4" t="str">
        <f ca="1">_xlfn.IFNA(VLOOKUP(INDIRECT("G"&amp;ROW()),minfo!$A:$M,COLUMN()-8,0),"")</f>
        <v>2021哔哩哔哩拜年纪</v>
      </c>
      <c r="T1661" s="4">
        <f ca="1">_xlfn.IFNA(VLOOKUP(INDIRECT("G"&amp;ROW()),minfo!$A:$M,COLUMN()-8,0),"")</f>
        <v>33137051</v>
      </c>
      <c r="U1661" s="4">
        <f ca="1">_xlfn.IFNA(VLOOKUP(INDIRECT("G"&amp;ROW()),minfo!$A:$M,COLUMN()-8,0),"")</f>
        <v>0</v>
      </c>
    </row>
    <row r="1662" spans="1:21" ht="15.75" customHeight="1">
      <c r="A1662" s="15">
        <v>1661</v>
      </c>
      <c r="B1662" s="4" t="s">
        <v>5326</v>
      </c>
      <c r="D1662" s="4">
        <v>1</v>
      </c>
      <c r="E1662" s="4" t="s">
        <v>75</v>
      </c>
      <c r="F1662" s="16">
        <v>45331</v>
      </c>
      <c r="G1662" s="5" t="s">
        <v>1056</v>
      </c>
      <c r="H1662" s="5" t="s">
        <v>5327</v>
      </c>
      <c r="I1662" s="24" t="str">
        <f>HYPERLINK("https://www.bilibili.com/video/BV1R4421c7Xd", "BV1R4421c7Xd")</f>
        <v>BV1R4421c7Xd</v>
      </c>
      <c r="J1662" s="4" t="str">
        <f ca="1">_xlfn.IFNA(VLOOKUP(INDIRECT("G"&amp;ROW()),minfo!$A:$M,COLUMN()-8,0),"")</f>
        <v>布虎记</v>
      </c>
      <c r="K1662" s="4" t="str">
        <f ca="1">_xlfn.IFNA(VLOOKUP(INDIRECT("G"&amp;ROW()),minfo!$A:$M,COLUMN()-8,0),"")</f>
        <v>洛天依,西门振</v>
      </c>
      <c r="L1662" s="4">
        <f ca="1">_xlfn.IFNA(VLOOKUP(INDIRECT("G"&amp;ROW()),minfo!$A:$M,COLUMN()-8,0),"")</f>
        <v>0</v>
      </c>
      <c r="M1662" s="4">
        <f ca="1">_xlfn.IFNA(VLOOKUP(INDIRECT("G"&amp;ROW()),minfo!$A:$M,COLUMN()-8,0),"")</f>
        <v>0</v>
      </c>
      <c r="N1662" s="4">
        <f ca="1">_xlfn.IFNA(VLOOKUP(INDIRECT("G"&amp;ROW()),minfo!$A:$M,COLUMN()-8,0),"")</f>
        <v>0</v>
      </c>
      <c r="O1662" s="4" t="str">
        <f ca="1">_xlfn.IFNA(VLOOKUP(INDIRECT("G"&amp;ROW()),minfo!$A:$M,COLUMN()-8,0),"")</f>
        <v>https://i0.hdslb.com/bfs/station_src/music_metadata/346f3d0245c598c7be9afcb1e6a727b4.jpg</v>
      </c>
      <c r="P1662" s="4">
        <f ca="1">_xlfn.IFNA(VLOOKUP(INDIRECT("G"&amp;ROW()),minfo!$A:$M,COLUMN()-8,0),"")</f>
        <v>0</v>
      </c>
      <c r="Q1662" s="4">
        <f ca="1">_xlfn.IFNA(VLOOKUP(INDIRECT("G"&amp;ROW()),minfo!$A:$M,COLUMN()-8,0),"")</f>
        <v>0</v>
      </c>
      <c r="R1662" s="4">
        <f ca="1">_xlfn.IFNA(VLOOKUP(INDIRECT("G"&amp;ROW()),minfo!$A:$M,COLUMN()-8,0),"")</f>
        <v>0</v>
      </c>
      <c r="S1662" s="4" t="str">
        <f ca="1">_xlfn.IFNA(VLOOKUP(INDIRECT("G"&amp;ROW()),minfo!$A:$M,COLUMN()-8,0),"")</f>
        <v>【2022虚拟歌手贺岁纪】布虎记</v>
      </c>
      <c r="T1662" s="4">
        <f ca="1">_xlfn.IFNA(VLOOKUP(INDIRECT("G"&amp;ROW()),minfo!$A:$M,COLUMN()-8,0),"")</f>
        <v>1512793</v>
      </c>
      <c r="U1662" s="4">
        <f ca="1">_xlfn.IFNA(VLOOKUP(INDIRECT("G"&amp;ROW()),minfo!$A:$M,COLUMN()-8,0),"")</f>
        <v>0</v>
      </c>
    </row>
    <row r="1663" spans="1:21" ht="15.75" customHeight="1">
      <c r="A1663" s="15">
        <v>1662</v>
      </c>
      <c r="B1663" s="4" t="s">
        <v>5328</v>
      </c>
      <c r="D1663" s="4">
        <v>1</v>
      </c>
      <c r="E1663" s="4" t="s">
        <v>123</v>
      </c>
      <c r="F1663" s="16">
        <v>45327</v>
      </c>
      <c r="G1663" s="5" t="s">
        <v>123</v>
      </c>
      <c r="H1663" s="5" t="s">
        <v>5329</v>
      </c>
      <c r="I1663" s="24" t="str">
        <f>HYPERLINK("https://www.bilibili.com/video/BV1UZ421z7Qs", "BV1UZ421z7Qs")</f>
        <v>BV1UZ421z7Qs</v>
      </c>
      <c r="J1663" s="4" t="str">
        <f ca="1">_xlfn.IFNA(VLOOKUP(INDIRECT("G"&amp;ROW()),minfo!$A:$M,COLUMN()-8,0),"")</f>
        <v>解忧曲</v>
      </c>
      <c r="K1663" s="4" t="str">
        <f ca="1">_xlfn.IFNA(VLOOKUP(INDIRECT("G"&amp;ROW()),minfo!$A:$M,COLUMN()-8,0),"")</f>
        <v>咻咻满</v>
      </c>
      <c r="L1663" s="4" t="str">
        <f ca="1">_xlfn.IFNA(VLOOKUP(INDIRECT("G"&amp;ROW()),minfo!$A:$M,COLUMN()-8,0),"")</f>
        <v>BV1LK42117Vd</v>
      </c>
      <c r="M1663" s="4">
        <f ca="1">_xlfn.IFNA(VLOOKUP(INDIRECT("G"&amp;ROW()),minfo!$A:$M,COLUMN()-8,0),"")</f>
        <v>0</v>
      </c>
      <c r="N1663" s="4">
        <f ca="1">_xlfn.IFNA(VLOOKUP(INDIRECT("G"&amp;ROW()),minfo!$A:$M,COLUMN()-8,0),"")</f>
        <v>0</v>
      </c>
      <c r="O1663" s="4">
        <f ca="1">_xlfn.IFNA(VLOOKUP(INDIRECT("G"&amp;ROW()),minfo!$A:$M,COLUMN()-8,0),"")</f>
        <v>0</v>
      </c>
      <c r="P1663" s="4">
        <f ca="1">_xlfn.IFNA(VLOOKUP(INDIRECT("G"&amp;ROW()),minfo!$A:$M,COLUMN()-8,0),"")</f>
        <v>0</v>
      </c>
      <c r="Q1663" s="4">
        <f ca="1">_xlfn.IFNA(VLOOKUP(INDIRECT("G"&amp;ROW()),minfo!$A:$M,COLUMN()-8,0),"")</f>
        <v>0</v>
      </c>
      <c r="R1663" s="4">
        <f ca="1">_xlfn.IFNA(VLOOKUP(INDIRECT("G"&amp;ROW()),minfo!$A:$M,COLUMN()-8,0),"")</f>
        <v>0</v>
      </c>
      <c r="S1663" s="4">
        <f ca="1">_xlfn.IFNA(VLOOKUP(INDIRECT("G"&amp;ROW()),minfo!$A:$M,COLUMN()-8,0),"")</f>
        <v>0</v>
      </c>
      <c r="T1663" s="4">
        <f ca="1">_xlfn.IFNA(VLOOKUP(INDIRECT("G"&amp;ROW()),minfo!$A:$M,COLUMN()-8,0),"")</f>
        <v>0</v>
      </c>
      <c r="U1663" s="4">
        <f ca="1">_xlfn.IFNA(VLOOKUP(INDIRECT("G"&amp;ROW()),minfo!$A:$M,COLUMN()-8,0),"")</f>
        <v>0</v>
      </c>
    </row>
    <row r="1664" spans="1:21" ht="15.75" customHeight="1">
      <c r="A1664" s="15">
        <v>1663</v>
      </c>
      <c r="B1664" s="4" t="s">
        <v>5330</v>
      </c>
      <c r="D1664" s="4">
        <v>1</v>
      </c>
      <c r="E1664" s="4" t="s">
        <v>834</v>
      </c>
      <c r="F1664" s="16">
        <v>45327</v>
      </c>
      <c r="G1664" s="5" t="s">
        <v>833</v>
      </c>
      <c r="H1664" s="5" t="s">
        <v>5331</v>
      </c>
      <c r="I1664" s="24" t="str">
        <f>HYPERLINK("https://www.bilibili.com/video/BV1w4421P7gE", "BV1w4421P7gE")</f>
        <v>BV1w4421P7gE</v>
      </c>
      <c r="J1664" s="4" t="str">
        <f ca="1">_xlfn.IFNA(VLOOKUP(INDIRECT("G"&amp;ROW()),minfo!$A:$M,COLUMN()-8,0),"")</f>
        <v>锦鲤抄</v>
      </c>
      <c r="K1664" s="4" t="str">
        <f ca="1">_xlfn.IFNA(VLOOKUP(INDIRECT("G"&amp;ROW()),minfo!$A:$M,COLUMN()-8,0),"")</f>
        <v>银临/云の泣</v>
      </c>
      <c r="L1664" s="4">
        <f ca="1">_xlfn.IFNA(VLOOKUP(INDIRECT("G"&amp;ROW()),minfo!$A:$M,COLUMN()-8,0),"")</f>
        <v>0</v>
      </c>
      <c r="M1664" s="4">
        <f ca="1">_xlfn.IFNA(VLOOKUP(INDIRECT("G"&amp;ROW()),minfo!$A:$M,COLUMN()-8,0),"")</f>
        <v>0</v>
      </c>
      <c r="N1664" s="4">
        <f ca="1">_xlfn.IFNA(VLOOKUP(INDIRECT("G"&amp;ROW()),minfo!$A:$M,COLUMN()-8,0),"")</f>
        <v>0</v>
      </c>
      <c r="O1664" s="4" t="str">
        <f ca="1">_xlfn.IFNA(VLOOKUP(INDIRECT("G"&amp;ROW()),minfo!$A:$M,COLUMN()-8,0),"")</f>
        <v>http://i0.hdslb.com/bfs/station_src/music_metadata/4afbefd3c04f63214361dc43c99c9986.jpg</v>
      </c>
      <c r="P1664" s="4" t="str">
        <f ca="1">_xlfn.IFNA(VLOOKUP(INDIRECT("G"&amp;ROW()),minfo!$A:$M,COLUMN()-8,0),"")</f>
        <v>http://i0.hdslb.com/bfs/station_src/music_metadata/5a614dd394085de19715027062d2c8a2</v>
      </c>
      <c r="Q1664" s="4">
        <f ca="1">_xlfn.IFNA(VLOOKUP(INDIRECT("G"&amp;ROW()),minfo!$A:$M,COLUMN()-8,0),"")</f>
        <v>766</v>
      </c>
      <c r="R1664" s="4">
        <f ca="1">_xlfn.IFNA(VLOOKUP(INDIRECT("G"&amp;ROW()),minfo!$A:$M,COLUMN()-8,0),"")</f>
        <v>0</v>
      </c>
      <c r="S1664" s="4" t="str">
        <f ca="1">_xlfn.IFNA(VLOOKUP(INDIRECT("G"&amp;ROW()),minfo!$A:$M,COLUMN()-8,0),"")</f>
        <v>锦鲤抄</v>
      </c>
      <c r="T1664" s="4">
        <f ca="1">_xlfn.IFNA(VLOOKUP(INDIRECT("G"&amp;ROW()),minfo!$A:$M,COLUMN()-8,0),"")</f>
        <v>198812540</v>
      </c>
      <c r="U1664" s="4">
        <f ca="1">_xlfn.IFNA(VLOOKUP(INDIRECT("G"&amp;ROW()),minfo!$A:$M,COLUMN()-8,0),"")</f>
        <v>0</v>
      </c>
    </row>
    <row r="1665" spans="1:21" ht="15.75" customHeight="1">
      <c r="A1665" s="15">
        <v>1664</v>
      </c>
      <c r="B1665" s="4" t="s">
        <v>5332</v>
      </c>
      <c r="D1665" s="4">
        <v>1</v>
      </c>
      <c r="E1665" s="4" t="s">
        <v>53</v>
      </c>
      <c r="F1665" s="16">
        <v>45327</v>
      </c>
      <c r="G1665" s="5" t="s">
        <v>53</v>
      </c>
      <c r="H1665" s="5" t="s">
        <v>5333</v>
      </c>
      <c r="I1665" s="24" t="str">
        <f>HYPERLINK("https://www.bilibili.com/video/BV1zu4m1K7JF", "BV1zu4m1K7JF")</f>
        <v>BV1zu4m1K7JF</v>
      </c>
      <c r="J1665" s="4" t="str">
        <f ca="1">_xlfn.IFNA(VLOOKUP(INDIRECT("G"&amp;ROW()),minfo!$A:$M,COLUMN()-8,0),"")</f>
        <v>他们是，那我呢</v>
      </c>
      <c r="K1665" s="4" t="str">
        <f ca="1">_xlfn.IFNA(VLOOKUP(INDIRECT("G"&amp;ROW()),minfo!$A:$M,COLUMN()-8,0),"")</f>
        <v>说说Crystal</v>
      </c>
      <c r="L1665" s="4" t="str">
        <f ca="1">_xlfn.IFNA(VLOOKUP(INDIRECT("G"&amp;ROW()),minfo!$A:$M,COLUMN()-8,0),"")</f>
        <v>BV1Tc411v7na</v>
      </c>
      <c r="M1665" s="4">
        <f ca="1">_xlfn.IFNA(VLOOKUP(INDIRECT("G"&amp;ROW()),minfo!$A:$M,COLUMN()-8,0),"")</f>
        <v>0</v>
      </c>
      <c r="N1665" s="4">
        <f ca="1">_xlfn.IFNA(VLOOKUP(INDIRECT("G"&amp;ROW()),minfo!$A:$M,COLUMN()-8,0),"")</f>
        <v>0</v>
      </c>
      <c r="O1665" s="4">
        <f ca="1">_xlfn.IFNA(VLOOKUP(INDIRECT("G"&amp;ROW()),minfo!$A:$M,COLUMN()-8,0),"")</f>
        <v>0</v>
      </c>
      <c r="P1665" s="4">
        <f ca="1">_xlfn.IFNA(VLOOKUP(INDIRECT("G"&amp;ROW()),minfo!$A:$M,COLUMN()-8,0),"")</f>
        <v>0</v>
      </c>
      <c r="Q1665" s="4">
        <f ca="1">_xlfn.IFNA(VLOOKUP(INDIRECT("G"&amp;ROW()),minfo!$A:$M,COLUMN()-8,0),"")</f>
        <v>0</v>
      </c>
      <c r="R1665" s="4">
        <f ca="1">_xlfn.IFNA(VLOOKUP(INDIRECT("G"&amp;ROW()),minfo!$A:$M,COLUMN()-8,0),"")</f>
        <v>0</v>
      </c>
      <c r="S1665" s="4">
        <f ca="1">_xlfn.IFNA(VLOOKUP(INDIRECT("G"&amp;ROW()),minfo!$A:$M,COLUMN()-8,0),"")</f>
        <v>0</v>
      </c>
      <c r="T1665" s="4">
        <f ca="1">_xlfn.IFNA(VLOOKUP(INDIRECT("G"&amp;ROW()),minfo!$A:$M,COLUMN()-8,0),"")</f>
        <v>0</v>
      </c>
      <c r="U1665" s="4">
        <f ca="1">_xlfn.IFNA(VLOOKUP(INDIRECT("G"&amp;ROW()),minfo!$A:$M,COLUMN()-8,0),"")</f>
        <v>0</v>
      </c>
    </row>
    <row r="1666" spans="1:21" ht="15.75" customHeight="1">
      <c r="A1666" s="15">
        <v>1665</v>
      </c>
      <c r="B1666" s="4" t="s">
        <v>5334</v>
      </c>
      <c r="D1666" s="4">
        <v>1</v>
      </c>
      <c r="E1666" s="4" t="s">
        <v>55</v>
      </c>
      <c r="F1666" s="16">
        <v>45327</v>
      </c>
      <c r="G1666" s="5" t="s">
        <v>1549</v>
      </c>
      <c r="H1666" s="5" t="s">
        <v>5335</v>
      </c>
      <c r="I1666" s="24" t="str">
        <f>HYPERLINK("https://www.bilibili.com/video/BV12Z421U7G2", "BV12Z421U7G2")</f>
        <v>BV12Z421U7G2</v>
      </c>
      <c r="J1666" s="4" t="str">
        <f ca="1">_xlfn.IFNA(VLOOKUP(INDIRECT("G"&amp;ROW()),minfo!$A:$M,COLUMN()-8,0),"")</f>
        <v>人间未满</v>
      </c>
      <c r="K1666" s="4" t="str">
        <f ca="1">_xlfn.IFNA(VLOOKUP(INDIRECT("G"&amp;ROW()),minfo!$A:$M,COLUMN()-8,0),"")</f>
        <v>妮莉安Lily,纱依shayi,说说Crystal</v>
      </c>
      <c r="L1666" s="4">
        <f ca="1">_xlfn.IFNA(VLOOKUP(INDIRECT("G"&amp;ROW()),minfo!$A:$M,COLUMN()-8,0),"")</f>
        <v>0</v>
      </c>
      <c r="M1666" s="4">
        <f ca="1">_xlfn.IFNA(VLOOKUP(INDIRECT("G"&amp;ROW()),minfo!$A:$M,COLUMN()-8,0),"")</f>
        <v>0</v>
      </c>
      <c r="N1666" s="4">
        <f ca="1">_xlfn.IFNA(VLOOKUP(INDIRECT("G"&amp;ROW()),minfo!$A:$M,COLUMN()-8,0),"")</f>
        <v>0</v>
      </c>
      <c r="O1666" s="4" t="str">
        <f ca="1">_xlfn.IFNA(VLOOKUP(INDIRECT("G"&amp;ROW()),minfo!$A:$M,COLUMN()-8,0),"")</f>
        <v>http://i0.hdslb.com/bfs/station_src/music_metadata/a9d9bd8d10828caa99479d3a5fd6f323.jpg</v>
      </c>
      <c r="P1666" s="4">
        <f ca="1">_xlfn.IFNA(VLOOKUP(INDIRECT("G"&amp;ROW()),minfo!$A:$M,COLUMN()-8,0),"")</f>
        <v>0</v>
      </c>
      <c r="Q1666" s="4">
        <f ca="1">_xlfn.IFNA(VLOOKUP(INDIRECT("G"&amp;ROW()),minfo!$A:$M,COLUMN()-8,0),"")</f>
        <v>16</v>
      </c>
      <c r="R1666" s="4">
        <f ca="1">_xlfn.IFNA(VLOOKUP(INDIRECT("G"&amp;ROW()),minfo!$A:$M,COLUMN()-8,0),"")</f>
        <v>0</v>
      </c>
      <c r="S1666" s="4" t="str">
        <f ca="1">_xlfn.IFNA(VLOOKUP(INDIRECT("G"&amp;ROW()),minfo!$A:$M,COLUMN()-8,0),"")</f>
        <v>人间未满</v>
      </c>
      <c r="T1666" s="4">
        <f ca="1">_xlfn.IFNA(VLOOKUP(INDIRECT("G"&amp;ROW()),minfo!$A:$M,COLUMN()-8,0),"")</f>
        <v>256261</v>
      </c>
      <c r="U1666" s="4">
        <f ca="1">_xlfn.IFNA(VLOOKUP(INDIRECT("G"&amp;ROW()),minfo!$A:$M,COLUMN()-8,0),"")</f>
        <v>0</v>
      </c>
    </row>
    <row r="1667" spans="1:21" ht="15.75" customHeight="1">
      <c r="A1667" s="15">
        <v>1666</v>
      </c>
      <c r="B1667" s="4" t="s">
        <v>5336</v>
      </c>
      <c r="D1667" s="4">
        <v>1</v>
      </c>
      <c r="E1667" s="4" t="s">
        <v>95</v>
      </c>
      <c r="F1667" s="16">
        <v>45327</v>
      </c>
      <c r="G1667" s="5" t="s">
        <v>203</v>
      </c>
      <c r="H1667" s="5" t="s">
        <v>5337</v>
      </c>
      <c r="I1667" s="24" t="str">
        <f>HYPERLINK("https://www.bilibili.com/video/BV1ay421h7YD", "BV1ay421h7YD")</f>
        <v>BV1ay421h7YD</v>
      </c>
      <c r="J1667" s="4" t="str">
        <f ca="1">_xlfn.IFNA(VLOOKUP(INDIRECT("G"&amp;ROW()),minfo!$A:$M,COLUMN()-8,0),"")</f>
        <v>不问天</v>
      </c>
      <c r="K1667" s="4" t="str">
        <f ca="1">_xlfn.IFNA(VLOOKUP(INDIRECT("G"&amp;ROW()),minfo!$A:$M,COLUMN()-8,0),"")</f>
        <v>说说Crystal</v>
      </c>
      <c r="L1667" s="4">
        <f ca="1">_xlfn.IFNA(VLOOKUP(INDIRECT("G"&amp;ROW()),minfo!$A:$M,COLUMN()-8,0),"")</f>
        <v>0</v>
      </c>
      <c r="M1667" s="4">
        <f ca="1">_xlfn.IFNA(VLOOKUP(INDIRECT("G"&amp;ROW()),minfo!$A:$M,COLUMN()-8,0),"")</f>
        <v>0</v>
      </c>
      <c r="N1667" s="4">
        <f ca="1">_xlfn.IFNA(VLOOKUP(INDIRECT("G"&amp;ROW()),minfo!$A:$M,COLUMN()-8,0),"")</f>
        <v>0</v>
      </c>
      <c r="O1667" s="4" t="str">
        <f ca="1">_xlfn.IFNA(VLOOKUP(INDIRECT("G"&amp;ROW()),minfo!$A:$M,COLUMN()-8,0),"")</f>
        <v>https://i0.hdslb.com/bfs/station_src/music_metadata/ce3a0da2a7e64a49fa42a6e3db521f57.jpg</v>
      </c>
      <c r="P1667" s="4" t="str">
        <f ca="1">_xlfn.IFNA(VLOOKUP(INDIRECT("G"&amp;ROW()),minfo!$A:$M,COLUMN()-8,0),"")</f>
        <v>https://i0.hdslb.com/bfs/station_src/music_metadata/02cd9198a33924449443fc704a92a25a.txt</v>
      </c>
      <c r="Q1667" s="4">
        <f ca="1">_xlfn.IFNA(VLOOKUP(INDIRECT("G"&amp;ROW()),minfo!$A:$M,COLUMN()-8,0),"")</f>
        <v>149</v>
      </c>
      <c r="R1667" s="4">
        <f ca="1">_xlfn.IFNA(VLOOKUP(INDIRECT("G"&amp;ROW()),minfo!$A:$M,COLUMN()-8,0),"")</f>
        <v>0</v>
      </c>
      <c r="S1667" s="4" t="str">
        <f ca="1">_xlfn.IFNA(VLOOKUP(INDIRECT("G"&amp;ROW()),minfo!$A:$M,COLUMN()-8,0),"")</f>
        <v>2021哔哩哔哩拜年纪</v>
      </c>
      <c r="T1667" s="4">
        <f ca="1">_xlfn.IFNA(VLOOKUP(INDIRECT("G"&amp;ROW()),minfo!$A:$M,COLUMN()-8,0),"")</f>
        <v>33137051</v>
      </c>
      <c r="U1667" s="4">
        <f ca="1">_xlfn.IFNA(VLOOKUP(INDIRECT("G"&amp;ROW()),minfo!$A:$M,COLUMN()-8,0),"")</f>
        <v>0</v>
      </c>
    </row>
    <row r="1668" spans="1:21" ht="15.75" customHeight="1">
      <c r="A1668" s="15">
        <v>1667</v>
      </c>
      <c r="B1668" s="4" t="s">
        <v>5338</v>
      </c>
      <c r="D1668" s="4">
        <v>1</v>
      </c>
      <c r="E1668" s="4" t="s">
        <v>93</v>
      </c>
      <c r="F1668" s="16">
        <v>45327</v>
      </c>
      <c r="G1668" s="5" t="s">
        <v>93</v>
      </c>
      <c r="H1668" s="5" t="s">
        <v>5339</v>
      </c>
      <c r="I1668" s="24" t="str">
        <f>HYPERLINK("https://www.bilibili.com/video/BV1Mt421p7R1", "BV1Mt421p7R1")</f>
        <v>BV1Mt421p7R1</v>
      </c>
      <c r="J1668" s="4" t="str">
        <f ca="1">_xlfn.IFNA(VLOOKUP(INDIRECT("G"&amp;ROW()),minfo!$A:$M,COLUMN()-8,0),"")</f>
        <v>罗敷</v>
      </c>
      <c r="K1668" s="4" t="str">
        <f ca="1">_xlfn.IFNA(VLOOKUP(INDIRECT("G"&amp;ROW()),minfo!$A:$M,COLUMN()-8,0),"")</f>
        <v>说说Crystal</v>
      </c>
      <c r="L1668" s="4" t="str">
        <f ca="1">_xlfn.IFNA(VLOOKUP(INDIRECT("G"&amp;ROW()),minfo!$A:$M,COLUMN()-8,0),"")</f>
        <v>BV1Jz4y127SL</v>
      </c>
      <c r="M1668" s="4">
        <f ca="1">_xlfn.IFNA(VLOOKUP(INDIRECT("G"&amp;ROW()),minfo!$A:$M,COLUMN()-8,0),"")</f>
        <v>0</v>
      </c>
      <c r="N1668" s="4">
        <f ca="1">_xlfn.IFNA(VLOOKUP(INDIRECT("G"&amp;ROW()),minfo!$A:$M,COLUMN()-8,0),"")</f>
        <v>0</v>
      </c>
      <c r="O1668" s="4">
        <f ca="1">_xlfn.IFNA(VLOOKUP(INDIRECT("G"&amp;ROW()),minfo!$A:$M,COLUMN()-8,0),"")</f>
        <v>0</v>
      </c>
      <c r="P1668" s="4">
        <f ca="1">_xlfn.IFNA(VLOOKUP(INDIRECT("G"&amp;ROW()),minfo!$A:$M,COLUMN()-8,0),"")</f>
        <v>0</v>
      </c>
      <c r="Q1668" s="4">
        <f ca="1">_xlfn.IFNA(VLOOKUP(INDIRECT("G"&amp;ROW()),minfo!$A:$M,COLUMN()-8,0),"")</f>
        <v>0</v>
      </c>
      <c r="R1668" s="4">
        <f ca="1">_xlfn.IFNA(VLOOKUP(INDIRECT("G"&amp;ROW()),minfo!$A:$M,COLUMN()-8,0),"")</f>
        <v>0</v>
      </c>
      <c r="S1668" s="4">
        <f ca="1">_xlfn.IFNA(VLOOKUP(INDIRECT("G"&amp;ROW()),minfo!$A:$M,COLUMN()-8,0),"")</f>
        <v>0</v>
      </c>
      <c r="T1668" s="4">
        <f ca="1">_xlfn.IFNA(VLOOKUP(INDIRECT("G"&amp;ROW()),minfo!$A:$M,COLUMN()-8,0),"")</f>
        <v>0</v>
      </c>
      <c r="U1668" s="4">
        <f ca="1">_xlfn.IFNA(VLOOKUP(INDIRECT("G"&amp;ROW()),minfo!$A:$M,COLUMN()-8,0),"")</f>
        <v>0</v>
      </c>
    </row>
    <row r="1669" spans="1:21" ht="15.75" customHeight="1">
      <c r="A1669" s="15">
        <v>1668</v>
      </c>
      <c r="B1669" s="4" t="s">
        <v>5340</v>
      </c>
      <c r="D1669" s="4">
        <v>1</v>
      </c>
      <c r="E1669" s="4" t="s">
        <v>3136</v>
      </c>
      <c r="F1669" s="16">
        <v>45327</v>
      </c>
      <c r="G1669" s="5" t="s">
        <v>3135</v>
      </c>
      <c r="H1669" s="5" t="s">
        <v>5341</v>
      </c>
      <c r="I1669" s="24" t="str">
        <f>HYPERLINK("https://www.bilibili.com/video/BV1h2421A7pN", "BV1h2421A7pN")</f>
        <v>BV1h2421A7pN</v>
      </c>
      <c r="J1669" s="4" t="str">
        <f ca="1">_xlfn.IFNA(VLOOKUP(INDIRECT("G"&amp;ROW()),minfo!$A:$M,COLUMN()-8,0),"")</f>
        <v>潇洒小姐</v>
      </c>
      <c r="K1669" s="4" t="str">
        <f ca="1">_xlfn.IFNA(VLOOKUP(INDIRECT("G"&amp;ROW()),minfo!$A:$M,COLUMN()-8,0),"")</f>
        <v>萧亚轩</v>
      </c>
      <c r="L1669" s="4">
        <f ca="1">_xlfn.IFNA(VLOOKUP(INDIRECT("G"&amp;ROW()),minfo!$A:$M,COLUMN()-8,0),"")</f>
        <v>0</v>
      </c>
      <c r="M1669" s="4">
        <f ca="1">_xlfn.IFNA(VLOOKUP(INDIRECT("G"&amp;ROW()),minfo!$A:$M,COLUMN()-8,0),"")</f>
        <v>0</v>
      </c>
      <c r="N1669" s="4">
        <f ca="1">_xlfn.IFNA(VLOOKUP(INDIRECT("G"&amp;ROW()),minfo!$A:$M,COLUMN()-8,0),"")</f>
        <v>0</v>
      </c>
      <c r="O1669" s="4" t="str">
        <f ca="1">_xlfn.IFNA(VLOOKUP(INDIRECT("G"&amp;ROW()),minfo!$A:$M,COLUMN()-8,0),"")</f>
        <v>https://i0.hdslb.com/bfs/station_src/music_metadata/a4479c37df6750d249a1c7080bb3b04b.jpg</v>
      </c>
      <c r="P1669" s="4" t="str">
        <f ca="1">_xlfn.IFNA(VLOOKUP(INDIRECT("G"&amp;ROW()),minfo!$A:$M,COLUMN()-8,0),"")</f>
        <v>http://i0.hdslb.com/bfs/station_src/music_metadata/d25bb841eb54ddb39828c31d3e2f8fe3</v>
      </c>
      <c r="Q1669" s="4">
        <f ca="1">_xlfn.IFNA(VLOOKUP(INDIRECT("G"&amp;ROW()),minfo!$A:$M,COLUMN()-8,0),"")</f>
        <v>35</v>
      </c>
      <c r="R1669" s="4">
        <f ca="1">_xlfn.IFNA(VLOOKUP(INDIRECT("G"&amp;ROW()),minfo!$A:$M,COLUMN()-8,0),"")</f>
        <v>0</v>
      </c>
      <c r="S1669" s="4" t="str">
        <f ca="1">_xlfn.IFNA(VLOOKUP(INDIRECT("G"&amp;ROW()),minfo!$A:$M,COLUMN()-8,0),"")</f>
        <v>潇洒小姐</v>
      </c>
      <c r="T1669" s="4">
        <f ca="1">_xlfn.IFNA(VLOOKUP(INDIRECT("G"&amp;ROW()),minfo!$A:$M,COLUMN()-8,0),"")</f>
        <v>10840206</v>
      </c>
      <c r="U1669" s="4">
        <f ca="1">_xlfn.IFNA(VLOOKUP(INDIRECT("G"&amp;ROW()),minfo!$A:$M,COLUMN()-8,0),"")</f>
        <v>0</v>
      </c>
    </row>
    <row r="1670" spans="1:21" ht="15.75" customHeight="1">
      <c r="A1670" s="15">
        <v>1669</v>
      </c>
      <c r="B1670" s="4" t="s">
        <v>5342</v>
      </c>
      <c r="D1670" s="4">
        <v>1</v>
      </c>
      <c r="E1670" s="4" t="s">
        <v>384</v>
      </c>
      <c r="F1670" s="16">
        <v>45325</v>
      </c>
      <c r="G1670" s="5" t="s">
        <v>383</v>
      </c>
      <c r="H1670" s="5" t="s">
        <v>5343</v>
      </c>
      <c r="I1670" s="24" t="str">
        <f>HYPERLINK("https://www.bilibili.com/video/BV1X4421w7FE", "BV1X4421w7FE")</f>
        <v>BV1X4421w7FE</v>
      </c>
      <c r="J1670" s="4" t="str">
        <f ca="1">_xlfn.IFNA(VLOOKUP(INDIRECT("G"&amp;ROW()),minfo!$A:$M,COLUMN()-8,0),"")</f>
        <v>恰好</v>
      </c>
      <c r="K1670" s="4" t="str">
        <f ca="1">_xlfn.IFNA(VLOOKUP(INDIRECT("G"&amp;ROW()),minfo!$A:$M,COLUMN()-8,0),"")</f>
        <v>黄龄,李鑫一</v>
      </c>
      <c r="L1670" s="4">
        <f ca="1">_xlfn.IFNA(VLOOKUP(INDIRECT("G"&amp;ROW()),minfo!$A:$M,COLUMN()-8,0),"")</f>
        <v>0</v>
      </c>
      <c r="M1670" s="4">
        <f ca="1">_xlfn.IFNA(VLOOKUP(INDIRECT("G"&amp;ROW()),minfo!$A:$M,COLUMN()-8,0),"")</f>
        <v>0</v>
      </c>
      <c r="N1670" s="4">
        <f ca="1">_xlfn.IFNA(VLOOKUP(INDIRECT("G"&amp;ROW()),minfo!$A:$M,COLUMN()-8,0),"")</f>
        <v>0</v>
      </c>
      <c r="O1670" s="4" t="str">
        <f ca="1">_xlfn.IFNA(VLOOKUP(INDIRECT("G"&amp;ROW()),minfo!$A:$M,COLUMN()-8,0),"")</f>
        <v>https://i0.hdslb.com/bfs/station_src/music_metadata/4114b5dce4dc2e8fa6d696106a6624eb.jpg</v>
      </c>
      <c r="P1670" s="4" t="str">
        <f ca="1">_xlfn.IFNA(VLOOKUP(INDIRECT("G"&amp;ROW()),minfo!$A:$M,COLUMN()-8,0),"")</f>
        <v>https://i0.hdslb.com/bfs/station_src/music_metadata/7105373054bbacbd0af01ee959bcd5e2.txt</v>
      </c>
      <c r="Q1670" s="4">
        <f ca="1">_xlfn.IFNA(VLOOKUP(INDIRECT("G"&amp;ROW()),minfo!$A:$M,COLUMN()-8,0),"")</f>
        <v>0</v>
      </c>
      <c r="R1670" s="4">
        <f ca="1">_xlfn.IFNA(VLOOKUP(INDIRECT("G"&amp;ROW()),minfo!$A:$M,COLUMN()-8,0),"")</f>
        <v>0</v>
      </c>
      <c r="S1670" s="4" t="str">
        <f ca="1">_xlfn.IFNA(VLOOKUP(INDIRECT("G"&amp;ROW()),minfo!$A:$M,COLUMN()-8,0),"")</f>
        <v>天赐的声音第二季 第9期</v>
      </c>
      <c r="T1670" s="4">
        <f ca="1">_xlfn.IFNA(VLOOKUP(INDIRECT("G"&amp;ROW()),minfo!$A:$M,COLUMN()-8,0),"")</f>
        <v>436159</v>
      </c>
      <c r="U1670" s="4">
        <f ca="1">_xlfn.IFNA(VLOOKUP(INDIRECT("G"&amp;ROW()),minfo!$A:$M,COLUMN()-8,0),"")</f>
        <v>0</v>
      </c>
    </row>
    <row r="1671" spans="1:21" ht="15.75" customHeight="1">
      <c r="A1671" s="15">
        <v>1670</v>
      </c>
      <c r="B1671" s="4" t="s">
        <v>5344</v>
      </c>
      <c r="D1671" s="4">
        <v>1</v>
      </c>
      <c r="E1671" s="4" t="s">
        <v>678</v>
      </c>
      <c r="F1671" s="16">
        <v>45320</v>
      </c>
      <c r="G1671" s="5" t="s">
        <v>677</v>
      </c>
      <c r="H1671" s="5" t="s">
        <v>5345</v>
      </c>
      <c r="I1671" s="24" t="str">
        <f>HYPERLINK("https://www.bilibili.com/video/BV1k44y1F7E5", "BV1k44y1F7E5")</f>
        <v>BV1k44y1F7E5</v>
      </c>
      <c r="J1671" s="4" t="str">
        <f ca="1">_xlfn.IFNA(VLOOKUP(INDIRECT("G"&amp;ROW()),minfo!$A:$M,COLUMN()-8,0),"")</f>
        <v>将故事写成我们</v>
      </c>
      <c r="K1671" s="4" t="str">
        <f ca="1">_xlfn.IFNA(VLOOKUP(INDIRECT("G"&amp;ROW()),minfo!$A:$M,COLUMN()-8,0),"")</f>
        <v>林俊杰</v>
      </c>
      <c r="L1671" s="4">
        <f ca="1">_xlfn.IFNA(VLOOKUP(INDIRECT("G"&amp;ROW()),minfo!$A:$M,COLUMN()-8,0),"")</f>
        <v>0</v>
      </c>
      <c r="M1671" s="4">
        <f ca="1">_xlfn.IFNA(VLOOKUP(INDIRECT("G"&amp;ROW()),minfo!$A:$M,COLUMN()-8,0),"")</f>
        <v>1032</v>
      </c>
      <c r="N1671" s="4">
        <f ca="1">_xlfn.IFNA(VLOOKUP(INDIRECT("G"&amp;ROW()),minfo!$A:$M,COLUMN()-8,0),"")</f>
        <v>165</v>
      </c>
      <c r="O1671" s="4" t="str">
        <f ca="1">_xlfn.IFNA(VLOOKUP(INDIRECT("G"&amp;ROW()),minfo!$A:$M,COLUMN()-8,0),"")</f>
        <v>http://i0.hdslb.com/bfs/station_src/music_metadata/63fe00af138c363552e6aff10baba93e.jpg</v>
      </c>
      <c r="P1671" s="4" t="str">
        <f ca="1">_xlfn.IFNA(VLOOKUP(INDIRECT("G"&amp;ROW()),minfo!$A:$M,COLUMN()-8,0),"")</f>
        <v>http://i0.hdslb.com/bfs/station_src/music_metadata/2c6ada3c80c79f0dd8b56da48df1f4ad</v>
      </c>
      <c r="Q1671" s="4">
        <f ca="1">_xlfn.IFNA(VLOOKUP(INDIRECT("G"&amp;ROW()),minfo!$A:$M,COLUMN()-8,0),"")</f>
        <v>138</v>
      </c>
      <c r="R1671" s="4">
        <f ca="1">_xlfn.IFNA(VLOOKUP(INDIRECT("G"&amp;ROW()),minfo!$A:$M,COLUMN()-8,0),"")</f>
        <v>0</v>
      </c>
      <c r="S1671" s="4" t="str">
        <f ca="1">_xlfn.IFNA(VLOOKUP(INDIRECT("G"&amp;ROW()),minfo!$A:$M,COLUMN()-8,0),"")</f>
        <v>将故事写成我们</v>
      </c>
      <c r="T1671" s="4">
        <f ca="1">_xlfn.IFNA(VLOOKUP(INDIRECT("G"&amp;ROW()),minfo!$A:$M,COLUMN()-8,0),"")</f>
        <v>64920351</v>
      </c>
      <c r="U1671" s="4">
        <f ca="1">_xlfn.IFNA(VLOOKUP(INDIRECT("G"&amp;ROW()),minfo!$A:$M,COLUMN()-8,0),"")</f>
        <v>0</v>
      </c>
    </row>
    <row r="1672" spans="1:21" ht="15.75" customHeight="1">
      <c r="A1672" s="15">
        <v>1671</v>
      </c>
      <c r="B1672" s="4" t="s">
        <v>5346</v>
      </c>
      <c r="D1672" s="4">
        <v>1</v>
      </c>
      <c r="E1672" s="4" t="s">
        <v>1576</v>
      </c>
      <c r="F1672" s="16">
        <v>45320</v>
      </c>
      <c r="G1672" s="5" t="s">
        <v>1575</v>
      </c>
      <c r="H1672" s="5" t="s">
        <v>5347</v>
      </c>
      <c r="I1672" s="24" t="str">
        <f>HYPERLINK("https://www.bilibili.com/video/BV1bC411z7R8", "BV1bC411z7R8")</f>
        <v>BV1bC411z7R8</v>
      </c>
      <c r="J1672" s="4" t="str">
        <f ca="1">_xlfn.IFNA(VLOOKUP(INDIRECT("G"&amp;ROW()),minfo!$A:$M,COLUMN()-8,0),"")</f>
        <v>但愿人长久</v>
      </c>
      <c r="K1672" s="4" t="str">
        <f ca="1">_xlfn.IFNA(VLOOKUP(INDIRECT("G"&amp;ROW()),minfo!$A:$M,COLUMN()-8,0),"")</f>
        <v>邓丽君</v>
      </c>
      <c r="L1672" s="4">
        <f ca="1">_xlfn.IFNA(VLOOKUP(INDIRECT("G"&amp;ROW()),minfo!$A:$M,COLUMN()-8,0),"")</f>
        <v>0</v>
      </c>
      <c r="M1672" s="4">
        <f ca="1">_xlfn.IFNA(VLOOKUP(INDIRECT("G"&amp;ROW()),minfo!$A:$M,COLUMN()-8,0),"")</f>
        <v>0</v>
      </c>
      <c r="N1672" s="4">
        <f ca="1">_xlfn.IFNA(VLOOKUP(INDIRECT("G"&amp;ROW()),minfo!$A:$M,COLUMN()-8,0),"")</f>
        <v>0</v>
      </c>
      <c r="O1672" s="4" t="str">
        <f ca="1">_xlfn.IFNA(VLOOKUP(INDIRECT("G"&amp;ROW()),minfo!$A:$M,COLUMN()-8,0),"")</f>
        <v>https://i0.hdslb.com/bfs/station_src/music_metadata/7fb7940860e18a3fa0b05d6850c81206.jpg</v>
      </c>
      <c r="P1672" s="4" t="str">
        <f ca="1">_xlfn.IFNA(VLOOKUP(INDIRECT("G"&amp;ROW()),minfo!$A:$M,COLUMN()-8,0),"")</f>
        <v>http://i0.hdslb.com/bfs/station_src/music_metadata/ee3c6651e88071b7a1db572cbc6ce075</v>
      </c>
      <c r="Q1672" s="4">
        <f ca="1">_xlfn.IFNA(VLOOKUP(INDIRECT("G"&amp;ROW()),minfo!$A:$M,COLUMN()-8,0),"")</f>
        <v>372</v>
      </c>
      <c r="R1672" s="4">
        <f ca="1">_xlfn.IFNA(VLOOKUP(INDIRECT("G"&amp;ROW()),minfo!$A:$M,COLUMN()-8,0),"")</f>
        <v>0</v>
      </c>
      <c r="S1672" s="4" t="str">
        <f ca="1">_xlfn.IFNA(VLOOKUP(INDIRECT("G"&amp;ROW()),minfo!$A:$M,COLUMN()-8,0),"")</f>
        <v>夜上海 国语老歌 第九辑</v>
      </c>
      <c r="T1672" s="4">
        <f ca="1">_xlfn.IFNA(VLOOKUP(INDIRECT("G"&amp;ROW()),minfo!$A:$M,COLUMN()-8,0),"")</f>
        <v>91130644</v>
      </c>
      <c r="U1672" s="4">
        <f ca="1">_xlfn.IFNA(VLOOKUP(INDIRECT("G"&amp;ROW()),minfo!$A:$M,COLUMN()-8,0),"")</f>
        <v>0</v>
      </c>
    </row>
    <row r="1673" spans="1:21" ht="15.75" customHeight="1">
      <c r="A1673" s="15">
        <v>1672</v>
      </c>
      <c r="B1673" s="4" t="s">
        <v>5348</v>
      </c>
      <c r="D1673" s="4">
        <v>1</v>
      </c>
      <c r="E1673" s="4" t="s">
        <v>1984</v>
      </c>
      <c r="F1673" s="16">
        <v>45320</v>
      </c>
      <c r="G1673" s="5" t="s">
        <v>1983</v>
      </c>
      <c r="H1673" s="5" t="s">
        <v>5349</v>
      </c>
      <c r="I1673" s="24" t="str">
        <f>HYPERLINK("https://www.bilibili.com/video/BV1Uy421a72z", "BV1Uy421a72z")</f>
        <v>BV1Uy421a72z</v>
      </c>
      <c r="J1673" s="4" t="str">
        <f ca="1">_xlfn.IFNA(VLOOKUP(INDIRECT("G"&amp;ROW()),minfo!$A:$M,COLUMN()-8,0),"")</f>
        <v>剪爱</v>
      </c>
      <c r="K1673" s="4" t="str">
        <f ca="1">_xlfn.IFNA(VLOOKUP(INDIRECT("G"&amp;ROW()),minfo!$A:$M,COLUMN()-8,0),"")</f>
        <v>张惠妹</v>
      </c>
      <c r="L1673" s="4">
        <f ca="1">_xlfn.IFNA(VLOOKUP(INDIRECT("G"&amp;ROW()),minfo!$A:$M,COLUMN()-8,0),"")</f>
        <v>0</v>
      </c>
      <c r="M1673" s="4">
        <f ca="1">_xlfn.IFNA(VLOOKUP(INDIRECT("G"&amp;ROW()),minfo!$A:$M,COLUMN()-8,0),"")</f>
        <v>265</v>
      </c>
      <c r="N1673" s="4">
        <f ca="1">_xlfn.IFNA(VLOOKUP(INDIRECT("G"&amp;ROW()),minfo!$A:$M,COLUMN()-8,0),"")</f>
        <v>125</v>
      </c>
      <c r="O1673" s="4" t="str">
        <f ca="1">_xlfn.IFNA(VLOOKUP(INDIRECT("G"&amp;ROW()),minfo!$A:$M,COLUMN()-8,0),"")</f>
        <v>https://i0.hdslb.com/bfs/station_src/music_metadata/0455564807274799fc4f1ec547b0fe98.jpg</v>
      </c>
      <c r="P1673" s="4" t="str">
        <f ca="1">_xlfn.IFNA(VLOOKUP(INDIRECT("G"&amp;ROW()),minfo!$A:$M,COLUMN()-8,0),"")</f>
        <v>http://i0.hdslb.com/bfs/station_src/music_metadata/3ef009855510cde5cdafdf7e45cebebf</v>
      </c>
      <c r="Q1673" s="4">
        <f ca="1">_xlfn.IFNA(VLOOKUP(INDIRECT("G"&amp;ROW()),minfo!$A:$M,COLUMN()-8,0),"")</f>
        <v>11</v>
      </c>
      <c r="R1673" s="4">
        <f ca="1">_xlfn.IFNA(VLOOKUP(INDIRECT("G"&amp;ROW()),minfo!$A:$M,COLUMN()-8,0),"")</f>
        <v>0</v>
      </c>
      <c r="S1673" s="4" t="str">
        <f ca="1">_xlfn.IFNA(VLOOKUP(INDIRECT("G"&amp;ROW()),minfo!$A:$M,COLUMN()-8,0),"")</f>
        <v>1996-2002妹力最精选</v>
      </c>
      <c r="T1673" s="4">
        <f ca="1">_xlfn.IFNA(VLOOKUP(INDIRECT("G"&amp;ROW()),minfo!$A:$M,COLUMN()-8,0),"")</f>
        <v>10218385</v>
      </c>
      <c r="U1673" s="4">
        <f ca="1">_xlfn.IFNA(VLOOKUP(INDIRECT("G"&amp;ROW()),minfo!$A:$M,COLUMN()-8,0),"")</f>
        <v>0</v>
      </c>
    </row>
    <row r="1674" spans="1:21" ht="15.75" customHeight="1">
      <c r="A1674" s="15">
        <v>1673</v>
      </c>
      <c r="B1674" s="4" t="s">
        <v>5350</v>
      </c>
      <c r="D1674" s="4">
        <v>1</v>
      </c>
      <c r="E1674" s="4" t="s">
        <v>5351</v>
      </c>
      <c r="F1674" s="16">
        <v>45320</v>
      </c>
      <c r="G1674" s="5" t="s">
        <v>838</v>
      </c>
      <c r="H1674" s="5" t="s">
        <v>5352</v>
      </c>
      <c r="I1674" s="24" t="str">
        <f>HYPERLINK("https://www.bilibili.com/video/BV1YC411z7pp", "BV1YC411z7pp")</f>
        <v>BV1YC411z7pp</v>
      </c>
      <c r="J1674" s="4" t="str">
        <f ca="1">_xlfn.IFNA(VLOOKUP(INDIRECT("G"&amp;ROW()),minfo!$A:$M,COLUMN()-8,0),"")</f>
        <v>七里香</v>
      </c>
      <c r="K1674" s="4" t="str">
        <f ca="1">_xlfn.IFNA(VLOOKUP(INDIRECT("G"&amp;ROW()),minfo!$A:$M,COLUMN()-8,0),"")</f>
        <v>周杰伦</v>
      </c>
      <c r="L1674" s="4">
        <f ca="1">_xlfn.IFNA(VLOOKUP(INDIRECT("G"&amp;ROW()),minfo!$A:$M,COLUMN()-8,0),"")</f>
        <v>0</v>
      </c>
      <c r="M1674" s="4">
        <f ca="1">_xlfn.IFNA(VLOOKUP(INDIRECT("G"&amp;ROW()),minfo!$A:$M,COLUMN()-8,0),"")</f>
        <v>6714</v>
      </c>
      <c r="N1674" s="4">
        <f ca="1">_xlfn.IFNA(VLOOKUP(INDIRECT("G"&amp;ROW()),minfo!$A:$M,COLUMN()-8,0),"")</f>
        <v>200</v>
      </c>
      <c r="O1674" s="4" t="str">
        <f ca="1">_xlfn.IFNA(VLOOKUP(INDIRECT("G"&amp;ROW()),minfo!$A:$M,COLUMN()-8,0),"")</f>
        <v>https://i0.hdslb.com/bfs/station_src/music_metadata/cc542b9d467cfc48aecb420fa38f29a5.jpg</v>
      </c>
      <c r="P1674" s="4">
        <f ca="1">_xlfn.IFNA(VLOOKUP(INDIRECT("G"&amp;ROW()),minfo!$A:$M,COLUMN()-8,0),"")</f>
        <v>0</v>
      </c>
      <c r="Q1674" s="4">
        <f ca="1">_xlfn.IFNA(VLOOKUP(INDIRECT("G"&amp;ROW()),minfo!$A:$M,COLUMN()-8,0),"")</f>
        <v>13878</v>
      </c>
      <c r="R1674" s="4">
        <f ca="1">_xlfn.IFNA(VLOOKUP(INDIRECT("G"&amp;ROW()),minfo!$A:$M,COLUMN()-8,0),"")</f>
        <v>0</v>
      </c>
      <c r="S1674" s="4" t="str">
        <f ca="1">_xlfn.IFNA(VLOOKUP(INDIRECT("G"&amp;ROW()),minfo!$A:$M,COLUMN()-8,0),"")</f>
        <v>七里香</v>
      </c>
      <c r="T1674" s="4">
        <f ca="1">_xlfn.IFNA(VLOOKUP(INDIRECT("G"&amp;ROW()),minfo!$A:$M,COLUMN()-8,0),"")</f>
        <v>1124988076</v>
      </c>
      <c r="U1674" s="4" t="str">
        <f ca="1">_xlfn.IFNA(VLOOKUP(INDIRECT("G"&amp;ROW()),minfo!$A:$M,COLUMN()-8,0),"")</f>
        <v>音乐榜最高NO.17</v>
      </c>
    </row>
    <row r="1675" spans="1:21" ht="15.75" customHeight="1">
      <c r="A1675" s="15">
        <v>1674</v>
      </c>
      <c r="B1675" s="4" t="s">
        <v>5353</v>
      </c>
      <c r="D1675" s="4">
        <v>1</v>
      </c>
      <c r="E1675" s="4" t="s">
        <v>492</v>
      </c>
      <c r="F1675" s="16">
        <v>45318</v>
      </c>
      <c r="G1675" s="5" t="s">
        <v>491</v>
      </c>
      <c r="H1675" s="5" t="s">
        <v>5354</v>
      </c>
      <c r="I1675" s="24" t="str">
        <f>HYPERLINK("https://www.bilibili.com/video/BV1uK42117CA", "BV1uK42117CA")</f>
        <v>BV1uK42117CA</v>
      </c>
      <c r="J1675" s="4" t="str">
        <f ca="1">_xlfn.IFNA(VLOOKUP(INDIRECT("G"&amp;ROW()),minfo!$A:$M,COLUMN()-8,0),"")</f>
        <v>像风一样</v>
      </c>
      <c r="K1675" s="4" t="str">
        <f ca="1">_xlfn.IFNA(VLOOKUP(INDIRECT("G"&amp;ROW()),minfo!$A:$M,COLUMN()-8,0),"")</f>
        <v>薛之谦</v>
      </c>
      <c r="L1675" s="4">
        <f ca="1">_xlfn.IFNA(VLOOKUP(INDIRECT("G"&amp;ROW()),minfo!$A:$M,COLUMN()-8,0),"")</f>
        <v>0</v>
      </c>
      <c r="M1675" s="4">
        <f ca="1">_xlfn.IFNA(VLOOKUP(INDIRECT("G"&amp;ROW()),minfo!$A:$M,COLUMN()-8,0),"")</f>
        <v>658</v>
      </c>
      <c r="N1675" s="4">
        <f ca="1">_xlfn.IFNA(VLOOKUP(INDIRECT("G"&amp;ROW()),minfo!$A:$M,COLUMN()-8,0),"")</f>
        <v>85</v>
      </c>
      <c r="O1675" s="4" t="str">
        <f ca="1">_xlfn.IFNA(VLOOKUP(INDIRECT("G"&amp;ROW()),minfo!$A:$M,COLUMN()-8,0),"")</f>
        <v>http://i0.hdslb.com/bfs/station_src/music_metadata/a3a8c61a923efdb7e46195d46e94c363.jpg</v>
      </c>
      <c r="P1675" s="4">
        <f ca="1">_xlfn.IFNA(VLOOKUP(INDIRECT("G"&amp;ROW()),minfo!$A:$M,COLUMN()-8,0),"")</f>
        <v>0</v>
      </c>
      <c r="Q1675" s="4">
        <f ca="1">_xlfn.IFNA(VLOOKUP(INDIRECT("G"&amp;ROW()),minfo!$A:$M,COLUMN()-8,0),"")</f>
        <v>125</v>
      </c>
      <c r="R1675" s="4" t="str">
        <f ca="1">_xlfn.IFNA(VLOOKUP(INDIRECT("G"&amp;ROW()),minfo!$A:$M,COLUMN()-8,0),"")</f>
        <v>像风一样</v>
      </c>
      <c r="S1675" s="4" t="str">
        <f ca="1">_xlfn.IFNA(VLOOKUP(INDIRECT("G"&amp;ROW()),minfo!$A:$M,COLUMN()-8,0),"")</f>
        <v>渡 The Crossing</v>
      </c>
      <c r="T1675" s="4">
        <f ca="1">_xlfn.IFNA(VLOOKUP(INDIRECT("G"&amp;ROW()),minfo!$A:$M,COLUMN()-8,0),"")</f>
        <v>87463982</v>
      </c>
      <c r="U1675" s="4">
        <f ca="1">_xlfn.IFNA(VLOOKUP(INDIRECT("G"&amp;ROW()),minfo!$A:$M,COLUMN()-8,0),"")</f>
        <v>0</v>
      </c>
    </row>
    <row r="1676" spans="1:21" ht="15.75" customHeight="1">
      <c r="A1676" s="15">
        <v>1675</v>
      </c>
      <c r="B1676" s="4" t="s">
        <v>5355</v>
      </c>
      <c r="D1676" s="4">
        <v>1</v>
      </c>
      <c r="E1676" s="4" t="s">
        <v>696</v>
      </c>
      <c r="F1676" s="16">
        <v>45315</v>
      </c>
      <c r="G1676" s="5" t="s">
        <v>695</v>
      </c>
      <c r="H1676" s="5" t="s">
        <v>5356</v>
      </c>
      <c r="I1676" s="24" t="str">
        <f>HYPERLINK("https://www.bilibili.com/video/BV1Qg4y127aK", "BV1Qg4y127aK")</f>
        <v>BV1Qg4y127aK</v>
      </c>
      <c r="J1676" s="4" t="str">
        <f ca="1">_xlfn.IFNA(VLOOKUP(INDIRECT("G"&amp;ROW()),minfo!$A:$M,COLUMN()-8,0),"")</f>
        <v>分身</v>
      </c>
      <c r="K1676" s="4" t="str">
        <f ca="1">_xlfn.IFNA(VLOOKUP(INDIRECT("G"&amp;ROW()),minfo!$A:$M,COLUMN()-8,0),"")</f>
        <v>单依纯</v>
      </c>
      <c r="L1676" s="4">
        <f ca="1">_xlfn.IFNA(VLOOKUP(INDIRECT("G"&amp;ROW()),minfo!$A:$M,COLUMN()-8,0),"")</f>
        <v>0</v>
      </c>
      <c r="M1676" s="4">
        <f ca="1">_xlfn.IFNA(VLOOKUP(INDIRECT("G"&amp;ROW()),minfo!$A:$M,COLUMN()-8,0),"")</f>
        <v>0</v>
      </c>
      <c r="N1676" s="4">
        <f ca="1">_xlfn.IFNA(VLOOKUP(INDIRECT("G"&amp;ROW()),minfo!$A:$M,COLUMN()-8,0),"")</f>
        <v>0</v>
      </c>
      <c r="O1676" s="4" t="str">
        <f ca="1">_xlfn.IFNA(VLOOKUP(INDIRECT("G"&amp;ROW()),minfo!$A:$M,COLUMN()-8,0),"")</f>
        <v>http://i0.hdslb.com/bfs/station_src/music_metadata/0fd80cf4360670d154b7c8c64ae7abde.jpg</v>
      </c>
      <c r="P1676" s="4">
        <f ca="1">_xlfn.IFNA(VLOOKUP(INDIRECT("G"&amp;ROW()),minfo!$A:$M,COLUMN()-8,0),"")</f>
        <v>0</v>
      </c>
      <c r="Q1676" s="4">
        <f ca="1">_xlfn.IFNA(VLOOKUP(INDIRECT("G"&amp;ROW()),minfo!$A:$M,COLUMN()-8,0),"")</f>
        <v>13</v>
      </c>
      <c r="R1676" s="4">
        <f ca="1">_xlfn.IFNA(VLOOKUP(INDIRECT("G"&amp;ROW()),minfo!$A:$M,COLUMN()-8,0),"")</f>
        <v>0</v>
      </c>
      <c r="S1676" s="4" t="str">
        <f ca="1">_xlfn.IFNA(VLOOKUP(INDIRECT("G"&amp;ROW()),minfo!$A:$M,COLUMN()-8,0),"")</f>
        <v>分身</v>
      </c>
      <c r="T1676" s="4">
        <f ca="1">_xlfn.IFNA(VLOOKUP(INDIRECT("G"&amp;ROW()),minfo!$A:$M,COLUMN()-8,0),"")</f>
        <v>3245965</v>
      </c>
      <c r="U1676" s="4">
        <f ca="1">_xlfn.IFNA(VLOOKUP(INDIRECT("G"&amp;ROW()),minfo!$A:$M,COLUMN()-8,0),"")</f>
        <v>0</v>
      </c>
    </row>
    <row r="1677" spans="1:21" ht="15.75" customHeight="1">
      <c r="A1677" s="15">
        <v>1676</v>
      </c>
      <c r="B1677" s="4" t="s">
        <v>5357</v>
      </c>
      <c r="D1677" s="4">
        <v>1</v>
      </c>
      <c r="E1677" s="4" t="s">
        <v>488</v>
      </c>
      <c r="F1677" s="16">
        <v>45315</v>
      </c>
      <c r="G1677" s="5" t="s">
        <v>487</v>
      </c>
      <c r="H1677" s="5" t="s">
        <v>5358</v>
      </c>
      <c r="I1677" s="24" t="str">
        <f>HYPERLINK("https://www.bilibili.com/video/BV1qC4y1r747", "BV1qC4y1r747")</f>
        <v>BV1qC4y1r747</v>
      </c>
      <c r="J1677" s="4" t="str">
        <f ca="1">_xlfn.IFNA(VLOOKUP(INDIRECT("G"&amp;ROW()),minfo!$A:$M,COLUMN()-8,0),"")</f>
        <v>如此</v>
      </c>
      <c r="K1677" s="4" t="str">
        <f ca="1">_xlfn.IFNA(VLOOKUP(INDIRECT("G"&amp;ROW()),minfo!$A:$M,COLUMN()-8,0),"")</f>
        <v>单依纯</v>
      </c>
      <c r="L1677" s="4">
        <f ca="1">_xlfn.IFNA(VLOOKUP(INDIRECT("G"&amp;ROW()),minfo!$A:$M,COLUMN()-8,0),"")</f>
        <v>0</v>
      </c>
      <c r="M1677" s="4">
        <f ca="1">_xlfn.IFNA(VLOOKUP(INDIRECT("G"&amp;ROW()),minfo!$A:$M,COLUMN()-8,0),"")</f>
        <v>0</v>
      </c>
      <c r="N1677" s="4">
        <f ca="1">_xlfn.IFNA(VLOOKUP(INDIRECT("G"&amp;ROW()),minfo!$A:$M,COLUMN()-8,0),"")</f>
        <v>0</v>
      </c>
      <c r="O1677" s="4" t="str">
        <f ca="1">_xlfn.IFNA(VLOOKUP(INDIRECT("G"&amp;ROW()),minfo!$A:$M,COLUMN()-8,0),"")</f>
        <v>https://i0.hdslb.com/bfs/station_src/music_metadata/02e014c37d605c9c48efcef4cb1658b5.jpg</v>
      </c>
      <c r="P1677" s="4">
        <f ca="1">_xlfn.IFNA(VLOOKUP(INDIRECT("G"&amp;ROW()),minfo!$A:$M,COLUMN()-8,0),"")</f>
        <v>0</v>
      </c>
      <c r="Q1677" s="4">
        <f ca="1">_xlfn.IFNA(VLOOKUP(INDIRECT("G"&amp;ROW()),minfo!$A:$M,COLUMN()-8,0),"")</f>
        <v>32</v>
      </c>
      <c r="R1677" s="4">
        <f ca="1">_xlfn.IFNA(VLOOKUP(INDIRECT("G"&amp;ROW()),minfo!$A:$M,COLUMN()-8,0),"")</f>
        <v>0</v>
      </c>
      <c r="S1677" s="4" t="str">
        <f ca="1">_xlfn.IFNA(VLOOKUP(INDIRECT("G"&amp;ROW()),minfo!$A:$M,COLUMN()-8,0),"")</f>
        <v>2020中国好声音 第10期</v>
      </c>
      <c r="T1677" s="4">
        <f ca="1">_xlfn.IFNA(VLOOKUP(INDIRECT("G"&amp;ROW()),minfo!$A:$M,COLUMN()-8,0),"")</f>
        <v>13362616</v>
      </c>
      <c r="U1677" s="4">
        <f ca="1">_xlfn.IFNA(VLOOKUP(INDIRECT("G"&amp;ROW()),minfo!$A:$M,COLUMN()-8,0),"")</f>
        <v>0</v>
      </c>
    </row>
    <row r="1678" spans="1:21" ht="15.75" customHeight="1">
      <c r="A1678" s="15">
        <v>1677</v>
      </c>
      <c r="B1678" s="4" t="s">
        <v>5359</v>
      </c>
      <c r="D1678" s="4">
        <v>1</v>
      </c>
      <c r="E1678" s="4" t="s">
        <v>967</v>
      </c>
      <c r="F1678" s="16">
        <v>45315</v>
      </c>
      <c r="G1678" s="5" t="s">
        <v>966</v>
      </c>
      <c r="H1678" s="5" t="s">
        <v>5360</v>
      </c>
      <c r="I1678" s="24" t="str">
        <f>HYPERLINK("https://www.bilibili.com/video/BV1Wa4y1k7N2", "BV1Wa4y1k7N2")</f>
        <v>BV1Wa4y1k7N2</v>
      </c>
      <c r="J1678" s="4" t="str">
        <f ca="1">_xlfn.IFNA(VLOOKUP(INDIRECT("G"&amp;ROW()),minfo!$A:$M,COLUMN()-8,0),"")</f>
        <v>小雨</v>
      </c>
      <c r="K1678" s="4" t="str">
        <f ca="1">_xlfn.IFNA(VLOOKUP(INDIRECT("G"&amp;ROW()),minfo!$A:$M,COLUMN()-8,0),"")</f>
        <v>黄龄</v>
      </c>
      <c r="L1678" s="4">
        <f ca="1">_xlfn.IFNA(VLOOKUP(INDIRECT("G"&amp;ROW()),minfo!$A:$M,COLUMN()-8,0),"")</f>
        <v>0</v>
      </c>
      <c r="M1678" s="4">
        <f ca="1">_xlfn.IFNA(VLOOKUP(INDIRECT("G"&amp;ROW()),minfo!$A:$M,COLUMN()-8,0),"")</f>
        <v>0</v>
      </c>
      <c r="N1678" s="4">
        <f ca="1">_xlfn.IFNA(VLOOKUP(INDIRECT("G"&amp;ROW()),minfo!$A:$M,COLUMN()-8,0),"")</f>
        <v>0</v>
      </c>
      <c r="O1678" s="4" t="str">
        <f ca="1">_xlfn.IFNA(VLOOKUP(INDIRECT("G"&amp;ROW()),minfo!$A:$M,COLUMN()-8,0),"")</f>
        <v>https://i0.hdslb.com/bfs/station_src/music_metadata/607346922702f1ba7302d87db0ecdbf1.jpg</v>
      </c>
      <c r="P1678" s="4" t="str">
        <f ca="1">_xlfn.IFNA(VLOOKUP(INDIRECT("G"&amp;ROW()),minfo!$A:$M,COLUMN()-8,0),"")</f>
        <v>https://i0.hdslb.com/bfs/station_src/music_metadata/245fdd0b68a8f71caa554e8f05ea1b6c.txt</v>
      </c>
      <c r="Q1678" s="4">
        <f ca="1">_xlfn.IFNA(VLOOKUP(INDIRECT("G"&amp;ROW()),minfo!$A:$M,COLUMN()-8,0),"")</f>
        <v>2250</v>
      </c>
      <c r="R1678" s="4">
        <f ca="1">_xlfn.IFNA(VLOOKUP(INDIRECT("G"&amp;ROW()),minfo!$A:$M,COLUMN()-8,0),"")</f>
        <v>0</v>
      </c>
      <c r="S1678" s="4" t="str">
        <f ca="1">_xlfn.IFNA(VLOOKUP(INDIRECT("G"&amp;ROW()),minfo!$A:$M,COLUMN()-8,0),"")</f>
        <v>小雨</v>
      </c>
      <c r="T1678" s="4">
        <f ca="1">_xlfn.IFNA(VLOOKUP(INDIRECT("G"&amp;ROW()),minfo!$A:$M,COLUMN()-8,0),"")</f>
        <v>63947645</v>
      </c>
      <c r="U1678" s="4">
        <f ca="1">_xlfn.IFNA(VLOOKUP(INDIRECT("G"&amp;ROW()),minfo!$A:$M,COLUMN()-8,0),"")</f>
        <v>0</v>
      </c>
    </row>
    <row r="1679" spans="1:21" ht="15.75" customHeight="1">
      <c r="A1679" s="15">
        <v>1678</v>
      </c>
      <c r="B1679" s="4" t="s">
        <v>5361</v>
      </c>
      <c r="D1679" s="4">
        <v>1</v>
      </c>
      <c r="E1679" s="4" t="s">
        <v>791</v>
      </c>
      <c r="F1679" s="16">
        <v>45315</v>
      </c>
      <c r="G1679" s="5" t="s">
        <v>875</v>
      </c>
      <c r="H1679" s="5" t="s">
        <v>5362</v>
      </c>
      <c r="I1679" s="24" t="str">
        <f>HYPERLINK("https://www.bilibili.com/video/BV19C4y1r78q", "BV19C4y1r78q")</f>
        <v>BV19C4y1r78q</v>
      </c>
      <c r="J1679" s="4" t="str">
        <f ca="1">_xlfn.IFNA(VLOOKUP(INDIRECT("G"&amp;ROW()),minfo!$A:$M,COLUMN()-8,0),"")</f>
        <v>问情</v>
      </c>
      <c r="K1679" s="4" t="str">
        <f ca="1">_xlfn.IFNA(VLOOKUP(INDIRECT("G"&amp;ROW()),minfo!$A:$M,COLUMN()-8,0),"")</f>
        <v>蔡幸娟</v>
      </c>
      <c r="L1679" s="4">
        <f ca="1">_xlfn.IFNA(VLOOKUP(INDIRECT("G"&amp;ROW()),minfo!$A:$M,COLUMN()-8,0),"")</f>
        <v>0</v>
      </c>
      <c r="M1679" s="4">
        <f ca="1">_xlfn.IFNA(VLOOKUP(INDIRECT("G"&amp;ROW()),minfo!$A:$M,COLUMN()-8,0),"")</f>
        <v>0</v>
      </c>
      <c r="N1679" s="4">
        <f ca="1">_xlfn.IFNA(VLOOKUP(INDIRECT("G"&amp;ROW()),minfo!$A:$M,COLUMN()-8,0),"")</f>
        <v>0</v>
      </c>
      <c r="O1679" s="4" t="str">
        <f ca="1">_xlfn.IFNA(VLOOKUP(INDIRECT("G"&amp;ROW()),minfo!$A:$M,COLUMN()-8,0),"")</f>
        <v>https://i0.hdslb.com/bfs/station_src/music_metadata/60c89f4499b531519e5e09314ab2d071.jpg</v>
      </c>
      <c r="P1679" s="4" t="str">
        <f ca="1">_xlfn.IFNA(VLOOKUP(INDIRECT("G"&amp;ROW()),minfo!$A:$M,COLUMN()-8,0),"")</f>
        <v>https://i0.hdslb.com/bfs/station_src/music_metadata/7b2478f5aaed1401ed3c955d57aa81e8.txt</v>
      </c>
      <c r="Q1679" s="4">
        <f ca="1">_xlfn.IFNA(VLOOKUP(INDIRECT("G"&amp;ROW()),minfo!$A:$M,COLUMN()-8,0),"")</f>
        <v>0</v>
      </c>
      <c r="R1679" s="4">
        <f ca="1">_xlfn.IFNA(VLOOKUP(INDIRECT("G"&amp;ROW()),minfo!$A:$M,COLUMN()-8,0),"")</f>
        <v>0</v>
      </c>
      <c r="S1679" s="4" t="str">
        <f ca="1">_xlfn.IFNA(VLOOKUP(INDIRECT("G"&amp;ROW()),minfo!$A:$M,COLUMN()-8,0),"")</f>
        <v>问情</v>
      </c>
      <c r="T1679" s="4">
        <f ca="1">_xlfn.IFNA(VLOOKUP(INDIRECT("G"&amp;ROW()),minfo!$A:$M,COLUMN()-8,0),"")</f>
        <v>631131</v>
      </c>
      <c r="U1679" s="4">
        <f ca="1">_xlfn.IFNA(VLOOKUP(INDIRECT("G"&amp;ROW()),minfo!$A:$M,COLUMN()-8,0),"")</f>
        <v>0</v>
      </c>
    </row>
    <row r="1680" spans="1:21" ht="15.75" customHeight="1">
      <c r="A1680" s="15">
        <v>1679</v>
      </c>
      <c r="B1680" s="4" t="s">
        <v>5363</v>
      </c>
      <c r="D1680" s="4">
        <v>1</v>
      </c>
      <c r="E1680" s="4" t="s">
        <v>1259</v>
      </c>
      <c r="F1680" s="16">
        <v>45312</v>
      </c>
      <c r="G1680" s="5" t="s">
        <v>1258</v>
      </c>
      <c r="H1680" s="5" t="s">
        <v>5364</v>
      </c>
      <c r="I1680" s="24" t="str">
        <f>HYPERLINK("https://www.bilibili.com/video/BV1A5411y7Cv", "BV1A5411y7Cv")</f>
        <v>BV1A5411y7Cv</v>
      </c>
      <c r="J1680" s="4" t="str">
        <f ca="1">_xlfn.IFNA(VLOOKUP(INDIRECT("G"&amp;ROW()),minfo!$A:$M,COLUMN()-8,0),"")</f>
        <v>想你的365天</v>
      </c>
      <c r="K1680" s="4" t="str">
        <f ca="1">_xlfn.IFNA(VLOOKUP(INDIRECT("G"&amp;ROW()),minfo!$A:$M,COLUMN()-8,0),"")</f>
        <v>CoCo李玟</v>
      </c>
      <c r="L1680" s="4">
        <f ca="1">_xlfn.IFNA(VLOOKUP(INDIRECT("G"&amp;ROW()),minfo!$A:$M,COLUMN()-8,0),"")</f>
        <v>0</v>
      </c>
      <c r="M1680" s="4">
        <f ca="1">_xlfn.IFNA(VLOOKUP(INDIRECT("G"&amp;ROW()),minfo!$A:$M,COLUMN()-8,0),"")</f>
        <v>0</v>
      </c>
      <c r="N1680" s="4">
        <f ca="1">_xlfn.IFNA(VLOOKUP(INDIRECT("G"&amp;ROW()),minfo!$A:$M,COLUMN()-8,0),"")</f>
        <v>0</v>
      </c>
      <c r="O1680" s="4" t="str">
        <f ca="1">_xlfn.IFNA(VLOOKUP(INDIRECT("G"&amp;ROW()),minfo!$A:$M,COLUMN()-8,0),"")</f>
        <v>http://i0.hdslb.com/bfs/station_src/music_metadata/7e0fc3a65347dff7ca5325dcea0c423c.jpg</v>
      </c>
      <c r="P1680" s="4" t="str">
        <f ca="1">_xlfn.IFNA(VLOOKUP(INDIRECT("G"&amp;ROW()),minfo!$A:$M,COLUMN()-8,0),"")</f>
        <v>http://i0.hdslb.com/bfs/station_src/music_metadata/df04ab256bcc74775cd5bcfba9597cb4</v>
      </c>
      <c r="Q1680" s="4">
        <f ca="1">_xlfn.IFNA(VLOOKUP(INDIRECT("G"&amp;ROW()),minfo!$A:$M,COLUMN()-8,0),"")</f>
        <v>408</v>
      </c>
      <c r="R1680" s="4">
        <f ca="1">_xlfn.IFNA(VLOOKUP(INDIRECT("G"&amp;ROW()),minfo!$A:$M,COLUMN()-8,0),"")</f>
        <v>0</v>
      </c>
      <c r="S1680" s="4" t="str">
        <f ca="1">_xlfn.IFNA(VLOOKUP(INDIRECT("G"&amp;ROW()),minfo!$A:$M,COLUMN()-8,0),"")</f>
        <v>碰碰看爱情</v>
      </c>
      <c r="T1680" s="4">
        <f ca="1">_xlfn.IFNA(VLOOKUP(INDIRECT("G"&amp;ROW()),minfo!$A:$M,COLUMN()-8,0),"")</f>
        <v>82776763</v>
      </c>
      <c r="U1680" s="4" t="str">
        <f ca="1">_xlfn.IFNA(VLOOKUP(INDIRECT("G"&amp;ROW()),minfo!$A:$M,COLUMN()-8,0),"")</f>
        <v>音乐榜最高NO.9</v>
      </c>
    </row>
    <row r="1681" spans="1:21" ht="15.75" customHeight="1">
      <c r="A1681" s="15">
        <v>1680</v>
      </c>
      <c r="B1681" s="4" t="s">
        <v>5365</v>
      </c>
      <c r="D1681" s="4">
        <v>1</v>
      </c>
      <c r="E1681" s="4" t="s">
        <v>1229</v>
      </c>
      <c r="F1681" s="16">
        <v>45312</v>
      </c>
      <c r="G1681" s="5" t="s">
        <v>1228</v>
      </c>
      <c r="H1681" s="5" t="s">
        <v>5366</v>
      </c>
      <c r="I1681" s="24" t="str">
        <f>HYPERLINK("https://www.bilibili.com/video/BV1pc411x7LY", "BV1pc411x7LY")</f>
        <v>BV1pc411x7LY</v>
      </c>
      <c r="J1681" s="4" t="str">
        <f ca="1">_xlfn.IFNA(VLOOKUP(INDIRECT("G"&amp;ROW()),minfo!$A:$M,COLUMN()-8,0),"")</f>
        <v>昨日青空</v>
      </c>
      <c r="K1681" s="4" t="str">
        <f ca="1">_xlfn.IFNA(VLOOKUP(INDIRECT("G"&amp;ROW()),minfo!$A:$M,COLUMN()-8,0),"")</f>
        <v>尤长靖</v>
      </c>
      <c r="L1681" s="4">
        <f ca="1">_xlfn.IFNA(VLOOKUP(INDIRECT("G"&amp;ROW()),minfo!$A:$M,COLUMN()-8,0),"")</f>
        <v>0</v>
      </c>
      <c r="M1681" s="4">
        <f ca="1">_xlfn.IFNA(VLOOKUP(INDIRECT("G"&amp;ROW()),minfo!$A:$M,COLUMN()-8,0),"")</f>
        <v>0</v>
      </c>
      <c r="N1681" s="4">
        <f ca="1">_xlfn.IFNA(VLOOKUP(INDIRECT("G"&amp;ROW()),minfo!$A:$M,COLUMN()-8,0),"")</f>
        <v>0</v>
      </c>
      <c r="O1681" s="4" t="str">
        <f ca="1">_xlfn.IFNA(VLOOKUP(INDIRECT("G"&amp;ROW()),minfo!$A:$M,COLUMN()-8,0),"")</f>
        <v>https://i0.hdslb.com/bfs/station_src/music_metadata/abc73110210c595e7074ddc5a01dd754.jpg</v>
      </c>
      <c r="P1681" s="4" t="str">
        <f ca="1">_xlfn.IFNA(VLOOKUP(INDIRECT("G"&amp;ROW()),minfo!$A:$M,COLUMN()-8,0),"")</f>
        <v>http://i0.hdslb.com/bfs/station_src/music_metadata/042fb26c880b233a48dc106af6e82bca</v>
      </c>
      <c r="Q1681" s="4">
        <f ca="1">_xlfn.IFNA(VLOOKUP(INDIRECT("G"&amp;ROW()),minfo!$A:$M,COLUMN()-8,0),"")</f>
        <v>558</v>
      </c>
      <c r="R1681" s="4" t="str">
        <f ca="1">_xlfn.IFNA(VLOOKUP(INDIRECT("G"&amp;ROW()),minfo!$A:$M,COLUMN()-8,0),"")</f>
        <v>《昨日青空》电影同名青春主题曲</v>
      </c>
      <c r="S1681" s="4" t="str">
        <f ca="1">_xlfn.IFNA(VLOOKUP(INDIRECT("G"&amp;ROW()),minfo!$A:$M,COLUMN()-8,0),"")</f>
        <v>昨日青空</v>
      </c>
      <c r="T1681" s="4">
        <f ca="1">_xlfn.IFNA(VLOOKUP(INDIRECT("G"&amp;ROW()),minfo!$A:$M,COLUMN()-8,0),"")</f>
        <v>70470580</v>
      </c>
      <c r="U1681" s="4">
        <f ca="1">_xlfn.IFNA(VLOOKUP(INDIRECT("G"&amp;ROW()),minfo!$A:$M,COLUMN()-8,0),"")</f>
        <v>0</v>
      </c>
    </row>
    <row r="1682" spans="1:21" ht="15.75" customHeight="1">
      <c r="A1682" s="15">
        <v>1681</v>
      </c>
      <c r="B1682" s="4" t="s">
        <v>5367</v>
      </c>
      <c r="D1682" s="4">
        <v>1</v>
      </c>
      <c r="E1682" s="4" t="s">
        <v>1474</v>
      </c>
      <c r="F1682" s="16">
        <v>45312</v>
      </c>
      <c r="G1682" s="5" t="s">
        <v>1473</v>
      </c>
      <c r="H1682" s="5" t="s">
        <v>5368</v>
      </c>
      <c r="I1682" s="24" t="str">
        <f>HYPERLINK("https://www.bilibili.com/video/BV1nw411E7n6", "BV1nw411E7n6")</f>
        <v>BV1nw411E7n6</v>
      </c>
      <c r="J1682" s="4" t="str">
        <f ca="1">_xlfn.IFNA(VLOOKUP(INDIRECT("G"&amp;ROW()),minfo!$A:$M,COLUMN()-8,0),"")</f>
        <v>Love U U</v>
      </c>
      <c r="K1682" s="4" t="str">
        <f ca="1">_xlfn.IFNA(VLOOKUP(INDIRECT("G"&amp;ROW()),minfo!$A:$M,COLUMN()-8,0),"")</f>
        <v>林俊杰</v>
      </c>
      <c r="L1682" s="4">
        <f ca="1">_xlfn.IFNA(VLOOKUP(INDIRECT("G"&amp;ROW()),minfo!$A:$M,COLUMN()-8,0),"")</f>
        <v>0</v>
      </c>
      <c r="M1682" s="4">
        <f ca="1">_xlfn.IFNA(VLOOKUP(INDIRECT("G"&amp;ROW()),minfo!$A:$M,COLUMN()-8,0),"")</f>
        <v>0</v>
      </c>
      <c r="N1682" s="4">
        <f ca="1">_xlfn.IFNA(VLOOKUP(INDIRECT("G"&amp;ROW()),minfo!$A:$M,COLUMN()-8,0),"")</f>
        <v>0</v>
      </c>
      <c r="O1682" s="4" t="str">
        <f ca="1">_xlfn.IFNA(VLOOKUP(INDIRECT("G"&amp;ROW()),minfo!$A:$M,COLUMN()-8,0),"")</f>
        <v>https://i0.hdslb.com/bfs/station_src/music_metadata/683874c8b50e8963e73219e464a05a2f.jpg</v>
      </c>
      <c r="P1682" s="4" t="str">
        <f ca="1">_xlfn.IFNA(VLOOKUP(INDIRECT("G"&amp;ROW()),minfo!$A:$M,COLUMN()-8,0),"")</f>
        <v>https://i0.hdslb.com/bfs/station_src/music_metadata/b121a6651c2b3ba2042afd8f79c17ee5.txt</v>
      </c>
      <c r="Q1682" s="4">
        <f ca="1">_xlfn.IFNA(VLOOKUP(INDIRECT("G"&amp;ROW()),minfo!$A:$M,COLUMN()-8,0),"")</f>
        <v>25</v>
      </c>
      <c r="R1682" s="4">
        <f ca="1">_xlfn.IFNA(VLOOKUP(INDIRECT("G"&amp;ROW()),minfo!$A:$M,COLUMN()-8,0),"")</f>
        <v>0</v>
      </c>
      <c r="S1682" s="4" t="str">
        <f ca="1">_xlfn.IFNA(VLOOKUP(INDIRECT("G"&amp;ROW()),minfo!$A:$M,COLUMN()-8,0),"")</f>
        <v>学不会</v>
      </c>
      <c r="T1682" s="4">
        <f ca="1">_xlfn.IFNA(VLOOKUP(INDIRECT("G"&amp;ROW()),minfo!$A:$M,COLUMN()-8,0),"")</f>
        <v>18991884</v>
      </c>
      <c r="U1682" s="4">
        <f ca="1">_xlfn.IFNA(VLOOKUP(INDIRECT("G"&amp;ROW()),minfo!$A:$M,COLUMN()-8,0),"")</f>
        <v>0</v>
      </c>
    </row>
    <row r="1683" spans="1:21" ht="15.75" customHeight="1">
      <c r="A1683" s="15">
        <v>1682</v>
      </c>
      <c r="B1683" s="4" t="s">
        <v>5369</v>
      </c>
      <c r="D1683" s="4">
        <v>1</v>
      </c>
      <c r="E1683" s="4" t="s">
        <v>141</v>
      </c>
      <c r="F1683" s="16">
        <v>45311</v>
      </c>
      <c r="G1683" s="5" t="s">
        <v>141</v>
      </c>
      <c r="H1683" s="5" t="s">
        <v>5370</v>
      </c>
      <c r="I1683" s="24" t="str">
        <f>HYPERLINK("https://www.bilibili.com/video/BV1gN4y1H7VC", "BV1gN4y1H7VC")</f>
        <v>BV1gN4y1H7VC</v>
      </c>
      <c r="J1683" s="4" t="str">
        <f ca="1">_xlfn.IFNA(VLOOKUP(INDIRECT("G"&amp;ROW()),minfo!$A:$M,COLUMN()-8,0),"")</f>
        <v>点亮梦想</v>
      </c>
      <c r="K1683" s="4" t="str">
        <f ca="1">_xlfn.IFNA(VLOOKUP(INDIRECT("G"&amp;ROW()),minfo!$A:$M,COLUMN()-8,0),"")</f>
        <v>袁娅维</v>
      </c>
      <c r="L1683" s="4">
        <f ca="1">_xlfn.IFNA(VLOOKUP(INDIRECT("G"&amp;ROW()),minfo!$A:$M,COLUMN()-8,0),"")</f>
        <v>0</v>
      </c>
      <c r="M1683" s="4">
        <f ca="1">_xlfn.IFNA(VLOOKUP(INDIRECT("G"&amp;ROW()),minfo!$A:$M,COLUMN()-8,0),"")</f>
        <v>0</v>
      </c>
      <c r="N1683" s="4">
        <f ca="1">_xlfn.IFNA(VLOOKUP(INDIRECT("G"&amp;ROW()),minfo!$A:$M,COLUMN()-8,0),"")</f>
        <v>0</v>
      </c>
      <c r="O1683" s="4">
        <f ca="1">_xlfn.IFNA(VLOOKUP(INDIRECT("G"&amp;ROW()),minfo!$A:$M,COLUMN()-8,0),"")</f>
        <v>0</v>
      </c>
      <c r="P1683" s="4">
        <f ca="1">_xlfn.IFNA(VLOOKUP(INDIRECT("G"&amp;ROW()),minfo!$A:$M,COLUMN()-8,0),"")</f>
        <v>0</v>
      </c>
      <c r="Q1683" s="4">
        <f ca="1">_xlfn.IFNA(VLOOKUP(INDIRECT("G"&amp;ROW()),minfo!$A:$M,COLUMN()-8,0),"")</f>
        <v>0</v>
      </c>
      <c r="R1683" s="4">
        <f ca="1">_xlfn.IFNA(VLOOKUP(INDIRECT("G"&amp;ROW()),minfo!$A:$M,COLUMN()-8,0),"")</f>
        <v>0</v>
      </c>
      <c r="S1683" s="4">
        <f ca="1">_xlfn.IFNA(VLOOKUP(INDIRECT("G"&amp;ROW()),minfo!$A:$M,COLUMN()-8,0),"")</f>
        <v>0</v>
      </c>
      <c r="T1683" s="4">
        <f ca="1">_xlfn.IFNA(VLOOKUP(INDIRECT("G"&amp;ROW()),minfo!$A:$M,COLUMN()-8,0),"")</f>
        <v>0</v>
      </c>
      <c r="U1683" s="4">
        <f ca="1">_xlfn.IFNA(VLOOKUP(INDIRECT("G"&amp;ROW()),minfo!$A:$M,COLUMN()-8,0),"")</f>
        <v>0</v>
      </c>
    </row>
    <row r="1684" spans="1:21" ht="15.75" customHeight="1">
      <c r="A1684" s="15">
        <v>1683</v>
      </c>
      <c r="B1684" s="4" t="s">
        <v>5371</v>
      </c>
      <c r="D1684" s="4">
        <v>1</v>
      </c>
      <c r="E1684" s="4" t="s">
        <v>3107</v>
      </c>
      <c r="F1684" s="16">
        <v>45311</v>
      </c>
      <c r="G1684" s="5" t="s">
        <v>3106</v>
      </c>
      <c r="H1684" s="5" t="s">
        <v>5372</v>
      </c>
      <c r="I1684" s="24" t="str">
        <f>HYPERLINK("https://www.bilibili.com/video/BV195411C7Yv", "BV195411C7Yv")</f>
        <v>BV195411C7Yv</v>
      </c>
      <c r="J1684" s="4" t="str">
        <f ca="1">_xlfn.IFNA(VLOOKUP(INDIRECT("G"&amp;ROW()),minfo!$A:$M,COLUMN()-8,0),"")</f>
        <v>交换余生</v>
      </c>
      <c r="K1684" s="4" t="str">
        <f ca="1">_xlfn.IFNA(VLOOKUP(INDIRECT("G"&amp;ROW()),minfo!$A:$M,COLUMN()-8,0),"")</f>
        <v>林俊杰</v>
      </c>
      <c r="L1684" s="4" t="str">
        <f ca="1">_xlfn.IFNA(VLOOKUP(INDIRECT("G"&amp;ROW()),minfo!$A:$M,COLUMN()-8,0),"")</f>
        <v>BV1s5411P7uA</v>
      </c>
      <c r="M1684" s="4">
        <f ca="1">_xlfn.IFNA(VLOOKUP(INDIRECT("G"&amp;ROW()),minfo!$A:$M,COLUMN()-8,0),"")</f>
        <v>285</v>
      </c>
      <c r="N1684" s="4">
        <f ca="1">_xlfn.IFNA(VLOOKUP(INDIRECT("G"&amp;ROW()),minfo!$A:$M,COLUMN()-8,0),"")</f>
        <v>40</v>
      </c>
      <c r="O1684" s="4" t="str">
        <f ca="1">_xlfn.IFNA(VLOOKUP(INDIRECT("G"&amp;ROW()),minfo!$A:$M,COLUMN()-8,0),"")</f>
        <v>https://i0.hdslb.com/bfs/station_src/music_metadata/1bd7ba45ae53c9c5b38bea79ba0477e1.jpg</v>
      </c>
      <c r="P1684" s="4" t="str">
        <f ca="1">_xlfn.IFNA(VLOOKUP(INDIRECT("G"&amp;ROW()),minfo!$A:$M,COLUMN()-8,0),"")</f>
        <v>http://i0.hdslb.com/bfs/station_src/music_metadata/f1583c4593a309d1c410fa650e14752b</v>
      </c>
      <c r="Q1684" s="4">
        <f ca="1">_xlfn.IFNA(VLOOKUP(INDIRECT("G"&amp;ROW()),minfo!$A:$M,COLUMN()-8,0),"")</f>
        <v>1022</v>
      </c>
      <c r="R1684" s="4">
        <f ca="1">_xlfn.IFNA(VLOOKUP(INDIRECT("G"&amp;ROW()),minfo!$A:$M,COLUMN()-8,0),"")</f>
        <v>0</v>
      </c>
      <c r="S1684" s="4" t="str">
        <f ca="1">_xlfn.IFNA(VLOOKUP(INDIRECT("G"&amp;ROW()),minfo!$A:$M,COLUMN()-8,0),"")</f>
        <v>交换余生</v>
      </c>
      <c r="T1684" s="4">
        <f ca="1">_xlfn.IFNA(VLOOKUP(INDIRECT("G"&amp;ROW()),minfo!$A:$M,COLUMN()-8,0),"")</f>
        <v>491095581</v>
      </c>
      <c r="U1684" s="4" t="str">
        <f ca="1">_xlfn.IFNA(VLOOKUP(INDIRECT("G"&amp;ROW()),minfo!$A:$M,COLUMN()-8,0),"")</f>
        <v>音乐榜最高NO.12</v>
      </c>
    </row>
    <row r="1685" spans="1:21" ht="15.75" customHeight="1">
      <c r="A1685" s="15">
        <v>1684</v>
      </c>
      <c r="B1685" s="4" t="s">
        <v>5373</v>
      </c>
      <c r="D1685" s="4">
        <v>1</v>
      </c>
      <c r="E1685" s="4" t="s">
        <v>3059</v>
      </c>
      <c r="F1685" s="16">
        <v>45311</v>
      </c>
      <c r="G1685" s="5" t="s">
        <v>3058</v>
      </c>
      <c r="H1685" s="5" t="s">
        <v>5374</v>
      </c>
      <c r="I1685" s="24" t="str">
        <f>HYPERLINK("https://www.bilibili.com/video/BV1ce411Y7YW", "BV1ce411Y7YW")</f>
        <v>BV1ce411Y7YW</v>
      </c>
      <c r="J1685" s="4" t="str">
        <f ca="1">_xlfn.IFNA(VLOOKUP(INDIRECT("G"&amp;ROW()),minfo!$A:$M,COLUMN()-8,0),"")</f>
        <v>沙滩</v>
      </c>
      <c r="K1685" s="4" t="str">
        <f ca="1">_xlfn.IFNA(VLOOKUP(INDIRECT("G"&amp;ROW()),minfo!$A:$M,COLUMN()-8,0),"")</f>
        <v>陶喆</v>
      </c>
      <c r="L1685" s="4">
        <f ca="1">_xlfn.IFNA(VLOOKUP(INDIRECT("G"&amp;ROW()),minfo!$A:$M,COLUMN()-8,0),"")</f>
        <v>0</v>
      </c>
      <c r="M1685" s="4">
        <f ca="1">_xlfn.IFNA(VLOOKUP(INDIRECT("G"&amp;ROW()),minfo!$A:$M,COLUMN()-8,0),"")</f>
        <v>0</v>
      </c>
      <c r="N1685" s="4">
        <f ca="1">_xlfn.IFNA(VLOOKUP(INDIRECT("G"&amp;ROW()),minfo!$A:$M,COLUMN()-8,0),"")</f>
        <v>0</v>
      </c>
      <c r="O1685" s="4" t="str">
        <f ca="1">_xlfn.IFNA(VLOOKUP(INDIRECT("G"&amp;ROW()),minfo!$A:$M,COLUMN()-8,0),"")</f>
        <v>https://i0.hdslb.com/bfs/station_src/music_metadata/440274ee1a80226c82a45d51431b9c27.jpg</v>
      </c>
      <c r="P1685" s="4" t="str">
        <f ca="1">_xlfn.IFNA(VLOOKUP(INDIRECT("G"&amp;ROW()),minfo!$A:$M,COLUMN()-8,0),"")</f>
        <v>http://i0.hdslb.com/bfs/station_src/music_metadata/80071fead604c315d08e5a67145c0351</v>
      </c>
      <c r="Q1685" s="4">
        <f ca="1">_xlfn.IFNA(VLOOKUP(INDIRECT("G"&amp;ROW()),minfo!$A:$M,COLUMN()-8,0),"")</f>
        <v>190</v>
      </c>
      <c r="R1685" s="4">
        <f ca="1">_xlfn.IFNA(VLOOKUP(INDIRECT("G"&amp;ROW()),minfo!$A:$M,COLUMN()-8,0),"")</f>
        <v>0</v>
      </c>
      <c r="S1685" s="4" t="str">
        <f ca="1">_xlfn.IFNA(VLOOKUP(INDIRECT("G"&amp;ROW()),minfo!$A:$M,COLUMN()-8,0),"")</f>
        <v>陶喆同名专辑</v>
      </c>
      <c r="T1685" s="4">
        <f ca="1">_xlfn.IFNA(VLOOKUP(INDIRECT("G"&amp;ROW()),minfo!$A:$M,COLUMN()-8,0),"")</f>
        <v>25846315</v>
      </c>
      <c r="U1685" s="4">
        <f ca="1">_xlfn.IFNA(VLOOKUP(INDIRECT("G"&amp;ROW()),minfo!$A:$M,COLUMN()-8,0),"")</f>
        <v>0</v>
      </c>
    </row>
    <row r="1686" spans="1:21" ht="15.75" customHeight="1">
      <c r="A1686" s="15">
        <v>1685</v>
      </c>
      <c r="B1686" s="4" t="s">
        <v>5375</v>
      </c>
      <c r="D1686" s="4">
        <v>1</v>
      </c>
      <c r="E1686" s="4" t="s">
        <v>1949</v>
      </c>
      <c r="F1686" s="16">
        <v>45311</v>
      </c>
      <c r="G1686" s="5" t="s">
        <v>2771</v>
      </c>
      <c r="H1686" s="5" t="s">
        <v>5376</v>
      </c>
      <c r="I1686" s="24" t="str">
        <f>HYPERLINK("https://www.bilibili.com/video/BV1mK411a7WA", "BV1mK411a7WA")</f>
        <v>BV1mK411a7WA</v>
      </c>
      <c r="J1686" s="4" t="str">
        <f ca="1">_xlfn.IFNA(VLOOKUP(INDIRECT("G"&amp;ROW()),minfo!$A:$M,COLUMN()-8,0),"")</f>
        <v>蝴蝶泉边</v>
      </c>
      <c r="K1686" s="4" t="str">
        <f ca="1">_xlfn.IFNA(VLOOKUP(INDIRECT("G"&amp;ROW()),minfo!$A:$M,COLUMN()-8,0),"")</f>
        <v>黄雅莉</v>
      </c>
      <c r="L1686" s="4">
        <f ca="1">_xlfn.IFNA(VLOOKUP(INDIRECT("G"&amp;ROW()),minfo!$A:$M,COLUMN()-8,0),"")</f>
        <v>0</v>
      </c>
      <c r="M1686" s="4">
        <f ca="1">_xlfn.IFNA(VLOOKUP(INDIRECT("G"&amp;ROW()),minfo!$A:$M,COLUMN()-8,0),"")</f>
        <v>0</v>
      </c>
      <c r="N1686" s="4">
        <f ca="1">_xlfn.IFNA(VLOOKUP(INDIRECT("G"&amp;ROW()),minfo!$A:$M,COLUMN()-8,0),"")</f>
        <v>0</v>
      </c>
      <c r="O1686" s="4" t="str">
        <f ca="1">_xlfn.IFNA(VLOOKUP(INDIRECT("G"&amp;ROW()),minfo!$A:$M,COLUMN()-8,0),"")</f>
        <v>https://i0.hdslb.com/bfs/station_src/music_metadata/932e8dfc6da200a0e8bac6f301c78184.jpg</v>
      </c>
      <c r="P1686" s="4" t="str">
        <f ca="1">_xlfn.IFNA(VLOOKUP(INDIRECT("G"&amp;ROW()),minfo!$A:$M,COLUMN()-8,0),"")</f>
        <v>http://i0.hdslb.com/bfs/station_src/music_metadata/e51e5009d5ff192011aa88f30739d415</v>
      </c>
      <c r="Q1686" s="4">
        <f ca="1">_xlfn.IFNA(VLOOKUP(INDIRECT("G"&amp;ROW()),minfo!$A:$M,COLUMN()-8,0),"")</f>
        <v>273</v>
      </c>
      <c r="R1686" s="4" t="str">
        <f ca="1">_xlfn.IFNA(VLOOKUP(INDIRECT("G"&amp;ROW()),minfo!$A:$M,COLUMN()-8,0),"")</f>
        <v>live</v>
      </c>
      <c r="S1686" s="4" t="str">
        <f ca="1">_xlfn.IFNA(VLOOKUP(INDIRECT("G"&amp;ROW()),minfo!$A:$M,COLUMN()-8,0),"")</f>
        <v>崽崽</v>
      </c>
      <c r="T1686" s="4">
        <f ca="1">_xlfn.IFNA(VLOOKUP(INDIRECT("G"&amp;ROW()),minfo!$A:$M,COLUMN()-8,0),"")</f>
        <v>46216626</v>
      </c>
      <c r="U1686" s="4">
        <f ca="1">_xlfn.IFNA(VLOOKUP(INDIRECT("G"&amp;ROW()),minfo!$A:$M,COLUMN()-8,0),"")</f>
        <v>0</v>
      </c>
    </row>
    <row r="1687" spans="1:21" ht="15.75" customHeight="1">
      <c r="A1687" s="15">
        <v>1686</v>
      </c>
      <c r="B1687" s="4" t="s">
        <v>5377</v>
      </c>
      <c r="D1687" s="4">
        <v>1</v>
      </c>
      <c r="E1687" s="4" t="s">
        <v>3112</v>
      </c>
      <c r="F1687" s="16">
        <v>45311</v>
      </c>
      <c r="G1687" s="5" t="s">
        <v>3111</v>
      </c>
      <c r="H1687" s="5" t="s">
        <v>5378</v>
      </c>
      <c r="I1687" s="24" t="str">
        <f>HYPERLINK("https://www.bilibili.com/video/BV1pK411a7hJ", "BV1pK411a7hJ")</f>
        <v>BV1pK411a7hJ</v>
      </c>
      <c r="J1687" s="4" t="str">
        <f ca="1">_xlfn.IFNA(VLOOKUP(INDIRECT("G"&amp;ROW()),minfo!$A:$M,COLUMN()-8,0),"")</f>
        <v>蝴蝶</v>
      </c>
      <c r="K1687" s="4" t="str">
        <f ca="1">_xlfn.IFNA(VLOOKUP(INDIRECT("G"&amp;ROW()),minfo!$A:$M,COLUMN()-8,0),"")</f>
        <v>陶喆</v>
      </c>
      <c r="L1687" s="4">
        <f ca="1">_xlfn.IFNA(VLOOKUP(INDIRECT("G"&amp;ROW()),minfo!$A:$M,COLUMN()-8,0),"")</f>
        <v>0</v>
      </c>
      <c r="M1687" s="4">
        <f ca="1">_xlfn.IFNA(VLOOKUP(INDIRECT("G"&amp;ROW()),minfo!$A:$M,COLUMN()-8,0),"")</f>
        <v>0</v>
      </c>
      <c r="N1687" s="4">
        <f ca="1">_xlfn.IFNA(VLOOKUP(INDIRECT("G"&amp;ROW()),minfo!$A:$M,COLUMN()-8,0),"")</f>
        <v>0</v>
      </c>
      <c r="O1687" s="4" t="str">
        <f ca="1">_xlfn.IFNA(VLOOKUP(INDIRECT("G"&amp;ROW()),minfo!$A:$M,COLUMN()-8,0),"")</f>
        <v>http://i0.hdslb.com/bfs/station_src/music_metadata/e5d3bb7013a47cd0591827980d75d0cd.jpg</v>
      </c>
      <c r="P1687" s="4" t="str">
        <f ca="1">_xlfn.IFNA(VLOOKUP(INDIRECT("G"&amp;ROW()),minfo!$A:$M,COLUMN()-8,0),"")</f>
        <v>http://i0.hdslb.com/bfs/station_src/music_metadata/34fc209ba811ed1140833b7573d4ccca</v>
      </c>
      <c r="Q1687" s="4">
        <f ca="1">_xlfn.IFNA(VLOOKUP(INDIRECT("G"&amp;ROW()),minfo!$A:$M,COLUMN()-8,0),"")</f>
        <v>463</v>
      </c>
      <c r="R1687" s="4">
        <f ca="1">_xlfn.IFNA(VLOOKUP(INDIRECT("G"&amp;ROW()),minfo!$A:$M,COLUMN()-8,0),"")</f>
        <v>0</v>
      </c>
      <c r="S1687" s="4" t="str">
        <f ca="1">_xlfn.IFNA(VLOOKUP(INDIRECT("G"&amp;ROW()),minfo!$A:$M,COLUMN()-8,0),"")</f>
        <v>黑色柳丁</v>
      </c>
      <c r="T1687" s="4">
        <f ca="1">_xlfn.IFNA(VLOOKUP(INDIRECT("G"&amp;ROW()),minfo!$A:$M,COLUMN()-8,0),"")</f>
        <v>41950349</v>
      </c>
      <c r="U1687" s="4">
        <f ca="1">_xlfn.IFNA(VLOOKUP(INDIRECT("G"&amp;ROW()),minfo!$A:$M,COLUMN()-8,0),"")</f>
        <v>0</v>
      </c>
    </row>
    <row r="1688" spans="1:21" ht="15.75" customHeight="1">
      <c r="A1688" s="15">
        <v>1687</v>
      </c>
      <c r="B1688" s="4" t="s">
        <v>5379</v>
      </c>
      <c r="D1688" s="4">
        <v>1</v>
      </c>
      <c r="E1688" s="4" t="s">
        <v>816</v>
      </c>
      <c r="F1688" s="16">
        <v>45311</v>
      </c>
      <c r="G1688" s="5" t="s">
        <v>815</v>
      </c>
      <c r="H1688" s="5" t="s">
        <v>5380</v>
      </c>
      <c r="I1688" s="24" t="str">
        <f>HYPERLINK("https://www.bilibili.com/video/BV1SC4y1C7Xr", "BV1SC4y1C7Xr")</f>
        <v>BV1SC4y1C7Xr</v>
      </c>
      <c r="J1688" s="4" t="str">
        <f ca="1">_xlfn.IFNA(VLOOKUP(INDIRECT("G"&amp;ROW()),minfo!$A:$M,COLUMN()-8,0),"")</f>
        <v>开不了口</v>
      </c>
      <c r="K1688" s="4" t="str">
        <f ca="1">_xlfn.IFNA(VLOOKUP(INDIRECT("G"&amp;ROW()),minfo!$A:$M,COLUMN()-8,0),"")</f>
        <v>周杰伦</v>
      </c>
      <c r="L1688" s="4">
        <f ca="1">_xlfn.IFNA(VLOOKUP(INDIRECT("G"&amp;ROW()),minfo!$A:$M,COLUMN()-8,0),"")</f>
        <v>0</v>
      </c>
      <c r="M1688" s="4">
        <f ca="1">_xlfn.IFNA(VLOOKUP(INDIRECT("G"&amp;ROW()),minfo!$A:$M,COLUMN()-8,0),"")</f>
        <v>0</v>
      </c>
      <c r="N1688" s="4">
        <f ca="1">_xlfn.IFNA(VLOOKUP(INDIRECT("G"&amp;ROW()),minfo!$A:$M,COLUMN()-8,0),"")</f>
        <v>0</v>
      </c>
      <c r="O1688" s="4" t="str">
        <f ca="1">_xlfn.IFNA(VLOOKUP(INDIRECT("G"&amp;ROW()),minfo!$A:$M,COLUMN()-8,0),"")</f>
        <v>http://i0.hdslb.com/bfs/station_src/music_metadata/d0f745972711cd41b07e10e96dd6512a.jpg</v>
      </c>
      <c r="P1688" s="4" t="str">
        <f ca="1">_xlfn.IFNA(VLOOKUP(INDIRECT("G"&amp;ROW()),minfo!$A:$M,COLUMN()-8,0),"")</f>
        <v>http://i0.hdslb.com/bfs/station_src/music_metadata/9e21bb6bd3e9e6c6a099ea6fe790a7e4</v>
      </c>
      <c r="Q1688" s="4">
        <f ca="1">_xlfn.IFNA(VLOOKUP(INDIRECT("G"&amp;ROW()),minfo!$A:$M,COLUMN()-8,0),"")</f>
        <v>1670</v>
      </c>
      <c r="R1688" s="4">
        <f ca="1">_xlfn.IFNA(VLOOKUP(INDIRECT("G"&amp;ROW()),minfo!$A:$M,COLUMN()-8,0),"")</f>
        <v>0</v>
      </c>
      <c r="S1688" s="4" t="str">
        <f ca="1">_xlfn.IFNA(VLOOKUP(INDIRECT("G"&amp;ROW()),minfo!$A:$M,COLUMN()-8,0),"")</f>
        <v>范特西</v>
      </c>
      <c r="T1688" s="4">
        <f ca="1">_xlfn.IFNA(VLOOKUP(INDIRECT("G"&amp;ROW()),minfo!$A:$M,COLUMN()-8,0),"")</f>
        <v>374265212</v>
      </c>
      <c r="U1688" s="4">
        <f ca="1">_xlfn.IFNA(VLOOKUP(INDIRECT("G"&amp;ROW()),minfo!$A:$M,COLUMN()-8,0),"")</f>
        <v>0</v>
      </c>
    </row>
    <row r="1689" spans="1:21" ht="15.75" customHeight="1">
      <c r="A1689" s="15">
        <v>1688</v>
      </c>
      <c r="B1689" s="4" t="s">
        <v>5381</v>
      </c>
      <c r="D1689" s="4">
        <v>1</v>
      </c>
      <c r="E1689" s="4" t="s">
        <v>399</v>
      </c>
      <c r="F1689" s="16">
        <v>45311</v>
      </c>
      <c r="G1689" s="5" t="s">
        <v>398</v>
      </c>
      <c r="H1689" s="5" t="s">
        <v>5382</v>
      </c>
      <c r="I1689" s="24" t="str">
        <f>HYPERLINK("https://www.bilibili.com/video/BV1yk4y1D7PP", "BV1yk4y1D7PP")</f>
        <v>BV1yk4y1D7PP</v>
      </c>
      <c r="J1689" s="4" t="str">
        <f ca="1">_xlfn.IFNA(VLOOKUP(INDIRECT("G"&amp;ROW()),minfo!$A:$M,COLUMN()-8,0),"")</f>
        <v>Paper Hearts</v>
      </c>
      <c r="K1689" s="4" t="str">
        <f ca="1">_xlfn.IFNA(VLOOKUP(INDIRECT("G"&amp;ROW()),minfo!$A:$M,COLUMN()-8,0),"")</f>
        <v>Tori Kelly</v>
      </c>
      <c r="L1689" s="4">
        <f ca="1">_xlfn.IFNA(VLOOKUP(INDIRECT("G"&amp;ROW()),minfo!$A:$M,COLUMN()-8,0),"")</f>
        <v>0</v>
      </c>
      <c r="M1689" s="4">
        <f ca="1">_xlfn.IFNA(VLOOKUP(INDIRECT("G"&amp;ROW()),minfo!$A:$M,COLUMN()-8,0),"")</f>
        <v>0</v>
      </c>
      <c r="N1689" s="4">
        <f ca="1">_xlfn.IFNA(VLOOKUP(INDIRECT("G"&amp;ROW()),minfo!$A:$M,COLUMN()-8,0),"")</f>
        <v>0</v>
      </c>
      <c r="O1689" s="4" t="str">
        <f ca="1">_xlfn.IFNA(VLOOKUP(INDIRECT("G"&amp;ROW()),minfo!$A:$M,COLUMN()-8,0),"")</f>
        <v>https://i0.hdslb.com/bfs/station_src/music_metadata/d163890fde7ff71487a0619f16a06100.jpg</v>
      </c>
      <c r="P1689" s="4">
        <f ca="1">_xlfn.IFNA(VLOOKUP(INDIRECT("G"&amp;ROW()),minfo!$A:$M,COLUMN()-8,0),"")</f>
        <v>0</v>
      </c>
      <c r="Q1689" s="4">
        <f ca="1">_xlfn.IFNA(VLOOKUP(INDIRECT("G"&amp;ROW()),minfo!$A:$M,COLUMN()-8,0),"")</f>
        <v>65</v>
      </c>
      <c r="R1689" s="4">
        <f ca="1">_xlfn.IFNA(VLOOKUP(INDIRECT("G"&amp;ROW()),minfo!$A:$M,COLUMN()-8,0),"")</f>
        <v>0</v>
      </c>
      <c r="S1689" s="4" t="str">
        <f ca="1">_xlfn.IFNA(VLOOKUP(INDIRECT("G"&amp;ROW()),minfo!$A:$M,COLUMN()-8,0),"")</f>
        <v>Foreword</v>
      </c>
      <c r="T1689" s="4">
        <f ca="1">_xlfn.IFNA(VLOOKUP(INDIRECT("G"&amp;ROW()),minfo!$A:$M,COLUMN()-8,0),"")</f>
        <v>14743388</v>
      </c>
      <c r="U1689" s="4">
        <f ca="1">_xlfn.IFNA(VLOOKUP(INDIRECT("G"&amp;ROW()),minfo!$A:$M,COLUMN()-8,0),"")</f>
        <v>0</v>
      </c>
    </row>
    <row r="1690" spans="1:21" ht="15.75" customHeight="1">
      <c r="A1690" s="15">
        <v>1689</v>
      </c>
      <c r="B1690" s="4" t="s">
        <v>5383</v>
      </c>
      <c r="D1690" s="4">
        <v>1</v>
      </c>
      <c r="E1690" s="4" t="s">
        <v>1478</v>
      </c>
      <c r="F1690" s="16">
        <v>45310</v>
      </c>
      <c r="G1690" s="5" t="s">
        <v>1477</v>
      </c>
      <c r="H1690" s="5" t="s">
        <v>5384</v>
      </c>
      <c r="I1690" s="24" t="str">
        <f>HYPERLINK("https://www.bilibili.com/video/BV1Hg4y1U79G", "BV1Hg4y1U79G")</f>
        <v>BV1Hg4y1U79G</v>
      </c>
      <c r="J1690" s="4" t="str">
        <f ca="1">_xlfn.IFNA(VLOOKUP(INDIRECT("G"&amp;ROW()),minfo!$A:$M,COLUMN()-8,0),"")</f>
        <v>想你时风起</v>
      </c>
      <c r="K1690" s="4" t="str">
        <f ca="1">_xlfn.IFNA(VLOOKUP(INDIRECT("G"&amp;ROW()),minfo!$A:$M,COLUMN()-8,0),"")</f>
        <v>单依纯</v>
      </c>
      <c r="L1690" s="4">
        <f ca="1">_xlfn.IFNA(VLOOKUP(INDIRECT("G"&amp;ROW()),minfo!$A:$M,COLUMN()-8,0),"")</f>
        <v>0</v>
      </c>
      <c r="M1690" s="4">
        <f ca="1">_xlfn.IFNA(VLOOKUP(INDIRECT("G"&amp;ROW()),minfo!$A:$M,COLUMN()-8,0),"")</f>
        <v>0</v>
      </c>
      <c r="N1690" s="4">
        <f ca="1">_xlfn.IFNA(VLOOKUP(INDIRECT("G"&amp;ROW()),minfo!$A:$M,COLUMN()-8,0),"")</f>
        <v>0</v>
      </c>
      <c r="O1690" s="4" t="str">
        <f ca="1">_xlfn.IFNA(VLOOKUP(INDIRECT("G"&amp;ROW()),minfo!$A:$M,COLUMN()-8,0),"")</f>
        <v>http://i0.hdslb.com/bfs/station_src/music_metadata/690d5f026cf42acdf74154d42a9e4aec.jpg</v>
      </c>
      <c r="P1690" s="4">
        <f ca="1">_xlfn.IFNA(VLOOKUP(INDIRECT("G"&amp;ROW()),minfo!$A:$M,COLUMN()-8,0),"")</f>
        <v>0</v>
      </c>
      <c r="Q1690" s="4">
        <f ca="1">_xlfn.IFNA(VLOOKUP(INDIRECT("G"&amp;ROW()),minfo!$A:$M,COLUMN()-8,0),"")</f>
        <v>710</v>
      </c>
      <c r="R1690" s="4">
        <f ca="1">_xlfn.IFNA(VLOOKUP(INDIRECT("G"&amp;ROW()),minfo!$A:$M,COLUMN()-8,0),"")</f>
        <v>0</v>
      </c>
      <c r="S1690" s="4" t="str">
        <f ca="1">_xlfn.IFNA(VLOOKUP(INDIRECT("G"&amp;ROW()),minfo!$A:$M,COLUMN()-8,0),"")</f>
        <v>想你时风起</v>
      </c>
      <c r="T1690" s="4">
        <f ca="1">_xlfn.IFNA(VLOOKUP(INDIRECT("G"&amp;ROW()),minfo!$A:$M,COLUMN()-8,0),"")</f>
        <v>48566163</v>
      </c>
      <c r="U1690" s="4">
        <f ca="1">_xlfn.IFNA(VLOOKUP(INDIRECT("G"&amp;ROW()),minfo!$A:$M,COLUMN()-8,0),"")</f>
        <v>0</v>
      </c>
    </row>
    <row r="1691" spans="1:21" ht="15.75" customHeight="1">
      <c r="A1691" s="15">
        <v>1690</v>
      </c>
      <c r="B1691" s="4" t="s">
        <v>5385</v>
      </c>
      <c r="D1691" s="4">
        <v>1</v>
      </c>
      <c r="E1691" s="4" t="s">
        <v>678</v>
      </c>
      <c r="F1691" s="16">
        <v>45310</v>
      </c>
      <c r="G1691" s="5" t="s">
        <v>677</v>
      </c>
      <c r="H1691" s="5" t="s">
        <v>5386</v>
      </c>
      <c r="I1691" s="24" t="str">
        <f>HYPERLINK("https://www.bilibili.com/video/BV1Ee411n7y4", "BV1Ee411n7y4")</f>
        <v>BV1Ee411n7y4</v>
      </c>
      <c r="J1691" s="4" t="str">
        <f ca="1">_xlfn.IFNA(VLOOKUP(INDIRECT("G"&amp;ROW()),minfo!$A:$M,COLUMN()-8,0),"")</f>
        <v>将故事写成我们</v>
      </c>
      <c r="K1691" s="4" t="str">
        <f ca="1">_xlfn.IFNA(VLOOKUP(INDIRECT("G"&amp;ROW()),minfo!$A:$M,COLUMN()-8,0),"")</f>
        <v>林俊杰</v>
      </c>
      <c r="L1691" s="4">
        <f ca="1">_xlfn.IFNA(VLOOKUP(INDIRECT("G"&amp;ROW()),minfo!$A:$M,COLUMN()-8,0),"")</f>
        <v>0</v>
      </c>
      <c r="M1691" s="4">
        <f ca="1">_xlfn.IFNA(VLOOKUP(INDIRECT("G"&amp;ROW()),minfo!$A:$M,COLUMN()-8,0),"")</f>
        <v>1032</v>
      </c>
      <c r="N1691" s="4">
        <f ca="1">_xlfn.IFNA(VLOOKUP(INDIRECT("G"&amp;ROW()),minfo!$A:$M,COLUMN()-8,0),"")</f>
        <v>165</v>
      </c>
      <c r="O1691" s="4" t="str">
        <f ca="1">_xlfn.IFNA(VLOOKUP(INDIRECT("G"&amp;ROW()),minfo!$A:$M,COLUMN()-8,0),"")</f>
        <v>http://i0.hdslb.com/bfs/station_src/music_metadata/63fe00af138c363552e6aff10baba93e.jpg</v>
      </c>
      <c r="P1691" s="4" t="str">
        <f ca="1">_xlfn.IFNA(VLOOKUP(INDIRECT("G"&amp;ROW()),minfo!$A:$M,COLUMN()-8,0),"")</f>
        <v>http://i0.hdslb.com/bfs/station_src/music_metadata/2c6ada3c80c79f0dd8b56da48df1f4ad</v>
      </c>
      <c r="Q1691" s="4">
        <f ca="1">_xlfn.IFNA(VLOOKUP(INDIRECT("G"&amp;ROW()),minfo!$A:$M,COLUMN()-8,0),"")</f>
        <v>138</v>
      </c>
      <c r="R1691" s="4">
        <f ca="1">_xlfn.IFNA(VLOOKUP(INDIRECT("G"&amp;ROW()),minfo!$A:$M,COLUMN()-8,0),"")</f>
        <v>0</v>
      </c>
      <c r="S1691" s="4" t="str">
        <f ca="1">_xlfn.IFNA(VLOOKUP(INDIRECT("G"&amp;ROW()),minfo!$A:$M,COLUMN()-8,0),"")</f>
        <v>将故事写成我们</v>
      </c>
      <c r="T1691" s="4">
        <f ca="1">_xlfn.IFNA(VLOOKUP(INDIRECT("G"&amp;ROW()),minfo!$A:$M,COLUMN()-8,0),"")</f>
        <v>64920351</v>
      </c>
      <c r="U1691" s="4">
        <f ca="1">_xlfn.IFNA(VLOOKUP(INDIRECT("G"&amp;ROW()),minfo!$A:$M,COLUMN()-8,0),"")</f>
        <v>0</v>
      </c>
    </row>
    <row r="1692" spans="1:21" ht="15.75" customHeight="1">
      <c r="A1692" s="15">
        <v>1691</v>
      </c>
      <c r="B1692" s="4" t="s">
        <v>5387</v>
      </c>
      <c r="D1692" s="4">
        <v>1</v>
      </c>
      <c r="E1692" s="4" t="s">
        <v>3141</v>
      </c>
      <c r="F1692" s="16">
        <v>45310</v>
      </c>
      <c r="G1692" s="5" t="s">
        <v>3140</v>
      </c>
      <c r="H1692" s="5" t="s">
        <v>5388</v>
      </c>
      <c r="I1692" s="24" t="str">
        <f>HYPERLINK("https://www.bilibili.com/video/BV1VC4y1r7Yx", "BV1VC4y1r7Yx")</f>
        <v>BV1VC4y1r7Yx</v>
      </c>
      <c r="J1692" s="4" t="str">
        <f ca="1">_xlfn.IFNA(VLOOKUP(INDIRECT("G"&amp;ROW()),minfo!$A:$M,COLUMN()-8,0),"")</f>
        <v>当你</v>
      </c>
      <c r="K1692" s="4" t="str">
        <f ca="1">_xlfn.IFNA(VLOOKUP(INDIRECT("G"&amp;ROW()),minfo!$A:$M,COLUMN()-8,0),"")</f>
        <v>王心凌</v>
      </c>
      <c r="L1692" s="4" t="str">
        <f ca="1">_xlfn.IFNA(VLOOKUP(INDIRECT("G"&amp;ROW()),minfo!$A:$M,COLUMN()-8,0),"")</f>
        <v>BV1rv4y1f7kh</v>
      </c>
      <c r="M1692" s="4">
        <f ca="1">_xlfn.IFNA(VLOOKUP(INDIRECT("G"&amp;ROW()),minfo!$A:$M,COLUMN()-8,0),"")</f>
        <v>14</v>
      </c>
      <c r="N1692" s="4">
        <f ca="1">_xlfn.IFNA(VLOOKUP(INDIRECT("G"&amp;ROW()),minfo!$A:$M,COLUMN()-8,0),"")</f>
        <v>2</v>
      </c>
      <c r="O1692" s="4" t="str">
        <f ca="1">_xlfn.IFNA(VLOOKUP(INDIRECT("G"&amp;ROW()),minfo!$A:$M,COLUMN()-8,0),"")</f>
        <v>https://i0.hdslb.com/bfs/station_src/music_metadata/d171cd11917e0385262f9cb1564fcb3b.jpg</v>
      </c>
      <c r="P1692" s="4" t="str">
        <f ca="1">_xlfn.IFNA(VLOOKUP(INDIRECT("G"&amp;ROW()),minfo!$A:$M,COLUMN()-8,0),"")</f>
        <v>http://i0.hdslb.com/bfs/station_src/music_metadata/86667b348835d329c8074baaa6a4db56</v>
      </c>
      <c r="Q1692" s="4">
        <f ca="1">_xlfn.IFNA(VLOOKUP(INDIRECT("G"&amp;ROW()),minfo!$A:$M,COLUMN()-8,0),"")</f>
        <v>711</v>
      </c>
      <c r="R1692" s="4" t="str">
        <f ca="1">_xlfn.IFNA(VLOOKUP(INDIRECT("G"&amp;ROW()),minfo!$A:$M,COLUMN()-8,0),"")</f>
        <v>《背叛爱情》电视剧中文版主题曲</v>
      </c>
      <c r="S1692" s="4" t="str">
        <f ca="1">_xlfn.IFNA(VLOOKUP(INDIRECT("G"&amp;ROW()),minfo!$A:$M,COLUMN()-8,0),"")</f>
        <v>My! Cyndi!</v>
      </c>
      <c r="T1692" s="4">
        <f ca="1">_xlfn.IFNA(VLOOKUP(INDIRECT("G"&amp;ROW()),minfo!$A:$M,COLUMN()-8,0),"")</f>
        <v>257991068</v>
      </c>
      <c r="U1692" s="4" t="str">
        <f ca="1">_xlfn.IFNA(VLOOKUP(INDIRECT("G"&amp;ROW()),minfo!$A:$M,COLUMN()-8,0),"")</f>
        <v>音乐榜最高NO.12</v>
      </c>
    </row>
    <row r="1693" spans="1:21" ht="15.75" customHeight="1">
      <c r="A1693" s="15">
        <v>1692</v>
      </c>
      <c r="B1693" s="4" t="s">
        <v>5389</v>
      </c>
      <c r="D1693" s="4">
        <v>1</v>
      </c>
      <c r="E1693" s="4" t="s">
        <v>366</v>
      </c>
      <c r="F1693" s="16">
        <v>45310</v>
      </c>
      <c r="G1693" s="5" t="s">
        <v>365</v>
      </c>
      <c r="H1693" s="5" t="s">
        <v>5390</v>
      </c>
      <c r="I1693" s="24" t="str">
        <f>HYPERLINK("https://www.bilibili.com/video/BV19g4y1172a", "BV19g4y1172a")</f>
        <v>BV19g4y1172a</v>
      </c>
      <c r="J1693" s="4" t="str">
        <f ca="1">_xlfn.IFNA(VLOOKUP(INDIRECT("G"&amp;ROW()),minfo!$A:$M,COLUMN()-8,0),"")</f>
        <v>难忘今宵</v>
      </c>
      <c r="K1693" s="4" t="str">
        <f ca="1">_xlfn.IFNA(VLOOKUP(INDIRECT("G"&amp;ROW()),minfo!$A:$M,COLUMN()-8,0),"")</f>
        <v>二珂</v>
      </c>
      <c r="L1693" s="4">
        <f ca="1">_xlfn.IFNA(VLOOKUP(INDIRECT("G"&amp;ROW()),minfo!$A:$M,COLUMN()-8,0),"")</f>
        <v>0</v>
      </c>
      <c r="M1693" s="4">
        <f ca="1">_xlfn.IFNA(VLOOKUP(INDIRECT("G"&amp;ROW()),minfo!$A:$M,COLUMN()-8,0),"")</f>
        <v>0</v>
      </c>
      <c r="N1693" s="4">
        <f ca="1">_xlfn.IFNA(VLOOKUP(INDIRECT("G"&amp;ROW()),minfo!$A:$M,COLUMN()-8,0),"")</f>
        <v>0</v>
      </c>
      <c r="O1693" s="4" t="str">
        <f ca="1">_xlfn.IFNA(VLOOKUP(INDIRECT("G"&amp;ROW()),minfo!$A:$M,COLUMN()-8,0),"")</f>
        <v>http://y.gtimg.cn/music/photo_new/T002R300x300M000.jpg</v>
      </c>
      <c r="P1693" s="4">
        <f ca="1">_xlfn.IFNA(VLOOKUP(INDIRECT("G"&amp;ROW()),minfo!$A:$M,COLUMN()-8,0),"")</f>
        <v>0</v>
      </c>
      <c r="Q1693" s="4">
        <f ca="1">_xlfn.IFNA(VLOOKUP(INDIRECT("G"&amp;ROW()),minfo!$A:$M,COLUMN()-8,0),"")</f>
        <v>4</v>
      </c>
      <c r="R1693" s="4">
        <f ca="1">_xlfn.IFNA(VLOOKUP(INDIRECT("G"&amp;ROW()),minfo!$A:$M,COLUMN()-8,0),"")</f>
        <v>0</v>
      </c>
      <c r="S1693" s="4">
        <f ca="1">_xlfn.IFNA(VLOOKUP(INDIRECT("G"&amp;ROW()),minfo!$A:$M,COLUMN()-8,0),"")</f>
        <v>0</v>
      </c>
      <c r="T1693" s="4">
        <f ca="1">_xlfn.IFNA(VLOOKUP(INDIRECT("G"&amp;ROW()),minfo!$A:$M,COLUMN()-8,0),"")</f>
        <v>5415807</v>
      </c>
      <c r="U1693" s="4">
        <f ca="1">_xlfn.IFNA(VLOOKUP(INDIRECT("G"&amp;ROW()),minfo!$A:$M,COLUMN()-8,0),"")</f>
        <v>0</v>
      </c>
    </row>
    <row r="1694" spans="1:21" ht="15.75" customHeight="1">
      <c r="A1694" s="15">
        <v>1693</v>
      </c>
      <c r="B1694" s="4" t="s">
        <v>5391</v>
      </c>
      <c r="D1694" s="4">
        <v>1</v>
      </c>
      <c r="E1694" s="4" t="s">
        <v>1289</v>
      </c>
      <c r="F1694" s="16">
        <v>45310</v>
      </c>
      <c r="G1694" s="5" t="s">
        <v>1288</v>
      </c>
      <c r="H1694" s="5" t="s">
        <v>5392</v>
      </c>
      <c r="I1694" s="24" t="str">
        <f>HYPERLINK("https://www.bilibili.com/video/BV1pK4y1B7pV", "BV1pK4y1B7pV")</f>
        <v>BV1pK4y1B7pV</v>
      </c>
      <c r="J1694" s="4" t="str">
        <f ca="1">_xlfn.IFNA(VLOOKUP(INDIRECT("G"&amp;ROW()),minfo!$A:$M,COLUMN()-8,0),"")</f>
        <v>孤独娱乐</v>
      </c>
      <c r="K1694" s="4" t="str">
        <f ca="1">_xlfn.IFNA(VLOOKUP(INDIRECT("G"&amp;ROW()),minfo!$A:$M,COLUMN()-8,0),"")</f>
        <v>林俊杰</v>
      </c>
      <c r="L1694" s="4">
        <f ca="1">_xlfn.IFNA(VLOOKUP(INDIRECT("G"&amp;ROW()),minfo!$A:$M,COLUMN()-8,0),"")</f>
        <v>0</v>
      </c>
      <c r="M1694" s="4">
        <f ca="1">_xlfn.IFNA(VLOOKUP(INDIRECT("G"&amp;ROW()),minfo!$A:$M,COLUMN()-8,0),"")</f>
        <v>0</v>
      </c>
      <c r="N1694" s="4">
        <f ca="1">_xlfn.IFNA(VLOOKUP(INDIRECT("G"&amp;ROW()),minfo!$A:$M,COLUMN()-8,0),"")</f>
        <v>0</v>
      </c>
      <c r="O1694" s="4" t="str">
        <f ca="1">_xlfn.IFNA(VLOOKUP(INDIRECT("G"&amp;ROW()),minfo!$A:$M,COLUMN()-8,0),"")</f>
        <v>http://i0.hdslb.com/bfs/station_src/music_metadata/84561b5e1d6e1dfa852adcf51e34eb8f.jpg</v>
      </c>
      <c r="P1694" s="4">
        <f ca="1">_xlfn.IFNA(VLOOKUP(INDIRECT("G"&amp;ROW()),minfo!$A:$M,COLUMN()-8,0),"")</f>
        <v>0</v>
      </c>
      <c r="Q1694" s="4">
        <f ca="1">_xlfn.IFNA(VLOOKUP(INDIRECT("G"&amp;ROW()),minfo!$A:$M,COLUMN()-8,0),"")</f>
        <v>79</v>
      </c>
      <c r="R1694" s="4">
        <f ca="1">_xlfn.IFNA(VLOOKUP(INDIRECT("G"&amp;ROW()),minfo!$A:$M,COLUMN()-8,0),"")</f>
        <v>0</v>
      </c>
      <c r="S1694" s="4" t="str">
        <f ca="1">_xlfn.IFNA(VLOOKUP(INDIRECT("G"&amp;ROW()),minfo!$A:$M,COLUMN()-8,0),"")</f>
        <v>重拾_快乐</v>
      </c>
      <c r="T1694" s="4">
        <f ca="1">_xlfn.IFNA(VLOOKUP(INDIRECT("G"&amp;ROW()),minfo!$A:$M,COLUMN()-8,0),"")</f>
        <v>19753956</v>
      </c>
      <c r="U1694" s="4">
        <f ca="1">_xlfn.IFNA(VLOOKUP(INDIRECT("G"&amp;ROW()),minfo!$A:$M,COLUMN()-8,0),"")</f>
        <v>0</v>
      </c>
    </row>
    <row r="1695" spans="1:21" ht="15.75" customHeight="1">
      <c r="A1695" s="15">
        <v>1694</v>
      </c>
      <c r="B1695" s="4" t="s">
        <v>5393</v>
      </c>
      <c r="D1695" s="4">
        <v>1</v>
      </c>
      <c r="E1695" s="4" t="s">
        <v>883</v>
      </c>
      <c r="F1695" s="16">
        <v>45310</v>
      </c>
      <c r="G1695" s="5" t="s">
        <v>882</v>
      </c>
      <c r="H1695" s="5" t="s">
        <v>5394</v>
      </c>
      <c r="I1695" s="24" t="str">
        <f>HYPERLINK("https://www.bilibili.com/video/BV1ea4y1y7cC", "BV1ea4y1y7cC")</f>
        <v>BV1ea4y1y7cC</v>
      </c>
      <c r="J1695" s="4" t="str">
        <f ca="1">_xlfn.IFNA(VLOOKUP(INDIRECT("G"&amp;ROW()),minfo!$A:$M,COLUMN()-8,0),"")</f>
        <v>大眠</v>
      </c>
      <c r="K1695" s="4" t="str">
        <f ca="1">_xlfn.IFNA(VLOOKUP(INDIRECT("G"&amp;ROW()),minfo!$A:$M,COLUMN()-8,0),"")</f>
        <v>王心凌</v>
      </c>
      <c r="L1695" s="4">
        <f ca="1">_xlfn.IFNA(VLOOKUP(INDIRECT("G"&amp;ROW()),minfo!$A:$M,COLUMN()-8,0),"")</f>
        <v>0</v>
      </c>
      <c r="M1695" s="4">
        <f ca="1">_xlfn.IFNA(VLOOKUP(INDIRECT("G"&amp;ROW()),minfo!$A:$M,COLUMN()-8,0),"")</f>
        <v>0</v>
      </c>
      <c r="N1695" s="4">
        <f ca="1">_xlfn.IFNA(VLOOKUP(INDIRECT("G"&amp;ROW()),minfo!$A:$M,COLUMN()-8,0),"")</f>
        <v>0</v>
      </c>
      <c r="O1695" s="4" t="str">
        <f ca="1">_xlfn.IFNA(VLOOKUP(INDIRECT("G"&amp;ROW()),minfo!$A:$M,COLUMN()-8,0),"")</f>
        <v>https://i0.hdslb.com/bfs/station_src/music_metadata/af5d28f2df8d5c17a196bebcb46c7319.jpg</v>
      </c>
      <c r="P1695" s="4" t="str">
        <f ca="1">_xlfn.IFNA(VLOOKUP(INDIRECT("G"&amp;ROW()),minfo!$A:$M,COLUMN()-8,0),"")</f>
        <v>http://i0.hdslb.com/bfs/station_src/music_metadata/f1798c26021de0c1e651d2f042b7cf9b</v>
      </c>
      <c r="Q1695" s="4">
        <f ca="1">_xlfn.IFNA(VLOOKUP(INDIRECT("G"&amp;ROW()),minfo!$A:$M,COLUMN()-8,0),"")</f>
        <v>1078</v>
      </c>
      <c r="R1695" s="4">
        <f ca="1">_xlfn.IFNA(VLOOKUP(INDIRECT("G"&amp;ROW()),minfo!$A:$M,COLUMN()-8,0),"")</f>
        <v>0</v>
      </c>
      <c r="S1695" s="4" t="str">
        <f ca="1">_xlfn.IFNA(VLOOKUP(INDIRECT("G"&amp;ROW()),minfo!$A:$M,COLUMN()-8,0),"")</f>
        <v>CYNDILOVES2SING 爱。心凌</v>
      </c>
      <c r="T1695" s="4">
        <f ca="1">_xlfn.IFNA(VLOOKUP(INDIRECT("G"&amp;ROW()),minfo!$A:$M,COLUMN()-8,0),"")</f>
        <v>152298390</v>
      </c>
      <c r="U1695" s="4">
        <f ca="1">_xlfn.IFNA(VLOOKUP(INDIRECT("G"&amp;ROW()),minfo!$A:$M,COLUMN()-8,0),"")</f>
        <v>0</v>
      </c>
    </row>
    <row r="1696" spans="1:21" ht="15.75" customHeight="1">
      <c r="A1696" s="15">
        <v>1695</v>
      </c>
      <c r="B1696" s="4" t="s">
        <v>5395</v>
      </c>
      <c r="D1696" s="4">
        <v>1</v>
      </c>
      <c r="E1696" s="4" t="s">
        <v>1620</v>
      </c>
      <c r="F1696" s="16">
        <v>45308</v>
      </c>
      <c r="G1696" s="5" t="s">
        <v>1619</v>
      </c>
      <c r="H1696" s="5" t="s">
        <v>5396</v>
      </c>
      <c r="I1696" s="24" t="str">
        <f>HYPERLINK("https://www.bilibili.com/video/BV12c41147by", "BV12c41147by")</f>
        <v>BV12c41147by</v>
      </c>
      <c r="J1696" s="4" t="str">
        <f ca="1">_xlfn.IFNA(VLOOKUP(INDIRECT("G"&amp;ROW()),minfo!$A:$M,COLUMN()-8,0),"")</f>
        <v>一路向北</v>
      </c>
      <c r="K1696" s="4" t="str">
        <f ca="1">_xlfn.IFNA(VLOOKUP(INDIRECT("G"&amp;ROW()),minfo!$A:$M,COLUMN()-8,0),"")</f>
        <v>周杰伦</v>
      </c>
      <c r="L1696" s="4">
        <f ca="1">_xlfn.IFNA(VLOOKUP(INDIRECT("G"&amp;ROW()),minfo!$A:$M,COLUMN()-8,0),"")</f>
        <v>0</v>
      </c>
      <c r="M1696" s="4">
        <f ca="1">_xlfn.IFNA(VLOOKUP(INDIRECT("G"&amp;ROW()),minfo!$A:$M,COLUMN()-8,0),"")</f>
        <v>0</v>
      </c>
      <c r="N1696" s="4">
        <f ca="1">_xlfn.IFNA(VLOOKUP(INDIRECT("G"&amp;ROW()),minfo!$A:$M,COLUMN()-8,0),"")</f>
        <v>0</v>
      </c>
      <c r="O1696" s="4" t="str">
        <f ca="1">_xlfn.IFNA(VLOOKUP(INDIRECT("G"&amp;ROW()),minfo!$A:$M,COLUMN()-8,0),"")</f>
        <v>http://i0.hdslb.com/bfs/station_src/music_metadata/30a9548e104c69c0a6e0747f590b41a2.jpg</v>
      </c>
      <c r="P1696" s="4" t="str">
        <f ca="1">_xlfn.IFNA(VLOOKUP(INDIRECT("G"&amp;ROW()),minfo!$A:$M,COLUMN()-8,0),"")</f>
        <v>http://i0.hdslb.com/bfs/station_src/music_metadata/3d9312fb4b7cde3cd376d37c031dfe74</v>
      </c>
      <c r="Q1696" s="4">
        <f ca="1">_xlfn.IFNA(VLOOKUP(INDIRECT("G"&amp;ROW()),minfo!$A:$M,COLUMN()-8,0),"")</f>
        <v>9903</v>
      </c>
      <c r="R1696" s="4" t="str">
        <f ca="1">_xlfn.IFNA(VLOOKUP(INDIRECT("G"&amp;ROW()),minfo!$A:$M,COLUMN()-8,0),"")</f>
        <v>《头文字D》电影插曲</v>
      </c>
      <c r="S1696" s="4" t="str">
        <f ca="1">_xlfn.IFNA(VLOOKUP(INDIRECT("G"&amp;ROW()),minfo!$A:$M,COLUMN()-8,0),"")</f>
        <v>J III MP3 Player</v>
      </c>
      <c r="T1696" s="4">
        <f ca="1">_xlfn.IFNA(VLOOKUP(INDIRECT("G"&amp;ROW()),minfo!$A:$M,COLUMN()-8,0),"")</f>
        <v>948949344</v>
      </c>
      <c r="U1696" s="4" t="str">
        <f ca="1">_xlfn.IFNA(VLOOKUP(INDIRECT("G"&amp;ROW()),minfo!$A:$M,COLUMN()-8,0),"")</f>
        <v>音乐榜最高NO.16</v>
      </c>
    </row>
    <row r="1697" spans="1:21" ht="15.75" customHeight="1">
      <c r="A1697" s="15">
        <v>1696</v>
      </c>
      <c r="B1697" s="4" t="s">
        <v>5397</v>
      </c>
      <c r="D1697" s="4">
        <v>1</v>
      </c>
      <c r="E1697" s="4" t="s">
        <v>786</v>
      </c>
      <c r="F1697" s="16">
        <v>45308</v>
      </c>
      <c r="G1697" s="5" t="s">
        <v>785</v>
      </c>
      <c r="H1697" s="5" t="s">
        <v>5398</v>
      </c>
      <c r="I1697" s="24" t="str">
        <f>HYPERLINK("https://www.bilibili.com/video/BV1QK4y1q7Nb", "BV1QK4y1q7Nb")</f>
        <v>BV1QK4y1q7Nb</v>
      </c>
      <c r="J1697" s="4" t="str">
        <f ca="1">_xlfn.IFNA(VLOOKUP(INDIRECT("G"&amp;ROW()),minfo!$A:$M,COLUMN()-8,0),"")</f>
        <v>浪漫血液</v>
      </c>
      <c r="K1697" s="4" t="str">
        <f ca="1">_xlfn.IFNA(VLOOKUP(INDIRECT("G"&amp;ROW()),minfo!$A:$M,COLUMN()-8,0),"")</f>
        <v>林俊杰</v>
      </c>
      <c r="L1697" s="4">
        <f ca="1">_xlfn.IFNA(VLOOKUP(INDIRECT("G"&amp;ROW()),minfo!$A:$M,COLUMN()-8,0),"")</f>
        <v>0</v>
      </c>
      <c r="M1697" s="4">
        <f ca="1">_xlfn.IFNA(VLOOKUP(INDIRECT("G"&amp;ROW()),minfo!$A:$M,COLUMN()-8,0),"")</f>
        <v>0</v>
      </c>
      <c r="N1697" s="4">
        <f ca="1">_xlfn.IFNA(VLOOKUP(INDIRECT("G"&amp;ROW()),minfo!$A:$M,COLUMN()-8,0),"")</f>
        <v>0</v>
      </c>
      <c r="O1697" s="4" t="str">
        <f ca="1">_xlfn.IFNA(VLOOKUP(INDIRECT("G"&amp;ROW()),minfo!$A:$M,COLUMN()-8,0),"")</f>
        <v>https://i0.hdslb.com/bfs/station_src/music_metadata/df4cb70c4afd251b03add35ca9a9908e.jpg</v>
      </c>
      <c r="P1697" s="4" t="str">
        <f ca="1">_xlfn.IFNA(VLOOKUP(INDIRECT("G"&amp;ROW()),minfo!$A:$M,COLUMN()-8,0),"")</f>
        <v>http://i0.hdslb.com/bfs/station_src/music_metadata/1681acdfafc8cdc08a44ca96f53471a4</v>
      </c>
      <c r="Q1697" s="4">
        <f ca="1">_xlfn.IFNA(VLOOKUP(INDIRECT("G"&amp;ROW()),minfo!$A:$M,COLUMN()-8,0),"")</f>
        <v>1583</v>
      </c>
      <c r="R1697" s="4">
        <f ca="1">_xlfn.IFNA(VLOOKUP(INDIRECT("G"&amp;ROW()),minfo!$A:$M,COLUMN()-8,0),"")</f>
        <v>0</v>
      </c>
      <c r="S1697" s="4" t="str">
        <f ca="1">_xlfn.IFNA(VLOOKUP(INDIRECT("G"&amp;ROW()),minfo!$A:$M,COLUMN()-8,0),"")</f>
        <v>新地球</v>
      </c>
      <c r="T1697" s="4">
        <f ca="1">_xlfn.IFNA(VLOOKUP(INDIRECT("G"&amp;ROW()),minfo!$A:$M,COLUMN()-8,0),"")</f>
        <v>140930479</v>
      </c>
      <c r="U1697" s="4">
        <f ca="1">_xlfn.IFNA(VLOOKUP(INDIRECT("G"&amp;ROW()),minfo!$A:$M,COLUMN()-8,0),"")</f>
        <v>0</v>
      </c>
    </row>
    <row r="1698" spans="1:21" ht="15.75" customHeight="1">
      <c r="A1698" s="15">
        <v>1697</v>
      </c>
      <c r="B1698" s="4" t="s">
        <v>5399</v>
      </c>
      <c r="D1698" s="4">
        <v>1</v>
      </c>
      <c r="E1698" s="4" t="s">
        <v>1714</v>
      </c>
      <c r="F1698" s="16">
        <v>45304</v>
      </c>
      <c r="G1698" s="5" t="s">
        <v>1713</v>
      </c>
      <c r="H1698" s="5" t="s">
        <v>5400</v>
      </c>
      <c r="I1698" s="24" t="str">
        <f>HYPERLINK("https://www.bilibili.com/video/BV1Re411271D", "BV1Re411271D")</f>
        <v>BV1Re411271D</v>
      </c>
      <c r="J1698" s="4" t="str">
        <f ca="1">_xlfn.IFNA(VLOOKUP(INDIRECT("G"&amp;ROW()),minfo!$A:$M,COLUMN()-8,0),"")</f>
        <v>背对背拥抱</v>
      </c>
      <c r="K1698" s="4" t="str">
        <f ca="1">_xlfn.IFNA(VLOOKUP(INDIRECT("G"&amp;ROW()),minfo!$A:$M,COLUMN()-8,0),"")</f>
        <v>林俊杰</v>
      </c>
      <c r="L1698" s="4">
        <f ca="1">_xlfn.IFNA(VLOOKUP(INDIRECT("G"&amp;ROW()),minfo!$A:$M,COLUMN()-8,0),"")</f>
        <v>0</v>
      </c>
      <c r="M1698" s="4">
        <f ca="1">_xlfn.IFNA(VLOOKUP(INDIRECT("G"&amp;ROW()),minfo!$A:$M,COLUMN()-8,0),"")</f>
        <v>35</v>
      </c>
      <c r="N1698" s="4">
        <f ca="1">_xlfn.IFNA(VLOOKUP(INDIRECT("G"&amp;ROW()),minfo!$A:$M,COLUMN()-8,0),"")</f>
        <v>4</v>
      </c>
      <c r="O1698" s="4" t="str">
        <f ca="1">_xlfn.IFNA(VLOOKUP(INDIRECT("G"&amp;ROW()),minfo!$A:$M,COLUMN()-8,0),"")</f>
        <v>https://i0.hdslb.com/bfs/station_src/music_metadata/924769c21d602b7dc9ce70fb6d242c2c.jpg</v>
      </c>
      <c r="P1698" s="4" t="str">
        <f ca="1">_xlfn.IFNA(VLOOKUP(INDIRECT("G"&amp;ROW()),minfo!$A:$M,COLUMN()-8,0),"")</f>
        <v>http://i0.hdslb.com/bfs/station_src/music_metadata/f0b49e4e56b1d666fa473bc3e1befeff</v>
      </c>
      <c r="Q1698" s="4">
        <f ca="1">_xlfn.IFNA(VLOOKUP(INDIRECT("G"&amp;ROW()),minfo!$A:$M,COLUMN()-8,0),"")</f>
        <v>214</v>
      </c>
      <c r="R1698" s="4">
        <f ca="1">_xlfn.IFNA(VLOOKUP(INDIRECT("G"&amp;ROW()),minfo!$A:$M,COLUMN()-8,0),"")</f>
        <v>0</v>
      </c>
      <c r="S1698" s="4" t="str">
        <f ca="1">_xlfn.IFNA(VLOOKUP(INDIRECT("G"&amp;ROW()),minfo!$A:$M,COLUMN()-8,0),"")</f>
        <v>100天</v>
      </c>
      <c r="T1698" s="4">
        <f ca="1">_xlfn.IFNA(VLOOKUP(INDIRECT("G"&amp;ROW()),minfo!$A:$M,COLUMN()-8,0),"")</f>
        <v>217880128</v>
      </c>
      <c r="U1698" s="4">
        <f ca="1">_xlfn.IFNA(VLOOKUP(INDIRECT("G"&amp;ROW()),minfo!$A:$M,COLUMN()-8,0),"")</f>
        <v>0</v>
      </c>
    </row>
    <row r="1699" spans="1:21" ht="15.75" customHeight="1">
      <c r="A1699" s="15">
        <v>1698</v>
      </c>
      <c r="B1699" s="4" t="s">
        <v>5401</v>
      </c>
      <c r="D1699" s="4">
        <v>1</v>
      </c>
      <c r="E1699" s="4" t="s">
        <v>319</v>
      </c>
      <c r="F1699" s="16">
        <v>45303</v>
      </c>
      <c r="G1699" s="5" t="s">
        <v>318</v>
      </c>
      <c r="H1699" s="5" t="s">
        <v>5402</v>
      </c>
      <c r="I1699" s="24" t="str">
        <f>HYPERLINK("https://www.bilibili.com/video/BV1kK411v7hJ", "BV1kK411v7hJ")</f>
        <v>BV1kK411v7hJ</v>
      </c>
      <c r="J1699" s="4" t="str">
        <f ca="1">_xlfn.IFNA(VLOOKUP(INDIRECT("G"&amp;ROW()),minfo!$A:$M,COLUMN()-8,0),"")</f>
        <v>晴天</v>
      </c>
      <c r="K1699" s="4" t="str">
        <f ca="1">_xlfn.IFNA(VLOOKUP(INDIRECT("G"&amp;ROW()),minfo!$A:$M,COLUMN()-8,0),"")</f>
        <v>周杰伦</v>
      </c>
      <c r="L1699" s="4">
        <f ca="1">_xlfn.IFNA(VLOOKUP(INDIRECT("G"&amp;ROW()),minfo!$A:$M,COLUMN()-8,0),"")</f>
        <v>0</v>
      </c>
      <c r="M1699" s="4">
        <f ca="1">_xlfn.IFNA(VLOOKUP(INDIRECT("G"&amp;ROW()),minfo!$A:$M,COLUMN()-8,0),"")</f>
        <v>5048</v>
      </c>
      <c r="N1699" s="4">
        <f ca="1">_xlfn.IFNA(VLOOKUP(INDIRECT("G"&amp;ROW()),minfo!$A:$M,COLUMN()-8,0),"")</f>
        <v>135</v>
      </c>
      <c r="O1699" s="4" t="str">
        <f ca="1">_xlfn.IFNA(VLOOKUP(INDIRECT("G"&amp;ROW()),minfo!$A:$M,COLUMN()-8,0),"")</f>
        <v>https://i0.hdslb.com/bfs/station_src/music_metadata/2efa8f0df2aff949dee33b3f46a56312.jpg</v>
      </c>
      <c r="P1699" s="4">
        <f ca="1">_xlfn.IFNA(VLOOKUP(INDIRECT("G"&amp;ROW()),minfo!$A:$M,COLUMN()-8,0),"")</f>
        <v>0</v>
      </c>
      <c r="Q1699" s="4">
        <f ca="1">_xlfn.IFNA(VLOOKUP(INDIRECT("G"&amp;ROW()),minfo!$A:$M,COLUMN()-8,0),"")</f>
        <v>15983</v>
      </c>
      <c r="R1699" s="4">
        <f ca="1">_xlfn.IFNA(VLOOKUP(INDIRECT("G"&amp;ROW()),minfo!$A:$M,COLUMN()-8,0),"")</f>
        <v>0</v>
      </c>
      <c r="S1699" s="4" t="str">
        <f ca="1">_xlfn.IFNA(VLOOKUP(INDIRECT("G"&amp;ROW()),minfo!$A:$M,COLUMN()-8,0),"")</f>
        <v>叶惠美</v>
      </c>
      <c r="T1699" s="4">
        <f ca="1">_xlfn.IFNA(VLOOKUP(INDIRECT("G"&amp;ROW()),minfo!$A:$M,COLUMN()-8,0),"")</f>
        <v>1497162616</v>
      </c>
      <c r="U1699" s="4" t="str">
        <f ca="1">_xlfn.IFNA(VLOOKUP(INDIRECT("G"&amp;ROW()),minfo!$A:$M,COLUMN()-8,0),"")</f>
        <v>音乐榜最高NO.8</v>
      </c>
    </row>
    <row r="1700" spans="1:21" ht="15.75" customHeight="1">
      <c r="A1700" s="15">
        <v>1699</v>
      </c>
      <c r="B1700" s="4" t="s">
        <v>5403</v>
      </c>
      <c r="D1700" s="4">
        <v>1</v>
      </c>
      <c r="E1700" s="4" t="s">
        <v>1098</v>
      </c>
      <c r="F1700" s="16">
        <v>45303</v>
      </c>
      <c r="G1700" s="5" t="s">
        <v>1097</v>
      </c>
      <c r="H1700" s="5" t="s">
        <v>5404</v>
      </c>
      <c r="I1700" s="24" t="str">
        <f>HYPERLINK("https://www.bilibili.com/video/BV1z64y1P7Wv", "BV1z64y1P7Wv")</f>
        <v>BV1z64y1P7Wv</v>
      </c>
      <c r="J1700" s="4" t="str">
        <f ca="1">_xlfn.IFNA(VLOOKUP(INDIRECT("G"&amp;ROW()),minfo!$A:$M,COLUMN()-8,0),"")</f>
        <v>你听得到</v>
      </c>
      <c r="K1700" s="4" t="str">
        <f ca="1">_xlfn.IFNA(VLOOKUP(INDIRECT("G"&amp;ROW()),minfo!$A:$M,COLUMN()-8,0),"")</f>
        <v>周杰伦</v>
      </c>
      <c r="L1700" s="4">
        <f ca="1">_xlfn.IFNA(VLOOKUP(INDIRECT("G"&amp;ROW()),minfo!$A:$M,COLUMN()-8,0),"")</f>
        <v>0</v>
      </c>
      <c r="M1700" s="4">
        <f ca="1">_xlfn.IFNA(VLOOKUP(INDIRECT("G"&amp;ROW()),minfo!$A:$M,COLUMN()-8,0),"")</f>
        <v>0</v>
      </c>
      <c r="N1700" s="4">
        <f ca="1">_xlfn.IFNA(VLOOKUP(INDIRECT("G"&amp;ROW()),minfo!$A:$M,COLUMN()-8,0),"")</f>
        <v>0</v>
      </c>
      <c r="O1700" s="4" t="str">
        <f ca="1">_xlfn.IFNA(VLOOKUP(INDIRECT("G"&amp;ROW()),minfo!$A:$M,COLUMN()-8,0),"")</f>
        <v>https://i0.hdslb.com/bfs/station_src/music_metadata/29e28424e7d2a4c37f7b84cd0b8b18ba.jpg</v>
      </c>
      <c r="P1700" s="4" t="str">
        <f ca="1">_xlfn.IFNA(VLOOKUP(INDIRECT("G"&amp;ROW()),minfo!$A:$M,COLUMN()-8,0),"")</f>
        <v>copyright-crawler/music/task-lyric/62682789504b4c0665226751.txt</v>
      </c>
      <c r="Q1700" s="4">
        <f ca="1">_xlfn.IFNA(VLOOKUP(INDIRECT("G"&amp;ROW()),minfo!$A:$M,COLUMN()-8,0),"")</f>
        <v>2198</v>
      </c>
      <c r="R1700" s="4" t="str">
        <f ca="1">_xlfn.IFNA(VLOOKUP(INDIRECT("G"&amp;ROW()),minfo!$A:$M,COLUMN()-8,0),"")</f>
        <v>你听得到</v>
      </c>
      <c r="S1700" s="4" t="str">
        <f ca="1">_xlfn.IFNA(VLOOKUP(INDIRECT("G"&amp;ROW()),minfo!$A:$M,COLUMN()-8,0),"")</f>
        <v>叶惠美</v>
      </c>
      <c r="T1700" s="4">
        <f ca="1">_xlfn.IFNA(VLOOKUP(INDIRECT("G"&amp;ROW()),minfo!$A:$M,COLUMN()-8,0),"")</f>
        <v>280199234</v>
      </c>
      <c r="U1700" s="4">
        <f ca="1">_xlfn.IFNA(VLOOKUP(INDIRECT("G"&amp;ROW()),minfo!$A:$M,COLUMN()-8,0),"")</f>
        <v>0</v>
      </c>
    </row>
    <row r="1701" spans="1:21" ht="15.75" customHeight="1">
      <c r="A1701" s="15">
        <v>1700</v>
      </c>
      <c r="B1701" s="4" t="s">
        <v>5405</v>
      </c>
      <c r="D1701" s="4">
        <v>1</v>
      </c>
      <c r="E1701" s="4" t="s">
        <v>3107</v>
      </c>
      <c r="F1701" s="16">
        <v>45301</v>
      </c>
      <c r="G1701" s="5" t="s">
        <v>3106</v>
      </c>
      <c r="H1701" s="5" t="s">
        <v>5406</v>
      </c>
      <c r="I1701" s="24" t="str">
        <f>HYPERLINK("https://www.bilibili.com/video/BV1T5411i7HS", "BV1T5411i7HS")</f>
        <v>BV1T5411i7HS</v>
      </c>
      <c r="J1701" s="4" t="str">
        <f ca="1">_xlfn.IFNA(VLOOKUP(INDIRECT("G"&amp;ROW()),minfo!$A:$M,COLUMN()-8,0),"")</f>
        <v>交换余生</v>
      </c>
      <c r="K1701" s="4" t="str">
        <f ca="1">_xlfn.IFNA(VLOOKUP(INDIRECT("G"&amp;ROW()),minfo!$A:$M,COLUMN()-8,0),"")</f>
        <v>林俊杰</v>
      </c>
      <c r="L1701" s="4" t="str">
        <f ca="1">_xlfn.IFNA(VLOOKUP(INDIRECT("G"&amp;ROW()),minfo!$A:$M,COLUMN()-8,0),"")</f>
        <v>BV1s5411P7uA</v>
      </c>
      <c r="M1701" s="4">
        <f ca="1">_xlfn.IFNA(VLOOKUP(INDIRECT("G"&amp;ROW()),minfo!$A:$M,COLUMN()-8,0),"")</f>
        <v>285</v>
      </c>
      <c r="N1701" s="4">
        <f ca="1">_xlfn.IFNA(VLOOKUP(INDIRECT("G"&amp;ROW()),minfo!$A:$M,COLUMN()-8,0),"")</f>
        <v>40</v>
      </c>
      <c r="O1701" s="4" t="str">
        <f ca="1">_xlfn.IFNA(VLOOKUP(INDIRECT("G"&amp;ROW()),minfo!$A:$M,COLUMN()-8,0),"")</f>
        <v>https://i0.hdslb.com/bfs/station_src/music_metadata/1bd7ba45ae53c9c5b38bea79ba0477e1.jpg</v>
      </c>
      <c r="P1701" s="4" t="str">
        <f ca="1">_xlfn.IFNA(VLOOKUP(INDIRECT("G"&amp;ROW()),minfo!$A:$M,COLUMN()-8,0),"")</f>
        <v>http://i0.hdslb.com/bfs/station_src/music_metadata/f1583c4593a309d1c410fa650e14752b</v>
      </c>
      <c r="Q1701" s="4">
        <f ca="1">_xlfn.IFNA(VLOOKUP(INDIRECT("G"&amp;ROW()),minfo!$A:$M,COLUMN()-8,0),"")</f>
        <v>1022</v>
      </c>
      <c r="R1701" s="4">
        <f ca="1">_xlfn.IFNA(VLOOKUP(INDIRECT("G"&amp;ROW()),minfo!$A:$M,COLUMN()-8,0),"")</f>
        <v>0</v>
      </c>
      <c r="S1701" s="4" t="str">
        <f ca="1">_xlfn.IFNA(VLOOKUP(INDIRECT("G"&amp;ROW()),minfo!$A:$M,COLUMN()-8,0),"")</f>
        <v>交换余生</v>
      </c>
      <c r="T1701" s="4">
        <f ca="1">_xlfn.IFNA(VLOOKUP(INDIRECT("G"&amp;ROW()),minfo!$A:$M,COLUMN()-8,0),"")</f>
        <v>491095581</v>
      </c>
      <c r="U1701" s="4" t="str">
        <f ca="1">_xlfn.IFNA(VLOOKUP(INDIRECT("G"&amp;ROW()),minfo!$A:$M,COLUMN()-8,0),"")</f>
        <v>音乐榜最高NO.12</v>
      </c>
    </row>
    <row r="1702" spans="1:21" ht="15.75" customHeight="1">
      <c r="A1702" s="15">
        <v>1701</v>
      </c>
      <c r="B1702" s="4" t="s">
        <v>5407</v>
      </c>
      <c r="D1702" s="4">
        <v>1</v>
      </c>
      <c r="E1702" s="4" t="s">
        <v>693</v>
      </c>
      <c r="F1702" s="16">
        <v>45301</v>
      </c>
      <c r="G1702" s="5" t="s">
        <v>692</v>
      </c>
      <c r="H1702" s="5" t="s">
        <v>5408</v>
      </c>
      <c r="I1702" s="24" t="str">
        <f>HYPERLINK("https://www.bilibili.com/video/BV19k4y1D7tR", "BV19k4y1D7tR")</f>
        <v>BV19k4y1D7tR</v>
      </c>
      <c r="J1702" s="4" t="str">
        <f ca="1">_xlfn.IFNA(VLOOKUP(INDIRECT("G"&amp;ROW()),minfo!$A:$M,COLUMN()-8,0),"")</f>
        <v>爱情悬崖</v>
      </c>
      <c r="K1702" s="4" t="str">
        <f ca="1">_xlfn.IFNA(VLOOKUP(INDIRECT("G"&amp;ROW()),minfo!$A:$M,COLUMN()-8,0),"")</f>
        <v>周杰伦</v>
      </c>
      <c r="L1702" s="4">
        <f ca="1">_xlfn.IFNA(VLOOKUP(INDIRECT("G"&amp;ROW()),minfo!$A:$M,COLUMN()-8,0),"")</f>
        <v>0</v>
      </c>
      <c r="M1702" s="4">
        <f ca="1">_xlfn.IFNA(VLOOKUP(INDIRECT("G"&amp;ROW()),minfo!$A:$M,COLUMN()-8,0),"")</f>
        <v>0</v>
      </c>
      <c r="N1702" s="4">
        <f ca="1">_xlfn.IFNA(VLOOKUP(INDIRECT("G"&amp;ROW()),minfo!$A:$M,COLUMN()-8,0),"")</f>
        <v>0</v>
      </c>
      <c r="O1702" s="4" t="str">
        <f ca="1">_xlfn.IFNA(VLOOKUP(INDIRECT("G"&amp;ROW()),minfo!$A:$M,COLUMN()-8,0),"")</f>
        <v>https://i0.hdslb.com/bfs/station_src/music_metadata/09deb9d4f4775eb43172424de93829e1.jpg</v>
      </c>
      <c r="P1702" s="4">
        <f ca="1">_xlfn.IFNA(VLOOKUP(INDIRECT("G"&amp;ROW()),minfo!$A:$M,COLUMN()-8,0),"")</f>
        <v>0</v>
      </c>
      <c r="Q1702" s="4">
        <f ca="1">_xlfn.IFNA(VLOOKUP(INDIRECT("G"&amp;ROW()),minfo!$A:$M,COLUMN()-8,0),"")</f>
        <v>265</v>
      </c>
      <c r="R1702" s="4">
        <f ca="1">_xlfn.IFNA(VLOOKUP(INDIRECT("G"&amp;ROW()),minfo!$A:$M,COLUMN()-8,0),"")</f>
        <v>0</v>
      </c>
      <c r="S1702" s="4" t="str">
        <f ca="1">_xlfn.IFNA(VLOOKUP(INDIRECT("G"&amp;ROW()),minfo!$A:$M,COLUMN()-8,0),"")</f>
        <v>叶惠美</v>
      </c>
      <c r="T1702" s="4">
        <f ca="1">_xlfn.IFNA(VLOOKUP(INDIRECT("G"&amp;ROW()),minfo!$A:$M,COLUMN()-8,0),"")</f>
        <v>186750231</v>
      </c>
      <c r="U1702" s="4">
        <f ca="1">_xlfn.IFNA(VLOOKUP(INDIRECT("G"&amp;ROW()),minfo!$A:$M,COLUMN()-8,0),"")</f>
        <v>0</v>
      </c>
    </row>
    <row r="1703" spans="1:21" ht="15.75" customHeight="1">
      <c r="A1703" s="15">
        <v>1702</v>
      </c>
      <c r="B1703" s="4" t="s">
        <v>5409</v>
      </c>
      <c r="D1703" s="4">
        <v>1</v>
      </c>
      <c r="E1703" s="4" t="s">
        <v>967</v>
      </c>
      <c r="F1703" s="16">
        <v>45300</v>
      </c>
      <c r="G1703" s="5" t="s">
        <v>966</v>
      </c>
      <c r="H1703" s="5" t="s">
        <v>5410</v>
      </c>
      <c r="I1703" s="24" t="str">
        <f>HYPERLINK("https://www.bilibili.com/video/BV1me411U7gw", "BV1me411U7gw")</f>
        <v>BV1me411U7gw</v>
      </c>
      <c r="J1703" s="4" t="str">
        <f ca="1">_xlfn.IFNA(VLOOKUP(INDIRECT("G"&amp;ROW()),minfo!$A:$M,COLUMN()-8,0),"")</f>
        <v>小雨</v>
      </c>
      <c r="K1703" s="4" t="str">
        <f ca="1">_xlfn.IFNA(VLOOKUP(INDIRECT("G"&amp;ROW()),minfo!$A:$M,COLUMN()-8,0),"")</f>
        <v>黄龄</v>
      </c>
      <c r="L1703" s="4">
        <f ca="1">_xlfn.IFNA(VLOOKUP(INDIRECT("G"&amp;ROW()),minfo!$A:$M,COLUMN()-8,0),"")</f>
        <v>0</v>
      </c>
      <c r="M1703" s="4">
        <f ca="1">_xlfn.IFNA(VLOOKUP(INDIRECT("G"&amp;ROW()),minfo!$A:$M,COLUMN()-8,0),"")</f>
        <v>0</v>
      </c>
      <c r="N1703" s="4">
        <f ca="1">_xlfn.IFNA(VLOOKUP(INDIRECT("G"&amp;ROW()),minfo!$A:$M,COLUMN()-8,0),"")</f>
        <v>0</v>
      </c>
      <c r="O1703" s="4" t="str">
        <f ca="1">_xlfn.IFNA(VLOOKUP(INDIRECT("G"&amp;ROW()),minfo!$A:$M,COLUMN()-8,0),"")</f>
        <v>https://i0.hdslb.com/bfs/station_src/music_metadata/607346922702f1ba7302d87db0ecdbf1.jpg</v>
      </c>
      <c r="P1703" s="4" t="str">
        <f ca="1">_xlfn.IFNA(VLOOKUP(INDIRECT("G"&amp;ROW()),minfo!$A:$M,COLUMN()-8,0),"")</f>
        <v>https://i0.hdslb.com/bfs/station_src/music_metadata/245fdd0b68a8f71caa554e8f05ea1b6c.txt</v>
      </c>
      <c r="Q1703" s="4">
        <f ca="1">_xlfn.IFNA(VLOOKUP(INDIRECT("G"&amp;ROW()),minfo!$A:$M,COLUMN()-8,0),"")</f>
        <v>2250</v>
      </c>
      <c r="R1703" s="4">
        <f ca="1">_xlfn.IFNA(VLOOKUP(INDIRECT("G"&amp;ROW()),minfo!$A:$M,COLUMN()-8,0),"")</f>
        <v>0</v>
      </c>
      <c r="S1703" s="4" t="str">
        <f ca="1">_xlfn.IFNA(VLOOKUP(INDIRECT("G"&amp;ROW()),minfo!$A:$M,COLUMN()-8,0),"")</f>
        <v>小雨</v>
      </c>
      <c r="T1703" s="4">
        <f ca="1">_xlfn.IFNA(VLOOKUP(INDIRECT("G"&amp;ROW()),minfo!$A:$M,COLUMN()-8,0),"")</f>
        <v>63947645</v>
      </c>
      <c r="U1703" s="4">
        <f ca="1">_xlfn.IFNA(VLOOKUP(INDIRECT("G"&amp;ROW()),minfo!$A:$M,COLUMN()-8,0),"")</f>
        <v>0</v>
      </c>
    </row>
    <row r="1704" spans="1:21" ht="15.75" customHeight="1">
      <c r="A1704" s="15">
        <v>1703</v>
      </c>
      <c r="B1704" s="4" t="s">
        <v>5411</v>
      </c>
      <c r="D1704" s="4">
        <v>1</v>
      </c>
      <c r="E1704" s="4" t="s">
        <v>1553</v>
      </c>
      <c r="F1704" s="16">
        <v>45297</v>
      </c>
      <c r="G1704" s="5" t="s">
        <v>1552</v>
      </c>
      <c r="H1704" s="5" t="s">
        <v>5412</v>
      </c>
      <c r="I1704" s="24" t="str">
        <f>HYPERLINK("https://www.bilibili.com/video/BV1Xg4y1U7HM", "BV1Xg4y1U7HM")</f>
        <v>BV1Xg4y1U7HM</v>
      </c>
      <c r="J1704" s="4" t="str">
        <f ca="1">_xlfn.IFNA(VLOOKUP(INDIRECT("G"&amp;ROW()),minfo!$A:$M,COLUMN()-8,0),"")</f>
        <v>光亮</v>
      </c>
      <c r="K1704" s="4" t="str">
        <f ca="1">_xlfn.IFNA(VLOOKUP(INDIRECT("G"&amp;ROW()),minfo!$A:$M,COLUMN()-8,0),"")</f>
        <v>周深</v>
      </c>
      <c r="L1704" s="4">
        <f ca="1">_xlfn.IFNA(VLOOKUP(INDIRECT("G"&amp;ROW()),minfo!$A:$M,COLUMN()-8,0),"")</f>
        <v>0</v>
      </c>
      <c r="M1704" s="4">
        <f ca="1">_xlfn.IFNA(VLOOKUP(INDIRECT("G"&amp;ROW()),minfo!$A:$M,COLUMN()-8,0),"")</f>
        <v>50129</v>
      </c>
      <c r="N1704" s="4">
        <f ca="1">_xlfn.IFNA(VLOOKUP(INDIRECT("G"&amp;ROW()),minfo!$A:$M,COLUMN()-8,0),"")</f>
        <v>14164</v>
      </c>
      <c r="O1704" s="4" t="str">
        <f ca="1">_xlfn.IFNA(VLOOKUP(INDIRECT("G"&amp;ROW()),minfo!$A:$M,COLUMN()-8,0),"")</f>
        <v>https://i0.hdslb.com/bfs/station_src/music_metadata/432327254cfcfcbb06e70cd8958eec15.jpg</v>
      </c>
      <c r="P1704" s="4" t="str">
        <f ca="1">_xlfn.IFNA(VLOOKUP(INDIRECT("G"&amp;ROW()),minfo!$A:$M,COLUMN()-8,0),"")</f>
        <v>https://i0.hdslb.com/bfs/station_src/music_metadata/bc80794f31f422159366c112e2245a93.txt</v>
      </c>
      <c r="Q1704" s="4">
        <f ca="1">_xlfn.IFNA(VLOOKUP(INDIRECT("G"&amp;ROW()),minfo!$A:$M,COLUMN()-8,0),"")</f>
        <v>637</v>
      </c>
      <c r="R1704" s="4" t="str">
        <f ca="1">_xlfn.IFNA(VLOOKUP(INDIRECT("G"&amp;ROW()),minfo!$A:$M,COLUMN()-8,0),"")</f>
        <v>《紫禁城》大型纪录片主题歌</v>
      </c>
      <c r="S1704" s="4" t="str">
        <f ca="1">_xlfn.IFNA(VLOOKUP(INDIRECT("G"&amp;ROW()),minfo!$A:$M,COLUMN()-8,0),"")</f>
        <v>大型纪录片《紫禁城》主题歌音乐专辑</v>
      </c>
      <c r="T1704" s="4">
        <f ca="1">_xlfn.IFNA(VLOOKUP(INDIRECT("G"&amp;ROW()),minfo!$A:$M,COLUMN()-8,0),"")</f>
        <v>165524997</v>
      </c>
      <c r="U1704" s="4" t="str">
        <f ca="1">_xlfn.IFNA(VLOOKUP(INDIRECT("G"&amp;ROW()),minfo!$A:$M,COLUMN()-8,0),"")</f>
        <v>音乐榜最高NO.9</v>
      </c>
    </row>
    <row r="1705" spans="1:21" ht="15.75" customHeight="1">
      <c r="A1705" s="15">
        <v>1704</v>
      </c>
      <c r="B1705" s="4" t="s">
        <v>5413</v>
      </c>
      <c r="D1705" s="4">
        <v>1</v>
      </c>
      <c r="E1705" s="4" t="s">
        <v>130</v>
      </c>
      <c r="F1705" s="16">
        <v>45297</v>
      </c>
      <c r="G1705" s="5" t="s">
        <v>130</v>
      </c>
      <c r="H1705" s="5" t="s">
        <v>5414</v>
      </c>
      <c r="I1705" s="24" t="str">
        <f>HYPERLINK("https://www.bilibili.com/video/BV11c411t7nj", "BV11c411t7nj")</f>
        <v>BV11c411t7nj</v>
      </c>
      <c r="J1705" s="4" t="str">
        <f ca="1">_xlfn.IFNA(VLOOKUP(INDIRECT("G"&amp;ROW()),minfo!$A:$M,COLUMN()-8,0),"")</f>
        <v>交响梦</v>
      </c>
      <c r="K1705" s="4" t="str">
        <f ca="1">_xlfn.IFNA(VLOOKUP(INDIRECT("G"&amp;ROW()),minfo!$A:$M,COLUMN()-8,0),"")</f>
        <v>苏打绿</v>
      </c>
      <c r="L1705" s="4">
        <f ca="1">_xlfn.IFNA(VLOOKUP(INDIRECT("G"&amp;ROW()),minfo!$A:$M,COLUMN()-8,0),"")</f>
        <v>0</v>
      </c>
      <c r="M1705" s="4">
        <f ca="1">_xlfn.IFNA(VLOOKUP(INDIRECT("G"&amp;ROW()),minfo!$A:$M,COLUMN()-8,0),"")</f>
        <v>0</v>
      </c>
      <c r="N1705" s="4">
        <f ca="1">_xlfn.IFNA(VLOOKUP(INDIRECT("G"&amp;ROW()),minfo!$A:$M,COLUMN()-8,0),"")</f>
        <v>0</v>
      </c>
      <c r="O1705" s="4">
        <f ca="1">_xlfn.IFNA(VLOOKUP(INDIRECT("G"&amp;ROW()),minfo!$A:$M,COLUMN()-8,0),"")</f>
        <v>0</v>
      </c>
      <c r="P1705" s="4">
        <f ca="1">_xlfn.IFNA(VLOOKUP(INDIRECT("G"&amp;ROW()),minfo!$A:$M,COLUMN()-8,0),"")</f>
        <v>0</v>
      </c>
      <c r="Q1705" s="4">
        <f ca="1">_xlfn.IFNA(VLOOKUP(INDIRECT("G"&amp;ROW()),minfo!$A:$M,COLUMN()-8,0),"")</f>
        <v>0</v>
      </c>
      <c r="R1705" s="4">
        <f ca="1">_xlfn.IFNA(VLOOKUP(INDIRECT("G"&amp;ROW()),minfo!$A:$M,COLUMN()-8,0),"")</f>
        <v>0</v>
      </c>
      <c r="S1705" s="4">
        <f ca="1">_xlfn.IFNA(VLOOKUP(INDIRECT("G"&amp;ROW()),minfo!$A:$M,COLUMN()-8,0),"")</f>
        <v>0</v>
      </c>
      <c r="T1705" s="4">
        <f ca="1">_xlfn.IFNA(VLOOKUP(INDIRECT("G"&amp;ROW()),minfo!$A:$M,COLUMN()-8,0),"")</f>
        <v>0</v>
      </c>
      <c r="U1705" s="4">
        <f ca="1">_xlfn.IFNA(VLOOKUP(INDIRECT("G"&amp;ROW()),minfo!$A:$M,COLUMN()-8,0),"")</f>
        <v>0</v>
      </c>
    </row>
    <row r="1706" spans="1:21" ht="15.75" customHeight="1">
      <c r="A1706" s="15">
        <v>1705</v>
      </c>
      <c r="B1706" s="4" t="s">
        <v>5415</v>
      </c>
      <c r="D1706" s="4">
        <v>1</v>
      </c>
      <c r="E1706" s="4" t="s">
        <v>1415</v>
      </c>
      <c r="F1706" s="16">
        <v>45297</v>
      </c>
      <c r="G1706" s="5" t="s">
        <v>1414</v>
      </c>
      <c r="H1706" s="5" t="s">
        <v>5416</v>
      </c>
      <c r="I1706" s="24" t="str">
        <f>HYPERLINK("https://www.bilibili.com/video/BV1og4y1U7Eh", "BV1og4y1U7Eh")</f>
        <v>BV1og4y1U7Eh</v>
      </c>
      <c r="J1706" s="4" t="str">
        <f ca="1">_xlfn.IFNA(VLOOKUP(INDIRECT("G"&amp;ROW()),minfo!$A:$M,COLUMN()-8,0),"")</f>
        <v>二十二</v>
      </c>
      <c r="K1706" s="4" t="str">
        <f ca="1">_xlfn.IFNA(VLOOKUP(INDIRECT("G"&amp;ROW()),minfo!$A:$M,COLUMN()-8,0),"")</f>
        <v>陶喆</v>
      </c>
      <c r="L1706" s="4">
        <f ca="1">_xlfn.IFNA(VLOOKUP(INDIRECT("G"&amp;ROW()),minfo!$A:$M,COLUMN()-8,0),"")</f>
        <v>0</v>
      </c>
      <c r="M1706" s="4">
        <f ca="1">_xlfn.IFNA(VLOOKUP(INDIRECT("G"&amp;ROW()),minfo!$A:$M,COLUMN()-8,0),"")</f>
        <v>0</v>
      </c>
      <c r="N1706" s="4">
        <f ca="1">_xlfn.IFNA(VLOOKUP(INDIRECT("G"&amp;ROW()),minfo!$A:$M,COLUMN()-8,0),"")</f>
        <v>0</v>
      </c>
      <c r="O1706" s="4" t="str">
        <f ca="1">_xlfn.IFNA(VLOOKUP(INDIRECT("G"&amp;ROW()),minfo!$A:$M,COLUMN()-8,0),"")</f>
        <v>http://i0.hdslb.com/bfs/station_src/music_metadata/e89d0b6bb51b52049a17aa607ecd7e8d.jpg</v>
      </c>
      <c r="P1706" s="4" t="str">
        <f ca="1">_xlfn.IFNA(VLOOKUP(INDIRECT("G"&amp;ROW()),minfo!$A:$M,COLUMN()-8,0),"")</f>
        <v>http://i0.hdslb.com/bfs/station_src/music_metadata/47f341ee2acc202b90520bd34837ebc4</v>
      </c>
      <c r="Q1706" s="4">
        <f ca="1">_xlfn.IFNA(VLOOKUP(INDIRECT("G"&amp;ROW()),minfo!$A:$M,COLUMN()-8,0),"")</f>
        <v>343</v>
      </c>
      <c r="R1706" s="4">
        <f ca="1">_xlfn.IFNA(VLOOKUP(INDIRECT("G"&amp;ROW()),minfo!$A:$M,COLUMN()-8,0),"")</f>
        <v>0</v>
      </c>
      <c r="S1706" s="4" t="str">
        <f ca="1">_xlfn.IFNA(VLOOKUP(INDIRECT("G"&amp;ROW()),minfo!$A:$M,COLUMN()-8,0),"")</f>
        <v>黑色柳丁</v>
      </c>
      <c r="T1706" s="4">
        <f ca="1">_xlfn.IFNA(VLOOKUP(INDIRECT("G"&amp;ROW()),minfo!$A:$M,COLUMN()-8,0),"")</f>
        <v>50077794</v>
      </c>
      <c r="U1706" s="4">
        <f ca="1">_xlfn.IFNA(VLOOKUP(INDIRECT("G"&amp;ROW()),minfo!$A:$M,COLUMN()-8,0),"")</f>
        <v>0</v>
      </c>
    </row>
    <row r="1707" spans="1:21" ht="15.75" customHeight="1">
      <c r="A1707" s="15">
        <v>1706</v>
      </c>
      <c r="B1707" s="4" t="s">
        <v>5417</v>
      </c>
      <c r="D1707" s="4">
        <v>1</v>
      </c>
      <c r="E1707" s="4" t="s">
        <v>3112</v>
      </c>
      <c r="F1707" s="16">
        <v>45296</v>
      </c>
      <c r="G1707" s="5" t="s">
        <v>3111</v>
      </c>
      <c r="H1707" s="5" t="s">
        <v>5418</v>
      </c>
      <c r="I1707" s="24" t="str">
        <f>HYPERLINK("https://www.bilibili.com/video/BV17N4y1q7jm", "BV17N4y1q7jm")</f>
        <v>BV17N4y1q7jm</v>
      </c>
      <c r="J1707" s="4" t="str">
        <f ca="1">_xlfn.IFNA(VLOOKUP(INDIRECT("G"&amp;ROW()),minfo!$A:$M,COLUMN()-8,0),"")</f>
        <v>蝴蝶</v>
      </c>
      <c r="K1707" s="4" t="str">
        <f ca="1">_xlfn.IFNA(VLOOKUP(INDIRECT("G"&amp;ROW()),minfo!$A:$M,COLUMN()-8,0),"")</f>
        <v>陶喆</v>
      </c>
      <c r="L1707" s="4">
        <f ca="1">_xlfn.IFNA(VLOOKUP(INDIRECT("G"&amp;ROW()),minfo!$A:$M,COLUMN()-8,0),"")</f>
        <v>0</v>
      </c>
      <c r="M1707" s="4">
        <f ca="1">_xlfn.IFNA(VLOOKUP(INDIRECT("G"&amp;ROW()),minfo!$A:$M,COLUMN()-8,0),"")</f>
        <v>0</v>
      </c>
      <c r="N1707" s="4">
        <f ca="1">_xlfn.IFNA(VLOOKUP(INDIRECT("G"&amp;ROW()),minfo!$A:$M,COLUMN()-8,0),"")</f>
        <v>0</v>
      </c>
      <c r="O1707" s="4" t="str">
        <f ca="1">_xlfn.IFNA(VLOOKUP(INDIRECT("G"&amp;ROW()),minfo!$A:$M,COLUMN()-8,0),"")</f>
        <v>http://i0.hdslb.com/bfs/station_src/music_metadata/e5d3bb7013a47cd0591827980d75d0cd.jpg</v>
      </c>
      <c r="P1707" s="4" t="str">
        <f ca="1">_xlfn.IFNA(VLOOKUP(INDIRECT("G"&amp;ROW()),minfo!$A:$M,COLUMN()-8,0),"")</f>
        <v>http://i0.hdslb.com/bfs/station_src/music_metadata/34fc209ba811ed1140833b7573d4ccca</v>
      </c>
      <c r="Q1707" s="4">
        <f ca="1">_xlfn.IFNA(VLOOKUP(INDIRECT("G"&amp;ROW()),minfo!$A:$M,COLUMN()-8,0),"")</f>
        <v>463</v>
      </c>
      <c r="R1707" s="4">
        <f ca="1">_xlfn.IFNA(VLOOKUP(INDIRECT("G"&amp;ROW()),minfo!$A:$M,COLUMN()-8,0),"")</f>
        <v>0</v>
      </c>
      <c r="S1707" s="4" t="str">
        <f ca="1">_xlfn.IFNA(VLOOKUP(INDIRECT("G"&amp;ROW()),minfo!$A:$M,COLUMN()-8,0),"")</f>
        <v>黑色柳丁</v>
      </c>
      <c r="T1707" s="4">
        <f ca="1">_xlfn.IFNA(VLOOKUP(INDIRECT("G"&amp;ROW()),minfo!$A:$M,COLUMN()-8,0),"")</f>
        <v>41950349</v>
      </c>
      <c r="U1707" s="4">
        <f ca="1">_xlfn.IFNA(VLOOKUP(INDIRECT("G"&amp;ROW()),minfo!$A:$M,COLUMN()-8,0),"")</f>
        <v>0</v>
      </c>
    </row>
    <row r="1708" spans="1:21" ht="15.75" customHeight="1">
      <c r="A1708" s="15">
        <v>1707</v>
      </c>
      <c r="B1708" s="4" t="s">
        <v>5419</v>
      </c>
      <c r="D1708" s="4">
        <v>1</v>
      </c>
      <c r="E1708" s="4" t="s">
        <v>1850</v>
      </c>
      <c r="F1708" s="16">
        <v>45296</v>
      </c>
      <c r="G1708" s="5" t="s">
        <v>1849</v>
      </c>
      <c r="H1708" s="5" t="s">
        <v>5420</v>
      </c>
      <c r="I1708" s="24" t="str">
        <f>HYPERLINK("https://www.bilibili.com/video/BV1Ye411m7jz", "BV1Ye411m7jz")</f>
        <v>BV1Ye411m7jz</v>
      </c>
      <c r="J1708" s="4" t="str">
        <f ca="1">_xlfn.IFNA(VLOOKUP(INDIRECT("G"&amp;ROW()),minfo!$A:$M,COLUMN()-8,0),"")</f>
        <v>我不配</v>
      </c>
      <c r="K1708" s="4" t="str">
        <f ca="1">_xlfn.IFNA(VLOOKUP(INDIRECT("G"&amp;ROW()),minfo!$A:$M,COLUMN()-8,0),"")</f>
        <v>周杰伦</v>
      </c>
      <c r="L1708" s="4">
        <f ca="1">_xlfn.IFNA(VLOOKUP(INDIRECT("G"&amp;ROW()),minfo!$A:$M,COLUMN()-8,0),"")</f>
        <v>0</v>
      </c>
      <c r="M1708" s="4">
        <f ca="1">_xlfn.IFNA(VLOOKUP(INDIRECT("G"&amp;ROW()),minfo!$A:$M,COLUMN()-8,0),"")</f>
        <v>0</v>
      </c>
      <c r="N1708" s="4">
        <f ca="1">_xlfn.IFNA(VLOOKUP(INDIRECT("G"&amp;ROW()),minfo!$A:$M,COLUMN()-8,0),"")</f>
        <v>0</v>
      </c>
      <c r="O1708" s="4" t="str">
        <f ca="1">_xlfn.IFNA(VLOOKUP(INDIRECT("G"&amp;ROW()),minfo!$A:$M,COLUMN()-8,0),"")</f>
        <v>https://i0.hdslb.com/bfs/station_src/music_metadata/a5214bbe0d47f79316edd71a862fc8a5.jpg</v>
      </c>
      <c r="P1708" s="4">
        <f ca="1">_xlfn.IFNA(VLOOKUP(INDIRECT("G"&amp;ROW()),minfo!$A:$M,COLUMN()-8,0),"")</f>
        <v>0</v>
      </c>
      <c r="Q1708" s="4">
        <f ca="1">_xlfn.IFNA(VLOOKUP(INDIRECT("G"&amp;ROW()),minfo!$A:$M,COLUMN()-8,0),"")</f>
        <v>2206</v>
      </c>
      <c r="R1708" s="4">
        <f ca="1">_xlfn.IFNA(VLOOKUP(INDIRECT("G"&amp;ROW()),minfo!$A:$M,COLUMN()-8,0),"")</f>
        <v>0</v>
      </c>
      <c r="S1708" s="4" t="str">
        <f ca="1">_xlfn.IFNA(VLOOKUP(INDIRECT("G"&amp;ROW()),minfo!$A:$M,COLUMN()-8,0),"")</f>
        <v>我很忙</v>
      </c>
      <c r="T1708" s="4">
        <f ca="1">_xlfn.IFNA(VLOOKUP(INDIRECT("G"&amp;ROW()),minfo!$A:$M,COLUMN()-8,0),"")</f>
        <v>358806634</v>
      </c>
      <c r="U1708" s="4">
        <f ca="1">_xlfn.IFNA(VLOOKUP(INDIRECT("G"&amp;ROW()),minfo!$A:$M,COLUMN()-8,0),"")</f>
        <v>0</v>
      </c>
    </row>
    <row r="1709" spans="1:21" ht="15.75" customHeight="1">
      <c r="A1709" s="15">
        <v>1708</v>
      </c>
      <c r="B1709" s="4" t="s">
        <v>5421</v>
      </c>
      <c r="D1709" s="4">
        <v>1</v>
      </c>
      <c r="E1709" s="4" t="s">
        <v>226</v>
      </c>
      <c r="F1709" s="16">
        <v>45294</v>
      </c>
      <c r="G1709" s="5" t="s">
        <v>225</v>
      </c>
      <c r="H1709" s="5" t="s">
        <v>5422</v>
      </c>
      <c r="I1709" s="24" t="str">
        <f>HYPERLINK("https://www.bilibili.com/video/BV1AQ4y1E7Xz", "BV1AQ4y1E7Xz")</f>
        <v>BV1AQ4y1E7Xz</v>
      </c>
      <c r="J1709" s="4" t="str">
        <f ca="1">_xlfn.IFNA(VLOOKUP(INDIRECT("G"&amp;ROW()),minfo!$A:$M,COLUMN()-8,0),"")</f>
        <v>如愿</v>
      </c>
      <c r="K1709" s="4" t="str">
        <f ca="1">_xlfn.IFNA(VLOOKUP(INDIRECT("G"&amp;ROW()),minfo!$A:$M,COLUMN()-8,0),"")</f>
        <v>王菲</v>
      </c>
      <c r="L1709" s="4">
        <f ca="1">_xlfn.IFNA(VLOOKUP(INDIRECT("G"&amp;ROW()),minfo!$A:$M,COLUMN()-8,0),"")</f>
        <v>0</v>
      </c>
      <c r="M1709" s="4">
        <f ca="1">_xlfn.IFNA(VLOOKUP(INDIRECT("G"&amp;ROW()),minfo!$A:$M,COLUMN()-8,0),"")</f>
        <v>0</v>
      </c>
      <c r="N1709" s="4">
        <f ca="1">_xlfn.IFNA(VLOOKUP(INDIRECT("G"&amp;ROW()),minfo!$A:$M,COLUMN()-8,0),"")</f>
        <v>0</v>
      </c>
      <c r="O1709" s="4" t="str">
        <f ca="1">_xlfn.IFNA(VLOOKUP(INDIRECT("G"&amp;ROW()),minfo!$A:$M,COLUMN()-8,0),"")</f>
        <v>http://i0.hdslb.com/bfs/station_src/music_metadata/4c29d6e8ea08a5ae0f90cb123bf5f52d.jpg</v>
      </c>
      <c r="P1709" s="4" t="str">
        <f ca="1">_xlfn.IFNA(VLOOKUP(INDIRECT("G"&amp;ROW()),minfo!$A:$M,COLUMN()-8,0),"")</f>
        <v>http://i0.hdslb.com/bfs/station_src/music_metadata/7dfb091f97b87d41cdb10f22a04b20e6</v>
      </c>
      <c r="Q1709" s="4">
        <f ca="1">_xlfn.IFNA(VLOOKUP(INDIRECT("G"&amp;ROW()),minfo!$A:$M,COLUMN()-8,0),"")</f>
        <v>8985</v>
      </c>
      <c r="R1709" s="4" t="str">
        <f ca="1">_xlfn.IFNA(VLOOKUP(INDIRECT("G"&amp;ROW()),minfo!$A:$M,COLUMN()-8,0),"")</f>
        <v>《我和我的父辈》电影主题推广曲</v>
      </c>
      <c r="S1709" s="4" t="str">
        <f ca="1">_xlfn.IFNA(VLOOKUP(INDIRECT("G"&amp;ROW()),minfo!$A:$M,COLUMN()-8,0),"")</f>
        <v>如愿</v>
      </c>
      <c r="T1709" s="4">
        <f ca="1">_xlfn.IFNA(VLOOKUP(INDIRECT("G"&amp;ROW()),minfo!$A:$M,COLUMN()-8,0),"")</f>
        <v>520502983</v>
      </c>
      <c r="U1709" s="4">
        <f ca="1">_xlfn.IFNA(VLOOKUP(INDIRECT("G"&amp;ROW()),minfo!$A:$M,COLUMN()-8,0),"")</f>
        <v>0</v>
      </c>
    </row>
    <row r="1710" spans="1:21" ht="15.75" customHeight="1">
      <c r="A1710" s="15">
        <v>1709</v>
      </c>
      <c r="B1710" s="4" t="s">
        <v>5423</v>
      </c>
      <c r="D1710" s="4">
        <v>1</v>
      </c>
      <c r="E1710" s="4" t="s">
        <v>1305</v>
      </c>
      <c r="F1710" s="16">
        <v>45292</v>
      </c>
      <c r="G1710" s="5" t="s">
        <v>1304</v>
      </c>
      <c r="H1710" s="5" t="s">
        <v>5424</v>
      </c>
      <c r="I1710" s="24" t="str">
        <f>HYPERLINK("https://www.bilibili.com/video/BV1aN4y1i7Sm", "BV1aN4y1i7Sm")</f>
        <v>BV1aN4y1i7Sm</v>
      </c>
      <c r="J1710" s="4" t="str">
        <f ca="1">_xlfn.IFNA(VLOOKUP(INDIRECT("G"&amp;ROW()),minfo!$A:$M,COLUMN()-8,0),"")</f>
        <v>萱草花</v>
      </c>
      <c r="K1710" s="4" t="str">
        <f ca="1">_xlfn.IFNA(VLOOKUP(INDIRECT("G"&amp;ROW()),minfo!$A:$M,COLUMN()-8,0),"")</f>
        <v>张小斐</v>
      </c>
      <c r="L1710" s="4">
        <f ca="1">_xlfn.IFNA(VLOOKUP(INDIRECT("G"&amp;ROW()),minfo!$A:$M,COLUMN()-8,0),"")</f>
        <v>0</v>
      </c>
      <c r="M1710" s="4">
        <f ca="1">_xlfn.IFNA(VLOOKUP(INDIRECT("G"&amp;ROW()),minfo!$A:$M,COLUMN()-8,0),"")</f>
        <v>0</v>
      </c>
      <c r="N1710" s="4">
        <f ca="1">_xlfn.IFNA(VLOOKUP(INDIRECT("G"&amp;ROW()),minfo!$A:$M,COLUMN()-8,0),"")</f>
        <v>0</v>
      </c>
      <c r="O1710" s="4" t="str">
        <f ca="1">_xlfn.IFNA(VLOOKUP(INDIRECT("G"&amp;ROW()),minfo!$A:$M,COLUMN()-8,0),"")</f>
        <v>http://i0.hdslb.com/bfs/station_src/music_metadata/8a229082f89f61dabf4714b7ca60f646.jpg</v>
      </c>
      <c r="P1710" s="4" t="str">
        <f ca="1">_xlfn.IFNA(VLOOKUP(INDIRECT("G"&amp;ROW()),minfo!$A:$M,COLUMN()-8,0),"")</f>
        <v>http://i0.hdslb.com/bfs/station_src/music_metadata/717c439a71569e00fd804d305ca74fdd</v>
      </c>
      <c r="Q1710" s="4">
        <f ca="1">_xlfn.IFNA(VLOOKUP(INDIRECT("G"&amp;ROW()),minfo!$A:$M,COLUMN()-8,0),"")</f>
        <v>1718</v>
      </c>
      <c r="R1710" s="4" t="str">
        <f ca="1">_xlfn.IFNA(VLOOKUP(INDIRECT("G"&amp;ROW()),minfo!$A:$M,COLUMN()-8,0),"")</f>
        <v>《你好，李焕英》电影主题曲</v>
      </c>
      <c r="S1710" s="4" t="str">
        <f ca="1">_xlfn.IFNA(VLOOKUP(INDIRECT("G"&amp;ROW()),minfo!$A:$M,COLUMN()-8,0),"")</f>
        <v>你好，李焕英 电影原声大碟</v>
      </c>
      <c r="T1710" s="4">
        <f ca="1">_xlfn.IFNA(VLOOKUP(INDIRECT("G"&amp;ROW()),minfo!$A:$M,COLUMN()-8,0),"")</f>
        <v>544027498</v>
      </c>
      <c r="U1710" s="4">
        <f ca="1">_xlfn.IFNA(VLOOKUP(INDIRECT("G"&amp;ROW()),minfo!$A:$M,COLUMN()-8,0),"")</f>
        <v>0</v>
      </c>
    </row>
    <row r="1711" spans="1:21" ht="15.75" customHeight="1">
      <c r="A1711" s="15">
        <v>1710</v>
      </c>
      <c r="B1711" s="4" t="s">
        <v>5425</v>
      </c>
      <c r="D1711" s="4">
        <v>1</v>
      </c>
      <c r="E1711" s="4" t="s">
        <v>975</v>
      </c>
      <c r="F1711" s="16">
        <v>45294</v>
      </c>
      <c r="G1711" s="5" t="s">
        <v>974</v>
      </c>
      <c r="H1711" s="5" t="s">
        <v>5426</v>
      </c>
      <c r="I1711" s="24" t="str">
        <f>HYPERLINK("https://www.bilibili.com/video/BV1Dw41137zW", "BV1Dw41137zW")</f>
        <v>BV1Dw41137zW</v>
      </c>
      <c r="J1711" s="4" t="str">
        <f ca="1">_xlfn.IFNA(VLOOKUP(INDIRECT("G"&amp;ROW()),minfo!$A:$M,COLUMN()-8,0),"")</f>
        <v>如果云知道</v>
      </c>
      <c r="K1711" s="4" t="str">
        <f ca="1">_xlfn.IFNA(VLOOKUP(INDIRECT("G"&amp;ROW()),minfo!$A:$M,COLUMN()-8,0),"")</f>
        <v>许茹芸</v>
      </c>
      <c r="L1711" s="4">
        <f ca="1">_xlfn.IFNA(VLOOKUP(INDIRECT("G"&amp;ROW()),minfo!$A:$M,COLUMN()-8,0),"")</f>
        <v>0</v>
      </c>
      <c r="M1711" s="4">
        <f ca="1">_xlfn.IFNA(VLOOKUP(INDIRECT("G"&amp;ROW()),minfo!$A:$M,COLUMN()-8,0),"")</f>
        <v>0</v>
      </c>
      <c r="N1711" s="4">
        <f ca="1">_xlfn.IFNA(VLOOKUP(INDIRECT("G"&amp;ROW()),minfo!$A:$M,COLUMN()-8,0),"")</f>
        <v>0</v>
      </c>
      <c r="O1711" s="4" t="str">
        <f ca="1">_xlfn.IFNA(VLOOKUP(INDIRECT("G"&amp;ROW()),minfo!$A:$M,COLUMN()-8,0),"")</f>
        <v>http://i0.hdslb.com/bfs/station_src/music_metadata/9da38631e2dd6f94986ba234facf8fe4.jpg</v>
      </c>
      <c r="P1711" s="4" t="str">
        <f ca="1">_xlfn.IFNA(VLOOKUP(INDIRECT("G"&amp;ROW()),minfo!$A:$M,COLUMN()-8,0),"")</f>
        <v>http://i0.hdslb.com/bfs/station_src/music_metadata/e8ddd3d5fe50c8872f21315e1a0b2309</v>
      </c>
      <c r="Q1711" s="4">
        <f ca="1">_xlfn.IFNA(VLOOKUP(INDIRECT("G"&amp;ROW()),minfo!$A:$M,COLUMN()-8,0),"")</f>
        <v>35</v>
      </c>
      <c r="R1711" s="4">
        <f ca="1">_xlfn.IFNA(VLOOKUP(INDIRECT("G"&amp;ROW()),minfo!$A:$M,COLUMN()-8,0),"")</f>
        <v>0</v>
      </c>
      <c r="S1711" s="4" t="str">
        <f ca="1">_xlfn.IFNA(VLOOKUP(INDIRECT("G"&amp;ROW()),minfo!$A:$M,COLUMN()-8,0),"")</f>
        <v>如果云知道</v>
      </c>
      <c r="T1711" s="4">
        <f ca="1">_xlfn.IFNA(VLOOKUP(INDIRECT("G"&amp;ROW()),minfo!$A:$M,COLUMN()-8,0),"")</f>
        <v>16660903</v>
      </c>
      <c r="U1711" s="4">
        <f ca="1">_xlfn.IFNA(VLOOKUP(INDIRECT("G"&amp;ROW()),minfo!$A:$M,COLUMN()-8,0),"")</f>
        <v>0</v>
      </c>
    </row>
    <row r="1712" spans="1:21" ht="15.75" customHeight="1">
      <c r="A1712" s="15">
        <v>1711</v>
      </c>
      <c r="B1712" s="4" t="s">
        <v>5427</v>
      </c>
      <c r="D1712" s="4">
        <v>1</v>
      </c>
      <c r="E1712" s="4" t="s">
        <v>465</v>
      </c>
      <c r="F1712" s="16">
        <v>45294</v>
      </c>
      <c r="G1712" s="5" t="s">
        <v>464</v>
      </c>
      <c r="H1712" s="5" t="s">
        <v>5428</v>
      </c>
      <c r="I1712" s="24" t="str">
        <f>HYPERLINK("https://www.bilibili.com/video/BV1Vi4y1z7ry", "BV1Vi4y1z7ry")</f>
        <v>BV1Vi4y1z7ry</v>
      </c>
      <c r="J1712" s="4" t="str">
        <f ca="1">_xlfn.IFNA(VLOOKUP(INDIRECT("G"&amp;ROW()),minfo!$A:$M,COLUMN()-8,0),"")</f>
        <v>去有风的地方</v>
      </c>
      <c r="K1712" s="4" t="str">
        <f ca="1">_xlfn.IFNA(VLOOKUP(INDIRECT("G"&amp;ROW()),minfo!$A:$M,COLUMN()-8,0),"")</f>
        <v>郁可唯</v>
      </c>
      <c r="L1712" s="4">
        <f ca="1">_xlfn.IFNA(VLOOKUP(INDIRECT("G"&amp;ROW()),minfo!$A:$M,COLUMN()-8,0),"")</f>
        <v>0</v>
      </c>
      <c r="M1712" s="4">
        <f ca="1">_xlfn.IFNA(VLOOKUP(INDIRECT("G"&amp;ROW()),minfo!$A:$M,COLUMN()-8,0),"")</f>
        <v>0</v>
      </c>
      <c r="N1712" s="4">
        <f ca="1">_xlfn.IFNA(VLOOKUP(INDIRECT("G"&amp;ROW()),minfo!$A:$M,COLUMN()-8,0),"")</f>
        <v>0</v>
      </c>
      <c r="O1712" s="4" t="str">
        <f ca="1">_xlfn.IFNA(VLOOKUP(INDIRECT("G"&amp;ROW()),minfo!$A:$M,COLUMN()-8,0),"")</f>
        <v>http://i0.hdslb.com/bfs/station_src/music_metadata/b093843de254f8f99076be76300b8733.jpg</v>
      </c>
      <c r="P1712" s="4">
        <f ca="1">_xlfn.IFNA(VLOOKUP(INDIRECT("G"&amp;ROW()),minfo!$A:$M,COLUMN()-8,0),"")</f>
        <v>0</v>
      </c>
      <c r="Q1712" s="4">
        <f ca="1">_xlfn.IFNA(VLOOKUP(INDIRECT("G"&amp;ROW()),minfo!$A:$M,COLUMN()-8,0),"")</f>
        <v>1229</v>
      </c>
      <c r="R1712" s="4">
        <f ca="1">_xlfn.IFNA(VLOOKUP(INDIRECT("G"&amp;ROW()),minfo!$A:$M,COLUMN()-8,0),"")</f>
        <v>0</v>
      </c>
      <c r="S1712" s="4" t="str">
        <f ca="1">_xlfn.IFNA(VLOOKUP(INDIRECT("G"&amp;ROW()),minfo!$A:$M,COLUMN()-8,0),"")</f>
        <v>去有风的地方</v>
      </c>
      <c r="T1712" s="4">
        <f ca="1">_xlfn.IFNA(VLOOKUP(INDIRECT("G"&amp;ROW()),minfo!$A:$M,COLUMN()-8,0),"")</f>
        <v>77607898</v>
      </c>
      <c r="U1712" s="4" t="str">
        <f ca="1">_xlfn.IFNA(VLOOKUP(INDIRECT("G"&amp;ROW()),minfo!$A:$M,COLUMN()-8,0),"")</f>
        <v>音乐榜最高NO.19</v>
      </c>
    </row>
    <row r="1713" spans="1:21" ht="15.75" customHeight="1">
      <c r="A1713" s="15">
        <v>1712</v>
      </c>
      <c r="B1713" s="4" t="s">
        <v>5429</v>
      </c>
      <c r="D1713" s="4">
        <v>1</v>
      </c>
      <c r="E1713" s="4" t="s">
        <v>1824</v>
      </c>
      <c r="F1713" s="16">
        <v>45294</v>
      </c>
      <c r="G1713" s="5" t="s">
        <v>1823</v>
      </c>
      <c r="H1713" s="5" t="s">
        <v>5430</v>
      </c>
      <c r="I1713" s="24" t="str">
        <f>HYPERLINK("https://www.bilibili.com/video/BV1zi4y1z71X", "BV1zi4y1z71X")</f>
        <v>BV1zi4y1z71X</v>
      </c>
      <c r="J1713" s="4" t="str">
        <f ca="1">_xlfn.IFNA(VLOOKUP(INDIRECT("G"&amp;ROW()),minfo!$A:$M,COLUMN()-8,0),"")</f>
        <v>月</v>
      </c>
      <c r="K1713" s="4" t="str">
        <f ca="1">_xlfn.IFNA(VLOOKUP(INDIRECT("G"&amp;ROW()),minfo!$A:$M,COLUMN()-8,0),"")</f>
        <v>郁可唯</v>
      </c>
      <c r="L1713" s="4">
        <f ca="1">_xlfn.IFNA(VLOOKUP(INDIRECT("G"&amp;ROW()),minfo!$A:$M,COLUMN()-8,0),"")</f>
        <v>0</v>
      </c>
      <c r="M1713" s="4">
        <f ca="1">_xlfn.IFNA(VLOOKUP(INDIRECT("G"&amp;ROW()),minfo!$A:$M,COLUMN()-8,0),"")</f>
        <v>0</v>
      </c>
      <c r="N1713" s="4">
        <f ca="1">_xlfn.IFNA(VLOOKUP(INDIRECT("G"&amp;ROW()),minfo!$A:$M,COLUMN()-8,0),"")</f>
        <v>0</v>
      </c>
      <c r="O1713" s="4" t="str">
        <f ca="1">_xlfn.IFNA(VLOOKUP(INDIRECT("G"&amp;ROW()),minfo!$A:$M,COLUMN()-8,0),"")</f>
        <v>https://i0.hdslb.com/bfs/station_src/music_metadata/18366082543cccb9ea83dadd477d221d.jpg</v>
      </c>
      <c r="P1713" s="4" t="str">
        <f ca="1">_xlfn.IFNA(VLOOKUP(INDIRECT("G"&amp;ROW()),minfo!$A:$M,COLUMN()-8,0),"")</f>
        <v>https://i0.hdslb.com/bfs/station_src/music_metadata/31530dd411904e556b2dcad90552b3b7.txt</v>
      </c>
      <c r="Q1713" s="4">
        <f ca="1">_xlfn.IFNA(VLOOKUP(INDIRECT("G"&amp;ROW()),minfo!$A:$M,COLUMN()-8,0),"")</f>
        <v>159</v>
      </c>
      <c r="R1713" s="4">
        <f ca="1">_xlfn.IFNA(VLOOKUP(INDIRECT("G"&amp;ROW()),minfo!$A:$M,COLUMN()-8,0),"")</f>
        <v>0</v>
      </c>
      <c r="S1713" s="4" t="str">
        <f ca="1">_xlfn.IFNA(VLOOKUP(INDIRECT("G"&amp;ROW()),minfo!$A:$M,COLUMN()-8,0),"")</f>
        <v>月</v>
      </c>
      <c r="T1713" s="4">
        <f ca="1">_xlfn.IFNA(VLOOKUP(INDIRECT("G"&amp;ROW()),minfo!$A:$M,COLUMN()-8,0),"")</f>
        <v>38638268</v>
      </c>
      <c r="U1713" s="4">
        <f ca="1">_xlfn.IFNA(VLOOKUP(INDIRECT("G"&amp;ROW()),minfo!$A:$M,COLUMN()-8,0),"")</f>
        <v>0</v>
      </c>
    </row>
    <row r="1714" spans="1:21" ht="15.75" customHeight="1">
      <c r="A1714" s="15">
        <v>1713</v>
      </c>
      <c r="B1714" s="4" t="s">
        <v>5431</v>
      </c>
      <c r="D1714" s="4">
        <v>1</v>
      </c>
      <c r="E1714" s="4" t="s">
        <v>1340</v>
      </c>
      <c r="F1714" s="16">
        <v>45294</v>
      </c>
      <c r="G1714" s="5" t="s">
        <v>1339</v>
      </c>
      <c r="H1714" s="5" t="s">
        <v>5432</v>
      </c>
      <c r="I1714" s="24" t="str">
        <f>HYPERLINK("https://www.bilibili.com/video/BV1aC4y1e7L3", "BV1aC4y1e7L3")</f>
        <v>BV1aC4y1e7L3</v>
      </c>
      <c r="J1714" s="4" t="str">
        <f ca="1">_xlfn.IFNA(VLOOKUP(INDIRECT("G"&amp;ROW()),minfo!$A:$M,COLUMN()-8,0),"")</f>
        <v>天天</v>
      </c>
      <c r="K1714" s="4" t="str">
        <f ca="1">_xlfn.IFNA(VLOOKUP(INDIRECT("G"&amp;ROW()),minfo!$A:$M,COLUMN()-8,0),"")</f>
        <v>陶喆</v>
      </c>
      <c r="L1714" s="4">
        <f ca="1">_xlfn.IFNA(VLOOKUP(INDIRECT("G"&amp;ROW()),minfo!$A:$M,COLUMN()-8,0),"")</f>
        <v>0</v>
      </c>
      <c r="M1714" s="4">
        <f ca="1">_xlfn.IFNA(VLOOKUP(INDIRECT("G"&amp;ROW()),minfo!$A:$M,COLUMN()-8,0),"")</f>
        <v>0</v>
      </c>
      <c r="N1714" s="4">
        <f ca="1">_xlfn.IFNA(VLOOKUP(INDIRECT("G"&amp;ROW()),minfo!$A:$M,COLUMN()-8,0),"")</f>
        <v>0</v>
      </c>
      <c r="O1714" s="4" t="str">
        <f ca="1">_xlfn.IFNA(VLOOKUP(INDIRECT("G"&amp;ROW()),minfo!$A:$M,COLUMN()-8,0),"")</f>
        <v>http://i0.hdslb.com/bfs/station_src/music_metadata/ff6417302beb4146f79dbd4e37c6d317.jpg</v>
      </c>
      <c r="P1714" s="4" t="str">
        <f ca="1">_xlfn.IFNA(VLOOKUP(INDIRECT("G"&amp;ROW()),minfo!$A:$M,COLUMN()-8,0),"")</f>
        <v>http://i0.hdslb.com/bfs/station_src/music_metadata/c93605bfcadefe74f0d5b1a5b6a8db05</v>
      </c>
      <c r="Q1714" s="4">
        <f ca="1">_xlfn.IFNA(VLOOKUP(INDIRECT("G"&amp;ROW()),minfo!$A:$M,COLUMN()-8,0),"")</f>
        <v>535</v>
      </c>
      <c r="R1714" s="4">
        <f ca="1">_xlfn.IFNA(VLOOKUP(INDIRECT("G"&amp;ROW()),minfo!$A:$M,COLUMN()-8,0),"")</f>
        <v>0</v>
      </c>
      <c r="S1714" s="4" t="str">
        <f ca="1">_xlfn.IFNA(VLOOKUP(INDIRECT("G"&amp;ROW()),minfo!$A:$M,COLUMN()-8,0),"")</f>
        <v>I'm OK</v>
      </c>
      <c r="T1714" s="4">
        <f ca="1">_xlfn.IFNA(VLOOKUP(INDIRECT("G"&amp;ROW()),minfo!$A:$M,COLUMN()-8,0),"")</f>
        <v>82012532</v>
      </c>
      <c r="U1714" s="4">
        <f ca="1">_xlfn.IFNA(VLOOKUP(INDIRECT("G"&amp;ROW()),minfo!$A:$M,COLUMN()-8,0),"")</f>
        <v>0</v>
      </c>
    </row>
    <row r="1715" spans="1:21" ht="15.75" customHeight="1">
      <c r="A1715" s="15">
        <v>1714</v>
      </c>
      <c r="B1715" s="4" t="s">
        <v>5433</v>
      </c>
      <c r="D1715" s="4">
        <v>1</v>
      </c>
      <c r="E1715" s="4" t="s">
        <v>3147</v>
      </c>
      <c r="F1715" s="16">
        <v>45292</v>
      </c>
      <c r="G1715" s="5" t="s">
        <v>3146</v>
      </c>
      <c r="H1715" s="5" t="s">
        <v>5434</v>
      </c>
      <c r="I1715" s="24" t="str">
        <f>HYPERLINK("https://www.bilibili.com/video/BV14i4y1z7ey", "BV14i4y1z7ey")</f>
        <v>BV14i4y1z7ey</v>
      </c>
      <c r="J1715" s="4" t="str">
        <f ca="1">_xlfn.IFNA(VLOOKUP(INDIRECT("G"&amp;ROW()),minfo!$A:$M,COLUMN()-8,0),"")</f>
        <v>绝世舞姬</v>
      </c>
      <c r="K1715" s="4" t="str">
        <f ca="1">_xlfn.IFNA(VLOOKUP(INDIRECT("G"&amp;ROW()),minfo!$A:$M,COLUMN()-8,0),"")</f>
        <v>张晓涵,戚琦</v>
      </c>
      <c r="L1715" s="4">
        <f ca="1">_xlfn.IFNA(VLOOKUP(INDIRECT("G"&amp;ROW()),minfo!$A:$M,COLUMN()-8,0),"")</f>
        <v>0</v>
      </c>
      <c r="M1715" s="4">
        <f ca="1">_xlfn.IFNA(VLOOKUP(INDIRECT("G"&amp;ROW()),minfo!$A:$M,COLUMN()-8,0),"")</f>
        <v>0</v>
      </c>
      <c r="N1715" s="4">
        <f ca="1">_xlfn.IFNA(VLOOKUP(INDIRECT("G"&amp;ROW()),minfo!$A:$M,COLUMN()-8,0),"")</f>
        <v>0</v>
      </c>
      <c r="O1715" s="4" t="str">
        <f ca="1">_xlfn.IFNA(VLOOKUP(INDIRECT("G"&amp;ROW()),minfo!$A:$M,COLUMN()-8,0),"")</f>
        <v>https://i0.hdslb.com/bfs/station_src/music_metadata/980e98ee2394ac7c5f63cffb1957160d.jpg</v>
      </c>
      <c r="P1715" s="4" t="str">
        <f ca="1">_xlfn.IFNA(VLOOKUP(INDIRECT("G"&amp;ROW()),minfo!$A:$M,COLUMN()-8,0),"")</f>
        <v>https://i0.hdslb.com/bfs/station_src/music_metadata/0767ceef0f499506c50a8e28a70fb66d.txt</v>
      </c>
      <c r="Q1715" s="4">
        <f ca="1">_xlfn.IFNA(VLOOKUP(INDIRECT("G"&amp;ROW()),minfo!$A:$M,COLUMN()-8,0),"")</f>
        <v>1539</v>
      </c>
      <c r="R1715" s="4">
        <f ca="1">_xlfn.IFNA(VLOOKUP(INDIRECT("G"&amp;ROW()),minfo!$A:$M,COLUMN()-8,0),"")</f>
        <v>0</v>
      </c>
      <c r="S1715" s="4" t="str">
        <f ca="1">_xlfn.IFNA(VLOOKUP(INDIRECT("G"&amp;ROW()),minfo!$A:$M,COLUMN()-8,0),"")</f>
        <v>绝世舞姬</v>
      </c>
      <c r="T1715" s="4">
        <f ca="1">_xlfn.IFNA(VLOOKUP(INDIRECT("G"&amp;ROW()),minfo!$A:$M,COLUMN()-8,0),"")</f>
        <v>108550892</v>
      </c>
      <c r="U1715" s="4">
        <f ca="1">_xlfn.IFNA(VLOOKUP(INDIRECT("G"&amp;ROW()),minfo!$A:$M,COLUMN()-8,0),"")</f>
        <v>0</v>
      </c>
    </row>
    <row r="1716" spans="1:21" ht="15.75" customHeight="1">
      <c r="A1716" s="15">
        <v>1715</v>
      </c>
      <c r="B1716" s="4" t="s">
        <v>5435</v>
      </c>
      <c r="D1716" s="4">
        <v>1</v>
      </c>
      <c r="E1716" s="17" t="s">
        <v>55</v>
      </c>
      <c r="F1716" s="16">
        <v>45292</v>
      </c>
      <c r="G1716" s="5" t="s">
        <v>1549</v>
      </c>
      <c r="H1716" s="5" t="s">
        <v>5436</v>
      </c>
      <c r="I1716" s="24" t="str">
        <f>HYPERLINK("https://www.bilibili.com/video/BV1Pg4y1D7Dm", "BV1Pg4y1D7Dm")</f>
        <v>BV1Pg4y1D7Dm</v>
      </c>
      <c r="J1716" s="4" t="str">
        <f ca="1">_xlfn.IFNA(VLOOKUP(INDIRECT("G"&amp;ROW()),minfo!$A:$M,COLUMN()-8,0),"")</f>
        <v>人间未满</v>
      </c>
      <c r="K1716" s="4" t="str">
        <f ca="1">_xlfn.IFNA(VLOOKUP(INDIRECT("G"&amp;ROW()),minfo!$A:$M,COLUMN()-8,0),"")</f>
        <v>妮莉安Lily,纱依shayi,说说Crystal</v>
      </c>
      <c r="L1716" s="4">
        <f ca="1">_xlfn.IFNA(VLOOKUP(INDIRECT("G"&amp;ROW()),minfo!$A:$M,COLUMN()-8,0),"")</f>
        <v>0</v>
      </c>
      <c r="M1716" s="4">
        <f ca="1">_xlfn.IFNA(VLOOKUP(INDIRECT("G"&amp;ROW()),minfo!$A:$M,COLUMN()-8,0),"")</f>
        <v>0</v>
      </c>
      <c r="N1716" s="4">
        <f ca="1">_xlfn.IFNA(VLOOKUP(INDIRECT("G"&amp;ROW()),minfo!$A:$M,COLUMN()-8,0),"")</f>
        <v>0</v>
      </c>
      <c r="O1716" s="4" t="str">
        <f ca="1">_xlfn.IFNA(VLOOKUP(INDIRECT("G"&amp;ROW()),minfo!$A:$M,COLUMN()-8,0),"")</f>
        <v>http://i0.hdslb.com/bfs/station_src/music_metadata/a9d9bd8d10828caa99479d3a5fd6f323.jpg</v>
      </c>
      <c r="P1716" s="4">
        <f ca="1">_xlfn.IFNA(VLOOKUP(INDIRECT("G"&amp;ROW()),minfo!$A:$M,COLUMN()-8,0),"")</f>
        <v>0</v>
      </c>
      <c r="Q1716" s="4">
        <f ca="1">_xlfn.IFNA(VLOOKUP(INDIRECT("G"&amp;ROW()),minfo!$A:$M,COLUMN()-8,0),"")</f>
        <v>16</v>
      </c>
      <c r="R1716" s="4">
        <f ca="1">_xlfn.IFNA(VLOOKUP(INDIRECT("G"&amp;ROW()),minfo!$A:$M,COLUMN()-8,0),"")</f>
        <v>0</v>
      </c>
      <c r="S1716" s="4" t="str">
        <f ca="1">_xlfn.IFNA(VLOOKUP(INDIRECT("G"&amp;ROW()),minfo!$A:$M,COLUMN()-8,0),"")</f>
        <v>人间未满</v>
      </c>
      <c r="T1716" s="4">
        <f ca="1">_xlfn.IFNA(VLOOKUP(INDIRECT("G"&amp;ROW()),minfo!$A:$M,COLUMN()-8,0),"")</f>
        <v>256261</v>
      </c>
      <c r="U1716" s="4">
        <f ca="1">_xlfn.IFNA(VLOOKUP(INDIRECT("G"&amp;ROW()),minfo!$A:$M,COLUMN()-8,0),"")</f>
        <v>0</v>
      </c>
    </row>
    <row r="1717" spans="1:21" ht="15.75" customHeight="1">
      <c r="A1717" s="15">
        <v>1716</v>
      </c>
      <c r="B1717" s="4" t="s">
        <v>5437</v>
      </c>
      <c r="D1717" s="4">
        <v>1</v>
      </c>
      <c r="E1717" s="4" t="s">
        <v>150</v>
      </c>
      <c r="F1717" s="16">
        <v>45292</v>
      </c>
      <c r="G1717" s="5" t="s">
        <v>149</v>
      </c>
      <c r="H1717" s="5" t="s">
        <v>5438</v>
      </c>
      <c r="I1717" s="24" t="str">
        <f>HYPERLINK("https://www.bilibili.com/video/BV19a4y1q78f", "BV19a4y1q78f")</f>
        <v>BV19a4y1q78f</v>
      </c>
      <c r="J1717" s="4" t="str">
        <f ca="1">_xlfn.IFNA(VLOOKUP(INDIRECT("G"&amp;ROW()),minfo!$A:$M,COLUMN()-8,0),"")</f>
        <v>繁华唱遍</v>
      </c>
      <c r="K1717" s="4" t="str">
        <f ca="1">_xlfn.IFNA(VLOOKUP(INDIRECT("G"&amp;ROW()),minfo!$A:$M,COLUMN()-8,0),"")</f>
        <v>乐正绫</v>
      </c>
      <c r="L1717" s="4">
        <f ca="1">_xlfn.IFNA(VLOOKUP(INDIRECT("G"&amp;ROW()),minfo!$A:$M,COLUMN()-8,0),"")</f>
        <v>0</v>
      </c>
      <c r="M1717" s="4">
        <f ca="1">_xlfn.IFNA(VLOOKUP(INDIRECT("G"&amp;ROW()),minfo!$A:$M,COLUMN()-8,0),"")</f>
        <v>277</v>
      </c>
      <c r="N1717" s="4">
        <f ca="1">_xlfn.IFNA(VLOOKUP(INDIRECT("G"&amp;ROW()),minfo!$A:$M,COLUMN()-8,0),"")</f>
        <v>2</v>
      </c>
      <c r="O1717" s="4">
        <f ca="1">_xlfn.IFNA(VLOOKUP(INDIRECT("G"&amp;ROW()),minfo!$A:$M,COLUMN()-8,0),"")</f>
        <v>0</v>
      </c>
      <c r="P1717" s="4">
        <f ca="1">_xlfn.IFNA(VLOOKUP(INDIRECT("G"&amp;ROW()),minfo!$A:$M,COLUMN()-8,0),"")</f>
        <v>0</v>
      </c>
      <c r="Q1717" s="4">
        <f ca="1">_xlfn.IFNA(VLOOKUP(INDIRECT("G"&amp;ROW()),minfo!$A:$M,COLUMN()-8,0),"")</f>
        <v>156</v>
      </c>
      <c r="R1717" s="4">
        <f ca="1">_xlfn.IFNA(VLOOKUP(INDIRECT("G"&amp;ROW()),minfo!$A:$M,COLUMN()-8,0),"")</f>
        <v>0</v>
      </c>
      <c r="S1717" s="4">
        <f ca="1">_xlfn.IFNA(VLOOKUP(INDIRECT("G"&amp;ROW()),minfo!$A:$M,COLUMN()-8,0),"")</f>
        <v>0</v>
      </c>
      <c r="T1717" s="4">
        <f ca="1">_xlfn.IFNA(VLOOKUP(INDIRECT("G"&amp;ROW()),minfo!$A:$M,COLUMN()-8,0),"")</f>
        <v>71832236</v>
      </c>
      <c r="U1717" s="4">
        <f ca="1">_xlfn.IFNA(VLOOKUP(INDIRECT("G"&amp;ROW()),minfo!$A:$M,COLUMN()-8,0),"")</f>
        <v>0</v>
      </c>
    </row>
    <row r="1718" spans="1:21" ht="15.75" customHeight="1">
      <c r="A1718" s="15">
        <v>1717</v>
      </c>
      <c r="B1718" s="4" t="s">
        <v>5439</v>
      </c>
      <c r="D1718" s="4">
        <v>1</v>
      </c>
      <c r="E1718" s="4" t="s">
        <v>3152</v>
      </c>
      <c r="F1718" s="16">
        <v>45282</v>
      </c>
      <c r="G1718" s="5" t="s">
        <v>3151</v>
      </c>
      <c r="H1718" s="5" t="s">
        <v>5440</v>
      </c>
      <c r="I1718" s="24" t="str">
        <f>HYPERLINK("https://www.bilibili.com/video/BV1V64y1H7y3", "BV1V64y1H7y3")</f>
        <v>BV1V64y1H7y3</v>
      </c>
      <c r="J1718" s="4" t="str">
        <f ca="1">_xlfn.IFNA(VLOOKUP(INDIRECT("G"&amp;ROW()),minfo!$A:$M,COLUMN()-8,0),"")</f>
        <v>逆光白</v>
      </c>
      <c r="K1718" s="4" t="str">
        <f ca="1">_xlfn.IFNA(VLOOKUP(INDIRECT("G"&amp;ROW()),minfo!$A:$M,COLUMN()-8,0),"")</f>
        <v>林俊杰</v>
      </c>
      <c r="L1718" s="4">
        <f ca="1">_xlfn.IFNA(VLOOKUP(INDIRECT("G"&amp;ROW()),minfo!$A:$M,COLUMN()-8,0),"")</f>
        <v>0</v>
      </c>
      <c r="M1718" s="4">
        <f ca="1">_xlfn.IFNA(VLOOKUP(INDIRECT("G"&amp;ROW()),minfo!$A:$M,COLUMN()-8,0),"")</f>
        <v>0</v>
      </c>
      <c r="N1718" s="4">
        <f ca="1">_xlfn.IFNA(VLOOKUP(INDIRECT("G"&amp;ROW()),minfo!$A:$M,COLUMN()-8,0),"")</f>
        <v>0</v>
      </c>
      <c r="O1718" s="4" t="str">
        <f ca="1">_xlfn.IFNA(VLOOKUP(INDIRECT("G"&amp;ROW()),minfo!$A:$M,COLUMN()-8,0),"")</f>
        <v>http://i0.hdslb.com/bfs/station_src/music_metadata/2a3b2acf38436ab96bdb493f2b2174ca.jpg</v>
      </c>
      <c r="P1718" s="4">
        <f ca="1">_xlfn.IFNA(VLOOKUP(INDIRECT("G"&amp;ROW()),minfo!$A:$M,COLUMN()-8,0),"")</f>
        <v>0</v>
      </c>
      <c r="Q1718" s="4">
        <f ca="1">_xlfn.IFNA(VLOOKUP(INDIRECT("G"&amp;ROW()),minfo!$A:$M,COLUMN()-8,0),"")</f>
        <v>55</v>
      </c>
      <c r="R1718" s="4">
        <f ca="1">_xlfn.IFNA(VLOOKUP(INDIRECT("G"&amp;ROW()),minfo!$A:$M,COLUMN()-8,0),"")</f>
        <v>0</v>
      </c>
      <c r="S1718" s="4" t="str">
        <f ca="1">_xlfn.IFNA(VLOOKUP(INDIRECT("G"&amp;ROW()),minfo!$A:$M,COLUMN()-8,0),"")</f>
        <v>重拾_快乐</v>
      </c>
      <c r="T1718" s="4">
        <f ca="1">_xlfn.IFNA(VLOOKUP(INDIRECT("G"&amp;ROW()),minfo!$A:$M,COLUMN()-8,0),"")</f>
        <v>37229937</v>
      </c>
      <c r="U1718" s="4">
        <f ca="1">_xlfn.IFNA(VLOOKUP(INDIRECT("G"&amp;ROW()),minfo!$A:$M,COLUMN()-8,0),"")</f>
        <v>0</v>
      </c>
    </row>
    <row r="1719" spans="1:21" ht="15.75" customHeight="1">
      <c r="A1719" s="15">
        <v>1718</v>
      </c>
      <c r="B1719" s="4" t="s">
        <v>5441</v>
      </c>
      <c r="D1719" s="4">
        <v>1</v>
      </c>
      <c r="E1719" s="4" t="s">
        <v>3155</v>
      </c>
      <c r="F1719" s="16">
        <v>45282</v>
      </c>
      <c r="G1719" s="5" t="s">
        <v>3154</v>
      </c>
      <c r="H1719" s="5" t="s">
        <v>5442</v>
      </c>
      <c r="I1719" s="24" t="str">
        <f>HYPERLINK("https://www.bilibili.com/video/BV16N4y187ta", "BV16N4y187ta")</f>
        <v>BV16N4y187ta</v>
      </c>
      <c r="J1719" s="4" t="str">
        <f ca="1">_xlfn.IFNA(VLOOKUP(INDIRECT("G"&amp;ROW()),minfo!$A:$M,COLUMN()-8,0),"")</f>
        <v>别问很可怕</v>
      </c>
      <c r="K1719" s="4" t="str">
        <f ca="1">_xlfn.IFNA(VLOOKUP(INDIRECT("G"&amp;ROW()),minfo!$A:$M,COLUMN()-8,0),"")</f>
        <v>J. Sheon</v>
      </c>
      <c r="L1719" s="4">
        <f ca="1">_xlfn.IFNA(VLOOKUP(INDIRECT("G"&amp;ROW()),minfo!$A:$M,COLUMN()-8,0),"")</f>
        <v>0</v>
      </c>
      <c r="M1719" s="4">
        <f ca="1">_xlfn.IFNA(VLOOKUP(INDIRECT("G"&amp;ROW()),minfo!$A:$M,COLUMN()-8,0),"")</f>
        <v>0</v>
      </c>
      <c r="N1719" s="4">
        <f ca="1">_xlfn.IFNA(VLOOKUP(INDIRECT("G"&amp;ROW()),minfo!$A:$M,COLUMN()-8,0),"")</f>
        <v>0</v>
      </c>
      <c r="O1719" s="4" t="str">
        <f ca="1">_xlfn.IFNA(VLOOKUP(INDIRECT("G"&amp;ROW()),minfo!$A:$M,COLUMN()-8,0),"")</f>
        <v>https://i0.hdslb.com/bfs/station_src/music_metadata/819c4c8454369e66aef5440b77c022d6.jpg</v>
      </c>
      <c r="P1719" s="4" t="str">
        <f ca="1">_xlfn.IFNA(VLOOKUP(INDIRECT("G"&amp;ROW()),minfo!$A:$M,COLUMN()-8,0),"")</f>
        <v>https://i0.hdslb.com/bfs/station_src/music_metadata/370f73f612b9ae76757dc1ff55d8091a.txt</v>
      </c>
      <c r="Q1719" s="4">
        <f ca="1">_xlfn.IFNA(VLOOKUP(INDIRECT("G"&amp;ROW()),minfo!$A:$M,COLUMN()-8,0),"")</f>
        <v>431</v>
      </c>
      <c r="R1719" s="4">
        <f ca="1">_xlfn.IFNA(VLOOKUP(INDIRECT("G"&amp;ROW()),minfo!$A:$M,COLUMN()-8,0),"")</f>
        <v>0</v>
      </c>
      <c r="S1719" s="4" t="str">
        <f ca="1">_xlfn.IFNA(VLOOKUP(INDIRECT("G"&amp;ROW()),minfo!$A:$M,COLUMN()-8,0),"")</f>
        <v>You'll Never Know / 别问很可怕</v>
      </c>
      <c r="T1719" s="4">
        <f ca="1">_xlfn.IFNA(VLOOKUP(INDIRECT("G"&amp;ROW()),minfo!$A:$M,COLUMN()-8,0),"")</f>
        <v>54579824</v>
      </c>
      <c r="U1719" s="4">
        <f ca="1">_xlfn.IFNA(VLOOKUP(INDIRECT("G"&amp;ROW()),minfo!$A:$M,COLUMN()-8,0),"")</f>
        <v>0</v>
      </c>
    </row>
    <row r="1720" spans="1:21" ht="15.75" customHeight="1">
      <c r="A1720" s="15">
        <v>1719</v>
      </c>
      <c r="B1720" s="4" t="s">
        <v>5443</v>
      </c>
      <c r="D1720" s="4">
        <v>1</v>
      </c>
      <c r="E1720" s="4" t="s">
        <v>5444</v>
      </c>
      <c r="F1720" s="16">
        <v>45278</v>
      </c>
      <c r="G1720" s="5" t="s">
        <v>1837</v>
      </c>
      <c r="H1720" s="5" t="s">
        <v>5445</v>
      </c>
      <c r="I1720" s="24" t="str">
        <f>HYPERLINK("https://www.bilibili.com/video/BV1FW4y1F7zs", "BV1FW4y1F7zs")</f>
        <v>BV1FW4y1F7zs</v>
      </c>
      <c r="J1720" s="4" t="str">
        <f ca="1">_xlfn.IFNA(VLOOKUP(INDIRECT("G"&amp;ROW()),minfo!$A:$M,COLUMN()-8,0),"")</f>
        <v>飘雪-雪の華</v>
      </c>
      <c r="K1720" s="4" t="str">
        <f ca="1">_xlfn.IFNA(VLOOKUP(INDIRECT("G"&amp;ROW()),minfo!$A:$M,COLUMN()-8,0),"")</f>
        <v>陈慧娴</v>
      </c>
      <c r="L1720" s="4">
        <f ca="1">_xlfn.IFNA(VLOOKUP(INDIRECT("G"&amp;ROW()),minfo!$A:$M,COLUMN()-8,0),"")</f>
        <v>0</v>
      </c>
      <c r="M1720" s="4">
        <f ca="1">_xlfn.IFNA(VLOOKUP(INDIRECT("G"&amp;ROW()),minfo!$A:$M,COLUMN()-8,0),"")</f>
        <v>0</v>
      </c>
      <c r="N1720" s="4">
        <f ca="1">_xlfn.IFNA(VLOOKUP(INDIRECT("G"&amp;ROW()),minfo!$A:$M,COLUMN()-8,0),"")</f>
        <v>0</v>
      </c>
      <c r="O1720" s="4" t="str">
        <f ca="1">_xlfn.IFNA(VLOOKUP(INDIRECT("G"&amp;ROW()),minfo!$A:$M,COLUMN()-8,0),"")</f>
        <v>https://i0.hdslb.com/bfs/station_src/music_metadata/75bf081013bcbb2e63cb5c6871e79d67.jpg</v>
      </c>
      <c r="P1720" s="4" t="str">
        <f ca="1">_xlfn.IFNA(VLOOKUP(INDIRECT("G"&amp;ROW()),minfo!$A:$M,COLUMN()-8,0),"")</f>
        <v>http://i0.hdslb.com/bfs/station_src/music_metadata/44281aaea8f0663d8ae45d5c6f2567ca</v>
      </c>
      <c r="Q1720" s="4">
        <f ca="1">_xlfn.IFNA(VLOOKUP(INDIRECT("G"&amp;ROW()),minfo!$A:$M,COLUMN()-8,0),"")</f>
        <v>313</v>
      </c>
      <c r="R1720" s="4" t="str">
        <f ca="1">_xlfn.IFNA(VLOOKUP(INDIRECT("G"&amp;ROW()),minfo!$A:$M,COLUMN()-8,0),"")</f>
        <v>《少女佳禾》电影插曲</v>
      </c>
      <c r="S1720" s="4" t="str">
        <f ca="1">_xlfn.IFNA(VLOOKUP(INDIRECT("G"&amp;ROW()),minfo!$A:$M,COLUMN()-8,0),"")</f>
        <v>归来吧</v>
      </c>
      <c r="T1720" s="4">
        <f ca="1">_xlfn.IFNA(VLOOKUP(INDIRECT("G"&amp;ROW()),minfo!$A:$M,COLUMN()-8,0),"")</f>
        <v>63845647</v>
      </c>
      <c r="U1720" s="4">
        <f ca="1">_xlfn.IFNA(VLOOKUP(INDIRECT("G"&amp;ROW()),minfo!$A:$M,COLUMN()-8,0),"")</f>
        <v>0</v>
      </c>
    </row>
    <row r="1721" spans="1:21" ht="15.75" customHeight="1">
      <c r="A1721" s="15">
        <v>1720</v>
      </c>
      <c r="B1721" s="4" t="s">
        <v>5446</v>
      </c>
      <c r="D1721" s="4">
        <v>1</v>
      </c>
      <c r="E1721" s="4" t="s">
        <v>3161</v>
      </c>
      <c r="F1721" s="16">
        <v>45268</v>
      </c>
      <c r="G1721" s="5" t="s">
        <v>3160</v>
      </c>
      <c r="H1721" s="5" t="s">
        <v>5447</v>
      </c>
      <c r="I1721" s="24" t="str">
        <f>HYPERLINK("https://www.bilibili.com/video/BV1cG411i7nW", "BV1cG411i7nW")</f>
        <v>BV1cG411i7nW</v>
      </c>
      <c r="J1721" s="4" t="str">
        <f ca="1">_xlfn.IFNA(VLOOKUP(INDIRECT("G"&amp;ROW()),minfo!$A:$M,COLUMN()-8,0),"")</f>
        <v>姐就是女王</v>
      </c>
      <c r="K1721" s="4" t="str">
        <f ca="1">_xlfn.IFNA(VLOOKUP(INDIRECT("G"&amp;ROW()),minfo!$A:$M,COLUMN()-8,0),"")</f>
        <v>王莎莎</v>
      </c>
      <c r="L1721" s="4">
        <f ca="1">_xlfn.IFNA(VLOOKUP(INDIRECT("G"&amp;ROW()),minfo!$A:$M,COLUMN()-8,0),"")</f>
        <v>0</v>
      </c>
      <c r="M1721" s="4">
        <f ca="1">_xlfn.IFNA(VLOOKUP(INDIRECT("G"&amp;ROW()),minfo!$A:$M,COLUMN()-8,0),"")</f>
        <v>0</v>
      </c>
      <c r="N1721" s="4">
        <f ca="1">_xlfn.IFNA(VLOOKUP(INDIRECT("G"&amp;ROW()),minfo!$A:$M,COLUMN()-8,0),"")</f>
        <v>0</v>
      </c>
      <c r="O1721" s="4" t="str">
        <f ca="1">_xlfn.IFNA(VLOOKUP(INDIRECT("G"&amp;ROW()),minfo!$A:$M,COLUMN()-8,0),"")</f>
        <v>http://i0.hdslb.com/bfs/station_src/music_metadata/ea2c3816f8a4885c4c0cb7067d0c7d44.jpg</v>
      </c>
      <c r="P1721" s="4" t="str">
        <f ca="1">_xlfn.IFNA(VLOOKUP(INDIRECT("G"&amp;ROW()),minfo!$A:$M,COLUMN()-8,0),"")</f>
        <v>http://i0.hdslb.com/bfs/station_src/music_metadata/461e64097b3f1f448d6438456c2136de</v>
      </c>
      <c r="Q1721" s="4">
        <f ca="1">_xlfn.IFNA(VLOOKUP(INDIRECT("G"&amp;ROW()),minfo!$A:$M,COLUMN()-8,0),"")</f>
        <v>1759</v>
      </c>
      <c r="R1721" s="4">
        <f ca="1">_xlfn.IFNA(VLOOKUP(INDIRECT("G"&amp;ROW()),minfo!$A:$M,COLUMN()-8,0),"")</f>
        <v>0</v>
      </c>
      <c r="S1721" s="4" t="str">
        <f ca="1">_xlfn.IFNA(VLOOKUP(INDIRECT("G"&amp;ROW()),minfo!$A:$M,COLUMN()-8,0),"")</f>
        <v>姐就是女王</v>
      </c>
      <c r="T1721" s="4">
        <f ca="1">_xlfn.IFNA(VLOOKUP(INDIRECT("G"&amp;ROW()),minfo!$A:$M,COLUMN()-8,0),"")</f>
        <v>551836533</v>
      </c>
      <c r="U1721" s="4">
        <f ca="1">_xlfn.IFNA(VLOOKUP(INDIRECT("G"&amp;ROW()),minfo!$A:$M,COLUMN()-8,0),"")</f>
        <v>0</v>
      </c>
    </row>
    <row r="1722" spans="1:21" ht="15.75" customHeight="1">
      <c r="A1722" s="15">
        <v>1721</v>
      </c>
      <c r="B1722" s="4" t="s">
        <v>5448</v>
      </c>
      <c r="D1722" s="4">
        <v>1</v>
      </c>
      <c r="E1722" s="4" t="s">
        <v>1509</v>
      </c>
      <c r="F1722" s="16">
        <v>45103</v>
      </c>
      <c r="G1722" s="5" t="s">
        <v>1508</v>
      </c>
      <c r="H1722" s="5" t="s">
        <v>5449</v>
      </c>
      <c r="I1722" s="24" t="str">
        <f>HYPERLINK("https://www.bilibili.com/video/BV1Xw411s72S", "BV1Xw411s72S")</f>
        <v>BV1Xw411s72S</v>
      </c>
      <c r="J1722" s="4" t="str">
        <f ca="1">_xlfn.IFNA(VLOOKUP(INDIRECT("G"&amp;ROW()),minfo!$A:$M,COLUMN()-8,0),"")</f>
        <v>她说</v>
      </c>
      <c r="K1722" s="4" t="str">
        <f ca="1">_xlfn.IFNA(VLOOKUP(INDIRECT("G"&amp;ROW()),minfo!$A:$M,COLUMN()-8,0),"")</f>
        <v>林俊杰</v>
      </c>
      <c r="L1722" s="4">
        <f ca="1">_xlfn.IFNA(VLOOKUP(INDIRECT("G"&amp;ROW()),minfo!$A:$M,COLUMN()-8,0),"")</f>
        <v>0</v>
      </c>
      <c r="M1722" s="4">
        <f ca="1">_xlfn.IFNA(VLOOKUP(INDIRECT("G"&amp;ROW()),minfo!$A:$M,COLUMN()-8,0),"")</f>
        <v>0</v>
      </c>
      <c r="N1722" s="4">
        <f ca="1">_xlfn.IFNA(VLOOKUP(INDIRECT("G"&amp;ROW()),minfo!$A:$M,COLUMN()-8,0),"")</f>
        <v>0</v>
      </c>
      <c r="O1722" s="4" t="str">
        <f ca="1">_xlfn.IFNA(VLOOKUP(INDIRECT("G"&amp;ROW()),minfo!$A:$M,COLUMN()-8,0),"")</f>
        <v>https://i0.hdslb.com/bfs/station_src/music_metadata/8b4e431d99f3a01b4d163c0902a4b5fd.jpg</v>
      </c>
      <c r="P1722" s="4" t="str">
        <f ca="1">_xlfn.IFNA(VLOOKUP(INDIRECT("G"&amp;ROW()),minfo!$A:$M,COLUMN()-8,0),"")</f>
        <v>http://i0.hdslb.com/bfs/station_src/music_metadata/1b91609d6012828328ba59d53f73b326</v>
      </c>
      <c r="Q1722" s="4">
        <f ca="1">_xlfn.IFNA(VLOOKUP(INDIRECT("G"&amp;ROW()),minfo!$A:$M,COLUMN()-8,0),"")</f>
        <v>675</v>
      </c>
      <c r="R1722" s="4">
        <f ca="1">_xlfn.IFNA(VLOOKUP(INDIRECT("G"&amp;ROW()),minfo!$A:$M,COLUMN()-8,0),"")</f>
        <v>0</v>
      </c>
      <c r="S1722" s="4" t="str">
        <f ca="1">_xlfn.IFNA(VLOOKUP(INDIRECT("G"&amp;ROW()),minfo!$A:$M,COLUMN()-8,0),"")</f>
        <v>她说 概念自选辑</v>
      </c>
      <c r="T1722" s="4">
        <f ca="1">_xlfn.IFNA(VLOOKUP(INDIRECT("G"&amp;ROW()),minfo!$A:$M,COLUMN()-8,0),"")</f>
        <v>252890047</v>
      </c>
      <c r="U1722" s="4">
        <f ca="1">_xlfn.IFNA(VLOOKUP(INDIRECT("G"&amp;ROW()),minfo!$A:$M,COLUMN()-8,0),"")</f>
        <v>0</v>
      </c>
    </row>
    <row r="1723" spans="1:21" ht="15.75" customHeight="1">
      <c r="A1723" s="15">
        <v>1722</v>
      </c>
      <c r="B1723" s="4" t="s">
        <v>5450</v>
      </c>
      <c r="D1723" s="4">
        <v>1</v>
      </c>
      <c r="E1723" s="4" t="s">
        <v>3166</v>
      </c>
      <c r="F1723" s="16">
        <v>45355</v>
      </c>
      <c r="G1723" s="5" t="s">
        <v>3165</v>
      </c>
      <c r="H1723" s="5" t="s">
        <v>5451</v>
      </c>
      <c r="I1723" s="24" t="str">
        <f>HYPERLINK("https://www.bilibili.com/video/BV1ty421i7kp", "BV1ty421i7kp")</f>
        <v>BV1ty421i7kp</v>
      </c>
      <c r="J1723" s="4" t="str">
        <f ca="1">_xlfn.IFNA(VLOOKUP(INDIRECT("G"&amp;ROW()),minfo!$A:$M,COLUMN()-8,0),"")</f>
        <v>传奇</v>
      </c>
      <c r="K1723" s="4" t="str">
        <f ca="1">_xlfn.IFNA(VLOOKUP(INDIRECT("G"&amp;ROW()),minfo!$A:$M,COLUMN()-8,0),"")</f>
        <v>李健</v>
      </c>
      <c r="L1723" s="4">
        <f ca="1">_xlfn.IFNA(VLOOKUP(INDIRECT("G"&amp;ROW()),minfo!$A:$M,COLUMN()-8,0),"")</f>
        <v>0</v>
      </c>
      <c r="M1723" s="4">
        <f ca="1">_xlfn.IFNA(VLOOKUP(INDIRECT("G"&amp;ROW()),minfo!$A:$M,COLUMN()-8,0),"")</f>
        <v>0</v>
      </c>
      <c r="N1723" s="4">
        <f ca="1">_xlfn.IFNA(VLOOKUP(INDIRECT("G"&amp;ROW()),minfo!$A:$M,COLUMN()-8,0),"")</f>
        <v>0</v>
      </c>
      <c r="O1723" s="4" t="str">
        <f ca="1">_xlfn.IFNA(VLOOKUP(INDIRECT("G"&amp;ROW()),minfo!$A:$M,COLUMN()-8,0),"")</f>
        <v>https://i0.hdslb.com/bfs/station_src/music_metadata/74574de8c7ebbe9ce08b34d8e32a9e05.jpg</v>
      </c>
      <c r="P1723" s="4" t="str">
        <f ca="1">_xlfn.IFNA(VLOOKUP(INDIRECT("G"&amp;ROW()),minfo!$A:$M,COLUMN()-8,0),"")</f>
        <v>http://i0.hdslb.com/bfs/station_src/music_metadata/74ab5848d00f5f602cc928768396f954</v>
      </c>
      <c r="Q1723" s="4">
        <f ca="1">_xlfn.IFNA(VLOOKUP(INDIRECT("G"&amp;ROW()),minfo!$A:$M,COLUMN()-8,0),"")</f>
        <v>751</v>
      </c>
      <c r="R1723" s="4" t="str">
        <f ca="1">_xlfn.IFNA(VLOOKUP(INDIRECT("G"&amp;ROW()),minfo!$A:$M,COLUMN()-8,0),"")</f>
        <v>《拿什么拯救你，我的爱人》电视剧主题曲</v>
      </c>
      <c r="S1723" s="4" t="str">
        <f ca="1">_xlfn.IFNA(VLOOKUP(INDIRECT("G"&amp;ROW()),minfo!$A:$M,COLUMN()-8,0),"")</f>
        <v>似水流年</v>
      </c>
      <c r="T1723" s="4">
        <f ca="1">_xlfn.IFNA(VLOOKUP(INDIRECT("G"&amp;ROW()),minfo!$A:$M,COLUMN()-8,0),"")</f>
        <v>157759348</v>
      </c>
      <c r="U1723" s="4">
        <f ca="1">_xlfn.IFNA(VLOOKUP(INDIRECT("G"&amp;ROW()),minfo!$A:$M,COLUMN()-8,0),"")</f>
        <v>0</v>
      </c>
    </row>
    <row r="1724" spans="1:21" ht="15.75" customHeight="1">
      <c r="A1724" s="15">
        <v>1723</v>
      </c>
      <c r="B1724" s="4" t="s">
        <v>5452</v>
      </c>
      <c r="D1724" s="4">
        <v>1</v>
      </c>
      <c r="E1724" s="4" t="s">
        <v>1606</v>
      </c>
      <c r="F1724" s="16">
        <v>45357</v>
      </c>
      <c r="G1724" s="5" t="s">
        <v>1605</v>
      </c>
      <c r="H1724" s="5" t="s">
        <v>5453</v>
      </c>
      <c r="I1724" s="24" t="str">
        <f>HYPERLINK("https://www.bilibili.com/video/BV1Ji421Z7c3", "BV1Ji421Z7c3")</f>
        <v>BV1Ji421Z7c3</v>
      </c>
      <c r="J1724" s="4" t="str">
        <f ca="1">_xlfn.IFNA(VLOOKUP(INDIRECT("G"&amp;ROW()),minfo!$A:$M,COLUMN()-8,0),"")</f>
        <v>不流泪的机场</v>
      </c>
      <c r="K1724" s="4" t="str">
        <f ca="1">_xlfn.IFNA(VLOOKUP(INDIRECT("G"&amp;ROW()),minfo!$A:$M,COLUMN()-8,0),"")</f>
        <v>林俊杰</v>
      </c>
      <c r="L1724" s="4">
        <f ca="1">_xlfn.IFNA(VLOOKUP(INDIRECT("G"&amp;ROW()),minfo!$A:$M,COLUMN()-8,0),"")</f>
        <v>0</v>
      </c>
      <c r="M1724" s="4">
        <f ca="1">_xlfn.IFNA(VLOOKUP(INDIRECT("G"&amp;ROW()),minfo!$A:$M,COLUMN()-8,0),"")</f>
        <v>0</v>
      </c>
      <c r="N1724" s="4">
        <f ca="1">_xlfn.IFNA(VLOOKUP(INDIRECT("G"&amp;ROW()),minfo!$A:$M,COLUMN()-8,0),"")</f>
        <v>0</v>
      </c>
      <c r="O1724" s="4" t="str">
        <f ca="1">_xlfn.IFNA(VLOOKUP(INDIRECT("G"&amp;ROW()),minfo!$A:$M,COLUMN()-8,0),"")</f>
        <v>https://i0.hdslb.com/bfs/station_src/music_metadata/121f852527e28e197f6b87efaf113c46.jpg</v>
      </c>
      <c r="P1724" s="4" t="str">
        <f ca="1">_xlfn.IFNA(VLOOKUP(INDIRECT("G"&amp;ROW()),minfo!$A:$M,COLUMN()-8,0),"")</f>
        <v>https://i0.hdslb.com/bfs/station_src/music_metadata/4a4685475601415a638d5cdd5d58cb40.txt</v>
      </c>
      <c r="Q1724" s="4">
        <f ca="1">_xlfn.IFNA(VLOOKUP(INDIRECT("G"&amp;ROW()),minfo!$A:$M,COLUMN()-8,0),"")</f>
        <v>28</v>
      </c>
      <c r="R1724" s="4">
        <f ca="1">_xlfn.IFNA(VLOOKUP(INDIRECT("G"&amp;ROW()),minfo!$A:$M,COLUMN()-8,0),"")</f>
        <v>0</v>
      </c>
      <c r="S1724" s="4" t="str">
        <f ca="1">_xlfn.IFNA(VLOOKUP(INDIRECT("G"&amp;ROW()),minfo!$A:$M,COLUMN()-8,0),"")</f>
        <v>西界</v>
      </c>
      <c r="T1724" s="4">
        <f ca="1">_xlfn.IFNA(VLOOKUP(INDIRECT("G"&amp;ROW()),minfo!$A:$M,COLUMN()-8,0),"")</f>
        <v>28452133</v>
      </c>
      <c r="U1724" s="4">
        <f ca="1">_xlfn.IFNA(VLOOKUP(INDIRECT("G"&amp;ROW()),minfo!$A:$M,COLUMN()-8,0),"")</f>
        <v>0</v>
      </c>
    </row>
    <row r="1725" spans="1:21" ht="15.75" customHeight="1">
      <c r="A1725" s="15">
        <v>1724</v>
      </c>
      <c r="B1725" s="4" t="s">
        <v>5454</v>
      </c>
      <c r="D1725" s="4">
        <v>1</v>
      </c>
      <c r="E1725" s="4" t="s">
        <v>1415</v>
      </c>
      <c r="F1725" s="16">
        <v>45357</v>
      </c>
      <c r="G1725" s="5" t="s">
        <v>1414</v>
      </c>
      <c r="H1725" s="5" t="s">
        <v>5455</v>
      </c>
      <c r="I1725" s="24" t="str">
        <f>HYPERLINK("https://www.bilibili.com/video/BV1Bx421y7kR", "BV1Bx421y7kR")</f>
        <v>BV1Bx421y7kR</v>
      </c>
      <c r="J1725" s="4" t="str">
        <f ca="1">_xlfn.IFNA(VLOOKUP(INDIRECT("G"&amp;ROW()),minfo!$A:$M,COLUMN()-8,0),"")</f>
        <v>二十二</v>
      </c>
      <c r="K1725" s="4" t="str">
        <f ca="1">_xlfn.IFNA(VLOOKUP(INDIRECT("G"&amp;ROW()),minfo!$A:$M,COLUMN()-8,0),"")</f>
        <v>陶喆</v>
      </c>
      <c r="L1725" s="4">
        <f ca="1">_xlfn.IFNA(VLOOKUP(INDIRECT("G"&amp;ROW()),minfo!$A:$M,COLUMN()-8,0),"")</f>
        <v>0</v>
      </c>
      <c r="M1725" s="4">
        <f ca="1">_xlfn.IFNA(VLOOKUP(INDIRECT("G"&amp;ROW()),minfo!$A:$M,COLUMN()-8,0),"")</f>
        <v>0</v>
      </c>
      <c r="N1725" s="4">
        <f ca="1">_xlfn.IFNA(VLOOKUP(INDIRECT("G"&amp;ROW()),minfo!$A:$M,COLUMN()-8,0),"")</f>
        <v>0</v>
      </c>
      <c r="O1725" s="4" t="str">
        <f ca="1">_xlfn.IFNA(VLOOKUP(INDIRECT("G"&amp;ROW()),minfo!$A:$M,COLUMN()-8,0),"")</f>
        <v>http://i0.hdslb.com/bfs/station_src/music_metadata/e89d0b6bb51b52049a17aa607ecd7e8d.jpg</v>
      </c>
      <c r="P1725" s="4" t="str">
        <f ca="1">_xlfn.IFNA(VLOOKUP(INDIRECT("G"&amp;ROW()),minfo!$A:$M,COLUMN()-8,0),"")</f>
        <v>http://i0.hdslb.com/bfs/station_src/music_metadata/47f341ee2acc202b90520bd34837ebc4</v>
      </c>
      <c r="Q1725" s="4">
        <f ca="1">_xlfn.IFNA(VLOOKUP(INDIRECT("G"&amp;ROW()),minfo!$A:$M,COLUMN()-8,0),"")</f>
        <v>343</v>
      </c>
      <c r="R1725" s="4">
        <f ca="1">_xlfn.IFNA(VLOOKUP(INDIRECT("G"&amp;ROW()),minfo!$A:$M,COLUMN()-8,0),"")</f>
        <v>0</v>
      </c>
      <c r="S1725" s="4" t="str">
        <f ca="1">_xlfn.IFNA(VLOOKUP(INDIRECT("G"&amp;ROW()),minfo!$A:$M,COLUMN()-8,0),"")</f>
        <v>黑色柳丁</v>
      </c>
      <c r="T1725" s="4">
        <f ca="1">_xlfn.IFNA(VLOOKUP(INDIRECT("G"&amp;ROW()),minfo!$A:$M,COLUMN()-8,0),"")</f>
        <v>50077794</v>
      </c>
      <c r="U1725" s="4">
        <f ca="1">_xlfn.IFNA(VLOOKUP(INDIRECT("G"&amp;ROW()),minfo!$A:$M,COLUMN()-8,0),"")</f>
        <v>0</v>
      </c>
    </row>
    <row r="1726" spans="1:21" ht="15.75" customHeight="1">
      <c r="A1726" s="15">
        <v>1725</v>
      </c>
      <c r="B1726" s="4" t="s">
        <v>5456</v>
      </c>
      <c r="D1726" s="4">
        <v>1</v>
      </c>
      <c r="E1726" s="4" t="s">
        <v>483</v>
      </c>
      <c r="F1726" s="16">
        <v>45357</v>
      </c>
      <c r="G1726" s="5" t="s">
        <v>482</v>
      </c>
      <c r="H1726" s="5" t="s">
        <v>5457</v>
      </c>
      <c r="I1726" s="24" t="str">
        <f>HYPERLINK("https://www.bilibili.com/video/BV1BS421w7Ji", "BV1BS421w7Ji")</f>
        <v>BV1BS421w7Ji</v>
      </c>
      <c r="J1726" s="4" t="str">
        <f ca="1">_xlfn.IFNA(VLOOKUP(INDIRECT("G"&amp;ROW()),minfo!$A:$M,COLUMN()-8,0),"")</f>
        <v>三月雨</v>
      </c>
      <c r="K1726" s="4" t="str">
        <f ca="1">_xlfn.IFNA(VLOOKUP(INDIRECT("G"&amp;ROW()),minfo!$A:$M,COLUMN()-8,0),"")</f>
        <v>洛天依</v>
      </c>
      <c r="L1726" s="4">
        <f ca="1">_xlfn.IFNA(VLOOKUP(INDIRECT("G"&amp;ROW()),minfo!$A:$M,COLUMN()-8,0),"")</f>
        <v>0</v>
      </c>
      <c r="M1726" s="4">
        <f ca="1">_xlfn.IFNA(VLOOKUP(INDIRECT("G"&amp;ROW()),minfo!$A:$M,COLUMN()-8,0),"")</f>
        <v>0</v>
      </c>
      <c r="N1726" s="4">
        <f ca="1">_xlfn.IFNA(VLOOKUP(INDIRECT("G"&amp;ROW()),minfo!$A:$M,COLUMN()-8,0),"")</f>
        <v>0</v>
      </c>
      <c r="O1726" s="4" t="str">
        <f ca="1">_xlfn.IFNA(VLOOKUP(INDIRECT("G"&amp;ROW()),minfo!$A:$M,COLUMN()-8,0),"")</f>
        <v>https://i0.hdslb.com/bfs/station_src/music_metadata/d9ec84386ae11b7d1479726beb84a9b0.jpg</v>
      </c>
      <c r="P1726" s="4">
        <f ca="1">_xlfn.IFNA(VLOOKUP(INDIRECT("G"&amp;ROW()),minfo!$A:$M,COLUMN()-8,0),"")</f>
        <v>0</v>
      </c>
      <c r="Q1726" s="4">
        <f ca="1">_xlfn.IFNA(VLOOKUP(INDIRECT("G"&amp;ROW()),minfo!$A:$M,COLUMN()-8,0),"")</f>
        <v>73</v>
      </c>
      <c r="R1726" s="4">
        <f ca="1">_xlfn.IFNA(VLOOKUP(INDIRECT("G"&amp;ROW()),minfo!$A:$M,COLUMN()-8,0),"")</f>
        <v>0</v>
      </c>
      <c r="S1726" s="4" t="str">
        <f ca="1">_xlfn.IFNA(VLOOKUP(INDIRECT("G"&amp;ROW()),minfo!$A:$M,COLUMN()-8,0),"")</f>
        <v>洛天依小鸡哔哔</v>
      </c>
      <c r="T1726" s="4">
        <f ca="1">_xlfn.IFNA(VLOOKUP(INDIRECT("G"&amp;ROW()),minfo!$A:$M,COLUMN()-8,0),"")</f>
        <v>22973704</v>
      </c>
      <c r="U1726" s="4">
        <f ca="1">_xlfn.IFNA(VLOOKUP(INDIRECT("G"&amp;ROW()),minfo!$A:$M,COLUMN()-8,0),"")</f>
        <v>0</v>
      </c>
    </row>
    <row r="1727" spans="1:21" ht="15.75" customHeight="1">
      <c r="A1727" s="15">
        <v>1726</v>
      </c>
      <c r="B1727" s="4" t="s">
        <v>5458</v>
      </c>
      <c r="D1727" s="4">
        <v>1</v>
      </c>
      <c r="E1727" s="4" t="s">
        <v>85</v>
      </c>
      <c r="F1727" s="16">
        <v>45357</v>
      </c>
      <c r="G1727" s="5" t="s">
        <v>1937</v>
      </c>
      <c r="H1727" s="5" t="s">
        <v>5459</v>
      </c>
      <c r="I1727" s="24" t="str">
        <f>HYPERLINK("https://www.bilibili.com/video/BV1YK42147yt", "BV1YK42147yt")</f>
        <v>BV1YK42147yt</v>
      </c>
      <c r="J1727" s="4" t="str">
        <f ca="1">_xlfn.IFNA(VLOOKUP(INDIRECT("G"&amp;ROW()),minfo!$A:$M,COLUMN()-8,0),"")</f>
        <v>灯花落</v>
      </c>
      <c r="K1727" s="4" t="str">
        <f ca="1">_xlfn.IFNA(VLOOKUP(INDIRECT("G"&amp;ROW()),minfo!$A:$M,COLUMN()-8,0),"")</f>
        <v>说说Crystal</v>
      </c>
      <c r="L1727" s="4">
        <f ca="1">_xlfn.IFNA(VLOOKUP(INDIRECT("G"&amp;ROW()),minfo!$A:$M,COLUMN()-8,0),"")</f>
        <v>0</v>
      </c>
      <c r="M1727" s="4">
        <f ca="1">_xlfn.IFNA(VLOOKUP(INDIRECT("G"&amp;ROW()),minfo!$A:$M,COLUMN()-8,0),"")</f>
        <v>0</v>
      </c>
      <c r="N1727" s="4">
        <f ca="1">_xlfn.IFNA(VLOOKUP(INDIRECT("G"&amp;ROW()),minfo!$A:$M,COLUMN()-8,0),"")</f>
        <v>0</v>
      </c>
      <c r="O1727" s="4" t="str">
        <f ca="1">_xlfn.IFNA(VLOOKUP(INDIRECT("G"&amp;ROW()),minfo!$A:$M,COLUMN()-8,0),"")</f>
        <v>https://i0.hdslb.com/bfs/station_src/music_metadata/f014cc372efc20dcaf401338a91b51bf.jpg</v>
      </c>
      <c r="P1727" s="4">
        <f ca="1">_xlfn.IFNA(VLOOKUP(INDIRECT("G"&amp;ROW()),minfo!$A:$M,COLUMN()-8,0),"")</f>
        <v>0</v>
      </c>
      <c r="Q1727" s="4">
        <f ca="1">_xlfn.IFNA(VLOOKUP(INDIRECT("G"&amp;ROW()),minfo!$A:$M,COLUMN()-8,0),"")</f>
        <v>0</v>
      </c>
      <c r="R1727" s="4">
        <f ca="1">_xlfn.IFNA(VLOOKUP(INDIRECT("G"&amp;ROW()),minfo!$A:$M,COLUMN()-8,0),"")</f>
        <v>0</v>
      </c>
      <c r="S1727" s="4" t="str">
        <f ca="1">_xlfn.IFNA(VLOOKUP(INDIRECT("G"&amp;ROW()),minfo!$A:$M,COLUMN()-8,0),"")</f>
        <v>灯花落</v>
      </c>
      <c r="T1727" s="4">
        <f ca="1">_xlfn.IFNA(VLOOKUP(INDIRECT("G"&amp;ROW()),minfo!$A:$M,COLUMN()-8,0),"")</f>
        <v>538222</v>
      </c>
      <c r="U1727" s="4">
        <f ca="1">_xlfn.IFNA(VLOOKUP(INDIRECT("G"&amp;ROW()),minfo!$A:$M,COLUMN()-8,0),"")</f>
        <v>0</v>
      </c>
    </row>
    <row r="1728" spans="1:21" ht="15.75" customHeight="1">
      <c r="A1728" s="15">
        <v>1727</v>
      </c>
      <c r="B1728" s="4" t="s">
        <v>5460</v>
      </c>
      <c r="D1728" s="4">
        <v>1</v>
      </c>
      <c r="E1728" s="4" t="s">
        <v>3172</v>
      </c>
      <c r="F1728" s="16">
        <v>45357</v>
      </c>
      <c r="G1728" s="5" t="s">
        <v>3171</v>
      </c>
      <c r="H1728" s="5" t="s">
        <v>5461</v>
      </c>
      <c r="I1728" s="24" t="str">
        <f>HYPERLINK("https://www.bilibili.com/video/BV1qJ4m1Y7md", "BV1qJ4m1Y7md")</f>
        <v>BV1qJ4m1Y7md</v>
      </c>
      <c r="J1728" s="4" t="str">
        <f ca="1">_xlfn.IFNA(VLOOKUP(INDIRECT("G"&amp;ROW()),minfo!$A:$M,COLUMN()-8,0),"")</f>
        <v>特别的人</v>
      </c>
      <c r="K1728" s="4" t="str">
        <f ca="1">_xlfn.IFNA(VLOOKUP(INDIRECT("G"&amp;ROW()),minfo!$A:$M,COLUMN()-8,0),"")</f>
        <v>方大同</v>
      </c>
      <c r="L1728" s="4">
        <f ca="1">_xlfn.IFNA(VLOOKUP(INDIRECT("G"&amp;ROW()),minfo!$A:$M,COLUMN()-8,0),"")</f>
        <v>0</v>
      </c>
      <c r="M1728" s="4">
        <f ca="1">_xlfn.IFNA(VLOOKUP(INDIRECT("G"&amp;ROW()),minfo!$A:$M,COLUMN()-8,0),"")</f>
        <v>0</v>
      </c>
      <c r="N1728" s="4">
        <f ca="1">_xlfn.IFNA(VLOOKUP(INDIRECT("G"&amp;ROW()),minfo!$A:$M,COLUMN()-8,0),"")</f>
        <v>0</v>
      </c>
      <c r="O1728" s="4">
        <f ca="1">_xlfn.IFNA(VLOOKUP(INDIRECT("G"&amp;ROW()),minfo!$A:$M,COLUMN()-8,0),"")</f>
        <v>0</v>
      </c>
      <c r="P1728" s="4" t="str">
        <f ca="1">_xlfn.IFNA(VLOOKUP(INDIRECT("G"&amp;ROW()),minfo!$A:$M,COLUMN()-8,0),"")</f>
        <v>https://i0.hdslb.com/bfs/station_src/music_metadata/ba49ef236af61f75df05777e4aeaf54e.txt</v>
      </c>
      <c r="Q1728" s="4">
        <f ca="1">_xlfn.IFNA(VLOOKUP(INDIRECT("G"&amp;ROW()),minfo!$A:$M,COLUMN()-8,0),"")</f>
        <v>955</v>
      </c>
      <c r="R1728" s="4">
        <f ca="1">_xlfn.IFNA(VLOOKUP(INDIRECT("G"&amp;ROW()),minfo!$A:$M,COLUMN()-8,0),"")</f>
        <v>0</v>
      </c>
      <c r="S1728" s="4" t="str">
        <f ca="1">_xlfn.IFNA(VLOOKUP(INDIRECT("G"&amp;ROW()),minfo!$A:$M,COLUMN()-8,0),"")</f>
        <v>危险世界</v>
      </c>
      <c r="T1728" s="4">
        <f ca="1">_xlfn.IFNA(VLOOKUP(INDIRECT("G"&amp;ROW()),minfo!$A:$M,COLUMN()-8,0),"")</f>
        <v>255026696</v>
      </c>
      <c r="U1728" s="4">
        <f ca="1">_xlfn.IFNA(VLOOKUP(INDIRECT("G"&amp;ROW()),minfo!$A:$M,COLUMN()-8,0),"")</f>
        <v>0</v>
      </c>
    </row>
    <row r="1729" spans="1:21" ht="15.75" customHeight="1">
      <c r="A1729" s="15">
        <v>1728</v>
      </c>
      <c r="B1729" s="4" t="s">
        <v>5462</v>
      </c>
      <c r="D1729" s="4">
        <v>1</v>
      </c>
      <c r="E1729" s="4" t="s">
        <v>1048</v>
      </c>
      <c r="F1729" s="16">
        <v>45357</v>
      </c>
      <c r="G1729" s="5" t="s">
        <v>1047</v>
      </c>
      <c r="H1729" s="5" t="s">
        <v>5463</v>
      </c>
      <c r="I1729" s="24" t="str">
        <f>HYPERLINK("https://www.bilibili.com/video/BV1r2421M7fY", "BV1r2421M7fY")</f>
        <v>BV1r2421M7fY</v>
      </c>
      <c r="J1729" s="4" t="str">
        <f ca="1">_xlfn.IFNA(VLOOKUP(INDIRECT("G"&amp;ROW()),minfo!$A:$M,COLUMN()-8,0),"")</f>
        <v>雨下一整晚</v>
      </c>
      <c r="K1729" s="4" t="str">
        <f ca="1">_xlfn.IFNA(VLOOKUP(INDIRECT("G"&amp;ROW()),minfo!$A:$M,COLUMN()-8,0),"")</f>
        <v>周杰伦</v>
      </c>
      <c r="L1729" s="4">
        <f ca="1">_xlfn.IFNA(VLOOKUP(INDIRECT("G"&amp;ROW()),minfo!$A:$M,COLUMN()-8,0),"")</f>
        <v>0</v>
      </c>
      <c r="M1729" s="4">
        <f ca="1">_xlfn.IFNA(VLOOKUP(INDIRECT("G"&amp;ROW()),minfo!$A:$M,COLUMN()-8,0),"")</f>
        <v>0</v>
      </c>
      <c r="N1729" s="4">
        <f ca="1">_xlfn.IFNA(VLOOKUP(INDIRECT("G"&amp;ROW()),minfo!$A:$M,COLUMN()-8,0),"")</f>
        <v>0</v>
      </c>
      <c r="O1729" s="4" t="str">
        <f ca="1">_xlfn.IFNA(VLOOKUP(INDIRECT("G"&amp;ROW()),minfo!$A:$M,COLUMN()-8,0),"")</f>
        <v>https://i0.hdslb.com/bfs/station_src/music_metadata/740bcd3058e7aa98df27f1f0a32b0f4b.jpg</v>
      </c>
      <c r="P1729" s="4" t="str">
        <f ca="1">_xlfn.IFNA(VLOOKUP(INDIRECT("G"&amp;ROW()),minfo!$A:$M,COLUMN()-8,0),"")</f>
        <v>copyright-crawler/music/task-lyric/654daafbfad724c0d03b496f.txt</v>
      </c>
      <c r="Q1729" s="4">
        <f ca="1">_xlfn.IFNA(VLOOKUP(INDIRECT("G"&amp;ROW()),minfo!$A:$M,COLUMN()-8,0),"")</f>
        <v>2220</v>
      </c>
      <c r="R1729" s="4" t="str">
        <f ca="1">_xlfn.IFNA(VLOOKUP(INDIRECT("G"&amp;ROW()),minfo!$A:$M,COLUMN()-8,0),"")</f>
        <v>雨下一整晚</v>
      </c>
      <c r="S1729" s="4" t="str">
        <f ca="1">_xlfn.IFNA(VLOOKUP(INDIRECT("G"&amp;ROW()),minfo!$A:$M,COLUMN()-8,0),"")</f>
        <v>跨时代</v>
      </c>
      <c r="T1729" s="4">
        <f ca="1">_xlfn.IFNA(VLOOKUP(INDIRECT("G"&amp;ROW()),minfo!$A:$M,COLUMN()-8,0),"")</f>
        <v>288931916</v>
      </c>
      <c r="U1729" s="4">
        <f ca="1">_xlfn.IFNA(VLOOKUP(INDIRECT("G"&amp;ROW()),minfo!$A:$M,COLUMN()-8,0),"")</f>
        <v>0</v>
      </c>
    </row>
    <row r="1730" spans="1:21" ht="15.75" customHeight="1">
      <c r="A1730" s="15">
        <v>1729</v>
      </c>
      <c r="B1730" s="4" t="s">
        <v>5464</v>
      </c>
      <c r="D1730" s="4">
        <v>1</v>
      </c>
      <c r="E1730" s="4" t="s">
        <v>985</v>
      </c>
      <c r="F1730" s="16">
        <v>45357</v>
      </c>
      <c r="G1730" s="5" t="s">
        <v>984</v>
      </c>
      <c r="H1730" s="5" t="s">
        <v>5465</v>
      </c>
      <c r="I1730" s="24" t="str">
        <f>HYPERLINK("https://www.bilibili.com/video/BV1F2421u7Yb", "BV1F2421u7Yb")</f>
        <v>BV1F2421u7Yb</v>
      </c>
      <c r="J1730" s="4" t="str">
        <f ca="1">_xlfn.IFNA(VLOOKUP(INDIRECT("G"&amp;ROW()),minfo!$A:$M,COLUMN()-8,0),"")</f>
        <v>黑色幽默</v>
      </c>
      <c r="K1730" s="4" t="str">
        <f ca="1">_xlfn.IFNA(VLOOKUP(INDIRECT("G"&amp;ROW()),minfo!$A:$M,COLUMN()-8,0),"")</f>
        <v>周杰伦</v>
      </c>
      <c r="L1730" s="4">
        <f ca="1">_xlfn.IFNA(VLOOKUP(INDIRECT("G"&amp;ROW()),minfo!$A:$M,COLUMN()-8,0),"")</f>
        <v>0</v>
      </c>
      <c r="M1730" s="4">
        <f ca="1">_xlfn.IFNA(VLOOKUP(INDIRECT("G"&amp;ROW()),minfo!$A:$M,COLUMN()-8,0),"")</f>
        <v>0</v>
      </c>
      <c r="N1730" s="4">
        <f ca="1">_xlfn.IFNA(VLOOKUP(INDIRECT("G"&amp;ROW()),minfo!$A:$M,COLUMN()-8,0),"")</f>
        <v>0</v>
      </c>
      <c r="O1730" s="4" t="str">
        <f ca="1">_xlfn.IFNA(VLOOKUP(INDIRECT("G"&amp;ROW()),minfo!$A:$M,COLUMN()-8,0),"")</f>
        <v>http://i0.hdslb.com/bfs/station_src/music_metadata/8b249713403b3d00ccd102426b9ebda9.jpg</v>
      </c>
      <c r="P1730" s="4" t="str">
        <f ca="1">_xlfn.IFNA(VLOOKUP(INDIRECT("G"&amp;ROW()),minfo!$A:$M,COLUMN()-8,0),"")</f>
        <v>http://i0.hdslb.com/bfs/station_src/music_metadata/f8d85e0e293c6e2811bc4a179f6f1d41</v>
      </c>
      <c r="Q1730" s="4">
        <f ca="1">_xlfn.IFNA(VLOOKUP(INDIRECT("G"&amp;ROW()),minfo!$A:$M,COLUMN()-8,0),"")</f>
        <v>1040</v>
      </c>
      <c r="R1730" s="4">
        <f ca="1">_xlfn.IFNA(VLOOKUP(INDIRECT("G"&amp;ROW()),minfo!$A:$M,COLUMN()-8,0),"")</f>
        <v>0</v>
      </c>
      <c r="S1730" s="4" t="str">
        <f ca="1">_xlfn.IFNA(VLOOKUP(INDIRECT("G"&amp;ROW()),minfo!$A:$M,COLUMN()-8,0),"")</f>
        <v>Jay</v>
      </c>
      <c r="T1730" s="4">
        <f ca="1">_xlfn.IFNA(VLOOKUP(INDIRECT("G"&amp;ROW()),minfo!$A:$M,COLUMN()-8,0),"")</f>
        <v>294619498</v>
      </c>
      <c r="U1730" s="4">
        <f ca="1">_xlfn.IFNA(VLOOKUP(INDIRECT("G"&amp;ROW()),minfo!$A:$M,COLUMN()-8,0),"")</f>
        <v>0</v>
      </c>
    </row>
    <row r="1731" spans="1:21" ht="15.75" customHeight="1">
      <c r="A1731" s="15">
        <v>1730</v>
      </c>
      <c r="B1731" s="4" t="s">
        <v>5466</v>
      </c>
      <c r="D1731" s="4">
        <v>1</v>
      </c>
      <c r="E1731" s="4" t="s">
        <v>696</v>
      </c>
      <c r="F1731" s="16">
        <v>45357</v>
      </c>
      <c r="G1731" s="5" t="s">
        <v>695</v>
      </c>
      <c r="H1731" s="5" t="s">
        <v>5467</v>
      </c>
      <c r="I1731" s="24" t="str">
        <f>HYPERLINK("https://www.bilibili.com/video/BV1Pi421f7Cr", "BV1Pi421f7Cr")</f>
        <v>BV1Pi421f7Cr</v>
      </c>
      <c r="J1731" s="4" t="str">
        <f ca="1">_xlfn.IFNA(VLOOKUP(INDIRECT("G"&amp;ROW()),minfo!$A:$M,COLUMN()-8,0),"")</f>
        <v>分身</v>
      </c>
      <c r="K1731" s="4" t="str">
        <f ca="1">_xlfn.IFNA(VLOOKUP(INDIRECT("G"&amp;ROW()),minfo!$A:$M,COLUMN()-8,0),"")</f>
        <v>单依纯</v>
      </c>
      <c r="L1731" s="4">
        <f ca="1">_xlfn.IFNA(VLOOKUP(INDIRECT("G"&amp;ROW()),minfo!$A:$M,COLUMN()-8,0),"")</f>
        <v>0</v>
      </c>
      <c r="M1731" s="4">
        <f ca="1">_xlfn.IFNA(VLOOKUP(INDIRECT("G"&amp;ROW()),minfo!$A:$M,COLUMN()-8,0),"")</f>
        <v>0</v>
      </c>
      <c r="N1731" s="4">
        <f ca="1">_xlfn.IFNA(VLOOKUP(INDIRECT("G"&amp;ROW()),minfo!$A:$M,COLUMN()-8,0),"")</f>
        <v>0</v>
      </c>
      <c r="O1731" s="4" t="str">
        <f ca="1">_xlfn.IFNA(VLOOKUP(INDIRECT("G"&amp;ROW()),minfo!$A:$M,COLUMN()-8,0),"")</f>
        <v>http://i0.hdslb.com/bfs/station_src/music_metadata/0fd80cf4360670d154b7c8c64ae7abde.jpg</v>
      </c>
      <c r="P1731" s="4">
        <f ca="1">_xlfn.IFNA(VLOOKUP(INDIRECT("G"&amp;ROW()),minfo!$A:$M,COLUMN()-8,0),"")</f>
        <v>0</v>
      </c>
      <c r="Q1731" s="4">
        <f ca="1">_xlfn.IFNA(VLOOKUP(INDIRECT("G"&amp;ROW()),minfo!$A:$M,COLUMN()-8,0),"")</f>
        <v>13</v>
      </c>
      <c r="R1731" s="4">
        <f ca="1">_xlfn.IFNA(VLOOKUP(INDIRECT("G"&amp;ROW()),minfo!$A:$M,COLUMN()-8,0),"")</f>
        <v>0</v>
      </c>
      <c r="S1731" s="4" t="str">
        <f ca="1">_xlfn.IFNA(VLOOKUP(INDIRECT("G"&amp;ROW()),minfo!$A:$M,COLUMN()-8,0),"")</f>
        <v>分身</v>
      </c>
      <c r="T1731" s="4">
        <f ca="1">_xlfn.IFNA(VLOOKUP(INDIRECT("G"&amp;ROW()),minfo!$A:$M,COLUMN()-8,0),"")</f>
        <v>3245965</v>
      </c>
      <c r="U1731" s="4">
        <f ca="1">_xlfn.IFNA(VLOOKUP(INDIRECT("G"&amp;ROW()),minfo!$A:$M,COLUMN()-8,0),"")</f>
        <v>0</v>
      </c>
    </row>
    <row r="1732" spans="1:21" ht="15.75" customHeight="1">
      <c r="A1732" s="15">
        <v>1731</v>
      </c>
      <c r="B1732" s="4" t="s">
        <v>5468</v>
      </c>
      <c r="D1732" s="4">
        <v>1</v>
      </c>
      <c r="E1732" s="4" t="s">
        <v>872</v>
      </c>
      <c r="F1732" s="16">
        <v>45360</v>
      </c>
      <c r="G1732" s="5" t="s">
        <v>871</v>
      </c>
      <c r="H1732" s="5" t="s">
        <v>5469</v>
      </c>
      <c r="I1732" s="24" t="str">
        <f>HYPERLINK("https://www.bilibili.com/video/BV1Ym411d7zD", "BV1Ym411d7zD")</f>
        <v>BV1Ym411d7zD</v>
      </c>
      <c r="J1732" s="4" t="str">
        <f ca="1">_xlfn.IFNA(VLOOKUP(INDIRECT("G"&amp;ROW()),minfo!$A:$M,COLUMN()-8,0),"")</f>
        <v>一样的月光</v>
      </c>
      <c r="K1732" s="4" t="str">
        <f ca="1">_xlfn.IFNA(VLOOKUP(INDIRECT("G"&amp;ROW()),minfo!$A:$M,COLUMN()-8,0),"")</f>
        <v>徐佳莹</v>
      </c>
      <c r="L1732" s="4">
        <f ca="1">_xlfn.IFNA(VLOOKUP(INDIRECT("G"&amp;ROW()),minfo!$A:$M,COLUMN()-8,0),"")</f>
        <v>0</v>
      </c>
      <c r="M1732" s="4">
        <f ca="1">_xlfn.IFNA(VLOOKUP(INDIRECT("G"&amp;ROW()),minfo!$A:$M,COLUMN()-8,0),"")</f>
        <v>0</v>
      </c>
      <c r="N1732" s="4">
        <f ca="1">_xlfn.IFNA(VLOOKUP(INDIRECT("G"&amp;ROW()),minfo!$A:$M,COLUMN()-8,0),"")</f>
        <v>0</v>
      </c>
      <c r="O1732" s="4" t="str">
        <f ca="1">_xlfn.IFNA(VLOOKUP(INDIRECT("G"&amp;ROW()),minfo!$A:$M,COLUMN()-8,0),"")</f>
        <v>https://i0.hdslb.com/bfs/station_src/music_metadata/bb47ed0b6da92d07d9492a6e3982d7f7.jpg</v>
      </c>
      <c r="P1732" s="4" t="str">
        <f ca="1">_xlfn.IFNA(VLOOKUP(INDIRECT("G"&amp;ROW()),minfo!$A:$M,COLUMN()-8,0),"")</f>
        <v>http://i0.hdslb.com/bfs/station_src/music_metadata/df58f5b1cd8da2f562b22b6c913ab846</v>
      </c>
      <c r="Q1732" s="4">
        <f ca="1">_xlfn.IFNA(VLOOKUP(INDIRECT("G"&amp;ROW()),minfo!$A:$M,COLUMN()-8,0),"")</f>
        <v>1830</v>
      </c>
      <c r="R1732" s="4">
        <f ca="1">_xlfn.IFNA(VLOOKUP(INDIRECT("G"&amp;ROW()),minfo!$A:$M,COLUMN()-8,0),"")</f>
        <v>0</v>
      </c>
      <c r="S1732" s="4" t="str">
        <f ca="1">_xlfn.IFNA(VLOOKUP(INDIRECT("G"&amp;ROW()),minfo!$A:$M,COLUMN()-8,0),"")</f>
        <v>LaLa首张创作专辑</v>
      </c>
      <c r="T1732" s="4">
        <f ca="1">_xlfn.IFNA(VLOOKUP(INDIRECT("G"&amp;ROW()),minfo!$A:$M,COLUMN()-8,0),"")</f>
        <v>312017425</v>
      </c>
      <c r="U1732" s="4">
        <f ca="1">_xlfn.IFNA(VLOOKUP(INDIRECT("G"&amp;ROW()),minfo!$A:$M,COLUMN()-8,0),"")</f>
        <v>0</v>
      </c>
    </row>
    <row r="1733" spans="1:21" ht="15.75" customHeight="1">
      <c r="A1733" s="15">
        <v>1732</v>
      </c>
      <c r="B1733" s="4" t="s">
        <v>5470</v>
      </c>
      <c r="D1733" s="4">
        <v>1</v>
      </c>
      <c r="E1733" s="4" t="s">
        <v>332</v>
      </c>
      <c r="F1733" s="16">
        <v>45360</v>
      </c>
      <c r="G1733" s="5" t="s">
        <v>331</v>
      </c>
      <c r="H1733" s="5" t="s">
        <v>5471</v>
      </c>
      <c r="I1733" s="24" t="str">
        <f>HYPERLINK("https://www.bilibili.com/video/BV1nW421c7b4", "BV1nW421c7b4")</f>
        <v>BV1nW421c7b4</v>
      </c>
      <c r="J1733" s="4" t="str">
        <f ca="1">_xlfn.IFNA(VLOOKUP(INDIRECT("G"&amp;ROW()),minfo!$A:$M,COLUMN()-8,0),"")</f>
        <v>春天的芭蕾</v>
      </c>
      <c r="K1733" s="4" t="str">
        <f ca="1">_xlfn.IFNA(VLOOKUP(INDIRECT("G"&amp;ROW()),minfo!$A:$M,COLUMN()-8,0),"")</f>
        <v>常思思</v>
      </c>
      <c r="L1733" s="4">
        <f ca="1">_xlfn.IFNA(VLOOKUP(INDIRECT("G"&amp;ROW()),minfo!$A:$M,COLUMN()-8,0),"")</f>
        <v>0</v>
      </c>
      <c r="M1733" s="4">
        <f ca="1">_xlfn.IFNA(VLOOKUP(INDIRECT("G"&amp;ROW()),minfo!$A:$M,COLUMN()-8,0),"")</f>
        <v>0</v>
      </c>
      <c r="N1733" s="4">
        <f ca="1">_xlfn.IFNA(VLOOKUP(INDIRECT("G"&amp;ROW()),minfo!$A:$M,COLUMN()-8,0),"")</f>
        <v>0</v>
      </c>
      <c r="O1733" s="4" t="str">
        <f ca="1">_xlfn.IFNA(VLOOKUP(INDIRECT("G"&amp;ROW()),minfo!$A:$M,COLUMN()-8,0),"")</f>
        <v>http://i0.hdslb.com/bfs/station_src/music_metadata/7202bafed8b495edfdc98691518442b5.jpg</v>
      </c>
      <c r="P1733" s="4" t="str">
        <f ca="1">_xlfn.IFNA(VLOOKUP(INDIRECT("G"&amp;ROW()),minfo!$A:$M,COLUMN()-8,0),"")</f>
        <v>http://i0.hdslb.com/bfs/station_src/music_metadata/1faf7f1d5734fb67fc3aa5824aaf8ed2</v>
      </c>
      <c r="Q1733" s="4">
        <f ca="1">_xlfn.IFNA(VLOOKUP(INDIRECT("G"&amp;ROW()),minfo!$A:$M,COLUMN()-8,0),"")</f>
        <v>173</v>
      </c>
      <c r="R1733" s="4">
        <f ca="1">_xlfn.IFNA(VLOOKUP(INDIRECT("G"&amp;ROW()),minfo!$A:$M,COLUMN()-8,0),"")</f>
        <v>0</v>
      </c>
      <c r="S1733" s="4">
        <f ca="1">_xlfn.IFNA(VLOOKUP(INDIRECT("G"&amp;ROW()),minfo!$A:$M,COLUMN()-8,0),"")</f>
        <v>0</v>
      </c>
      <c r="T1733" s="4">
        <f ca="1">_xlfn.IFNA(VLOOKUP(INDIRECT("G"&amp;ROW()),minfo!$A:$M,COLUMN()-8,0),"")</f>
        <v>25997684</v>
      </c>
      <c r="U1733" s="4">
        <f ca="1">_xlfn.IFNA(VLOOKUP(INDIRECT("G"&amp;ROW()),minfo!$A:$M,COLUMN()-8,0),"")</f>
        <v>0</v>
      </c>
    </row>
    <row r="1734" spans="1:21" ht="15.75" customHeight="1">
      <c r="A1734" s="15">
        <v>1733</v>
      </c>
      <c r="B1734" s="4" t="s">
        <v>5472</v>
      </c>
      <c r="D1734" s="4">
        <v>1</v>
      </c>
      <c r="E1734" s="4" t="s">
        <v>934</v>
      </c>
      <c r="F1734" s="16">
        <v>45360</v>
      </c>
      <c r="G1734" s="5" t="s">
        <v>933</v>
      </c>
      <c r="H1734" s="5" t="s">
        <v>5473</v>
      </c>
      <c r="I1734" s="24" t="str">
        <f>HYPERLINK("https://www.bilibili.com/video/BV1Gw4m1o7zy", "BV1Gw4m1o7zy")</f>
        <v>BV1Gw4m1o7zy</v>
      </c>
      <c r="J1734" s="4" t="str">
        <f ca="1">_xlfn.IFNA(VLOOKUP(INDIRECT("G"&amp;ROW()),minfo!$A:$M,COLUMN()-8,0),"")</f>
        <v>敕勒歌</v>
      </c>
      <c r="K1734" s="4" t="str">
        <f ca="1">_xlfn.IFNA(VLOOKUP(INDIRECT("G"&amp;ROW()),minfo!$A:$M,COLUMN()-8,0),"")</f>
        <v>谭维维</v>
      </c>
      <c r="L1734" s="4">
        <f ca="1">_xlfn.IFNA(VLOOKUP(INDIRECT("G"&amp;ROW()),minfo!$A:$M,COLUMN()-8,0),"")</f>
        <v>0</v>
      </c>
      <c r="M1734" s="4">
        <f ca="1">_xlfn.IFNA(VLOOKUP(INDIRECT("G"&amp;ROW()),minfo!$A:$M,COLUMN()-8,0),"")</f>
        <v>0</v>
      </c>
      <c r="N1734" s="4">
        <f ca="1">_xlfn.IFNA(VLOOKUP(INDIRECT("G"&amp;ROW()),minfo!$A:$M,COLUMN()-8,0),"")</f>
        <v>0</v>
      </c>
      <c r="O1734" s="4" t="str">
        <f ca="1">_xlfn.IFNA(VLOOKUP(INDIRECT("G"&amp;ROW()),minfo!$A:$M,COLUMN()-8,0),"")</f>
        <v>https://i0.hdslb.com/bfs/station_src/music_metadata/4633e67685206de0672cc528709e3e2f.jpg</v>
      </c>
      <c r="P1734" s="4" t="str">
        <f ca="1">_xlfn.IFNA(VLOOKUP(INDIRECT("G"&amp;ROW()),minfo!$A:$M,COLUMN()-8,0),"")</f>
        <v>https://i0.hdslb.com/bfs/station_src/music_metadata/dff7d3073b6cc36766c38942f1f4cf16.txt</v>
      </c>
      <c r="Q1734" s="4">
        <f ca="1">_xlfn.IFNA(VLOOKUP(INDIRECT("G"&amp;ROW()),minfo!$A:$M,COLUMN()-8,0),"")</f>
        <v>382</v>
      </c>
      <c r="R1734" s="4">
        <f ca="1">_xlfn.IFNA(VLOOKUP(INDIRECT("G"&amp;ROW()),minfo!$A:$M,COLUMN()-8,0),"")</f>
        <v>0</v>
      </c>
      <c r="S1734" s="4" t="str">
        <f ca="1">_xlfn.IFNA(VLOOKUP(INDIRECT("G"&amp;ROW()),minfo!$A:$M,COLUMN()-8,0),"")</f>
        <v>经典咏流传第二季 第六期</v>
      </c>
      <c r="T1734" s="4">
        <f ca="1">_xlfn.IFNA(VLOOKUP(INDIRECT("G"&amp;ROW()),minfo!$A:$M,COLUMN()-8,0),"")</f>
        <v>19549830</v>
      </c>
      <c r="U1734" s="4">
        <f ca="1">_xlfn.IFNA(VLOOKUP(INDIRECT("G"&amp;ROW()),minfo!$A:$M,COLUMN()-8,0),"")</f>
        <v>0</v>
      </c>
    </row>
    <row r="1735" spans="1:21" ht="15.75" customHeight="1">
      <c r="A1735" s="15">
        <v>1734</v>
      </c>
      <c r="B1735" s="4" t="s">
        <v>5474</v>
      </c>
      <c r="D1735" s="4">
        <v>1</v>
      </c>
      <c r="E1735" s="4" t="s">
        <v>1563</v>
      </c>
      <c r="F1735" s="16">
        <v>45360</v>
      </c>
      <c r="G1735" s="5" t="s">
        <v>1562</v>
      </c>
      <c r="H1735" s="5" t="s">
        <v>5475</v>
      </c>
      <c r="I1735" s="24" t="str">
        <f>HYPERLINK("https://www.bilibili.com/video/BV1Bw4m1d7jL", "BV1Bw4m1d7jL")</f>
        <v>BV1Bw4m1d7jL</v>
      </c>
      <c r="J1735" s="4" t="str">
        <f ca="1">_xlfn.IFNA(VLOOKUP(INDIRECT("G"&amp;ROW()),minfo!$A:$M,COLUMN()-8,0),"")</f>
        <v>广寒宫</v>
      </c>
      <c r="K1735" s="4" t="str">
        <f ca="1">_xlfn.IFNA(VLOOKUP(INDIRECT("G"&amp;ROW()),minfo!$A:$M,COLUMN()-8,0),"")</f>
        <v>丸子呦</v>
      </c>
      <c r="L1735" s="4">
        <f ca="1">_xlfn.IFNA(VLOOKUP(INDIRECT("G"&amp;ROW()),minfo!$A:$M,COLUMN()-8,0),"")</f>
        <v>0</v>
      </c>
      <c r="M1735" s="4">
        <f ca="1">_xlfn.IFNA(VLOOKUP(INDIRECT("G"&amp;ROW()),minfo!$A:$M,COLUMN()-8,0),"")</f>
        <v>0</v>
      </c>
      <c r="N1735" s="4">
        <f ca="1">_xlfn.IFNA(VLOOKUP(INDIRECT("G"&amp;ROW()),minfo!$A:$M,COLUMN()-8,0),"")</f>
        <v>0</v>
      </c>
      <c r="O1735" s="4" t="str">
        <f ca="1">_xlfn.IFNA(VLOOKUP(INDIRECT("G"&amp;ROW()),minfo!$A:$M,COLUMN()-8,0),"")</f>
        <v>http://i0.hdslb.com/bfs/station_src/music_metadata/34ca6b8e730825da76cd496fc8ec788e.jpg</v>
      </c>
      <c r="P1735" s="4" t="str">
        <f ca="1">_xlfn.IFNA(VLOOKUP(INDIRECT("G"&amp;ROW()),minfo!$A:$M,COLUMN()-8,0),"")</f>
        <v>http://i0.hdslb.com/bfs/station_src/music_metadata/a95b0d50c3fc759441c9e4331e2e9148</v>
      </c>
      <c r="Q1735" s="4">
        <f ca="1">_xlfn.IFNA(VLOOKUP(INDIRECT("G"&amp;ROW()),minfo!$A:$M,COLUMN()-8,0),"")</f>
        <v>1984</v>
      </c>
      <c r="R1735" s="4">
        <f ca="1">_xlfn.IFNA(VLOOKUP(INDIRECT("G"&amp;ROW()),minfo!$A:$M,COLUMN()-8,0),"")</f>
        <v>0</v>
      </c>
      <c r="S1735" s="4" t="str">
        <f ca="1">_xlfn.IFNA(VLOOKUP(INDIRECT("G"&amp;ROW()),minfo!$A:$M,COLUMN()-8,0),"")</f>
        <v xml:space="preserve"> 广寒宫 </v>
      </c>
      <c r="T1735" s="4">
        <f ca="1">_xlfn.IFNA(VLOOKUP(INDIRECT("G"&amp;ROW()),minfo!$A:$M,COLUMN()-8,0),"")</f>
        <v>812417214</v>
      </c>
      <c r="U1735" s="4">
        <f ca="1">_xlfn.IFNA(VLOOKUP(INDIRECT("G"&amp;ROW()),minfo!$A:$M,COLUMN()-8,0),"")</f>
        <v>0</v>
      </c>
    </row>
    <row r="1736" spans="1:21" ht="15.75" customHeight="1">
      <c r="A1736" s="15">
        <v>1735</v>
      </c>
      <c r="B1736" s="4" t="s">
        <v>5476</v>
      </c>
      <c r="D1736" s="4">
        <v>1</v>
      </c>
      <c r="E1736" s="4" t="s">
        <v>3176</v>
      </c>
      <c r="F1736" s="16">
        <v>45360</v>
      </c>
      <c r="G1736" s="5" t="s">
        <v>3175</v>
      </c>
      <c r="H1736" s="5" t="s">
        <v>5477</v>
      </c>
      <c r="I1736" s="24" t="str">
        <f>HYPERLINK("https://www.bilibili.com/video/BV1SZ421a7QQ", "BV1SZ421a7QQ")</f>
        <v>BV1SZ421a7QQ</v>
      </c>
      <c r="J1736" s="4" t="str">
        <f ca="1">_xlfn.IFNA(VLOOKUP(INDIRECT("G"&amp;ROW()),minfo!$A:$M,COLUMN()-8,0),"")</f>
        <v>可爱女人</v>
      </c>
      <c r="K1736" s="4" t="str">
        <f ca="1">_xlfn.IFNA(VLOOKUP(INDIRECT("G"&amp;ROW()),minfo!$A:$M,COLUMN()-8,0),"")</f>
        <v>周杰伦,徐若瑄</v>
      </c>
      <c r="L1736" s="4">
        <f ca="1">_xlfn.IFNA(VLOOKUP(INDIRECT("G"&amp;ROW()),minfo!$A:$M,COLUMN()-8,0),"")</f>
        <v>0</v>
      </c>
      <c r="M1736" s="4">
        <f ca="1">_xlfn.IFNA(VLOOKUP(INDIRECT("G"&amp;ROW()),minfo!$A:$M,COLUMN()-8,0),"")</f>
        <v>0</v>
      </c>
      <c r="N1736" s="4">
        <f ca="1">_xlfn.IFNA(VLOOKUP(INDIRECT("G"&amp;ROW()),minfo!$A:$M,COLUMN()-8,0),"")</f>
        <v>0</v>
      </c>
      <c r="O1736" s="4" t="str">
        <f ca="1">_xlfn.IFNA(VLOOKUP(INDIRECT("G"&amp;ROW()),minfo!$A:$M,COLUMN()-8,0),"")</f>
        <v>http://i0.hdslb.com/bfs/station_src/music_metadata/a512bd568c8051078107cf77ba492c61.jpg</v>
      </c>
      <c r="P1736" s="4" t="str">
        <f ca="1">_xlfn.IFNA(VLOOKUP(INDIRECT("G"&amp;ROW()),minfo!$A:$M,COLUMN()-8,0),"")</f>
        <v>http://i0.hdslb.com/bfs/station_src/music_metadata/2d0100c2885635fde6c054fba3eec027</v>
      </c>
      <c r="Q1736" s="4">
        <f ca="1">_xlfn.IFNA(VLOOKUP(INDIRECT("G"&amp;ROW()),minfo!$A:$M,COLUMN()-8,0),"")</f>
        <v>8134</v>
      </c>
      <c r="R1736" s="4">
        <f ca="1">_xlfn.IFNA(VLOOKUP(INDIRECT("G"&amp;ROW()),minfo!$A:$M,COLUMN()-8,0),"")</f>
        <v>0</v>
      </c>
      <c r="S1736" s="4" t="str">
        <f ca="1">_xlfn.IFNA(VLOOKUP(INDIRECT("G"&amp;ROW()),minfo!$A:$M,COLUMN()-8,0),"")</f>
        <v>Jay</v>
      </c>
      <c r="T1736" s="4">
        <f ca="1">_xlfn.IFNA(VLOOKUP(INDIRECT("G"&amp;ROW()),minfo!$A:$M,COLUMN()-8,0),"")</f>
        <v>429690273</v>
      </c>
      <c r="U1736" s="4">
        <f ca="1">_xlfn.IFNA(VLOOKUP(INDIRECT("G"&amp;ROW()),minfo!$A:$M,COLUMN()-8,0),"")</f>
        <v>0</v>
      </c>
    </row>
    <row r="1737" spans="1:21" ht="15.75" customHeight="1">
      <c r="A1737" s="15">
        <v>1736</v>
      </c>
      <c r="B1737" s="4" t="s">
        <v>5478</v>
      </c>
      <c r="D1737" s="4">
        <v>1</v>
      </c>
      <c r="E1737" s="4" t="s">
        <v>3059</v>
      </c>
      <c r="F1737" s="16">
        <v>45360</v>
      </c>
      <c r="G1737" s="5" t="s">
        <v>3058</v>
      </c>
      <c r="H1737" s="5" t="s">
        <v>5479</v>
      </c>
      <c r="I1737" s="24" t="str">
        <f>HYPERLINK("https://www.bilibili.com/video/BV1Mx4y1S7Ua", "BV1Mx4y1S7Ua")</f>
        <v>BV1Mx4y1S7Ua</v>
      </c>
      <c r="J1737" s="4" t="str">
        <f ca="1">_xlfn.IFNA(VLOOKUP(INDIRECT("G"&amp;ROW()),minfo!$A:$M,COLUMN()-8,0),"")</f>
        <v>沙滩</v>
      </c>
      <c r="K1737" s="4" t="str">
        <f ca="1">_xlfn.IFNA(VLOOKUP(INDIRECT("G"&amp;ROW()),minfo!$A:$M,COLUMN()-8,0),"")</f>
        <v>陶喆</v>
      </c>
      <c r="L1737" s="4">
        <f ca="1">_xlfn.IFNA(VLOOKUP(INDIRECT("G"&amp;ROW()),minfo!$A:$M,COLUMN()-8,0),"")</f>
        <v>0</v>
      </c>
      <c r="M1737" s="4">
        <f ca="1">_xlfn.IFNA(VLOOKUP(INDIRECT("G"&amp;ROW()),minfo!$A:$M,COLUMN()-8,0),"")</f>
        <v>0</v>
      </c>
      <c r="N1737" s="4">
        <f ca="1">_xlfn.IFNA(VLOOKUP(INDIRECT("G"&amp;ROW()),minfo!$A:$M,COLUMN()-8,0),"")</f>
        <v>0</v>
      </c>
      <c r="O1737" s="4" t="str">
        <f ca="1">_xlfn.IFNA(VLOOKUP(INDIRECT("G"&amp;ROW()),minfo!$A:$M,COLUMN()-8,0),"")</f>
        <v>https://i0.hdslb.com/bfs/station_src/music_metadata/440274ee1a80226c82a45d51431b9c27.jpg</v>
      </c>
      <c r="P1737" s="4" t="str">
        <f ca="1">_xlfn.IFNA(VLOOKUP(INDIRECT("G"&amp;ROW()),minfo!$A:$M,COLUMN()-8,0),"")</f>
        <v>http://i0.hdslb.com/bfs/station_src/music_metadata/80071fead604c315d08e5a67145c0351</v>
      </c>
      <c r="Q1737" s="4">
        <f ca="1">_xlfn.IFNA(VLOOKUP(INDIRECT("G"&amp;ROW()),minfo!$A:$M,COLUMN()-8,0),"")</f>
        <v>190</v>
      </c>
      <c r="R1737" s="4">
        <f ca="1">_xlfn.IFNA(VLOOKUP(INDIRECT("G"&amp;ROW()),minfo!$A:$M,COLUMN()-8,0),"")</f>
        <v>0</v>
      </c>
      <c r="S1737" s="4" t="str">
        <f ca="1">_xlfn.IFNA(VLOOKUP(INDIRECT("G"&amp;ROW()),minfo!$A:$M,COLUMN()-8,0),"")</f>
        <v>陶喆同名专辑</v>
      </c>
      <c r="T1737" s="4">
        <f ca="1">_xlfn.IFNA(VLOOKUP(INDIRECT("G"&amp;ROW()),minfo!$A:$M,COLUMN()-8,0),"")</f>
        <v>25846315</v>
      </c>
      <c r="U1737" s="4">
        <f ca="1">_xlfn.IFNA(VLOOKUP(INDIRECT("G"&amp;ROW()),minfo!$A:$M,COLUMN()-8,0),"")</f>
        <v>0</v>
      </c>
    </row>
    <row r="1738" spans="1:21" ht="15.75" customHeight="1">
      <c r="A1738" s="15">
        <v>1737</v>
      </c>
      <c r="B1738" s="4" t="s">
        <v>5480</v>
      </c>
      <c r="D1738" s="4">
        <v>1</v>
      </c>
      <c r="E1738" s="4" t="s">
        <v>1616</v>
      </c>
      <c r="F1738" s="16">
        <v>45360</v>
      </c>
      <c r="G1738" s="5" t="s">
        <v>1615</v>
      </c>
      <c r="H1738" s="5" t="s">
        <v>5481</v>
      </c>
      <c r="I1738" s="24" t="str">
        <f>HYPERLINK("https://www.bilibili.com/video/BV1kr421J712", "BV1kr421J712")</f>
        <v>BV1kr421J712</v>
      </c>
      <c r="J1738" s="4" t="str">
        <f ca="1">_xlfn.IFNA(VLOOKUP(INDIRECT("G"&amp;ROW()),minfo!$A:$M,COLUMN()-8,0),"")</f>
        <v>雨后日记</v>
      </c>
      <c r="K1738" s="4" t="str">
        <f ca="1">_xlfn.IFNA(VLOOKUP(INDIRECT("G"&amp;ROW()),minfo!$A:$M,COLUMN()-8,0),"")</f>
        <v>单依纯</v>
      </c>
      <c r="L1738" s="4">
        <f ca="1">_xlfn.IFNA(VLOOKUP(INDIRECT("G"&amp;ROW()),minfo!$A:$M,COLUMN()-8,0),"")</f>
        <v>0</v>
      </c>
      <c r="M1738" s="4">
        <f ca="1">_xlfn.IFNA(VLOOKUP(INDIRECT("G"&amp;ROW()),minfo!$A:$M,COLUMN()-8,0),"")</f>
        <v>0</v>
      </c>
      <c r="N1738" s="4">
        <f ca="1">_xlfn.IFNA(VLOOKUP(INDIRECT("G"&amp;ROW()),minfo!$A:$M,COLUMN()-8,0),"")</f>
        <v>0</v>
      </c>
      <c r="O1738" s="4" t="str">
        <f ca="1">_xlfn.IFNA(VLOOKUP(INDIRECT("G"&amp;ROW()),minfo!$A:$M,COLUMN()-8,0),"")</f>
        <v>http://i0.hdslb.com/bfs/station_src/music_metadata/3afd0ffaed0e7606577cabb03408bdd1.jpg</v>
      </c>
      <c r="P1738" s="4">
        <f ca="1">_xlfn.IFNA(VLOOKUP(INDIRECT("G"&amp;ROW()),minfo!$A:$M,COLUMN()-8,0),"")</f>
        <v>0</v>
      </c>
      <c r="Q1738" s="4">
        <f ca="1">_xlfn.IFNA(VLOOKUP(INDIRECT("G"&amp;ROW()),minfo!$A:$M,COLUMN()-8,0),"")</f>
        <v>15</v>
      </c>
      <c r="R1738" s="4">
        <f ca="1">_xlfn.IFNA(VLOOKUP(INDIRECT("G"&amp;ROW()),minfo!$A:$M,COLUMN()-8,0),"")</f>
        <v>0</v>
      </c>
      <c r="S1738" s="4" t="str">
        <f ca="1">_xlfn.IFNA(VLOOKUP(INDIRECT("G"&amp;ROW()),minfo!$A:$M,COLUMN()-8,0),"")</f>
        <v>勇敢额度</v>
      </c>
      <c r="T1738" s="4">
        <f ca="1">_xlfn.IFNA(VLOOKUP(INDIRECT("G"&amp;ROW()),minfo!$A:$M,COLUMN()-8,0),"")</f>
        <v>5496354</v>
      </c>
      <c r="U1738" s="4">
        <f ca="1">_xlfn.IFNA(VLOOKUP(INDIRECT("G"&amp;ROW()),minfo!$A:$M,COLUMN()-8,0),"")</f>
        <v>0</v>
      </c>
    </row>
    <row r="1739" spans="1:21" ht="15.75" customHeight="1">
      <c r="A1739" s="15">
        <v>1738</v>
      </c>
      <c r="B1739" s="4" t="s">
        <v>5482</v>
      </c>
      <c r="D1739" s="4">
        <v>1</v>
      </c>
      <c r="E1739" s="4" t="s">
        <v>3107</v>
      </c>
      <c r="F1739" s="16">
        <v>45360</v>
      </c>
      <c r="G1739" s="5" t="s">
        <v>3106</v>
      </c>
      <c r="H1739" s="5" t="s">
        <v>5483</v>
      </c>
      <c r="I1739" s="24" t="str">
        <f>HYPERLINK("https://www.bilibili.com/video/BV16H4y157KH", "BV16H4y157KH")</f>
        <v>BV16H4y157KH</v>
      </c>
      <c r="J1739" s="4" t="str">
        <f ca="1">_xlfn.IFNA(VLOOKUP(INDIRECT("G"&amp;ROW()),minfo!$A:$M,COLUMN()-8,0),"")</f>
        <v>交换余生</v>
      </c>
      <c r="K1739" s="4" t="str">
        <f ca="1">_xlfn.IFNA(VLOOKUP(INDIRECT("G"&amp;ROW()),minfo!$A:$M,COLUMN()-8,0),"")</f>
        <v>林俊杰</v>
      </c>
      <c r="L1739" s="4" t="str">
        <f ca="1">_xlfn.IFNA(VLOOKUP(INDIRECT("G"&amp;ROW()),minfo!$A:$M,COLUMN()-8,0),"")</f>
        <v>BV1s5411P7uA</v>
      </c>
      <c r="M1739" s="4">
        <f ca="1">_xlfn.IFNA(VLOOKUP(INDIRECT("G"&amp;ROW()),minfo!$A:$M,COLUMN()-8,0),"")</f>
        <v>285</v>
      </c>
      <c r="N1739" s="4">
        <f ca="1">_xlfn.IFNA(VLOOKUP(INDIRECT("G"&amp;ROW()),minfo!$A:$M,COLUMN()-8,0),"")</f>
        <v>40</v>
      </c>
      <c r="O1739" s="4" t="str">
        <f ca="1">_xlfn.IFNA(VLOOKUP(INDIRECT("G"&amp;ROW()),minfo!$A:$M,COLUMN()-8,0),"")</f>
        <v>https://i0.hdslb.com/bfs/station_src/music_metadata/1bd7ba45ae53c9c5b38bea79ba0477e1.jpg</v>
      </c>
      <c r="P1739" s="4" t="str">
        <f ca="1">_xlfn.IFNA(VLOOKUP(INDIRECT("G"&amp;ROW()),minfo!$A:$M,COLUMN()-8,0),"")</f>
        <v>http://i0.hdslb.com/bfs/station_src/music_metadata/f1583c4593a309d1c410fa650e14752b</v>
      </c>
      <c r="Q1739" s="4">
        <f ca="1">_xlfn.IFNA(VLOOKUP(INDIRECT("G"&amp;ROW()),minfo!$A:$M,COLUMN()-8,0),"")</f>
        <v>1022</v>
      </c>
      <c r="R1739" s="4">
        <f ca="1">_xlfn.IFNA(VLOOKUP(INDIRECT("G"&amp;ROW()),minfo!$A:$M,COLUMN()-8,0),"")</f>
        <v>0</v>
      </c>
      <c r="S1739" s="4" t="str">
        <f ca="1">_xlfn.IFNA(VLOOKUP(INDIRECT("G"&amp;ROW()),minfo!$A:$M,COLUMN()-8,0),"")</f>
        <v>交换余生</v>
      </c>
      <c r="T1739" s="4">
        <f ca="1">_xlfn.IFNA(VLOOKUP(INDIRECT("G"&amp;ROW()),minfo!$A:$M,COLUMN()-8,0),"")</f>
        <v>491095581</v>
      </c>
      <c r="U1739" s="4" t="str">
        <f ca="1">_xlfn.IFNA(VLOOKUP(INDIRECT("G"&amp;ROW()),minfo!$A:$M,COLUMN()-8,0),"")</f>
        <v>音乐榜最高NO.12</v>
      </c>
    </row>
    <row r="1740" spans="1:21" ht="15.75" customHeight="1">
      <c r="A1740" s="15">
        <v>1739</v>
      </c>
      <c r="B1740" s="4" t="s">
        <v>5484</v>
      </c>
      <c r="D1740" s="4">
        <v>1</v>
      </c>
      <c r="E1740" s="4" t="s">
        <v>93</v>
      </c>
      <c r="F1740" s="16">
        <v>45360</v>
      </c>
      <c r="G1740" s="5" t="s">
        <v>93</v>
      </c>
      <c r="H1740" s="5" t="s">
        <v>5485</v>
      </c>
      <c r="I1740" s="24" t="str">
        <f>HYPERLINK("https://www.bilibili.com/video/BV1Wt421V7eM", "BV1Wt421V7eM")</f>
        <v>BV1Wt421V7eM</v>
      </c>
      <c r="J1740" s="4" t="str">
        <f ca="1">_xlfn.IFNA(VLOOKUP(INDIRECT("G"&amp;ROW()),minfo!$A:$M,COLUMN()-8,0),"")</f>
        <v>罗敷</v>
      </c>
      <c r="K1740" s="4" t="str">
        <f ca="1">_xlfn.IFNA(VLOOKUP(INDIRECT("G"&amp;ROW()),minfo!$A:$M,COLUMN()-8,0),"")</f>
        <v>说说Crystal</v>
      </c>
      <c r="L1740" s="4" t="str">
        <f ca="1">_xlfn.IFNA(VLOOKUP(INDIRECT("G"&amp;ROW()),minfo!$A:$M,COLUMN()-8,0),"")</f>
        <v>BV1Jz4y127SL</v>
      </c>
      <c r="M1740" s="4">
        <f ca="1">_xlfn.IFNA(VLOOKUP(INDIRECT("G"&amp;ROW()),minfo!$A:$M,COLUMN()-8,0),"")</f>
        <v>0</v>
      </c>
      <c r="N1740" s="4">
        <f ca="1">_xlfn.IFNA(VLOOKUP(INDIRECT("G"&amp;ROW()),minfo!$A:$M,COLUMN()-8,0),"")</f>
        <v>0</v>
      </c>
      <c r="O1740" s="4">
        <f ca="1">_xlfn.IFNA(VLOOKUP(INDIRECT("G"&amp;ROW()),minfo!$A:$M,COLUMN()-8,0),"")</f>
        <v>0</v>
      </c>
      <c r="P1740" s="4">
        <f ca="1">_xlfn.IFNA(VLOOKUP(INDIRECT("G"&amp;ROW()),minfo!$A:$M,COLUMN()-8,0),"")</f>
        <v>0</v>
      </c>
      <c r="Q1740" s="4">
        <f ca="1">_xlfn.IFNA(VLOOKUP(INDIRECT("G"&amp;ROW()),minfo!$A:$M,COLUMN()-8,0),"")</f>
        <v>0</v>
      </c>
      <c r="R1740" s="4">
        <f ca="1">_xlfn.IFNA(VLOOKUP(INDIRECT("G"&amp;ROW()),minfo!$A:$M,COLUMN()-8,0),"")</f>
        <v>0</v>
      </c>
      <c r="S1740" s="4">
        <f ca="1">_xlfn.IFNA(VLOOKUP(INDIRECT("G"&amp;ROW()),minfo!$A:$M,COLUMN()-8,0),"")</f>
        <v>0</v>
      </c>
      <c r="T1740" s="4">
        <f ca="1">_xlfn.IFNA(VLOOKUP(INDIRECT("G"&amp;ROW()),minfo!$A:$M,COLUMN()-8,0),"")</f>
        <v>0</v>
      </c>
      <c r="U1740" s="4">
        <f ca="1">_xlfn.IFNA(VLOOKUP(INDIRECT("G"&amp;ROW()),minfo!$A:$M,COLUMN()-8,0),"")</f>
        <v>0</v>
      </c>
    </row>
    <row r="1741" spans="1:21" ht="15.75" customHeight="1">
      <c r="A1741" s="15">
        <v>1740</v>
      </c>
      <c r="B1741" s="4" t="s">
        <v>5486</v>
      </c>
      <c r="D1741" s="4">
        <v>1</v>
      </c>
      <c r="E1741" s="4" t="s">
        <v>546</v>
      </c>
      <c r="F1741" s="16">
        <v>45361</v>
      </c>
      <c r="G1741" s="5" t="s">
        <v>545</v>
      </c>
      <c r="H1741" s="5" t="s">
        <v>5487</v>
      </c>
      <c r="I1741" s="24" t="str">
        <f>HYPERLINK("https://www.bilibili.com/video/BV1zW421c7gC", "BV1zW421c7gC")</f>
        <v>BV1zW421c7gC</v>
      </c>
      <c r="J1741" s="4" t="str">
        <f ca="1">_xlfn.IFNA(VLOOKUP(INDIRECT("G"&amp;ROW()),minfo!$A:$M,COLUMN()-8,0),"")</f>
        <v>阿楚姑娘</v>
      </c>
      <c r="K1741" s="4" t="str">
        <f ca="1">_xlfn.IFNA(VLOOKUP(INDIRECT("G"&amp;ROW()),minfo!$A:$M,COLUMN()-8,0),"")</f>
        <v>袁娅维TIA RAY</v>
      </c>
      <c r="L1741" s="4">
        <f ca="1">_xlfn.IFNA(VLOOKUP(INDIRECT("G"&amp;ROW()),minfo!$A:$M,COLUMN()-8,0),"")</f>
        <v>0</v>
      </c>
      <c r="M1741" s="4">
        <f ca="1">_xlfn.IFNA(VLOOKUP(INDIRECT("G"&amp;ROW()),minfo!$A:$M,COLUMN()-8,0),"")</f>
        <v>0</v>
      </c>
      <c r="N1741" s="4">
        <f ca="1">_xlfn.IFNA(VLOOKUP(INDIRECT("G"&amp;ROW()),minfo!$A:$M,COLUMN()-8,0),"")</f>
        <v>0</v>
      </c>
      <c r="O1741" s="4" t="str">
        <f ca="1">_xlfn.IFNA(VLOOKUP(INDIRECT("G"&amp;ROW()),minfo!$A:$M,COLUMN()-8,0),"")</f>
        <v>http://i0.hdslb.com/bfs/station_src/music_metadata/490252348b1df68e4145357b5fc3aad5.jpg</v>
      </c>
      <c r="P1741" s="4" t="str">
        <f ca="1">_xlfn.IFNA(VLOOKUP(INDIRECT("G"&amp;ROW()),minfo!$A:$M,COLUMN()-8,0),"")</f>
        <v>http://i0.hdslb.com/bfs/station_src/music_metadata/03c91235e156d3e1f46836f93beeb9f7</v>
      </c>
      <c r="Q1741" s="4">
        <f ca="1">_xlfn.IFNA(VLOOKUP(INDIRECT("G"&amp;ROW()),minfo!$A:$M,COLUMN()-8,0),"")</f>
        <v>139</v>
      </c>
      <c r="R1741" s="4">
        <f ca="1">_xlfn.IFNA(VLOOKUP(INDIRECT("G"&amp;ROW()),minfo!$A:$M,COLUMN()-8,0),"")</f>
        <v>0</v>
      </c>
      <c r="S1741" s="4" t="str">
        <f ca="1">_xlfn.IFNA(VLOOKUP(INDIRECT("G"&amp;ROW()),minfo!$A:$M,COLUMN()-8,0),"")</f>
        <v>阿楚姑娘</v>
      </c>
      <c r="T1741" s="4">
        <f ca="1">_xlfn.IFNA(VLOOKUP(INDIRECT("G"&amp;ROW()),minfo!$A:$M,COLUMN()-8,0),"")</f>
        <v>27303668</v>
      </c>
      <c r="U1741" s="4">
        <f ca="1">_xlfn.IFNA(VLOOKUP(INDIRECT("G"&amp;ROW()),minfo!$A:$M,COLUMN()-8,0),"")</f>
        <v>0</v>
      </c>
    </row>
    <row r="1742" spans="1:21" ht="15.75" customHeight="1">
      <c r="A1742" s="15">
        <v>1741</v>
      </c>
      <c r="B1742" s="4" t="s">
        <v>5488</v>
      </c>
      <c r="D1742" s="4">
        <v>1</v>
      </c>
      <c r="E1742" s="4" t="s">
        <v>95</v>
      </c>
      <c r="F1742" s="16">
        <v>45361</v>
      </c>
      <c r="G1742" s="5" t="s">
        <v>203</v>
      </c>
      <c r="H1742" s="5" t="s">
        <v>5489</v>
      </c>
      <c r="I1742" s="24" t="str">
        <f>HYPERLINK("https://www.bilibili.com/video/BV1Um411Z7LH", "BV1Um411Z7LH")</f>
        <v>BV1Um411Z7LH</v>
      </c>
      <c r="J1742" s="4" t="str">
        <f ca="1">_xlfn.IFNA(VLOOKUP(INDIRECT("G"&amp;ROW()),minfo!$A:$M,COLUMN()-8,0),"")</f>
        <v>不问天</v>
      </c>
      <c r="K1742" s="4" t="str">
        <f ca="1">_xlfn.IFNA(VLOOKUP(INDIRECT("G"&amp;ROW()),minfo!$A:$M,COLUMN()-8,0),"")</f>
        <v>说说Crystal</v>
      </c>
      <c r="L1742" s="4">
        <f ca="1">_xlfn.IFNA(VLOOKUP(INDIRECT("G"&amp;ROW()),minfo!$A:$M,COLUMN()-8,0),"")</f>
        <v>0</v>
      </c>
      <c r="M1742" s="4">
        <f ca="1">_xlfn.IFNA(VLOOKUP(INDIRECT("G"&amp;ROW()),minfo!$A:$M,COLUMN()-8,0),"")</f>
        <v>0</v>
      </c>
      <c r="N1742" s="4">
        <f ca="1">_xlfn.IFNA(VLOOKUP(INDIRECT("G"&amp;ROW()),minfo!$A:$M,COLUMN()-8,0),"")</f>
        <v>0</v>
      </c>
      <c r="O1742" s="4" t="str">
        <f ca="1">_xlfn.IFNA(VLOOKUP(INDIRECT("G"&amp;ROW()),minfo!$A:$M,COLUMN()-8,0),"")</f>
        <v>https://i0.hdslb.com/bfs/station_src/music_metadata/ce3a0da2a7e64a49fa42a6e3db521f57.jpg</v>
      </c>
      <c r="P1742" s="4" t="str">
        <f ca="1">_xlfn.IFNA(VLOOKUP(INDIRECT("G"&amp;ROW()),minfo!$A:$M,COLUMN()-8,0),"")</f>
        <v>https://i0.hdslb.com/bfs/station_src/music_metadata/02cd9198a33924449443fc704a92a25a.txt</v>
      </c>
      <c r="Q1742" s="4">
        <f ca="1">_xlfn.IFNA(VLOOKUP(INDIRECT("G"&amp;ROW()),minfo!$A:$M,COLUMN()-8,0),"")</f>
        <v>149</v>
      </c>
      <c r="R1742" s="4">
        <f ca="1">_xlfn.IFNA(VLOOKUP(INDIRECT("G"&amp;ROW()),minfo!$A:$M,COLUMN()-8,0),"")</f>
        <v>0</v>
      </c>
      <c r="S1742" s="4" t="str">
        <f ca="1">_xlfn.IFNA(VLOOKUP(INDIRECT("G"&amp;ROW()),minfo!$A:$M,COLUMN()-8,0),"")</f>
        <v>2021哔哩哔哩拜年纪</v>
      </c>
      <c r="T1742" s="4">
        <f ca="1">_xlfn.IFNA(VLOOKUP(INDIRECT("G"&amp;ROW()),minfo!$A:$M,COLUMN()-8,0),"")</f>
        <v>33137051</v>
      </c>
      <c r="U1742" s="4">
        <f ca="1">_xlfn.IFNA(VLOOKUP(INDIRECT("G"&amp;ROW()),minfo!$A:$M,COLUMN()-8,0),"")</f>
        <v>0</v>
      </c>
    </row>
    <row r="1743" spans="1:21" ht="15.75" customHeight="1">
      <c r="A1743" s="15">
        <v>1742</v>
      </c>
      <c r="B1743" s="4" t="s">
        <v>5490</v>
      </c>
      <c r="D1743" s="4">
        <v>1</v>
      </c>
      <c r="E1743" s="4" t="s">
        <v>579</v>
      </c>
      <c r="F1743" s="16">
        <v>45361</v>
      </c>
      <c r="G1743" s="5" t="s">
        <v>578</v>
      </c>
      <c r="H1743" s="5" t="s">
        <v>5491</v>
      </c>
      <c r="I1743" s="24" t="str">
        <f>HYPERLINK("https://www.bilibili.com/video/BV11w4m1d7Z4", "BV11w4m1d7Z4")</f>
        <v>BV11w4m1d7Z4</v>
      </c>
      <c r="J1743" s="4" t="str">
        <f ca="1">_xlfn.IFNA(VLOOKUP(INDIRECT("G"&amp;ROW()),minfo!$A:$M,COLUMN()-8,0),"")</f>
        <v>月光</v>
      </c>
      <c r="K1743" s="4" t="str">
        <f ca="1">_xlfn.IFNA(VLOOKUP(INDIRECT("G"&amp;ROW()),minfo!$A:$M,COLUMN()-8,0),"")</f>
        <v>胡彦斌</v>
      </c>
      <c r="L1743" s="4">
        <f ca="1">_xlfn.IFNA(VLOOKUP(INDIRECT("G"&amp;ROW()),minfo!$A:$M,COLUMN()-8,0),"")</f>
        <v>0</v>
      </c>
      <c r="M1743" s="4">
        <f ca="1">_xlfn.IFNA(VLOOKUP(INDIRECT("G"&amp;ROW()),minfo!$A:$M,COLUMN()-8,0),"")</f>
        <v>0</v>
      </c>
      <c r="N1743" s="4">
        <f ca="1">_xlfn.IFNA(VLOOKUP(INDIRECT("G"&amp;ROW()),minfo!$A:$M,COLUMN()-8,0),"")</f>
        <v>0</v>
      </c>
      <c r="O1743" s="4" t="str">
        <f ca="1">_xlfn.IFNA(VLOOKUP(INDIRECT("G"&amp;ROW()),minfo!$A:$M,COLUMN()-8,0),"")</f>
        <v>https://i0.hdslb.com/bfs/station_src/music_metadata/7cc411366d037e788cb0589e4b72b353.jpg</v>
      </c>
      <c r="P1743" s="4" t="str">
        <f ca="1">_xlfn.IFNA(VLOOKUP(INDIRECT("G"&amp;ROW()),minfo!$A:$M,COLUMN()-8,0),"")</f>
        <v>https://i0.hdslb.com/bfs/station_src/music_metadata/24b147c13fc9ffd4dfb30a3a88355255.txt</v>
      </c>
      <c r="Q1743" s="4">
        <f ca="1">_xlfn.IFNA(VLOOKUP(INDIRECT("G"&amp;ROW()),minfo!$A:$M,COLUMN()-8,0),"")</f>
        <v>3207</v>
      </c>
      <c r="R1743" s="4" t="str">
        <f ca="1">_xlfn.IFNA(VLOOKUP(INDIRECT("G"&amp;ROW()),minfo!$A:$M,COLUMN()-8,0),"")</f>
        <v>《秦时明月》动画主题曲|《秦时明月之君临天下》动画片头曲</v>
      </c>
      <c r="S1743" s="4" t="str">
        <f ca="1">_xlfn.IFNA(VLOOKUP(INDIRECT("G"&amp;ROW()),minfo!$A:$M,COLUMN()-8,0),"")</f>
        <v>男人歌 (全胜铂金版)</v>
      </c>
      <c r="T1743" s="4">
        <f ca="1">_xlfn.IFNA(VLOOKUP(INDIRECT("G"&amp;ROW()),minfo!$A:$M,COLUMN()-8,0),"")</f>
        <v>276993628</v>
      </c>
      <c r="U1743" s="4">
        <f ca="1">_xlfn.IFNA(VLOOKUP(INDIRECT("G"&amp;ROW()),minfo!$A:$M,COLUMN()-8,0),"")</f>
        <v>0</v>
      </c>
    </row>
    <row r="1744" spans="1:21" ht="15.75" customHeight="1">
      <c r="A1744" s="15">
        <v>1743</v>
      </c>
      <c r="B1744" s="4" t="s">
        <v>5492</v>
      </c>
      <c r="D1744" s="4">
        <v>1</v>
      </c>
      <c r="E1744" s="4" t="s">
        <v>232</v>
      </c>
      <c r="F1744" s="16">
        <v>45361</v>
      </c>
      <c r="G1744" s="5" t="s">
        <v>231</v>
      </c>
      <c r="H1744" s="5" t="s">
        <v>5493</v>
      </c>
      <c r="I1744" s="24" t="str">
        <f>HYPERLINK("https://www.bilibili.com/video/BV12i421d7b8", "BV12i421d7b8")</f>
        <v>BV12i421d7b8</v>
      </c>
      <c r="J1744" s="4" t="str">
        <f ca="1">_xlfn.IFNA(VLOOKUP(INDIRECT("G"&amp;ROW()),minfo!$A:$M,COLUMN()-8,0),"")</f>
        <v>若把你</v>
      </c>
      <c r="K1744" s="4" t="str">
        <f ca="1">_xlfn.IFNA(VLOOKUP(INDIRECT("G"&amp;ROW()),minfo!$A:$M,COLUMN()-8,0),"")</f>
        <v>Kirsty刘瑾睿</v>
      </c>
      <c r="L1744" s="4">
        <f ca="1">_xlfn.IFNA(VLOOKUP(INDIRECT("G"&amp;ROW()),minfo!$A:$M,COLUMN()-8,0),"")</f>
        <v>0</v>
      </c>
      <c r="M1744" s="4">
        <f ca="1">_xlfn.IFNA(VLOOKUP(INDIRECT("G"&amp;ROW()),minfo!$A:$M,COLUMN()-8,0),"")</f>
        <v>43546</v>
      </c>
      <c r="N1744" s="4">
        <f ca="1">_xlfn.IFNA(VLOOKUP(INDIRECT("G"&amp;ROW()),minfo!$A:$M,COLUMN()-8,0),"")</f>
        <v>6440</v>
      </c>
      <c r="O1744" s="4" t="str">
        <f ca="1">_xlfn.IFNA(VLOOKUP(INDIRECT("G"&amp;ROW()),minfo!$A:$M,COLUMN()-8,0),"")</f>
        <v>http://i0.hdslb.com/bfs/station_src/music_metadata/e535448192dd1b72f950d8bf47d14597.jpg</v>
      </c>
      <c r="P1744" s="4">
        <f ca="1">_xlfn.IFNA(VLOOKUP(INDIRECT("G"&amp;ROW()),minfo!$A:$M,COLUMN()-8,0),"")</f>
        <v>0</v>
      </c>
      <c r="Q1744" s="4">
        <f ca="1">_xlfn.IFNA(VLOOKUP(INDIRECT("G"&amp;ROW()),minfo!$A:$M,COLUMN()-8,0),"")</f>
        <v>2370</v>
      </c>
      <c r="R1744" s="4">
        <f ca="1">_xlfn.IFNA(VLOOKUP(INDIRECT("G"&amp;ROW()),minfo!$A:$M,COLUMN()-8,0),"")</f>
        <v>0</v>
      </c>
      <c r="S1744" s="4" t="str">
        <f ca="1">_xlfn.IFNA(VLOOKUP(INDIRECT("G"&amp;ROW()),minfo!$A:$M,COLUMN()-8,0),"")</f>
        <v>若把你</v>
      </c>
      <c r="T1744" s="4">
        <f ca="1">_xlfn.IFNA(VLOOKUP(INDIRECT("G"&amp;ROW()),minfo!$A:$M,COLUMN()-8,0),"")</f>
        <v>316650487</v>
      </c>
      <c r="U1744" s="4" t="str">
        <f ca="1">_xlfn.IFNA(VLOOKUP(INDIRECT("G"&amp;ROW()),minfo!$A:$M,COLUMN()-8,0),"")</f>
        <v>音乐榜最高NO.7</v>
      </c>
    </row>
    <row r="1745" spans="1:21" ht="15.75" customHeight="1">
      <c r="A1745" s="15">
        <v>1744</v>
      </c>
      <c r="B1745" s="4" t="s">
        <v>5494</v>
      </c>
      <c r="D1745" s="4">
        <v>1</v>
      </c>
      <c r="E1745" s="4" t="s">
        <v>2968</v>
      </c>
      <c r="F1745" s="16">
        <v>45361</v>
      </c>
      <c r="G1745" s="5" t="s">
        <v>2967</v>
      </c>
      <c r="H1745" s="5" t="s">
        <v>5495</v>
      </c>
      <c r="I1745" s="24" t="str">
        <f>HYPERLINK("https://www.bilibili.com/video/BV1jD421E7Nf", "BV1jD421E7Nf")</f>
        <v>BV1jD421E7Nf</v>
      </c>
      <c r="J1745" s="4" t="str">
        <f ca="1">_xlfn.IFNA(VLOOKUP(INDIRECT("G"&amp;ROW()),minfo!$A:$M,COLUMN()-8,0),"")</f>
        <v>苏幕遮</v>
      </c>
      <c r="K1745" s="4" t="str">
        <f ca="1">_xlfn.IFNA(VLOOKUP(INDIRECT("G"&amp;ROW()),minfo!$A:$M,COLUMN()-8,0),"")</f>
        <v>张晓棠</v>
      </c>
      <c r="L1745" s="4">
        <f ca="1">_xlfn.IFNA(VLOOKUP(INDIRECT("G"&amp;ROW()),minfo!$A:$M,COLUMN()-8,0),"")</f>
        <v>0</v>
      </c>
      <c r="M1745" s="4">
        <f ca="1">_xlfn.IFNA(VLOOKUP(INDIRECT("G"&amp;ROW()),minfo!$A:$M,COLUMN()-8,0),"")</f>
        <v>0</v>
      </c>
      <c r="N1745" s="4">
        <f ca="1">_xlfn.IFNA(VLOOKUP(INDIRECT("G"&amp;ROW()),minfo!$A:$M,COLUMN()-8,0),"")</f>
        <v>0</v>
      </c>
      <c r="O1745" s="4" t="str">
        <f ca="1">_xlfn.IFNA(VLOOKUP(INDIRECT("G"&amp;ROW()),minfo!$A:$M,COLUMN()-8,0),"")</f>
        <v>https://i0.hdslb.com/bfs/station_src/music_metadata/6d4abb378985a85772919adec194ad14.jpg</v>
      </c>
      <c r="P1745" s="4" t="str">
        <f ca="1">_xlfn.IFNA(VLOOKUP(INDIRECT("G"&amp;ROW()),minfo!$A:$M,COLUMN()-8,0),"")</f>
        <v>https://i0.hdslb.com/bfs/station_src/music_metadata/9ecf2ddeccc8f5c9bd142df102c737bf.lrc</v>
      </c>
      <c r="Q1745" s="4">
        <f ca="1">_xlfn.IFNA(VLOOKUP(INDIRECT("G"&amp;ROW()),minfo!$A:$M,COLUMN()-8,0),"")</f>
        <v>2045</v>
      </c>
      <c r="R1745" s="4">
        <f ca="1">_xlfn.IFNA(VLOOKUP(INDIRECT("G"&amp;ROW()),minfo!$A:$M,COLUMN()-8,0),"")</f>
        <v>0</v>
      </c>
      <c r="S1745" s="4" t="str">
        <f ca="1">_xlfn.IFNA(VLOOKUP(INDIRECT("G"&amp;ROW()),minfo!$A:$M,COLUMN()-8,0),"")</f>
        <v>盛世好风光</v>
      </c>
      <c r="T1745" s="4">
        <f ca="1">_xlfn.IFNA(VLOOKUP(INDIRECT("G"&amp;ROW()),minfo!$A:$M,COLUMN()-8,0),"")</f>
        <v>250489326</v>
      </c>
      <c r="U1745" s="4" t="str">
        <f ca="1">_xlfn.IFNA(VLOOKUP(INDIRECT("G"&amp;ROW()),minfo!$A:$M,COLUMN()-8,0),"")</f>
        <v>音乐榜最高NO.20</v>
      </c>
    </row>
    <row r="1746" spans="1:21" ht="15.75" customHeight="1">
      <c r="A1746" s="15">
        <v>1745</v>
      </c>
      <c r="B1746" s="4" t="s">
        <v>5496</v>
      </c>
      <c r="D1746" s="4">
        <v>1</v>
      </c>
      <c r="E1746" s="4" t="s">
        <v>1719</v>
      </c>
      <c r="F1746" s="16">
        <v>45361</v>
      </c>
      <c r="G1746" s="5" t="s">
        <v>1718</v>
      </c>
      <c r="H1746" s="5" t="s">
        <v>5497</v>
      </c>
      <c r="I1746" s="24" t="str">
        <f>HYPERLINK("https://www.bilibili.com/video/BV1Wt421V73r", "BV1Wt421V73r")</f>
        <v>BV1Wt421V73r</v>
      </c>
      <c r="J1746" s="4" t="str">
        <f ca="1">_xlfn.IFNA(VLOOKUP(INDIRECT("G"&amp;ROW()),minfo!$A:$M,COLUMN()-8,0),"")</f>
        <v>达尔文</v>
      </c>
      <c r="K1746" s="4" t="str">
        <f ca="1">_xlfn.IFNA(VLOOKUP(INDIRECT("G"&amp;ROW()),minfo!$A:$M,COLUMN()-8,0),"")</f>
        <v>蔡健雅</v>
      </c>
      <c r="L1746" s="4">
        <f ca="1">_xlfn.IFNA(VLOOKUP(INDIRECT("G"&amp;ROW()),minfo!$A:$M,COLUMN()-8,0),"")</f>
        <v>0</v>
      </c>
      <c r="M1746" s="4">
        <f ca="1">_xlfn.IFNA(VLOOKUP(INDIRECT("G"&amp;ROW()),minfo!$A:$M,COLUMN()-8,0),"")</f>
        <v>61</v>
      </c>
      <c r="N1746" s="4">
        <f ca="1">_xlfn.IFNA(VLOOKUP(INDIRECT("G"&amp;ROW()),minfo!$A:$M,COLUMN()-8,0),"")</f>
        <v>23</v>
      </c>
      <c r="O1746" s="4" t="str">
        <f ca="1">_xlfn.IFNA(VLOOKUP(INDIRECT("G"&amp;ROW()),minfo!$A:$M,COLUMN()-8,0),"")</f>
        <v>http://i2.hdslb.com/bfs/archive/0d88147503c1678b5c14f01bf912438f0e18189c.jpg</v>
      </c>
      <c r="P1746" s="4">
        <f ca="1">_xlfn.IFNA(VLOOKUP(INDIRECT("G"&amp;ROW()),minfo!$A:$M,COLUMN()-8,0),"")</f>
        <v>0</v>
      </c>
      <c r="Q1746" s="4">
        <f ca="1">_xlfn.IFNA(VLOOKUP(INDIRECT("G"&amp;ROW()),minfo!$A:$M,COLUMN()-8,0),"")</f>
        <v>275</v>
      </c>
      <c r="R1746" s="4" t="str">
        <f ca="1">_xlfn.IFNA(VLOOKUP(INDIRECT("G"&amp;ROW()),minfo!$A:$M,COLUMN()-8,0),"")</f>
        <v>达尔文</v>
      </c>
      <c r="S1746" s="4" t="str">
        <f ca="1">_xlfn.IFNA(VLOOKUP(INDIRECT("G"&amp;ROW()),minfo!$A:$M,COLUMN()-8,0),"")</f>
        <v>达尔文</v>
      </c>
      <c r="T1746" s="4">
        <f ca="1">_xlfn.IFNA(VLOOKUP(INDIRECT("G"&amp;ROW()),minfo!$A:$M,COLUMN()-8,0),"")</f>
        <v>108423038</v>
      </c>
      <c r="U1746" s="4">
        <f ca="1">_xlfn.IFNA(VLOOKUP(INDIRECT("G"&amp;ROW()),minfo!$A:$M,COLUMN()-8,0),"")</f>
        <v>0</v>
      </c>
    </row>
    <row r="1747" spans="1:21" ht="15.75" customHeight="1">
      <c r="A1747" s="15">
        <v>1746</v>
      </c>
      <c r="B1747" s="4" t="s">
        <v>5498</v>
      </c>
      <c r="D1747" s="4">
        <v>1</v>
      </c>
      <c r="E1747" s="4" t="s">
        <v>879</v>
      </c>
      <c r="F1747" s="16">
        <v>45361</v>
      </c>
      <c r="G1747" s="5" t="s">
        <v>878</v>
      </c>
      <c r="H1747" s="5" t="s">
        <v>5499</v>
      </c>
      <c r="I1747" s="24" t="str">
        <f>HYPERLINK("https://www.bilibili.com/video/BV11x4y1Q7z9", "BV11x4y1Q7z9")</f>
        <v>BV11x4y1Q7z9</v>
      </c>
      <c r="J1747" s="4" t="str">
        <f ca="1">_xlfn.IFNA(VLOOKUP(INDIRECT("G"&amp;ROW()),minfo!$A:$M,COLUMN()-8,0),"")</f>
        <v>发如雪</v>
      </c>
      <c r="K1747" s="4" t="str">
        <f ca="1">_xlfn.IFNA(VLOOKUP(INDIRECT("G"&amp;ROW()),minfo!$A:$M,COLUMN()-8,0),"")</f>
        <v>周杰伦</v>
      </c>
      <c r="L1747" s="4">
        <f ca="1">_xlfn.IFNA(VLOOKUP(INDIRECT("G"&amp;ROW()),minfo!$A:$M,COLUMN()-8,0),"")</f>
        <v>0</v>
      </c>
      <c r="M1747" s="4">
        <f ca="1">_xlfn.IFNA(VLOOKUP(INDIRECT("G"&amp;ROW()),minfo!$A:$M,COLUMN()-8,0),"")</f>
        <v>0</v>
      </c>
      <c r="N1747" s="4">
        <f ca="1">_xlfn.IFNA(VLOOKUP(INDIRECT("G"&amp;ROW()),minfo!$A:$M,COLUMN()-8,0),"")</f>
        <v>0</v>
      </c>
      <c r="O1747" s="4" t="str">
        <f ca="1">_xlfn.IFNA(VLOOKUP(INDIRECT("G"&amp;ROW()),minfo!$A:$M,COLUMN()-8,0),"")</f>
        <v>https://i0.hdslb.com/bfs/station_src/music_metadata/4f19787695e451c7ec6f082affe19c57.jpg</v>
      </c>
      <c r="P1747" s="4" t="str">
        <f ca="1">_xlfn.IFNA(VLOOKUP(INDIRECT("G"&amp;ROW()),minfo!$A:$M,COLUMN()-8,0),"")</f>
        <v>http://i0.hdslb.com/bfs/station_src/music_metadata/e48762ee9e6f3b4048f790c705f187cd</v>
      </c>
      <c r="Q1747" s="4">
        <f ca="1">_xlfn.IFNA(VLOOKUP(INDIRECT("G"&amp;ROW()),minfo!$A:$M,COLUMN()-8,0),"")</f>
        <v>5236</v>
      </c>
      <c r="R1747" s="4">
        <f ca="1">_xlfn.IFNA(VLOOKUP(INDIRECT("G"&amp;ROW()),minfo!$A:$M,COLUMN()-8,0),"")</f>
        <v>0</v>
      </c>
      <c r="S1747" s="4" t="str">
        <f ca="1">_xlfn.IFNA(VLOOKUP(INDIRECT("G"&amp;ROW()),minfo!$A:$M,COLUMN()-8,0),"")</f>
        <v>十一月的萧邦</v>
      </c>
      <c r="T1747" s="4">
        <f ca="1">_xlfn.IFNA(VLOOKUP(INDIRECT("G"&amp;ROW()),minfo!$A:$M,COLUMN()-8,0),"")</f>
        <v>561545897</v>
      </c>
      <c r="U1747" s="4">
        <f ca="1">_xlfn.IFNA(VLOOKUP(INDIRECT("G"&amp;ROW()),minfo!$A:$M,COLUMN()-8,0),"")</f>
        <v>0</v>
      </c>
    </row>
    <row r="1748" spans="1:21" ht="15.75" customHeight="1">
      <c r="A1748" s="15">
        <v>1747</v>
      </c>
      <c r="B1748" s="4" t="s">
        <v>5500</v>
      </c>
      <c r="D1748" s="4">
        <v>1</v>
      </c>
      <c r="E1748" s="4" t="s">
        <v>259</v>
      </c>
      <c r="F1748" s="16">
        <v>45363</v>
      </c>
      <c r="G1748" s="5" t="s">
        <v>258</v>
      </c>
      <c r="H1748" s="5" t="s">
        <v>5501</v>
      </c>
      <c r="I1748" s="24" t="str">
        <f>HYPERLINK("https://www.bilibili.com/video/BV1ri421o7aE", "BV1ri421o7aE")</f>
        <v>BV1ri421o7aE</v>
      </c>
      <c r="J1748" s="4" t="str">
        <f ca="1">_xlfn.IFNA(VLOOKUP(INDIRECT("G"&amp;ROW()),minfo!$A:$M,COLUMN()-8,0),"")</f>
        <v>枫</v>
      </c>
      <c r="K1748" s="4" t="str">
        <f ca="1">_xlfn.IFNA(VLOOKUP(INDIRECT("G"&amp;ROW()),minfo!$A:$M,COLUMN()-8,0),"")</f>
        <v>周杰伦</v>
      </c>
      <c r="L1748" s="4">
        <f ca="1">_xlfn.IFNA(VLOOKUP(INDIRECT("G"&amp;ROW()),minfo!$A:$M,COLUMN()-8,0),"")</f>
        <v>0</v>
      </c>
      <c r="M1748" s="4">
        <f ca="1">_xlfn.IFNA(VLOOKUP(INDIRECT("G"&amp;ROW()),minfo!$A:$M,COLUMN()-8,0),"")</f>
        <v>0</v>
      </c>
      <c r="N1748" s="4">
        <f ca="1">_xlfn.IFNA(VLOOKUP(INDIRECT("G"&amp;ROW()),minfo!$A:$M,COLUMN()-8,0),"")</f>
        <v>0</v>
      </c>
      <c r="O1748" s="4" t="str">
        <f ca="1">_xlfn.IFNA(VLOOKUP(INDIRECT("G"&amp;ROW()),minfo!$A:$M,COLUMN()-8,0),"")</f>
        <v>https://i0.hdslb.com/bfs/station_src/music_metadata/fb82b0fb2908b09d88ba13ef0db91863.jpg</v>
      </c>
      <c r="P1748" s="4" t="str">
        <f ca="1">_xlfn.IFNA(VLOOKUP(INDIRECT("G"&amp;ROW()),minfo!$A:$M,COLUMN()-8,0),"")</f>
        <v>http://i0.hdslb.com/bfs/station_src/music_metadata/9b1e7a89ea3eead8b8c6b32cdb30abd9</v>
      </c>
      <c r="Q1748" s="4">
        <f ca="1">_xlfn.IFNA(VLOOKUP(INDIRECT("G"&amp;ROW()),minfo!$A:$M,COLUMN()-8,0),"")</f>
        <v>6002</v>
      </c>
      <c r="R1748" s="4">
        <f ca="1">_xlfn.IFNA(VLOOKUP(INDIRECT("G"&amp;ROW()),minfo!$A:$M,COLUMN()-8,0),"")</f>
        <v>0</v>
      </c>
      <c r="S1748" s="4" t="str">
        <f ca="1">_xlfn.IFNA(VLOOKUP(INDIRECT("G"&amp;ROW()),minfo!$A:$M,COLUMN()-8,0),"")</f>
        <v>十一月的萧邦</v>
      </c>
      <c r="T1748" s="4">
        <f ca="1">_xlfn.IFNA(VLOOKUP(INDIRECT("G"&amp;ROW()),minfo!$A:$M,COLUMN()-8,0),"")</f>
        <v>560749777</v>
      </c>
      <c r="U1748" s="4">
        <f ca="1">_xlfn.IFNA(VLOOKUP(INDIRECT("G"&amp;ROW()),minfo!$A:$M,COLUMN()-8,0),"")</f>
        <v>0</v>
      </c>
    </row>
    <row r="1749" spans="1:21" ht="15.75" customHeight="1">
      <c r="A1749" s="15">
        <v>1748</v>
      </c>
      <c r="B1749" s="4" t="s">
        <v>5502</v>
      </c>
      <c r="D1749" s="4">
        <v>1</v>
      </c>
      <c r="E1749" s="4" t="s">
        <v>47</v>
      </c>
      <c r="F1749" s="16">
        <v>45363</v>
      </c>
      <c r="G1749" s="5" t="s">
        <v>46</v>
      </c>
      <c r="H1749" s="5" t="s">
        <v>5503</v>
      </c>
      <c r="I1749" s="24" t="str">
        <f>HYPERLINK("https://www.bilibili.com/video/BV1Qj421U7DP", "BV1Qj421U7DP")</f>
        <v>BV1Qj421U7DP</v>
      </c>
      <c r="J1749" s="4" t="str">
        <f ca="1">_xlfn.IFNA(VLOOKUP(INDIRECT("G"&amp;ROW()),minfo!$A:$M,COLUMN()-8,0),"")</f>
        <v>在夜里跳舞</v>
      </c>
      <c r="K1749" s="4" t="str">
        <f ca="1">_xlfn.IFNA(VLOOKUP(INDIRECT("G"&amp;ROW()),minfo!$A:$M,COLUMN()-8,0),"")</f>
        <v>单依纯</v>
      </c>
      <c r="L1749" s="4">
        <f ca="1">_xlfn.IFNA(VLOOKUP(INDIRECT("G"&amp;ROW()),minfo!$A:$M,COLUMN()-8,0),"")</f>
        <v>0</v>
      </c>
      <c r="M1749" s="4">
        <f ca="1">_xlfn.IFNA(VLOOKUP(INDIRECT("G"&amp;ROW()),minfo!$A:$M,COLUMN()-8,0),"")</f>
        <v>0</v>
      </c>
      <c r="N1749" s="4">
        <f ca="1">_xlfn.IFNA(VLOOKUP(INDIRECT("G"&amp;ROW()),minfo!$A:$M,COLUMN()-8,0),"")</f>
        <v>0</v>
      </c>
      <c r="O1749" s="4" t="str">
        <f ca="1">_xlfn.IFNA(VLOOKUP(INDIRECT("G"&amp;ROW()),minfo!$A:$M,COLUMN()-8,0),"")</f>
        <v>https://i0.hdslb.com/bfs/station_src/music_metadata/8290748e31edb0e5ad1e0965087b2aab.jpg</v>
      </c>
      <c r="P1749" s="4" t="str">
        <f ca="1">_xlfn.IFNA(VLOOKUP(INDIRECT("G"&amp;ROW()),minfo!$A:$M,COLUMN()-8,0),"")</f>
        <v>http://i0.hdslb.com/bfs/station_src/music_metadata/29d5595276e7ec7758df19c35809517b</v>
      </c>
      <c r="Q1749" s="4">
        <f ca="1">_xlfn.IFNA(VLOOKUP(INDIRECT("G"&amp;ROW()),minfo!$A:$M,COLUMN()-8,0),"")</f>
        <v>298</v>
      </c>
      <c r="R1749" s="4">
        <f ca="1">_xlfn.IFNA(VLOOKUP(INDIRECT("G"&amp;ROW()),minfo!$A:$M,COLUMN()-8,0),"")</f>
        <v>0</v>
      </c>
      <c r="S1749" s="4" t="str">
        <f ca="1">_xlfn.IFNA(VLOOKUP(INDIRECT("G"&amp;ROW()),minfo!$A:$M,COLUMN()-8,0),"")</f>
        <v>在夜里跳舞</v>
      </c>
      <c r="T1749" s="4">
        <f ca="1">_xlfn.IFNA(VLOOKUP(INDIRECT("G"&amp;ROW()),minfo!$A:$M,COLUMN()-8,0),"")</f>
        <v>21106106</v>
      </c>
      <c r="U1749" s="4">
        <f ca="1">_xlfn.IFNA(VLOOKUP(INDIRECT("G"&amp;ROW()),minfo!$A:$M,COLUMN()-8,0),"")</f>
        <v>0</v>
      </c>
    </row>
    <row r="1750" spans="1:21" ht="15.75" customHeight="1">
      <c r="A1750" s="15">
        <v>1749</v>
      </c>
      <c r="B1750" s="4" t="s">
        <v>5504</v>
      </c>
      <c r="D1750" s="4">
        <v>1</v>
      </c>
      <c r="E1750" s="4" t="s">
        <v>1478</v>
      </c>
      <c r="F1750" s="16">
        <v>45363</v>
      </c>
      <c r="G1750" s="5" t="s">
        <v>1477</v>
      </c>
      <c r="H1750" s="5" t="s">
        <v>5505</v>
      </c>
      <c r="I1750" s="24" t="str">
        <f>HYPERLINK("https://www.bilibili.com/video/BV16K421x7Et", "BV16K421x7Et")</f>
        <v>BV16K421x7Et</v>
      </c>
      <c r="J1750" s="4" t="str">
        <f ca="1">_xlfn.IFNA(VLOOKUP(INDIRECT("G"&amp;ROW()),minfo!$A:$M,COLUMN()-8,0),"")</f>
        <v>想你时风起</v>
      </c>
      <c r="K1750" s="4" t="str">
        <f ca="1">_xlfn.IFNA(VLOOKUP(INDIRECT("G"&amp;ROW()),minfo!$A:$M,COLUMN()-8,0),"")</f>
        <v>单依纯</v>
      </c>
      <c r="L1750" s="4">
        <f ca="1">_xlfn.IFNA(VLOOKUP(INDIRECT("G"&amp;ROW()),minfo!$A:$M,COLUMN()-8,0),"")</f>
        <v>0</v>
      </c>
      <c r="M1750" s="4">
        <f ca="1">_xlfn.IFNA(VLOOKUP(INDIRECT("G"&amp;ROW()),minfo!$A:$M,COLUMN()-8,0),"")</f>
        <v>0</v>
      </c>
      <c r="N1750" s="4">
        <f ca="1">_xlfn.IFNA(VLOOKUP(INDIRECT("G"&amp;ROW()),minfo!$A:$M,COLUMN()-8,0),"")</f>
        <v>0</v>
      </c>
      <c r="O1750" s="4" t="str">
        <f ca="1">_xlfn.IFNA(VLOOKUP(INDIRECT("G"&amp;ROW()),minfo!$A:$M,COLUMN()-8,0),"")</f>
        <v>http://i0.hdslb.com/bfs/station_src/music_metadata/690d5f026cf42acdf74154d42a9e4aec.jpg</v>
      </c>
      <c r="P1750" s="4">
        <f ca="1">_xlfn.IFNA(VLOOKUP(INDIRECT("G"&amp;ROW()),minfo!$A:$M,COLUMN()-8,0),"")</f>
        <v>0</v>
      </c>
      <c r="Q1750" s="4">
        <f ca="1">_xlfn.IFNA(VLOOKUP(INDIRECT("G"&amp;ROW()),minfo!$A:$M,COLUMN()-8,0),"")</f>
        <v>710</v>
      </c>
      <c r="R1750" s="4">
        <f ca="1">_xlfn.IFNA(VLOOKUP(INDIRECT("G"&amp;ROW()),minfo!$A:$M,COLUMN()-8,0),"")</f>
        <v>0</v>
      </c>
      <c r="S1750" s="4" t="str">
        <f ca="1">_xlfn.IFNA(VLOOKUP(INDIRECT("G"&amp;ROW()),minfo!$A:$M,COLUMN()-8,0),"")</f>
        <v>想你时风起</v>
      </c>
      <c r="T1750" s="4">
        <f ca="1">_xlfn.IFNA(VLOOKUP(INDIRECT("G"&amp;ROW()),minfo!$A:$M,COLUMN()-8,0),"")</f>
        <v>48566163</v>
      </c>
      <c r="U1750" s="4">
        <f ca="1">_xlfn.IFNA(VLOOKUP(INDIRECT("G"&amp;ROW()),minfo!$A:$M,COLUMN()-8,0),"")</f>
        <v>0</v>
      </c>
    </row>
    <row r="1751" spans="1:21" ht="15.75" customHeight="1">
      <c r="A1751" s="15">
        <v>1750</v>
      </c>
      <c r="D1751" s="4">
        <v>1</v>
      </c>
      <c r="E1751" s="4" t="s">
        <v>174</v>
      </c>
      <c r="F1751" s="16">
        <v>45361</v>
      </c>
      <c r="G1751" s="5" t="s">
        <v>173</v>
      </c>
      <c r="H1751" s="5" t="s">
        <v>5506</v>
      </c>
      <c r="I1751" s="24" t="str">
        <f>HYPERLINK("https://www.bilibili.com/video/BV1JW421c7EF?p=1", "BV1JW421c7EF?p=1")</f>
        <v>BV1JW421c7EF?p=1</v>
      </c>
      <c r="J1751" s="4" t="str">
        <f ca="1">_xlfn.IFNA(VLOOKUP(INDIRECT("G"&amp;ROW()),minfo!$A:$M,COLUMN()-8,0),"")</f>
        <v>凤凰于飞</v>
      </c>
      <c r="K1751" s="4" t="str">
        <f ca="1">_xlfn.IFNA(VLOOKUP(INDIRECT("G"&amp;ROW()),minfo!$A:$M,COLUMN()-8,0),"")</f>
        <v>刘欢</v>
      </c>
      <c r="L1751" s="4">
        <f ca="1">_xlfn.IFNA(VLOOKUP(INDIRECT("G"&amp;ROW()),minfo!$A:$M,COLUMN()-8,0),"")</f>
        <v>0</v>
      </c>
      <c r="M1751" s="4">
        <f ca="1">_xlfn.IFNA(VLOOKUP(INDIRECT("G"&amp;ROW()),minfo!$A:$M,COLUMN()-8,0),"")</f>
        <v>0</v>
      </c>
      <c r="N1751" s="4">
        <f ca="1">_xlfn.IFNA(VLOOKUP(INDIRECT("G"&amp;ROW()),minfo!$A:$M,COLUMN()-8,0),"")</f>
        <v>0</v>
      </c>
      <c r="O1751" s="4" t="str">
        <f ca="1">_xlfn.IFNA(VLOOKUP(INDIRECT("G"&amp;ROW()),minfo!$A:$M,COLUMN()-8,0),"")</f>
        <v>http://i0.hdslb.com/bfs/station_src/music_metadata/e79a9de01b54f31e1325f08d027df491.jpg</v>
      </c>
      <c r="P1751" s="4" t="str">
        <f ca="1">_xlfn.IFNA(VLOOKUP(INDIRECT("G"&amp;ROW()),minfo!$A:$M,COLUMN()-8,0),"")</f>
        <v>https://i0.hdslb.com/bfs/station_src/music_metadata/8acc1e725a603aac9fd6af9048ff08df.txt</v>
      </c>
      <c r="Q1751" s="4">
        <f ca="1">_xlfn.IFNA(VLOOKUP(INDIRECT("G"&amp;ROW()),minfo!$A:$M,COLUMN()-8,0),"")</f>
        <v>379</v>
      </c>
      <c r="R1751" s="4">
        <f ca="1">_xlfn.IFNA(VLOOKUP(INDIRECT("G"&amp;ROW()),minfo!$A:$M,COLUMN()-8,0),"")</f>
        <v>0</v>
      </c>
      <c r="S1751" s="4" t="str">
        <f ca="1">_xlfn.IFNA(VLOOKUP(INDIRECT("G"&amp;ROW()),minfo!$A:$M,COLUMN()-8,0),"")</f>
        <v>甄嬛传主题曲</v>
      </c>
      <c r="T1751" s="4">
        <f ca="1">_xlfn.IFNA(VLOOKUP(INDIRECT("G"&amp;ROW()),minfo!$A:$M,COLUMN()-8,0),"")</f>
        <v>64254104</v>
      </c>
      <c r="U1751" s="4">
        <f ca="1">_xlfn.IFNA(VLOOKUP(INDIRECT("G"&amp;ROW()),minfo!$A:$M,COLUMN()-8,0),"")</f>
        <v>0</v>
      </c>
    </row>
    <row r="1752" spans="1:21" ht="15.75" customHeight="1">
      <c r="A1752" s="15">
        <v>1751</v>
      </c>
      <c r="D1752" s="4">
        <v>1</v>
      </c>
      <c r="E1752" s="4" t="s">
        <v>3131</v>
      </c>
      <c r="F1752" s="16">
        <v>45364</v>
      </c>
      <c r="G1752" s="5" t="s">
        <v>3130</v>
      </c>
      <c r="H1752" s="5" t="s">
        <v>5507</v>
      </c>
      <c r="I1752" s="24" t="str">
        <f>HYPERLINK("https://www.bilibili.com/video/BV1LJ4m187WK?p=1", "BV1LJ4m187WK?p=1")</f>
        <v>BV1LJ4m187WK?p=1</v>
      </c>
      <c r="J1752" s="4" t="str">
        <f ca="1">_xlfn.IFNA(VLOOKUP(INDIRECT("G"&amp;ROW()),minfo!$A:$M,COLUMN()-8,0),"")</f>
        <v>想把哥哥追</v>
      </c>
      <c r="K1752" s="4" t="str">
        <f ca="1">_xlfn.IFNA(VLOOKUP(INDIRECT("G"&amp;ROW()),minfo!$A:$M,COLUMN()-8,0),"")</f>
        <v>6a会魔法</v>
      </c>
      <c r="L1752" s="4">
        <f ca="1">_xlfn.IFNA(VLOOKUP(INDIRECT("G"&amp;ROW()),minfo!$A:$M,COLUMN()-8,0),"")</f>
        <v>0</v>
      </c>
      <c r="M1752" s="4">
        <f ca="1">_xlfn.IFNA(VLOOKUP(INDIRECT("G"&amp;ROW()),minfo!$A:$M,COLUMN()-8,0),"")</f>
        <v>0</v>
      </c>
      <c r="N1752" s="4">
        <f ca="1">_xlfn.IFNA(VLOOKUP(INDIRECT("G"&amp;ROW()),minfo!$A:$M,COLUMN()-8,0),"")</f>
        <v>0</v>
      </c>
      <c r="O1752" s="4" t="str">
        <f ca="1">_xlfn.IFNA(VLOOKUP(INDIRECT("G"&amp;ROW()),minfo!$A:$M,COLUMN()-8,0),"")</f>
        <v>https://i0.hdslb.com/bfs/station_src/music_metadata/5a796e31f4703d0b8dc745487432b038.jpg</v>
      </c>
      <c r="P1752" s="4" t="str">
        <f ca="1">_xlfn.IFNA(VLOOKUP(INDIRECT("G"&amp;ROW()),minfo!$A:$M,COLUMN()-8,0),"")</f>
        <v>https://i0.hdslb.com/bfs/station_src/music_metadata/2a6dda5a27efb1f0ac5a1a2202696ef3.txt</v>
      </c>
      <c r="Q1752" s="4">
        <f ca="1">_xlfn.IFNA(VLOOKUP(INDIRECT("G"&amp;ROW()),minfo!$A:$M,COLUMN()-8,0),"")</f>
        <v>98</v>
      </c>
      <c r="R1752" s="4">
        <f ca="1">_xlfn.IFNA(VLOOKUP(INDIRECT("G"&amp;ROW()),minfo!$A:$M,COLUMN()-8,0),"")</f>
        <v>0</v>
      </c>
      <c r="S1752" s="4" t="str">
        <f ca="1">_xlfn.IFNA(VLOOKUP(INDIRECT("G"&amp;ROW()),minfo!$A:$M,COLUMN()-8,0),"")</f>
        <v>想把哥哥追</v>
      </c>
      <c r="T1752" s="4">
        <f ca="1">_xlfn.IFNA(VLOOKUP(INDIRECT("G"&amp;ROW()),minfo!$A:$M,COLUMN()-8,0),"")</f>
        <v>12394708</v>
      </c>
      <c r="U1752" s="4">
        <f ca="1">_xlfn.IFNA(VLOOKUP(INDIRECT("G"&amp;ROW()),minfo!$A:$M,COLUMN()-8,0),"")</f>
        <v>0</v>
      </c>
    </row>
    <row r="1753" spans="1:21" ht="15.75" customHeight="1">
      <c r="A1753" s="15">
        <v>1752</v>
      </c>
      <c r="D1753" s="4">
        <v>1</v>
      </c>
      <c r="E1753" s="4" t="s">
        <v>530</v>
      </c>
      <c r="F1753" s="16">
        <v>45364</v>
      </c>
      <c r="G1753" s="5" t="s">
        <v>529</v>
      </c>
      <c r="H1753" s="5" t="s">
        <v>5508</v>
      </c>
      <c r="I1753" s="24" t="str">
        <f>HYPERLINK("https://www.bilibili.com/video/BV1NF4m1w7xw?p=1", "BV1NF4m1w7xw?p=1")</f>
        <v>BV1NF4m1w7xw?p=1</v>
      </c>
      <c r="J1753" s="4" t="str">
        <f ca="1">_xlfn.IFNA(VLOOKUP(INDIRECT("G"&amp;ROW()),minfo!$A:$M,COLUMN()-8,0),"")</f>
        <v>身骑白马</v>
      </c>
      <c r="K1753" s="4" t="str">
        <f ca="1">_xlfn.IFNA(VLOOKUP(INDIRECT("G"&amp;ROW()),minfo!$A:$M,COLUMN()-8,0),"")</f>
        <v>徐佳莹</v>
      </c>
      <c r="L1753" s="4">
        <f ca="1">_xlfn.IFNA(VLOOKUP(INDIRECT("G"&amp;ROW()),minfo!$A:$M,COLUMN()-8,0),"")</f>
        <v>0</v>
      </c>
      <c r="M1753" s="4">
        <f ca="1">_xlfn.IFNA(VLOOKUP(INDIRECT("G"&amp;ROW()),minfo!$A:$M,COLUMN()-8,0),"")</f>
        <v>0</v>
      </c>
      <c r="N1753" s="4">
        <f ca="1">_xlfn.IFNA(VLOOKUP(INDIRECT("G"&amp;ROW()),minfo!$A:$M,COLUMN()-8,0),"")</f>
        <v>0</v>
      </c>
      <c r="O1753" s="4" t="str">
        <f ca="1">_xlfn.IFNA(VLOOKUP(INDIRECT("G"&amp;ROW()),minfo!$A:$M,COLUMN()-8,0),"")</f>
        <v>http://i0.hdslb.com/bfs/station_src/music_metadata/5309866334d8550fdb4abccc389a5193.jpg</v>
      </c>
      <c r="P1753" s="4" t="str">
        <f ca="1">_xlfn.IFNA(VLOOKUP(INDIRECT("G"&amp;ROW()),minfo!$A:$M,COLUMN()-8,0),"")</f>
        <v>http://i0.hdslb.com/bfs/station_src/music_metadata/54d4cd6cf66cfb9eadbebde296a31478</v>
      </c>
      <c r="Q1753" s="4">
        <f ca="1">_xlfn.IFNA(VLOOKUP(INDIRECT("G"&amp;ROW()),minfo!$A:$M,COLUMN()-8,0),"")</f>
        <v>1245</v>
      </c>
      <c r="R1753" s="4">
        <f ca="1">_xlfn.IFNA(VLOOKUP(INDIRECT("G"&amp;ROW()),minfo!$A:$M,COLUMN()-8,0),"")</f>
        <v>0</v>
      </c>
      <c r="S1753" s="4" t="str">
        <f ca="1">_xlfn.IFNA(VLOOKUP(INDIRECT("G"&amp;ROW()),minfo!$A:$M,COLUMN()-8,0),"")</f>
        <v>LaLa首张创作专辑</v>
      </c>
      <c r="T1753" s="4">
        <f ca="1">_xlfn.IFNA(VLOOKUP(INDIRECT("G"&amp;ROW()),minfo!$A:$M,COLUMN()-8,0),"")</f>
        <v>198103765</v>
      </c>
      <c r="U1753" s="4" t="str">
        <f ca="1">_xlfn.IFNA(VLOOKUP(INDIRECT("G"&amp;ROW()),minfo!$A:$M,COLUMN()-8,0),"")</f>
        <v>音乐榜最高NO.10</v>
      </c>
    </row>
    <row r="1754" spans="1:21" ht="15.75" customHeight="1">
      <c r="A1754" s="15">
        <v>1753</v>
      </c>
      <c r="D1754" s="4">
        <v>1</v>
      </c>
      <c r="E1754" s="4" t="s">
        <v>105</v>
      </c>
      <c r="F1754" s="16">
        <v>45364</v>
      </c>
      <c r="G1754" s="5" t="s">
        <v>1827</v>
      </c>
      <c r="H1754" s="5" t="s">
        <v>5509</v>
      </c>
      <c r="I1754" s="24" t="str">
        <f>HYPERLINK("https://www.bilibili.com/video/BV1FC411a7cG?p=1", "BV1FC411a7cG?p=1")</f>
        <v>BV1FC411a7cG?p=1</v>
      </c>
      <c r="J1754" s="4" t="str">
        <f ca="1">_xlfn.IFNA(VLOOKUP(INDIRECT("G"&amp;ROW()),minfo!$A:$M,COLUMN()-8,0),"")</f>
        <v>花月妖</v>
      </c>
      <c r="K1754" s="4" t="str">
        <f ca="1">_xlfn.IFNA(VLOOKUP(INDIRECT("G"&amp;ROW()),minfo!$A:$M,COLUMN()-8,0),"")</f>
        <v>说说Crystal</v>
      </c>
      <c r="L1754" s="4">
        <f ca="1">_xlfn.IFNA(VLOOKUP(INDIRECT("G"&amp;ROW()),minfo!$A:$M,COLUMN()-8,0),"")</f>
        <v>0</v>
      </c>
      <c r="M1754" s="4">
        <f ca="1">_xlfn.IFNA(VLOOKUP(INDIRECT("G"&amp;ROW()),minfo!$A:$M,COLUMN()-8,0),"")</f>
        <v>0</v>
      </c>
      <c r="N1754" s="4">
        <f ca="1">_xlfn.IFNA(VLOOKUP(INDIRECT("G"&amp;ROW()),minfo!$A:$M,COLUMN()-8,0),"")</f>
        <v>0</v>
      </c>
      <c r="O1754" s="4" t="str">
        <f ca="1">_xlfn.IFNA(VLOOKUP(INDIRECT("G"&amp;ROW()),minfo!$A:$M,COLUMN()-8,0),"")</f>
        <v>https://i0.hdslb.com/bfs/station_src/music_metadata/55cdb41a446e5a3e7e554b5961143bc7.jpg</v>
      </c>
      <c r="P1754" s="4" t="str">
        <f ca="1">_xlfn.IFNA(VLOOKUP(INDIRECT("G"&amp;ROW()),minfo!$A:$M,COLUMN()-8,0),"")</f>
        <v>https://i0.hdslb.com/bfs/station_src/music_metadata/0c97bbbbf51bc8b21fe5875c0bf27b57.txt</v>
      </c>
      <c r="Q1754" s="4">
        <f ca="1">_xlfn.IFNA(VLOOKUP(INDIRECT("G"&amp;ROW()),minfo!$A:$M,COLUMN()-8,0),"")</f>
        <v>8</v>
      </c>
      <c r="R1754" s="4">
        <f ca="1">_xlfn.IFNA(VLOOKUP(INDIRECT("G"&amp;ROW()),minfo!$A:$M,COLUMN()-8,0),"")</f>
        <v>0</v>
      </c>
      <c r="S1754" s="4" t="str">
        <f ca="1">_xlfn.IFNA(VLOOKUP(INDIRECT("G"&amp;ROW()),minfo!$A:$M,COLUMN()-8,0),"")</f>
        <v>花月妖</v>
      </c>
      <c r="T1754" s="4">
        <f ca="1">_xlfn.IFNA(VLOOKUP(INDIRECT("G"&amp;ROW()),minfo!$A:$M,COLUMN()-8,0),"")</f>
        <v>1163456</v>
      </c>
      <c r="U1754" s="4">
        <f ca="1">_xlfn.IFNA(VLOOKUP(INDIRECT("G"&amp;ROW()),minfo!$A:$M,COLUMN()-8,0),"")</f>
        <v>0</v>
      </c>
    </row>
    <row r="1755" spans="1:21" ht="15.75" customHeight="1">
      <c r="A1755" s="15">
        <v>1754</v>
      </c>
      <c r="D1755" s="4">
        <v>1</v>
      </c>
      <c r="E1755" s="4" t="s">
        <v>1330</v>
      </c>
      <c r="F1755" s="16">
        <v>45364</v>
      </c>
      <c r="G1755" s="5" t="s">
        <v>1329</v>
      </c>
      <c r="H1755" s="5" t="s">
        <v>5510</v>
      </c>
      <c r="I1755" s="24" t="str">
        <f>HYPERLINK("https://www.bilibili.com/video/BV1gi421R7GC?p=1", "BV1gi421R7GC?p=1")</f>
        <v>BV1gi421R7GC?p=1</v>
      </c>
      <c r="J1755" s="4" t="str">
        <f ca="1">_xlfn.IFNA(VLOOKUP(INDIRECT("G"&amp;ROW()),minfo!$A:$M,COLUMN()-8,0),"")</f>
        <v>Melody</v>
      </c>
      <c r="K1755" s="4" t="str">
        <f ca="1">_xlfn.IFNA(VLOOKUP(INDIRECT("G"&amp;ROW()),minfo!$A:$M,COLUMN()-8,0),"")</f>
        <v>陶喆</v>
      </c>
      <c r="L1755" s="4">
        <f ca="1">_xlfn.IFNA(VLOOKUP(INDIRECT("G"&amp;ROW()),minfo!$A:$M,COLUMN()-8,0),"")</f>
        <v>0</v>
      </c>
      <c r="M1755" s="4">
        <f ca="1">_xlfn.IFNA(VLOOKUP(INDIRECT("G"&amp;ROW()),minfo!$A:$M,COLUMN()-8,0),"")</f>
        <v>0</v>
      </c>
      <c r="N1755" s="4">
        <f ca="1">_xlfn.IFNA(VLOOKUP(INDIRECT("G"&amp;ROW()),minfo!$A:$M,COLUMN()-8,0),"")</f>
        <v>0</v>
      </c>
      <c r="O1755" s="4" t="str">
        <f ca="1">_xlfn.IFNA(VLOOKUP(INDIRECT("G"&amp;ROW()),minfo!$A:$M,COLUMN()-8,0),"")</f>
        <v>https://i0.hdslb.com/bfs/station_src/music_metadata/4f85133845e2c8b25026a678708a9376.jpg</v>
      </c>
      <c r="P1755" s="4" t="str">
        <f ca="1">_xlfn.IFNA(VLOOKUP(INDIRECT("G"&amp;ROW()),minfo!$A:$M,COLUMN()-8,0),"")</f>
        <v>http://i0.hdslb.com/bfs/station_src/music_metadata/d18325416bca019d84b21a8b3f7bb651</v>
      </c>
      <c r="Q1755" s="4">
        <f ca="1">_xlfn.IFNA(VLOOKUP(INDIRECT("G"&amp;ROW()),minfo!$A:$M,COLUMN()-8,0),"")</f>
        <v>1120</v>
      </c>
      <c r="R1755" s="4">
        <f ca="1">_xlfn.IFNA(VLOOKUP(INDIRECT("G"&amp;ROW()),minfo!$A:$M,COLUMN()-8,0),"")</f>
        <v>0</v>
      </c>
      <c r="S1755" s="4" t="str">
        <f ca="1">_xlfn.IFNA(VLOOKUP(INDIRECT("G"&amp;ROW()),minfo!$A:$M,COLUMN()-8,0),"")</f>
        <v>黑色柳丁</v>
      </c>
      <c r="T1755" s="4">
        <f ca="1">_xlfn.IFNA(VLOOKUP(INDIRECT("G"&amp;ROW()),minfo!$A:$M,COLUMN()-8,0),"")</f>
        <v>113992875</v>
      </c>
      <c r="U1755" s="4">
        <f ca="1">_xlfn.IFNA(VLOOKUP(INDIRECT("G"&amp;ROW()),minfo!$A:$M,COLUMN()-8,0),"")</f>
        <v>0</v>
      </c>
    </row>
    <row r="1756" spans="1:21" ht="15.75" customHeight="1">
      <c r="A1756" s="15">
        <v>1755</v>
      </c>
      <c r="D1756" s="4">
        <v>1</v>
      </c>
      <c r="E1756" s="4" t="s">
        <v>1365</v>
      </c>
      <c r="F1756" s="16">
        <v>45365</v>
      </c>
      <c r="G1756" s="5" t="s">
        <v>1364</v>
      </c>
      <c r="H1756" s="5" t="s">
        <v>5511</v>
      </c>
      <c r="I1756" s="24" t="str">
        <f>HYPERLINK("https://www.bilibili.com/video/BV1aC411h77h?p=1", "BV1aC411h77h?p=1")</f>
        <v>BV1aC411h77h?p=1</v>
      </c>
      <c r="J1756" s="4" t="str">
        <f ca="1">_xlfn.IFNA(VLOOKUP(INDIRECT("G"&amp;ROW()),minfo!$A:$M,COLUMN()-8,0),"")</f>
        <v>芦花</v>
      </c>
      <c r="K1756" s="4" t="str">
        <f ca="1">_xlfn.IFNA(VLOOKUP(INDIRECT("G"&amp;ROW()),minfo!$A:$M,COLUMN()-8,0),"")</f>
        <v>雷佳</v>
      </c>
      <c r="L1756" s="4">
        <f ca="1">_xlfn.IFNA(VLOOKUP(INDIRECT("G"&amp;ROW()),minfo!$A:$M,COLUMN()-8,0),"")</f>
        <v>0</v>
      </c>
      <c r="M1756" s="4">
        <f ca="1">_xlfn.IFNA(VLOOKUP(INDIRECT("G"&amp;ROW()),minfo!$A:$M,COLUMN()-8,0),"")</f>
        <v>0</v>
      </c>
      <c r="N1756" s="4">
        <f ca="1">_xlfn.IFNA(VLOOKUP(INDIRECT("G"&amp;ROW()),minfo!$A:$M,COLUMN()-8,0),"")</f>
        <v>0</v>
      </c>
      <c r="O1756" s="4" t="str">
        <f ca="1">_xlfn.IFNA(VLOOKUP(INDIRECT("G"&amp;ROW()),minfo!$A:$M,COLUMN()-8,0),"")</f>
        <v>https://i0.hdslb.com/bfs/station_src/music_metadata/5d10069250016b4dc0f3b44677f25d40.jpg</v>
      </c>
      <c r="P1756" s="4" t="str">
        <f ca="1">_xlfn.IFNA(VLOOKUP(INDIRECT("G"&amp;ROW()),minfo!$A:$M,COLUMN()-8,0),"")</f>
        <v>https://i0.hdslb.com/bfs/station_src/music_metadata/d73271ada4973630cf18fe263ae525c3.txt</v>
      </c>
      <c r="Q1756" s="4">
        <f ca="1">_xlfn.IFNA(VLOOKUP(INDIRECT("G"&amp;ROW()),minfo!$A:$M,COLUMN()-8,0),"")</f>
        <v>7</v>
      </c>
      <c r="R1756" s="4">
        <f ca="1">_xlfn.IFNA(VLOOKUP(INDIRECT("G"&amp;ROW()),minfo!$A:$M,COLUMN()-8,0),"")</f>
        <v>0</v>
      </c>
      <c r="S1756" s="4" t="str">
        <f ca="1">_xlfn.IFNA(VLOOKUP(INDIRECT("G"&amp;ROW()),minfo!$A:$M,COLUMN()-8,0),"")</f>
        <v>一人一首成名曲10</v>
      </c>
      <c r="T1756" s="4">
        <f ca="1">_xlfn.IFNA(VLOOKUP(INDIRECT("G"&amp;ROW()),minfo!$A:$M,COLUMN()-8,0),"")</f>
        <v>2752773</v>
      </c>
      <c r="U1756" s="4">
        <f ca="1">_xlfn.IFNA(VLOOKUP(INDIRECT("G"&amp;ROW()),minfo!$A:$M,COLUMN()-8,0),"")</f>
        <v>0</v>
      </c>
    </row>
    <row r="1757" spans="1:21" ht="15.75" customHeight="1">
      <c r="A1757" s="15">
        <v>1756</v>
      </c>
      <c r="D1757" s="4">
        <v>1</v>
      </c>
      <c r="E1757" s="4" t="s">
        <v>550</v>
      </c>
      <c r="F1757" s="16">
        <v>45365</v>
      </c>
      <c r="G1757" s="5" t="s">
        <v>549</v>
      </c>
      <c r="H1757" s="5" t="s">
        <v>5512</v>
      </c>
      <c r="I1757" s="24" t="str">
        <f>HYPERLINK("https://www.bilibili.com/video/BV1Qz421f7Eh?p=1", "BV1Qz421f7Eh?p=1")</f>
        <v>BV1Qz421f7Eh?p=1</v>
      </c>
      <c r="J1757" s="4" t="str">
        <f ca="1">_xlfn.IFNA(VLOOKUP(INDIRECT("G"&amp;ROW()),minfo!$A:$M,COLUMN()-8,0),"")</f>
        <v>靠近</v>
      </c>
      <c r="K1757" s="4" t="str">
        <f ca="1">_xlfn.IFNA(VLOOKUP(INDIRECT("G"&amp;ROW()),minfo!$A:$M,COLUMN()-8,0),"")</f>
        <v>罗震环</v>
      </c>
      <c r="L1757" s="4">
        <f ca="1">_xlfn.IFNA(VLOOKUP(INDIRECT("G"&amp;ROW()),minfo!$A:$M,COLUMN()-8,0),"")</f>
        <v>0</v>
      </c>
      <c r="M1757" s="4">
        <f ca="1">_xlfn.IFNA(VLOOKUP(INDIRECT("G"&amp;ROW()),minfo!$A:$M,COLUMN()-8,0),"")</f>
        <v>0</v>
      </c>
      <c r="N1757" s="4">
        <f ca="1">_xlfn.IFNA(VLOOKUP(INDIRECT("G"&amp;ROW()),minfo!$A:$M,COLUMN()-8,0),"")</f>
        <v>0</v>
      </c>
      <c r="O1757" s="4" t="str">
        <f ca="1">_xlfn.IFNA(VLOOKUP(INDIRECT("G"&amp;ROW()),minfo!$A:$M,COLUMN()-8,0),"")</f>
        <v>https://i0.hdslb.com/bfs/station_src/music_metadata/38ab4a46f651a446f01ba757be262549.jpg</v>
      </c>
      <c r="P1757" s="4" t="str">
        <f ca="1">_xlfn.IFNA(VLOOKUP(INDIRECT("G"&amp;ROW()),minfo!$A:$M,COLUMN()-8,0),"")</f>
        <v>https://i0.hdslb.com/bfs/station_src/music_metadata/1aa4ee4fef9645e7092232f4801fb704.txt</v>
      </c>
      <c r="Q1757" s="4">
        <f ca="1">_xlfn.IFNA(VLOOKUP(INDIRECT("G"&amp;ROW()),minfo!$A:$M,COLUMN()-8,0),"")</f>
        <v>1651</v>
      </c>
      <c r="R1757" s="4" t="str">
        <f ca="1">_xlfn.IFNA(VLOOKUP(INDIRECT("G"&amp;ROW()),minfo!$A:$M,COLUMN()-8,0),"")</f>
        <v>《爱情公寓3》电视剧片尾曲</v>
      </c>
      <c r="S1757" s="4" t="str">
        <f ca="1">_xlfn.IFNA(VLOOKUP(INDIRECT("G"&amp;ROW()),minfo!$A:$M,COLUMN()-8,0),"")</f>
        <v>爱情公寓3 电视剧原声带</v>
      </c>
      <c r="T1757" s="4">
        <f ca="1">_xlfn.IFNA(VLOOKUP(INDIRECT("G"&amp;ROW()),minfo!$A:$M,COLUMN()-8,0),"")</f>
        <v>197851447</v>
      </c>
      <c r="U1757" s="4">
        <f ca="1">_xlfn.IFNA(VLOOKUP(INDIRECT("G"&amp;ROW()),minfo!$A:$M,COLUMN()-8,0),"")</f>
        <v>0</v>
      </c>
    </row>
    <row r="1758" spans="1:21" ht="15.75" customHeight="1">
      <c r="A1758" s="15">
        <v>1757</v>
      </c>
      <c r="D1758" s="4">
        <v>1</v>
      </c>
      <c r="E1758" s="4" t="s">
        <v>678</v>
      </c>
      <c r="F1758" s="16">
        <v>45365</v>
      </c>
      <c r="G1758" s="5" t="s">
        <v>678</v>
      </c>
      <c r="H1758" s="5" t="s">
        <v>5513</v>
      </c>
      <c r="I1758" s="24" t="str">
        <f>HYPERLINK("https://www.bilibili.com/video/BV1Nw4m1R7ta?p=1", "BV1Nw4m1R7ta?p=1")</f>
        <v>BV1Nw4m1R7ta?p=1</v>
      </c>
      <c r="J1758" s="4" t="str">
        <f ca="1">_xlfn.IFNA(VLOOKUP(INDIRECT("G"&amp;ROW()),minfo!$A:$M,COLUMN()-8,0),"")</f>
        <v>将故事写成我们</v>
      </c>
      <c r="K1758" s="4" t="str">
        <f ca="1">_xlfn.IFNA(VLOOKUP(INDIRECT("G"&amp;ROW()),minfo!$A:$M,COLUMN()-8,0),"")</f>
        <v>林俊杰</v>
      </c>
      <c r="L1758" s="4">
        <f ca="1">_xlfn.IFNA(VLOOKUP(INDIRECT("G"&amp;ROW()),minfo!$A:$M,COLUMN()-8,0),"")</f>
        <v>0</v>
      </c>
      <c r="M1758" s="4">
        <f ca="1">_xlfn.IFNA(VLOOKUP(INDIRECT("G"&amp;ROW()),minfo!$A:$M,COLUMN()-8,0),"")</f>
        <v>1032</v>
      </c>
      <c r="N1758" s="4">
        <f ca="1">_xlfn.IFNA(VLOOKUP(INDIRECT("G"&amp;ROW()),minfo!$A:$M,COLUMN()-8,0),"")</f>
        <v>165</v>
      </c>
      <c r="O1758" s="4" t="str">
        <f ca="1">_xlfn.IFNA(VLOOKUP(INDIRECT("G"&amp;ROW()),minfo!$A:$M,COLUMN()-8,0),"")</f>
        <v>http://i0.hdslb.com/bfs/station_src/music_metadata/63fe00af138c363552e6aff10baba93e.jpg</v>
      </c>
      <c r="P1758" s="4" t="str">
        <f ca="1">_xlfn.IFNA(VLOOKUP(INDIRECT("G"&amp;ROW()),minfo!$A:$M,COLUMN()-8,0),"")</f>
        <v>http://i0.hdslb.com/bfs/station_src/music_metadata/2c6ada3c80c79f0dd8b56da48df1f4ad</v>
      </c>
      <c r="Q1758" s="4">
        <f ca="1">_xlfn.IFNA(VLOOKUP(INDIRECT("G"&amp;ROW()),minfo!$A:$M,COLUMN()-8,0),"")</f>
        <v>138</v>
      </c>
      <c r="R1758" s="4">
        <f ca="1">_xlfn.IFNA(VLOOKUP(INDIRECT("G"&amp;ROW()),minfo!$A:$M,COLUMN()-8,0),"")</f>
        <v>0</v>
      </c>
      <c r="S1758" s="4" t="str">
        <f ca="1">_xlfn.IFNA(VLOOKUP(INDIRECT("G"&amp;ROW()),minfo!$A:$M,COLUMN()-8,0),"")</f>
        <v>将故事写成我们</v>
      </c>
      <c r="T1758" s="4">
        <f ca="1">_xlfn.IFNA(VLOOKUP(INDIRECT("G"&amp;ROW()),minfo!$A:$M,COLUMN()-8,0),"")</f>
        <v>64920351</v>
      </c>
      <c r="U1758" s="4">
        <f ca="1">_xlfn.IFNA(VLOOKUP(INDIRECT("G"&amp;ROW()),minfo!$A:$M,COLUMN()-8,0),"")</f>
        <v>0</v>
      </c>
    </row>
    <row r="1759" spans="1:21" ht="15.75" customHeight="1">
      <c r="A1759" s="15">
        <v>1758</v>
      </c>
      <c r="D1759" s="4">
        <v>1</v>
      </c>
      <c r="E1759" s="4" t="s">
        <v>95</v>
      </c>
      <c r="F1759" s="16">
        <v>45365</v>
      </c>
      <c r="G1759" s="5" t="s">
        <v>203</v>
      </c>
      <c r="H1759" s="5" t="s">
        <v>5514</v>
      </c>
      <c r="I1759" s="24" t="str">
        <f>HYPERLINK("https://www.bilibili.com/video/BV1ef421f7cw?p=1", "BV1ef421f7cw?p=1")</f>
        <v>BV1ef421f7cw?p=1</v>
      </c>
      <c r="J1759" s="4" t="str">
        <f ca="1">_xlfn.IFNA(VLOOKUP(INDIRECT("G"&amp;ROW()),minfo!$A:$M,COLUMN()-8,0),"")</f>
        <v>不问天</v>
      </c>
      <c r="K1759" s="4" t="str">
        <f ca="1">_xlfn.IFNA(VLOOKUP(INDIRECT("G"&amp;ROW()),minfo!$A:$M,COLUMN()-8,0),"")</f>
        <v>说说Crystal</v>
      </c>
      <c r="L1759" s="4">
        <f ca="1">_xlfn.IFNA(VLOOKUP(INDIRECT("G"&amp;ROW()),minfo!$A:$M,COLUMN()-8,0),"")</f>
        <v>0</v>
      </c>
      <c r="M1759" s="4">
        <f ca="1">_xlfn.IFNA(VLOOKUP(INDIRECT("G"&amp;ROW()),minfo!$A:$M,COLUMN()-8,0),"")</f>
        <v>0</v>
      </c>
      <c r="N1759" s="4">
        <f ca="1">_xlfn.IFNA(VLOOKUP(INDIRECT("G"&amp;ROW()),minfo!$A:$M,COLUMN()-8,0),"")</f>
        <v>0</v>
      </c>
      <c r="O1759" s="4" t="str">
        <f ca="1">_xlfn.IFNA(VLOOKUP(INDIRECT("G"&amp;ROW()),minfo!$A:$M,COLUMN()-8,0),"")</f>
        <v>https://i0.hdslb.com/bfs/station_src/music_metadata/ce3a0da2a7e64a49fa42a6e3db521f57.jpg</v>
      </c>
      <c r="P1759" s="4" t="str">
        <f ca="1">_xlfn.IFNA(VLOOKUP(INDIRECT("G"&amp;ROW()),minfo!$A:$M,COLUMN()-8,0),"")</f>
        <v>https://i0.hdslb.com/bfs/station_src/music_metadata/02cd9198a33924449443fc704a92a25a.txt</v>
      </c>
      <c r="Q1759" s="4">
        <f ca="1">_xlfn.IFNA(VLOOKUP(INDIRECT("G"&amp;ROW()),minfo!$A:$M,COLUMN()-8,0),"")</f>
        <v>149</v>
      </c>
      <c r="R1759" s="4">
        <f ca="1">_xlfn.IFNA(VLOOKUP(INDIRECT("G"&amp;ROW()),minfo!$A:$M,COLUMN()-8,0),"")</f>
        <v>0</v>
      </c>
      <c r="S1759" s="4" t="str">
        <f ca="1">_xlfn.IFNA(VLOOKUP(INDIRECT("G"&amp;ROW()),minfo!$A:$M,COLUMN()-8,0),"")</f>
        <v>2021哔哩哔哩拜年纪</v>
      </c>
      <c r="T1759" s="4">
        <f ca="1">_xlfn.IFNA(VLOOKUP(INDIRECT("G"&amp;ROW()),minfo!$A:$M,COLUMN()-8,0),"")</f>
        <v>33137051</v>
      </c>
      <c r="U1759" s="4">
        <f ca="1">_xlfn.IFNA(VLOOKUP(INDIRECT("G"&amp;ROW()),minfo!$A:$M,COLUMN()-8,0),"")</f>
        <v>0</v>
      </c>
    </row>
    <row r="1760" spans="1:21" ht="15.75" customHeight="1">
      <c r="A1760" s="15">
        <v>1759</v>
      </c>
      <c r="D1760" s="4">
        <v>1</v>
      </c>
      <c r="E1760" s="4" t="s">
        <v>2030</v>
      </c>
      <c r="F1760" s="16">
        <v>45365</v>
      </c>
      <c r="G1760" s="5" t="s">
        <v>2029</v>
      </c>
      <c r="H1760" s="5" t="s">
        <v>5515</v>
      </c>
      <c r="I1760" s="24" t="str">
        <f>HYPERLINK("https://www.bilibili.com/video/BV1iC411h7dc?p=1", "BV1iC411h7dc?p=1")</f>
        <v>BV1iC411h7dc?p=1</v>
      </c>
      <c r="J1760" s="4" t="str">
        <f ca="1">_xlfn.IFNA(VLOOKUP(INDIRECT("G"&amp;ROW()),minfo!$A:$M,COLUMN()-8,0),"")</f>
        <v>你被写在我的歌里</v>
      </c>
      <c r="K1760" s="4" t="str">
        <f ca="1">_xlfn.IFNA(VLOOKUP(INDIRECT("G"&amp;ROW()),minfo!$A:$M,COLUMN()-8,0),"")</f>
        <v>苏打绿,Ella陈嘉桦</v>
      </c>
      <c r="L1760" s="4">
        <f ca="1">_xlfn.IFNA(VLOOKUP(INDIRECT("G"&amp;ROW()),minfo!$A:$M,COLUMN()-8,0),"")</f>
        <v>0</v>
      </c>
      <c r="M1760" s="4">
        <f ca="1">_xlfn.IFNA(VLOOKUP(INDIRECT("G"&amp;ROW()),minfo!$A:$M,COLUMN()-8,0),"")</f>
        <v>0</v>
      </c>
      <c r="N1760" s="4">
        <f ca="1">_xlfn.IFNA(VLOOKUP(INDIRECT("G"&amp;ROW()),minfo!$A:$M,COLUMN()-8,0),"")</f>
        <v>0</v>
      </c>
      <c r="O1760" s="4" t="str">
        <f ca="1">_xlfn.IFNA(VLOOKUP(INDIRECT("G"&amp;ROW()),minfo!$A:$M,COLUMN()-8,0),"")</f>
        <v>https://i0.hdslb.com/bfs/station_src/music_metadata/0efd1d645b5569027c60d8a7e266060b.jpg</v>
      </c>
      <c r="P1760" s="4" t="str">
        <f ca="1">_xlfn.IFNA(VLOOKUP(INDIRECT("G"&amp;ROW()),minfo!$A:$M,COLUMN()-8,0),"")</f>
        <v>http://i0.hdslb.com/bfs/station_src/music_metadata/c10c28818a304d5b95d6904829eb8ba7</v>
      </c>
      <c r="Q1760" s="4">
        <f ca="1">_xlfn.IFNA(VLOOKUP(INDIRECT("G"&amp;ROW()),minfo!$A:$M,COLUMN()-8,0),"")</f>
        <v>131</v>
      </c>
      <c r="R1760" s="4">
        <f ca="1">_xlfn.IFNA(VLOOKUP(INDIRECT("G"&amp;ROW()),minfo!$A:$M,COLUMN()-8,0),"")</f>
        <v>0</v>
      </c>
      <c r="S1760" s="4" t="str">
        <f ca="1">_xlfn.IFNA(VLOOKUP(INDIRECT("G"&amp;ROW()),minfo!$A:$M,COLUMN()-8,0),"")</f>
        <v>Walk Together Live 2012台北小巨蛋演唱会</v>
      </c>
      <c r="T1760" s="4">
        <f ca="1">_xlfn.IFNA(VLOOKUP(INDIRECT("G"&amp;ROW()),minfo!$A:$M,COLUMN()-8,0),"")</f>
        <v>46588974</v>
      </c>
      <c r="U1760" s="4">
        <f ca="1">_xlfn.IFNA(VLOOKUP(INDIRECT("G"&amp;ROW()),minfo!$A:$M,COLUMN()-8,0),"")</f>
        <v>0</v>
      </c>
    </row>
    <row r="1761" spans="1:21" ht="15.75" customHeight="1">
      <c r="A1761" s="15">
        <v>1760</v>
      </c>
      <c r="D1761" s="4">
        <v>1</v>
      </c>
      <c r="E1761" s="4" t="s">
        <v>946</v>
      </c>
      <c r="F1761" s="16">
        <v>45365</v>
      </c>
      <c r="G1761" s="5" t="s">
        <v>945</v>
      </c>
      <c r="H1761" s="5" t="s">
        <v>5516</v>
      </c>
      <c r="I1761" s="24" t="str">
        <f>HYPERLINK("https://www.bilibili.com/video/BV1ci421d7V8?p=1", "BV1ci421d7V8?p=1")</f>
        <v>BV1ci421d7V8?p=1</v>
      </c>
      <c r="J1761" s="4" t="str">
        <f ca="1">_xlfn.IFNA(VLOOKUP(INDIRECT("G"&amp;ROW()),minfo!$A:$M,COLUMN()-8,0),"")</f>
        <v>半岛铁盒</v>
      </c>
      <c r="K1761" s="4" t="str">
        <f ca="1">_xlfn.IFNA(VLOOKUP(INDIRECT("G"&amp;ROW()),minfo!$A:$M,COLUMN()-8,0),"")</f>
        <v>周杰伦</v>
      </c>
      <c r="L1761" s="4">
        <f ca="1">_xlfn.IFNA(VLOOKUP(INDIRECT("G"&amp;ROW()),minfo!$A:$M,COLUMN()-8,0),"")</f>
        <v>0</v>
      </c>
      <c r="M1761" s="4">
        <f ca="1">_xlfn.IFNA(VLOOKUP(INDIRECT("G"&amp;ROW()),minfo!$A:$M,COLUMN()-8,0),"")</f>
        <v>0</v>
      </c>
      <c r="N1761" s="4">
        <f ca="1">_xlfn.IFNA(VLOOKUP(INDIRECT("G"&amp;ROW()),minfo!$A:$M,COLUMN()-8,0),"")</f>
        <v>0</v>
      </c>
      <c r="O1761" s="4" t="str">
        <f ca="1">_xlfn.IFNA(VLOOKUP(INDIRECT("G"&amp;ROW()),minfo!$A:$M,COLUMN()-8,0),"")</f>
        <v>https://i0.hdslb.com/bfs/station_src/music_metadata/969db89b7df27aa5580e7e0a53957368.jpg</v>
      </c>
      <c r="P1761" s="4">
        <f ca="1">_xlfn.IFNA(VLOOKUP(INDIRECT("G"&amp;ROW()),minfo!$A:$M,COLUMN()-8,0),"")</f>
        <v>0</v>
      </c>
      <c r="Q1761" s="4">
        <f ca="1">_xlfn.IFNA(VLOOKUP(INDIRECT("G"&amp;ROW()),minfo!$A:$M,COLUMN()-8,0),"")</f>
        <v>6537</v>
      </c>
      <c r="R1761" s="4">
        <f ca="1">_xlfn.IFNA(VLOOKUP(INDIRECT("G"&amp;ROW()),minfo!$A:$M,COLUMN()-8,0),"")</f>
        <v>0</v>
      </c>
      <c r="S1761" s="4" t="str">
        <f ca="1">_xlfn.IFNA(VLOOKUP(INDIRECT("G"&amp;ROW()),minfo!$A:$M,COLUMN()-8,0),"")</f>
        <v>八度空间</v>
      </c>
      <c r="T1761" s="4">
        <f ca="1">_xlfn.IFNA(VLOOKUP(INDIRECT("G"&amp;ROW()),minfo!$A:$M,COLUMN()-8,0),"")</f>
        <v>569248560</v>
      </c>
      <c r="U1761" s="4">
        <f ca="1">_xlfn.IFNA(VLOOKUP(INDIRECT("G"&amp;ROW()),minfo!$A:$M,COLUMN()-8,0),"")</f>
        <v>0</v>
      </c>
    </row>
    <row r="1762" spans="1:21" ht="15.75" customHeight="1">
      <c r="A1762" s="15">
        <v>1761</v>
      </c>
      <c r="D1762" s="4">
        <v>1</v>
      </c>
      <c r="E1762" s="4" t="s">
        <v>324</v>
      </c>
      <c r="F1762" s="16">
        <v>45365</v>
      </c>
      <c r="G1762" s="5" t="s">
        <v>323</v>
      </c>
      <c r="H1762" s="5" t="s">
        <v>5517</v>
      </c>
      <c r="I1762" s="24" t="str">
        <f>HYPERLINK("https://www.bilibili.com/video/BV1rD421j7jg?p=1", "BV1rD421j7jg?p=1")</f>
        <v>BV1rD421j7jg?p=1</v>
      </c>
      <c r="J1762" s="4" t="str">
        <f ca="1">_xlfn.IFNA(VLOOKUP(INDIRECT("G"&amp;ROW()),minfo!$A:$M,COLUMN()-8,0),"")</f>
        <v>致你</v>
      </c>
      <c r="K1762" s="4" t="str">
        <f ca="1">_xlfn.IFNA(VLOOKUP(INDIRECT("G"&amp;ROW()),minfo!$A:$M,COLUMN()-8,0),"")</f>
        <v>王赫野</v>
      </c>
      <c r="L1762" s="4">
        <f ca="1">_xlfn.IFNA(VLOOKUP(INDIRECT("G"&amp;ROW()),minfo!$A:$M,COLUMN()-8,0),"")</f>
        <v>0</v>
      </c>
      <c r="M1762" s="4">
        <f ca="1">_xlfn.IFNA(VLOOKUP(INDIRECT("G"&amp;ROW()),minfo!$A:$M,COLUMN()-8,0),"")</f>
        <v>0</v>
      </c>
      <c r="N1762" s="4">
        <f ca="1">_xlfn.IFNA(VLOOKUP(INDIRECT("G"&amp;ROW()),minfo!$A:$M,COLUMN()-8,0),"")</f>
        <v>0</v>
      </c>
      <c r="O1762" s="4" t="str">
        <f ca="1">_xlfn.IFNA(VLOOKUP(INDIRECT("G"&amp;ROW()),minfo!$A:$M,COLUMN()-8,0),"")</f>
        <v>http://i0.hdslb.com/bfs/station_src/music_metadata/683916d89744a5d7c887a277e409cfaf.jpg</v>
      </c>
      <c r="P1762" s="4">
        <f ca="1">_xlfn.IFNA(VLOOKUP(INDIRECT("G"&amp;ROW()),minfo!$A:$M,COLUMN()-8,0),"")</f>
        <v>0</v>
      </c>
      <c r="Q1762" s="4">
        <f ca="1">_xlfn.IFNA(VLOOKUP(INDIRECT("G"&amp;ROW()),minfo!$A:$M,COLUMN()-8,0),"")</f>
        <v>3362</v>
      </c>
      <c r="R1762" s="4">
        <f ca="1">_xlfn.IFNA(VLOOKUP(INDIRECT("G"&amp;ROW()),minfo!$A:$M,COLUMN()-8,0),"")</f>
        <v>0</v>
      </c>
      <c r="S1762" s="4" t="str">
        <f ca="1">_xlfn.IFNA(VLOOKUP(INDIRECT("G"&amp;ROW()),minfo!$A:$M,COLUMN()-8,0),"")</f>
        <v>致你</v>
      </c>
      <c r="T1762" s="4">
        <f ca="1">_xlfn.IFNA(VLOOKUP(INDIRECT("G"&amp;ROW()),minfo!$A:$M,COLUMN()-8,0),"")</f>
        <v>258996748</v>
      </c>
      <c r="U1762" s="4">
        <f ca="1">_xlfn.IFNA(VLOOKUP(INDIRECT("G"&amp;ROW()),minfo!$A:$M,COLUMN()-8,0),"")</f>
        <v>0</v>
      </c>
    </row>
    <row r="1763" spans="1:21" ht="15.75" customHeight="1">
      <c r="A1763" s="15">
        <v>1762</v>
      </c>
      <c r="D1763" s="4">
        <v>1</v>
      </c>
      <c r="E1763" s="4" t="s">
        <v>3339</v>
      </c>
      <c r="F1763" s="16">
        <v>45365</v>
      </c>
      <c r="G1763" s="5" t="s">
        <v>3338</v>
      </c>
      <c r="H1763" s="5" t="s">
        <v>5518</v>
      </c>
      <c r="I1763" s="24" t="str">
        <f>HYPERLINK("https://www.bilibili.com/video/BV19t421V7PE?p=1", "BV19t421V7PE?p=1")</f>
        <v>BV19t421V7PE?p=1</v>
      </c>
      <c r="J1763" s="4" t="str">
        <f ca="1">_xlfn.IFNA(VLOOKUP(INDIRECT("G"&amp;ROW()),minfo!$A:$M,COLUMN()-8,0),"")</f>
        <v>简单爱</v>
      </c>
      <c r="K1763" s="4" t="str">
        <f ca="1">_xlfn.IFNA(VLOOKUP(INDIRECT("G"&amp;ROW()),minfo!$A:$M,COLUMN()-8,0),"")</f>
        <v>周杰伦</v>
      </c>
      <c r="L1763" s="4">
        <f ca="1">_xlfn.IFNA(VLOOKUP(INDIRECT("G"&amp;ROW()),minfo!$A:$M,COLUMN()-8,0),"")</f>
        <v>0</v>
      </c>
      <c r="M1763" s="4">
        <f ca="1">_xlfn.IFNA(VLOOKUP(INDIRECT("G"&amp;ROW()),minfo!$A:$M,COLUMN()-8,0),"")</f>
        <v>0</v>
      </c>
      <c r="N1763" s="4">
        <f ca="1">_xlfn.IFNA(VLOOKUP(INDIRECT("G"&amp;ROW()),minfo!$A:$M,COLUMN()-8,0),"")</f>
        <v>0</v>
      </c>
      <c r="O1763" s="4" t="str">
        <f ca="1">_xlfn.IFNA(VLOOKUP(INDIRECT("G"&amp;ROW()),minfo!$A:$M,COLUMN()-8,0),"")</f>
        <v>https://i0.hdslb.com/bfs/station_src/music_metadata/1164d7e6cda9d45d64679dc3a57c5b5f.jpg</v>
      </c>
      <c r="P1763" s="4">
        <f ca="1">_xlfn.IFNA(VLOOKUP(INDIRECT("G"&amp;ROW()),minfo!$A:$M,COLUMN()-8,0),"")</f>
        <v>0</v>
      </c>
      <c r="Q1763" s="4">
        <f ca="1">_xlfn.IFNA(VLOOKUP(INDIRECT("G"&amp;ROW()),minfo!$A:$M,COLUMN()-8,0),"")</f>
        <v>2262</v>
      </c>
      <c r="R1763" s="4">
        <f ca="1">_xlfn.IFNA(VLOOKUP(INDIRECT("G"&amp;ROW()),minfo!$A:$M,COLUMN()-8,0),"")</f>
        <v>0</v>
      </c>
      <c r="S1763" s="4" t="str">
        <f ca="1">_xlfn.IFNA(VLOOKUP(INDIRECT("G"&amp;ROW()),minfo!$A:$M,COLUMN()-8,0),"")</f>
        <v>范特西</v>
      </c>
      <c r="T1763" s="4">
        <f ca="1">_xlfn.IFNA(VLOOKUP(INDIRECT("G"&amp;ROW()),minfo!$A:$M,COLUMN()-8,0),"")</f>
        <v>596824149</v>
      </c>
      <c r="U1763" s="4">
        <f ca="1">_xlfn.IFNA(VLOOKUP(INDIRECT("G"&amp;ROW()),minfo!$A:$M,COLUMN()-8,0),"")</f>
        <v>0</v>
      </c>
    </row>
    <row r="1764" spans="1:21" ht="15.75" customHeight="1">
      <c r="A1764" s="15">
        <v>1763</v>
      </c>
      <c r="D1764" s="4">
        <v>1</v>
      </c>
      <c r="E1764" s="4" t="s">
        <v>69</v>
      </c>
      <c r="F1764" s="16">
        <v>45365</v>
      </c>
      <c r="G1764" s="5" t="s">
        <v>69</v>
      </c>
      <c r="H1764" s="5" t="s">
        <v>5519</v>
      </c>
      <c r="I1764" s="24" t="str">
        <f>HYPERLINK("https://www.bilibili.com/video/BV14K421v7Sb?p=1", "BV14K421v7Sb?p=1")</f>
        <v>BV14K421v7Sb?p=1</v>
      </c>
      <c r="J1764" s="4" t="str">
        <f ca="1">_xlfn.IFNA(VLOOKUP(INDIRECT("G"&amp;ROW()),minfo!$A:$M,COLUMN()-8,0),"")</f>
        <v>琥珀色爱情</v>
      </c>
      <c r="K1764" s="4" t="str">
        <f ca="1">_xlfn.IFNA(VLOOKUP(INDIRECT("G"&amp;ROW()),minfo!$A:$M,COLUMN()-8,0),"")</f>
        <v>说说Crystal</v>
      </c>
      <c r="L1764" s="4" t="str">
        <f ca="1">_xlfn.IFNA(VLOOKUP(INDIRECT("G"&amp;ROW()),minfo!$A:$M,COLUMN()-8,0),"")</f>
        <v>BV1rU4y117Kk</v>
      </c>
      <c r="M1764" s="4">
        <f ca="1">_xlfn.IFNA(VLOOKUP(INDIRECT("G"&amp;ROW()),minfo!$A:$M,COLUMN()-8,0),"")</f>
        <v>0</v>
      </c>
      <c r="N1764" s="4">
        <f ca="1">_xlfn.IFNA(VLOOKUP(INDIRECT("G"&amp;ROW()),minfo!$A:$M,COLUMN()-8,0),"")</f>
        <v>0</v>
      </c>
      <c r="O1764" s="4">
        <f ca="1">_xlfn.IFNA(VLOOKUP(INDIRECT("G"&amp;ROW()),minfo!$A:$M,COLUMN()-8,0),"")</f>
        <v>0</v>
      </c>
      <c r="P1764" s="4">
        <f ca="1">_xlfn.IFNA(VLOOKUP(INDIRECT("G"&amp;ROW()),minfo!$A:$M,COLUMN()-8,0),"")</f>
        <v>0</v>
      </c>
      <c r="Q1764" s="4">
        <f ca="1">_xlfn.IFNA(VLOOKUP(INDIRECT("G"&amp;ROW()),minfo!$A:$M,COLUMN()-8,0),"")</f>
        <v>0</v>
      </c>
      <c r="R1764" s="4">
        <f ca="1">_xlfn.IFNA(VLOOKUP(INDIRECT("G"&amp;ROW()),minfo!$A:$M,COLUMN()-8,0),"")</f>
        <v>0</v>
      </c>
      <c r="S1764" s="4">
        <f ca="1">_xlfn.IFNA(VLOOKUP(INDIRECT("G"&amp;ROW()),minfo!$A:$M,COLUMN()-8,0),"")</f>
        <v>0</v>
      </c>
      <c r="T1764" s="4">
        <f ca="1">_xlfn.IFNA(VLOOKUP(INDIRECT("G"&amp;ROW()),minfo!$A:$M,COLUMN()-8,0),"")</f>
        <v>0</v>
      </c>
      <c r="U1764" s="4">
        <f ca="1">_xlfn.IFNA(VLOOKUP(INDIRECT("G"&amp;ROW()),minfo!$A:$M,COLUMN()-8,0),"")</f>
        <v>0</v>
      </c>
    </row>
    <row r="1765" spans="1:21" ht="15.75" customHeight="1">
      <c r="A1765" s="15">
        <v>1764</v>
      </c>
      <c r="D1765" s="4">
        <v>1</v>
      </c>
      <c r="E1765" s="4" t="s">
        <v>2067</v>
      </c>
      <c r="F1765" s="16">
        <v>45365</v>
      </c>
      <c r="G1765" s="5" t="s">
        <v>2066</v>
      </c>
      <c r="H1765" s="5" t="s">
        <v>5520</v>
      </c>
      <c r="I1765" s="24" t="str">
        <f>HYPERLINK("https://www.bilibili.com/video/BV1kC411h7wj?p=1", "BV1kC411h7wj?p=1")</f>
        <v>BV1kC411h7wj?p=1</v>
      </c>
      <c r="J1765" s="4" t="str">
        <f ca="1">_xlfn.IFNA(VLOOKUP(INDIRECT("G"&amp;ROW()),minfo!$A:$M,COLUMN()-8,0),"")</f>
        <v>勾指起誓</v>
      </c>
      <c r="K1765" s="4" t="str">
        <f ca="1">_xlfn.IFNA(VLOOKUP(INDIRECT("G"&amp;ROW()),minfo!$A:$M,COLUMN()-8,0),"")</f>
        <v>洛天依,ilem</v>
      </c>
      <c r="L1765" s="4">
        <f ca="1">_xlfn.IFNA(VLOOKUP(INDIRECT("G"&amp;ROW()),minfo!$A:$M,COLUMN()-8,0),"")</f>
        <v>0</v>
      </c>
      <c r="M1765" s="4">
        <f ca="1">_xlfn.IFNA(VLOOKUP(INDIRECT("G"&amp;ROW()),minfo!$A:$M,COLUMN()-8,0),"")</f>
        <v>0</v>
      </c>
      <c r="N1765" s="4">
        <f ca="1">_xlfn.IFNA(VLOOKUP(INDIRECT("G"&amp;ROW()),minfo!$A:$M,COLUMN()-8,0),"")</f>
        <v>0</v>
      </c>
      <c r="O1765" s="4" t="str">
        <f ca="1">_xlfn.IFNA(VLOOKUP(INDIRECT("G"&amp;ROW()),minfo!$A:$M,COLUMN()-8,0),"")</f>
        <v>https://i0.hdslb.com/bfs/station_src/music_metadata/2bf703ca0968210e39946b5a88262f56.jpg</v>
      </c>
      <c r="P1765" s="4">
        <f ca="1">_xlfn.IFNA(VLOOKUP(INDIRECT("G"&amp;ROW()),minfo!$A:$M,COLUMN()-8,0),"")</f>
        <v>0</v>
      </c>
      <c r="Q1765" s="4">
        <f ca="1">_xlfn.IFNA(VLOOKUP(INDIRECT("G"&amp;ROW()),minfo!$A:$M,COLUMN()-8,0),"")</f>
        <v>5625</v>
      </c>
      <c r="R1765" s="4">
        <f ca="1">_xlfn.IFNA(VLOOKUP(INDIRECT("G"&amp;ROW()),minfo!$A:$M,COLUMN()-8,0),"")</f>
        <v>0</v>
      </c>
      <c r="S1765" s="4" t="str">
        <f ca="1">_xlfn.IFNA(VLOOKUP(INDIRECT("G"&amp;ROW()),minfo!$A:$M,COLUMN()-8,0),"")</f>
        <v>2:3</v>
      </c>
      <c r="T1765" s="4">
        <f ca="1">_xlfn.IFNA(VLOOKUP(INDIRECT("G"&amp;ROW()),minfo!$A:$M,COLUMN()-8,0),"")</f>
        <v>733581386</v>
      </c>
      <c r="U1765" s="4">
        <f ca="1">_xlfn.IFNA(VLOOKUP(INDIRECT("G"&amp;ROW()),minfo!$A:$M,COLUMN()-8,0),"")</f>
        <v>0</v>
      </c>
    </row>
    <row r="1766" spans="1:21" ht="15.75" customHeight="1">
      <c r="A1766" s="15">
        <v>1765</v>
      </c>
      <c r="D1766" s="4">
        <v>1</v>
      </c>
      <c r="E1766" s="4" t="s">
        <v>3324</v>
      </c>
      <c r="F1766" s="16">
        <v>45366</v>
      </c>
      <c r="G1766" s="5" t="s">
        <v>3323</v>
      </c>
      <c r="H1766" s="5" t="s">
        <v>5521</v>
      </c>
      <c r="I1766" s="24" t="str">
        <f>HYPERLINK("https://www.bilibili.com/video/BV1zx421C7Q3?p=1", "BV1zx421C7Q3?p=1")</f>
        <v>BV1zx421C7Q3?p=1</v>
      </c>
      <c r="J1766" s="4" t="str">
        <f ca="1">_xlfn.IFNA(VLOOKUP(INDIRECT("G"&amp;ROW()),minfo!$A:$M,COLUMN()-8,0),"")</f>
        <v>为爱痴狂</v>
      </c>
      <c r="K1766" s="4" t="str">
        <f ca="1">_xlfn.IFNA(VLOOKUP(INDIRECT("G"&amp;ROW()),minfo!$A:$M,COLUMN()-8,0),"")</f>
        <v>刘若英</v>
      </c>
      <c r="L1766" s="4">
        <f ca="1">_xlfn.IFNA(VLOOKUP(INDIRECT("G"&amp;ROW()),minfo!$A:$M,COLUMN()-8,0),"")</f>
        <v>0</v>
      </c>
      <c r="M1766" s="4">
        <f ca="1">_xlfn.IFNA(VLOOKUP(INDIRECT("G"&amp;ROW()),minfo!$A:$M,COLUMN()-8,0),"")</f>
        <v>0</v>
      </c>
      <c r="N1766" s="4">
        <f ca="1">_xlfn.IFNA(VLOOKUP(INDIRECT("G"&amp;ROW()),minfo!$A:$M,COLUMN()-8,0),"")</f>
        <v>0</v>
      </c>
      <c r="O1766" s="4" t="str">
        <f ca="1">_xlfn.IFNA(VLOOKUP(INDIRECT("G"&amp;ROW()),minfo!$A:$M,COLUMN()-8,0),"")</f>
        <v>https://i0.hdslb.com/bfs/station_src/music_metadata/eae9638a5c213debfe6d6dffa9280501.jpg</v>
      </c>
      <c r="P1766" s="4" t="str">
        <f ca="1">_xlfn.IFNA(VLOOKUP(INDIRECT("G"&amp;ROW()),minfo!$A:$M,COLUMN()-8,0),"")</f>
        <v>http://i0.hdslb.com/bfs/station_src/music_metadata/27b276669b22a1a195c412e4fea9fcfc</v>
      </c>
      <c r="Q1766" s="4">
        <f ca="1">_xlfn.IFNA(VLOOKUP(INDIRECT("G"&amp;ROW()),minfo!$A:$M,COLUMN()-8,0),"")</f>
        <v>81</v>
      </c>
      <c r="R1766" s="4">
        <f ca="1">_xlfn.IFNA(VLOOKUP(INDIRECT("G"&amp;ROW()),minfo!$A:$M,COLUMN()-8,0),"")</f>
        <v>0</v>
      </c>
      <c r="S1766" s="4" t="str">
        <f ca="1">_xlfn.IFNA(VLOOKUP(INDIRECT("G"&amp;ROW()),minfo!$A:$M,COLUMN()-8,0),"")</f>
        <v>少女小渔刘若英的美丽与哀愁</v>
      </c>
      <c r="T1766" s="4">
        <f ca="1">_xlfn.IFNA(VLOOKUP(INDIRECT("G"&amp;ROW()),minfo!$A:$M,COLUMN()-8,0),"")</f>
        <v>58517368</v>
      </c>
      <c r="U1766" s="4">
        <f ca="1">_xlfn.IFNA(VLOOKUP(INDIRECT("G"&amp;ROW()),minfo!$A:$M,COLUMN()-8,0),"")</f>
        <v>0</v>
      </c>
    </row>
    <row r="1767" spans="1:21" ht="15.75" customHeight="1">
      <c r="A1767" s="15">
        <v>1766</v>
      </c>
      <c r="D1767" s="4">
        <v>1</v>
      </c>
      <c r="E1767" s="4" t="s">
        <v>277</v>
      </c>
      <c r="F1767" s="16">
        <v>45366</v>
      </c>
      <c r="G1767" s="5" t="s">
        <v>276</v>
      </c>
      <c r="H1767" s="5" t="s">
        <v>5522</v>
      </c>
      <c r="I1767" s="24" t="str">
        <f>HYPERLINK("https://www.bilibili.com/video/BV1tJ4m187nt?p=1", "BV1tJ4m187nt?p=1")</f>
        <v>BV1tJ4m187nt?p=1</v>
      </c>
      <c r="J1767" s="4" t="str">
        <f ca="1">_xlfn.IFNA(VLOOKUP(INDIRECT("G"&amp;ROW()),minfo!$A:$M,COLUMN()-8,0),"")</f>
        <v>Slow Down</v>
      </c>
      <c r="K1767" s="4" t="str">
        <f ca="1">_xlfn.IFNA(VLOOKUP(INDIRECT("G"&amp;ROW()),minfo!$A:$M,COLUMN()-8,0),"")</f>
        <v>向井太一</v>
      </c>
      <c r="L1767" s="4">
        <f ca="1">_xlfn.IFNA(VLOOKUP(INDIRECT("G"&amp;ROW()),minfo!$A:$M,COLUMN()-8,0),"")</f>
        <v>0</v>
      </c>
      <c r="M1767" s="4">
        <f ca="1">_xlfn.IFNA(VLOOKUP(INDIRECT("G"&amp;ROW()),minfo!$A:$M,COLUMN()-8,0),"")</f>
        <v>112849</v>
      </c>
      <c r="N1767" s="4">
        <f ca="1">_xlfn.IFNA(VLOOKUP(INDIRECT("G"&amp;ROW()),minfo!$A:$M,COLUMN()-8,0),"")</f>
        <v>9885</v>
      </c>
      <c r="O1767" s="4" t="str">
        <f ca="1">_xlfn.IFNA(VLOOKUP(INDIRECT("G"&amp;ROW()),minfo!$A:$M,COLUMN()-8,0),"")</f>
        <v>https://i0.hdslb.com/bfs/station_src/music_metadata/5cd4f791f41dffb71c9f185bf05380f0.jpg</v>
      </c>
      <c r="P1767" s="4" t="str">
        <f ca="1">_xlfn.IFNA(VLOOKUP(INDIRECT("G"&amp;ROW()),minfo!$A:$M,COLUMN()-8,0),"")</f>
        <v>http://i0.hdslb.com/bfs/station_src/music_metadata/2ee2f5a1afacc5fb26124bf82db2655b</v>
      </c>
      <c r="Q1767" s="4">
        <f ca="1">_xlfn.IFNA(VLOOKUP(INDIRECT("G"&amp;ROW()),minfo!$A:$M,COLUMN()-8,0),"")</f>
        <v>5582</v>
      </c>
      <c r="R1767" s="4">
        <f ca="1">_xlfn.IFNA(VLOOKUP(INDIRECT("G"&amp;ROW()),minfo!$A:$M,COLUMN()-8,0),"")</f>
        <v>0</v>
      </c>
      <c r="S1767" s="4" t="str">
        <f ca="1">_xlfn.IFNA(VLOOKUP(INDIRECT("G"&amp;ROW()),minfo!$A:$M,COLUMN()-8,0),"")</f>
        <v>SLOW DOWN</v>
      </c>
      <c r="T1767" s="4">
        <f ca="1">_xlfn.IFNA(VLOOKUP(INDIRECT("G"&amp;ROW()),minfo!$A:$M,COLUMN()-8,0),"")</f>
        <v>101589317</v>
      </c>
      <c r="U1767" s="4">
        <f ca="1">_xlfn.IFNA(VLOOKUP(INDIRECT("G"&amp;ROW()),minfo!$A:$M,COLUMN()-8,0),"")</f>
        <v>0</v>
      </c>
    </row>
    <row r="1768" spans="1:21" ht="15.75" customHeight="1">
      <c r="A1768" s="15">
        <v>1767</v>
      </c>
      <c r="D1768" s="4">
        <v>1</v>
      </c>
      <c r="E1768" s="4" t="s">
        <v>3329</v>
      </c>
      <c r="F1768" s="16">
        <v>45366</v>
      </c>
      <c r="G1768" s="5" t="s">
        <v>3328</v>
      </c>
      <c r="H1768" s="5" t="s">
        <v>5523</v>
      </c>
      <c r="I1768" s="24" t="str">
        <f>HYPERLINK("https://www.bilibili.com/video/BV1Hx4y1D7KL?p=1", "BV1Hx4y1D7KL?p=1")</f>
        <v>BV1Hx4y1D7KL?p=1</v>
      </c>
      <c r="J1768" s="4" t="str">
        <f ca="1">_xlfn.IFNA(VLOOKUP(INDIRECT("G"&amp;ROW()),minfo!$A:$M,COLUMN()-8,0),"")</f>
        <v>远走高飞</v>
      </c>
      <c r="K1768" s="4" t="str">
        <f ca="1">_xlfn.IFNA(VLOOKUP(INDIRECT("G"&amp;ROW()),minfo!$A:$M,COLUMN()-8,0),"")</f>
        <v>金志文,赖美云</v>
      </c>
      <c r="L1768" s="4">
        <f ca="1">_xlfn.IFNA(VLOOKUP(INDIRECT("G"&amp;ROW()),minfo!$A:$M,COLUMN()-8,0),"")</f>
        <v>0</v>
      </c>
      <c r="M1768" s="4">
        <f ca="1">_xlfn.IFNA(VLOOKUP(INDIRECT("G"&amp;ROW()),minfo!$A:$M,COLUMN()-8,0),"")</f>
        <v>0</v>
      </c>
      <c r="N1768" s="4">
        <f ca="1">_xlfn.IFNA(VLOOKUP(INDIRECT("G"&amp;ROW()),minfo!$A:$M,COLUMN()-8,0),"")</f>
        <v>0</v>
      </c>
      <c r="O1768" s="4" t="str">
        <f ca="1">_xlfn.IFNA(VLOOKUP(INDIRECT("G"&amp;ROW()),minfo!$A:$M,COLUMN()-8,0),"")</f>
        <v>https://i0.hdslb.com/bfs/station_src/music_metadata/2e0cd604f2d233c4d1d0047715e624a0.jpg</v>
      </c>
      <c r="P1768" s="4" t="str">
        <f ca="1">_xlfn.IFNA(VLOOKUP(INDIRECT("G"&amp;ROW()),minfo!$A:$M,COLUMN()-8,0),"")</f>
        <v>http://i0.hdslb.com/bfs/station_src/music_metadata/ddf8750585f3bf5a613bdb0b88e8561f</v>
      </c>
      <c r="Q1768" s="4">
        <f ca="1">_xlfn.IFNA(VLOOKUP(INDIRECT("G"&amp;ROW()),minfo!$A:$M,COLUMN()-8,0),"")</f>
        <v>217</v>
      </c>
      <c r="R1768" s="4">
        <f ca="1">_xlfn.IFNA(VLOOKUP(INDIRECT("G"&amp;ROW()),minfo!$A:$M,COLUMN()-8,0),"")</f>
        <v>0</v>
      </c>
      <c r="S1768" s="4" t="str">
        <f ca="1">_xlfn.IFNA(VLOOKUP(INDIRECT("G"&amp;ROW()),minfo!$A:$M,COLUMN()-8,0),"")</f>
        <v>美好的时光 第9期</v>
      </c>
      <c r="T1768" s="4">
        <f ca="1">_xlfn.IFNA(VLOOKUP(INDIRECT("G"&amp;ROW()),minfo!$A:$M,COLUMN()-8,0),"")</f>
        <v>60323377</v>
      </c>
      <c r="U1768" s="4">
        <f ca="1">_xlfn.IFNA(VLOOKUP(INDIRECT("G"&amp;ROW()),minfo!$A:$M,COLUMN()-8,0),"")</f>
        <v>0</v>
      </c>
    </row>
    <row r="1769" spans="1:21" ht="15.75" customHeight="1">
      <c r="A1769" s="15">
        <v>1768</v>
      </c>
      <c r="D1769" s="4">
        <v>1</v>
      </c>
      <c r="E1769" s="4" t="s">
        <v>1569</v>
      </c>
      <c r="F1769" s="16">
        <v>45366</v>
      </c>
      <c r="G1769" s="5" t="s">
        <v>1568</v>
      </c>
      <c r="H1769" s="5" t="s">
        <v>5524</v>
      </c>
      <c r="I1769" s="24" t="str">
        <f>HYPERLINK("https://www.bilibili.com/video/BV1NH4y1s7Hg?p=1", "BV1NH4y1s7Hg?p=1")</f>
        <v>BV1NH4y1s7Hg?p=1</v>
      </c>
      <c r="J1769" s="4" t="str">
        <f ca="1">_xlfn.IFNA(VLOOKUP(INDIRECT("G"&amp;ROW()),minfo!$A:$M,COLUMN()-8,0),"")</f>
        <v>风月</v>
      </c>
      <c r="K1769" s="4" t="str">
        <f ca="1">_xlfn.IFNA(VLOOKUP(INDIRECT("G"&amp;ROW()),minfo!$A:$M,COLUMN()-8,0),"")</f>
        <v>黄龄</v>
      </c>
      <c r="L1769" s="4">
        <f ca="1">_xlfn.IFNA(VLOOKUP(INDIRECT("G"&amp;ROW()),minfo!$A:$M,COLUMN()-8,0),"")</f>
        <v>0</v>
      </c>
      <c r="M1769" s="4">
        <f ca="1">_xlfn.IFNA(VLOOKUP(INDIRECT("G"&amp;ROW()),minfo!$A:$M,COLUMN()-8,0),"")</f>
        <v>0</v>
      </c>
      <c r="N1769" s="4">
        <f ca="1">_xlfn.IFNA(VLOOKUP(INDIRECT("G"&amp;ROW()),minfo!$A:$M,COLUMN()-8,0),"")</f>
        <v>0</v>
      </c>
      <c r="O1769" s="4" t="str">
        <f ca="1">_xlfn.IFNA(VLOOKUP(INDIRECT("G"&amp;ROW()),minfo!$A:$M,COLUMN()-8,0),"")</f>
        <v>https://i0.hdslb.com/bfs/station_src/music_metadata/874d427c68cbd11ec3a0c97a238991cf.jpg</v>
      </c>
      <c r="P1769" s="4">
        <f ca="1">_xlfn.IFNA(VLOOKUP(INDIRECT("G"&amp;ROW()),minfo!$A:$M,COLUMN()-8,0),"")</f>
        <v>0</v>
      </c>
      <c r="Q1769" s="4">
        <f ca="1">_xlfn.IFNA(VLOOKUP(INDIRECT("G"&amp;ROW()),minfo!$A:$M,COLUMN()-8,0),"")</f>
        <v>778</v>
      </c>
      <c r="R1769" s="4">
        <f ca="1">_xlfn.IFNA(VLOOKUP(INDIRECT("G"&amp;ROW()),minfo!$A:$M,COLUMN()-8,0),"")</f>
        <v>0</v>
      </c>
      <c r="S1769" s="4" t="str">
        <f ca="1">_xlfn.IFNA(VLOOKUP(INDIRECT("G"&amp;ROW()),minfo!$A:$M,COLUMN()-8,0),"")</f>
        <v>2020最美的夜 bilibili晚会</v>
      </c>
      <c r="T1769" s="4">
        <f ca="1">_xlfn.IFNA(VLOOKUP(INDIRECT("G"&amp;ROW()),minfo!$A:$M,COLUMN()-8,0),"")</f>
        <v>174632458</v>
      </c>
      <c r="U1769" s="4">
        <f ca="1">_xlfn.IFNA(VLOOKUP(INDIRECT("G"&amp;ROW()),minfo!$A:$M,COLUMN()-8,0),"")</f>
        <v>0</v>
      </c>
    </row>
    <row r="1770" spans="1:21" ht="15.75" customHeight="1">
      <c r="A1770" s="15">
        <v>1769</v>
      </c>
      <c r="D1770" s="4">
        <v>1</v>
      </c>
      <c r="E1770" s="4" t="s">
        <v>889</v>
      </c>
      <c r="F1770" s="16">
        <v>45366</v>
      </c>
      <c r="G1770" s="5" t="s">
        <v>888</v>
      </c>
      <c r="H1770" s="5" t="s">
        <v>5525</v>
      </c>
      <c r="I1770" s="24" t="str">
        <f>HYPERLINK("https://www.bilibili.com/video/BV1wu4m1u7fF?p=1", "BV1wu4m1u7fF?p=1")</f>
        <v>BV1wu4m1u7fF?p=1</v>
      </c>
      <c r="J1770" s="4" t="str">
        <f ca="1">_xlfn.IFNA(VLOOKUP(INDIRECT("G"&amp;ROW()),minfo!$A:$M,COLUMN()-8,0),"")</f>
        <v>牵丝戏</v>
      </c>
      <c r="K1770" s="4" t="str">
        <f ca="1">_xlfn.IFNA(VLOOKUP(INDIRECT("G"&amp;ROW()),minfo!$A:$M,COLUMN()-8,0),"")</f>
        <v>Aki阿杰,银临</v>
      </c>
      <c r="L1770" s="4">
        <f ca="1">_xlfn.IFNA(VLOOKUP(INDIRECT("G"&amp;ROW()),minfo!$A:$M,COLUMN()-8,0),"")</f>
        <v>0</v>
      </c>
      <c r="M1770" s="4">
        <f ca="1">_xlfn.IFNA(VLOOKUP(INDIRECT("G"&amp;ROW()),minfo!$A:$M,COLUMN()-8,0),"")</f>
        <v>0</v>
      </c>
      <c r="N1770" s="4">
        <f ca="1">_xlfn.IFNA(VLOOKUP(INDIRECT("G"&amp;ROW()),minfo!$A:$M,COLUMN()-8,0),"")</f>
        <v>0</v>
      </c>
      <c r="O1770" s="4" t="str">
        <f ca="1">_xlfn.IFNA(VLOOKUP(INDIRECT("G"&amp;ROW()),minfo!$A:$M,COLUMN()-8,0),"")</f>
        <v>http://i0.hdslb.com/bfs/station_src/music_metadata/72595c526fcf49f274790d64d054c75b.jpg</v>
      </c>
      <c r="P1770" s="4" t="str">
        <f ca="1">_xlfn.IFNA(VLOOKUP(INDIRECT("G"&amp;ROW()),minfo!$A:$M,COLUMN()-8,0),"")</f>
        <v>http://i0.hdslb.com/bfs/station_src/music_metadata/14006e77b0b81667b2717d8b056c1ce1</v>
      </c>
      <c r="Q1770" s="4">
        <f ca="1">_xlfn.IFNA(VLOOKUP(INDIRECT("G"&amp;ROW()),minfo!$A:$M,COLUMN()-8,0),"")</f>
        <v>5373</v>
      </c>
      <c r="R1770" s="4">
        <f ca="1">_xlfn.IFNA(VLOOKUP(INDIRECT("G"&amp;ROW()),minfo!$A:$M,COLUMN()-8,0),"")</f>
        <v>0</v>
      </c>
      <c r="S1770" s="4" t="str">
        <f ca="1">_xlfn.IFNA(VLOOKUP(INDIRECT("G"&amp;ROW()),minfo!$A:$M,COLUMN()-8,0),"")</f>
        <v>牵丝戏</v>
      </c>
      <c r="T1770" s="4">
        <f ca="1">_xlfn.IFNA(VLOOKUP(INDIRECT("G"&amp;ROW()),minfo!$A:$M,COLUMN()-8,0),"")</f>
        <v>1130927274</v>
      </c>
      <c r="U1770" s="4">
        <f ca="1">_xlfn.IFNA(VLOOKUP(INDIRECT("G"&amp;ROW()),minfo!$A:$M,COLUMN()-8,0),"")</f>
        <v>0</v>
      </c>
    </row>
    <row r="1771" spans="1:21" ht="15.75" customHeight="1">
      <c r="A1771" s="15">
        <v>1770</v>
      </c>
      <c r="D1771" s="4">
        <v>1</v>
      </c>
      <c r="E1771" s="4" t="s">
        <v>2968</v>
      </c>
      <c r="F1771" s="16">
        <v>45366</v>
      </c>
      <c r="G1771" s="5" t="s">
        <v>2967</v>
      </c>
      <c r="H1771" s="5" t="s">
        <v>5526</v>
      </c>
      <c r="I1771" s="24" t="str">
        <f>HYPERLINK("https://www.bilibili.com/video/BV1Xt421V7Nb?p=1", "BV1Xt421V7Nb?p=1")</f>
        <v>BV1Xt421V7Nb?p=1</v>
      </c>
      <c r="J1771" s="4" t="str">
        <f ca="1">_xlfn.IFNA(VLOOKUP(INDIRECT("G"&amp;ROW()),minfo!$A:$M,COLUMN()-8,0),"")</f>
        <v>苏幕遮</v>
      </c>
      <c r="K1771" s="4" t="str">
        <f ca="1">_xlfn.IFNA(VLOOKUP(INDIRECT("G"&amp;ROW()),minfo!$A:$M,COLUMN()-8,0),"")</f>
        <v>张晓棠</v>
      </c>
      <c r="L1771" s="4">
        <f ca="1">_xlfn.IFNA(VLOOKUP(INDIRECT("G"&amp;ROW()),minfo!$A:$M,COLUMN()-8,0),"")</f>
        <v>0</v>
      </c>
      <c r="M1771" s="4">
        <f ca="1">_xlfn.IFNA(VLOOKUP(INDIRECT("G"&amp;ROW()),minfo!$A:$M,COLUMN()-8,0),"")</f>
        <v>0</v>
      </c>
      <c r="N1771" s="4">
        <f ca="1">_xlfn.IFNA(VLOOKUP(INDIRECT("G"&amp;ROW()),minfo!$A:$M,COLUMN()-8,0),"")</f>
        <v>0</v>
      </c>
      <c r="O1771" s="4" t="str">
        <f ca="1">_xlfn.IFNA(VLOOKUP(INDIRECT("G"&amp;ROW()),minfo!$A:$M,COLUMN()-8,0),"")</f>
        <v>https://i0.hdslb.com/bfs/station_src/music_metadata/6d4abb378985a85772919adec194ad14.jpg</v>
      </c>
      <c r="P1771" s="4" t="str">
        <f ca="1">_xlfn.IFNA(VLOOKUP(INDIRECT("G"&amp;ROW()),minfo!$A:$M,COLUMN()-8,0),"")</f>
        <v>https://i0.hdslb.com/bfs/station_src/music_metadata/9ecf2ddeccc8f5c9bd142df102c737bf.lrc</v>
      </c>
      <c r="Q1771" s="4">
        <f ca="1">_xlfn.IFNA(VLOOKUP(INDIRECT("G"&amp;ROW()),minfo!$A:$M,COLUMN()-8,0),"")</f>
        <v>2045</v>
      </c>
      <c r="R1771" s="4">
        <f ca="1">_xlfn.IFNA(VLOOKUP(INDIRECT("G"&amp;ROW()),minfo!$A:$M,COLUMN()-8,0),"")</f>
        <v>0</v>
      </c>
      <c r="S1771" s="4" t="str">
        <f ca="1">_xlfn.IFNA(VLOOKUP(INDIRECT("G"&amp;ROW()),minfo!$A:$M,COLUMN()-8,0),"")</f>
        <v>盛世好风光</v>
      </c>
      <c r="T1771" s="4">
        <f ca="1">_xlfn.IFNA(VLOOKUP(INDIRECT("G"&amp;ROW()),minfo!$A:$M,COLUMN()-8,0),"")</f>
        <v>250489326</v>
      </c>
      <c r="U1771" s="4" t="str">
        <f ca="1">_xlfn.IFNA(VLOOKUP(INDIRECT("G"&amp;ROW()),minfo!$A:$M,COLUMN()-8,0),"")</f>
        <v>音乐榜最高NO.20</v>
      </c>
    </row>
    <row r="1772" spans="1:21" ht="15.75" customHeight="1">
      <c r="A1772" s="15">
        <v>1771</v>
      </c>
      <c r="D1772" s="4">
        <v>1</v>
      </c>
      <c r="E1772" s="4" t="s">
        <v>1024</v>
      </c>
      <c r="F1772" s="16">
        <v>45366</v>
      </c>
      <c r="G1772" s="5" t="s">
        <v>1023</v>
      </c>
      <c r="H1772" s="5" t="s">
        <v>5527</v>
      </c>
      <c r="I1772" s="24" t="str">
        <f>HYPERLINK("https://www.bilibili.com/video/BV1vx421r7UA?p=1", "BV1vx421r7UA?p=1")</f>
        <v>BV1vx421r7UA?p=1</v>
      </c>
      <c r="J1772" s="4" t="str">
        <f ca="1">_xlfn.IFNA(VLOOKUP(INDIRECT("G"&amp;ROW()),minfo!$A:$M,COLUMN()-8,0),"")</f>
        <v>兰亭序</v>
      </c>
      <c r="K1772" s="4" t="str">
        <f ca="1">_xlfn.IFNA(VLOOKUP(INDIRECT("G"&amp;ROW()),minfo!$A:$M,COLUMN()-8,0),"")</f>
        <v>周杰伦</v>
      </c>
      <c r="L1772" s="4">
        <f ca="1">_xlfn.IFNA(VLOOKUP(INDIRECT("G"&amp;ROW()),minfo!$A:$M,COLUMN()-8,0),"")</f>
        <v>0</v>
      </c>
      <c r="M1772" s="4">
        <f ca="1">_xlfn.IFNA(VLOOKUP(INDIRECT("G"&amp;ROW()),minfo!$A:$M,COLUMN()-8,0),"")</f>
        <v>0</v>
      </c>
      <c r="N1772" s="4">
        <f ca="1">_xlfn.IFNA(VLOOKUP(INDIRECT("G"&amp;ROW()),minfo!$A:$M,COLUMN()-8,0),"")</f>
        <v>0</v>
      </c>
      <c r="O1772" s="4" t="str">
        <f ca="1">_xlfn.IFNA(VLOOKUP(INDIRECT("G"&amp;ROW()),minfo!$A:$M,COLUMN()-8,0),"")</f>
        <v>https://i0.hdslb.com/bfs/station_src/music_metadata/a03f7d174c3b01e4c6b3907a115c5434.jpg</v>
      </c>
      <c r="P1772" s="4">
        <f ca="1">_xlfn.IFNA(VLOOKUP(INDIRECT("G"&amp;ROW()),minfo!$A:$M,COLUMN()-8,0),"")</f>
        <v>0</v>
      </c>
      <c r="Q1772" s="4">
        <f ca="1">_xlfn.IFNA(VLOOKUP(INDIRECT("G"&amp;ROW()),minfo!$A:$M,COLUMN()-8,0),"")</f>
        <v>28515</v>
      </c>
      <c r="R1772" s="4">
        <f ca="1">_xlfn.IFNA(VLOOKUP(INDIRECT("G"&amp;ROW()),minfo!$A:$M,COLUMN()-8,0),"")</f>
        <v>0</v>
      </c>
      <c r="S1772" s="4" t="str">
        <f ca="1">_xlfn.IFNA(VLOOKUP(INDIRECT("G"&amp;ROW()),minfo!$A:$M,COLUMN()-8,0),"")</f>
        <v>魔杰座</v>
      </c>
      <c r="T1772" s="4">
        <f ca="1">_xlfn.IFNA(VLOOKUP(INDIRECT("G"&amp;ROW()),minfo!$A:$M,COLUMN()-8,0),"")</f>
        <v>2546158396</v>
      </c>
      <c r="U1772" s="4" t="str">
        <f ca="1">_xlfn.IFNA(VLOOKUP(INDIRECT("G"&amp;ROW()),minfo!$A:$M,COLUMN()-8,0),"")</f>
        <v>音乐榜最高NO.4</v>
      </c>
    </row>
    <row r="1773" spans="1:21" ht="15.75" customHeight="1">
      <c r="A1773" s="15">
        <v>1772</v>
      </c>
      <c r="D1773" s="4">
        <v>1</v>
      </c>
      <c r="E1773" s="4" t="s">
        <v>994</v>
      </c>
      <c r="F1773" s="16">
        <v>45366</v>
      </c>
      <c r="G1773" s="5" t="s">
        <v>993</v>
      </c>
      <c r="H1773" s="5" t="s">
        <v>5528</v>
      </c>
      <c r="I1773" s="24" t="str">
        <f>HYPERLINK("https://www.bilibili.com/video/BV1Hw4m1o7pC?p=1", "BV1Hw4m1o7pC?p=1")</f>
        <v>BV1Hw4m1o7pC?p=1</v>
      </c>
      <c r="J1773" s="4" t="str">
        <f ca="1">_xlfn.IFNA(VLOOKUP(INDIRECT("G"&amp;ROW()),minfo!$A:$M,COLUMN()-8,0),"")</f>
        <v>千里之外</v>
      </c>
      <c r="K1773" s="4" t="str">
        <f ca="1">_xlfn.IFNA(VLOOKUP(INDIRECT("G"&amp;ROW()),minfo!$A:$M,COLUMN()-8,0),"")</f>
        <v>周杰伦,费玉清</v>
      </c>
      <c r="L1773" s="4">
        <f ca="1">_xlfn.IFNA(VLOOKUP(INDIRECT("G"&amp;ROW()),minfo!$A:$M,COLUMN()-8,0),"")</f>
        <v>0</v>
      </c>
      <c r="M1773" s="4">
        <f ca="1">_xlfn.IFNA(VLOOKUP(INDIRECT("G"&amp;ROW()),minfo!$A:$M,COLUMN()-8,0),"")</f>
        <v>0</v>
      </c>
      <c r="N1773" s="4">
        <f ca="1">_xlfn.IFNA(VLOOKUP(INDIRECT("G"&amp;ROW()),minfo!$A:$M,COLUMN()-8,0),"")</f>
        <v>0</v>
      </c>
      <c r="O1773" s="4" t="str">
        <f ca="1">_xlfn.IFNA(VLOOKUP(INDIRECT("G"&amp;ROW()),minfo!$A:$M,COLUMN()-8,0),"")</f>
        <v>https://i0.hdslb.com/bfs/station_src/music_metadata/93cc2943c40bbf6990bd9e0adeabafe2.jpg</v>
      </c>
      <c r="P1773" s="4" t="str">
        <f ca="1">_xlfn.IFNA(VLOOKUP(INDIRECT("G"&amp;ROW()),minfo!$A:$M,COLUMN()-8,0),"")</f>
        <v>http://i0.hdslb.com/bfs/station_src/music_metadata/e8ad99f703c7b523f52b890a4f1946c1</v>
      </c>
      <c r="Q1773" s="4">
        <f ca="1">_xlfn.IFNA(VLOOKUP(INDIRECT("G"&amp;ROW()),minfo!$A:$M,COLUMN()-8,0),"")</f>
        <v>1217</v>
      </c>
      <c r="R1773" s="4">
        <f ca="1">_xlfn.IFNA(VLOOKUP(INDIRECT("G"&amp;ROW()),minfo!$A:$M,COLUMN()-8,0),"")</f>
        <v>0</v>
      </c>
      <c r="S1773" s="4" t="str">
        <f ca="1">_xlfn.IFNA(VLOOKUP(INDIRECT("G"&amp;ROW()),minfo!$A:$M,COLUMN()-8,0),"")</f>
        <v>依然范特西</v>
      </c>
      <c r="T1773" s="4">
        <f ca="1">_xlfn.IFNA(VLOOKUP(INDIRECT("G"&amp;ROW()),minfo!$A:$M,COLUMN()-8,0),"")</f>
        <v>391200362</v>
      </c>
      <c r="U1773" s="4">
        <f ca="1">_xlfn.IFNA(VLOOKUP(INDIRECT("G"&amp;ROW()),minfo!$A:$M,COLUMN()-8,0),"")</f>
        <v>0</v>
      </c>
    </row>
    <row r="1774" spans="1:21" ht="15.75" customHeight="1">
      <c r="A1774" s="15">
        <v>1773</v>
      </c>
      <c r="D1774" s="4">
        <v>1</v>
      </c>
      <c r="E1774" s="4" t="s">
        <v>3335</v>
      </c>
      <c r="F1774" s="16">
        <v>45366</v>
      </c>
      <c r="G1774" s="5" t="s">
        <v>3334</v>
      </c>
      <c r="H1774" s="5" t="s">
        <v>5529</v>
      </c>
      <c r="I1774" s="24" t="str">
        <f>HYPERLINK("https://www.bilibili.com/video/BV1ej421o7qK?p=1", "BV1ej421o7qK?p=1")</f>
        <v>BV1ej421o7qK?p=1</v>
      </c>
      <c r="J1774" s="4" t="str">
        <f ca="1">_xlfn.IFNA(VLOOKUP(INDIRECT("G"&amp;ROW()),minfo!$A:$M,COLUMN()-8,0),"")</f>
        <v>那个女孩</v>
      </c>
      <c r="K1774" s="4" t="str">
        <f ca="1">_xlfn.IFNA(VLOOKUP(INDIRECT("G"&amp;ROW()),minfo!$A:$M,COLUMN()-8,0),"")</f>
        <v>卢广仲,陶喆</v>
      </c>
      <c r="L1774" s="4">
        <f ca="1">_xlfn.IFNA(VLOOKUP(INDIRECT("G"&amp;ROW()),minfo!$A:$M,COLUMN()-8,0),"")</f>
        <v>0</v>
      </c>
      <c r="M1774" s="4">
        <f ca="1">_xlfn.IFNA(VLOOKUP(INDIRECT("G"&amp;ROW()),minfo!$A:$M,COLUMN()-8,0),"")</f>
        <v>0</v>
      </c>
      <c r="N1774" s="4">
        <f ca="1">_xlfn.IFNA(VLOOKUP(INDIRECT("G"&amp;ROW()),minfo!$A:$M,COLUMN()-8,0),"")</f>
        <v>0</v>
      </c>
      <c r="O1774" s="4" t="str">
        <f ca="1">_xlfn.IFNA(VLOOKUP(INDIRECT("G"&amp;ROW()),minfo!$A:$M,COLUMN()-8,0),"")</f>
        <v>https://i0.hdslb.com/bfs/station_src/music_metadata/c864345045e74c18e9eef7f52891cbbb.jpg</v>
      </c>
      <c r="P1774" s="4">
        <f ca="1">_xlfn.IFNA(VLOOKUP(INDIRECT("G"&amp;ROW()),minfo!$A:$M,COLUMN()-8,0),"")</f>
        <v>0</v>
      </c>
      <c r="Q1774" s="4">
        <f ca="1">_xlfn.IFNA(VLOOKUP(INDIRECT("G"&amp;ROW()),minfo!$A:$M,COLUMN()-8,0),"")</f>
        <v>202</v>
      </c>
      <c r="R1774" s="4">
        <f ca="1">_xlfn.IFNA(VLOOKUP(INDIRECT("G"&amp;ROW()),minfo!$A:$M,COLUMN()-8,0),"")</f>
        <v>0</v>
      </c>
      <c r="S1774" s="4" t="str">
        <f ca="1">_xlfn.IFNA(VLOOKUP(INDIRECT("G"&amp;ROW()),minfo!$A:$M,COLUMN()-8,0),"")</f>
        <v>再见你好吗 Hello Goodbye</v>
      </c>
      <c r="T1774" s="4">
        <f ca="1">_xlfn.IFNA(VLOOKUP(INDIRECT("G"&amp;ROW()),minfo!$A:$M,COLUMN()-8,0),"")</f>
        <v>40006301</v>
      </c>
      <c r="U1774" s="4">
        <f ca="1">_xlfn.IFNA(VLOOKUP(INDIRECT("G"&amp;ROW()),minfo!$A:$M,COLUMN()-8,0),"")</f>
        <v>0</v>
      </c>
    </row>
    <row r="1775" spans="1:21" ht="15.75" customHeight="1">
      <c r="A1775" s="15">
        <v>1774</v>
      </c>
      <c r="D1775" s="4">
        <v>1</v>
      </c>
      <c r="E1775" s="4" t="s">
        <v>65</v>
      </c>
      <c r="F1775" s="16">
        <v>45367</v>
      </c>
      <c r="G1775" s="5" t="s">
        <v>513</v>
      </c>
      <c r="H1775" s="5" t="s">
        <v>5530</v>
      </c>
      <c r="I1775" s="24" t="str">
        <f>HYPERLINK("https://www.bilibili.com/video/BV1Lx4y1D7zi?p=1", "BV1Lx4y1D7zi?p=1")</f>
        <v>BV1Lx4y1D7zi?p=1</v>
      </c>
      <c r="J1775" s="4" t="str">
        <f ca="1">_xlfn.IFNA(VLOOKUP(INDIRECT("G"&amp;ROW()),minfo!$A:$M,COLUMN()-8,0),"")</f>
        <v>天知河</v>
      </c>
      <c r="K1775" s="4" t="str">
        <f ca="1">_xlfn.IFNA(VLOOKUP(INDIRECT("G"&amp;ROW()),minfo!$A:$M,COLUMN()-8,0),"")</f>
        <v>说说Crystal</v>
      </c>
      <c r="L1775" s="4">
        <f ca="1">_xlfn.IFNA(VLOOKUP(INDIRECT("G"&amp;ROW()),minfo!$A:$M,COLUMN()-8,0),"")</f>
        <v>0</v>
      </c>
      <c r="M1775" s="4">
        <f ca="1">_xlfn.IFNA(VLOOKUP(INDIRECT("G"&amp;ROW()),minfo!$A:$M,COLUMN()-8,0),"")</f>
        <v>63471</v>
      </c>
      <c r="N1775" s="4">
        <f ca="1">_xlfn.IFNA(VLOOKUP(INDIRECT("G"&amp;ROW()),minfo!$A:$M,COLUMN()-8,0),"")</f>
        <v>19895</v>
      </c>
      <c r="O1775" s="4" t="str">
        <f ca="1">_xlfn.IFNA(VLOOKUP(INDIRECT("G"&amp;ROW()),minfo!$A:$M,COLUMN()-8,0),"")</f>
        <v>http://i0.hdslb.com/bfs/station_src/music_metadata/4ad5958a6b4bee52560f0cf175374bf7.jpg</v>
      </c>
      <c r="P1775" s="4">
        <f ca="1">_xlfn.IFNA(VLOOKUP(INDIRECT("G"&amp;ROW()),minfo!$A:$M,COLUMN()-8,0),"")</f>
        <v>0</v>
      </c>
      <c r="Q1775" s="4">
        <f ca="1">_xlfn.IFNA(VLOOKUP(INDIRECT("G"&amp;ROW()),minfo!$A:$M,COLUMN()-8,0),"")</f>
        <v>106</v>
      </c>
      <c r="R1775" s="4">
        <f ca="1">_xlfn.IFNA(VLOOKUP(INDIRECT("G"&amp;ROW()),minfo!$A:$M,COLUMN()-8,0),"")</f>
        <v>0</v>
      </c>
      <c r="S1775" s="4" t="str">
        <f ca="1">_xlfn.IFNA(VLOOKUP(INDIRECT("G"&amp;ROW()),minfo!$A:$M,COLUMN()-8,0),"")</f>
        <v>天知河</v>
      </c>
      <c r="T1775" s="4">
        <f ca="1">_xlfn.IFNA(VLOOKUP(INDIRECT("G"&amp;ROW()),minfo!$A:$M,COLUMN()-8,0),"")</f>
        <v>3294592</v>
      </c>
      <c r="U1775" s="4">
        <f ca="1">_xlfn.IFNA(VLOOKUP(INDIRECT("G"&amp;ROW()),minfo!$A:$M,COLUMN()-8,0),"")</f>
        <v>0</v>
      </c>
    </row>
    <row r="1776" spans="1:21" ht="15.75" customHeight="1">
      <c r="A1776" s="15">
        <v>1775</v>
      </c>
      <c r="D1776" s="4">
        <v>2</v>
      </c>
      <c r="E1776" s="4" t="s">
        <v>65</v>
      </c>
      <c r="F1776" s="16">
        <v>45367</v>
      </c>
      <c r="G1776" s="5" t="s">
        <v>513</v>
      </c>
      <c r="H1776" s="5" t="s">
        <v>5530</v>
      </c>
      <c r="I1776" s="24" t="str">
        <f>HYPERLINK("https://www.bilibili.com/video/BV1Lx4y1D7zi?p=2", "BV1Lx4y1D7zi?p=2")</f>
        <v>BV1Lx4y1D7zi?p=2</v>
      </c>
      <c r="J1776" s="4" t="str">
        <f ca="1">_xlfn.IFNA(VLOOKUP(INDIRECT("G"&amp;ROW()),minfo!$A:$M,COLUMN()-8,0),"")</f>
        <v>天知河</v>
      </c>
      <c r="K1776" s="4" t="str">
        <f ca="1">_xlfn.IFNA(VLOOKUP(INDIRECT("G"&amp;ROW()),minfo!$A:$M,COLUMN()-8,0),"")</f>
        <v>说说Crystal</v>
      </c>
      <c r="L1776" s="4">
        <f ca="1">_xlfn.IFNA(VLOOKUP(INDIRECT("G"&amp;ROW()),minfo!$A:$M,COLUMN()-8,0),"")</f>
        <v>0</v>
      </c>
      <c r="M1776" s="4">
        <f ca="1">_xlfn.IFNA(VLOOKUP(INDIRECT("G"&amp;ROW()),minfo!$A:$M,COLUMN()-8,0),"")</f>
        <v>63471</v>
      </c>
      <c r="N1776" s="4">
        <f ca="1">_xlfn.IFNA(VLOOKUP(INDIRECT("G"&amp;ROW()),minfo!$A:$M,COLUMN()-8,0),"")</f>
        <v>19895</v>
      </c>
      <c r="O1776" s="4" t="str">
        <f ca="1">_xlfn.IFNA(VLOOKUP(INDIRECT("G"&amp;ROW()),minfo!$A:$M,COLUMN()-8,0),"")</f>
        <v>http://i0.hdslb.com/bfs/station_src/music_metadata/4ad5958a6b4bee52560f0cf175374bf7.jpg</v>
      </c>
      <c r="P1776" s="4">
        <f ca="1">_xlfn.IFNA(VLOOKUP(INDIRECT("G"&amp;ROW()),minfo!$A:$M,COLUMN()-8,0),"")</f>
        <v>0</v>
      </c>
      <c r="Q1776" s="4">
        <f ca="1">_xlfn.IFNA(VLOOKUP(INDIRECT("G"&amp;ROW()),minfo!$A:$M,COLUMN()-8,0),"")</f>
        <v>106</v>
      </c>
      <c r="R1776" s="4">
        <f ca="1">_xlfn.IFNA(VLOOKUP(INDIRECT("G"&amp;ROW()),minfo!$A:$M,COLUMN()-8,0),"")</f>
        <v>0</v>
      </c>
      <c r="S1776" s="4" t="str">
        <f ca="1">_xlfn.IFNA(VLOOKUP(INDIRECT("G"&amp;ROW()),minfo!$A:$M,COLUMN()-8,0),"")</f>
        <v>天知河</v>
      </c>
      <c r="T1776" s="4">
        <f ca="1">_xlfn.IFNA(VLOOKUP(INDIRECT("G"&amp;ROW()),minfo!$A:$M,COLUMN()-8,0),"")</f>
        <v>3294592</v>
      </c>
      <c r="U1776" s="4">
        <f ca="1">_xlfn.IFNA(VLOOKUP(INDIRECT("G"&amp;ROW()),minfo!$A:$M,COLUMN()-8,0),"")</f>
        <v>0</v>
      </c>
    </row>
    <row r="1777" spans="1:21" ht="15.75" customHeight="1">
      <c r="A1777" s="15">
        <v>1776</v>
      </c>
      <c r="D1777" s="4">
        <v>1</v>
      </c>
      <c r="E1777" s="4" t="s">
        <v>3123</v>
      </c>
      <c r="F1777" s="16">
        <v>45367</v>
      </c>
      <c r="G1777" s="5" t="s">
        <v>3314</v>
      </c>
      <c r="H1777" s="5" t="s">
        <v>5531</v>
      </c>
      <c r="I1777" s="24" t="str">
        <f>HYPERLINK("https://www.bilibili.com/video/BV1bZ421b7vn?p=1", "BV1bZ421b7vn?p=1")</f>
        <v>BV1bZ421b7vn?p=1</v>
      </c>
      <c r="J1777" s="4" t="str">
        <f ca="1">_xlfn.IFNA(VLOOKUP(INDIRECT("G"&amp;ROW()),minfo!$A:$M,COLUMN()-8,0),"")</f>
        <v>太美丽</v>
      </c>
      <c r="K1777" s="4" t="str">
        <f ca="1">_xlfn.IFNA(VLOOKUP(INDIRECT("G"&amp;ROW()),minfo!$A:$M,COLUMN()-8,0),"")</f>
        <v>陶喆</v>
      </c>
      <c r="L1777" s="4">
        <f ca="1">_xlfn.IFNA(VLOOKUP(INDIRECT("G"&amp;ROW()),minfo!$A:$M,COLUMN()-8,0),"")</f>
        <v>0</v>
      </c>
      <c r="M1777" s="4">
        <f ca="1">_xlfn.IFNA(VLOOKUP(INDIRECT("G"&amp;ROW()),minfo!$A:$M,COLUMN()-8,0),"")</f>
        <v>0</v>
      </c>
      <c r="N1777" s="4">
        <f ca="1">_xlfn.IFNA(VLOOKUP(INDIRECT("G"&amp;ROW()),minfo!$A:$M,COLUMN()-8,0),"")</f>
        <v>0</v>
      </c>
      <c r="O1777" s="4" t="str">
        <f ca="1">_xlfn.IFNA(VLOOKUP(INDIRECT("G"&amp;ROW()),minfo!$A:$M,COLUMN()-8,0),"")</f>
        <v>https://i0.hdslb.com/bfs/station_src/music_metadata/5dd6238965a391773fe57227002aa343.jpg</v>
      </c>
      <c r="P1777" s="4" t="str">
        <f ca="1">_xlfn.IFNA(VLOOKUP(INDIRECT("G"&amp;ROW()),minfo!$A:$M,COLUMN()-8,0),"")</f>
        <v>https://i0.hdslb.com/bfs/station_src/music_metadata/4d526526f14df5910a5a31135c8a9b43.txt</v>
      </c>
      <c r="Q1777" s="4">
        <f ca="1">_xlfn.IFNA(VLOOKUP(INDIRECT("G"&amp;ROW()),minfo!$A:$M,COLUMN()-8,0),"")</f>
        <v>88</v>
      </c>
      <c r="R1777" s="4">
        <f ca="1">_xlfn.IFNA(VLOOKUP(INDIRECT("G"&amp;ROW()),minfo!$A:$M,COLUMN()-8,0),"")</f>
        <v>0</v>
      </c>
      <c r="S1777" s="4" t="str">
        <f ca="1">_xlfn.IFNA(VLOOKUP(INDIRECT("G"&amp;ROW()),minfo!$A:$M,COLUMN()-8,0),"")</f>
        <v>太美丽</v>
      </c>
      <c r="T1777" s="4">
        <f ca="1">_xlfn.IFNA(VLOOKUP(INDIRECT("G"&amp;ROW()),minfo!$A:$M,COLUMN()-8,0),"")</f>
        <v>28212140</v>
      </c>
      <c r="U1777" s="4">
        <f ca="1">_xlfn.IFNA(VLOOKUP(INDIRECT("G"&amp;ROW()),minfo!$A:$M,COLUMN()-8,0),"")</f>
        <v>0</v>
      </c>
    </row>
    <row r="1778" spans="1:21" ht="15.75" customHeight="1">
      <c r="A1778" s="15">
        <v>1777</v>
      </c>
      <c r="D1778" s="4">
        <v>2</v>
      </c>
      <c r="E1778" s="4" t="s">
        <v>3123</v>
      </c>
      <c r="F1778" s="16">
        <v>45367</v>
      </c>
      <c r="G1778" s="5" t="s">
        <v>3314</v>
      </c>
      <c r="H1778" s="5" t="s">
        <v>5531</v>
      </c>
      <c r="I1778" s="24" t="str">
        <f>HYPERLINK("https://www.bilibili.com/video/BV1bZ421b7vn?p=2", "BV1bZ421b7vn?p=2")</f>
        <v>BV1bZ421b7vn?p=2</v>
      </c>
      <c r="J1778" s="4" t="str">
        <f ca="1">_xlfn.IFNA(VLOOKUP(INDIRECT("G"&amp;ROW()),minfo!$A:$M,COLUMN()-8,0),"")</f>
        <v>太美丽</v>
      </c>
      <c r="K1778" s="4" t="str">
        <f ca="1">_xlfn.IFNA(VLOOKUP(INDIRECT("G"&amp;ROW()),minfo!$A:$M,COLUMN()-8,0),"")</f>
        <v>陶喆</v>
      </c>
      <c r="L1778" s="4">
        <f ca="1">_xlfn.IFNA(VLOOKUP(INDIRECT("G"&amp;ROW()),minfo!$A:$M,COLUMN()-8,0),"")</f>
        <v>0</v>
      </c>
      <c r="M1778" s="4">
        <f ca="1">_xlfn.IFNA(VLOOKUP(INDIRECT("G"&amp;ROW()),minfo!$A:$M,COLUMN()-8,0),"")</f>
        <v>0</v>
      </c>
      <c r="N1778" s="4">
        <f ca="1">_xlfn.IFNA(VLOOKUP(INDIRECT("G"&amp;ROW()),minfo!$A:$M,COLUMN()-8,0),"")</f>
        <v>0</v>
      </c>
      <c r="O1778" s="4" t="str">
        <f ca="1">_xlfn.IFNA(VLOOKUP(INDIRECT("G"&amp;ROW()),minfo!$A:$M,COLUMN()-8,0),"")</f>
        <v>https://i0.hdslb.com/bfs/station_src/music_metadata/5dd6238965a391773fe57227002aa343.jpg</v>
      </c>
      <c r="P1778" s="4" t="str">
        <f ca="1">_xlfn.IFNA(VLOOKUP(INDIRECT("G"&amp;ROW()),minfo!$A:$M,COLUMN()-8,0),"")</f>
        <v>https://i0.hdslb.com/bfs/station_src/music_metadata/4d526526f14df5910a5a31135c8a9b43.txt</v>
      </c>
      <c r="Q1778" s="4">
        <f ca="1">_xlfn.IFNA(VLOOKUP(INDIRECT("G"&amp;ROW()),minfo!$A:$M,COLUMN()-8,0),"")</f>
        <v>88</v>
      </c>
      <c r="R1778" s="4">
        <f ca="1">_xlfn.IFNA(VLOOKUP(INDIRECT("G"&amp;ROW()),minfo!$A:$M,COLUMN()-8,0),"")</f>
        <v>0</v>
      </c>
      <c r="S1778" s="4" t="str">
        <f ca="1">_xlfn.IFNA(VLOOKUP(INDIRECT("G"&amp;ROW()),minfo!$A:$M,COLUMN()-8,0),"")</f>
        <v>太美丽</v>
      </c>
      <c r="T1778" s="4">
        <f ca="1">_xlfn.IFNA(VLOOKUP(INDIRECT("G"&amp;ROW()),minfo!$A:$M,COLUMN()-8,0),"")</f>
        <v>28212140</v>
      </c>
      <c r="U1778" s="4">
        <f ca="1">_xlfn.IFNA(VLOOKUP(INDIRECT("G"&amp;ROW()),minfo!$A:$M,COLUMN()-8,0),"")</f>
        <v>0</v>
      </c>
    </row>
    <row r="1779" spans="1:21" ht="15.75" customHeight="1">
      <c r="A1779" s="15">
        <v>1778</v>
      </c>
      <c r="D1779" s="4">
        <v>1</v>
      </c>
      <c r="E1779" s="4" t="s">
        <v>1107</v>
      </c>
      <c r="F1779" s="16">
        <v>45367</v>
      </c>
      <c r="G1779" s="5" t="s">
        <v>1106</v>
      </c>
      <c r="H1779" s="5" t="s">
        <v>5532</v>
      </c>
      <c r="I1779" s="24" t="str">
        <f>HYPERLINK("https://www.bilibili.com/video/BV19C411h77y?p=1", "BV19C411h77y?p=1")</f>
        <v>BV19C411h77y?p=1</v>
      </c>
      <c r="J1779" s="4" t="str">
        <f ca="1">_xlfn.IFNA(VLOOKUP(INDIRECT("G"&amp;ROW()),minfo!$A:$M,COLUMN()-8,0),"")</f>
        <v>那些你很冒险的梦</v>
      </c>
      <c r="K1779" s="4" t="str">
        <f ca="1">_xlfn.IFNA(VLOOKUP(INDIRECT("G"&amp;ROW()),minfo!$A:$M,COLUMN()-8,0),"")</f>
        <v>林俊杰</v>
      </c>
      <c r="L1779" s="4">
        <f ca="1">_xlfn.IFNA(VLOOKUP(INDIRECT("G"&amp;ROW()),minfo!$A:$M,COLUMN()-8,0),"")</f>
        <v>0</v>
      </c>
      <c r="M1779" s="4">
        <f ca="1">_xlfn.IFNA(VLOOKUP(INDIRECT("G"&amp;ROW()),minfo!$A:$M,COLUMN()-8,0),"")</f>
        <v>0</v>
      </c>
      <c r="N1779" s="4">
        <f ca="1">_xlfn.IFNA(VLOOKUP(INDIRECT("G"&amp;ROW()),minfo!$A:$M,COLUMN()-8,0),"")</f>
        <v>0</v>
      </c>
      <c r="O1779" s="4" t="str">
        <f ca="1">_xlfn.IFNA(VLOOKUP(INDIRECT("G"&amp;ROW()),minfo!$A:$M,COLUMN()-8,0),"")</f>
        <v>https://i0.hdslb.com/bfs/station_src/music_metadata/06f970ae00e00f724e3ce8b49b192dcc.jpg</v>
      </c>
      <c r="P1779" s="4" t="str">
        <f ca="1">_xlfn.IFNA(VLOOKUP(INDIRECT("G"&amp;ROW()),minfo!$A:$M,COLUMN()-8,0),"")</f>
        <v>http://i0.hdslb.com/bfs/station_src/music_metadata/7d9fd351995e1af5aa9ec35eed740caa</v>
      </c>
      <c r="Q1779" s="4">
        <f ca="1">_xlfn.IFNA(VLOOKUP(INDIRECT("G"&amp;ROW()),minfo!$A:$M,COLUMN()-8,0),"")</f>
        <v>412</v>
      </c>
      <c r="R1779" s="4">
        <f ca="1">_xlfn.IFNA(VLOOKUP(INDIRECT("G"&amp;ROW()),minfo!$A:$M,COLUMN()-8,0),"")</f>
        <v>0</v>
      </c>
      <c r="S1779" s="4" t="str">
        <f ca="1">_xlfn.IFNA(VLOOKUP(INDIRECT("G"&amp;ROW()),minfo!$A:$M,COLUMN()-8,0),"")</f>
        <v>学不会</v>
      </c>
      <c r="T1779" s="4">
        <f ca="1">_xlfn.IFNA(VLOOKUP(INDIRECT("G"&amp;ROW()),minfo!$A:$M,COLUMN()-8,0),"")</f>
        <v>192890831</v>
      </c>
      <c r="U1779" s="4">
        <f ca="1">_xlfn.IFNA(VLOOKUP(INDIRECT("G"&amp;ROW()),minfo!$A:$M,COLUMN()-8,0),"")</f>
        <v>0</v>
      </c>
    </row>
    <row r="1780" spans="1:21" ht="15.75" customHeight="1">
      <c r="A1780" s="15">
        <v>1779</v>
      </c>
      <c r="D1780" s="4">
        <v>1</v>
      </c>
      <c r="E1780" s="4" t="s">
        <v>2932</v>
      </c>
      <c r="F1780" s="16">
        <v>45367</v>
      </c>
      <c r="G1780" s="5" t="s">
        <v>2931</v>
      </c>
      <c r="H1780" s="5" t="s">
        <v>5534</v>
      </c>
      <c r="I1780" s="24" t="str">
        <f>HYPERLINK("https://www.bilibili.com/video/BV1Mx421y7f4?p=1", "BV1Mx421y7f4?p=1")</f>
        <v>BV1Mx421y7f4?p=1</v>
      </c>
      <c r="J1780" s="4" t="str">
        <f ca="1">_xlfn.IFNA(VLOOKUP(INDIRECT("G"&amp;ROW()),minfo!$A:$M,COLUMN()-8,0),"")</f>
        <v>香水有毒</v>
      </c>
      <c r="K1780" s="4" t="str">
        <f ca="1">_xlfn.IFNA(VLOOKUP(INDIRECT("G"&amp;ROW()),minfo!$A:$M,COLUMN()-8,0),"")</f>
        <v>胡杨林</v>
      </c>
      <c r="L1780" s="4">
        <f ca="1">_xlfn.IFNA(VLOOKUP(INDIRECT("G"&amp;ROW()),minfo!$A:$M,COLUMN()-8,0),"")</f>
        <v>0</v>
      </c>
      <c r="M1780" s="4">
        <f ca="1">_xlfn.IFNA(VLOOKUP(INDIRECT("G"&amp;ROW()),minfo!$A:$M,COLUMN()-8,0),"")</f>
        <v>0</v>
      </c>
      <c r="N1780" s="4">
        <f ca="1">_xlfn.IFNA(VLOOKUP(INDIRECT("G"&amp;ROW()),minfo!$A:$M,COLUMN()-8,0),"")</f>
        <v>0</v>
      </c>
      <c r="O1780" s="4" t="str">
        <f ca="1">_xlfn.IFNA(VLOOKUP(INDIRECT("G"&amp;ROW()),minfo!$A:$M,COLUMN()-8,0),"")</f>
        <v>https://i0.hdslb.com/bfs/station_src/music_metadata/d9339da5cd6f9d2c8698de3475fe848f.jpg</v>
      </c>
      <c r="P1780" s="4" t="str">
        <f ca="1">_xlfn.IFNA(VLOOKUP(INDIRECT("G"&amp;ROW()),minfo!$A:$M,COLUMN()-8,0),"")</f>
        <v>http://i0.hdslb.com/bfs/station_src/music_metadata/953b6bcd42baa516e095ffdf65d77a65</v>
      </c>
      <c r="Q1780" s="4">
        <f ca="1">_xlfn.IFNA(VLOOKUP(INDIRECT("G"&amp;ROW()),minfo!$A:$M,COLUMN()-8,0),"")</f>
        <v>496</v>
      </c>
      <c r="R1780" s="4">
        <f ca="1">_xlfn.IFNA(VLOOKUP(INDIRECT("G"&amp;ROW()),minfo!$A:$M,COLUMN()-8,0),"")</f>
        <v>0</v>
      </c>
      <c r="S1780" s="4" t="str">
        <f ca="1">_xlfn.IFNA(VLOOKUP(INDIRECT("G"&amp;ROW()),minfo!$A:$M,COLUMN()-8,0),"")</f>
        <v>香水有毒(宣传单曲)</v>
      </c>
      <c r="T1780" s="4">
        <f ca="1">_xlfn.IFNA(VLOOKUP(INDIRECT("G"&amp;ROW()),minfo!$A:$M,COLUMN()-8,0),"")</f>
        <v>97718337</v>
      </c>
      <c r="U1780" s="4">
        <f ca="1">_xlfn.IFNA(VLOOKUP(INDIRECT("G"&amp;ROW()),minfo!$A:$M,COLUMN()-8,0),"")</f>
        <v>0</v>
      </c>
    </row>
    <row r="1781" spans="1:21" ht="15.75" customHeight="1">
      <c r="A1781" s="15">
        <v>1780</v>
      </c>
      <c r="D1781" s="4">
        <v>1</v>
      </c>
      <c r="E1781" s="4" t="s">
        <v>3318</v>
      </c>
      <c r="F1781" s="16">
        <v>45367</v>
      </c>
      <c r="G1781" s="5" t="s">
        <v>3317</v>
      </c>
      <c r="H1781" s="5" t="s">
        <v>5535</v>
      </c>
      <c r="I1781" s="24" t="str">
        <f>HYPERLINK("https://www.bilibili.com/video/BV1uZ421b78y?p=1", "BV1uZ421b78y?p=1")</f>
        <v>BV1uZ421b78y?p=1</v>
      </c>
      <c r="J1781" s="4" t="str">
        <f ca="1">_xlfn.IFNA(VLOOKUP(INDIRECT("G"&amp;ROW()),minfo!$A:$M,COLUMN()-8,0),"")</f>
        <v>星月神话</v>
      </c>
      <c r="K1781" s="4" t="str">
        <f ca="1">_xlfn.IFNA(VLOOKUP(INDIRECT("G"&amp;ROW()),minfo!$A:$M,COLUMN()-8,0),"")</f>
        <v>金莎</v>
      </c>
      <c r="L1781" s="4">
        <f ca="1">_xlfn.IFNA(VLOOKUP(INDIRECT("G"&amp;ROW()),minfo!$A:$M,COLUMN()-8,0),"")</f>
        <v>0</v>
      </c>
      <c r="M1781" s="4">
        <f ca="1">_xlfn.IFNA(VLOOKUP(INDIRECT("G"&amp;ROW()),minfo!$A:$M,COLUMN()-8,0),"")</f>
        <v>0</v>
      </c>
      <c r="N1781" s="4">
        <f ca="1">_xlfn.IFNA(VLOOKUP(INDIRECT("G"&amp;ROW()),minfo!$A:$M,COLUMN()-8,0),"")</f>
        <v>0</v>
      </c>
      <c r="O1781" s="4" t="str">
        <f ca="1">_xlfn.IFNA(VLOOKUP(INDIRECT("G"&amp;ROW()),minfo!$A:$M,COLUMN()-8,0),"")</f>
        <v>https://i0.hdslb.com/bfs/station_src/music_metadata/bd864f4d331a2eaaad76ac3f4bf2f091.jpg</v>
      </c>
      <c r="P1781" s="4" t="str">
        <f ca="1">_xlfn.IFNA(VLOOKUP(INDIRECT("G"&amp;ROW()),minfo!$A:$M,COLUMN()-8,0),"")</f>
        <v>https://i0.hdslb.com/bfs/station_src/music_metadata/87f2bfd22fbc8a6fa32b6277142cb40b.txt</v>
      </c>
      <c r="Q1781" s="4">
        <f ca="1">_xlfn.IFNA(VLOOKUP(INDIRECT("G"&amp;ROW()),minfo!$A:$M,COLUMN()-8,0),"")</f>
        <v>596</v>
      </c>
      <c r="R1781" s="4" t="str">
        <f ca="1">_xlfn.IFNA(VLOOKUP(INDIRECT("G"&amp;ROW()),minfo!$A:$M,COLUMN()-8,0),"")</f>
        <v>《神话》电视剧插曲</v>
      </c>
      <c r="S1781" s="4" t="str">
        <f ca="1">_xlfn.IFNA(VLOOKUP(INDIRECT("G"&amp;ROW()),minfo!$A:$M,COLUMN()-8,0),"")</f>
        <v>星月神话</v>
      </c>
      <c r="T1781" s="4">
        <f ca="1">_xlfn.IFNA(VLOOKUP(INDIRECT("G"&amp;ROW()),minfo!$A:$M,COLUMN()-8,0),"")</f>
        <v>171034240</v>
      </c>
      <c r="U1781" s="4">
        <f ca="1">_xlfn.IFNA(VLOOKUP(INDIRECT("G"&amp;ROW()),minfo!$A:$M,COLUMN()-8,0),"")</f>
        <v>0</v>
      </c>
    </row>
    <row r="1782" spans="1:21" ht="15.75" customHeight="1">
      <c r="A1782" s="15">
        <v>1781</v>
      </c>
      <c r="D1782" s="4">
        <v>1</v>
      </c>
      <c r="E1782" s="4" t="s">
        <v>1820</v>
      </c>
      <c r="F1782" s="16">
        <v>45370</v>
      </c>
      <c r="G1782" s="5" t="s">
        <v>1819</v>
      </c>
      <c r="H1782" s="5" t="s">
        <v>5536</v>
      </c>
      <c r="I1782" s="24" t="str">
        <f>HYPERLINK("https://www.bilibili.com/video/BV1kZ421b7RA?p=1", "BV1kZ421b7RA?p=1")</f>
        <v>BV1kZ421b7RA?p=1</v>
      </c>
      <c r="J1782" s="4" t="str">
        <f ca="1">_xlfn.IFNA(VLOOKUP(INDIRECT("G"&amp;ROW()),minfo!$A:$M,COLUMN()-8,0),"")</f>
        <v>愿与愁</v>
      </c>
      <c r="K1782" s="4" t="str">
        <f ca="1">_xlfn.IFNA(VLOOKUP(INDIRECT("G"&amp;ROW()),minfo!$A:$M,COLUMN()-8,0),"")</f>
        <v>林俊杰</v>
      </c>
      <c r="L1782" s="4">
        <f ca="1">_xlfn.IFNA(VLOOKUP(INDIRECT("G"&amp;ROW()),minfo!$A:$M,COLUMN()-8,0),"")</f>
        <v>0</v>
      </c>
      <c r="M1782" s="4">
        <f ca="1">_xlfn.IFNA(VLOOKUP(INDIRECT("G"&amp;ROW()),minfo!$A:$M,COLUMN()-8,0),"")</f>
        <v>0</v>
      </c>
      <c r="N1782" s="4">
        <f ca="1">_xlfn.IFNA(VLOOKUP(INDIRECT("G"&amp;ROW()),minfo!$A:$M,COLUMN()-8,0),"")</f>
        <v>0</v>
      </c>
      <c r="O1782" s="4" t="str">
        <f ca="1">_xlfn.IFNA(VLOOKUP(INDIRECT("G"&amp;ROW()),minfo!$A:$M,COLUMN()-8,0),"")</f>
        <v>http://i0.hdslb.com/bfs/station_src/music_metadata/31e1ef9935ac8acbe46418fc5f53f699.jpg</v>
      </c>
      <c r="P1782" s="4" t="str">
        <f ca="1">_xlfn.IFNA(VLOOKUP(INDIRECT("G"&amp;ROW()),minfo!$A:$M,COLUMN()-8,0),"")</f>
        <v>lyric/2023-04-29_2023-04-29_愿与愁.txt</v>
      </c>
      <c r="Q1782" s="4">
        <f ca="1">_xlfn.IFNA(VLOOKUP(INDIRECT("G"&amp;ROW()),minfo!$A:$M,COLUMN()-8,0),"")</f>
        <v>2</v>
      </c>
      <c r="R1782" s="4">
        <f ca="1">_xlfn.IFNA(VLOOKUP(INDIRECT("G"&amp;ROW()),minfo!$A:$M,COLUMN()-8,0),"")</f>
        <v>0</v>
      </c>
      <c r="S1782" s="4" t="str">
        <f ca="1">_xlfn.IFNA(VLOOKUP(INDIRECT("G"&amp;ROW()),minfo!$A:$M,COLUMN()-8,0),"")</f>
        <v>重拾_快乐</v>
      </c>
      <c r="T1782" s="4">
        <f ca="1">_xlfn.IFNA(VLOOKUP(INDIRECT("G"&amp;ROW()),minfo!$A:$M,COLUMN()-8,0),"")</f>
        <v>3053937</v>
      </c>
      <c r="U1782" s="4">
        <f ca="1">_xlfn.IFNA(VLOOKUP(INDIRECT("G"&amp;ROW()),minfo!$A:$M,COLUMN()-8,0),"")</f>
        <v>0</v>
      </c>
    </row>
    <row r="1783" spans="1:21" ht="15.75" customHeight="1">
      <c r="A1783" s="15">
        <v>1782</v>
      </c>
      <c r="D1783" s="4">
        <v>2</v>
      </c>
      <c r="E1783" s="4" t="s">
        <v>1820</v>
      </c>
      <c r="F1783" s="16">
        <v>45370</v>
      </c>
      <c r="G1783" s="5" t="s">
        <v>1819</v>
      </c>
      <c r="H1783" s="5" t="s">
        <v>5536</v>
      </c>
      <c r="I1783" s="24" t="str">
        <f>HYPERLINK("https://www.bilibili.com/video/BV1kZ421b7RA?p=2", "BV1kZ421b7RA?p=2")</f>
        <v>BV1kZ421b7RA?p=2</v>
      </c>
      <c r="J1783" s="4" t="str">
        <f ca="1">_xlfn.IFNA(VLOOKUP(INDIRECT("G"&amp;ROW()),minfo!$A:$M,COLUMN()-8,0),"")</f>
        <v>愿与愁</v>
      </c>
      <c r="K1783" s="4" t="str">
        <f ca="1">_xlfn.IFNA(VLOOKUP(INDIRECT("G"&amp;ROW()),minfo!$A:$M,COLUMN()-8,0),"")</f>
        <v>林俊杰</v>
      </c>
      <c r="L1783" s="4">
        <f ca="1">_xlfn.IFNA(VLOOKUP(INDIRECT("G"&amp;ROW()),minfo!$A:$M,COLUMN()-8,0),"")</f>
        <v>0</v>
      </c>
      <c r="M1783" s="4">
        <f ca="1">_xlfn.IFNA(VLOOKUP(INDIRECT("G"&amp;ROW()),minfo!$A:$M,COLUMN()-8,0),"")</f>
        <v>0</v>
      </c>
      <c r="N1783" s="4">
        <f ca="1">_xlfn.IFNA(VLOOKUP(INDIRECT("G"&amp;ROW()),minfo!$A:$M,COLUMN()-8,0),"")</f>
        <v>0</v>
      </c>
      <c r="O1783" s="4" t="str">
        <f ca="1">_xlfn.IFNA(VLOOKUP(INDIRECT("G"&amp;ROW()),minfo!$A:$M,COLUMN()-8,0),"")</f>
        <v>http://i0.hdslb.com/bfs/station_src/music_metadata/31e1ef9935ac8acbe46418fc5f53f699.jpg</v>
      </c>
      <c r="P1783" s="4" t="str">
        <f ca="1">_xlfn.IFNA(VLOOKUP(INDIRECT("G"&amp;ROW()),minfo!$A:$M,COLUMN()-8,0),"")</f>
        <v>lyric/2023-04-29_2023-04-29_愿与愁.txt</v>
      </c>
      <c r="Q1783" s="4">
        <f ca="1">_xlfn.IFNA(VLOOKUP(INDIRECT("G"&amp;ROW()),minfo!$A:$M,COLUMN()-8,0),"")</f>
        <v>2</v>
      </c>
      <c r="R1783" s="4">
        <f ca="1">_xlfn.IFNA(VLOOKUP(INDIRECT("G"&amp;ROW()),minfo!$A:$M,COLUMN()-8,0),"")</f>
        <v>0</v>
      </c>
      <c r="S1783" s="4" t="str">
        <f ca="1">_xlfn.IFNA(VLOOKUP(INDIRECT("G"&amp;ROW()),minfo!$A:$M,COLUMN()-8,0),"")</f>
        <v>重拾_快乐</v>
      </c>
      <c r="T1783" s="4">
        <f ca="1">_xlfn.IFNA(VLOOKUP(INDIRECT("G"&amp;ROW()),minfo!$A:$M,COLUMN()-8,0),"")</f>
        <v>3053937</v>
      </c>
      <c r="U1783" s="4">
        <f ca="1">_xlfn.IFNA(VLOOKUP(INDIRECT("G"&amp;ROW()),minfo!$A:$M,COLUMN()-8,0),"")</f>
        <v>0</v>
      </c>
    </row>
    <row r="1784" spans="1:21" ht="15.75" customHeight="1">
      <c r="A1784" s="15">
        <v>1783</v>
      </c>
      <c r="D1784" s="4">
        <v>1</v>
      </c>
      <c r="E1784" s="4" t="s">
        <v>2082</v>
      </c>
      <c r="F1784" s="16">
        <v>45370</v>
      </c>
      <c r="G1784" s="5" t="s">
        <v>2081</v>
      </c>
      <c r="H1784" s="5" t="s">
        <v>5537</v>
      </c>
      <c r="I1784" s="24" t="str">
        <f>HYPERLINK("https://www.bilibili.com/video/BV1dy421v7dK?p=1", "BV1dy421v7dK?p=1")</f>
        <v>BV1dy421v7dK?p=1</v>
      </c>
      <c r="J1784" s="4" t="str">
        <f ca="1">_xlfn.IFNA(VLOOKUP(INDIRECT("G"&amp;ROW()),minfo!$A:$M,COLUMN()-8,0),"")</f>
        <v>依然爱你</v>
      </c>
      <c r="K1784" s="4" t="str">
        <f ca="1">_xlfn.IFNA(VLOOKUP(INDIRECT("G"&amp;ROW()),minfo!$A:$M,COLUMN()-8,0),"")</f>
        <v>韩宝仪</v>
      </c>
      <c r="L1784" s="4">
        <f ca="1">_xlfn.IFNA(VLOOKUP(INDIRECT("G"&amp;ROW()),minfo!$A:$M,COLUMN()-8,0),"")</f>
        <v>0</v>
      </c>
      <c r="M1784" s="4">
        <f ca="1">_xlfn.IFNA(VLOOKUP(INDIRECT("G"&amp;ROW()),minfo!$A:$M,COLUMN()-8,0),"")</f>
        <v>0</v>
      </c>
      <c r="N1784" s="4">
        <f ca="1">_xlfn.IFNA(VLOOKUP(INDIRECT("G"&amp;ROW()),minfo!$A:$M,COLUMN()-8,0),"")</f>
        <v>0</v>
      </c>
      <c r="O1784" s="4" t="str">
        <f ca="1">_xlfn.IFNA(VLOOKUP(INDIRECT("G"&amp;ROW()),minfo!$A:$M,COLUMN()-8,0),"")</f>
        <v>https://i0.hdslb.com/bfs/station_src/music_metadata/242392b0da3fcaa10a3784f95a249902.jpg</v>
      </c>
      <c r="P1784" s="4" t="str">
        <f ca="1">_xlfn.IFNA(VLOOKUP(INDIRECT("G"&amp;ROW()),minfo!$A:$M,COLUMN()-8,0),"")</f>
        <v>http://i0.hdslb.com/bfs/station_src/music_metadata/949caec540a59346f0baa126ef4029c8</v>
      </c>
      <c r="Q1784" s="4">
        <f ca="1">_xlfn.IFNA(VLOOKUP(INDIRECT("G"&amp;ROW()),minfo!$A:$M,COLUMN()-8,0),"")</f>
        <v>34</v>
      </c>
      <c r="R1784" s="4">
        <f ca="1">_xlfn.IFNA(VLOOKUP(INDIRECT("G"&amp;ROW()),minfo!$A:$M,COLUMN()-8,0),"")</f>
        <v>0</v>
      </c>
      <c r="S1784" s="4" t="str">
        <f ca="1">_xlfn.IFNA(VLOOKUP(INDIRECT("G"&amp;ROW()),minfo!$A:$M,COLUMN()-8,0),"")</f>
        <v>又见宝仪</v>
      </c>
      <c r="T1784" s="4">
        <f ca="1">_xlfn.IFNA(VLOOKUP(INDIRECT("G"&amp;ROW()),minfo!$A:$M,COLUMN()-8,0),"")</f>
        <v>46570561</v>
      </c>
      <c r="U1784" s="4">
        <f ca="1">_xlfn.IFNA(VLOOKUP(INDIRECT("G"&amp;ROW()),minfo!$A:$M,COLUMN()-8,0),"")</f>
        <v>0</v>
      </c>
    </row>
    <row r="1785" spans="1:21" ht="15.75" customHeight="1">
      <c r="A1785" s="15">
        <v>1784</v>
      </c>
      <c r="D1785" s="4">
        <v>1</v>
      </c>
      <c r="E1785" s="4" t="s">
        <v>3238</v>
      </c>
      <c r="F1785" s="16">
        <v>45370</v>
      </c>
      <c r="G1785" s="5" t="s">
        <v>3237</v>
      </c>
      <c r="H1785" s="5" t="s">
        <v>5538</v>
      </c>
      <c r="I1785" s="24" t="str">
        <f>HYPERLINK("https://www.bilibili.com/video/BV1fj421d7Gm?p=1", "BV1fj421d7Gm?p=1")</f>
        <v>BV1fj421d7Gm?p=1</v>
      </c>
      <c r="J1785" s="4" t="str">
        <f ca="1">_xlfn.IFNA(VLOOKUP(INDIRECT("G"&amp;ROW()),minfo!$A:$M,COLUMN()-8,0),"")</f>
        <v>小镇姑娘</v>
      </c>
      <c r="K1785" s="4" t="str">
        <f ca="1">_xlfn.IFNA(VLOOKUP(INDIRECT("G"&amp;ROW()),minfo!$A:$M,COLUMN()-8,0),"")</f>
        <v>陶喆</v>
      </c>
      <c r="L1785" s="4">
        <f ca="1">_xlfn.IFNA(VLOOKUP(INDIRECT("G"&amp;ROW()),minfo!$A:$M,COLUMN()-8,0),"")</f>
        <v>0</v>
      </c>
      <c r="M1785" s="4">
        <f ca="1">_xlfn.IFNA(VLOOKUP(INDIRECT("G"&amp;ROW()),minfo!$A:$M,COLUMN()-8,0),"")</f>
        <v>0</v>
      </c>
      <c r="N1785" s="4">
        <f ca="1">_xlfn.IFNA(VLOOKUP(INDIRECT("G"&amp;ROW()),minfo!$A:$M,COLUMN()-8,0),"")</f>
        <v>0</v>
      </c>
      <c r="O1785" s="4" t="str">
        <f ca="1">_xlfn.IFNA(VLOOKUP(INDIRECT("G"&amp;ROW()),minfo!$A:$M,COLUMN()-8,0),"")</f>
        <v>http://i0.hdslb.com/bfs/station_src/music_metadata/63c043637ab4b1dc2750652f87cf1705.jpg</v>
      </c>
      <c r="P1785" s="4" t="str">
        <f ca="1">_xlfn.IFNA(VLOOKUP(INDIRECT("G"&amp;ROW()),minfo!$A:$M,COLUMN()-8,0),"")</f>
        <v>http://i0.hdslb.com/bfs/station_src/music_metadata/fd97a101c493130f23c5e1c19e7a4637</v>
      </c>
      <c r="Q1785" s="4">
        <f ca="1">_xlfn.IFNA(VLOOKUP(INDIRECT("G"&amp;ROW()),minfo!$A:$M,COLUMN()-8,0),"")</f>
        <v>841</v>
      </c>
      <c r="R1785" s="4">
        <f ca="1">_xlfn.IFNA(VLOOKUP(INDIRECT("G"&amp;ROW()),minfo!$A:$M,COLUMN()-8,0),"")</f>
        <v>0</v>
      </c>
      <c r="S1785" s="4">
        <f ca="1">_xlfn.IFNA(VLOOKUP(INDIRECT("G"&amp;ROW()),minfo!$A:$M,COLUMN()-8,0),"")</f>
        <v>0</v>
      </c>
      <c r="T1785" s="4">
        <f ca="1">_xlfn.IFNA(VLOOKUP(INDIRECT("G"&amp;ROW()),minfo!$A:$M,COLUMN()-8,0),"")</f>
        <v>167213252</v>
      </c>
      <c r="U1785" s="4">
        <f ca="1">_xlfn.IFNA(VLOOKUP(INDIRECT("G"&amp;ROW()),minfo!$A:$M,COLUMN()-8,0),"")</f>
        <v>0</v>
      </c>
    </row>
    <row r="1786" spans="1:21" ht="15.75" customHeight="1">
      <c r="A1786" s="15">
        <v>1785</v>
      </c>
      <c r="D1786" s="4">
        <v>1</v>
      </c>
      <c r="E1786" s="4" t="s">
        <v>763</v>
      </c>
      <c r="F1786" s="16">
        <v>45370</v>
      </c>
      <c r="G1786" s="5" t="s">
        <v>762</v>
      </c>
      <c r="H1786" s="5" t="s">
        <v>5539</v>
      </c>
      <c r="I1786" s="24" t="str">
        <f>HYPERLINK("https://www.bilibili.com/video/BV1pC411b7if?p=1", "BV1pC411b7if?p=1")</f>
        <v>BV1pC411b7if?p=1</v>
      </c>
      <c r="J1786" s="4" t="str">
        <f ca="1">_xlfn.IFNA(VLOOKUP(INDIRECT("G"&amp;ROW()),minfo!$A:$M,COLUMN()-8,0),"")</f>
        <v>喂</v>
      </c>
      <c r="K1786" s="4" t="str">
        <f ca="1">_xlfn.IFNA(VLOOKUP(INDIRECT("G"&amp;ROW()),minfo!$A:$M,COLUMN()-8,0),"")</f>
        <v>单依纯</v>
      </c>
      <c r="L1786" s="4">
        <f ca="1">_xlfn.IFNA(VLOOKUP(INDIRECT("G"&amp;ROW()),minfo!$A:$M,COLUMN()-8,0),"")</f>
        <v>0</v>
      </c>
      <c r="M1786" s="4">
        <f ca="1">_xlfn.IFNA(VLOOKUP(INDIRECT("G"&amp;ROW()),minfo!$A:$M,COLUMN()-8,0),"")</f>
        <v>0</v>
      </c>
      <c r="N1786" s="4">
        <f ca="1">_xlfn.IFNA(VLOOKUP(INDIRECT("G"&amp;ROW()),minfo!$A:$M,COLUMN()-8,0),"")</f>
        <v>0</v>
      </c>
      <c r="O1786" s="4" t="str">
        <f ca="1">_xlfn.IFNA(VLOOKUP(INDIRECT("G"&amp;ROW()),minfo!$A:$M,COLUMN()-8,0),"")</f>
        <v>http://i0.hdslb.com/bfs/station_src/music_metadata/3e25166ec82d69eca35a1a16729579ed.jpg</v>
      </c>
      <c r="P1786" s="4" t="str">
        <f ca="1">_xlfn.IFNA(VLOOKUP(INDIRECT("G"&amp;ROW()),minfo!$A:$M,COLUMN()-8,0),"")</f>
        <v>http://i0.hdslb.com/bfs/station_src/music_metadata/2751e8840adbe50ca18c15e272712e78</v>
      </c>
      <c r="Q1786" s="4">
        <f ca="1">_xlfn.IFNA(VLOOKUP(INDIRECT("G"&amp;ROW()),minfo!$A:$M,COLUMN()-8,0),"")</f>
        <v>90</v>
      </c>
      <c r="R1786" s="4">
        <f ca="1">_xlfn.IFNA(VLOOKUP(INDIRECT("G"&amp;ROW()),minfo!$A:$M,COLUMN()-8,0),"")</f>
        <v>0</v>
      </c>
      <c r="S1786" s="4" t="str">
        <f ca="1">_xlfn.IFNA(VLOOKUP(INDIRECT("G"&amp;ROW()),minfo!$A:$M,COLUMN()-8,0),"")</f>
        <v>喂</v>
      </c>
      <c r="T1786" s="4">
        <f ca="1">_xlfn.IFNA(VLOOKUP(INDIRECT("G"&amp;ROW()),minfo!$A:$M,COLUMN()-8,0),"")</f>
        <v>9314230</v>
      </c>
      <c r="U1786" s="4">
        <f ca="1">_xlfn.IFNA(VLOOKUP(INDIRECT("G"&amp;ROW()),minfo!$A:$M,COLUMN()-8,0),"")</f>
        <v>0</v>
      </c>
    </row>
    <row r="1787" spans="1:21" ht="15.75" customHeight="1">
      <c r="A1787" s="15">
        <v>1786</v>
      </c>
      <c r="D1787" s="4">
        <v>1</v>
      </c>
      <c r="E1787" s="4" t="s">
        <v>696</v>
      </c>
      <c r="F1787" s="16">
        <v>45370</v>
      </c>
      <c r="G1787" s="5" t="s">
        <v>695</v>
      </c>
      <c r="H1787" s="5" t="s">
        <v>5540</v>
      </c>
      <c r="I1787" s="24" t="str">
        <f>HYPERLINK("https://www.bilibili.com/video/BV1u6421w7xx?p=1", "BV1u6421w7xx?p=1")</f>
        <v>BV1u6421w7xx?p=1</v>
      </c>
      <c r="J1787" s="4" t="str">
        <f ca="1">_xlfn.IFNA(VLOOKUP(INDIRECT("G"&amp;ROW()),minfo!$A:$M,COLUMN()-8,0),"")</f>
        <v>分身</v>
      </c>
      <c r="K1787" s="4" t="str">
        <f ca="1">_xlfn.IFNA(VLOOKUP(INDIRECT("G"&amp;ROW()),minfo!$A:$M,COLUMN()-8,0),"")</f>
        <v>单依纯</v>
      </c>
      <c r="L1787" s="4">
        <f ca="1">_xlfn.IFNA(VLOOKUP(INDIRECT("G"&amp;ROW()),minfo!$A:$M,COLUMN()-8,0),"")</f>
        <v>0</v>
      </c>
      <c r="M1787" s="4">
        <f ca="1">_xlfn.IFNA(VLOOKUP(INDIRECT("G"&amp;ROW()),minfo!$A:$M,COLUMN()-8,0),"")</f>
        <v>0</v>
      </c>
      <c r="N1787" s="4">
        <f ca="1">_xlfn.IFNA(VLOOKUP(INDIRECT("G"&amp;ROW()),minfo!$A:$M,COLUMN()-8,0),"")</f>
        <v>0</v>
      </c>
      <c r="O1787" s="4" t="str">
        <f ca="1">_xlfn.IFNA(VLOOKUP(INDIRECT("G"&amp;ROW()),minfo!$A:$M,COLUMN()-8,0),"")</f>
        <v>http://i0.hdslb.com/bfs/station_src/music_metadata/0fd80cf4360670d154b7c8c64ae7abde.jpg</v>
      </c>
      <c r="P1787" s="4">
        <f ca="1">_xlfn.IFNA(VLOOKUP(INDIRECT("G"&amp;ROW()),minfo!$A:$M,COLUMN()-8,0),"")</f>
        <v>0</v>
      </c>
      <c r="Q1787" s="4">
        <f ca="1">_xlfn.IFNA(VLOOKUP(INDIRECT("G"&amp;ROW()),minfo!$A:$M,COLUMN()-8,0),"")</f>
        <v>13</v>
      </c>
      <c r="R1787" s="4">
        <f ca="1">_xlfn.IFNA(VLOOKUP(INDIRECT("G"&amp;ROW()),minfo!$A:$M,COLUMN()-8,0),"")</f>
        <v>0</v>
      </c>
      <c r="S1787" s="4" t="str">
        <f ca="1">_xlfn.IFNA(VLOOKUP(INDIRECT("G"&amp;ROW()),minfo!$A:$M,COLUMN()-8,0),"")</f>
        <v>分身</v>
      </c>
      <c r="T1787" s="4">
        <f ca="1">_xlfn.IFNA(VLOOKUP(INDIRECT("G"&amp;ROW()),minfo!$A:$M,COLUMN()-8,0),"")</f>
        <v>3245965</v>
      </c>
      <c r="U1787" s="4">
        <f ca="1">_xlfn.IFNA(VLOOKUP(INDIRECT("G"&amp;ROW()),minfo!$A:$M,COLUMN()-8,0),"")</f>
        <v>0</v>
      </c>
    </row>
    <row r="1788" spans="1:21" ht="15.75" customHeight="1">
      <c r="A1788" s="15">
        <v>1787</v>
      </c>
      <c r="D1788" s="4">
        <v>1</v>
      </c>
      <c r="E1788" s="4" t="s">
        <v>3176</v>
      </c>
      <c r="F1788" s="16">
        <v>45370</v>
      </c>
      <c r="G1788" s="5" t="s">
        <v>3175</v>
      </c>
      <c r="H1788" s="5" t="s">
        <v>5541</v>
      </c>
      <c r="I1788" s="24" t="str">
        <f>HYPERLINK("https://www.bilibili.com/video/BV1nm411o7ud?p=1", "BV1nm411o7ud?p=1")</f>
        <v>BV1nm411o7ud?p=1</v>
      </c>
      <c r="J1788" s="4" t="str">
        <f ca="1">_xlfn.IFNA(VLOOKUP(INDIRECT("G"&amp;ROW()),minfo!$A:$M,COLUMN()-8,0),"")</f>
        <v>可爱女人</v>
      </c>
      <c r="K1788" s="4" t="str">
        <f ca="1">_xlfn.IFNA(VLOOKUP(INDIRECT("G"&amp;ROW()),minfo!$A:$M,COLUMN()-8,0),"")</f>
        <v>周杰伦,徐若瑄</v>
      </c>
      <c r="L1788" s="4">
        <f ca="1">_xlfn.IFNA(VLOOKUP(INDIRECT("G"&amp;ROW()),minfo!$A:$M,COLUMN()-8,0),"")</f>
        <v>0</v>
      </c>
      <c r="M1788" s="4">
        <f ca="1">_xlfn.IFNA(VLOOKUP(INDIRECT("G"&amp;ROW()),minfo!$A:$M,COLUMN()-8,0),"")</f>
        <v>0</v>
      </c>
      <c r="N1788" s="4">
        <f ca="1">_xlfn.IFNA(VLOOKUP(INDIRECT("G"&amp;ROW()),minfo!$A:$M,COLUMN()-8,0),"")</f>
        <v>0</v>
      </c>
      <c r="O1788" s="4" t="str">
        <f ca="1">_xlfn.IFNA(VLOOKUP(INDIRECT("G"&amp;ROW()),minfo!$A:$M,COLUMN()-8,0),"")</f>
        <v>http://i0.hdslb.com/bfs/station_src/music_metadata/a512bd568c8051078107cf77ba492c61.jpg</v>
      </c>
      <c r="P1788" s="4" t="str">
        <f ca="1">_xlfn.IFNA(VLOOKUP(INDIRECT("G"&amp;ROW()),minfo!$A:$M,COLUMN()-8,0),"")</f>
        <v>http://i0.hdslb.com/bfs/station_src/music_metadata/2d0100c2885635fde6c054fba3eec027</v>
      </c>
      <c r="Q1788" s="4">
        <f ca="1">_xlfn.IFNA(VLOOKUP(INDIRECT("G"&amp;ROW()),minfo!$A:$M,COLUMN()-8,0),"")</f>
        <v>8134</v>
      </c>
      <c r="R1788" s="4">
        <f ca="1">_xlfn.IFNA(VLOOKUP(INDIRECT("G"&amp;ROW()),minfo!$A:$M,COLUMN()-8,0),"")</f>
        <v>0</v>
      </c>
      <c r="S1788" s="4" t="str">
        <f ca="1">_xlfn.IFNA(VLOOKUP(INDIRECT("G"&amp;ROW()),minfo!$A:$M,COLUMN()-8,0),"")</f>
        <v>Jay</v>
      </c>
      <c r="T1788" s="4">
        <f ca="1">_xlfn.IFNA(VLOOKUP(INDIRECT("G"&amp;ROW()),minfo!$A:$M,COLUMN()-8,0),"")</f>
        <v>429690273</v>
      </c>
      <c r="U1788" s="4">
        <f ca="1">_xlfn.IFNA(VLOOKUP(INDIRECT("G"&amp;ROW()),minfo!$A:$M,COLUMN()-8,0),"")</f>
        <v>0</v>
      </c>
    </row>
    <row r="1789" spans="1:21" ht="15.75" customHeight="1">
      <c r="A1789" s="15">
        <v>1788</v>
      </c>
      <c r="D1789" s="4">
        <v>1</v>
      </c>
      <c r="E1789" s="4" t="s">
        <v>1110</v>
      </c>
      <c r="F1789" s="16">
        <v>45371</v>
      </c>
      <c r="G1789" s="5" t="s">
        <v>3218</v>
      </c>
      <c r="H1789" s="5" t="s">
        <v>5542</v>
      </c>
      <c r="I1789" s="24" t="str">
        <f>HYPERLINK("https://www.bilibili.com/video/BV1ZC411b7pz?p=1", "BV1ZC411b7pz?p=1")</f>
        <v>BV1ZC411b7pz?p=1</v>
      </c>
      <c r="J1789" s="4" t="str">
        <f ca="1">_xlfn.IFNA(VLOOKUP(INDIRECT("G"&amp;ROW()),minfo!$A:$M,COLUMN()-8,0),"")</f>
        <v>学不会</v>
      </c>
      <c r="K1789" s="4" t="str">
        <f ca="1">_xlfn.IFNA(VLOOKUP(INDIRECT("G"&amp;ROW()),minfo!$A:$M,COLUMN()-8,0),"")</f>
        <v>林俊杰</v>
      </c>
      <c r="L1789" s="4">
        <f ca="1">_xlfn.IFNA(VLOOKUP(INDIRECT("G"&amp;ROW()),minfo!$A:$M,COLUMN()-8,0),"")</f>
        <v>0</v>
      </c>
      <c r="M1789" s="4">
        <f ca="1">_xlfn.IFNA(VLOOKUP(INDIRECT("G"&amp;ROW()),minfo!$A:$M,COLUMN()-8,0),"")</f>
        <v>0</v>
      </c>
      <c r="N1789" s="4">
        <f ca="1">_xlfn.IFNA(VLOOKUP(INDIRECT("G"&amp;ROW()),minfo!$A:$M,COLUMN()-8,0),"")</f>
        <v>0</v>
      </c>
      <c r="O1789" s="4" t="str">
        <f ca="1">_xlfn.IFNA(VLOOKUP(INDIRECT("G"&amp;ROW()),minfo!$A:$M,COLUMN()-8,0),"")</f>
        <v>https://i0.hdslb.com/bfs/station_src/music_metadata/a45420bf5f1761730f869c2dc1d13f30.jpg</v>
      </c>
      <c r="P1789" s="4" t="str">
        <f ca="1">_xlfn.IFNA(VLOOKUP(INDIRECT("G"&amp;ROW()),minfo!$A:$M,COLUMN()-8,0),"")</f>
        <v>http://i0.hdslb.com/bfs/station_src/music_metadata/6c42944895f5d6ccba843189c471ae4c</v>
      </c>
      <c r="Q1789" s="4">
        <f ca="1">_xlfn.IFNA(VLOOKUP(INDIRECT("G"&amp;ROW()),minfo!$A:$M,COLUMN()-8,0),"")</f>
        <v>344</v>
      </c>
      <c r="R1789" s="4">
        <f ca="1">_xlfn.IFNA(VLOOKUP(INDIRECT("G"&amp;ROW()),minfo!$A:$M,COLUMN()-8,0),"")</f>
        <v>0</v>
      </c>
      <c r="S1789" s="4" t="str">
        <f ca="1">_xlfn.IFNA(VLOOKUP(INDIRECT("G"&amp;ROW()),minfo!$A:$M,COLUMN()-8,0),"")</f>
        <v>学不会</v>
      </c>
      <c r="T1789" s="4">
        <f ca="1">_xlfn.IFNA(VLOOKUP(INDIRECT("G"&amp;ROW()),minfo!$A:$M,COLUMN()-8,0),"")</f>
        <v>98600843</v>
      </c>
      <c r="U1789" s="4">
        <f ca="1">_xlfn.IFNA(VLOOKUP(INDIRECT("G"&amp;ROW()),minfo!$A:$M,COLUMN()-8,0),"")</f>
        <v>0</v>
      </c>
    </row>
    <row r="1790" spans="1:21" ht="15.75" customHeight="1">
      <c r="A1790" s="15">
        <v>1789</v>
      </c>
      <c r="D1790" s="4">
        <v>2</v>
      </c>
      <c r="E1790" s="4" t="s">
        <v>1110</v>
      </c>
      <c r="F1790" s="16">
        <v>45371</v>
      </c>
      <c r="G1790" s="5" t="s">
        <v>3218</v>
      </c>
      <c r="H1790" s="5" t="s">
        <v>5542</v>
      </c>
      <c r="I1790" s="24" t="str">
        <f>HYPERLINK("https://www.bilibili.com/video/BV1ZC411b7pz?p=2", "BV1ZC411b7pz?p=2")</f>
        <v>BV1ZC411b7pz?p=2</v>
      </c>
      <c r="J1790" s="4" t="str">
        <f ca="1">_xlfn.IFNA(VLOOKUP(INDIRECT("G"&amp;ROW()),minfo!$A:$M,COLUMN()-8,0),"")</f>
        <v>学不会</v>
      </c>
      <c r="K1790" s="4" t="str">
        <f ca="1">_xlfn.IFNA(VLOOKUP(INDIRECT("G"&amp;ROW()),minfo!$A:$M,COLUMN()-8,0),"")</f>
        <v>林俊杰</v>
      </c>
      <c r="L1790" s="4">
        <f ca="1">_xlfn.IFNA(VLOOKUP(INDIRECT("G"&amp;ROW()),minfo!$A:$M,COLUMN()-8,0),"")</f>
        <v>0</v>
      </c>
      <c r="M1790" s="4">
        <f ca="1">_xlfn.IFNA(VLOOKUP(INDIRECT("G"&amp;ROW()),minfo!$A:$M,COLUMN()-8,0),"")</f>
        <v>0</v>
      </c>
      <c r="N1790" s="4">
        <f ca="1">_xlfn.IFNA(VLOOKUP(INDIRECT("G"&amp;ROW()),minfo!$A:$M,COLUMN()-8,0),"")</f>
        <v>0</v>
      </c>
      <c r="O1790" s="4" t="str">
        <f ca="1">_xlfn.IFNA(VLOOKUP(INDIRECT("G"&amp;ROW()),minfo!$A:$M,COLUMN()-8,0),"")</f>
        <v>https://i0.hdslb.com/bfs/station_src/music_metadata/a45420bf5f1761730f869c2dc1d13f30.jpg</v>
      </c>
      <c r="P1790" s="4" t="str">
        <f ca="1">_xlfn.IFNA(VLOOKUP(INDIRECT("G"&amp;ROW()),minfo!$A:$M,COLUMN()-8,0),"")</f>
        <v>http://i0.hdslb.com/bfs/station_src/music_metadata/6c42944895f5d6ccba843189c471ae4c</v>
      </c>
      <c r="Q1790" s="4">
        <f ca="1">_xlfn.IFNA(VLOOKUP(INDIRECT("G"&amp;ROW()),minfo!$A:$M,COLUMN()-8,0),"")</f>
        <v>344</v>
      </c>
      <c r="R1790" s="4">
        <f ca="1">_xlfn.IFNA(VLOOKUP(INDIRECT("G"&amp;ROW()),minfo!$A:$M,COLUMN()-8,0),"")</f>
        <v>0</v>
      </c>
      <c r="S1790" s="4" t="str">
        <f ca="1">_xlfn.IFNA(VLOOKUP(INDIRECT("G"&amp;ROW()),minfo!$A:$M,COLUMN()-8,0),"")</f>
        <v>学不会</v>
      </c>
      <c r="T1790" s="4">
        <f ca="1">_xlfn.IFNA(VLOOKUP(INDIRECT("G"&amp;ROW()),minfo!$A:$M,COLUMN()-8,0),"")</f>
        <v>98600843</v>
      </c>
      <c r="U1790" s="4">
        <f ca="1">_xlfn.IFNA(VLOOKUP(INDIRECT("G"&amp;ROW()),minfo!$A:$M,COLUMN()-8,0),"")</f>
        <v>0</v>
      </c>
    </row>
    <row r="1791" spans="1:21" ht="15.75" customHeight="1">
      <c r="A1791" s="15">
        <v>1790</v>
      </c>
      <c r="D1791" s="4">
        <v>1</v>
      </c>
      <c r="E1791" s="4" t="s">
        <v>1478</v>
      </c>
      <c r="F1791" s="16">
        <v>45371</v>
      </c>
      <c r="G1791" s="5" t="s">
        <v>1477</v>
      </c>
      <c r="H1791" s="5" t="s">
        <v>5543</v>
      </c>
      <c r="I1791" s="24" t="str">
        <f>HYPERLINK("https://www.bilibili.com/video/BV1XK421Y77p?p=1", "BV1XK421Y77p?p=1")</f>
        <v>BV1XK421Y77p?p=1</v>
      </c>
      <c r="J1791" s="4" t="str">
        <f ca="1">_xlfn.IFNA(VLOOKUP(INDIRECT("G"&amp;ROW()),minfo!$A:$M,COLUMN()-8,0),"")</f>
        <v>想你时风起</v>
      </c>
      <c r="K1791" s="4" t="str">
        <f ca="1">_xlfn.IFNA(VLOOKUP(INDIRECT("G"&amp;ROW()),minfo!$A:$M,COLUMN()-8,0),"")</f>
        <v>单依纯</v>
      </c>
      <c r="L1791" s="4">
        <f ca="1">_xlfn.IFNA(VLOOKUP(INDIRECT("G"&amp;ROW()),minfo!$A:$M,COLUMN()-8,0),"")</f>
        <v>0</v>
      </c>
      <c r="M1791" s="4">
        <f ca="1">_xlfn.IFNA(VLOOKUP(INDIRECT("G"&amp;ROW()),minfo!$A:$M,COLUMN()-8,0),"")</f>
        <v>0</v>
      </c>
      <c r="N1791" s="4">
        <f ca="1">_xlfn.IFNA(VLOOKUP(INDIRECT("G"&amp;ROW()),minfo!$A:$M,COLUMN()-8,0),"")</f>
        <v>0</v>
      </c>
      <c r="O1791" s="4" t="str">
        <f ca="1">_xlfn.IFNA(VLOOKUP(INDIRECT("G"&amp;ROW()),minfo!$A:$M,COLUMN()-8,0),"")</f>
        <v>http://i0.hdslb.com/bfs/station_src/music_metadata/690d5f026cf42acdf74154d42a9e4aec.jpg</v>
      </c>
      <c r="P1791" s="4">
        <f ca="1">_xlfn.IFNA(VLOOKUP(INDIRECT("G"&amp;ROW()),minfo!$A:$M,COLUMN()-8,0),"")</f>
        <v>0</v>
      </c>
      <c r="Q1791" s="4">
        <f ca="1">_xlfn.IFNA(VLOOKUP(INDIRECT("G"&amp;ROW()),minfo!$A:$M,COLUMN()-8,0),"")</f>
        <v>710</v>
      </c>
      <c r="R1791" s="4">
        <f ca="1">_xlfn.IFNA(VLOOKUP(INDIRECT("G"&amp;ROW()),minfo!$A:$M,COLUMN()-8,0),"")</f>
        <v>0</v>
      </c>
      <c r="S1791" s="4" t="str">
        <f ca="1">_xlfn.IFNA(VLOOKUP(INDIRECT("G"&amp;ROW()),minfo!$A:$M,COLUMN()-8,0),"")</f>
        <v>想你时风起</v>
      </c>
      <c r="T1791" s="4">
        <f ca="1">_xlfn.IFNA(VLOOKUP(INDIRECT("G"&amp;ROW()),minfo!$A:$M,COLUMN()-8,0),"")</f>
        <v>48566163</v>
      </c>
      <c r="U1791" s="4">
        <f ca="1">_xlfn.IFNA(VLOOKUP(INDIRECT("G"&amp;ROW()),minfo!$A:$M,COLUMN()-8,0),"")</f>
        <v>0</v>
      </c>
    </row>
    <row r="1792" spans="1:21" ht="15.75" customHeight="1">
      <c r="A1792" s="15">
        <v>1791</v>
      </c>
      <c r="D1792" s="4">
        <v>1</v>
      </c>
      <c r="E1792" s="4" t="s">
        <v>3305</v>
      </c>
      <c r="F1792" s="16">
        <v>45371</v>
      </c>
      <c r="G1792" s="5" t="s">
        <v>3304</v>
      </c>
      <c r="H1792" s="5" t="s">
        <v>5544</v>
      </c>
      <c r="I1792" s="24" t="str">
        <f>HYPERLINK("https://www.bilibili.com/video/BV1VD42177vt?p=1", "BV1VD42177vt?p=1")</f>
        <v>BV1VD42177vt?p=1</v>
      </c>
      <c r="J1792" s="4" t="str">
        <f ca="1">_xlfn.IFNA(VLOOKUP(INDIRECT("G"&amp;ROW()),minfo!$A:$M,COLUMN()-8,0),"")</f>
        <v>恋人未满</v>
      </c>
      <c r="K1792" s="4" t="str">
        <f ca="1">_xlfn.IFNA(VLOOKUP(INDIRECT("G"&amp;ROW()),minfo!$A:$M,COLUMN()-8,0),"")</f>
        <v>S.H.E</v>
      </c>
      <c r="L1792" s="4">
        <f ca="1">_xlfn.IFNA(VLOOKUP(INDIRECT("G"&amp;ROW()),minfo!$A:$M,COLUMN()-8,0),"")</f>
        <v>0</v>
      </c>
      <c r="M1792" s="4">
        <f ca="1">_xlfn.IFNA(VLOOKUP(INDIRECT("G"&amp;ROW()),minfo!$A:$M,COLUMN()-8,0),"")</f>
        <v>0</v>
      </c>
      <c r="N1792" s="4">
        <f ca="1">_xlfn.IFNA(VLOOKUP(INDIRECT("G"&amp;ROW()),minfo!$A:$M,COLUMN()-8,0),"")</f>
        <v>0</v>
      </c>
      <c r="O1792" s="4" t="str">
        <f ca="1">_xlfn.IFNA(VLOOKUP(INDIRECT("G"&amp;ROW()),minfo!$A:$M,COLUMN()-8,0),"")</f>
        <v>http://i0.hdslb.com/bfs/station_src/music_metadata/593484bfb36c576459a25f6d2fc197b7.jpg</v>
      </c>
      <c r="P1792" s="4" t="str">
        <f ca="1">_xlfn.IFNA(VLOOKUP(INDIRECT("G"&amp;ROW()),minfo!$A:$M,COLUMN()-8,0),"")</f>
        <v>http://i0.hdslb.com/bfs/station_src/music_metadata/8ecf50f430d916e8649be858cdec6ab9</v>
      </c>
      <c r="Q1792" s="4">
        <f ca="1">_xlfn.IFNA(VLOOKUP(INDIRECT("G"&amp;ROW()),minfo!$A:$M,COLUMN()-8,0),"")</f>
        <v>450</v>
      </c>
      <c r="R1792" s="4">
        <f ca="1">_xlfn.IFNA(VLOOKUP(INDIRECT("G"&amp;ROW()),minfo!$A:$M,COLUMN()-8,0),"")</f>
        <v>0</v>
      </c>
      <c r="S1792" s="4" t="str">
        <f ca="1">_xlfn.IFNA(VLOOKUP(INDIRECT("G"&amp;ROW()),minfo!$A:$M,COLUMN()-8,0),"")</f>
        <v>女生宿舍</v>
      </c>
      <c r="T1792" s="4">
        <f ca="1">_xlfn.IFNA(VLOOKUP(INDIRECT("G"&amp;ROW()),minfo!$A:$M,COLUMN()-8,0),"")</f>
        <v>104949460</v>
      </c>
      <c r="U1792" s="4">
        <f ca="1">_xlfn.IFNA(VLOOKUP(INDIRECT("G"&amp;ROW()),minfo!$A:$M,COLUMN()-8,0),"")</f>
        <v>0</v>
      </c>
    </row>
    <row r="1793" spans="1:21" ht="15.75" customHeight="1">
      <c r="A1793" s="15">
        <v>1792</v>
      </c>
      <c r="B1793" s="17"/>
      <c r="D1793" s="4">
        <v>1</v>
      </c>
      <c r="E1793" s="4" t="s">
        <v>3310</v>
      </c>
      <c r="F1793" s="16">
        <v>45371</v>
      </c>
      <c r="G1793" s="5" t="s">
        <v>3309</v>
      </c>
      <c r="H1793" s="5" t="s">
        <v>5545</v>
      </c>
      <c r="I1793" s="24" t="str">
        <f>HYPERLINK("https://www.bilibili.com/video/BV17x421k7gv?p=1", "BV17x421k7gv?p=1")</f>
        <v>BV17x421k7gv?p=1</v>
      </c>
      <c r="J1793" s="4" t="str">
        <f ca="1">_xlfn.IFNA(VLOOKUP(INDIRECT("G"&amp;ROW()),minfo!$A:$M,COLUMN()-8,0),"")</f>
        <v>哦 想</v>
      </c>
      <c r="K1793" s="4" t="str">
        <f ca="1">_xlfn.IFNA(VLOOKUP(INDIRECT("G"&amp;ROW()),minfo!$A:$M,COLUMN()-8,0),"")</f>
        <v>安与骑兵</v>
      </c>
      <c r="L1793" s="4">
        <f ca="1">_xlfn.IFNA(VLOOKUP(INDIRECT("G"&amp;ROW()),minfo!$A:$M,COLUMN()-8,0),"")</f>
        <v>0</v>
      </c>
      <c r="M1793" s="4">
        <f ca="1">_xlfn.IFNA(VLOOKUP(INDIRECT("G"&amp;ROW()),minfo!$A:$M,COLUMN()-8,0),"")</f>
        <v>0</v>
      </c>
      <c r="N1793" s="4">
        <f ca="1">_xlfn.IFNA(VLOOKUP(INDIRECT("G"&amp;ROW()),minfo!$A:$M,COLUMN()-8,0),"")</f>
        <v>0</v>
      </c>
      <c r="O1793" s="4" t="str">
        <f ca="1">_xlfn.IFNA(VLOOKUP(INDIRECT("G"&amp;ROW()),minfo!$A:$M,COLUMN()-8,0),"")</f>
        <v>https://i0.hdslb.com/bfs/station_src/music_metadata/d5b16af13d9c1ced10d3b89c843ccca9.jpg</v>
      </c>
      <c r="P1793" s="4" t="str">
        <f ca="1">_xlfn.IFNA(VLOOKUP(INDIRECT("G"&amp;ROW()),minfo!$A:$M,COLUMN()-8,0),"")</f>
        <v>https://i0.hdslb.com/bfs/station_src/music_metadata/489f469ce67546437dcef6af1dd75b8a.txt</v>
      </c>
      <c r="Q1793" s="4">
        <f ca="1">_xlfn.IFNA(VLOOKUP(INDIRECT("G"&amp;ROW()),minfo!$A:$M,COLUMN()-8,0),"")</f>
        <v>0</v>
      </c>
      <c r="R1793" s="4">
        <f ca="1">_xlfn.IFNA(VLOOKUP(INDIRECT("G"&amp;ROW()),minfo!$A:$M,COLUMN()-8,0),"")</f>
        <v>0</v>
      </c>
      <c r="S1793" s="4" t="str">
        <f ca="1">_xlfn.IFNA(VLOOKUP(INDIRECT("G"&amp;ROW()),minfo!$A:$M,COLUMN()-8,0),"")</f>
        <v>三年三天</v>
      </c>
      <c r="T1793" s="4">
        <f ca="1">_xlfn.IFNA(VLOOKUP(INDIRECT("G"&amp;ROW()),minfo!$A:$M,COLUMN()-8,0),"")</f>
        <v>468836</v>
      </c>
      <c r="U1793" s="4">
        <f ca="1">_xlfn.IFNA(VLOOKUP(INDIRECT("G"&amp;ROW()),minfo!$A:$M,COLUMN()-8,0),"")</f>
        <v>0</v>
      </c>
    </row>
    <row r="1794" spans="1:21" ht="15.75" customHeight="1">
      <c r="A1794" s="15">
        <v>1793</v>
      </c>
      <c r="D1794" s="4">
        <v>1</v>
      </c>
      <c r="E1794" s="4" t="s">
        <v>2333</v>
      </c>
      <c r="F1794" s="16">
        <v>45371</v>
      </c>
      <c r="G1794" s="5" t="s">
        <v>2332</v>
      </c>
      <c r="H1794" s="5" t="s">
        <v>5546</v>
      </c>
      <c r="I1794" s="24" t="str">
        <f>HYPERLINK("https://www.bilibili.com/video/BV1Fw4m1d7z6?p=1", "BV1Fw4m1d7z6?p=1")</f>
        <v>BV1Fw4m1d7z6?p=1</v>
      </c>
      <c r="J1794" s="4" t="str">
        <f ca="1">_xlfn.IFNA(VLOOKUP(INDIRECT("G"&amp;ROW()),minfo!$A:$M,COLUMN()-8,0),"")</f>
        <v>红山果</v>
      </c>
      <c r="K1794" s="4" t="str">
        <f ca="1">_xlfn.IFNA(VLOOKUP(INDIRECT("G"&amp;ROW()),minfo!$A:$M,COLUMN()-8,0),"")</f>
        <v>安与骑兵</v>
      </c>
      <c r="L1794" s="4">
        <f ca="1">_xlfn.IFNA(VLOOKUP(INDIRECT("G"&amp;ROW()),minfo!$A:$M,COLUMN()-8,0),"")</f>
        <v>0</v>
      </c>
      <c r="M1794" s="4">
        <f ca="1">_xlfn.IFNA(VLOOKUP(INDIRECT("G"&amp;ROW()),minfo!$A:$M,COLUMN()-8,0),"")</f>
        <v>0</v>
      </c>
      <c r="N1794" s="4">
        <f ca="1">_xlfn.IFNA(VLOOKUP(INDIRECT("G"&amp;ROW()),minfo!$A:$M,COLUMN()-8,0),"")</f>
        <v>0</v>
      </c>
      <c r="O1794" s="4" t="str">
        <f ca="1">_xlfn.IFNA(VLOOKUP(INDIRECT("G"&amp;ROW()),minfo!$A:$M,COLUMN()-8,0),"")</f>
        <v>https://i0.hdslb.com/bfs/station_src/music_metadata/39daecee1a9cb8cb73b6e5e578e0cae7.jpg</v>
      </c>
      <c r="P1794" s="4" t="str">
        <f ca="1">_xlfn.IFNA(VLOOKUP(INDIRECT("G"&amp;ROW()),minfo!$A:$M,COLUMN()-8,0),"")</f>
        <v>http://i0.hdslb.com/bfs/station_src/music_metadata/34a6e2bd270105c6abef6e46f93e45d4</v>
      </c>
      <c r="Q1794" s="4">
        <f ca="1">_xlfn.IFNA(VLOOKUP(INDIRECT("G"&amp;ROW()),minfo!$A:$M,COLUMN()-8,0),"")</f>
        <v>380</v>
      </c>
      <c r="R1794" s="4">
        <f ca="1">_xlfn.IFNA(VLOOKUP(INDIRECT("G"&amp;ROW()),minfo!$A:$M,COLUMN()-8,0),"")</f>
        <v>0</v>
      </c>
      <c r="S1794" s="4" t="str">
        <f ca="1">_xlfn.IFNA(VLOOKUP(INDIRECT("G"&amp;ROW()),minfo!$A:$M,COLUMN()-8,0),"")</f>
        <v>安与骑兵</v>
      </c>
      <c r="T1794" s="4">
        <f ca="1">_xlfn.IFNA(VLOOKUP(INDIRECT("G"&amp;ROW()),minfo!$A:$M,COLUMN()-8,0),"")</f>
        <v>45262675</v>
      </c>
      <c r="U1794" s="4">
        <f ca="1">_xlfn.IFNA(VLOOKUP(INDIRECT("G"&amp;ROW()),minfo!$A:$M,COLUMN()-8,0),"")</f>
        <v>0</v>
      </c>
    </row>
    <row r="1795" spans="1:21" ht="15.75" customHeight="1">
      <c r="A1795" s="15">
        <v>1794</v>
      </c>
      <c r="D1795" s="4">
        <v>1</v>
      </c>
      <c r="E1795" s="4" t="s">
        <v>1044</v>
      </c>
      <c r="F1795" s="16">
        <v>45371</v>
      </c>
      <c r="G1795" s="5" t="s">
        <v>1043</v>
      </c>
      <c r="H1795" s="5" t="s">
        <v>5547</v>
      </c>
      <c r="I1795" s="24" t="str">
        <f>HYPERLINK("https://www.bilibili.com/video/BV1RH4y1p7Cy?p=1", "BV1RH4y1p7Cy?p=1")</f>
        <v>BV1RH4y1p7Cy?p=1</v>
      </c>
      <c r="J1795" s="4" t="str">
        <f ca="1">_xlfn.IFNA(VLOOKUP(INDIRECT("G"&amp;ROW()),minfo!$A:$M,COLUMN()-8,0),"")</f>
        <v>花海</v>
      </c>
      <c r="K1795" s="4" t="str">
        <f ca="1">_xlfn.IFNA(VLOOKUP(INDIRECT("G"&amp;ROW()),minfo!$A:$M,COLUMN()-8,0),"")</f>
        <v>周杰伦</v>
      </c>
      <c r="L1795" s="4">
        <f ca="1">_xlfn.IFNA(VLOOKUP(INDIRECT("G"&amp;ROW()),minfo!$A:$M,COLUMN()-8,0),"")</f>
        <v>0</v>
      </c>
      <c r="M1795" s="4">
        <f ca="1">_xlfn.IFNA(VLOOKUP(INDIRECT("G"&amp;ROW()),minfo!$A:$M,COLUMN()-8,0),"")</f>
        <v>0</v>
      </c>
      <c r="N1795" s="4">
        <f ca="1">_xlfn.IFNA(VLOOKUP(INDIRECT("G"&amp;ROW()),minfo!$A:$M,COLUMN()-8,0),"")</f>
        <v>0</v>
      </c>
      <c r="O1795" s="4" t="str">
        <f ca="1">_xlfn.IFNA(VLOOKUP(INDIRECT("G"&amp;ROW()),minfo!$A:$M,COLUMN()-8,0),"")</f>
        <v>http://i0.hdslb.com/bfs/station_src/music_metadata/d1259ab52f391cf8b4eff157118ac592.jpg</v>
      </c>
      <c r="P1795" s="4" t="str">
        <f ca="1">_xlfn.IFNA(VLOOKUP(INDIRECT("G"&amp;ROW()),minfo!$A:$M,COLUMN()-8,0),"")</f>
        <v>http://i0.hdslb.com/bfs/station_src/music_metadata/9d91aaabc90b6aafb617648a5dce5812</v>
      </c>
      <c r="Q1795" s="4">
        <f ca="1">_xlfn.IFNA(VLOOKUP(INDIRECT("G"&amp;ROW()),minfo!$A:$M,COLUMN()-8,0),"")</f>
        <v>9979</v>
      </c>
      <c r="R1795" s="4">
        <f ca="1">_xlfn.IFNA(VLOOKUP(INDIRECT("G"&amp;ROW()),minfo!$A:$M,COLUMN()-8,0),"")</f>
        <v>0</v>
      </c>
      <c r="S1795" s="4" t="str">
        <f ca="1">_xlfn.IFNA(VLOOKUP(INDIRECT("G"&amp;ROW()),minfo!$A:$M,COLUMN()-8,0),"")</f>
        <v>魔杰座</v>
      </c>
      <c r="T1795" s="4">
        <f ca="1">_xlfn.IFNA(VLOOKUP(INDIRECT("G"&amp;ROW()),minfo!$A:$M,COLUMN()-8,0),"")</f>
        <v>933132694</v>
      </c>
      <c r="U1795" s="4" t="str">
        <f ca="1">_xlfn.IFNA(VLOOKUP(INDIRECT("G"&amp;ROW()),minfo!$A:$M,COLUMN()-8,0),"")</f>
        <v>音乐榜最高NO.6</v>
      </c>
    </row>
    <row r="1796" spans="1:21" ht="15.75" customHeight="1">
      <c r="A1796" s="15">
        <v>1795</v>
      </c>
      <c r="D1796" s="4">
        <v>1</v>
      </c>
      <c r="E1796" s="4" t="s">
        <v>61</v>
      </c>
      <c r="F1796" s="16">
        <v>45373</v>
      </c>
      <c r="G1796" s="5" t="s">
        <v>61</v>
      </c>
      <c r="H1796" s="5" t="s">
        <v>5548</v>
      </c>
      <c r="I1796" s="24" t="str">
        <f>HYPERLINK("https://www.bilibili.com/video/BV1uD421L7zv?p=1", "BV1uD421L7zv?p=1")</f>
        <v>BV1uD421L7zv?p=1</v>
      </c>
      <c r="J1796" s="4" t="str">
        <f ca="1">_xlfn.IFNA(VLOOKUP(INDIRECT("G"&amp;ROW()),minfo!$A:$M,COLUMN()-8,0),"")</f>
        <v>桃華</v>
      </c>
      <c r="K1796" s="4" t="str">
        <f ca="1">_xlfn.IFNA(VLOOKUP(INDIRECT("G"&amp;ROW()),minfo!$A:$M,COLUMN()-8,0),"")</f>
        <v>说说Crystal</v>
      </c>
      <c r="L1796" s="4" t="str">
        <f ca="1">_xlfn.IFNA(VLOOKUP(INDIRECT("G"&amp;ROW()),minfo!$A:$M,COLUMN()-8,0),"")</f>
        <v>BV14z4y1H7Jn</v>
      </c>
      <c r="M1796" s="4">
        <f ca="1">_xlfn.IFNA(VLOOKUP(INDIRECT("G"&amp;ROW()),minfo!$A:$M,COLUMN()-8,0),"")</f>
        <v>0</v>
      </c>
      <c r="N1796" s="4">
        <f ca="1">_xlfn.IFNA(VLOOKUP(INDIRECT("G"&amp;ROW()),minfo!$A:$M,COLUMN()-8,0),"")</f>
        <v>0</v>
      </c>
      <c r="O1796" s="4">
        <f ca="1">_xlfn.IFNA(VLOOKUP(INDIRECT("G"&amp;ROW()),minfo!$A:$M,COLUMN()-8,0),"")</f>
        <v>0</v>
      </c>
      <c r="P1796" s="4">
        <f ca="1">_xlfn.IFNA(VLOOKUP(INDIRECT("G"&amp;ROW()),minfo!$A:$M,COLUMN()-8,0),"")</f>
        <v>0</v>
      </c>
      <c r="Q1796" s="4">
        <f ca="1">_xlfn.IFNA(VLOOKUP(INDIRECT("G"&amp;ROW()),minfo!$A:$M,COLUMN()-8,0),"")</f>
        <v>0</v>
      </c>
      <c r="R1796" s="4">
        <f ca="1">_xlfn.IFNA(VLOOKUP(INDIRECT("G"&amp;ROW()),minfo!$A:$M,COLUMN()-8,0),"")</f>
        <v>0</v>
      </c>
      <c r="S1796" s="4">
        <f ca="1">_xlfn.IFNA(VLOOKUP(INDIRECT("G"&amp;ROW()),minfo!$A:$M,COLUMN()-8,0),"")</f>
        <v>0</v>
      </c>
      <c r="T1796" s="4">
        <f ca="1">_xlfn.IFNA(VLOOKUP(INDIRECT("G"&amp;ROW()),minfo!$A:$M,COLUMN()-8,0),"")</f>
        <v>0</v>
      </c>
      <c r="U1796" s="4">
        <f ca="1">_xlfn.IFNA(VLOOKUP(INDIRECT("G"&amp;ROW()),minfo!$A:$M,COLUMN()-8,0),"")</f>
        <v>0</v>
      </c>
    </row>
    <row r="1797" spans="1:21" ht="15.75" customHeight="1">
      <c r="A1797" s="15">
        <v>1796</v>
      </c>
      <c r="D1797" s="4">
        <v>1</v>
      </c>
      <c r="E1797" s="4" t="s">
        <v>3298</v>
      </c>
      <c r="F1797" s="16">
        <v>45373</v>
      </c>
      <c r="G1797" s="5" t="s">
        <v>3297</v>
      </c>
      <c r="H1797" s="5" t="s">
        <v>5549</v>
      </c>
      <c r="I1797" s="24" t="str">
        <f>HYPERLINK("https://www.bilibili.com/video/BV1Rr421t726?p=1", "BV1Rr421t726?p=1")</f>
        <v>BV1Rr421t726?p=1</v>
      </c>
      <c r="J1797" s="4" t="str">
        <f ca="1">_xlfn.IFNA(VLOOKUP(INDIRECT("G"&amp;ROW()),minfo!$A:$M,COLUMN()-8,0),"")</f>
        <v>很久以后</v>
      </c>
      <c r="K1797" s="4" t="str">
        <f ca="1">_xlfn.IFNA(VLOOKUP(INDIRECT("G"&amp;ROW()),minfo!$A:$M,COLUMN()-8,0),"")</f>
        <v>G.E.M. 邓紫棋</v>
      </c>
      <c r="L1797" s="4">
        <f ca="1">_xlfn.IFNA(VLOOKUP(INDIRECT("G"&amp;ROW()),minfo!$A:$M,COLUMN()-8,0),"")</f>
        <v>752741189</v>
      </c>
      <c r="M1797" s="4">
        <f ca="1">_xlfn.IFNA(VLOOKUP(INDIRECT("G"&amp;ROW()),minfo!$A:$M,COLUMN()-8,0),"")</f>
        <v>174687794</v>
      </c>
      <c r="N1797" s="4" t="str">
        <f ca="1">_xlfn.IFNA(VLOOKUP(INDIRECT("G"&amp;ROW()),minfo!$A:$M,COLUMN()-8,0),"")</f>
        <v>BV1Nk4y1R7AP</v>
      </c>
      <c r="O1797" s="4" t="str">
        <f ca="1">_xlfn.IFNA(VLOOKUP(INDIRECT("G"&amp;ROW()),minfo!$A:$M,COLUMN()-8,0),"")</f>
        <v>https://i0.hdslb.com/bfs/station_src/music_metadata/f592645ec4c396c49a6f648533cf9d1b.jpg</v>
      </c>
      <c r="P1797" s="4" t="str">
        <f ca="1">_xlfn.IFNA(VLOOKUP(INDIRECT("G"&amp;ROW()),minfo!$A:$M,COLUMN()-8,0),"")</f>
        <v>http://i0.hdslb.com/bfs/station_src/music_metadata/40f0da937c16edd869592dab99096d7f</v>
      </c>
      <c r="Q1797" s="4">
        <f ca="1">_xlfn.IFNA(VLOOKUP(INDIRECT("G"&amp;ROW()),minfo!$A:$M,COLUMN()-8,0),"")</f>
        <v>97</v>
      </c>
      <c r="R1797" s="4" t="str">
        <f ca="1">_xlfn.IFNA(VLOOKUP(INDIRECT("G"&amp;ROW()),minfo!$A:$M,COLUMN()-8,0),"")</f>
        <v>《可不可以，你也刚好喜欢我》电影主题曲</v>
      </c>
      <c r="S1797" s="4" t="str">
        <f ca="1">_xlfn.IFNA(VLOOKUP(INDIRECT("G"&amp;ROW()),minfo!$A:$M,COLUMN()-8,0),"")</f>
        <v>摩天动物园</v>
      </c>
      <c r="T1797" s="4">
        <f ca="1">_xlfn.IFNA(VLOOKUP(INDIRECT("G"&amp;ROW()),minfo!$A:$M,COLUMN()-8,0),"")</f>
        <v>22243726</v>
      </c>
      <c r="U1797" s="4">
        <f ca="1">_xlfn.IFNA(VLOOKUP(INDIRECT("G"&amp;ROW()),minfo!$A:$M,COLUMN()-8,0),"")</f>
        <v>0</v>
      </c>
    </row>
    <row r="1798" spans="1:21" ht="15.75" customHeight="1">
      <c r="A1798" s="15">
        <v>1797</v>
      </c>
      <c r="D1798" s="4">
        <v>1</v>
      </c>
      <c r="E1798" s="4" t="s">
        <v>1824</v>
      </c>
      <c r="F1798" s="16">
        <v>45373</v>
      </c>
      <c r="G1798" s="5" t="s">
        <v>1823</v>
      </c>
      <c r="H1798" s="5" t="s">
        <v>5550</v>
      </c>
      <c r="I1798" s="24" t="str">
        <f>HYPERLINK("https://www.bilibili.com/video/BV1Y1421Q7g6?p=1", "BV1Y1421Q7g6?p=1")</f>
        <v>BV1Y1421Q7g6?p=1</v>
      </c>
      <c r="J1798" s="4" t="str">
        <f ca="1">_xlfn.IFNA(VLOOKUP(INDIRECT("G"&amp;ROW()),minfo!$A:$M,COLUMN()-8,0),"")</f>
        <v>月</v>
      </c>
      <c r="K1798" s="4" t="str">
        <f ca="1">_xlfn.IFNA(VLOOKUP(INDIRECT("G"&amp;ROW()),minfo!$A:$M,COLUMN()-8,0),"")</f>
        <v>郁可唯</v>
      </c>
      <c r="L1798" s="4">
        <f ca="1">_xlfn.IFNA(VLOOKUP(INDIRECT("G"&amp;ROW()),minfo!$A:$M,COLUMN()-8,0),"")</f>
        <v>0</v>
      </c>
      <c r="M1798" s="4">
        <f ca="1">_xlfn.IFNA(VLOOKUP(INDIRECT("G"&amp;ROW()),minfo!$A:$M,COLUMN()-8,0),"")</f>
        <v>0</v>
      </c>
      <c r="N1798" s="4">
        <f ca="1">_xlfn.IFNA(VLOOKUP(INDIRECT("G"&amp;ROW()),minfo!$A:$M,COLUMN()-8,0),"")</f>
        <v>0</v>
      </c>
      <c r="O1798" s="4" t="str">
        <f ca="1">_xlfn.IFNA(VLOOKUP(INDIRECT("G"&amp;ROW()),minfo!$A:$M,COLUMN()-8,0),"")</f>
        <v>https://i0.hdslb.com/bfs/station_src/music_metadata/18366082543cccb9ea83dadd477d221d.jpg</v>
      </c>
      <c r="P1798" s="4" t="str">
        <f ca="1">_xlfn.IFNA(VLOOKUP(INDIRECT("G"&amp;ROW()),minfo!$A:$M,COLUMN()-8,0),"")</f>
        <v>https://i0.hdslb.com/bfs/station_src/music_metadata/31530dd411904e556b2dcad90552b3b7.txt</v>
      </c>
      <c r="Q1798" s="4">
        <f ca="1">_xlfn.IFNA(VLOOKUP(INDIRECT("G"&amp;ROW()),minfo!$A:$M,COLUMN()-8,0),"")</f>
        <v>159</v>
      </c>
      <c r="R1798" s="4">
        <f ca="1">_xlfn.IFNA(VLOOKUP(INDIRECT("G"&amp;ROW()),minfo!$A:$M,COLUMN()-8,0),"")</f>
        <v>0</v>
      </c>
      <c r="S1798" s="4" t="str">
        <f ca="1">_xlfn.IFNA(VLOOKUP(INDIRECT("G"&amp;ROW()),minfo!$A:$M,COLUMN()-8,0),"")</f>
        <v>月</v>
      </c>
      <c r="T1798" s="4">
        <f ca="1">_xlfn.IFNA(VLOOKUP(INDIRECT("G"&amp;ROW()),minfo!$A:$M,COLUMN()-8,0),"")</f>
        <v>38638268</v>
      </c>
      <c r="U1798" s="4">
        <f ca="1">_xlfn.IFNA(VLOOKUP(INDIRECT("G"&amp;ROW()),minfo!$A:$M,COLUMN()-8,0),"")</f>
        <v>0</v>
      </c>
    </row>
    <row r="1799" spans="1:21" ht="15.75" customHeight="1">
      <c r="A1799" s="15">
        <v>1798</v>
      </c>
      <c r="D1799" s="4">
        <v>1</v>
      </c>
      <c r="E1799" s="4" t="s">
        <v>5551</v>
      </c>
      <c r="F1799" s="16">
        <v>45374</v>
      </c>
      <c r="G1799" s="5" t="s">
        <v>3292</v>
      </c>
      <c r="H1799" s="5" t="s">
        <v>5552</v>
      </c>
      <c r="I1799" s="24" t="str">
        <f>HYPERLINK("https://www.bilibili.com/video/BV1x1421S7MC?p=1", "BV1x1421S7MC?p=1")</f>
        <v>BV1x1421S7MC?p=1</v>
      </c>
      <c r="J1799" s="4" t="str">
        <f ca="1">_xlfn.IFNA(VLOOKUP(INDIRECT("G"&amp;ROW()),minfo!$A:$M,COLUMN()-8,0),"")</f>
        <v>不该</v>
      </c>
      <c r="K1799" s="4" t="str">
        <f ca="1">_xlfn.IFNA(VLOOKUP(INDIRECT("G"&amp;ROW()),minfo!$A:$M,COLUMN()-8,0),"")</f>
        <v>周杰伦</v>
      </c>
      <c r="L1799" s="4">
        <f ca="1">_xlfn.IFNA(VLOOKUP(INDIRECT("G"&amp;ROW()),minfo!$A:$M,COLUMN()-8,0),"")</f>
        <v>0</v>
      </c>
      <c r="M1799" s="4">
        <f ca="1">_xlfn.IFNA(VLOOKUP(INDIRECT("G"&amp;ROW()),minfo!$A:$M,COLUMN()-8,0),"")</f>
        <v>0</v>
      </c>
      <c r="N1799" s="4">
        <f ca="1">_xlfn.IFNA(VLOOKUP(INDIRECT("G"&amp;ROW()),minfo!$A:$M,COLUMN()-8,0),"")</f>
        <v>0</v>
      </c>
      <c r="O1799" s="4" t="str">
        <f ca="1">_xlfn.IFNA(VLOOKUP(INDIRECT("G"&amp;ROW()),minfo!$A:$M,COLUMN()-8,0),"")</f>
        <v>http://i0.hdslb.com/bfs/station_src/music_metadata/5f8ebb73c2ba67badc288df55760414c.jpg</v>
      </c>
      <c r="P1799" s="4" t="str">
        <f ca="1">_xlfn.IFNA(VLOOKUP(INDIRECT("G"&amp;ROW()),minfo!$A:$M,COLUMN()-8,0),"")</f>
        <v>http://i0.hdslb.com/bfs/station_src/music_metadata/2f0bb3119059f3b5bbcdc48ccac758cb</v>
      </c>
      <c r="Q1799" s="4">
        <f ca="1">_xlfn.IFNA(VLOOKUP(INDIRECT("G"&amp;ROW()),minfo!$A:$M,COLUMN()-8,0),"")</f>
        <v>3341</v>
      </c>
      <c r="R1799" s="4" t="str">
        <f ca="1">_xlfn.IFNA(VLOOKUP(INDIRECT("G"&amp;ROW()),minfo!$A:$M,COLUMN()-8,0),"")</f>
        <v>《幻城》电视剧片头曲|《幻城凡世》网络剧片尾曲</v>
      </c>
      <c r="S1799" s="4" t="str">
        <f ca="1">_xlfn.IFNA(VLOOKUP(INDIRECT("G"&amp;ROW()),minfo!$A:$M,COLUMN()-8,0),"")</f>
        <v>周杰伦的床边故事</v>
      </c>
      <c r="T1799" s="4">
        <f ca="1">_xlfn.IFNA(VLOOKUP(INDIRECT("G"&amp;ROW()),minfo!$A:$M,COLUMN()-8,0),"")</f>
        <v>372633239</v>
      </c>
      <c r="U1799" s="4">
        <f ca="1">_xlfn.IFNA(VLOOKUP(INDIRECT("G"&amp;ROW()),minfo!$A:$M,COLUMN()-8,0),"")</f>
        <v>0</v>
      </c>
    </row>
    <row r="1800" spans="1:21" ht="15.75" customHeight="1">
      <c r="A1800" s="15">
        <v>1799</v>
      </c>
      <c r="D1800" s="4">
        <v>1</v>
      </c>
      <c r="E1800" s="4" t="s">
        <v>347</v>
      </c>
      <c r="F1800" s="16">
        <v>45374</v>
      </c>
      <c r="G1800" s="5" t="s">
        <v>346</v>
      </c>
      <c r="H1800" s="5" t="s">
        <v>5553</v>
      </c>
      <c r="I1800" s="24" t="str">
        <f>HYPERLINK("https://www.bilibili.com/video/BV14u4m1T76W?p=1", "BV14u4m1T76W?p=1")</f>
        <v>BV14u4m1T76W?p=1</v>
      </c>
      <c r="J1800" s="4" t="str">
        <f ca="1">_xlfn.IFNA(VLOOKUP(INDIRECT("G"&amp;ROW()),minfo!$A:$M,COLUMN()-8,0),"")</f>
        <v>雨樱花</v>
      </c>
      <c r="K1800" s="4" t="str">
        <f ca="1">_xlfn.IFNA(VLOOKUP(INDIRECT("G"&amp;ROW()),minfo!$A:$M,COLUMN()-8,0),"")</f>
        <v>F.I.R.飞儿乐团</v>
      </c>
      <c r="L1800" s="4">
        <f ca="1">_xlfn.IFNA(VLOOKUP(INDIRECT("G"&amp;ROW()),minfo!$A:$M,COLUMN()-8,0),"")</f>
        <v>0</v>
      </c>
      <c r="M1800" s="4">
        <f ca="1">_xlfn.IFNA(VLOOKUP(INDIRECT("G"&amp;ROW()),minfo!$A:$M,COLUMN()-8,0),"")</f>
        <v>0</v>
      </c>
      <c r="N1800" s="4">
        <f ca="1">_xlfn.IFNA(VLOOKUP(INDIRECT("G"&amp;ROW()),minfo!$A:$M,COLUMN()-8,0),"")</f>
        <v>0</v>
      </c>
      <c r="O1800" s="4" t="str">
        <f ca="1">_xlfn.IFNA(VLOOKUP(INDIRECT("G"&amp;ROW()),minfo!$A:$M,COLUMN()-8,0),"")</f>
        <v>https://i0.hdslb.com/bfs/station_src/music_metadata/00afd05b69966a9e0c7f56c6963242d8.jpg</v>
      </c>
      <c r="P1800" s="4" t="str">
        <f ca="1">_xlfn.IFNA(VLOOKUP(INDIRECT("G"&amp;ROW()),minfo!$A:$M,COLUMN()-8,0),"")</f>
        <v>http://i0.hdslb.com/bfs/station_src/music_metadata/d8a209457fb9a9d83e2536a27c94344c</v>
      </c>
      <c r="Q1800" s="4">
        <f ca="1">_xlfn.IFNA(VLOOKUP(INDIRECT("G"&amp;ROW()),minfo!$A:$M,COLUMN()-8,0),"")</f>
        <v>39</v>
      </c>
      <c r="R1800" s="4">
        <f ca="1">_xlfn.IFNA(VLOOKUP(INDIRECT("G"&amp;ROW()),minfo!$A:$M,COLUMN()-8,0),"")</f>
        <v>0</v>
      </c>
      <c r="S1800" s="4" t="str">
        <f ca="1">_xlfn.IFNA(VLOOKUP(INDIRECT("G"&amp;ROW()),minfo!$A:$M,COLUMN()-8,0),"")</f>
        <v>飞行部落</v>
      </c>
      <c r="T1800" s="4">
        <f ca="1">_xlfn.IFNA(VLOOKUP(INDIRECT("G"&amp;ROW()),minfo!$A:$M,COLUMN()-8,0),"")</f>
        <v>13683214</v>
      </c>
      <c r="U1800" s="4">
        <f ca="1">_xlfn.IFNA(VLOOKUP(INDIRECT("G"&amp;ROW()),minfo!$A:$M,COLUMN()-8,0),"")</f>
        <v>0</v>
      </c>
    </row>
    <row r="1801" spans="1:21" ht="15.75" customHeight="1">
      <c r="A1801" s="15">
        <v>1800</v>
      </c>
      <c r="D1801" s="4">
        <v>1</v>
      </c>
      <c r="E1801" s="4" t="s">
        <v>967</v>
      </c>
      <c r="F1801" s="16">
        <v>45374</v>
      </c>
      <c r="G1801" s="5" t="s">
        <v>966</v>
      </c>
      <c r="H1801" s="5" t="s">
        <v>5554</v>
      </c>
      <c r="I1801" s="24" t="str">
        <f>HYPERLINK("https://www.bilibili.com/video/BV13m411d7rM?p=1", "BV13m411d7rM?p=1")</f>
        <v>BV13m411d7rM?p=1</v>
      </c>
      <c r="J1801" s="4" t="str">
        <f ca="1">_xlfn.IFNA(VLOOKUP(INDIRECT("G"&amp;ROW()),minfo!$A:$M,COLUMN()-8,0),"")</f>
        <v>小雨</v>
      </c>
      <c r="K1801" s="4" t="str">
        <f ca="1">_xlfn.IFNA(VLOOKUP(INDIRECT("G"&amp;ROW()),minfo!$A:$M,COLUMN()-8,0),"")</f>
        <v>黄龄</v>
      </c>
      <c r="L1801" s="4">
        <f ca="1">_xlfn.IFNA(VLOOKUP(INDIRECT("G"&amp;ROW()),minfo!$A:$M,COLUMN()-8,0),"")</f>
        <v>0</v>
      </c>
      <c r="M1801" s="4">
        <f ca="1">_xlfn.IFNA(VLOOKUP(INDIRECT("G"&amp;ROW()),minfo!$A:$M,COLUMN()-8,0),"")</f>
        <v>0</v>
      </c>
      <c r="N1801" s="4">
        <f ca="1">_xlfn.IFNA(VLOOKUP(INDIRECT("G"&amp;ROW()),minfo!$A:$M,COLUMN()-8,0),"")</f>
        <v>0</v>
      </c>
      <c r="O1801" s="4" t="str">
        <f ca="1">_xlfn.IFNA(VLOOKUP(INDIRECT("G"&amp;ROW()),minfo!$A:$M,COLUMN()-8,0),"")</f>
        <v>https://i0.hdslb.com/bfs/station_src/music_metadata/607346922702f1ba7302d87db0ecdbf1.jpg</v>
      </c>
      <c r="P1801" s="4" t="str">
        <f ca="1">_xlfn.IFNA(VLOOKUP(INDIRECT("G"&amp;ROW()),minfo!$A:$M,COLUMN()-8,0),"")</f>
        <v>https://i0.hdslb.com/bfs/station_src/music_metadata/245fdd0b68a8f71caa554e8f05ea1b6c.txt</v>
      </c>
      <c r="Q1801" s="4">
        <f ca="1">_xlfn.IFNA(VLOOKUP(INDIRECT("G"&amp;ROW()),minfo!$A:$M,COLUMN()-8,0),"")</f>
        <v>2250</v>
      </c>
      <c r="R1801" s="4">
        <f ca="1">_xlfn.IFNA(VLOOKUP(INDIRECT("G"&amp;ROW()),minfo!$A:$M,COLUMN()-8,0),"")</f>
        <v>0</v>
      </c>
      <c r="S1801" s="4" t="str">
        <f ca="1">_xlfn.IFNA(VLOOKUP(INDIRECT("G"&amp;ROW()),minfo!$A:$M,COLUMN()-8,0),"")</f>
        <v>小雨</v>
      </c>
      <c r="T1801" s="4">
        <f ca="1">_xlfn.IFNA(VLOOKUP(INDIRECT("G"&amp;ROW()),minfo!$A:$M,COLUMN()-8,0),"")</f>
        <v>63947645</v>
      </c>
      <c r="U1801" s="4">
        <f ca="1">_xlfn.IFNA(VLOOKUP(INDIRECT("G"&amp;ROW()),minfo!$A:$M,COLUMN()-8,0),"")</f>
        <v>0</v>
      </c>
    </row>
    <row r="1802" spans="1:21" ht="15.75" customHeight="1">
      <c r="A1802" s="15">
        <v>1801</v>
      </c>
      <c r="D1802" s="4">
        <v>1</v>
      </c>
      <c r="E1802" s="4" t="s">
        <v>760</v>
      </c>
      <c r="F1802" s="16">
        <v>45376</v>
      </c>
      <c r="G1802" s="5" t="s">
        <v>759</v>
      </c>
      <c r="H1802" s="5" t="s">
        <v>5555</v>
      </c>
      <c r="I1802" s="24" t="str">
        <f>HYPERLINK("https://www.bilibili.com/video/BV1Pz421f7Xc?p=1", "BV1Pz421f7Xc?p=1")</f>
        <v>BV1Pz421f7Xc?p=1</v>
      </c>
      <c r="J1802" s="4" t="str">
        <f ca="1">_xlfn.IFNA(VLOOKUP(INDIRECT("G"&amp;ROW()),minfo!$A:$M,COLUMN()-8,0),"")</f>
        <v>大笨钟</v>
      </c>
      <c r="K1802" s="4" t="str">
        <f ca="1">_xlfn.IFNA(VLOOKUP(INDIRECT("G"&amp;ROW()),minfo!$A:$M,COLUMN()-8,0),"")</f>
        <v>周杰伦</v>
      </c>
      <c r="L1802" s="4">
        <f ca="1">_xlfn.IFNA(VLOOKUP(INDIRECT("G"&amp;ROW()),minfo!$A:$M,COLUMN()-8,0),"")</f>
        <v>0</v>
      </c>
      <c r="M1802" s="4">
        <f ca="1">_xlfn.IFNA(VLOOKUP(INDIRECT("G"&amp;ROW()),minfo!$A:$M,COLUMN()-8,0),"")</f>
        <v>0</v>
      </c>
      <c r="N1802" s="4">
        <f ca="1">_xlfn.IFNA(VLOOKUP(INDIRECT("G"&amp;ROW()),minfo!$A:$M,COLUMN()-8,0),"")</f>
        <v>0</v>
      </c>
      <c r="O1802" s="4" t="str">
        <f ca="1">_xlfn.IFNA(VLOOKUP(INDIRECT("G"&amp;ROW()),minfo!$A:$M,COLUMN()-8,0),"")</f>
        <v>https://i0.hdslb.com/bfs/station_src/music_metadata/ec4dd0b1aa0bba73b944620a9f015307.jpg</v>
      </c>
      <c r="P1802" s="4">
        <f ca="1">_xlfn.IFNA(VLOOKUP(INDIRECT("G"&amp;ROW()),minfo!$A:$M,COLUMN()-8,0),"")</f>
        <v>0</v>
      </c>
      <c r="Q1802" s="4">
        <f ca="1">_xlfn.IFNA(VLOOKUP(INDIRECT("G"&amp;ROW()),minfo!$A:$M,COLUMN()-8,0),"")</f>
        <v>724</v>
      </c>
      <c r="R1802" s="4">
        <f ca="1">_xlfn.IFNA(VLOOKUP(INDIRECT("G"&amp;ROW()),minfo!$A:$M,COLUMN()-8,0),"")</f>
        <v>0</v>
      </c>
      <c r="S1802" s="4" t="str">
        <f ca="1">_xlfn.IFNA(VLOOKUP(INDIRECT("G"&amp;ROW()),minfo!$A:$M,COLUMN()-8,0),"")</f>
        <v>十二新作</v>
      </c>
      <c r="T1802" s="4">
        <f ca="1">_xlfn.IFNA(VLOOKUP(INDIRECT("G"&amp;ROW()),minfo!$A:$M,COLUMN()-8,0),"")</f>
        <v>252697838</v>
      </c>
      <c r="U1802" s="4">
        <f ca="1">_xlfn.IFNA(VLOOKUP(INDIRECT("G"&amp;ROW()),minfo!$A:$M,COLUMN()-8,0),"")</f>
        <v>0</v>
      </c>
    </row>
    <row r="1803" spans="1:21" ht="15.75" customHeight="1">
      <c r="A1803" s="15">
        <v>1802</v>
      </c>
      <c r="D1803" s="4">
        <v>1</v>
      </c>
      <c r="E1803" s="4" t="s">
        <v>1289</v>
      </c>
      <c r="F1803" s="16">
        <v>45376</v>
      </c>
      <c r="G1803" s="5" t="s">
        <v>1288</v>
      </c>
      <c r="H1803" s="5" t="s">
        <v>5556</v>
      </c>
      <c r="I1803" s="24" t="str">
        <f>HYPERLINK("https://www.bilibili.com/video/BV1UA4m1A7n7?p=1", "BV1UA4m1A7n7?p=1")</f>
        <v>BV1UA4m1A7n7?p=1</v>
      </c>
      <c r="J1803" s="4" t="str">
        <f ca="1">_xlfn.IFNA(VLOOKUP(INDIRECT("G"&amp;ROW()),minfo!$A:$M,COLUMN()-8,0),"")</f>
        <v>孤独娱乐</v>
      </c>
      <c r="K1803" s="4" t="str">
        <f ca="1">_xlfn.IFNA(VLOOKUP(INDIRECT("G"&amp;ROW()),minfo!$A:$M,COLUMN()-8,0),"")</f>
        <v>林俊杰</v>
      </c>
      <c r="L1803" s="4">
        <f ca="1">_xlfn.IFNA(VLOOKUP(INDIRECT("G"&amp;ROW()),minfo!$A:$M,COLUMN()-8,0),"")</f>
        <v>0</v>
      </c>
      <c r="M1803" s="4">
        <f ca="1">_xlfn.IFNA(VLOOKUP(INDIRECT("G"&amp;ROW()),minfo!$A:$M,COLUMN()-8,0),"")</f>
        <v>0</v>
      </c>
      <c r="N1803" s="4">
        <f ca="1">_xlfn.IFNA(VLOOKUP(INDIRECT("G"&amp;ROW()),minfo!$A:$M,COLUMN()-8,0),"")</f>
        <v>0</v>
      </c>
      <c r="O1803" s="4" t="str">
        <f ca="1">_xlfn.IFNA(VLOOKUP(INDIRECT("G"&amp;ROW()),minfo!$A:$M,COLUMN()-8,0),"")</f>
        <v>http://i0.hdslb.com/bfs/station_src/music_metadata/84561b5e1d6e1dfa852adcf51e34eb8f.jpg</v>
      </c>
      <c r="P1803" s="4">
        <f ca="1">_xlfn.IFNA(VLOOKUP(INDIRECT("G"&amp;ROW()),minfo!$A:$M,COLUMN()-8,0),"")</f>
        <v>0</v>
      </c>
      <c r="Q1803" s="4">
        <f ca="1">_xlfn.IFNA(VLOOKUP(INDIRECT("G"&amp;ROW()),minfo!$A:$M,COLUMN()-8,0),"")</f>
        <v>79</v>
      </c>
      <c r="R1803" s="4">
        <f ca="1">_xlfn.IFNA(VLOOKUP(INDIRECT("G"&amp;ROW()),minfo!$A:$M,COLUMN()-8,0),"")</f>
        <v>0</v>
      </c>
      <c r="S1803" s="4" t="str">
        <f ca="1">_xlfn.IFNA(VLOOKUP(INDIRECT("G"&amp;ROW()),minfo!$A:$M,COLUMN()-8,0),"")</f>
        <v>重拾_快乐</v>
      </c>
      <c r="T1803" s="4">
        <f ca="1">_xlfn.IFNA(VLOOKUP(INDIRECT("G"&amp;ROW()),minfo!$A:$M,COLUMN()-8,0),"")</f>
        <v>19753956</v>
      </c>
      <c r="U1803" s="4">
        <f ca="1">_xlfn.IFNA(VLOOKUP(INDIRECT("G"&amp;ROW()),minfo!$A:$M,COLUMN()-8,0),"")</f>
        <v>0</v>
      </c>
    </row>
    <row r="1804" spans="1:21" ht="15.75" customHeight="1">
      <c r="A1804" s="15">
        <v>1803</v>
      </c>
      <c r="D1804" s="4">
        <v>1</v>
      </c>
      <c r="E1804" s="4" t="s">
        <v>1180</v>
      </c>
      <c r="F1804" s="16">
        <v>45376</v>
      </c>
      <c r="G1804" s="5" t="s">
        <v>1179</v>
      </c>
      <c r="H1804" s="5" t="s">
        <v>5557</v>
      </c>
      <c r="I1804" s="24" t="str">
        <f>HYPERLINK("https://www.bilibili.com/video/BV18f421Z7Ko?p=1", "BV18f421Z7Ko?p=1")</f>
        <v>BV18f421Z7Ko?p=1</v>
      </c>
      <c r="J1804" s="4" t="str">
        <f ca="1">_xlfn.IFNA(VLOOKUP(INDIRECT("G"&amp;ROW()),minfo!$A:$M,COLUMN()-8,0),"")</f>
        <v>真实</v>
      </c>
      <c r="K1804" s="4" t="str">
        <f ca="1">_xlfn.IFNA(VLOOKUP(INDIRECT("G"&amp;ROW()),minfo!$A:$M,COLUMN()-8,0),"")</f>
        <v>张惠妹</v>
      </c>
      <c r="L1804" s="4">
        <f ca="1">_xlfn.IFNA(VLOOKUP(INDIRECT("G"&amp;ROW()),minfo!$A:$M,COLUMN()-8,0),"")</f>
        <v>0</v>
      </c>
      <c r="M1804" s="4">
        <f ca="1">_xlfn.IFNA(VLOOKUP(INDIRECT("G"&amp;ROW()),minfo!$A:$M,COLUMN()-8,0),"")</f>
        <v>0</v>
      </c>
      <c r="N1804" s="4">
        <f ca="1">_xlfn.IFNA(VLOOKUP(INDIRECT("G"&amp;ROW()),minfo!$A:$M,COLUMN()-8,0),"")</f>
        <v>0</v>
      </c>
      <c r="O1804" s="4" t="str">
        <f ca="1">_xlfn.IFNA(VLOOKUP(INDIRECT("G"&amp;ROW()),minfo!$A:$M,COLUMN()-8,0),"")</f>
        <v>https://i0.hdslb.com/bfs/station_src/music_metadata/9f4eabc9a46c0571d7f7f67bb2ebab60.jpg</v>
      </c>
      <c r="P1804" s="4" t="str">
        <f ca="1">_xlfn.IFNA(VLOOKUP(INDIRECT("G"&amp;ROW()),minfo!$A:$M,COLUMN()-8,0),"")</f>
        <v>https://i0.hdslb.com/bfs/station_src/music_metadata/bfc8e2894c10a612c011fcc912b0f45d.txt</v>
      </c>
      <c r="Q1804" s="4">
        <f ca="1">_xlfn.IFNA(VLOOKUP(INDIRECT("G"&amp;ROW()),minfo!$A:$M,COLUMN()-8,0),"")</f>
        <v>17</v>
      </c>
      <c r="R1804" s="4">
        <f ca="1">_xlfn.IFNA(VLOOKUP(INDIRECT("G"&amp;ROW()),minfo!$A:$M,COLUMN()-8,0),"")</f>
        <v>0</v>
      </c>
      <c r="S1804" s="4" t="str">
        <f ca="1">_xlfn.IFNA(VLOOKUP(INDIRECT("G"&amp;ROW()),minfo!$A:$M,COLUMN()-8,0),"")</f>
        <v>真实</v>
      </c>
      <c r="T1804" s="4">
        <f ca="1">_xlfn.IFNA(VLOOKUP(INDIRECT("G"&amp;ROW()),minfo!$A:$M,COLUMN()-8,0),"")</f>
        <v>6260891</v>
      </c>
      <c r="U1804" s="4">
        <f ca="1">_xlfn.IFNA(VLOOKUP(INDIRECT("G"&amp;ROW()),minfo!$A:$M,COLUMN()-8,0),"")</f>
        <v>0</v>
      </c>
    </row>
    <row r="1805" spans="1:21" ht="15.75" customHeight="1">
      <c r="A1805" s="15">
        <v>1804</v>
      </c>
      <c r="D1805" s="4">
        <v>1</v>
      </c>
      <c r="E1805" s="4" t="s">
        <v>1504</v>
      </c>
      <c r="F1805" s="16">
        <v>45376</v>
      </c>
      <c r="G1805" s="5" t="s">
        <v>1503</v>
      </c>
      <c r="H1805" s="5" t="s">
        <v>5558</v>
      </c>
      <c r="I1805" s="24" t="str">
        <f>HYPERLINK("https://www.bilibili.com/video/BV1bp421m7fv?p=1", "BV1bp421m7fv?p=1")</f>
        <v>BV1bp421m7fv?p=1</v>
      </c>
      <c r="J1805" s="4" t="str">
        <f ca="1">_xlfn.IFNA(VLOOKUP(INDIRECT("G"&amp;ROW()),minfo!$A:$M,COLUMN()-8,0),"")</f>
        <v>蒲公英的约定</v>
      </c>
      <c r="K1805" s="4" t="str">
        <f ca="1">_xlfn.IFNA(VLOOKUP(INDIRECT("G"&amp;ROW()),minfo!$A:$M,COLUMN()-8,0),"")</f>
        <v>周杰伦</v>
      </c>
      <c r="L1805" s="4">
        <f ca="1">_xlfn.IFNA(VLOOKUP(INDIRECT("G"&amp;ROW()),minfo!$A:$M,COLUMN()-8,0),"")</f>
        <v>0</v>
      </c>
      <c r="M1805" s="4">
        <f ca="1">_xlfn.IFNA(VLOOKUP(INDIRECT("G"&amp;ROW()),minfo!$A:$M,COLUMN()-8,0),"")</f>
        <v>0</v>
      </c>
      <c r="N1805" s="4">
        <f ca="1">_xlfn.IFNA(VLOOKUP(INDIRECT("G"&amp;ROW()),minfo!$A:$M,COLUMN()-8,0),"")</f>
        <v>0</v>
      </c>
      <c r="O1805" s="4" t="str">
        <f ca="1">_xlfn.IFNA(VLOOKUP(INDIRECT("G"&amp;ROW()),minfo!$A:$M,COLUMN()-8,0),"")</f>
        <v>https://i0.hdslb.com/bfs/station_src/music_metadata/def25ce07624152bcd4c15c64b585b2b.jpg</v>
      </c>
      <c r="P1805" s="4" t="str">
        <f ca="1">_xlfn.IFNA(VLOOKUP(INDIRECT("G"&amp;ROW()),minfo!$A:$M,COLUMN()-8,0),"")</f>
        <v>copyright-crawler/music/task-lyric/650e62cdfad724c0d01131df.txt</v>
      </c>
      <c r="Q1805" s="4">
        <f ca="1">_xlfn.IFNA(VLOOKUP(INDIRECT("G"&amp;ROW()),minfo!$A:$M,COLUMN()-8,0),"")</f>
        <v>5783</v>
      </c>
      <c r="R1805" s="4" t="str">
        <f ca="1">_xlfn.IFNA(VLOOKUP(INDIRECT("G"&amp;ROW()),minfo!$A:$M,COLUMN()-8,0),"")</f>
        <v>蒲公英的约定</v>
      </c>
      <c r="S1805" s="4" t="str">
        <f ca="1">_xlfn.IFNA(VLOOKUP(INDIRECT("G"&amp;ROW()),minfo!$A:$M,COLUMN()-8,0),"")</f>
        <v>我很忙</v>
      </c>
      <c r="T1805" s="4">
        <f ca="1">_xlfn.IFNA(VLOOKUP(INDIRECT("G"&amp;ROW()),minfo!$A:$M,COLUMN()-8,0),"")</f>
        <v>746779605</v>
      </c>
      <c r="U1805" s="4" t="str">
        <f ca="1">_xlfn.IFNA(VLOOKUP(INDIRECT("G"&amp;ROW()),minfo!$A:$M,COLUMN()-8,0),"")</f>
        <v>音乐榜最高NO.11</v>
      </c>
    </row>
    <row r="1806" spans="1:21" ht="15.75" customHeight="1">
      <c r="A1806" s="15">
        <v>1805</v>
      </c>
      <c r="D1806" s="4">
        <v>1</v>
      </c>
      <c r="E1806" s="4" t="s">
        <v>655</v>
      </c>
      <c r="F1806" s="16">
        <v>45376</v>
      </c>
      <c r="G1806" s="5" t="s">
        <v>654</v>
      </c>
      <c r="H1806" s="5" t="s">
        <v>5559</v>
      </c>
      <c r="I1806" s="24" t="str">
        <f>HYPERLINK("https://www.bilibili.com/video/BV1Bu4m1T74S?p=1", "BV1Bu4m1T74S?p=1")</f>
        <v>BV1Bu4m1T74S?p=1</v>
      </c>
      <c r="J1806" s="4" t="str">
        <f ca="1">_xlfn.IFNA(VLOOKUP(INDIRECT("G"&amp;ROW()),minfo!$A:$M,COLUMN()-8,0),"")</f>
        <v>路过人间</v>
      </c>
      <c r="K1806" s="4" t="str">
        <f ca="1">_xlfn.IFNA(VLOOKUP(INDIRECT("G"&amp;ROW()),minfo!$A:$M,COLUMN()-8,0),"")</f>
        <v>郁可唯</v>
      </c>
      <c r="L1806" s="4">
        <f ca="1">_xlfn.IFNA(VLOOKUP(INDIRECT("G"&amp;ROW()),minfo!$A:$M,COLUMN()-8,0),"")</f>
        <v>0</v>
      </c>
      <c r="M1806" s="4">
        <f ca="1">_xlfn.IFNA(VLOOKUP(INDIRECT("G"&amp;ROW()),minfo!$A:$M,COLUMN()-8,0),"")</f>
        <v>17966</v>
      </c>
      <c r="N1806" s="4">
        <f ca="1">_xlfn.IFNA(VLOOKUP(INDIRECT("G"&amp;ROW()),minfo!$A:$M,COLUMN()-8,0),"")</f>
        <v>8458</v>
      </c>
      <c r="O1806" s="4" t="str">
        <f ca="1">_xlfn.IFNA(VLOOKUP(INDIRECT("G"&amp;ROW()),minfo!$A:$M,COLUMN()-8,0),"")</f>
        <v>http://i0.hdslb.com/bfs/station_src/music_metadata/570f6a193a95780dfeae2a4dfe0cb932.jpg</v>
      </c>
      <c r="P1806" s="4" t="str">
        <f ca="1">_xlfn.IFNA(VLOOKUP(INDIRECT("G"&amp;ROW()),minfo!$A:$M,COLUMN()-8,0),"")</f>
        <v>http://i0.hdslb.com/bfs/station_src/music_metadata/0386d6bc66823747cb1d61d511d20a21</v>
      </c>
      <c r="Q1806" s="4">
        <f ca="1">_xlfn.IFNA(VLOOKUP(INDIRECT("G"&amp;ROW()),minfo!$A:$M,COLUMN()-8,0),"")</f>
        <v>1296</v>
      </c>
      <c r="R1806" s="4">
        <f ca="1">_xlfn.IFNA(VLOOKUP(INDIRECT("G"&amp;ROW()),minfo!$A:$M,COLUMN()-8,0),"")</f>
        <v>0</v>
      </c>
      <c r="S1806" s="4" t="str">
        <f ca="1">_xlfn.IFNA(VLOOKUP(INDIRECT("G"&amp;ROW()),minfo!$A:$M,COLUMN()-8,0),"")</f>
        <v>路过人间</v>
      </c>
      <c r="T1806" s="4">
        <f ca="1">_xlfn.IFNA(VLOOKUP(INDIRECT("G"&amp;ROW()),minfo!$A:$M,COLUMN()-8,0),"")</f>
        <v>218547878</v>
      </c>
      <c r="U1806" s="4" t="str">
        <f ca="1">_xlfn.IFNA(VLOOKUP(INDIRECT("G"&amp;ROW()),minfo!$A:$M,COLUMN()-8,0),"")</f>
        <v>音乐榜最高NO.10</v>
      </c>
    </row>
    <row r="1807" spans="1:21" ht="15.75" customHeight="1">
      <c r="A1807" s="15">
        <v>1806</v>
      </c>
      <c r="D1807" s="4">
        <v>1</v>
      </c>
      <c r="E1807" s="4" t="s">
        <v>3267</v>
      </c>
      <c r="F1807" s="16">
        <v>45376</v>
      </c>
      <c r="G1807" s="5" t="s">
        <v>3266</v>
      </c>
      <c r="H1807" s="5" t="s">
        <v>5560</v>
      </c>
      <c r="I1807" s="24" t="str">
        <f>HYPERLINK("https://www.bilibili.com/video/BV1bj421d7Wj?p=1", "BV1bj421d7Wj?p=1")</f>
        <v>BV1bj421d7Wj?p=1</v>
      </c>
      <c r="J1807" s="4" t="str">
        <f ca="1">_xlfn.IFNA(VLOOKUP(INDIRECT("G"&amp;ROW()),minfo!$A:$M,COLUMN()-8,0),"")</f>
        <v>不枉</v>
      </c>
      <c r="K1807" s="4" t="str">
        <f ca="1">_xlfn.IFNA(VLOOKUP(INDIRECT("G"&amp;ROW()),minfo!$A:$M,COLUMN()-8,0),"")</f>
        <v>汪小敏</v>
      </c>
      <c r="L1807" s="4">
        <f ca="1">_xlfn.IFNA(VLOOKUP(INDIRECT("G"&amp;ROW()),minfo!$A:$M,COLUMN()-8,0),"")</f>
        <v>0</v>
      </c>
      <c r="M1807" s="4">
        <f ca="1">_xlfn.IFNA(VLOOKUP(INDIRECT("G"&amp;ROW()),minfo!$A:$M,COLUMN()-8,0),"")</f>
        <v>0</v>
      </c>
      <c r="N1807" s="4">
        <f ca="1">_xlfn.IFNA(VLOOKUP(INDIRECT("G"&amp;ROW()),minfo!$A:$M,COLUMN()-8,0),"")</f>
        <v>0</v>
      </c>
      <c r="O1807" s="4" t="str">
        <f ca="1">_xlfn.IFNA(VLOOKUP(INDIRECT("G"&amp;ROW()),minfo!$A:$M,COLUMN()-8,0),"")</f>
        <v>https://i0.hdslb.com/bfs/station_src/music_metadata/1233569afa400d8a6333bb974bba7447.jpg</v>
      </c>
      <c r="P1807" s="4">
        <f ca="1">_xlfn.IFNA(VLOOKUP(INDIRECT("G"&amp;ROW()),minfo!$A:$M,COLUMN()-8,0),"")</f>
        <v>0</v>
      </c>
      <c r="Q1807" s="4">
        <f ca="1">_xlfn.IFNA(VLOOKUP(INDIRECT("G"&amp;ROW()),minfo!$A:$M,COLUMN()-8,0),"")</f>
        <v>75</v>
      </c>
      <c r="R1807" s="4">
        <f ca="1">_xlfn.IFNA(VLOOKUP(INDIRECT("G"&amp;ROW()),minfo!$A:$M,COLUMN()-8,0),"")</f>
        <v>0</v>
      </c>
      <c r="S1807" s="4" t="str">
        <f ca="1">_xlfn.IFNA(VLOOKUP(INDIRECT("G"&amp;ROW()),minfo!$A:$M,COLUMN()-8,0),"")</f>
        <v>空</v>
      </c>
      <c r="T1807" s="4">
        <f ca="1">_xlfn.IFNA(VLOOKUP(INDIRECT("G"&amp;ROW()),minfo!$A:$M,COLUMN()-8,0),"")</f>
        <v>5523557</v>
      </c>
      <c r="U1807" s="4" t="str">
        <f ca="1">_xlfn.IFNA(VLOOKUP(INDIRECT("G"&amp;ROW()),minfo!$A:$M,COLUMN()-8,0),"")</f>
        <v>音乐榜最高NO.18</v>
      </c>
    </row>
    <row r="1808" spans="1:21" ht="15.75" customHeight="1">
      <c r="A1808" s="15">
        <v>1807</v>
      </c>
      <c r="D1808" s="4">
        <v>1</v>
      </c>
      <c r="E1808" s="4" t="s">
        <v>208</v>
      </c>
      <c r="F1808" s="16">
        <v>45376</v>
      </c>
      <c r="G1808" s="5" t="s">
        <v>207</v>
      </c>
      <c r="H1808" s="5" t="s">
        <v>5561</v>
      </c>
      <c r="I1808" s="24" t="str">
        <f>HYPERLINK("https://www.bilibili.com/video/BV13F4m1F7Kn?p=1", "BV13F4m1F7Kn?p=1")</f>
        <v>BV13F4m1F7Kn?p=1</v>
      </c>
      <c r="J1808" s="4" t="str">
        <f ca="1">_xlfn.IFNA(VLOOKUP(INDIRECT("G"&amp;ROW()),minfo!$A:$M,COLUMN()-8,0),"")</f>
        <v>九万字</v>
      </c>
      <c r="K1808" s="4" t="str">
        <f ca="1">_xlfn.IFNA(VLOOKUP(INDIRECT("G"&amp;ROW()),minfo!$A:$M,COLUMN()-8,0),"")</f>
        <v>黄诗扶</v>
      </c>
      <c r="L1808" s="4">
        <f ca="1">_xlfn.IFNA(VLOOKUP(INDIRECT("G"&amp;ROW()),minfo!$A:$M,COLUMN()-8,0),"")</f>
        <v>0</v>
      </c>
      <c r="M1808" s="4">
        <f ca="1">_xlfn.IFNA(VLOOKUP(INDIRECT("G"&amp;ROW()),minfo!$A:$M,COLUMN()-8,0),"")</f>
        <v>0</v>
      </c>
      <c r="N1808" s="4">
        <f ca="1">_xlfn.IFNA(VLOOKUP(INDIRECT("G"&amp;ROW()),minfo!$A:$M,COLUMN()-8,0),"")</f>
        <v>0</v>
      </c>
      <c r="O1808" s="4" t="str">
        <f ca="1">_xlfn.IFNA(VLOOKUP(INDIRECT("G"&amp;ROW()),minfo!$A:$M,COLUMN()-8,0),"")</f>
        <v>https://i0.hdslb.com/bfs/station_src/music_metadata/83a5f6d1f6977ede1ad685d90a46a593.jpg</v>
      </c>
      <c r="P1808" s="4" t="str">
        <f ca="1">_xlfn.IFNA(VLOOKUP(INDIRECT("G"&amp;ROW()),minfo!$A:$M,COLUMN()-8,0),"")</f>
        <v>http://i0.hdslb.com/bfs/station_src/music_metadata/98ec7b6623082ffe27055a48eaf15a9f</v>
      </c>
      <c r="Q1808" s="4">
        <f ca="1">_xlfn.IFNA(VLOOKUP(INDIRECT("G"&amp;ROW()),minfo!$A:$M,COLUMN()-8,0),"")</f>
        <v>1270</v>
      </c>
      <c r="R1808" s="4">
        <f ca="1">_xlfn.IFNA(VLOOKUP(INDIRECT("G"&amp;ROW()),minfo!$A:$M,COLUMN()-8,0),"")</f>
        <v>0</v>
      </c>
      <c r="S1808" s="4" t="str">
        <f ca="1">_xlfn.IFNA(VLOOKUP(INDIRECT("G"&amp;ROW()),minfo!$A:$M,COLUMN()-8,0),"")</f>
        <v>人间不值得</v>
      </c>
      <c r="T1808" s="4">
        <f ca="1">_xlfn.IFNA(VLOOKUP(INDIRECT("G"&amp;ROW()),minfo!$A:$M,COLUMN()-8,0),"")</f>
        <v>256686027</v>
      </c>
      <c r="U1808" s="4">
        <f ca="1">_xlfn.IFNA(VLOOKUP(INDIRECT("G"&amp;ROW()),minfo!$A:$M,COLUMN()-8,0),"")</f>
        <v>0</v>
      </c>
    </row>
    <row r="1809" spans="1:21" ht="15.75" customHeight="1">
      <c r="A1809" s="15">
        <v>1808</v>
      </c>
      <c r="D1809" s="4">
        <v>1</v>
      </c>
      <c r="E1809" s="4" t="s">
        <v>2617</v>
      </c>
      <c r="F1809" s="16">
        <v>45376</v>
      </c>
      <c r="G1809" s="5" t="s">
        <v>3287</v>
      </c>
      <c r="H1809" s="5" t="s">
        <v>5562</v>
      </c>
      <c r="I1809" s="24" t="str">
        <f>HYPERLINK("https://www.bilibili.com/video/BV1qC41187wF?p=1", "BV1qC41187wF?p=1")</f>
        <v>BV1qC41187wF?p=1</v>
      </c>
      <c r="J1809" s="4" t="str">
        <f ca="1">_xlfn.IFNA(VLOOKUP(INDIRECT("G"&amp;ROW()),minfo!$A:$M,COLUMN()-8,0),"")</f>
        <v>你</v>
      </c>
      <c r="K1809" s="4" t="str">
        <f ca="1">_xlfn.IFNA(VLOOKUP(INDIRECT("G"&amp;ROW()),minfo!$A:$M,COLUMN()-8,0),"")</f>
        <v>初月</v>
      </c>
      <c r="L1809" s="4">
        <f ca="1">_xlfn.IFNA(VLOOKUP(INDIRECT("G"&amp;ROW()),minfo!$A:$M,COLUMN()-8,0),"")</f>
        <v>0</v>
      </c>
      <c r="M1809" s="4">
        <f ca="1">_xlfn.IFNA(VLOOKUP(INDIRECT("G"&amp;ROW()),minfo!$A:$M,COLUMN()-8,0),"")</f>
        <v>0</v>
      </c>
      <c r="N1809" s="4">
        <f ca="1">_xlfn.IFNA(VLOOKUP(INDIRECT("G"&amp;ROW()),minfo!$A:$M,COLUMN()-8,0),"")</f>
        <v>0</v>
      </c>
      <c r="O1809" s="4" t="str">
        <f ca="1">_xlfn.IFNA(VLOOKUP(INDIRECT("G"&amp;ROW()),minfo!$A:$M,COLUMN()-8,0),"")</f>
        <v>https://i0.hdslb.com/bfs/station_src/music_metadata/5ed259f8c2532c7dc4e4646a7aa5a313.jpg</v>
      </c>
      <c r="P1809" s="4" t="str">
        <f ca="1">_xlfn.IFNA(VLOOKUP(INDIRECT("G"&amp;ROW()),minfo!$A:$M,COLUMN()-8,0),"")</f>
        <v>https://i0.hdslb.com/bfs/station_src/music_metadata/128ff037ee4299c3af0a84cd6e922fd4.txt</v>
      </c>
      <c r="Q1809" s="4">
        <f ca="1">_xlfn.IFNA(VLOOKUP(INDIRECT("G"&amp;ROW()),minfo!$A:$M,COLUMN()-8,0),"")</f>
        <v>3</v>
      </c>
      <c r="R1809" s="4">
        <f ca="1">_xlfn.IFNA(VLOOKUP(INDIRECT("G"&amp;ROW()),minfo!$A:$M,COLUMN()-8,0),"")</f>
        <v>0</v>
      </c>
      <c r="S1809" s="4" t="str">
        <f ca="1">_xlfn.IFNA(VLOOKUP(INDIRECT("G"&amp;ROW()),minfo!$A:$M,COLUMN()-8,0),"")</f>
        <v>2024年初月翻唱合集</v>
      </c>
      <c r="T1809" s="4">
        <f ca="1">_xlfn.IFNA(VLOOKUP(INDIRECT("G"&amp;ROW()),minfo!$A:$M,COLUMN()-8,0),"")</f>
        <v>1118229</v>
      </c>
      <c r="U1809" s="4">
        <f ca="1">_xlfn.IFNA(VLOOKUP(INDIRECT("G"&amp;ROW()),minfo!$A:$M,COLUMN()-8,0),"")</f>
        <v>0</v>
      </c>
    </row>
    <row r="1810" spans="1:21" ht="15.75" customHeight="1">
      <c r="A1810" s="15">
        <v>1809</v>
      </c>
      <c r="D1810" s="4">
        <v>1</v>
      </c>
      <c r="E1810" s="4" t="s">
        <v>3267</v>
      </c>
      <c r="F1810" s="16">
        <v>45378</v>
      </c>
      <c r="G1810" s="5" t="s">
        <v>3266</v>
      </c>
      <c r="H1810" s="5" t="s">
        <v>5563</v>
      </c>
      <c r="I1810" s="24" t="str">
        <f>HYPERLINK("https://www.bilibili.com/video/BV1B1421D7y9?p=1", "BV1B1421D7y9?p=1")</f>
        <v>BV1B1421D7y9?p=1</v>
      </c>
      <c r="J1810" s="4" t="str">
        <f ca="1">_xlfn.IFNA(VLOOKUP(INDIRECT("G"&amp;ROW()),minfo!$A:$M,COLUMN()-8,0),"")</f>
        <v>不枉</v>
      </c>
      <c r="K1810" s="4" t="str">
        <f ca="1">_xlfn.IFNA(VLOOKUP(INDIRECT("G"&amp;ROW()),minfo!$A:$M,COLUMN()-8,0),"")</f>
        <v>汪小敏</v>
      </c>
      <c r="L1810" s="4">
        <f ca="1">_xlfn.IFNA(VLOOKUP(INDIRECT("G"&amp;ROW()),minfo!$A:$M,COLUMN()-8,0),"")</f>
        <v>0</v>
      </c>
      <c r="M1810" s="4">
        <f ca="1">_xlfn.IFNA(VLOOKUP(INDIRECT("G"&amp;ROW()),minfo!$A:$M,COLUMN()-8,0),"")</f>
        <v>0</v>
      </c>
      <c r="N1810" s="4">
        <f ca="1">_xlfn.IFNA(VLOOKUP(INDIRECT("G"&amp;ROW()),minfo!$A:$M,COLUMN()-8,0),"")</f>
        <v>0</v>
      </c>
      <c r="O1810" s="4" t="str">
        <f ca="1">_xlfn.IFNA(VLOOKUP(INDIRECT("G"&amp;ROW()),minfo!$A:$M,COLUMN()-8,0),"")</f>
        <v>https://i0.hdslb.com/bfs/station_src/music_metadata/1233569afa400d8a6333bb974bba7447.jpg</v>
      </c>
      <c r="P1810" s="4">
        <f ca="1">_xlfn.IFNA(VLOOKUP(INDIRECT("G"&amp;ROW()),minfo!$A:$M,COLUMN()-8,0),"")</f>
        <v>0</v>
      </c>
      <c r="Q1810" s="4">
        <f ca="1">_xlfn.IFNA(VLOOKUP(INDIRECT("G"&amp;ROW()),minfo!$A:$M,COLUMN()-8,0),"")</f>
        <v>75</v>
      </c>
      <c r="R1810" s="4">
        <f ca="1">_xlfn.IFNA(VLOOKUP(INDIRECT("G"&amp;ROW()),minfo!$A:$M,COLUMN()-8,0),"")</f>
        <v>0</v>
      </c>
      <c r="S1810" s="4" t="str">
        <f ca="1">_xlfn.IFNA(VLOOKUP(INDIRECT("G"&amp;ROW()),minfo!$A:$M,COLUMN()-8,0),"")</f>
        <v>空</v>
      </c>
      <c r="T1810" s="4">
        <f ca="1">_xlfn.IFNA(VLOOKUP(INDIRECT("G"&amp;ROW()),minfo!$A:$M,COLUMN()-8,0),"")</f>
        <v>5523557</v>
      </c>
      <c r="U1810" s="4" t="str">
        <f ca="1">_xlfn.IFNA(VLOOKUP(INDIRECT("G"&amp;ROW()),minfo!$A:$M,COLUMN()-8,0),"")</f>
        <v>音乐榜最高NO.18</v>
      </c>
    </row>
    <row r="1811" spans="1:21" ht="15.75" customHeight="1">
      <c r="A1811" s="15">
        <v>1810</v>
      </c>
      <c r="D1811" s="4">
        <v>1</v>
      </c>
      <c r="E1811" s="4" t="s">
        <v>820</v>
      </c>
      <c r="F1811" s="16">
        <v>45378</v>
      </c>
      <c r="G1811" s="5" t="s">
        <v>819</v>
      </c>
      <c r="H1811" s="5" t="s">
        <v>5565</v>
      </c>
      <c r="I1811" s="24" t="str">
        <f>HYPERLINK("https://www.bilibili.com/video/BV1zx4y1m7qh?p=1", "BV1zx4y1m7qh?p=1")</f>
        <v>BV1zx4y1m7qh?p=1</v>
      </c>
      <c r="J1811" s="4" t="str">
        <f ca="1">_xlfn.IFNA(VLOOKUP(INDIRECT("G"&amp;ROW()),minfo!$A:$M,COLUMN()-8,0),"")</f>
        <v>桃花诺</v>
      </c>
      <c r="K1811" s="4" t="str">
        <f ca="1">_xlfn.IFNA(VLOOKUP(INDIRECT("G"&amp;ROW()),minfo!$A:$M,COLUMN()-8,0),"")</f>
        <v>G.E.M.邓紫棋</v>
      </c>
      <c r="L1811" s="4">
        <f ca="1">_xlfn.IFNA(VLOOKUP(INDIRECT("G"&amp;ROW()),minfo!$A:$M,COLUMN()-8,0),"")</f>
        <v>0</v>
      </c>
      <c r="M1811" s="4">
        <f ca="1">_xlfn.IFNA(VLOOKUP(INDIRECT("G"&amp;ROW()),minfo!$A:$M,COLUMN()-8,0),"")</f>
        <v>0</v>
      </c>
      <c r="N1811" s="4">
        <f ca="1">_xlfn.IFNA(VLOOKUP(INDIRECT("G"&amp;ROW()),minfo!$A:$M,COLUMN()-8,0),"")</f>
        <v>0</v>
      </c>
      <c r="O1811" s="4" t="str">
        <f ca="1">_xlfn.IFNA(VLOOKUP(INDIRECT("G"&amp;ROW()),minfo!$A:$M,COLUMN()-8,0),"")</f>
        <v>https://i0.hdslb.com/bfs/station_src/music_metadata/6bae981f8da9ae3dbca588bcb85bcd39.jpg</v>
      </c>
      <c r="P1811" s="4" t="str">
        <f ca="1">_xlfn.IFNA(VLOOKUP(INDIRECT("G"&amp;ROW()),minfo!$A:$M,COLUMN()-8,0),"")</f>
        <v>http://i0.hdslb.com/bfs/station_src/music_metadata/6b3b9bf58de18a94decf4fedf7355d72</v>
      </c>
      <c r="Q1811" s="4">
        <f ca="1">_xlfn.IFNA(VLOOKUP(INDIRECT("G"&amp;ROW()),minfo!$A:$M,COLUMN()-8,0),"")</f>
        <v>3108</v>
      </c>
      <c r="R1811" s="4" t="str">
        <f ca="1">_xlfn.IFNA(VLOOKUP(INDIRECT("G"&amp;ROW()),minfo!$A:$M,COLUMN()-8,0),"")</f>
        <v>《上古情歌》电视剧片尾曲</v>
      </c>
      <c r="S1811" s="4" t="str">
        <f ca="1">_xlfn.IFNA(VLOOKUP(INDIRECT("G"&amp;ROW()),minfo!$A:$M,COLUMN()-8,0),"")</f>
        <v>上古情歌 电视剧原声带</v>
      </c>
      <c r="T1811" s="4">
        <f ca="1">_xlfn.IFNA(VLOOKUP(INDIRECT("G"&amp;ROW()),minfo!$A:$M,COLUMN()-8,0),"")</f>
        <v>860841206</v>
      </c>
      <c r="U1811" s="4" t="str">
        <f ca="1">_xlfn.IFNA(VLOOKUP(INDIRECT("G"&amp;ROW()),minfo!$A:$M,COLUMN()-8,0),"")</f>
        <v>音乐榜最高NO.12</v>
      </c>
    </row>
    <row r="1812" spans="1:21" ht="15.75" customHeight="1">
      <c r="A1812" s="15">
        <v>1811</v>
      </c>
      <c r="D1812" s="4">
        <v>1</v>
      </c>
      <c r="E1812" s="4" t="s">
        <v>3283</v>
      </c>
      <c r="F1812" s="16">
        <v>45380</v>
      </c>
      <c r="G1812" s="5" t="s">
        <v>3282</v>
      </c>
      <c r="H1812" s="5" t="s">
        <v>5566</v>
      </c>
      <c r="I1812" s="24" t="str">
        <f>HYPERLINK("https://www.bilibili.com/video/BV1Hj421978W?p=1", "BV1Hj421978W?p=1")</f>
        <v>BV1Hj421978W?p=1</v>
      </c>
      <c r="J1812" s="4" t="str">
        <f ca="1">_xlfn.IFNA(VLOOKUP(INDIRECT("G"&amp;ROW()),minfo!$A:$M,COLUMN()-8,0),"")</f>
        <v>一口/The Day You Left Me</v>
      </c>
      <c r="K1812" s="4" t="str">
        <f ca="1">_xlfn.IFNA(VLOOKUP(INDIRECT("G"&amp;ROW()),minfo!$A:$M,COLUMN()-8,0),"")</f>
        <v>丁世光</v>
      </c>
      <c r="L1812" s="4">
        <f ca="1">_xlfn.IFNA(VLOOKUP(INDIRECT("G"&amp;ROW()),minfo!$A:$M,COLUMN()-8,0),"")</f>
        <v>0</v>
      </c>
      <c r="M1812" s="4">
        <f ca="1">_xlfn.IFNA(VLOOKUP(INDIRECT("G"&amp;ROW()),minfo!$A:$M,COLUMN()-8,0),"")</f>
        <v>0</v>
      </c>
      <c r="N1812" s="4">
        <f ca="1">_xlfn.IFNA(VLOOKUP(INDIRECT("G"&amp;ROW()),minfo!$A:$M,COLUMN()-8,0),"")</f>
        <v>0</v>
      </c>
      <c r="O1812" s="4" t="str">
        <f ca="1">_xlfn.IFNA(VLOOKUP(INDIRECT("G"&amp;ROW()),minfo!$A:$M,COLUMN()-8,0),"")</f>
        <v>https://i0.hdslb.com/bfs/station_src/music_metadata/a4040845e6d9e8a7da6a60d3ce684d07.jpg</v>
      </c>
      <c r="P1812" s="4" t="str">
        <f ca="1">_xlfn.IFNA(VLOOKUP(INDIRECT("G"&amp;ROW()),minfo!$A:$M,COLUMN()-8,0),"")</f>
        <v>https://i0.hdslb.com/bfs/station_src/music_metadata/258b225484f0eb628284386c5b79753a.txt</v>
      </c>
      <c r="Q1812" s="4">
        <f ca="1">_xlfn.IFNA(VLOOKUP(INDIRECT("G"&amp;ROW()),minfo!$A:$M,COLUMN()-8,0),"")</f>
        <v>1</v>
      </c>
      <c r="R1812" s="4">
        <f ca="1">_xlfn.IFNA(VLOOKUP(INDIRECT("G"&amp;ROW()),minfo!$A:$M,COLUMN()-8,0),"")</f>
        <v>0</v>
      </c>
      <c r="S1812" s="4" t="str">
        <f ca="1">_xlfn.IFNA(VLOOKUP(INDIRECT("G"&amp;ROW()),minfo!$A:$M,COLUMN()-8,0),"")</f>
        <v>神经志</v>
      </c>
      <c r="T1812" s="4">
        <f ca="1">_xlfn.IFNA(VLOOKUP(INDIRECT("G"&amp;ROW()),minfo!$A:$M,COLUMN()-8,0),"")</f>
        <v>67588</v>
      </c>
      <c r="U1812" s="4">
        <f ca="1">_xlfn.IFNA(VLOOKUP(INDIRECT("G"&amp;ROW()),minfo!$A:$M,COLUMN()-8,0),"")</f>
        <v>0</v>
      </c>
    </row>
    <row r="1813" spans="1:21" ht="15.75" customHeight="1">
      <c r="A1813" s="15">
        <v>1812</v>
      </c>
      <c r="D1813" s="4">
        <v>1</v>
      </c>
      <c r="E1813" s="4" t="s">
        <v>3234</v>
      </c>
      <c r="F1813" s="16">
        <v>45380</v>
      </c>
      <c r="G1813" s="5" t="s">
        <v>3234</v>
      </c>
      <c r="H1813" s="5" t="s">
        <v>5567</v>
      </c>
      <c r="I1813" s="24" t="str">
        <f>HYPERLINK("https://www.bilibili.com/video/BV1zp42117gu?p=1", "BV1zp42117gu?p=1")</f>
        <v>BV1zp42117gu?p=1</v>
      </c>
      <c r="J1813" s="4" t="str">
        <f ca="1">_xlfn.IFNA(VLOOKUP(INDIRECT("G"&amp;ROW()),minfo!$A:$M,COLUMN()-8,0),"")</f>
        <v>散尽飞花</v>
      </c>
      <c r="K1813" s="4" t="str">
        <f ca="1">_xlfn.IFNA(VLOOKUP(INDIRECT("G"&amp;ROW()),minfo!$A:$M,COLUMN()-8,0),"")</f>
        <v>艾梨尔Ariel</v>
      </c>
      <c r="L1813" s="4" t="str">
        <f ca="1">_xlfn.IFNA(VLOOKUP(INDIRECT("G"&amp;ROW()),minfo!$A:$M,COLUMN()-8,0),"")</f>
        <v>BV1rK421C7pc</v>
      </c>
      <c r="M1813" s="4">
        <f ca="1">_xlfn.IFNA(VLOOKUP(INDIRECT("G"&amp;ROW()),minfo!$A:$M,COLUMN()-8,0),"")</f>
        <v>0</v>
      </c>
      <c r="N1813" s="4">
        <f ca="1">_xlfn.IFNA(VLOOKUP(INDIRECT("G"&amp;ROW()),minfo!$A:$M,COLUMN()-8,0),"")</f>
        <v>0</v>
      </c>
      <c r="O1813" s="4">
        <f ca="1">_xlfn.IFNA(VLOOKUP(INDIRECT("G"&amp;ROW()),minfo!$A:$M,COLUMN()-8,0),"")</f>
        <v>0</v>
      </c>
      <c r="P1813" s="4">
        <f ca="1">_xlfn.IFNA(VLOOKUP(INDIRECT("G"&amp;ROW()),minfo!$A:$M,COLUMN()-8,0),"")</f>
        <v>0</v>
      </c>
      <c r="Q1813" s="4">
        <f ca="1">_xlfn.IFNA(VLOOKUP(INDIRECT("G"&amp;ROW()),minfo!$A:$M,COLUMN()-8,0),"")</f>
        <v>0</v>
      </c>
      <c r="R1813" s="4">
        <f ca="1">_xlfn.IFNA(VLOOKUP(INDIRECT("G"&amp;ROW()),minfo!$A:$M,COLUMN()-8,0),"")</f>
        <v>0</v>
      </c>
      <c r="S1813" s="4">
        <f ca="1">_xlfn.IFNA(VLOOKUP(INDIRECT("G"&amp;ROW()),minfo!$A:$M,COLUMN()-8,0),"")</f>
        <v>0</v>
      </c>
      <c r="T1813" s="4">
        <f ca="1">_xlfn.IFNA(VLOOKUP(INDIRECT("G"&amp;ROW()),minfo!$A:$M,COLUMN()-8,0),"")</f>
        <v>0</v>
      </c>
      <c r="U1813" s="4">
        <f ca="1">_xlfn.IFNA(VLOOKUP(INDIRECT("G"&amp;ROW()),minfo!$A:$M,COLUMN()-8,0),"")</f>
        <v>0</v>
      </c>
    </row>
    <row r="1814" spans="1:21" ht="15.75" customHeight="1">
      <c r="A1814" s="15">
        <v>1813</v>
      </c>
      <c r="D1814" s="4">
        <v>2</v>
      </c>
      <c r="E1814" s="4" t="s">
        <v>3234</v>
      </c>
      <c r="F1814" s="16">
        <v>45380</v>
      </c>
      <c r="G1814" s="5" t="s">
        <v>3234</v>
      </c>
      <c r="H1814" s="5" t="s">
        <v>5567</v>
      </c>
      <c r="I1814" s="24" t="str">
        <f>HYPERLINK("https://www.bilibili.com/video/BV1zp42117gu?p=2", "BV1zp42117gu?p=2")</f>
        <v>BV1zp42117gu?p=2</v>
      </c>
      <c r="J1814" s="4" t="str">
        <f ca="1">_xlfn.IFNA(VLOOKUP(INDIRECT("G"&amp;ROW()),minfo!$A:$M,COLUMN()-8,0),"")</f>
        <v>散尽飞花</v>
      </c>
      <c r="K1814" s="4" t="str">
        <f ca="1">_xlfn.IFNA(VLOOKUP(INDIRECT("G"&amp;ROW()),minfo!$A:$M,COLUMN()-8,0),"")</f>
        <v>艾梨尔Ariel</v>
      </c>
      <c r="L1814" s="4" t="str">
        <f ca="1">_xlfn.IFNA(VLOOKUP(INDIRECT("G"&amp;ROW()),minfo!$A:$M,COLUMN()-8,0),"")</f>
        <v>BV1rK421C7pc</v>
      </c>
      <c r="M1814" s="4">
        <f ca="1">_xlfn.IFNA(VLOOKUP(INDIRECT("G"&amp;ROW()),minfo!$A:$M,COLUMN()-8,0),"")</f>
        <v>0</v>
      </c>
      <c r="N1814" s="4">
        <f ca="1">_xlfn.IFNA(VLOOKUP(INDIRECT("G"&amp;ROW()),minfo!$A:$M,COLUMN()-8,0),"")</f>
        <v>0</v>
      </c>
      <c r="O1814" s="4">
        <f ca="1">_xlfn.IFNA(VLOOKUP(INDIRECT("G"&amp;ROW()),minfo!$A:$M,COLUMN()-8,0),"")</f>
        <v>0</v>
      </c>
      <c r="P1814" s="4">
        <f ca="1">_xlfn.IFNA(VLOOKUP(INDIRECT("G"&amp;ROW()),minfo!$A:$M,COLUMN()-8,0),"")</f>
        <v>0</v>
      </c>
      <c r="Q1814" s="4">
        <f ca="1">_xlfn.IFNA(VLOOKUP(INDIRECT("G"&amp;ROW()),minfo!$A:$M,COLUMN()-8,0),"")</f>
        <v>0</v>
      </c>
      <c r="R1814" s="4">
        <f ca="1">_xlfn.IFNA(VLOOKUP(INDIRECT("G"&amp;ROW()),minfo!$A:$M,COLUMN()-8,0),"")</f>
        <v>0</v>
      </c>
      <c r="S1814" s="4">
        <f ca="1">_xlfn.IFNA(VLOOKUP(INDIRECT("G"&amp;ROW()),minfo!$A:$M,COLUMN()-8,0),"")</f>
        <v>0</v>
      </c>
      <c r="T1814" s="4">
        <f ca="1">_xlfn.IFNA(VLOOKUP(INDIRECT("G"&amp;ROW()),minfo!$A:$M,COLUMN()-8,0),"")</f>
        <v>0</v>
      </c>
      <c r="U1814" s="4">
        <f ca="1">_xlfn.IFNA(VLOOKUP(INDIRECT("G"&amp;ROW()),minfo!$A:$M,COLUMN()-8,0),"")</f>
        <v>0</v>
      </c>
    </row>
    <row r="1815" spans="1:21" ht="15.75" customHeight="1">
      <c r="A1815" s="15">
        <v>1814</v>
      </c>
      <c r="D1815" s="4">
        <v>1</v>
      </c>
      <c r="E1815" s="4" t="s">
        <v>1722</v>
      </c>
      <c r="F1815" s="16">
        <v>45380</v>
      </c>
      <c r="G1815" s="5" t="s">
        <v>1721</v>
      </c>
      <c r="H1815" s="5" t="s">
        <v>5568</v>
      </c>
      <c r="I1815" s="24" t="str">
        <f>HYPERLINK("https://www.bilibili.com/video/BV1up421173Z?p=1", "BV1up421173Z?p=1")</f>
        <v>BV1up421173Z?p=1</v>
      </c>
      <c r="J1815" s="4" t="str">
        <f ca="1">_xlfn.IFNA(VLOOKUP(INDIRECT("G"&amp;ROW()),minfo!$A:$M,COLUMN()-8,0),"")</f>
        <v>红色高跟鞋</v>
      </c>
      <c r="K1815" s="4" t="str">
        <f ca="1">_xlfn.IFNA(VLOOKUP(INDIRECT("G"&amp;ROW()),minfo!$A:$M,COLUMN()-8,0),"")</f>
        <v>蔡健雅</v>
      </c>
      <c r="L1815" s="4">
        <f ca="1">_xlfn.IFNA(VLOOKUP(INDIRECT("G"&amp;ROW()),minfo!$A:$M,COLUMN()-8,0),"")</f>
        <v>0</v>
      </c>
      <c r="M1815" s="4">
        <f ca="1">_xlfn.IFNA(VLOOKUP(INDIRECT("G"&amp;ROW()),minfo!$A:$M,COLUMN()-8,0),"")</f>
        <v>508</v>
      </c>
      <c r="N1815" s="4">
        <f ca="1">_xlfn.IFNA(VLOOKUP(INDIRECT("G"&amp;ROW()),minfo!$A:$M,COLUMN()-8,0),"")</f>
        <v>63</v>
      </c>
      <c r="O1815" s="4" t="str">
        <f ca="1">_xlfn.IFNA(VLOOKUP(INDIRECT("G"&amp;ROW()),minfo!$A:$M,COLUMN()-8,0),"")</f>
        <v>https://i0.hdslb.com/bfs/station_src/music_metadata/2753cd4dea9c633ae63f18c3595d4d4f.jpg</v>
      </c>
      <c r="P1815" s="4" t="str">
        <f ca="1">_xlfn.IFNA(VLOOKUP(INDIRECT("G"&amp;ROW()),minfo!$A:$M,COLUMN()-8,0),"")</f>
        <v>http://i0.hdslb.com/bfs/station_src/music_metadata/b37a04cb80e78f80d4ff0e1e02023ef4</v>
      </c>
      <c r="Q1815" s="4">
        <f ca="1">_xlfn.IFNA(VLOOKUP(INDIRECT("G"&amp;ROW()),minfo!$A:$M,COLUMN()-8,0),"")</f>
        <v>2348</v>
      </c>
      <c r="R1815" s="4" t="str">
        <f ca="1">_xlfn.IFNA(VLOOKUP(INDIRECT("G"&amp;ROW()),minfo!$A:$M,COLUMN()-8,0),"")</f>
        <v>《爱情左右》电影主题曲</v>
      </c>
      <c r="S1815" s="4" t="str">
        <f ca="1">_xlfn.IFNA(VLOOKUP(INDIRECT("G"&amp;ROW()),minfo!$A:$M,COLUMN()-8,0),"")</f>
        <v>若你碰到他</v>
      </c>
      <c r="T1815" s="4">
        <f ca="1">_xlfn.IFNA(VLOOKUP(INDIRECT("G"&amp;ROW()),minfo!$A:$M,COLUMN()-8,0),"")</f>
        <v>1361006319</v>
      </c>
      <c r="U1815" s="4" t="str">
        <f ca="1">_xlfn.IFNA(VLOOKUP(INDIRECT("G"&amp;ROW()),minfo!$A:$M,COLUMN()-8,0),"")</f>
        <v>音乐榜最高NO.12</v>
      </c>
    </row>
    <row r="1816" spans="1:21" ht="15.75" customHeight="1">
      <c r="A1816" s="15">
        <v>1815</v>
      </c>
      <c r="D1816" s="4">
        <v>1</v>
      </c>
      <c r="E1816" s="4" t="s">
        <v>904</v>
      </c>
      <c r="F1816" s="16">
        <v>45381</v>
      </c>
      <c r="G1816" s="5" t="s">
        <v>903</v>
      </c>
      <c r="H1816" s="5" t="s">
        <v>5569</v>
      </c>
      <c r="I1816" s="24" t="str">
        <f>HYPERLINK("https://www.bilibili.com/video/BV1mt421g7cj?p=1", "BV1mt421g7cj?p=1")</f>
        <v>BV1mt421g7cj?p=1</v>
      </c>
      <c r="J1816" s="4" t="str">
        <f ca="1">_xlfn.IFNA(VLOOKUP(INDIRECT("G"&amp;ROW()),minfo!$A:$M,COLUMN()-8,0),"")</f>
        <v>轨迹</v>
      </c>
      <c r="K1816" s="4" t="str">
        <f ca="1">_xlfn.IFNA(VLOOKUP(INDIRECT("G"&amp;ROW()),minfo!$A:$M,COLUMN()-8,0),"")</f>
        <v>周杰伦</v>
      </c>
      <c r="L1816" s="4">
        <f ca="1">_xlfn.IFNA(VLOOKUP(INDIRECT("G"&amp;ROW()),minfo!$A:$M,COLUMN()-8,0),"")</f>
        <v>0</v>
      </c>
      <c r="M1816" s="4">
        <f ca="1">_xlfn.IFNA(VLOOKUP(INDIRECT("G"&amp;ROW()),minfo!$A:$M,COLUMN()-8,0),"")</f>
        <v>0</v>
      </c>
      <c r="N1816" s="4">
        <f ca="1">_xlfn.IFNA(VLOOKUP(INDIRECT("G"&amp;ROW()),minfo!$A:$M,COLUMN()-8,0),"")</f>
        <v>0</v>
      </c>
      <c r="O1816" s="4" t="str">
        <f ca="1">_xlfn.IFNA(VLOOKUP(INDIRECT("G"&amp;ROW()),minfo!$A:$M,COLUMN()-8,0),"")</f>
        <v>https://i0.hdslb.com/bfs/station_src/music_metadata/439418765b962c30a2db33196128f32b.jpg</v>
      </c>
      <c r="P1816" s="4" t="str">
        <f ca="1">_xlfn.IFNA(VLOOKUP(INDIRECT("G"&amp;ROW()),minfo!$A:$M,COLUMN()-8,0),"")</f>
        <v>copyright-crawler/music/task-lyric/6267f46a504b4c0665fd7bfd.txt</v>
      </c>
      <c r="Q1816" s="4">
        <f ca="1">_xlfn.IFNA(VLOOKUP(INDIRECT("G"&amp;ROW()),minfo!$A:$M,COLUMN()-8,0),"")</f>
        <v>2850</v>
      </c>
      <c r="R1816" s="4" t="str">
        <f ca="1">_xlfn.IFNA(VLOOKUP(INDIRECT("G"&amp;ROW()),minfo!$A:$M,COLUMN()-8,0),"")</f>
        <v>轨迹</v>
      </c>
      <c r="S1816" s="4" t="str">
        <f ca="1">_xlfn.IFNA(VLOOKUP(INDIRECT("G"&amp;ROW()),minfo!$A:$M,COLUMN()-8,0),"")</f>
        <v>寻找周杰伦</v>
      </c>
      <c r="T1816" s="4">
        <f ca="1">_xlfn.IFNA(VLOOKUP(INDIRECT("G"&amp;ROW()),minfo!$A:$M,COLUMN()-8,0),"")</f>
        <v>416774055</v>
      </c>
      <c r="U1816" s="4">
        <f ca="1">_xlfn.IFNA(VLOOKUP(INDIRECT("G"&amp;ROW()),minfo!$A:$M,COLUMN()-8,0),"")</f>
        <v>0</v>
      </c>
    </row>
    <row r="1817" spans="1:21" ht="15.75" customHeight="1">
      <c r="A1817" s="15">
        <v>1816</v>
      </c>
      <c r="D1817" s="4">
        <v>1</v>
      </c>
      <c r="E1817" s="4" t="s">
        <v>1098</v>
      </c>
      <c r="F1817" s="16">
        <v>45382</v>
      </c>
      <c r="G1817" s="5" t="s">
        <v>1097</v>
      </c>
      <c r="H1817" s="5" t="s">
        <v>5571</v>
      </c>
      <c r="I1817" s="24" t="str">
        <f>HYPERLINK("https://www.bilibili.com/video/BV1jD421j7Nw?p=1", "BV1jD421j7Nw?p=1")</f>
        <v>BV1jD421j7Nw?p=1</v>
      </c>
      <c r="J1817" s="4" t="str">
        <f ca="1">_xlfn.IFNA(VLOOKUP(INDIRECT("G"&amp;ROW()),minfo!$A:$M,COLUMN()-8,0),"")</f>
        <v>你听得到</v>
      </c>
      <c r="K1817" s="4" t="str">
        <f ca="1">_xlfn.IFNA(VLOOKUP(INDIRECT("G"&amp;ROW()),minfo!$A:$M,COLUMN()-8,0),"")</f>
        <v>周杰伦</v>
      </c>
      <c r="L1817" s="4">
        <f ca="1">_xlfn.IFNA(VLOOKUP(INDIRECT("G"&amp;ROW()),minfo!$A:$M,COLUMN()-8,0),"")</f>
        <v>0</v>
      </c>
      <c r="M1817" s="4">
        <f ca="1">_xlfn.IFNA(VLOOKUP(INDIRECT("G"&amp;ROW()),minfo!$A:$M,COLUMN()-8,0),"")</f>
        <v>0</v>
      </c>
      <c r="N1817" s="4">
        <f ca="1">_xlfn.IFNA(VLOOKUP(INDIRECT("G"&amp;ROW()),minfo!$A:$M,COLUMN()-8,0),"")</f>
        <v>0</v>
      </c>
      <c r="O1817" s="4" t="str">
        <f ca="1">_xlfn.IFNA(VLOOKUP(INDIRECT("G"&amp;ROW()),minfo!$A:$M,COLUMN()-8,0),"")</f>
        <v>https://i0.hdslb.com/bfs/station_src/music_metadata/29e28424e7d2a4c37f7b84cd0b8b18ba.jpg</v>
      </c>
      <c r="P1817" s="4" t="str">
        <f ca="1">_xlfn.IFNA(VLOOKUP(INDIRECT("G"&amp;ROW()),minfo!$A:$M,COLUMN()-8,0),"")</f>
        <v>copyright-crawler/music/task-lyric/62682789504b4c0665226751.txt</v>
      </c>
      <c r="Q1817" s="4">
        <f ca="1">_xlfn.IFNA(VLOOKUP(INDIRECT("G"&amp;ROW()),minfo!$A:$M,COLUMN()-8,0),"")</f>
        <v>2198</v>
      </c>
      <c r="R1817" s="4" t="str">
        <f ca="1">_xlfn.IFNA(VLOOKUP(INDIRECT("G"&amp;ROW()),minfo!$A:$M,COLUMN()-8,0),"")</f>
        <v>你听得到</v>
      </c>
      <c r="S1817" s="4" t="str">
        <f ca="1">_xlfn.IFNA(VLOOKUP(INDIRECT("G"&amp;ROW()),minfo!$A:$M,COLUMN()-8,0),"")</f>
        <v>叶惠美</v>
      </c>
      <c r="T1817" s="4">
        <f ca="1">_xlfn.IFNA(VLOOKUP(INDIRECT("G"&amp;ROW()),minfo!$A:$M,COLUMN()-8,0),"")</f>
        <v>280199234</v>
      </c>
      <c r="U1817" s="4">
        <f ca="1">_xlfn.IFNA(VLOOKUP(INDIRECT("G"&amp;ROW()),minfo!$A:$M,COLUMN()-8,0),"")</f>
        <v>0</v>
      </c>
    </row>
    <row r="1818" spans="1:21" ht="15.75" customHeight="1">
      <c r="A1818" s="15">
        <v>1817</v>
      </c>
      <c r="D1818" s="4">
        <v>1</v>
      </c>
      <c r="E1818" s="4" t="s">
        <v>3059</v>
      </c>
      <c r="F1818" s="16">
        <v>45383</v>
      </c>
      <c r="G1818" s="5" t="s">
        <v>3058</v>
      </c>
      <c r="H1818" s="5" t="s">
        <v>5572</v>
      </c>
      <c r="I1818" s="24" t="str">
        <f>HYPERLINK("https://www.bilibili.com/video/BV1qf421o7pM?p=1", "BV1qf421o7pM?p=1")</f>
        <v>BV1qf421o7pM?p=1</v>
      </c>
      <c r="J1818" s="4" t="str">
        <f ca="1">_xlfn.IFNA(VLOOKUP(INDIRECT("G"&amp;ROW()),minfo!$A:$M,COLUMN()-8,0),"")</f>
        <v>沙滩</v>
      </c>
      <c r="K1818" s="4" t="str">
        <f ca="1">_xlfn.IFNA(VLOOKUP(INDIRECT("G"&amp;ROW()),minfo!$A:$M,COLUMN()-8,0),"")</f>
        <v>陶喆</v>
      </c>
      <c r="L1818" s="4">
        <f ca="1">_xlfn.IFNA(VLOOKUP(INDIRECT("G"&amp;ROW()),minfo!$A:$M,COLUMN()-8,0),"")</f>
        <v>0</v>
      </c>
      <c r="M1818" s="4">
        <f ca="1">_xlfn.IFNA(VLOOKUP(INDIRECT("G"&amp;ROW()),minfo!$A:$M,COLUMN()-8,0),"")</f>
        <v>0</v>
      </c>
      <c r="N1818" s="4">
        <f ca="1">_xlfn.IFNA(VLOOKUP(INDIRECT("G"&amp;ROW()),minfo!$A:$M,COLUMN()-8,0),"")</f>
        <v>0</v>
      </c>
      <c r="O1818" s="4" t="str">
        <f ca="1">_xlfn.IFNA(VLOOKUP(INDIRECT("G"&amp;ROW()),minfo!$A:$M,COLUMN()-8,0),"")</f>
        <v>https://i0.hdslb.com/bfs/station_src/music_metadata/440274ee1a80226c82a45d51431b9c27.jpg</v>
      </c>
      <c r="P1818" s="4" t="str">
        <f ca="1">_xlfn.IFNA(VLOOKUP(INDIRECT("G"&amp;ROW()),minfo!$A:$M,COLUMN()-8,0),"")</f>
        <v>http://i0.hdslb.com/bfs/station_src/music_metadata/80071fead604c315d08e5a67145c0351</v>
      </c>
      <c r="Q1818" s="4">
        <f ca="1">_xlfn.IFNA(VLOOKUP(INDIRECT("G"&amp;ROW()),minfo!$A:$M,COLUMN()-8,0),"")</f>
        <v>190</v>
      </c>
      <c r="R1818" s="4">
        <f ca="1">_xlfn.IFNA(VLOOKUP(INDIRECT("G"&amp;ROW()),minfo!$A:$M,COLUMN()-8,0),"")</f>
        <v>0</v>
      </c>
      <c r="S1818" s="4" t="str">
        <f ca="1">_xlfn.IFNA(VLOOKUP(INDIRECT("G"&amp;ROW()),minfo!$A:$M,COLUMN()-8,0),"")</f>
        <v>陶喆同名专辑</v>
      </c>
      <c r="T1818" s="4">
        <f ca="1">_xlfn.IFNA(VLOOKUP(INDIRECT("G"&amp;ROW()),minfo!$A:$M,COLUMN()-8,0),"")</f>
        <v>25846315</v>
      </c>
      <c r="U1818" s="4">
        <f ca="1">_xlfn.IFNA(VLOOKUP(INDIRECT("G"&amp;ROW()),minfo!$A:$M,COLUMN()-8,0),"")</f>
        <v>0</v>
      </c>
    </row>
    <row r="1819" spans="1:21" ht="15.75" customHeight="1">
      <c r="A1819" s="15">
        <v>1818</v>
      </c>
      <c r="D1819" s="4">
        <v>1</v>
      </c>
      <c r="E1819" s="4" t="s">
        <v>536</v>
      </c>
      <c r="F1819" s="16">
        <v>45383</v>
      </c>
      <c r="G1819" s="5" t="s">
        <v>535</v>
      </c>
      <c r="H1819" s="5" t="s">
        <v>5573</v>
      </c>
      <c r="I1819" s="24" t="str">
        <f>HYPERLINK("https://www.bilibili.com/video/BV19A4m1A7Ta?p=1", "BV19A4m1A7Ta?p=1")</f>
        <v>BV19A4m1A7Ta?p=1</v>
      </c>
      <c r="J1819" s="4" t="str">
        <f ca="1">_xlfn.IFNA(VLOOKUP(INDIRECT("G"&amp;ROW()),minfo!$A:$M,COLUMN()-8,0),"")</f>
        <v>红颜如霜</v>
      </c>
      <c r="K1819" s="4" t="str">
        <f ca="1">_xlfn.IFNA(VLOOKUP(INDIRECT("G"&amp;ROW()),minfo!$A:$M,COLUMN()-8,0),"")</f>
        <v>周杰伦</v>
      </c>
      <c r="L1819" s="4">
        <f ca="1">_xlfn.IFNA(VLOOKUP(INDIRECT("G"&amp;ROW()),minfo!$A:$M,COLUMN()-8,0),"")</f>
        <v>0</v>
      </c>
      <c r="M1819" s="4">
        <f ca="1">_xlfn.IFNA(VLOOKUP(INDIRECT("G"&amp;ROW()),minfo!$A:$M,COLUMN()-8,0),"")</f>
        <v>179425</v>
      </c>
      <c r="N1819" s="4">
        <f ca="1">_xlfn.IFNA(VLOOKUP(INDIRECT("G"&amp;ROW()),minfo!$A:$M,COLUMN()-8,0),"")</f>
        <v>61254</v>
      </c>
      <c r="O1819" s="4" t="str">
        <f ca="1">_xlfn.IFNA(VLOOKUP(INDIRECT("G"&amp;ROW()),minfo!$A:$M,COLUMN()-8,0),"")</f>
        <v>https://i0.hdslb.com/bfs/station_src/music_metadata/b0bbef33041121e4c8107f9d82ff0e60.jpg</v>
      </c>
      <c r="P1819" s="4">
        <f ca="1">_xlfn.IFNA(VLOOKUP(INDIRECT("G"&amp;ROW()),minfo!$A:$M,COLUMN()-8,0),"")</f>
        <v>0</v>
      </c>
      <c r="Q1819" s="4">
        <f ca="1">_xlfn.IFNA(VLOOKUP(INDIRECT("G"&amp;ROW()),minfo!$A:$M,COLUMN()-8,0),"")</f>
        <v>17510</v>
      </c>
      <c r="R1819" s="4">
        <f ca="1">_xlfn.IFNA(VLOOKUP(INDIRECT("G"&amp;ROW()),minfo!$A:$M,COLUMN()-8,0),"")</f>
        <v>0</v>
      </c>
      <c r="S1819" s="4" t="str">
        <f ca="1">_xlfn.IFNA(VLOOKUP(INDIRECT("G"&amp;ROW()),minfo!$A:$M,COLUMN()-8,0),"")</f>
        <v>最伟大的作品</v>
      </c>
      <c r="T1819" s="4">
        <f ca="1">_xlfn.IFNA(VLOOKUP(INDIRECT("G"&amp;ROW()),minfo!$A:$M,COLUMN()-8,0),"")</f>
        <v>237302125</v>
      </c>
      <c r="U1819" s="4" t="str">
        <f ca="1">_xlfn.IFNA(VLOOKUP(INDIRECT("G"&amp;ROW()),minfo!$A:$M,COLUMN()-8,0),"")</f>
        <v>音乐榜最高NO.2</v>
      </c>
    </row>
    <row r="1820" spans="1:21" ht="15.75" customHeight="1">
      <c r="A1820" s="15">
        <v>1819</v>
      </c>
      <c r="D1820" s="4">
        <v>1</v>
      </c>
      <c r="E1820" s="4" t="s">
        <v>693</v>
      </c>
      <c r="F1820" s="16">
        <v>45383</v>
      </c>
      <c r="G1820" s="5" t="s">
        <v>692</v>
      </c>
      <c r="H1820" s="5" t="s">
        <v>5574</v>
      </c>
      <c r="I1820" s="24" t="str">
        <f>HYPERLINK("https://www.bilibili.com/video/BV1fZ421q7MN?p=1", "BV1fZ421q7MN?p=1")</f>
        <v>BV1fZ421q7MN?p=1</v>
      </c>
      <c r="J1820" s="4" t="str">
        <f ca="1">_xlfn.IFNA(VLOOKUP(INDIRECT("G"&amp;ROW()),minfo!$A:$M,COLUMN()-8,0),"")</f>
        <v>爱情悬崖</v>
      </c>
      <c r="K1820" s="4" t="str">
        <f ca="1">_xlfn.IFNA(VLOOKUP(INDIRECT("G"&amp;ROW()),minfo!$A:$M,COLUMN()-8,0),"")</f>
        <v>周杰伦</v>
      </c>
      <c r="L1820" s="4">
        <f ca="1">_xlfn.IFNA(VLOOKUP(INDIRECT("G"&amp;ROW()),minfo!$A:$M,COLUMN()-8,0),"")</f>
        <v>0</v>
      </c>
      <c r="M1820" s="4">
        <f ca="1">_xlfn.IFNA(VLOOKUP(INDIRECT("G"&amp;ROW()),minfo!$A:$M,COLUMN()-8,0),"")</f>
        <v>0</v>
      </c>
      <c r="N1820" s="4">
        <f ca="1">_xlfn.IFNA(VLOOKUP(INDIRECT("G"&amp;ROW()),minfo!$A:$M,COLUMN()-8,0),"")</f>
        <v>0</v>
      </c>
      <c r="O1820" s="4" t="str">
        <f ca="1">_xlfn.IFNA(VLOOKUP(INDIRECT("G"&amp;ROW()),minfo!$A:$M,COLUMN()-8,0),"")</f>
        <v>https://i0.hdslb.com/bfs/station_src/music_metadata/09deb9d4f4775eb43172424de93829e1.jpg</v>
      </c>
      <c r="P1820" s="4">
        <f ca="1">_xlfn.IFNA(VLOOKUP(INDIRECT("G"&amp;ROW()),minfo!$A:$M,COLUMN()-8,0),"")</f>
        <v>0</v>
      </c>
      <c r="Q1820" s="4">
        <f ca="1">_xlfn.IFNA(VLOOKUP(INDIRECT("G"&amp;ROW()),minfo!$A:$M,COLUMN()-8,0),"")</f>
        <v>265</v>
      </c>
      <c r="R1820" s="4">
        <f ca="1">_xlfn.IFNA(VLOOKUP(INDIRECT("G"&amp;ROW()),minfo!$A:$M,COLUMN()-8,0),"")</f>
        <v>0</v>
      </c>
      <c r="S1820" s="4" t="str">
        <f ca="1">_xlfn.IFNA(VLOOKUP(INDIRECT("G"&amp;ROW()),minfo!$A:$M,COLUMN()-8,0),"")</f>
        <v>叶惠美</v>
      </c>
      <c r="T1820" s="4">
        <f ca="1">_xlfn.IFNA(VLOOKUP(INDIRECT("G"&amp;ROW()),minfo!$A:$M,COLUMN()-8,0),"")</f>
        <v>186750231</v>
      </c>
      <c r="U1820" s="4">
        <f ca="1">_xlfn.IFNA(VLOOKUP(INDIRECT("G"&amp;ROW()),minfo!$A:$M,COLUMN()-8,0),"")</f>
        <v>0</v>
      </c>
    </row>
    <row r="1821" spans="1:21" ht="15.75" customHeight="1">
      <c r="A1821" s="15">
        <v>1820</v>
      </c>
      <c r="D1821" s="4">
        <v>1</v>
      </c>
      <c r="E1821" s="4" t="s">
        <v>3267</v>
      </c>
      <c r="F1821" s="16">
        <v>45383</v>
      </c>
      <c r="G1821" s="5" t="s">
        <v>3266</v>
      </c>
      <c r="H1821" s="5" t="s">
        <v>5575</v>
      </c>
      <c r="I1821" s="24" t="str">
        <f>HYPERLINK("https://www.bilibili.com/video/BV1Pf421Z7zT?p=1", "BV1Pf421Z7zT?p=1")</f>
        <v>BV1Pf421Z7zT?p=1</v>
      </c>
      <c r="J1821" s="4" t="str">
        <f ca="1">_xlfn.IFNA(VLOOKUP(INDIRECT("G"&amp;ROW()),minfo!$A:$M,COLUMN()-8,0),"")</f>
        <v>不枉</v>
      </c>
      <c r="K1821" s="4" t="str">
        <f ca="1">_xlfn.IFNA(VLOOKUP(INDIRECT("G"&amp;ROW()),minfo!$A:$M,COLUMN()-8,0),"")</f>
        <v>汪小敏</v>
      </c>
      <c r="L1821" s="4">
        <f ca="1">_xlfn.IFNA(VLOOKUP(INDIRECT("G"&amp;ROW()),minfo!$A:$M,COLUMN()-8,0),"")</f>
        <v>0</v>
      </c>
      <c r="M1821" s="4">
        <f ca="1">_xlfn.IFNA(VLOOKUP(INDIRECT("G"&amp;ROW()),minfo!$A:$M,COLUMN()-8,0),"")</f>
        <v>0</v>
      </c>
      <c r="N1821" s="4">
        <f ca="1">_xlfn.IFNA(VLOOKUP(INDIRECT("G"&amp;ROW()),minfo!$A:$M,COLUMN()-8,0),"")</f>
        <v>0</v>
      </c>
      <c r="O1821" s="4" t="str">
        <f ca="1">_xlfn.IFNA(VLOOKUP(INDIRECT("G"&amp;ROW()),minfo!$A:$M,COLUMN()-8,0),"")</f>
        <v>https://i0.hdslb.com/bfs/station_src/music_metadata/1233569afa400d8a6333bb974bba7447.jpg</v>
      </c>
      <c r="P1821" s="4">
        <f ca="1">_xlfn.IFNA(VLOOKUP(INDIRECT("G"&amp;ROW()),minfo!$A:$M,COLUMN()-8,0),"")</f>
        <v>0</v>
      </c>
      <c r="Q1821" s="4">
        <f ca="1">_xlfn.IFNA(VLOOKUP(INDIRECT("G"&amp;ROW()),minfo!$A:$M,COLUMN()-8,0),"")</f>
        <v>75</v>
      </c>
      <c r="R1821" s="4">
        <f ca="1">_xlfn.IFNA(VLOOKUP(INDIRECT("G"&amp;ROW()),minfo!$A:$M,COLUMN()-8,0),"")</f>
        <v>0</v>
      </c>
      <c r="S1821" s="4" t="str">
        <f ca="1">_xlfn.IFNA(VLOOKUP(INDIRECT("G"&amp;ROW()),minfo!$A:$M,COLUMN()-8,0),"")</f>
        <v>空</v>
      </c>
      <c r="T1821" s="4">
        <f ca="1">_xlfn.IFNA(VLOOKUP(INDIRECT("G"&amp;ROW()),minfo!$A:$M,COLUMN()-8,0),"")</f>
        <v>5523557</v>
      </c>
      <c r="U1821" s="4" t="str">
        <f ca="1">_xlfn.IFNA(VLOOKUP(INDIRECT("G"&amp;ROW()),minfo!$A:$M,COLUMN()-8,0),"")</f>
        <v>音乐榜最高NO.18</v>
      </c>
    </row>
    <row r="1822" spans="1:21" ht="15.75" customHeight="1">
      <c r="A1822" s="15">
        <v>1821</v>
      </c>
      <c r="D1822" s="4">
        <v>1</v>
      </c>
      <c r="E1822" s="4" t="s">
        <v>2375</v>
      </c>
      <c r="F1822" s="16">
        <v>45385</v>
      </c>
      <c r="G1822" s="5" t="s">
        <v>2374</v>
      </c>
      <c r="H1822" s="5" t="s">
        <v>5576</v>
      </c>
      <c r="I1822" s="24" t="str">
        <f>HYPERLINK("https://www.bilibili.com/video/BV1ir42147qa?p=1", "BV1ir42147qa?p=1")</f>
        <v>BV1ir42147qa?p=1</v>
      </c>
      <c r="J1822" s="4" t="str">
        <f ca="1">_xlfn.IFNA(VLOOKUP(INDIRECT("G"&amp;ROW()),minfo!$A:$M,COLUMN()-8,0),"")</f>
        <v>那年夏天宁静的海</v>
      </c>
      <c r="K1822" s="4" t="str">
        <f ca="1">_xlfn.IFNA(VLOOKUP(INDIRECT("G"&amp;ROW()),minfo!$A:$M,COLUMN()-8,0),"")</f>
        <v>王心凌</v>
      </c>
      <c r="L1822" s="4">
        <f ca="1">_xlfn.IFNA(VLOOKUP(INDIRECT("G"&amp;ROW()),minfo!$A:$M,COLUMN()-8,0),"")</f>
        <v>0</v>
      </c>
      <c r="M1822" s="4">
        <f ca="1">_xlfn.IFNA(VLOOKUP(INDIRECT("G"&amp;ROW()),minfo!$A:$M,COLUMN()-8,0),"")</f>
        <v>11</v>
      </c>
      <c r="N1822" s="4">
        <f ca="1">_xlfn.IFNA(VLOOKUP(INDIRECT("G"&amp;ROW()),minfo!$A:$M,COLUMN()-8,0),"")</f>
        <v>3</v>
      </c>
      <c r="O1822" s="4" t="str">
        <f ca="1">_xlfn.IFNA(VLOOKUP(INDIRECT("G"&amp;ROW()),minfo!$A:$M,COLUMN()-8,0),"")</f>
        <v>https://i0.hdslb.com/bfs/station_src/music_metadata/08f5cfe3aeebd61a373ab5fe0b7ca72e.jpg</v>
      </c>
      <c r="P1822" s="4" t="str">
        <f ca="1">_xlfn.IFNA(VLOOKUP(INDIRECT("G"&amp;ROW()),minfo!$A:$M,COLUMN()-8,0),"")</f>
        <v>http://i0.hdslb.com/bfs/station_src/music_metadata/9772e8ba809b3fbd6ee51d206ab6e5b7</v>
      </c>
      <c r="Q1822" s="4">
        <f ca="1">_xlfn.IFNA(VLOOKUP(INDIRECT("G"&amp;ROW()),minfo!$A:$M,COLUMN()-8,0),"")</f>
        <v>328</v>
      </c>
      <c r="R1822" s="4">
        <f ca="1">_xlfn.IFNA(VLOOKUP(INDIRECT("G"&amp;ROW()),minfo!$A:$M,COLUMN()-8,0),"")</f>
        <v>0</v>
      </c>
      <c r="S1822" s="4" t="str">
        <f ca="1">_xlfn.IFNA(VLOOKUP(INDIRECT("G"&amp;ROW()),minfo!$A:$M,COLUMN()-8,0),"")</f>
        <v>Magic Cyndi</v>
      </c>
      <c r="T1822" s="4">
        <f ca="1">_xlfn.IFNA(VLOOKUP(INDIRECT("G"&amp;ROW()),minfo!$A:$M,COLUMN()-8,0),"")</f>
        <v>26340486</v>
      </c>
      <c r="U1822" s="4" t="str">
        <f ca="1">_xlfn.IFNA(VLOOKUP(INDIRECT("G"&amp;ROW()),minfo!$A:$M,COLUMN()-8,0),"")</f>
        <v>音乐榜最高NO.15</v>
      </c>
    </row>
    <row r="1823" spans="1:21" ht="15.75" customHeight="1">
      <c r="A1823" s="15">
        <v>1822</v>
      </c>
      <c r="D1823" s="4">
        <v>1</v>
      </c>
      <c r="E1823" s="4" t="s">
        <v>1226</v>
      </c>
      <c r="F1823" s="16">
        <v>45385</v>
      </c>
      <c r="G1823" s="5" t="s">
        <v>1225</v>
      </c>
      <c r="H1823" s="5" t="s">
        <v>5577</v>
      </c>
      <c r="I1823" s="24" t="str">
        <f>HYPERLINK("https://www.bilibili.com/video/BV1zq421w7Si?p=1", "BV1zq421w7Si?p=1")</f>
        <v>BV1zq421w7Si?p=1</v>
      </c>
      <c r="J1823" s="4" t="str">
        <f ca="1">_xlfn.IFNA(VLOOKUP(INDIRECT("G"&amp;ROW()),minfo!$A:$M,COLUMN()-8,0),"")</f>
        <v>你不知道的事</v>
      </c>
      <c r="K1823" s="4" t="str">
        <f ca="1">_xlfn.IFNA(VLOOKUP(INDIRECT("G"&amp;ROW()),minfo!$A:$M,COLUMN()-8,0),"")</f>
        <v>王力宏</v>
      </c>
      <c r="L1823" s="4">
        <f ca="1">_xlfn.IFNA(VLOOKUP(INDIRECT("G"&amp;ROW()),minfo!$A:$M,COLUMN()-8,0),"")</f>
        <v>0</v>
      </c>
      <c r="M1823" s="4">
        <f ca="1">_xlfn.IFNA(VLOOKUP(INDIRECT("G"&amp;ROW()),minfo!$A:$M,COLUMN()-8,0),"")</f>
        <v>547</v>
      </c>
      <c r="N1823" s="4">
        <f ca="1">_xlfn.IFNA(VLOOKUP(INDIRECT("G"&amp;ROW()),minfo!$A:$M,COLUMN()-8,0),"")</f>
        <v>47</v>
      </c>
      <c r="O1823" s="4" t="str">
        <f ca="1">_xlfn.IFNA(VLOOKUP(INDIRECT("G"&amp;ROW()),minfo!$A:$M,COLUMN()-8,0),"")</f>
        <v>http://i1.hdslb.com/bfs/archive/d601f75e582fef1ea0319e5334def584fa16659b.jpg</v>
      </c>
      <c r="P1823" s="4">
        <f ca="1">_xlfn.IFNA(VLOOKUP(INDIRECT("G"&amp;ROW()),minfo!$A:$M,COLUMN()-8,0),"")</f>
        <v>0</v>
      </c>
      <c r="Q1823" s="4">
        <f ca="1">_xlfn.IFNA(VLOOKUP(INDIRECT("G"&amp;ROW()),minfo!$A:$M,COLUMN()-8,0),"")</f>
        <v>157</v>
      </c>
      <c r="R1823" s="4" t="str">
        <f ca="1">_xlfn.IFNA(VLOOKUP(INDIRECT("G"&amp;ROW()),minfo!$A:$M,COLUMN()-8,0),"")</f>
        <v>你不知道的事</v>
      </c>
      <c r="S1823" s="4">
        <f ca="1">_xlfn.IFNA(VLOOKUP(INDIRECT("G"&amp;ROW()),minfo!$A:$M,COLUMN()-8,0),"")</f>
        <v>0</v>
      </c>
      <c r="T1823" s="4">
        <f ca="1">_xlfn.IFNA(VLOOKUP(INDIRECT("G"&amp;ROW()),minfo!$A:$M,COLUMN()-8,0),"")</f>
        <v>96065912</v>
      </c>
      <c r="U1823" s="4">
        <f ca="1">_xlfn.IFNA(VLOOKUP(INDIRECT("G"&amp;ROW()),minfo!$A:$M,COLUMN()-8,0),"")</f>
        <v>0</v>
      </c>
    </row>
    <row r="1824" spans="1:21" ht="15.75" customHeight="1">
      <c r="A1824" s="15">
        <v>1823</v>
      </c>
      <c r="D1824" s="4">
        <v>1</v>
      </c>
      <c r="E1824" s="4" t="s">
        <v>899</v>
      </c>
      <c r="F1824" s="16">
        <v>45385</v>
      </c>
      <c r="G1824" s="5" t="s">
        <v>898</v>
      </c>
      <c r="H1824" s="5" t="s">
        <v>5578</v>
      </c>
      <c r="I1824" s="24" t="str">
        <f>HYPERLINK("https://www.bilibili.com/video/BV1RD42157ka?p=1", "BV1RD42157ka?p=1")</f>
        <v>BV1RD42157ka?p=1</v>
      </c>
      <c r="J1824" s="4" t="str">
        <f ca="1">_xlfn.IFNA(VLOOKUP(INDIRECT("G"&amp;ROW()),minfo!$A:$M,COLUMN()-8,0),"")</f>
        <v>愿望</v>
      </c>
      <c r="K1824" s="4" t="str">
        <f ca="1">_xlfn.IFNA(VLOOKUP(INDIRECT("G"&amp;ROW()),minfo!$A:$M,COLUMN()-8,0),"")</f>
        <v>胡彦斌</v>
      </c>
      <c r="L1824" s="4">
        <f ca="1">_xlfn.IFNA(VLOOKUP(INDIRECT("G"&amp;ROW()),minfo!$A:$M,COLUMN()-8,0),"")</f>
        <v>0</v>
      </c>
      <c r="M1824" s="4">
        <f ca="1">_xlfn.IFNA(VLOOKUP(INDIRECT("G"&amp;ROW()),minfo!$A:$M,COLUMN()-8,0),"")</f>
        <v>0</v>
      </c>
      <c r="N1824" s="4">
        <f ca="1">_xlfn.IFNA(VLOOKUP(INDIRECT("G"&amp;ROW()),minfo!$A:$M,COLUMN()-8,0),"")</f>
        <v>0</v>
      </c>
      <c r="O1824" s="4" t="str">
        <f ca="1">_xlfn.IFNA(VLOOKUP(INDIRECT("G"&amp;ROW()),minfo!$A:$M,COLUMN()-8,0),"")</f>
        <v>https://i0.hdslb.com/bfs/station_src/music_metadata/b26472ef388f52098eeaa5b929c63c0e.jpg</v>
      </c>
      <c r="P1824" s="4" t="str">
        <f ca="1">_xlfn.IFNA(VLOOKUP(INDIRECT("G"&amp;ROW()),minfo!$A:$M,COLUMN()-8,0),"")</f>
        <v>https://i0.hdslb.com/bfs/station_src/music_metadata/13ce2c549e261cc0452296fc6dad7bf8.txt</v>
      </c>
      <c r="Q1824" s="4">
        <f ca="1">_xlfn.IFNA(VLOOKUP(INDIRECT("G"&amp;ROW()),minfo!$A:$M,COLUMN()-8,0),"")</f>
        <v>8</v>
      </c>
      <c r="R1824" s="4">
        <f ca="1">_xlfn.IFNA(VLOOKUP(INDIRECT("G"&amp;ROW()),minfo!$A:$M,COLUMN()-8,0),"")</f>
        <v>0</v>
      </c>
      <c r="S1824" s="4" t="str">
        <f ca="1">_xlfn.IFNA(VLOOKUP(INDIRECT("G"&amp;ROW()),minfo!$A:$M,COLUMN()-8,0),"")</f>
        <v>音乐密码</v>
      </c>
      <c r="T1824" s="4">
        <f ca="1">_xlfn.IFNA(VLOOKUP(INDIRECT("G"&amp;ROW()),minfo!$A:$M,COLUMN()-8,0),"")</f>
        <v>3422991</v>
      </c>
      <c r="U1824" s="4">
        <f ca="1">_xlfn.IFNA(VLOOKUP(INDIRECT("G"&amp;ROW()),minfo!$A:$M,COLUMN()-8,0),"")</f>
        <v>0</v>
      </c>
    </row>
    <row r="1825" spans="1:21" ht="15.75" customHeight="1">
      <c r="A1825" s="15">
        <v>1824</v>
      </c>
      <c r="D1825" s="4">
        <v>1</v>
      </c>
      <c r="E1825" s="4" t="s">
        <v>2380</v>
      </c>
      <c r="F1825" s="16">
        <v>45385</v>
      </c>
      <c r="G1825" s="5" t="s">
        <v>2379</v>
      </c>
      <c r="H1825" s="5" t="s">
        <v>5579</v>
      </c>
      <c r="I1825" s="24" t="str">
        <f>HYPERLINK("https://www.bilibili.com/video/BV12m421E7ZA?p=1", "BV12m421E7ZA?p=1")</f>
        <v>BV12m421E7ZA?p=1</v>
      </c>
      <c r="J1825" s="4" t="str">
        <f ca="1">_xlfn.IFNA(VLOOKUP(INDIRECT("G"&amp;ROW()),minfo!$A:$M,COLUMN()-8,0),"")</f>
        <v>睫毛弯弯</v>
      </c>
      <c r="K1825" s="4" t="str">
        <f ca="1">_xlfn.IFNA(VLOOKUP(INDIRECT("G"&amp;ROW()),minfo!$A:$M,COLUMN()-8,0),"")</f>
        <v>王心凌</v>
      </c>
      <c r="L1825" s="4">
        <f ca="1">_xlfn.IFNA(VLOOKUP(INDIRECT("G"&amp;ROW()),minfo!$A:$M,COLUMN()-8,0),"")</f>
        <v>0</v>
      </c>
      <c r="M1825" s="4">
        <f ca="1">_xlfn.IFNA(VLOOKUP(INDIRECT("G"&amp;ROW()),minfo!$A:$M,COLUMN()-8,0),"")</f>
        <v>13</v>
      </c>
      <c r="N1825" s="4">
        <f ca="1">_xlfn.IFNA(VLOOKUP(INDIRECT("G"&amp;ROW()),minfo!$A:$M,COLUMN()-8,0),"")</f>
        <v>0</v>
      </c>
      <c r="O1825" s="4" t="str">
        <f ca="1">_xlfn.IFNA(VLOOKUP(INDIRECT("G"&amp;ROW()),minfo!$A:$M,COLUMN()-8,0),"")</f>
        <v>https://i0.hdslb.com/bfs/station_src/music_metadata/f282f16131a4a3cd0453b0933b476080.jpg</v>
      </c>
      <c r="P1825" s="4" t="str">
        <f ca="1">_xlfn.IFNA(VLOOKUP(INDIRECT("G"&amp;ROW()),minfo!$A:$M,COLUMN()-8,0),"")</f>
        <v>http://i0.hdslb.com/bfs/station_src/music_metadata/398e2c49752ba00f849406667ec212b6</v>
      </c>
      <c r="Q1825" s="4">
        <f ca="1">_xlfn.IFNA(VLOOKUP(INDIRECT("G"&amp;ROW()),minfo!$A:$M,COLUMN()-8,0),"")</f>
        <v>1272</v>
      </c>
      <c r="R1825" s="4">
        <f ca="1">_xlfn.IFNA(VLOOKUP(INDIRECT("G"&amp;ROW()),minfo!$A:$M,COLUMN()-8,0),"")</f>
        <v>0</v>
      </c>
      <c r="S1825" s="4" t="str">
        <f ca="1">_xlfn.IFNA(VLOOKUP(INDIRECT("G"&amp;ROW()),minfo!$A:$M,COLUMN()-8,0),"")</f>
        <v>Cyndi With U</v>
      </c>
      <c r="T1825" s="4">
        <f ca="1">_xlfn.IFNA(VLOOKUP(INDIRECT("G"&amp;ROW()),minfo!$A:$M,COLUMN()-8,0),"")</f>
        <v>168084644</v>
      </c>
      <c r="U1825" s="4">
        <f ca="1">_xlfn.IFNA(VLOOKUP(INDIRECT("G"&amp;ROW()),minfo!$A:$M,COLUMN()-8,0),"")</f>
        <v>0</v>
      </c>
    </row>
    <row r="1826" spans="1:21" ht="15.75" customHeight="1">
      <c r="A1826" s="15">
        <v>1825</v>
      </c>
      <c r="D1826" s="4">
        <v>1</v>
      </c>
      <c r="E1826" s="4" t="s">
        <v>720</v>
      </c>
      <c r="F1826" s="16">
        <v>45385</v>
      </c>
      <c r="G1826" s="5" t="s">
        <v>719</v>
      </c>
      <c r="H1826" s="5" t="s">
        <v>5580</v>
      </c>
      <c r="I1826" s="24" t="str">
        <f>HYPERLINK("https://www.bilibili.com/video/BV1tq421w7Xr?p=1", "BV1tq421w7Xr?p=1")</f>
        <v>BV1tq421w7Xr?p=1</v>
      </c>
      <c r="J1826" s="4" t="str">
        <f ca="1">_xlfn.IFNA(VLOOKUP(INDIRECT("G"&amp;ROW()),minfo!$A:$M,COLUMN()-8,0),"")</f>
        <v>落叶归根</v>
      </c>
      <c r="K1826" s="4" t="str">
        <f ca="1">_xlfn.IFNA(VLOOKUP(INDIRECT("G"&amp;ROW()),minfo!$A:$M,COLUMN()-8,0),"")</f>
        <v>王力宏</v>
      </c>
      <c r="L1826" s="4">
        <f ca="1">_xlfn.IFNA(VLOOKUP(INDIRECT("G"&amp;ROW()),minfo!$A:$M,COLUMN()-8,0),"")</f>
        <v>0</v>
      </c>
      <c r="M1826" s="4">
        <f ca="1">_xlfn.IFNA(VLOOKUP(INDIRECT("G"&amp;ROW()),minfo!$A:$M,COLUMN()-8,0),"")</f>
        <v>3387</v>
      </c>
      <c r="N1826" s="4">
        <f ca="1">_xlfn.IFNA(VLOOKUP(INDIRECT("G"&amp;ROW()),minfo!$A:$M,COLUMN()-8,0),"")</f>
        <v>845</v>
      </c>
      <c r="O1826" s="4" t="str">
        <f ca="1">_xlfn.IFNA(VLOOKUP(INDIRECT("G"&amp;ROW()),minfo!$A:$M,COLUMN()-8,0),"")</f>
        <v>https://i0.hdslb.com/bfs/station_src/music_metadata/a8ffd1d411d13153eb4745f7b32606c9.jpg</v>
      </c>
      <c r="P1826" s="4" t="str">
        <f ca="1">_xlfn.IFNA(VLOOKUP(INDIRECT("G"&amp;ROW()),minfo!$A:$M,COLUMN()-8,0),"")</f>
        <v>https://i0.hdslb.com/bfs/station_src/music_metadata/bcd960f324898e0e42f392683fa178ba.txt</v>
      </c>
      <c r="Q1826" s="4">
        <f ca="1">_xlfn.IFNA(VLOOKUP(INDIRECT("G"&amp;ROW()),minfo!$A:$M,COLUMN()-8,0),"")</f>
        <v>60</v>
      </c>
      <c r="R1826" s="4">
        <f ca="1">_xlfn.IFNA(VLOOKUP(INDIRECT("G"&amp;ROW()),minfo!$A:$M,COLUMN()-8,0),"")</f>
        <v>0</v>
      </c>
      <c r="S1826" s="4" t="str">
        <f ca="1">_xlfn.IFNA(VLOOKUP(INDIRECT("G"&amp;ROW()),minfo!$A:$M,COLUMN()-8,0),"")</f>
        <v>改变自己</v>
      </c>
      <c r="T1826" s="4">
        <f ca="1">_xlfn.IFNA(VLOOKUP(INDIRECT("G"&amp;ROW()),minfo!$A:$M,COLUMN()-8,0),"")</f>
        <v>41008288</v>
      </c>
      <c r="U1826" s="4">
        <f ca="1">_xlfn.IFNA(VLOOKUP(INDIRECT("G"&amp;ROW()),minfo!$A:$M,COLUMN()-8,0),"")</f>
        <v>0</v>
      </c>
    </row>
    <row r="1827" spans="1:21" ht="15.75" customHeight="1">
      <c r="A1827" s="15">
        <v>1826</v>
      </c>
      <c r="D1827" s="4">
        <v>1</v>
      </c>
      <c r="E1827" s="4" t="s">
        <v>2391</v>
      </c>
      <c r="F1827" s="16">
        <v>45385</v>
      </c>
      <c r="G1827" s="5" t="s">
        <v>2390</v>
      </c>
      <c r="H1827" s="5" t="s">
        <v>5581</v>
      </c>
      <c r="I1827" s="24" t="str">
        <f>HYPERLINK("https://www.bilibili.com/video/BV1Tr421t7Yo?p=1", "BV1Tr421t7Yo?p=1")</f>
        <v>BV1Tr421t7Yo?p=1</v>
      </c>
      <c r="J1827" s="4" t="str">
        <f ca="1">_xlfn.IFNA(VLOOKUP(INDIRECT("G"&amp;ROW()),minfo!$A:$M,COLUMN()-8,0),"")</f>
        <v>彩虹的微笑</v>
      </c>
      <c r="K1827" s="4" t="str">
        <f ca="1">_xlfn.IFNA(VLOOKUP(INDIRECT("G"&amp;ROW()),minfo!$A:$M,COLUMN()-8,0),"")</f>
        <v>王心凌</v>
      </c>
      <c r="L1827" s="4">
        <f ca="1">_xlfn.IFNA(VLOOKUP(INDIRECT("G"&amp;ROW()),minfo!$A:$M,COLUMN()-8,0),"")</f>
        <v>0</v>
      </c>
      <c r="M1827" s="4">
        <f ca="1">_xlfn.IFNA(VLOOKUP(INDIRECT("G"&amp;ROW()),minfo!$A:$M,COLUMN()-8,0),"")</f>
        <v>10</v>
      </c>
      <c r="N1827" s="4">
        <f ca="1">_xlfn.IFNA(VLOOKUP(INDIRECT("G"&amp;ROW()),minfo!$A:$M,COLUMN()-8,0),"")</f>
        <v>6</v>
      </c>
      <c r="O1827" s="4" t="str">
        <f ca="1">_xlfn.IFNA(VLOOKUP(INDIRECT("G"&amp;ROW()),minfo!$A:$M,COLUMN()-8,0),"")</f>
        <v>https://i0.hdslb.com/bfs/station_src/music_metadata/e2f712b24496057883352c307eaa6d07.jpg</v>
      </c>
      <c r="P1827" s="4" t="str">
        <f ca="1">_xlfn.IFNA(VLOOKUP(INDIRECT("G"&amp;ROW()),minfo!$A:$M,COLUMN()-8,0),"")</f>
        <v>http://i0.hdslb.com/bfs/station_src/music_metadata/24071bac099eff32a21bc154cfb83a51</v>
      </c>
      <c r="Q1827" s="4">
        <f ca="1">_xlfn.IFNA(VLOOKUP(INDIRECT("G"&amp;ROW()),minfo!$A:$M,COLUMN()-8,0),"")</f>
        <v>680</v>
      </c>
      <c r="R1827" s="4">
        <f ca="1">_xlfn.IFNA(VLOOKUP(INDIRECT("G"&amp;ROW()),minfo!$A:$M,COLUMN()-8,0),"")</f>
        <v>0</v>
      </c>
      <c r="S1827" s="4" t="str">
        <f ca="1">_xlfn.IFNA(VLOOKUP(INDIRECT("G"&amp;ROW()),minfo!$A:$M,COLUMN()-8,0),"")</f>
        <v>My! Cyndi!</v>
      </c>
      <c r="T1827" s="4">
        <f ca="1">_xlfn.IFNA(VLOOKUP(INDIRECT("G"&amp;ROW()),minfo!$A:$M,COLUMN()-8,0),"")</f>
        <v>184836616</v>
      </c>
      <c r="U1827" s="4" t="str">
        <f ca="1">_xlfn.IFNA(VLOOKUP(INDIRECT("G"&amp;ROW()),minfo!$A:$M,COLUMN()-8,0),"")</f>
        <v>音乐榜最高NO.11</v>
      </c>
    </row>
    <row r="1828" spans="1:21" ht="15.75" customHeight="1">
      <c r="A1828" s="15">
        <v>1827</v>
      </c>
      <c r="D1828" s="4">
        <v>1</v>
      </c>
      <c r="E1828" s="4" t="s">
        <v>2368</v>
      </c>
      <c r="F1828" s="16">
        <v>45385</v>
      </c>
      <c r="G1828" s="5" t="s">
        <v>2694</v>
      </c>
      <c r="H1828" s="5" t="s">
        <v>5582</v>
      </c>
      <c r="I1828" s="24" t="str">
        <f>HYPERLINK("https://www.bilibili.com/video/BV1Jx4y1v7fS?p=1", "BV1Jx4y1v7fS?p=1")</f>
        <v>BV1Jx4y1v7fS?p=1</v>
      </c>
      <c r="J1828" s="4" t="str">
        <f ca="1">_xlfn.IFNA(VLOOKUP(INDIRECT("G"&amp;ROW()),minfo!$A:$M,COLUMN()-8,0),"")</f>
        <v>爱你</v>
      </c>
      <c r="K1828" s="4" t="str">
        <f ca="1">_xlfn.IFNA(VLOOKUP(INDIRECT("G"&amp;ROW()),minfo!$A:$M,COLUMN()-8,0),"")</f>
        <v>王心凌</v>
      </c>
      <c r="L1828" s="4">
        <f ca="1">_xlfn.IFNA(VLOOKUP(INDIRECT("G"&amp;ROW()),minfo!$A:$M,COLUMN()-8,0),"")</f>
        <v>0</v>
      </c>
      <c r="M1828" s="4">
        <f ca="1">_xlfn.IFNA(VLOOKUP(INDIRECT("G"&amp;ROW()),minfo!$A:$M,COLUMN()-8,0),"")</f>
        <v>35</v>
      </c>
      <c r="N1828" s="4">
        <f ca="1">_xlfn.IFNA(VLOOKUP(INDIRECT("G"&amp;ROW()),minfo!$A:$M,COLUMN()-8,0),"")</f>
        <v>29</v>
      </c>
      <c r="O1828" s="4" t="str">
        <f ca="1">_xlfn.IFNA(VLOOKUP(INDIRECT("G"&amp;ROW()),minfo!$A:$M,COLUMN()-8,0),"")</f>
        <v>http://i0.hdslb.com/bfs/station_src/music_metadata/a9b43805ff5aa92d45ef62bce0afe1ea.jpg</v>
      </c>
      <c r="P1828" s="4" t="str">
        <f ca="1">_xlfn.IFNA(VLOOKUP(INDIRECT("G"&amp;ROW()),minfo!$A:$M,COLUMN()-8,0),"")</f>
        <v>http://i0.hdslb.com/bfs/station_src/music_metadata/24997dd0952e21fd7706e781e8adb905</v>
      </c>
      <c r="Q1828" s="4">
        <f ca="1">_xlfn.IFNA(VLOOKUP(INDIRECT("G"&amp;ROW()),minfo!$A:$M,COLUMN()-8,0),"")</f>
        <v>17697</v>
      </c>
      <c r="R1828" s="4" t="str">
        <f ca="1">_xlfn.IFNA(VLOOKUP(INDIRECT("G"&amp;ROW()),minfo!$A:$M,COLUMN()-8,0),"")</f>
        <v>情话多说一点</v>
      </c>
      <c r="S1828" s="4" t="str">
        <f ca="1">_xlfn.IFNA(VLOOKUP(INDIRECT("G"&amp;ROW()),minfo!$A:$M,COLUMN()-8,0),"")</f>
        <v>爱你</v>
      </c>
      <c r="T1828" s="4">
        <f ca="1">_xlfn.IFNA(VLOOKUP(INDIRECT("G"&amp;ROW()),minfo!$A:$M,COLUMN()-8,0),"")</f>
        <v>1465329274</v>
      </c>
      <c r="U1828" s="4" t="str">
        <f ca="1">_xlfn.IFNA(VLOOKUP(INDIRECT("G"&amp;ROW()),minfo!$A:$M,COLUMN()-8,0),"")</f>
        <v>音乐榜最高NO.1</v>
      </c>
    </row>
    <row r="1829" spans="1:21" ht="15.75" customHeight="1">
      <c r="A1829" s="15">
        <v>1828</v>
      </c>
      <c r="D1829" s="4">
        <v>1</v>
      </c>
      <c r="E1829" s="4" t="s">
        <v>3209</v>
      </c>
      <c r="F1829" s="16">
        <v>45385</v>
      </c>
      <c r="G1829" s="5" t="s">
        <v>3208</v>
      </c>
      <c r="H1829" s="5" t="s">
        <v>5583</v>
      </c>
      <c r="I1829" s="24" t="str">
        <f>HYPERLINK("https://www.bilibili.com/video/BV1gq421w7dt?p=1", "BV1gq421w7dt?p=1")</f>
        <v>BV1gq421w7dt?p=1</v>
      </c>
      <c r="J1829" s="4" t="str">
        <f ca="1">_xlfn.IFNA(VLOOKUP(INDIRECT("G"&amp;ROW()),minfo!$A:$M,COLUMN()-8,0),"")</f>
        <v>小美满</v>
      </c>
      <c r="K1829" s="4" t="str">
        <f ca="1">_xlfn.IFNA(VLOOKUP(INDIRECT("G"&amp;ROW()),minfo!$A:$M,COLUMN()-8,0),"")</f>
        <v>周深</v>
      </c>
      <c r="L1829" s="4">
        <f ca="1">_xlfn.IFNA(VLOOKUP(INDIRECT("G"&amp;ROW()),minfo!$A:$M,COLUMN()-8,0),"")</f>
        <v>1950384180</v>
      </c>
      <c r="M1829" s="4">
        <f ca="1">_xlfn.IFNA(VLOOKUP(INDIRECT("G"&amp;ROW()),minfo!$A:$M,COLUMN()-8,0),"")</f>
        <v>1431686049</v>
      </c>
      <c r="N1829" s="4" t="str">
        <f ca="1">_xlfn.IFNA(VLOOKUP(INDIRECT("G"&amp;ROW()),minfo!$A:$M,COLUMN()-8,0),"")</f>
        <v>BV1ZC411x7Ky</v>
      </c>
      <c r="O1829" s="4" t="str">
        <f ca="1">_xlfn.IFNA(VLOOKUP(INDIRECT("G"&amp;ROW()),minfo!$A:$M,COLUMN()-8,0),"")</f>
        <v>https://i0.hdslb.com/bfs/station_src/music_metadata/21b82b115506a9a9cea7aa1eb481c598.jpg</v>
      </c>
      <c r="P1829" s="4" t="str">
        <f ca="1">_xlfn.IFNA(VLOOKUP(INDIRECT("G"&amp;ROW()),minfo!$A:$M,COLUMN()-8,0),"")</f>
        <v>https://i0.hdslb.com/bfs/station_src/music_metadata/a9b34f18851621ce7c2a74133efa4171.txt</v>
      </c>
      <c r="Q1829" s="4">
        <f ca="1">_xlfn.IFNA(VLOOKUP(INDIRECT("G"&amp;ROW()),minfo!$A:$M,COLUMN()-8,0),"")</f>
        <v>733</v>
      </c>
      <c r="R1829" s="4" t="str">
        <f ca="1">_xlfn.IFNA(VLOOKUP(INDIRECT("G"&amp;ROW()),minfo!$A:$M,COLUMN()-8,0),"")</f>
        <v>《热辣滚烫》电影热辣陪伴曲</v>
      </c>
      <c r="S1829" s="4" t="str">
        <f ca="1">_xlfn.IFNA(VLOOKUP(INDIRECT("G"&amp;ROW()),minfo!$A:$M,COLUMN()-8,0),"")</f>
        <v>小美满</v>
      </c>
      <c r="T1829" s="4">
        <f ca="1">_xlfn.IFNA(VLOOKUP(INDIRECT("G"&amp;ROW()),minfo!$A:$M,COLUMN()-8,0),"")</f>
        <v>147169382</v>
      </c>
      <c r="U1829" s="4" t="str">
        <f ca="1">_xlfn.IFNA(VLOOKUP(INDIRECT("G"&amp;ROW()),minfo!$A:$M,COLUMN()-8,0),"")</f>
        <v>音乐榜最高NO.2</v>
      </c>
    </row>
    <row r="1830" spans="1:21" ht="15.75" customHeight="1">
      <c r="A1830" s="15">
        <v>1829</v>
      </c>
      <c r="D1830" s="4">
        <v>1</v>
      </c>
      <c r="E1830" s="4" t="s">
        <v>557</v>
      </c>
      <c r="F1830" s="16">
        <v>45387</v>
      </c>
      <c r="G1830" s="5" t="s">
        <v>556</v>
      </c>
      <c r="H1830" s="5" t="s">
        <v>5584</v>
      </c>
      <c r="I1830" s="24" t="str">
        <f>HYPERLINK("https://www.bilibili.com/video/BV1Hm421J7xr?p=1", "BV1Hm421J7xr?p=1")</f>
        <v>BV1Hm421J7xr?p=1</v>
      </c>
      <c r="J1830" s="4" t="str">
        <f ca="1">_xlfn.IFNA(VLOOKUP(INDIRECT("G"&amp;ROW()),minfo!$A:$M,COLUMN()-8,0),"")</f>
        <v>在那东山顶上</v>
      </c>
      <c r="K1830" s="4" t="str">
        <f ca="1">_xlfn.IFNA(VLOOKUP(INDIRECT("G"&amp;ROW()),minfo!$A:$M,COLUMN()-8,0),"")</f>
        <v>谭晶</v>
      </c>
      <c r="L1830" s="4">
        <f ca="1">_xlfn.IFNA(VLOOKUP(INDIRECT("G"&amp;ROW()),minfo!$A:$M,COLUMN()-8,0),"")</f>
        <v>0</v>
      </c>
      <c r="M1830" s="4">
        <f ca="1">_xlfn.IFNA(VLOOKUP(INDIRECT("G"&amp;ROW()),minfo!$A:$M,COLUMN()-8,0),"")</f>
        <v>0</v>
      </c>
      <c r="N1830" s="4">
        <f ca="1">_xlfn.IFNA(VLOOKUP(INDIRECT("G"&amp;ROW()),minfo!$A:$M,COLUMN()-8,0),"")</f>
        <v>0</v>
      </c>
      <c r="O1830" s="4" t="str">
        <f ca="1">_xlfn.IFNA(VLOOKUP(INDIRECT("G"&amp;ROW()),minfo!$A:$M,COLUMN()-8,0),"")</f>
        <v>https://i0.hdslb.com/bfs/station_src/music_metadata/59de415080268909059e7e45a48b31ec.jpg</v>
      </c>
      <c r="P1830" s="4" t="str">
        <f ca="1">_xlfn.IFNA(VLOOKUP(INDIRECT("G"&amp;ROW()),minfo!$A:$M,COLUMN()-8,0),"")</f>
        <v>https://i0.hdslb.com/bfs/station_src/music_metadata/eda2f54f706c4adaca6ef517d1b4f09d.txt</v>
      </c>
      <c r="Q1830" s="4">
        <f ca="1">_xlfn.IFNA(VLOOKUP(INDIRECT("G"&amp;ROW()),minfo!$A:$M,COLUMN()-8,0),"")</f>
        <v>6</v>
      </c>
      <c r="R1830" s="4">
        <f ca="1">_xlfn.IFNA(VLOOKUP(INDIRECT("G"&amp;ROW()),minfo!$A:$M,COLUMN()-8,0),"")</f>
        <v>0</v>
      </c>
      <c r="S1830" s="4" t="str">
        <f ca="1">_xlfn.IFNA(VLOOKUP(INDIRECT("G"&amp;ROW()),minfo!$A:$M,COLUMN()-8,0),"")</f>
        <v>龙图腾</v>
      </c>
      <c r="T1830" s="4">
        <f ca="1">_xlfn.IFNA(VLOOKUP(INDIRECT("G"&amp;ROW()),minfo!$A:$M,COLUMN()-8,0),"")</f>
        <v>6950668</v>
      </c>
      <c r="U1830" s="4">
        <f ca="1">_xlfn.IFNA(VLOOKUP(INDIRECT("G"&amp;ROW()),minfo!$A:$M,COLUMN()-8,0),"")</f>
        <v>0</v>
      </c>
    </row>
    <row r="1831" spans="1:21" ht="15.75" customHeight="1">
      <c r="A1831" s="15">
        <v>1830</v>
      </c>
      <c r="D1831" s="4">
        <v>1</v>
      </c>
      <c r="E1831" s="4" t="s">
        <v>3278</v>
      </c>
      <c r="F1831" s="16">
        <v>45387</v>
      </c>
      <c r="G1831" s="5" t="s">
        <v>3277</v>
      </c>
      <c r="H1831" s="5" t="s">
        <v>5585</v>
      </c>
      <c r="I1831" s="24" t="str">
        <f>HYPERLINK("https://www.bilibili.com/video/BV1uA4m1P7vT?p=1", "BV1uA4m1P7vT?p=1")</f>
        <v>BV1uA4m1P7vT?p=1</v>
      </c>
      <c r="J1831" s="4" t="str">
        <f ca="1">_xlfn.IFNA(VLOOKUP(INDIRECT("G"&amp;ROW()),minfo!$A:$M,COLUMN()-8,0),"")</f>
        <v>牧羊曲</v>
      </c>
      <c r="K1831" s="4" t="str">
        <f ca="1">_xlfn.IFNA(VLOOKUP(INDIRECT("G"&amp;ROW()),minfo!$A:$M,COLUMN()-8,0),"")</f>
        <v>郑绪岚</v>
      </c>
      <c r="L1831" s="4">
        <f ca="1">_xlfn.IFNA(VLOOKUP(INDIRECT("G"&amp;ROW()),minfo!$A:$M,COLUMN()-8,0),"")</f>
        <v>0</v>
      </c>
      <c r="M1831" s="4">
        <f ca="1">_xlfn.IFNA(VLOOKUP(INDIRECT("G"&amp;ROW()),minfo!$A:$M,COLUMN()-8,0),"")</f>
        <v>0</v>
      </c>
      <c r="N1831" s="4">
        <f ca="1">_xlfn.IFNA(VLOOKUP(INDIRECT("G"&amp;ROW()),minfo!$A:$M,COLUMN()-8,0),"")</f>
        <v>0</v>
      </c>
      <c r="O1831" s="4" t="str">
        <f ca="1">_xlfn.IFNA(VLOOKUP(INDIRECT("G"&amp;ROW()),minfo!$A:$M,COLUMN()-8,0),"")</f>
        <v>http://i0.hdslb.com/bfs/station_src/music_metadata/0c48017e7eb88f2e3c09ba6b2abe0663.jpg</v>
      </c>
      <c r="P1831" s="4" t="str">
        <f ca="1">_xlfn.IFNA(VLOOKUP(INDIRECT("G"&amp;ROW()),minfo!$A:$M,COLUMN()-8,0),"")</f>
        <v>http://i0.hdslb.com/bfs/station_src/music_metadata/2e874369e286d49785d0214063782ed6</v>
      </c>
      <c r="Q1831" s="4">
        <f ca="1">_xlfn.IFNA(VLOOKUP(INDIRECT("G"&amp;ROW()),minfo!$A:$M,COLUMN()-8,0),"")</f>
        <v>56</v>
      </c>
      <c r="R1831" s="4">
        <f ca="1">_xlfn.IFNA(VLOOKUP(INDIRECT("G"&amp;ROW()),minfo!$A:$M,COLUMN()-8,0),"")</f>
        <v>0</v>
      </c>
      <c r="S1831" s="4">
        <f ca="1">_xlfn.IFNA(VLOOKUP(INDIRECT("G"&amp;ROW()),minfo!$A:$M,COLUMN()-8,0),"")</f>
        <v>0</v>
      </c>
      <c r="T1831" s="4">
        <f ca="1">_xlfn.IFNA(VLOOKUP(INDIRECT("G"&amp;ROW()),minfo!$A:$M,COLUMN()-8,0),"")</f>
        <v>29040336</v>
      </c>
      <c r="U1831" s="4">
        <f ca="1">_xlfn.IFNA(VLOOKUP(INDIRECT("G"&amp;ROW()),minfo!$A:$M,COLUMN()-8,0),"")</f>
        <v>0</v>
      </c>
    </row>
    <row r="1832" spans="1:21" ht="15.75" customHeight="1">
      <c r="A1832" s="15">
        <v>1831</v>
      </c>
      <c r="D1832" s="4">
        <v>1</v>
      </c>
      <c r="E1832" s="4" t="s">
        <v>726</v>
      </c>
      <c r="F1832" s="16">
        <v>45387</v>
      </c>
      <c r="G1832" s="5" t="s">
        <v>725</v>
      </c>
      <c r="H1832" s="5" t="s">
        <v>5586</v>
      </c>
      <c r="I1832" s="24" t="str">
        <f>HYPERLINK("https://www.bilibili.com/video/BV1sZ421B71Z?p=1", "BV1sZ421B71Z?p=1")</f>
        <v>BV1sZ421B71Z?p=1</v>
      </c>
      <c r="J1832" s="4" t="str">
        <f ca="1">_xlfn.IFNA(VLOOKUP(INDIRECT("G"&amp;ROW()),minfo!$A:$M,COLUMN()-8,0),"")</f>
        <v>茉莉花</v>
      </c>
      <c r="K1832" s="4" t="str">
        <f ca="1">_xlfn.IFNA(VLOOKUP(INDIRECT("G"&amp;ROW()),minfo!$A:$M,COLUMN()-8,0),"")</f>
        <v>群星</v>
      </c>
      <c r="L1832" s="4">
        <f ca="1">_xlfn.IFNA(VLOOKUP(INDIRECT("G"&amp;ROW()),minfo!$A:$M,COLUMN()-8,0),"")</f>
        <v>0</v>
      </c>
      <c r="M1832" s="4">
        <f ca="1">_xlfn.IFNA(VLOOKUP(INDIRECT("G"&amp;ROW()),minfo!$A:$M,COLUMN()-8,0),"")</f>
        <v>0</v>
      </c>
      <c r="N1832" s="4">
        <f ca="1">_xlfn.IFNA(VLOOKUP(INDIRECT("G"&amp;ROW()),minfo!$A:$M,COLUMN()-8,0),"")</f>
        <v>0</v>
      </c>
      <c r="O1832" s="4" t="str">
        <f ca="1">_xlfn.IFNA(VLOOKUP(INDIRECT("G"&amp;ROW()),minfo!$A:$M,COLUMN()-8,0),"")</f>
        <v>https://i0.hdslb.com/bfs/station_src/music_metadata/e03b06a414da98ba449eefdff7d60f88.jpg</v>
      </c>
      <c r="P1832" s="4" t="str">
        <f ca="1">_xlfn.IFNA(VLOOKUP(INDIRECT("G"&amp;ROW()),minfo!$A:$M,COLUMN()-8,0),"")</f>
        <v>https://i0.hdslb.com/bfs/station_src/music_metadata/f7e4d3ca608b74e750bc6ef547b43dbd.txt</v>
      </c>
      <c r="Q1832" s="4">
        <f ca="1">_xlfn.IFNA(VLOOKUP(INDIRECT("G"&amp;ROW()),minfo!$A:$M,COLUMN()-8,0),"")</f>
        <v>39</v>
      </c>
      <c r="R1832" s="4">
        <f ca="1">_xlfn.IFNA(VLOOKUP(INDIRECT("G"&amp;ROW()),minfo!$A:$M,COLUMN()-8,0),"")</f>
        <v>0</v>
      </c>
      <c r="S1832" s="4" t="str">
        <f ca="1">_xlfn.IFNA(VLOOKUP(INDIRECT("G"&amp;ROW()),minfo!$A:$M,COLUMN()-8,0),"")</f>
        <v>试机二号</v>
      </c>
      <c r="T1832" s="4">
        <f ca="1">_xlfn.IFNA(VLOOKUP(INDIRECT("G"&amp;ROW()),minfo!$A:$M,COLUMN()-8,0),"")</f>
        <v>14230993</v>
      </c>
      <c r="U1832" s="4">
        <f ca="1">_xlfn.IFNA(VLOOKUP(INDIRECT("G"&amp;ROW()),minfo!$A:$M,COLUMN()-8,0),"")</f>
        <v>0</v>
      </c>
    </row>
    <row r="1833" spans="1:21" ht="15.75" customHeight="1">
      <c r="A1833" s="15">
        <v>1832</v>
      </c>
      <c r="D1833" s="4">
        <v>1</v>
      </c>
      <c r="E1833" s="4" t="s">
        <v>1520</v>
      </c>
      <c r="F1833" s="16">
        <v>45387</v>
      </c>
      <c r="G1833" s="5" t="s">
        <v>1519</v>
      </c>
      <c r="H1833" s="5" t="s">
        <v>5587</v>
      </c>
      <c r="I1833" s="24" t="str">
        <f>HYPERLINK("https://www.bilibili.com/video/BV1Rf421o7KF?p=1", "BV1Rf421o7KF?p=1")</f>
        <v>BV1Rf421o7KF?p=1</v>
      </c>
      <c r="J1833" s="4" t="str">
        <f ca="1">_xlfn.IFNA(VLOOKUP(INDIRECT("G"&amp;ROW()),minfo!$A:$M,COLUMN()-8,0),"")</f>
        <v>望月</v>
      </c>
      <c r="K1833" s="4" t="str">
        <f ca="1">_xlfn.IFNA(VLOOKUP(INDIRECT("G"&amp;ROW()),minfo!$A:$M,COLUMN()-8,0),"")</f>
        <v>宋祖英</v>
      </c>
      <c r="L1833" s="4">
        <f ca="1">_xlfn.IFNA(VLOOKUP(INDIRECT("G"&amp;ROW()),minfo!$A:$M,COLUMN()-8,0),"")</f>
        <v>0</v>
      </c>
      <c r="M1833" s="4">
        <f ca="1">_xlfn.IFNA(VLOOKUP(INDIRECT("G"&amp;ROW()),minfo!$A:$M,COLUMN()-8,0),"")</f>
        <v>0</v>
      </c>
      <c r="N1833" s="4">
        <f ca="1">_xlfn.IFNA(VLOOKUP(INDIRECT("G"&amp;ROW()),minfo!$A:$M,COLUMN()-8,0),"")</f>
        <v>0</v>
      </c>
      <c r="O1833" s="4" t="str">
        <f ca="1">_xlfn.IFNA(VLOOKUP(INDIRECT("G"&amp;ROW()),minfo!$A:$M,COLUMN()-8,0),"")</f>
        <v>https://i0.hdslb.com/bfs/station_src/music_metadata/b784ce989528e3c111409e7fae53c03b.jpg</v>
      </c>
      <c r="P1833" s="4" t="str">
        <f ca="1">_xlfn.IFNA(VLOOKUP(INDIRECT("G"&amp;ROW()),minfo!$A:$M,COLUMN()-8,0),"")</f>
        <v>https://i0.hdslb.com/bfs/station_src/music_metadata/d0de622123bd7df3b723f2f8a109b29b.txt</v>
      </c>
      <c r="Q1833" s="4">
        <f ca="1">_xlfn.IFNA(VLOOKUP(INDIRECT("G"&amp;ROW()),minfo!$A:$M,COLUMN()-8,0),"")</f>
        <v>3</v>
      </c>
      <c r="R1833" s="4">
        <f ca="1">_xlfn.IFNA(VLOOKUP(INDIRECT("G"&amp;ROW()),minfo!$A:$M,COLUMN()-8,0),"")</f>
        <v>0</v>
      </c>
      <c r="S1833" s="4" t="str">
        <f ca="1">_xlfn.IFNA(VLOOKUP(INDIRECT("G"&amp;ROW()),minfo!$A:$M,COLUMN()-8,0),"")</f>
        <v>印青创作歌曲精选</v>
      </c>
      <c r="T1833" s="4">
        <f ca="1">_xlfn.IFNA(VLOOKUP(INDIRECT("G"&amp;ROW()),minfo!$A:$M,COLUMN()-8,0),"")</f>
        <v>1868068</v>
      </c>
      <c r="U1833" s="4">
        <f ca="1">_xlfn.IFNA(VLOOKUP(INDIRECT("G"&amp;ROW()),minfo!$A:$M,COLUMN()-8,0),"")</f>
        <v>0</v>
      </c>
    </row>
    <row r="1834" spans="1:21" ht="15.75" customHeight="1">
      <c r="A1834" s="15">
        <v>1833</v>
      </c>
      <c r="D1834" s="4">
        <v>1</v>
      </c>
      <c r="E1834" s="4" t="s">
        <v>2797</v>
      </c>
      <c r="F1834" s="16">
        <v>45387</v>
      </c>
      <c r="G1834" s="5" t="s">
        <v>2796</v>
      </c>
      <c r="H1834" s="5" t="s">
        <v>5588</v>
      </c>
      <c r="I1834" s="24" t="str">
        <f>HYPERLINK("https://www.bilibili.com/video/BV1jt421H7ng?p=1", "BV1jt421H7ng?p=1")</f>
        <v>BV1jt421H7ng?p=1</v>
      </c>
      <c r="J1834" s="4" t="str">
        <f ca="1">_xlfn.IFNA(VLOOKUP(INDIRECT("G"&amp;ROW()),minfo!$A:$M,COLUMN()-8,0),"")</f>
        <v>浏阳河</v>
      </c>
      <c r="K1834" s="4" t="str">
        <f ca="1">_xlfn.IFNA(VLOOKUP(INDIRECT("G"&amp;ROW()),minfo!$A:$M,COLUMN()-8,0),"")</f>
        <v>李谷一</v>
      </c>
      <c r="L1834" s="4">
        <f ca="1">_xlfn.IFNA(VLOOKUP(INDIRECT("G"&amp;ROW()),minfo!$A:$M,COLUMN()-8,0),"")</f>
        <v>0</v>
      </c>
      <c r="M1834" s="4">
        <f ca="1">_xlfn.IFNA(VLOOKUP(INDIRECT("G"&amp;ROW()),minfo!$A:$M,COLUMN()-8,0),"")</f>
        <v>0</v>
      </c>
      <c r="N1834" s="4">
        <f ca="1">_xlfn.IFNA(VLOOKUP(INDIRECT("G"&amp;ROW()),minfo!$A:$M,COLUMN()-8,0),"")</f>
        <v>0</v>
      </c>
      <c r="O1834" s="4" t="str">
        <f ca="1">_xlfn.IFNA(VLOOKUP(INDIRECT("G"&amp;ROW()),minfo!$A:$M,COLUMN()-8,0),"")</f>
        <v>https://i0.hdslb.com/bfs/station_src/music_metadata/8da95ecb0ac14b3afd37549bd8ccd36b.jpg</v>
      </c>
      <c r="P1834" s="4" t="str">
        <f ca="1">_xlfn.IFNA(VLOOKUP(INDIRECT("G"&amp;ROW()),minfo!$A:$M,COLUMN()-8,0),"")</f>
        <v>https://i0.hdslb.com/bfs/station_src/music_metadata/119c275854ad0cb9162eb161a9341c81.txt</v>
      </c>
      <c r="Q1834" s="4">
        <f ca="1">_xlfn.IFNA(VLOOKUP(INDIRECT("G"&amp;ROW()),minfo!$A:$M,COLUMN()-8,0),"")</f>
        <v>10</v>
      </c>
      <c r="R1834" s="4">
        <f ca="1">_xlfn.IFNA(VLOOKUP(INDIRECT("G"&amp;ROW()),minfo!$A:$M,COLUMN()-8,0),"")</f>
        <v>0</v>
      </c>
      <c r="S1834" s="4" t="str">
        <f ca="1">_xlfn.IFNA(VLOOKUP(INDIRECT("G"&amp;ROW()),minfo!$A:$M,COLUMN()-8,0),"")</f>
        <v>流淌不尽的中国民歌—在那遥远的地方</v>
      </c>
      <c r="T1834" s="4">
        <f ca="1">_xlfn.IFNA(VLOOKUP(INDIRECT("G"&amp;ROW()),minfo!$A:$M,COLUMN()-8,0),"")</f>
        <v>1731390</v>
      </c>
      <c r="U1834" s="4">
        <f ca="1">_xlfn.IFNA(VLOOKUP(INDIRECT("G"&amp;ROW()),minfo!$A:$M,COLUMN()-8,0),"")</f>
        <v>0</v>
      </c>
    </row>
    <row r="1835" spans="1:21" ht="15.75" customHeight="1">
      <c r="A1835" s="15">
        <v>1834</v>
      </c>
      <c r="D1835" s="4">
        <v>1</v>
      </c>
      <c r="E1835" s="4" t="s">
        <v>2576</v>
      </c>
      <c r="F1835" s="16">
        <v>45387</v>
      </c>
      <c r="G1835" s="5" t="s">
        <v>2575</v>
      </c>
      <c r="H1835" s="5" t="s">
        <v>5589</v>
      </c>
      <c r="I1835" s="24" t="str">
        <f>HYPERLINK("https://www.bilibili.com/video/BV1cC411j73H?p=1", "BV1cC411j73H?p=1")</f>
        <v>BV1cC411j73H?p=1</v>
      </c>
      <c r="J1835" s="4" t="str">
        <f ca="1">_xlfn.IFNA(VLOOKUP(INDIRECT("G"&amp;ROW()),minfo!$A:$M,COLUMN()-8,0),"")</f>
        <v>映山红</v>
      </c>
      <c r="K1835" s="4" t="str">
        <f ca="1">_xlfn.IFNA(VLOOKUP(INDIRECT("G"&amp;ROW()),minfo!$A:$M,COLUMN()-8,0),"")</f>
        <v>邓玉华</v>
      </c>
      <c r="L1835" s="4">
        <f ca="1">_xlfn.IFNA(VLOOKUP(INDIRECT("G"&amp;ROW()),minfo!$A:$M,COLUMN()-8,0),"")</f>
        <v>0</v>
      </c>
      <c r="M1835" s="4">
        <f ca="1">_xlfn.IFNA(VLOOKUP(INDIRECT("G"&amp;ROW()),minfo!$A:$M,COLUMN()-8,0),"")</f>
        <v>0</v>
      </c>
      <c r="N1835" s="4">
        <f ca="1">_xlfn.IFNA(VLOOKUP(INDIRECT("G"&amp;ROW()),minfo!$A:$M,COLUMN()-8,0),"")</f>
        <v>0</v>
      </c>
      <c r="O1835" s="4" t="str">
        <f ca="1">_xlfn.IFNA(VLOOKUP(INDIRECT("G"&amp;ROW()),minfo!$A:$M,COLUMN()-8,0),"")</f>
        <v>http://i0.hdslb.com/bfs/station_src/music_metadata/dcc6f2d58672422f895a7e6108acb005.jpg</v>
      </c>
      <c r="P1835" s="4">
        <f ca="1">_xlfn.IFNA(VLOOKUP(INDIRECT("G"&amp;ROW()),minfo!$A:$M,COLUMN()-8,0),"")</f>
        <v>0</v>
      </c>
      <c r="Q1835" s="4">
        <f ca="1">_xlfn.IFNA(VLOOKUP(INDIRECT("G"&amp;ROW()),minfo!$A:$M,COLUMN()-8,0),"")</f>
        <v>44</v>
      </c>
      <c r="R1835" s="4">
        <f ca="1">_xlfn.IFNA(VLOOKUP(INDIRECT("G"&amp;ROW()),minfo!$A:$M,COLUMN()-8,0),"")</f>
        <v>0</v>
      </c>
      <c r="S1835" s="4" t="str">
        <f ca="1">_xlfn.IFNA(VLOOKUP(INDIRECT("G"&amp;ROW()),minfo!$A:$M,COLUMN()-8,0),"")</f>
        <v>红歌②</v>
      </c>
      <c r="T1835" s="4">
        <f ca="1">_xlfn.IFNA(VLOOKUP(INDIRECT("G"&amp;ROW()),minfo!$A:$M,COLUMN()-8,0),"")</f>
        <v>9633281</v>
      </c>
      <c r="U1835" s="4">
        <f ca="1">_xlfn.IFNA(VLOOKUP(INDIRECT("G"&amp;ROW()),minfo!$A:$M,COLUMN()-8,0),"")</f>
        <v>0</v>
      </c>
    </row>
    <row r="1836" spans="1:21" ht="15.75" customHeight="1">
      <c r="A1836" s="15">
        <v>1835</v>
      </c>
      <c r="D1836" s="4">
        <v>1</v>
      </c>
      <c r="E1836" s="4" t="s">
        <v>3271</v>
      </c>
      <c r="F1836" s="16">
        <v>45387</v>
      </c>
      <c r="G1836" s="5" t="s">
        <v>3271</v>
      </c>
      <c r="H1836" s="5" t="s">
        <v>5590</v>
      </c>
      <c r="I1836" s="24" t="str">
        <f>HYPERLINK("https://www.bilibili.com/video/BV1jx421D7T8?p=1", "BV1jx421D7T8?p=1")</f>
        <v>BV1jx421D7T8?p=1</v>
      </c>
      <c r="J1836" s="4" t="str">
        <f ca="1">_xlfn.IFNA(VLOOKUP(INDIRECT("G"&amp;ROW()),minfo!$A:$M,COLUMN()-8,0),"")</f>
        <v>太空人</v>
      </c>
      <c r="K1836" s="4" t="str">
        <f ca="1">_xlfn.IFNA(VLOOKUP(INDIRECT("G"&amp;ROW()),minfo!$A:$M,COLUMN()-8,0),"")</f>
        <v>吴青峰</v>
      </c>
      <c r="L1836" s="4">
        <f ca="1">_xlfn.IFNA(VLOOKUP(INDIRECT("G"&amp;ROW()),minfo!$A:$M,COLUMN()-8,0),"")</f>
        <v>0</v>
      </c>
      <c r="M1836" s="4">
        <f ca="1">_xlfn.IFNA(VLOOKUP(INDIRECT("G"&amp;ROW()),minfo!$A:$M,COLUMN()-8,0),"")</f>
        <v>0</v>
      </c>
      <c r="N1836" s="4">
        <f ca="1">_xlfn.IFNA(VLOOKUP(INDIRECT("G"&amp;ROW()),minfo!$A:$M,COLUMN()-8,0),"")</f>
        <v>0</v>
      </c>
      <c r="O1836" s="4">
        <f ca="1">_xlfn.IFNA(VLOOKUP(INDIRECT("G"&amp;ROW()),minfo!$A:$M,COLUMN()-8,0),"")</f>
        <v>0</v>
      </c>
      <c r="P1836" s="4">
        <f ca="1">_xlfn.IFNA(VLOOKUP(INDIRECT("G"&amp;ROW()),minfo!$A:$M,COLUMN()-8,0),"")</f>
        <v>0</v>
      </c>
      <c r="Q1836" s="4">
        <f ca="1">_xlfn.IFNA(VLOOKUP(INDIRECT("G"&amp;ROW()),minfo!$A:$M,COLUMN()-8,0),"")</f>
        <v>0</v>
      </c>
      <c r="R1836" s="4">
        <f ca="1">_xlfn.IFNA(VLOOKUP(INDIRECT("G"&amp;ROW()),minfo!$A:$M,COLUMN()-8,0),"")</f>
        <v>0</v>
      </c>
      <c r="S1836" s="4">
        <f ca="1">_xlfn.IFNA(VLOOKUP(INDIRECT("G"&amp;ROW()),minfo!$A:$M,COLUMN()-8,0),"")</f>
        <v>0</v>
      </c>
      <c r="T1836" s="4">
        <f ca="1">_xlfn.IFNA(VLOOKUP(INDIRECT("G"&amp;ROW()),minfo!$A:$M,COLUMN()-8,0),"")</f>
        <v>0</v>
      </c>
      <c r="U1836" s="4">
        <f ca="1">_xlfn.IFNA(VLOOKUP(INDIRECT("G"&amp;ROW()),minfo!$A:$M,COLUMN()-8,0),"")</f>
        <v>0</v>
      </c>
    </row>
    <row r="1837" spans="1:21" ht="15.75" customHeight="1">
      <c r="A1837" s="15">
        <v>1836</v>
      </c>
      <c r="D1837" s="4">
        <v>1</v>
      </c>
      <c r="E1837" s="4" t="s">
        <v>1371</v>
      </c>
      <c r="F1837" s="16">
        <v>45387</v>
      </c>
      <c r="G1837" s="5" t="s">
        <v>1370</v>
      </c>
      <c r="H1837" s="5" t="s">
        <v>5591</v>
      </c>
      <c r="I1837" s="24" t="str">
        <f>HYPERLINK("https://www.bilibili.com/video/BV1Mf421Z7Lr?p=1", "BV1Mf421Z7Lr?p=1")</f>
        <v>BV1Mf421Z7Lr?p=1</v>
      </c>
      <c r="J1837" s="4" t="str">
        <f ca="1">_xlfn.IFNA(VLOOKUP(INDIRECT("G"&amp;ROW()),minfo!$A:$M,COLUMN()-8,0),"")</f>
        <v>大地飞歌</v>
      </c>
      <c r="K1837" s="4" t="str">
        <f ca="1">_xlfn.IFNA(VLOOKUP(INDIRECT("G"&amp;ROW()),minfo!$A:$M,COLUMN()-8,0),"")</f>
        <v>宋祖英</v>
      </c>
      <c r="L1837" s="4">
        <f ca="1">_xlfn.IFNA(VLOOKUP(INDIRECT("G"&amp;ROW()),minfo!$A:$M,COLUMN()-8,0),"")</f>
        <v>0</v>
      </c>
      <c r="M1837" s="4">
        <f ca="1">_xlfn.IFNA(VLOOKUP(INDIRECT("G"&amp;ROW()),minfo!$A:$M,COLUMN()-8,0),"")</f>
        <v>0</v>
      </c>
      <c r="N1837" s="4">
        <f ca="1">_xlfn.IFNA(VLOOKUP(INDIRECT("G"&amp;ROW()),minfo!$A:$M,COLUMN()-8,0),"")</f>
        <v>0</v>
      </c>
      <c r="O1837" s="4" t="str">
        <f ca="1">_xlfn.IFNA(VLOOKUP(INDIRECT("G"&amp;ROW()),minfo!$A:$M,COLUMN()-8,0),"")</f>
        <v>https://i0.hdslb.com/bfs/station_src/music_metadata/b346c034f2cc826bb53de1c250ee108f.jpg</v>
      </c>
      <c r="P1837" s="4" t="str">
        <f ca="1">_xlfn.IFNA(VLOOKUP(INDIRECT("G"&amp;ROW()),minfo!$A:$M,COLUMN()-8,0),"")</f>
        <v>http://i0.hdslb.com/bfs/station_src/music_metadata/6092aa62fa54d28c6b8c742cffe5b12e</v>
      </c>
      <c r="Q1837" s="4">
        <f ca="1">_xlfn.IFNA(VLOOKUP(INDIRECT("G"&amp;ROW()),minfo!$A:$M,COLUMN()-8,0),"")</f>
        <v>218</v>
      </c>
      <c r="R1837" s="4">
        <f ca="1">_xlfn.IFNA(VLOOKUP(INDIRECT("G"&amp;ROW()),minfo!$A:$M,COLUMN()-8,0),"")</f>
        <v>0</v>
      </c>
      <c r="S1837" s="4" t="str">
        <f ca="1">_xlfn.IFNA(VLOOKUP(INDIRECT("G"&amp;ROW()),minfo!$A:$M,COLUMN()-8,0),"")</f>
        <v>节日欢歌 如意吉祥贺佳节1</v>
      </c>
      <c r="T1837" s="4">
        <f ca="1">_xlfn.IFNA(VLOOKUP(INDIRECT("G"&amp;ROW()),minfo!$A:$M,COLUMN()-8,0),"")</f>
        <v>79469412</v>
      </c>
      <c r="U1837" s="4">
        <f ca="1">_xlfn.IFNA(VLOOKUP(INDIRECT("G"&amp;ROW()),minfo!$A:$M,COLUMN()-8,0),"")</f>
        <v>0</v>
      </c>
    </row>
    <row r="1838" spans="1:21" ht="15.75" customHeight="1">
      <c r="A1838" s="15">
        <v>1837</v>
      </c>
      <c r="D1838" s="4">
        <v>1</v>
      </c>
      <c r="E1838" s="4" t="s">
        <v>2968</v>
      </c>
      <c r="F1838" s="16">
        <v>45387</v>
      </c>
      <c r="G1838" s="5" t="s">
        <v>2967</v>
      </c>
      <c r="H1838" s="5" t="s">
        <v>5592</v>
      </c>
      <c r="I1838" s="24" t="str">
        <f>HYPERLINK("https://www.bilibili.com/video/BV1Xz421o7YH?p=1", "BV1Xz421o7YH?p=1")</f>
        <v>BV1Xz421o7YH?p=1</v>
      </c>
      <c r="J1838" s="4" t="str">
        <f ca="1">_xlfn.IFNA(VLOOKUP(INDIRECT("G"&amp;ROW()),minfo!$A:$M,COLUMN()-8,0),"")</f>
        <v>苏幕遮</v>
      </c>
      <c r="K1838" s="4" t="str">
        <f ca="1">_xlfn.IFNA(VLOOKUP(INDIRECT("G"&amp;ROW()),minfo!$A:$M,COLUMN()-8,0),"")</f>
        <v>张晓棠</v>
      </c>
      <c r="L1838" s="4">
        <f ca="1">_xlfn.IFNA(VLOOKUP(INDIRECT("G"&amp;ROW()),minfo!$A:$M,COLUMN()-8,0),"")</f>
        <v>0</v>
      </c>
      <c r="M1838" s="4">
        <f ca="1">_xlfn.IFNA(VLOOKUP(INDIRECT("G"&amp;ROW()),minfo!$A:$M,COLUMN()-8,0),"")</f>
        <v>0</v>
      </c>
      <c r="N1838" s="4">
        <f ca="1">_xlfn.IFNA(VLOOKUP(INDIRECT("G"&amp;ROW()),minfo!$A:$M,COLUMN()-8,0),"")</f>
        <v>0</v>
      </c>
      <c r="O1838" s="4" t="str">
        <f ca="1">_xlfn.IFNA(VLOOKUP(INDIRECT("G"&amp;ROW()),minfo!$A:$M,COLUMN()-8,0),"")</f>
        <v>https://i0.hdslb.com/bfs/station_src/music_metadata/6d4abb378985a85772919adec194ad14.jpg</v>
      </c>
      <c r="P1838" s="4" t="str">
        <f ca="1">_xlfn.IFNA(VLOOKUP(INDIRECT("G"&amp;ROW()),minfo!$A:$M,COLUMN()-8,0),"")</f>
        <v>https://i0.hdslb.com/bfs/station_src/music_metadata/9ecf2ddeccc8f5c9bd142df102c737bf.lrc</v>
      </c>
      <c r="Q1838" s="4">
        <f ca="1">_xlfn.IFNA(VLOOKUP(INDIRECT("G"&amp;ROW()),minfo!$A:$M,COLUMN()-8,0),"")</f>
        <v>2045</v>
      </c>
      <c r="R1838" s="4">
        <f ca="1">_xlfn.IFNA(VLOOKUP(INDIRECT("G"&amp;ROW()),minfo!$A:$M,COLUMN()-8,0),"")</f>
        <v>0</v>
      </c>
      <c r="S1838" s="4" t="str">
        <f ca="1">_xlfn.IFNA(VLOOKUP(INDIRECT("G"&amp;ROW()),minfo!$A:$M,COLUMN()-8,0),"")</f>
        <v>盛世好风光</v>
      </c>
      <c r="T1838" s="4">
        <f ca="1">_xlfn.IFNA(VLOOKUP(INDIRECT("G"&amp;ROW()),minfo!$A:$M,COLUMN()-8,0),"")</f>
        <v>250489326</v>
      </c>
      <c r="U1838" s="4" t="str">
        <f ca="1">_xlfn.IFNA(VLOOKUP(INDIRECT("G"&amp;ROW()),minfo!$A:$M,COLUMN()-8,0),"")</f>
        <v>音乐榜最高NO.20</v>
      </c>
    </row>
    <row r="1839" spans="1:21" ht="15.75" customHeight="1">
      <c r="A1839" s="15">
        <v>1838</v>
      </c>
      <c r="D1839" s="4">
        <v>1</v>
      </c>
      <c r="E1839" s="4" t="s">
        <v>1474</v>
      </c>
      <c r="F1839" s="16">
        <v>45387</v>
      </c>
      <c r="G1839" s="5" t="s">
        <v>1473</v>
      </c>
      <c r="H1839" s="5" t="s">
        <v>5593</v>
      </c>
      <c r="I1839" s="24" t="str">
        <f>HYPERLINK("https://www.bilibili.com/video/BV1H1421U7hT?p=1", "BV1H1421U7hT?p=1")</f>
        <v>BV1H1421U7hT?p=1</v>
      </c>
      <c r="J1839" s="4" t="str">
        <f ca="1">_xlfn.IFNA(VLOOKUP(INDIRECT("G"&amp;ROW()),minfo!$A:$M,COLUMN()-8,0),"")</f>
        <v>Love U U</v>
      </c>
      <c r="K1839" s="4" t="str">
        <f ca="1">_xlfn.IFNA(VLOOKUP(INDIRECT("G"&amp;ROW()),minfo!$A:$M,COLUMN()-8,0),"")</f>
        <v>林俊杰</v>
      </c>
      <c r="L1839" s="4">
        <f ca="1">_xlfn.IFNA(VLOOKUP(INDIRECT("G"&amp;ROW()),minfo!$A:$M,COLUMN()-8,0),"")</f>
        <v>0</v>
      </c>
      <c r="M1839" s="4">
        <f ca="1">_xlfn.IFNA(VLOOKUP(INDIRECT("G"&amp;ROW()),minfo!$A:$M,COLUMN()-8,0),"")</f>
        <v>0</v>
      </c>
      <c r="N1839" s="4">
        <f ca="1">_xlfn.IFNA(VLOOKUP(INDIRECT("G"&amp;ROW()),minfo!$A:$M,COLUMN()-8,0),"")</f>
        <v>0</v>
      </c>
      <c r="O1839" s="4" t="str">
        <f ca="1">_xlfn.IFNA(VLOOKUP(INDIRECT("G"&amp;ROW()),minfo!$A:$M,COLUMN()-8,0),"")</f>
        <v>https://i0.hdslb.com/bfs/station_src/music_metadata/683874c8b50e8963e73219e464a05a2f.jpg</v>
      </c>
      <c r="P1839" s="4" t="str">
        <f ca="1">_xlfn.IFNA(VLOOKUP(INDIRECT("G"&amp;ROW()),minfo!$A:$M,COLUMN()-8,0),"")</f>
        <v>https://i0.hdslb.com/bfs/station_src/music_metadata/b121a6651c2b3ba2042afd8f79c17ee5.txt</v>
      </c>
      <c r="Q1839" s="4">
        <f ca="1">_xlfn.IFNA(VLOOKUP(INDIRECT("G"&amp;ROW()),minfo!$A:$M,COLUMN()-8,0),"")</f>
        <v>25</v>
      </c>
      <c r="R1839" s="4">
        <f ca="1">_xlfn.IFNA(VLOOKUP(INDIRECT("G"&amp;ROW()),minfo!$A:$M,COLUMN()-8,0),"")</f>
        <v>0</v>
      </c>
      <c r="S1839" s="4" t="str">
        <f ca="1">_xlfn.IFNA(VLOOKUP(INDIRECT("G"&amp;ROW()),minfo!$A:$M,COLUMN()-8,0),"")</f>
        <v>学不会</v>
      </c>
      <c r="T1839" s="4">
        <f ca="1">_xlfn.IFNA(VLOOKUP(INDIRECT("G"&amp;ROW()),minfo!$A:$M,COLUMN()-8,0),"")</f>
        <v>18991884</v>
      </c>
      <c r="U1839" s="4">
        <f ca="1">_xlfn.IFNA(VLOOKUP(INDIRECT("G"&amp;ROW()),minfo!$A:$M,COLUMN()-8,0),"")</f>
        <v>0</v>
      </c>
    </row>
    <row r="1840" spans="1:21" ht="15.75" customHeight="1">
      <c r="A1840" s="15">
        <v>1839</v>
      </c>
      <c r="D1840" s="4">
        <v>1</v>
      </c>
      <c r="E1840" s="4" t="s">
        <v>113</v>
      </c>
      <c r="F1840" s="16">
        <v>45388</v>
      </c>
      <c r="G1840" s="5" t="s">
        <v>113</v>
      </c>
      <c r="H1840" s="5" t="s">
        <v>5594</v>
      </c>
      <c r="I1840" s="24" t="str">
        <f>HYPERLINK("https://www.bilibili.com/video/BV16p421y7j9?p=1", "BV16p421y7j9?p=1")</f>
        <v>BV16p421y7j9?p=1</v>
      </c>
      <c r="J1840" s="4" t="str">
        <f ca="1">_xlfn.IFNA(VLOOKUP(INDIRECT("G"&amp;ROW()),minfo!$A:$M,COLUMN()-8,0),"")</f>
        <v>牡丹亭畔</v>
      </c>
      <c r="K1840" s="4" t="str">
        <f ca="1">_xlfn.IFNA(VLOOKUP(INDIRECT("G"&amp;ROW()),minfo!$A:$M,COLUMN()-8,0),"")</f>
        <v>说说Crystal</v>
      </c>
      <c r="L1840" s="4" t="str">
        <f ca="1">_xlfn.IFNA(VLOOKUP(INDIRECT("G"&amp;ROW()),minfo!$A:$M,COLUMN()-8,0),"")</f>
        <v>BV1CP411M7tc</v>
      </c>
      <c r="M1840" s="4">
        <f ca="1">_xlfn.IFNA(VLOOKUP(INDIRECT("G"&amp;ROW()),minfo!$A:$M,COLUMN()-8,0),"")</f>
        <v>0</v>
      </c>
      <c r="N1840" s="4">
        <f ca="1">_xlfn.IFNA(VLOOKUP(INDIRECT("G"&amp;ROW()),minfo!$A:$M,COLUMN()-8,0),"")</f>
        <v>0</v>
      </c>
      <c r="O1840" s="4">
        <f ca="1">_xlfn.IFNA(VLOOKUP(INDIRECT("G"&amp;ROW()),minfo!$A:$M,COLUMN()-8,0),"")</f>
        <v>0</v>
      </c>
      <c r="P1840" s="4">
        <f ca="1">_xlfn.IFNA(VLOOKUP(INDIRECT("G"&amp;ROW()),minfo!$A:$M,COLUMN()-8,0),"")</f>
        <v>0</v>
      </c>
      <c r="Q1840" s="4">
        <f ca="1">_xlfn.IFNA(VLOOKUP(INDIRECT("G"&amp;ROW()),minfo!$A:$M,COLUMN()-8,0),"")</f>
        <v>0</v>
      </c>
      <c r="R1840" s="4">
        <f ca="1">_xlfn.IFNA(VLOOKUP(INDIRECT("G"&amp;ROW()),minfo!$A:$M,COLUMN()-8,0),"")</f>
        <v>0</v>
      </c>
      <c r="S1840" s="4">
        <f ca="1">_xlfn.IFNA(VLOOKUP(INDIRECT("G"&amp;ROW()),minfo!$A:$M,COLUMN()-8,0),"")</f>
        <v>0</v>
      </c>
      <c r="T1840" s="4">
        <f ca="1">_xlfn.IFNA(VLOOKUP(INDIRECT("G"&amp;ROW()),minfo!$A:$M,COLUMN()-8,0),"")</f>
        <v>0</v>
      </c>
      <c r="U1840" s="4">
        <f ca="1">_xlfn.IFNA(VLOOKUP(INDIRECT("G"&amp;ROW()),minfo!$A:$M,COLUMN()-8,0),"")</f>
        <v>0</v>
      </c>
    </row>
    <row r="1841" spans="1:21" ht="15.75" customHeight="1">
      <c r="A1841" s="15">
        <v>1840</v>
      </c>
      <c r="D1841" s="4">
        <v>1</v>
      </c>
      <c r="E1841" s="4" t="s">
        <v>418</v>
      </c>
      <c r="F1841" s="16">
        <v>45390</v>
      </c>
      <c r="G1841" s="5" t="s">
        <v>417</v>
      </c>
      <c r="H1841" s="5" t="s">
        <v>5595</v>
      </c>
      <c r="I1841" s="24" t="str">
        <f>HYPERLINK("https://www.bilibili.com/video/BV1CM4m197b6?p=1", "BV1CM4m197b6?p=1")</f>
        <v>BV1CM4m197b6?p=1</v>
      </c>
      <c r="J1841" s="4" t="str">
        <f ca="1">_xlfn.IFNA(VLOOKUP(INDIRECT("G"&amp;ROW()),minfo!$A:$M,COLUMN()-8,0),"")</f>
        <v>甜甜的</v>
      </c>
      <c r="K1841" s="4" t="str">
        <f ca="1">_xlfn.IFNA(VLOOKUP(INDIRECT("G"&amp;ROW()),minfo!$A:$M,COLUMN()-8,0),"")</f>
        <v>周杰伦</v>
      </c>
      <c r="L1841" s="4">
        <f ca="1">_xlfn.IFNA(VLOOKUP(INDIRECT("G"&amp;ROW()),minfo!$A:$M,COLUMN()-8,0),"")</f>
        <v>0</v>
      </c>
      <c r="M1841" s="4">
        <f ca="1">_xlfn.IFNA(VLOOKUP(INDIRECT("G"&amp;ROW()),minfo!$A:$M,COLUMN()-8,0),"")</f>
        <v>0</v>
      </c>
      <c r="N1841" s="4">
        <f ca="1">_xlfn.IFNA(VLOOKUP(INDIRECT("G"&amp;ROW()),minfo!$A:$M,COLUMN()-8,0),"")</f>
        <v>0</v>
      </c>
      <c r="O1841" s="4" t="str">
        <f ca="1">_xlfn.IFNA(VLOOKUP(INDIRECT("G"&amp;ROW()),minfo!$A:$M,COLUMN()-8,0),"")</f>
        <v>http://i0.hdslb.com/bfs/station_src/music_metadata/b70b267ed4b8e6627ef2fddb400bc930.jpg</v>
      </c>
      <c r="P1841" s="4" t="str">
        <f ca="1">_xlfn.IFNA(VLOOKUP(INDIRECT("G"&amp;ROW()),minfo!$A:$M,COLUMN()-8,0),"")</f>
        <v>http://i0.hdslb.com/bfs/station_src/music_metadata/279ee78db41e6396428b468a8620d95b</v>
      </c>
      <c r="Q1841" s="4">
        <f ca="1">_xlfn.IFNA(VLOOKUP(INDIRECT("G"&amp;ROW()),minfo!$A:$M,COLUMN()-8,0),"")</f>
        <v>1115</v>
      </c>
      <c r="R1841" s="4">
        <f ca="1">_xlfn.IFNA(VLOOKUP(INDIRECT("G"&amp;ROW()),minfo!$A:$M,COLUMN()-8,0),"")</f>
        <v>0</v>
      </c>
      <c r="S1841" s="4" t="str">
        <f ca="1">_xlfn.IFNA(VLOOKUP(INDIRECT("G"&amp;ROW()),minfo!$A:$M,COLUMN()-8,0),"")</f>
        <v>我很忙</v>
      </c>
      <c r="T1841" s="4">
        <f ca="1">_xlfn.IFNA(VLOOKUP(INDIRECT("G"&amp;ROW()),minfo!$A:$M,COLUMN()-8,0),"")</f>
        <v>514709406</v>
      </c>
      <c r="U1841" s="4">
        <f ca="1">_xlfn.IFNA(VLOOKUP(INDIRECT("G"&amp;ROW()),minfo!$A:$M,COLUMN()-8,0),"")</f>
        <v>0</v>
      </c>
    </row>
    <row r="1842" spans="1:21" ht="15.75" customHeight="1">
      <c r="A1842" s="15">
        <v>1841</v>
      </c>
      <c r="D1842" s="4">
        <v>1</v>
      </c>
      <c r="E1842" s="4" t="s">
        <v>985</v>
      </c>
      <c r="F1842" s="16">
        <v>45390</v>
      </c>
      <c r="G1842" s="5" t="s">
        <v>984</v>
      </c>
      <c r="H1842" s="5" t="s">
        <v>5596</v>
      </c>
      <c r="I1842" s="24" t="str">
        <f>HYPERLINK("https://www.bilibili.com/video/BV1qt421J7qg?p=1", "BV1qt421J7qg?p=1")</f>
        <v>BV1qt421J7qg?p=1</v>
      </c>
      <c r="J1842" s="4" t="str">
        <f ca="1">_xlfn.IFNA(VLOOKUP(INDIRECT("G"&amp;ROW()),minfo!$A:$M,COLUMN()-8,0),"")</f>
        <v>黑色幽默</v>
      </c>
      <c r="K1842" s="4" t="str">
        <f ca="1">_xlfn.IFNA(VLOOKUP(INDIRECT("G"&amp;ROW()),minfo!$A:$M,COLUMN()-8,0),"")</f>
        <v>周杰伦</v>
      </c>
      <c r="L1842" s="4">
        <f ca="1">_xlfn.IFNA(VLOOKUP(INDIRECT("G"&amp;ROW()),minfo!$A:$M,COLUMN()-8,0),"")</f>
        <v>0</v>
      </c>
      <c r="M1842" s="4">
        <f ca="1">_xlfn.IFNA(VLOOKUP(INDIRECT("G"&amp;ROW()),minfo!$A:$M,COLUMN()-8,0),"")</f>
        <v>0</v>
      </c>
      <c r="N1842" s="4">
        <f ca="1">_xlfn.IFNA(VLOOKUP(INDIRECT("G"&amp;ROW()),minfo!$A:$M,COLUMN()-8,0),"")</f>
        <v>0</v>
      </c>
      <c r="O1842" s="4" t="str">
        <f ca="1">_xlfn.IFNA(VLOOKUP(INDIRECT("G"&amp;ROW()),minfo!$A:$M,COLUMN()-8,0),"")</f>
        <v>http://i0.hdslb.com/bfs/station_src/music_metadata/8b249713403b3d00ccd102426b9ebda9.jpg</v>
      </c>
      <c r="P1842" s="4" t="str">
        <f ca="1">_xlfn.IFNA(VLOOKUP(INDIRECT("G"&amp;ROW()),minfo!$A:$M,COLUMN()-8,0),"")</f>
        <v>http://i0.hdslb.com/bfs/station_src/music_metadata/f8d85e0e293c6e2811bc4a179f6f1d41</v>
      </c>
      <c r="Q1842" s="4">
        <f ca="1">_xlfn.IFNA(VLOOKUP(INDIRECT("G"&amp;ROW()),minfo!$A:$M,COLUMN()-8,0),"")</f>
        <v>1040</v>
      </c>
      <c r="R1842" s="4">
        <f ca="1">_xlfn.IFNA(VLOOKUP(INDIRECT("G"&amp;ROW()),minfo!$A:$M,COLUMN()-8,0),"")</f>
        <v>0</v>
      </c>
      <c r="S1842" s="4" t="str">
        <f ca="1">_xlfn.IFNA(VLOOKUP(INDIRECT("G"&amp;ROW()),minfo!$A:$M,COLUMN()-8,0),"")</f>
        <v>Jay</v>
      </c>
      <c r="T1842" s="4">
        <f ca="1">_xlfn.IFNA(VLOOKUP(INDIRECT("G"&amp;ROW()),minfo!$A:$M,COLUMN()-8,0),"")</f>
        <v>294619498</v>
      </c>
      <c r="U1842" s="4">
        <f ca="1">_xlfn.IFNA(VLOOKUP(INDIRECT("G"&amp;ROW()),minfo!$A:$M,COLUMN()-8,0),"")</f>
        <v>0</v>
      </c>
    </row>
    <row r="1843" spans="1:21" ht="15.75" customHeight="1">
      <c r="A1843" s="15">
        <v>1842</v>
      </c>
      <c r="D1843" s="4">
        <v>1</v>
      </c>
      <c r="E1843" s="4" t="s">
        <v>319</v>
      </c>
      <c r="F1843" s="16">
        <v>45390</v>
      </c>
      <c r="G1843" s="5" t="s">
        <v>318</v>
      </c>
      <c r="H1843" s="5" t="s">
        <v>5597</v>
      </c>
      <c r="I1843" s="24" t="str">
        <f>HYPERLINK("https://www.bilibili.com/video/BV1jx421S7dD?p=1", "BV1jx421S7dD?p=1")</f>
        <v>BV1jx421S7dD?p=1</v>
      </c>
      <c r="J1843" s="4" t="str">
        <f ca="1">_xlfn.IFNA(VLOOKUP(INDIRECT("G"&amp;ROW()),minfo!$A:$M,COLUMN()-8,0),"")</f>
        <v>晴天</v>
      </c>
      <c r="K1843" s="4" t="str">
        <f ca="1">_xlfn.IFNA(VLOOKUP(INDIRECT("G"&amp;ROW()),minfo!$A:$M,COLUMN()-8,0),"")</f>
        <v>周杰伦</v>
      </c>
      <c r="L1843" s="4">
        <f ca="1">_xlfn.IFNA(VLOOKUP(INDIRECT("G"&amp;ROW()),minfo!$A:$M,COLUMN()-8,0),"")</f>
        <v>0</v>
      </c>
      <c r="M1843" s="4">
        <f ca="1">_xlfn.IFNA(VLOOKUP(INDIRECT("G"&amp;ROW()),minfo!$A:$M,COLUMN()-8,0),"")</f>
        <v>5048</v>
      </c>
      <c r="N1843" s="4">
        <f ca="1">_xlfn.IFNA(VLOOKUP(INDIRECT("G"&amp;ROW()),minfo!$A:$M,COLUMN()-8,0),"")</f>
        <v>135</v>
      </c>
      <c r="O1843" s="4" t="str">
        <f ca="1">_xlfn.IFNA(VLOOKUP(INDIRECT("G"&amp;ROW()),minfo!$A:$M,COLUMN()-8,0),"")</f>
        <v>https://i0.hdslb.com/bfs/station_src/music_metadata/2efa8f0df2aff949dee33b3f46a56312.jpg</v>
      </c>
      <c r="P1843" s="4">
        <f ca="1">_xlfn.IFNA(VLOOKUP(INDIRECT("G"&amp;ROW()),minfo!$A:$M,COLUMN()-8,0),"")</f>
        <v>0</v>
      </c>
      <c r="Q1843" s="4">
        <f ca="1">_xlfn.IFNA(VLOOKUP(INDIRECT("G"&amp;ROW()),minfo!$A:$M,COLUMN()-8,0),"")</f>
        <v>15983</v>
      </c>
      <c r="R1843" s="4">
        <f ca="1">_xlfn.IFNA(VLOOKUP(INDIRECT("G"&amp;ROW()),minfo!$A:$M,COLUMN()-8,0),"")</f>
        <v>0</v>
      </c>
      <c r="S1843" s="4" t="str">
        <f ca="1">_xlfn.IFNA(VLOOKUP(INDIRECT("G"&amp;ROW()),minfo!$A:$M,COLUMN()-8,0),"")</f>
        <v>叶惠美</v>
      </c>
      <c r="T1843" s="4">
        <f ca="1">_xlfn.IFNA(VLOOKUP(INDIRECT("G"&amp;ROW()),minfo!$A:$M,COLUMN()-8,0),"")</f>
        <v>1497162616</v>
      </c>
      <c r="U1843" s="4" t="str">
        <f ca="1">_xlfn.IFNA(VLOOKUP(INDIRECT("G"&amp;ROW()),minfo!$A:$M,COLUMN()-8,0),"")</f>
        <v>音乐榜最高NO.8</v>
      </c>
    </row>
    <row r="1844" spans="1:21" ht="15.75" customHeight="1">
      <c r="A1844" s="15">
        <v>1843</v>
      </c>
      <c r="D1844" s="4">
        <v>1</v>
      </c>
      <c r="E1844" s="4" t="s">
        <v>3041</v>
      </c>
      <c r="F1844" s="16">
        <v>45392</v>
      </c>
      <c r="G1844" s="5" t="s">
        <v>3040</v>
      </c>
      <c r="H1844" s="5" t="s">
        <v>5599</v>
      </c>
      <c r="I1844" s="24" t="str">
        <f>HYPERLINK("https://www.bilibili.com/video/BV1ep42197hr?p=1", "BV1ep42197hr?p=1")</f>
        <v>BV1ep42197hr?p=1</v>
      </c>
      <c r="J1844" s="4" t="str">
        <f ca="1">_xlfn.IFNA(VLOOKUP(INDIRECT("G"&amp;ROW()),minfo!$A:$M,COLUMN()-8,0),"")</f>
        <v>陪我歌唱</v>
      </c>
      <c r="K1844" s="4" t="str">
        <f ca="1">_xlfn.IFNA(VLOOKUP(INDIRECT("G"&amp;ROW()),minfo!$A:$M,COLUMN()-8,0),"")</f>
        <v>苏打绿</v>
      </c>
      <c r="L1844" s="4">
        <f ca="1">_xlfn.IFNA(VLOOKUP(INDIRECT("G"&amp;ROW()),minfo!$A:$M,COLUMN()-8,0),"")</f>
        <v>0</v>
      </c>
      <c r="M1844" s="4">
        <f ca="1">_xlfn.IFNA(VLOOKUP(INDIRECT("G"&amp;ROW()),minfo!$A:$M,COLUMN()-8,0),"")</f>
        <v>0</v>
      </c>
      <c r="N1844" s="4">
        <f ca="1">_xlfn.IFNA(VLOOKUP(INDIRECT("G"&amp;ROW()),minfo!$A:$M,COLUMN()-8,0),"")</f>
        <v>0</v>
      </c>
      <c r="O1844" s="4" t="str">
        <f ca="1">_xlfn.IFNA(VLOOKUP(INDIRECT("G"&amp;ROW()),minfo!$A:$M,COLUMN()-8,0),"")</f>
        <v>https://i0.hdslb.com/bfs/station_src/music_metadata/d1866137a55e3bfd54656084f70d6f21.jpg</v>
      </c>
      <c r="P1844" s="4" t="str">
        <f ca="1">_xlfn.IFNA(VLOOKUP(INDIRECT("G"&amp;ROW()),minfo!$A:$M,COLUMN()-8,0),"")</f>
        <v>https://i0.hdslb.com/bfs/station_src/music_metadata/a46b2487416574fd19a099188181565d.txt</v>
      </c>
      <c r="Q1844" s="4">
        <f ca="1">_xlfn.IFNA(VLOOKUP(INDIRECT("G"&amp;ROW()),minfo!$A:$M,COLUMN()-8,0),"")</f>
        <v>0</v>
      </c>
      <c r="R1844" s="4">
        <f ca="1">_xlfn.IFNA(VLOOKUP(INDIRECT("G"&amp;ROW()),minfo!$A:$M,COLUMN()-8,0),"")</f>
        <v>0</v>
      </c>
      <c r="S1844" s="4" t="str">
        <f ca="1">_xlfn.IFNA(VLOOKUP(INDIRECT("G"&amp;ROW()),minfo!$A:$M,COLUMN()-8,0),"")</f>
        <v>陪我歌唱 (苏打绿版)</v>
      </c>
      <c r="T1844" s="4">
        <f ca="1">_xlfn.IFNA(VLOOKUP(INDIRECT("G"&amp;ROW()),minfo!$A:$M,COLUMN()-8,0),"")</f>
        <v>493220</v>
      </c>
      <c r="U1844" s="4">
        <f ca="1">_xlfn.IFNA(VLOOKUP(INDIRECT("G"&amp;ROW()),minfo!$A:$M,COLUMN()-8,0),"")</f>
        <v>0</v>
      </c>
    </row>
    <row r="1845" spans="1:21" ht="15.75" customHeight="1">
      <c r="A1845" s="15">
        <v>1844</v>
      </c>
      <c r="D1845" s="4">
        <v>1</v>
      </c>
      <c r="E1845" s="4" t="s">
        <v>2189</v>
      </c>
      <c r="F1845" s="16">
        <v>45392</v>
      </c>
      <c r="G1845" s="5" t="s">
        <v>2188</v>
      </c>
      <c r="H1845" s="5" t="s">
        <v>5600</v>
      </c>
      <c r="I1845" s="24" t="str">
        <f>HYPERLINK("https://www.bilibili.com/video/BV1wT421m7Xg?p=1", "BV1wT421m7Xg?p=1")</f>
        <v>BV1wT421m7Xg?p=1</v>
      </c>
      <c r="J1845" s="4" t="str">
        <f ca="1">_xlfn.IFNA(VLOOKUP(INDIRECT("G"&amp;ROW()),minfo!$A:$M,COLUMN()-8,0),"")</f>
        <v>无与伦比的美丽</v>
      </c>
      <c r="K1845" s="4" t="str">
        <f ca="1">_xlfn.IFNA(VLOOKUP(INDIRECT("G"&amp;ROW()),minfo!$A:$M,COLUMN()-8,0),"")</f>
        <v>苏打绿</v>
      </c>
      <c r="L1845" s="4">
        <f ca="1">_xlfn.IFNA(VLOOKUP(INDIRECT("G"&amp;ROW()),minfo!$A:$M,COLUMN()-8,0),"")</f>
        <v>0</v>
      </c>
      <c r="M1845" s="4">
        <f ca="1">_xlfn.IFNA(VLOOKUP(INDIRECT("G"&amp;ROW()),minfo!$A:$M,COLUMN()-8,0),"")</f>
        <v>0</v>
      </c>
      <c r="N1845" s="4">
        <f ca="1">_xlfn.IFNA(VLOOKUP(INDIRECT("G"&amp;ROW()),minfo!$A:$M,COLUMN()-8,0),"")</f>
        <v>0</v>
      </c>
      <c r="O1845" s="4" t="str">
        <f ca="1">_xlfn.IFNA(VLOOKUP(INDIRECT("G"&amp;ROW()),minfo!$A:$M,COLUMN()-8,0),"")</f>
        <v>https://i0.hdslb.com/bfs/station_src/music_metadata/1ae4d73925ac180dfcc11b0564d7b0c6.jpg</v>
      </c>
      <c r="P1845" s="4" t="str">
        <f ca="1">_xlfn.IFNA(VLOOKUP(INDIRECT("G"&amp;ROW()),minfo!$A:$M,COLUMN()-8,0),"")</f>
        <v>https://i0.hdslb.com/bfs/station_src/music_metadata/837fc03670cecb734e00da7c39983313.txt</v>
      </c>
      <c r="Q1845" s="4">
        <f ca="1">_xlfn.IFNA(VLOOKUP(INDIRECT("G"&amp;ROW()),minfo!$A:$M,COLUMN()-8,0),"")</f>
        <v>290</v>
      </c>
      <c r="R1845" s="4">
        <f ca="1">_xlfn.IFNA(VLOOKUP(INDIRECT("G"&amp;ROW()),minfo!$A:$M,COLUMN()-8,0),"")</f>
        <v>0</v>
      </c>
      <c r="S1845" s="4" t="str">
        <f ca="1">_xlfn.IFNA(VLOOKUP(INDIRECT("G"&amp;ROW()),minfo!$A:$M,COLUMN()-8,0),"")</f>
        <v>Walk Together Live 2012台北小巨蛋演唱会</v>
      </c>
      <c r="T1845" s="4">
        <f ca="1">_xlfn.IFNA(VLOOKUP(INDIRECT("G"&amp;ROW()),minfo!$A:$M,COLUMN()-8,0),"")</f>
        <v>53246846</v>
      </c>
      <c r="U1845" s="4">
        <f ca="1">_xlfn.IFNA(VLOOKUP(INDIRECT("G"&amp;ROW()),minfo!$A:$M,COLUMN()-8,0),"")</f>
        <v>0</v>
      </c>
    </row>
    <row r="1846" spans="1:21" ht="15.75" customHeight="1">
      <c r="A1846" s="15">
        <v>1845</v>
      </c>
      <c r="D1846" s="4">
        <v>1</v>
      </c>
      <c r="E1846" s="4" t="s">
        <v>1216</v>
      </c>
      <c r="F1846" s="16">
        <v>45392</v>
      </c>
      <c r="G1846" s="5" t="s">
        <v>1215</v>
      </c>
      <c r="H1846" s="5" t="s">
        <v>5601</v>
      </c>
      <c r="I1846" s="24" t="str">
        <f>HYPERLINK("https://www.bilibili.com/video/BV1hm42177tk?p=1", "BV1hm42177tk?p=1")</f>
        <v>BV1hm42177tk?p=1</v>
      </c>
      <c r="J1846" s="4" t="str">
        <f ca="1">_xlfn.IFNA(VLOOKUP(INDIRECT("G"&amp;ROW()),minfo!$A:$M,COLUMN()-8,0),"")</f>
        <v>记念</v>
      </c>
      <c r="K1846" s="4" t="str">
        <f ca="1">_xlfn.IFNA(VLOOKUP(INDIRECT("G"&amp;ROW()),minfo!$A:$M,COLUMN()-8,0),"")</f>
        <v>雷雨心</v>
      </c>
      <c r="L1846" s="4">
        <f ca="1">_xlfn.IFNA(VLOOKUP(INDIRECT("G"&amp;ROW()),minfo!$A:$M,COLUMN()-8,0),"")</f>
        <v>0</v>
      </c>
      <c r="M1846" s="4">
        <f ca="1">_xlfn.IFNA(VLOOKUP(INDIRECT("G"&amp;ROW()),minfo!$A:$M,COLUMN()-8,0),"")</f>
        <v>0</v>
      </c>
      <c r="N1846" s="4">
        <f ca="1">_xlfn.IFNA(VLOOKUP(INDIRECT("G"&amp;ROW()),minfo!$A:$M,COLUMN()-8,0),"")</f>
        <v>0</v>
      </c>
      <c r="O1846" s="4" t="str">
        <f ca="1">_xlfn.IFNA(VLOOKUP(INDIRECT("G"&amp;ROW()),minfo!$A:$M,COLUMN()-8,0),"")</f>
        <v>https://i0.hdslb.com/bfs/station_src/music_metadata/c08c2683a436e2bfa6a0d5ee7d5c2d0f.jpg</v>
      </c>
      <c r="P1846" s="4" t="str">
        <f ca="1">_xlfn.IFNA(VLOOKUP(INDIRECT("G"&amp;ROW()),minfo!$A:$M,COLUMN()-8,0),"")</f>
        <v>https://i0.hdslb.com/bfs/station_src/music_metadata/d2d618c34e10f2e1fef9760cbfebb47c.txt</v>
      </c>
      <c r="Q1846" s="4">
        <f ca="1">_xlfn.IFNA(VLOOKUP(INDIRECT("G"&amp;ROW()),minfo!$A:$M,COLUMN()-8,0),"")</f>
        <v>4</v>
      </c>
      <c r="R1846" s="4" t="str">
        <f ca="1">_xlfn.IFNA(VLOOKUP(INDIRECT("G"&amp;ROW()),minfo!$A:$M,COLUMN()-8,0),"")</f>
        <v>《玻璃之脑》电影中文版主题曲</v>
      </c>
      <c r="S1846" s="4" t="str">
        <f ca="1">_xlfn.IFNA(VLOOKUP(INDIRECT("G"&amp;ROW()),minfo!$A:$M,COLUMN()-8,0),"")</f>
        <v>记念</v>
      </c>
      <c r="T1846" s="4">
        <f ca="1">_xlfn.IFNA(VLOOKUP(INDIRECT("G"&amp;ROW()),minfo!$A:$M,COLUMN()-8,0),"")</f>
        <v>5997802</v>
      </c>
      <c r="U1846" s="4">
        <f ca="1">_xlfn.IFNA(VLOOKUP(INDIRECT("G"&amp;ROW()),minfo!$A:$M,COLUMN()-8,0),"")</f>
        <v>0</v>
      </c>
    </row>
    <row r="1847" spans="1:21" ht="15.75" customHeight="1">
      <c r="A1847" s="15">
        <v>1846</v>
      </c>
      <c r="D1847" s="4">
        <v>1</v>
      </c>
      <c r="E1847" s="4" t="s">
        <v>2322</v>
      </c>
      <c r="F1847" s="16">
        <v>45392</v>
      </c>
      <c r="G1847" s="5" t="s">
        <v>2321</v>
      </c>
      <c r="H1847" s="5" t="s">
        <v>5602</v>
      </c>
      <c r="I1847" s="24" t="str">
        <f>HYPERLINK("https://www.bilibili.com/video/BV1xK421a7MD?p=1", "BV1xK421a7MD?p=1")</f>
        <v>BV1xK421a7MD?p=1</v>
      </c>
      <c r="J1847" s="4" t="str">
        <f ca="1">_xlfn.IFNA(VLOOKUP(INDIRECT("G"&amp;ROW()),minfo!$A:$M,COLUMN()-8,0),"")</f>
        <v>宝贝</v>
      </c>
      <c r="K1847" s="4" t="str">
        <f ca="1">_xlfn.IFNA(VLOOKUP(INDIRECT("G"&amp;ROW()),minfo!$A:$M,COLUMN()-8,0),"")</f>
        <v>张悬</v>
      </c>
      <c r="L1847" s="4">
        <f ca="1">_xlfn.IFNA(VLOOKUP(INDIRECT("G"&amp;ROW()),minfo!$A:$M,COLUMN()-8,0),"")</f>
        <v>0</v>
      </c>
      <c r="M1847" s="4">
        <f ca="1">_xlfn.IFNA(VLOOKUP(INDIRECT("G"&amp;ROW()),minfo!$A:$M,COLUMN()-8,0),"")</f>
        <v>0</v>
      </c>
      <c r="N1847" s="4">
        <f ca="1">_xlfn.IFNA(VLOOKUP(INDIRECT("G"&amp;ROW()),minfo!$A:$M,COLUMN()-8,0),"")</f>
        <v>0</v>
      </c>
      <c r="O1847" s="4" t="str">
        <f ca="1">_xlfn.IFNA(VLOOKUP(INDIRECT("G"&amp;ROW()),minfo!$A:$M,COLUMN()-8,0),"")</f>
        <v>https://i0.hdslb.com/bfs/station_src/music_metadata/7d0b1aa106b4a6a94bc0ffdd78a1ad23.jpg</v>
      </c>
      <c r="P1847" s="4" t="str">
        <f ca="1">_xlfn.IFNA(VLOOKUP(INDIRECT("G"&amp;ROW()),minfo!$A:$M,COLUMN()-8,0),"")</f>
        <v>https://i0.hdslb.com/bfs/station_src/music_metadata/cdce23b8d73a5ec76812a5995cbc22fa.txt</v>
      </c>
      <c r="Q1847" s="4">
        <f ca="1">_xlfn.IFNA(VLOOKUP(INDIRECT("G"&amp;ROW()),minfo!$A:$M,COLUMN()-8,0),"")</f>
        <v>185</v>
      </c>
      <c r="R1847" s="4">
        <f ca="1">_xlfn.IFNA(VLOOKUP(INDIRECT("G"&amp;ROW()),minfo!$A:$M,COLUMN()-8,0),"")</f>
        <v>0</v>
      </c>
      <c r="S1847" s="4" t="str">
        <f ca="1">_xlfn.IFNA(VLOOKUP(INDIRECT("G"&amp;ROW()),minfo!$A:$M,COLUMN()-8,0),"")</f>
        <v>my life will…</v>
      </c>
      <c r="T1847" s="4">
        <f ca="1">_xlfn.IFNA(VLOOKUP(INDIRECT("G"&amp;ROW()),minfo!$A:$M,COLUMN()-8,0),"")</f>
        <v>91894714</v>
      </c>
      <c r="U1847" s="4">
        <f ca="1">_xlfn.IFNA(VLOOKUP(INDIRECT("G"&amp;ROW()),minfo!$A:$M,COLUMN()-8,0),"")</f>
        <v>0</v>
      </c>
    </row>
    <row r="1848" spans="1:21" ht="15.75" customHeight="1">
      <c r="A1848" s="15">
        <v>1847</v>
      </c>
      <c r="D1848" s="4">
        <v>1</v>
      </c>
      <c r="E1848" s="4" t="s">
        <v>1698</v>
      </c>
      <c r="F1848" s="16">
        <v>45392</v>
      </c>
      <c r="G1848" s="5" t="s">
        <v>1697</v>
      </c>
      <c r="H1848" s="5" t="s">
        <v>5603</v>
      </c>
      <c r="I1848" s="24" t="str">
        <f>HYPERLINK("https://www.bilibili.com/video/BV1Rx421U7vt?p=1", "BV1Rx421U7vt?p=1")</f>
        <v>BV1Rx421U7vt?p=1</v>
      </c>
      <c r="J1848" s="4" t="str">
        <f ca="1">_xlfn.IFNA(VLOOKUP(INDIRECT("G"&amp;ROW()),minfo!$A:$M,COLUMN()-8,0),"")</f>
        <v>再遇见</v>
      </c>
      <c r="K1848" s="4" t="str">
        <f ca="1">_xlfn.IFNA(VLOOKUP(INDIRECT("G"&amp;ROW()),minfo!$A:$M,COLUMN()-8,0),"")</f>
        <v>苏打绿</v>
      </c>
      <c r="L1848" s="4">
        <f ca="1">_xlfn.IFNA(VLOOKUP(INDIRECT("G"&amp;ROW()),minfo!$A:$M,COLUMN()-8,0),"")</f>
        <v>0</v>
      </c>
      <c r="M1848" s="4">
        <f ca="1">_xlfn.IFNA(VLOOKUP(INDIRECT("G"&amp;ROW()),minfo!$A:$M,COLUMN()-8,0),"")</f>
        <v>0</v>
      </c>
      <c r="N1848" s="4">
        <f ca="1">_xlfn.IFNA(VLOOKUP(INDIRECT("G"&amp;ROW()),minfo!$A:$M,COLUMN()-8,0),"")</f>
        <v>0</v>
      </c>
      <c r="O1848" s="4" t="str">
        <f ca="1">_xlfn.IFNA(VLOOKUP(INDIRECT("G"&amp;ROW()),minfo!$A:$M,COLUMN()-8,0),"")</f>
        <v>https://i0.hdslb.com/bfs/station_src/music_metadata/a9b3cc3d098eca9c8e1558943ba693dc.jpg</v>
      </c>
      <c r="P1848" s="4" t="str">
        <f ca="1">_xlfn.IFNA(VLOOKUP(INDIRECT("G"&amp;ROW()),minfo!$A:$M,COLUMN()-8,0),"")</f>
        <v>https://i0.hdslb.com/bfs/station_src/music_metadata/cfe2c0a134e1f366de1194f09697b3b7.txt</v>
      </c>
      <c r="Q1848" s="4">
        <f ca="1">_xlfn.IFNA(VLOOKUP(INDIRECT("G"&amp;ROW()),minfo!$A:$M,COLUMN()-8,0),"")</f>
        <v>32</v>
      </c>
      <c r="R1848" s="4">
        <f ca="1">_xlfn.IFNA(VLOOKUP(INDIRECT("G"&amp;ROW()),minfo!$A:$M,COLUMN()-8,0),"")</f>
        <v>0</v>
      </c>
      <c r="S1848" s="4" t="str">
        <f ca="1">_xlfn.IFNA(VLOOKUP(INDIRECT("G"&amp;ROW()),minfo!$A:$M,COLUMN()-8,0),"")</f>
        <v>中国音乐电视</v>
      </c>
      <c r="T1848" s="4">
        <f ca="1">_xlfn.IFNA(VLOOKUP(INDIRECT("G"&amp;ROW()),minfo!$A:$M,COLUMN()-8,0),"")</f>
        <v>8068421</v>
      </c>
      <c r="U1848" s="4">
        <f ca="1">_xlfn.IFNA(VLOOKUP(INDIRECT("G"&amp;ROW()),minfo!$A:$M,COLUMN()-8,0),"")</f>
        <v>0</v>
      </c>
    </row>
    <row r="1849" spans="1:21" ht="15.75" customHeight="1">
      <c r="A1849" s="15">
        <v>1848</v>
      </c>
      <c r="D1849" s="4">
        <v>1</v>
      </c>
      <c r="E1849" s="4" t="s">
        <v>3271</v>
      </c>
      <c r="F1849" s="16">
        <v>45392</v>
      </c>
      <c r="G1849" s="5" t="s">
        <v>3271</v>
      </c>
      <c r="H1849" s="5" t="s">
        <v>5604</v>
      </c>
      <c r="I1849" s="24" t="str">
        <f>HYPERLINK("https://www.bilibili.com/video/BV1ZE421M71C?p=1", "BV1ZE421M71C?p=1")</f>
        <v>BV1ZE421M71C?p=1</v>
      </c>
      <c r="J1849" s="4" t="str">
        <f ca="1">_xlfn.IFNA(VLOOKUP(INDIRECT("G"&amp;ROW()),minfo!$A:$M,COLUMN()-8,0),"")</f>
        <v>太空人</v>
      </c>
      <c r="K1849" s="4" t="str">
        <f ca="1">_xlfn.IFNA(VLOOKUP(INDIRECT("G"&amp;ROW()),minfo!$A:$M,COLUMN()-8,0),"")</f>
        <v>吴青峰</v>
      </c>
      <c r="L1849" s="4">
        <f ca="1">_xlfn.IFNA(VLOOKUP(INDIRECT("G"&amp;ROW()),minfo!$A:$M,COLUMN()-8,0),"")</f>
        <v>0</v>
      </c>
      <c r="M1849" s="4">
        <f ca="1">_xlfn.IFNA(VLOOKUP(INDIRECT("G"&amp;ROW()),minfo!$A:$M,COLUMN()-8,0),"")</f>
        <v>0</v>
      </c>
      <c r="N1849" s="4">
        <f ca="1">_xlfn.IFNA(VLOOKUP(INDIRECT("G"&amp;ROW()),minfo!$A:$M,COLUMN()-8,0),"")</f>
        <v>0</v>
      </c>
      <c r="O1849" s="4">
        <f ca="1">_xlfn.IFNA(VLOOKUP(INDIRECT("G"&amp;ROW()),minfo!$A:$M,COLUMN()-8,0),"")</f>
        <v>0</v>
      </c>
      <c r="P1849" s="4">
        <f ca="1">_xlfn.IFNA(VLOOKUP(INDIRECT("G"&amp;ROW()),minfo!$A:$M,COLUMN()-8,0),"")</f>
        <v>0</v>
      </c>
      <c r="Q1849" s="4">
        <f ca="1">_xlfn.IFNA(VLOOKUP(INDIRECT("G"&amp;ROW()),minfo!$A:$M,COLUMN()-8,0),"")</f>
        <v>0</v>
      </c>
      <c r="R1849" s="4">
        <f ca="1">_xlfn.IFNA(VLOOKUP(INDIRECT("G"&amp;ROW()),minfo!$A:$M,COLUMN()-8,0),"")</f>
        <v>0</v>
      </c>
      <c r="S1849" s="4">
        <f ca="1">_xlfn.IFNA(VLOOKUP(INDIRECT("G"&amp;ROW()),minfo!$A:$M,COLUMN()-8,0),"")</f>
        <v>0</v>
      </c>
      <c r="T1849" s="4">
        <f ca="1">_xlfn.IFNA(VLOOKUP(INDIRECT("G"&amp;ROW()),minfo!$A:$M,COLUMN()-8,0),"")</f>
        <v>0</v>
      </c>
      <c r="U1849" s="4">
        <f ca="1">_xlfn.IFNA(VLOOKUP(INDIRECT("G"&amp;ROW()),minfo!$A:$M,COLUMN()-8,0),"")</f>
        <v>0</v>
      </c>
    </row>
    <row r="1850" spans="1:21" ht="15.75" customHeight="1">
      <c r="A1850" s="15">
        <v>1849</v>
      </c>
      <c r="D1850" s="4">
        <v>1</v>
      </c>
      <c r="E1850" s="4" t="s">
        <v>1184</v>
      </c>
      <c r="F1850" s="16">
        <v>45392</v>
      </c>
      <c r="G1850" s="5" t="s">
        <v>1183</v>
      </c>
      <c r="H1850" s="5" t="s">
        <v>5605</v>
      </c>
      <c r="I1850" s="24" t="str">
        <f>HYPERLINK("https://www.bilibili.com/video/BV1vA4m1F7sh?p=1", "BV1vA4m1F7sh?p=1")</f>
        <v>BV1vA4m1F7sh?p=1</v>
      </c>
      <c r="J1850" s="4" t="str">
        <f ca="1">_xlfn.IFNA(VLOOKUP(INDIRECT("G"&amp;ROW()),minfo!$A:$M,COLUMN()-8,0),"")</f>
        <v>喜欢寂寞</v>
      </c>
      <c r="K1850" s="4" t="str">
        <f ca="1">_xlfn.IFNA(VLOOKUP(INDIRECT("G"&amp;ROW()),minfo!$A:$M,COLUMN()-8,0),"")</f>
        <v>苏打绿</v>
      </c>
      <c r="L1850" s="4">
        <f ca="1">_xlfn.IFNA(VLOOKUP(INDIRECT("G"&amp;ROW()),minfo!$A:$M,COLUMN()-8,0),"")</f>
        <v>0</v>
      </c>
      <c r="M1850" s="4">
        <f ca="1">_xlfn.IFNA(VLOOKUP(INDIRECT("G"&amp;ROW()),minfo!$A:$M,COLUMN()-8,0),"")</f>
        <v>0</v>
      </c>
      <c r="N1850" s="4">
        <f ca="1">_xlfn.IFNA(VLOOKUP(INDIRECT("G"&amp;ROW()),minfo!$A:$M,COLUMN()-8,0),"")</f>
        <v>0</v>
      </c>
      <c r="O1850" s="4" t="str">
        <f ca="1">_xlfn.IFNA(VLOOKUP(INDIRECT("G"&amp;ROW()),minfo!$A:$M,COLUMN()-8,0),"")</f>
        <v>https://i0.hdslb.com/bfs/station_src/music_metadata/d121c3715408b7ed00de8d570a7c5b94.jpg</v>
      </c>
      <c r="P1850" s="4" t="str">
        <f ca="1">_xlfn.IFNA(VLOOKUP(INDIRECT("G"&amp;ROW()),minfo!$A:$M,COLUMN()-8,0),"")</f>
        <v>https://i0.hdslb.com/bfs/station_src/music_metadata/7751ffa790ea57dc1e90f19496ce8669.txt</v>
      </c>
      <c r="Q1850" s="4">
        <f ca="1">_xlfn.IFNA(VLOOKUP(INDIRECT("G"&amp;ROW()),minfo!$A:$M,COLUMN()-8,0),"")</f>
        <v>13</v>
      </c>
      <c r="R1850" s="4">
        <f ca="1">_xlfn.IFNA(VLOOKUP(INDIRECT("G"&amp;ROW()),minfo!$A:$M,COLUMN()-8,0),"")</f>
        <v>0</v>
      </c>
      <c r="S1850" s="4" t="str">
        <f ca="1">_xlfn.IFNA(VLOOKUP(INDIRECT("G"&amp;ROW()),minfo!$A:$M,COLUMN()-8,0),"")</f>
        <v>2011 Hit Fm 年度百首单曲</v>
      </c>
      <c r="T1850" s="4">
        <f ca="1">_xlfn.IFNA(VLOOKUP(INDIRECT("G"&amp;ROW()),minfo!$A:$M,COLUMN()-8,0),"")</f>
        <v>6139411</v>
      </c>
      <c r="U1850" s="4">
        <f ca="1">_xlfn.IFNA(VLOOKUP(INDIRECT("G"&amp;ROW()),minfo!$A:$M,COLUMN()-8,0),"")</f>
        <v>0</v>
      </c>
    </row>
    <row r="1851" spans="1:21" ht="15.75" customHeight="1">
      <c r="A1851" s="15">
        <v>1850</v>
      </c>
      <c r="D1851" s="4">
        <v>1</v>
      </c>
      <c r="E1851" s="4" t="s">
        <v>3176</v>
      </c>
      <c r="F1851" s="16">
        <v>45392</v>
      </c>
      <c r="G1851" s="5" t="s">
        <v>3175</v>
      </c>
      <c r="H1851" s="5" t="s">
        <v>5606</v>
      </c>
      <c r="I1851" s="24" t="str">
        <f>HYPERLINK("https://www.bilibili.com/video/BV1gx4y1Y7iv?p=1", "BV1gx4y1Y7iv?p=1")</f>
        <v>BV1gx4y1Y7iv?p=1</v>
      </c>
      <c r="J1851" s="4" t="str">
        <f ca="1">_xlfn.IFNA(VLOOKUP(INDIRECT("G"&amp;ROW()),minfo!$A:$M,COLUMN()-8,0),"")</f>
        <v>可爱女人</v>
      </c>
      <c r="K1851" s="4" t="str">
        <f ca="1">_xlfn.IFNA(VLOOKUP(INDIRECT("G"&amp;ROW()),minfo!$A:$M,COLUMN()-8,0),"")</f>
        <v>周杰伦,徐若瑄</v>
      </c>
      <c r="L1851" s="4">
        <f ca="1">_xlfn.IFNA(VLOOKUP(INDIRECT("G"&amp;ROW()),minfo!$A:$M,COLUMN()-8,0),"")</f>
        <v>0</v>
      </c>
      <c r="M1851" s="4">
        <f ca="1">_xlfn.IFNA(VLOOKUP(INDIRECT("G"&amp;ROW()),minfo!$A:$M,COLUMN()-8,0),"")</f>
        <v>0</v>
      </c>
      <c r="N1851" s="4">
        <f ca="1">_xlfn.IFNA(VLOOKUP(INDIRECT("G"&amp;ROW()),minfo!$A:$M,COLUMN()-8,0),"")</f>
        <v>0</v>
      </c>
      <c r="O1851" s="4" t="str">
        <f ca="1">_xlfn.IFNA(VLOOKUP(INDIRECT("G"&amp;ROW()),minfo!$A:$M,COLUMN()-8,0),"")</f>
        <v>http://i0.hdslb.com/bfs/station_src/music_metadata/a512bd568c8051078107cf77ba492c61.jpg</v>
      </c>
      <c r="P1851" s="4" t="str">
        <f ca="1">_xlfn.IFNA(VLOOKUP(INDIRECT("G"&amp;ROW()),minfo!$A:$M,COLUMN()-8,0),"")</f>
        <v>http://i0.hdslb.com/bfs/station_src/music_metadata/2d0100c2885635fde6c054fba3eec027</v>
      </c>
      <c r="Q1851" s="4">
        <f ca="1">_xlfn.IFNA(VLOOKUP(INDIRECT("G"&amp;ROW()),minfo!$A:$M,COLUMN()-8,0),"")</f>
        <v>8134</v>
      </c>
      <c r="R1851" s="4">
        <f ca="1">_xlfn.IFNA(VLOOKUP(INDIRECT("G"&amp;ROW()),minfo!$A:$M,COLUMN()-8,0),"")</f>
        <v>0</v>
      </c>
      <c r="S1851" s="4" t="str">
        <f ca="1">_xlfn.IFNA(VLOOKUP(INDIRECT("G"&amp;ROW()),minfo!$A:$M,COLUMN()-8,0),"")</f>
        <v>Jay</v>
      </c>
      <c r="T1851" s="4">
        <f ca="1">_xlfn.IFNA(VLOOKUP(INDIRECT("G"&amp;ROW()),minfo!$A:$M,COLUMN()-8,0),"")</f>
        <v>429690273</v>
      </c>
      <c r="U1851" s="4">
        <f ca="1">_xlfn.IFNA(VLOOKUP(INDIRECT("G"&amp;ROW()),minfo!$A:$M,COLUMN()-8,0),"")</f>
        <v>0</v>
      </c>
    </row>
    <row r="1852" spans="1:21" ht="15.75" customHeight="1">
      <c r="A1852" s="15">
        <v>1851</v>
      </c>
      <c r="D1852" s="4">
        <v>1</v>
      </c>
      <c r="E1852" s="4" t="s">
        <v>3273</v>
      </c>
      <c r="F1852" s="16">
        <v>45394</v>
      </c>
      <c r="G1852" s="5" t="s">
        <v>3272</v>
      </c>
      <c r="H1852" s="5" t="s">
        <v>5607</v>
      </c>
      <c r="I1852" s="24" t="str">
        <f>HYPERLINK("https://www.bilibili.com/video/BV1yp421Q7EU?p=1", "BV1yp421Q7EU?p=1")</f>
        <v>BV1yp421Q7EU?p=1</v>
      </c>
      <c r="J1852" s="4" t="str">
        <f ca="1">_xlfn.IFNA(VLOOKUP(INDIRECT("G"&amp;ROW()),minfo!$A:$M,COLUMN()-8,0),"")</f>
        <v>玛依拉</v>
      </c>
      <c r="K1852" s="4" t="str">
        <f ca="1">_xlfn.IFNA(VLOOKUP(INDIRECT("G"&amp;ROW()),minfo!$A:$M,COLUMN()-8,0),"")</f>
        <v>郭淑珍</v>
      </c>
      <c r="L1852" s="4">
        <f ca="1">_xlfn.IFNA(VLOOKUP(INDIRECT("G"&amp;ROW()),minfo!$A:$M,COLUMN()-8,0),"")</f>
        <v>0</v>
      </c>
      <c r="M1852" s="4">
        <f ca="1">_xlfn.IFNA(VLOOKUP(INDIRECT("G"&amp;ROW()),minfo!$A:$M,COLUMN()-8,0),"")</f>
        <v>0</v>
      </c>
      <c r="N1852" s="4">
        <f ca="1">_xlfn.IFNA(VLOOKUP(INDIRECT("G"&amp;ROW()),minfo!$A:$M,COLUMN()-8,0),"")</f>
        <v>0</v>
      </c>
      <c r="O1852" s="4" t="str">
        <f ca="1">_xlfn.IFNA(VLOOKUP(INDIRECT("G"&amp;ROW()),minfo!$A:$M,COLUMN()-8,0),"")</f>
        <v>https://i0.hdslb.com/bfs/station_src/music_metadata/b9cc22a6cad2283be4ab946e98299e22.jpg</v>
      </c>
      <c r="P1852" s="4" t="str">
        <f ca="1">_xlfn.IFNA(VLOOKUP(INDIRECT("G"&amp;ROW()),minfo!$A:$M,COLUMN()-8,0),"")</f>
        <v>https://i0.hdslb.com/bfs/station_src/music_metadata/047d38a16454569ff4bde21660f51b7d.txt</v>
      </c>
      <c r="Q1852" s="4">
        <f ca="1">_xlfn.IFNA(VLOOKUP(INDIRECT("G"&amp;ROW()),minfo!$A:$M,COLUMN()-8,0),"")</f>
        <v>1</v>
      </c>
      <c r="R1852" s="4">
        <f ca="1">_xlfn.IFNA(VLOOKUP(INDIRECT("G"&amp;ROW()),minfo!$A:$M,COLUMN()-8,0),"")</f>
        <v>0</v>
      </c>
      <c r="S1852" s="4" t="str">
        <f ca="1">_xlfn.IFNA(VLOOKUP(INDIRECT("G"&amp;ROW()),minfo!$A:$M,COLUMN()-8,0),"")</f>
        <v>郭淑珍</v>
      </c>
      <c r="T1852" s="4">
        <f ca="1">_xlfn.IFNA(VLOOKUP(INDIRECT("G"&amp;ROW()),minfo!$A:$M,COLUMN()-8,0),"")</f>
        <v>5042930</v>
      </c>
      <c r="U1852" s="4">
        <f ca="1">_xlfn.IFNA(VLOOKUP(INDIRECT("G"&amp;ROW()),minfo!$A:$M,COLUMN()-8,0),"")</f>
        <v>0</v>
      </c>
    </row>
    <row r="1853" spans="1:21" ht="15.75" customHeight="1">
      <c r="A1853" s="15">
        <v>1852</v>
      </c>
      <c r="D1853" s="4">
        <v>1</v>
      </c>
      <c r="E1853" s="4" t="s">
        <v>332</v>
      </c>
      <c r="F1853" s="16">
        <v>45398</v>
      </c>
      <c r="G1853" s="5" t="s">
        <v>331</v>
      </c>
      <c r="H1853" s="5" t="s">
        <v>5608</v>
      </c>
      <c r="I1853" s="24" t="str">
        <f>HYPERLINK("https://www.bilibili.com/video/BV1YT421m7yh?p=1", "BV1YT421m7yh?p=1")</f>
        <v>BV1YT421m7yh?p=1</v>
      </c>
      <c r="J1853" s="4" t="str">
        <f ca="1">_xlfn.IFNA(VLOOKUP(INDIRECT("G"&amp;ROW()),minfo!$A:$M,COLUMN()-8,0),"")</f>
        <v>春天的芭蕾</v>
      </c>
      <c r="K1853" s="4" t="str">
        <f ca="1">_xlfn.IFNA(VLOOKUP(INDIRECT("G"&amp;ROW()),minfo!$A:$M,COLUMN()-8,0),"")</f>
        <v>常思思</v>
      </c>
      <c r="L1853" s="4">
        <f ca="1">_xlfn.IFNA(VLOOKUP(INDIRECT("G"&amp;ROW()),minfo!$A:$M,COLUMN()-8,0),"")</f>
        <v>0</v>
      </c>
      <c r="M1853" s="4">
        <f ca="1">_xlfn.IFNA(VLOOKUP(INDIRECT("G"&amp;ROW()),minfo!$A:$M,COLUMN()-8,0),"")</f>
        <v>0</v>
      </c>
      <c r="N1853" s="4">
        <f ca="1">_xlfn.IFNA(VLOOKUP(INDIRECT("G"&amp;ROW()),minfo!$A:$M,COLUMN()-8,0),"")</f>
        <v>0</v>
      </c>
      <c r="O1853" s="4" t="str">
        <f ca="1">_xlfn.IFNA(VLOOKUP(INDIRECT("G"&amp;ROW()),minfo!$A:$M,COLUMN()-8,0),"")</f>
        <v>http://i0.hdslb.com/bfs/station_src/music_metadata/7202bafed8b495edfdc98691518442b5.jpg</v>
      </c>
      <c r="P1853" s="4" t="str">
        <f ca="1">_xlfn.IFNA(VLOOKUP(INDIRECT("G"&amp;ROW()),minfo!$A:$M,COLUMN()-8,0),"")</f>
        <v>http://i0.hdslb.com/bfs/station_src/music_metadata/1faf7f1d5734fb67fc3aa5824aaf8ed2</v>
      </c>
      <c r="Q1853" s="4">
        <f ca="1">_xlfn.IFNA(VLOOKUP(INDIRECT("G"&amp;ROW()),minfo!$A:$M,COLUMN()-8,0),"")</f>
        <v>173</v>
      </c>
      <c r="R1853" s="4">
        <f ca="1">_xlfn.IFNA(VLOOKUP(INDIRECT("G"&amp;ROW()),minfo!$A:$M,COLUMN()-8,0),"")</f>
        <v>0</v>
      </c>
      <c r="S1853" s="4">
        <f ca="1">_xlfn.IFNA(VLOOKUP(INDIRECT("G"&amp;ROW()),minfo!$A:$M,COLUMN()-8,0),"")</f>
        <v>0</v>
      </c>
      <c r="T1853" s="4">
        <f ca="1">_xlfn.IFNA(VLOOKUP(INDIRECT("G"&amp;ROW()),minfo!$A:$M,COLUMN()-8,0),"")</f>
        <v>25997684</v>
      </c>
      <c r="U1853" s="4">
        <f ca="1">_xlfn.IFNA(VLOOKUP(INDIRECT("G"&amp;ROW()),minfo!$A:$M,COLUMN()-8,0),"")</f>
        <v>0</v>
      </c>
    </row>
    <row r="1854" spans="1:21" ht="15.75" customHeight="1">
      <c r="A1854" s="15">
        <v>1853</v>
      </c>
      <c r="D1854" s="4">
        <v>1</v>
      </c>
      <c r="E1854" s="4" t="s">
        <v>1698</v>
      </c>
      <c r="F1854" s="16">
        <v>45398</v>
      </c>
      <c r="G1854" s="5" t="s">
        <v>1697</v>
      </c>
      <c r="H1854" s="5" t="s">
        <v>5609</v>
      </c>
      <c r="I1854" s="24" t="str">
        <f>HYPERLINK("https://www.bilibili.com/video/BV1Ht421E7e3?p=1", "BV1Ht421E7e3?p=1")</f>
        <v>BV1Ht421E7e3?p=1</v>
      </c>
      <c r="J1854" s="4" t="str">
        <f ca="1">_xlfn.IFNA(VLOOKUP(INDIRECT("G"&amp;ROW()),minfo!$A:$M,COLUMN()-8,0),"")</f>
        <v>再遇见</v>
      </c>
      <c r="K1854" s="4" t="str">
        <f ca="1">_xlfn.IFNA(VLOOKUP(INDIRECT("G"&amp;ROW()),minfo!$A:$M,COLUMN()-8,0),"")</f>
        <v>苏打绿</v>
      </c>
      <c r="L1854" s="4">
        <f ca="1">_xlfn.IFNA(VLOOKUP(INDIRECT("G"&amp;ROW()),minfo!$A:$M,COLUMN()-8,0),"")</f>
        <v>0</v>
      </c>
      <c r="M1854" s="4">
        <f ca="1">_xlfn.IFNA(VLOOKUP(INDIRECT("G"&amp;ROW()),minfo!$A:$M,COLUMN()-8,0),"")</f>
        <v>0</v>
      </c>
      <c r="N1854" s="4">
        <f ca="1">_xlfn.IFNA(VLOOKUP(INDIRECT("G"&amp;ROW()),minfo!$A:$M,COLUMN()-8,0),"")</f>
        <v>0</v>
      </c>
      <c r="O1854" s="4" t="str">
        <f ca="1">_xlfn.IFNA(VLOOKUP(INDIRECT("G"&amp;ROW()),minfo!$A:$M,COLUMN()-8,0),"")</f>
        <v>https://i0.hdslb.com/bfs/station_src/music_metadata/a9b3cc3d098eca9c8e1558943ba693dc.jpg</v>
      </c>
      <c r="P1854" s="4" t="str">
        <f ca="1">_xlfn.IFNA(VLOOKUP(INDIRECT("G"&amp;ROW()),minfo!$A:$M,COLUMN()-8,0),"")</f>
        <v>https://i0.hdslb.com/bfs/station_src/music_metadata/cfe2c0a134e1f366de1194f09697b3b7.txt</v>
      </c>
      <c r="Q1854" s="4">
        <f ca="1">_xlfn.IFNA(VLOOKUP(INDIRECT("G"&amp;ROW()),minfo!$A:$M,COLUMN()-8,0),"")</f>
        <v>32</v>
      </c>
      <c r="R1854" s="4">
        <f ca="1">_xlfn.IFNA(VLOOKUP(INDIRECT("G"&amp;ROW()),minfo!$A:$M,COLUMN()-8,0),"")</f>
        <v>0</v>
      </c>
      <c r="S1854" s="4" t="str">
        <f ca="1">_xlfn.IFNA(VLOOKUP(INDIRECT("G"&amp;ROW()),minfo!$A:$M,COLUMN()-8,0),"")</f>
        <v>中国音乐电视</v>
      </c>
      <c r="T1854" s="4">
        <f ca="1">_xlfn.IFNA(VLOOKUP(INDIRECT("G"&amp;ROW()),minfo!$A:$M,COLUMN()-8,0),"")</f>
        <v>8068421</v>
      </c>
      <c r="U1854" s="4">
        <f ca="1">_xlfn.IFNA(VLOOKUP(INDIRECT("G"&amp;ROW()),minfo!$A:$M,COLUMN()-8,0),"")</f>
        <v>0</v>
      </c>
    </row>
    <row r="1855" spans="1:21" ht="15.75" customHeight="1">
      <c r="A1855" s="15">
        <v>1854</v>
      </c>
      <c r="D1855" s="4">
        <v>1</v>
      </c>
      <c r="E1855" s="4" t="s">
        <v>2189</v>
      </c>
      <c r="F1855" s="16">
        <v>45398</v>
      </c>
      <c r="G1855" s="5" t="s">
        <v>2188</v>
      </c>
      <c r="H1855" s="5" t="s">
        <v>5610</v>
      </c>
      <c r="I1855" s="24" t="str">
        <f>HYPERLINK("https://www.bilibili.com/video/BV1Zm411B7dq?p=1", "BV1Zm411B7dq?p=1")</f>
        <v>BV1Zm411B7dq?p=1</v>
      </c>
      <c r="J1855" s="4" t="str">
        <f ca="1">_xlfn.IFNA(VLOOKUP(INDIRECT("G"&amp;ROW()),minfo!$A:$M,COLUMN()-8,0),"")</f>
        <v>无与伦比的美丽</v>
      </c>
      <c r="K1855" s="4" t="str">
        <f ca="1">_xlfn.IFNA(VLOOKUP(INDIRECT("G"&amp;ROW()),minfo!$A:$M,COLUMN()-8,0),"")</f>
        <v>苏打绿</v>
      </c>
      <c r="L1855" s="4">
        <f ca="1">_xlfn.IFNA(VLOOKUP(INDIRECT("G"&amp;ROW()),minfo!$A:$M,COLUMN()-8,0),"")</f>
        <v>0</v>
      </c>
      <c r="M1855" s="4">
        <f ca="1">_xlfn.IFNA(VLOOKUP(INDIRECT("G"&amp;ROW()),minfo!$A:$M,COLUMN()-8,0),"")</f>
        <v>0</v>
      </c>
      <c r="N1855" s="4">
        <f ca="1">_xlfn.IFNA(VLOOKUP(INDIRECT("G"&amp;ROW()),minfo!$A:$M,COLUMN()-8,0),"")</f>
        <v>0</v>
      </c>
      <c r="O1855" s="4" t="str">
        <f ca="1">_xlfn.IFNA(VLOOKUP(INDIRECT("G"&amp;ROW()),minfo!$A:$M,COLUMN()-8,0),"")</f>
        <v>https://i0.hdslb.com/bfs/station_src/music_metadata/1ae4d73925ac180dfcc11b0564d7b0c6.jpg</v>
      </c>
      <c r="P1855" s="4" t="str">
        <f ca="1">_xlfn.IFNA(VLOOKUP(INDIRECT("G"&amp;ROW()),minfo!$A:$M,COLUMN()-8,0),"")</f>
        <v>https://i0.hdslb.com/bfs/station_src/music_metadata/837fc03670cecb734e00da7c39983313.txt</v>
      </c>
      <c r="Q1855" s="4">
        <f ca="1">_xlfn.IFNA(VLOOKUP(INDIRECT("G"&amp;ROW()),minfo!$A:$M,COLUMN()-8,0),"")</f>
        <v>290</v>
      </c>
      <c r="R1855" s="4">
        <f ca="1">_xlfn.IFNA(VLOOKUP(INDIRECT("G"&amp;ROW()),minfo!$A:$M,COLUMN()-8,0),"")</f>
        <v>0</v>
      </c>
      <c r="S1855" s="4" t="str">
        <f ca="1">_xlfn.IFNA(VLOOKUP(INDIRECT("G"&amp;ROW()),minfo!$A:$M,COLUMN()-8,0),"")</f>
        <v>Walk Together Live 2012台北小巨蛋演唱会</v>
      </c>
      <c r="T1855" s="4">
        <f ca="1">_xlfn.IFNA(VLOOKUP(INDIRECT("G"&amp;ROW()),minfo!$A:$M,COLUMN()-8,0),"")</f>
        <v>53246846</v>
      </c>
      <c r="U1855" s="4">
        <f ca="1">_xlfn.IFNA(VLOOKUP(INDIRECT("G"&amp;ROW()),minfo!$A:$M,COLUMN()-8,0),"")</f>
        <v>0</v>
      </c>
    </row>
    <row r="1856" spans="1:21" ht="15.75" customHeight="1">
      <c r="A1856" s="15">
        <v>1855</v>
      </c>
      <c r="D1856" s="4">
        <v>1</v>
      </c>
      <c r="E1856" s="4" t="s">
        <v>3271</v>
      </c>
      <c r="F1856" s="16">
        <v>45398</v>
      </c>
      <c r="G1856" s="5" t="s">
        <v>3271</v>
      </c>
      <c r="H1856" s="5" t="s">
        <v>5611</v>
      </c>
      <c r="I1856" s="24" t="str">
        <f>HYPERLINK("https://www.bilibili.com/video/BV1SJ4m1V7TF?p=1", "BV1SJ4m1V7TF?p=1")</f>
        <v>BV1SJ4m1V7TF?p=1</v>
      </c>
      <c r="J1856" s="4" t="str">
        <f ca="1">_xlfn.IFNA(VLOOKUP(INDIRECT("G"&amp;ROW()),minfo!$A:$M,COLUMN()-8,0),"")</f>
        <v>太空人</v>
      </c>
      <c r="K1856" s="4" t="str">
        <f ca="1">_xlfn.IFNA(VLOOKUP(INDIRECT("G"&amp;ROW()),minfo!$A:$M,COLUMN()-8,0),"")</f>
        <v>吴青峰</v>
      </c>
      <c r="L1856" s="4">
        <f ca="1">_xlfn.IFNA(VLOOKUP(INDIRECT("G"&amp;ROW()),minfo!$A:$M,COLUMN()-8,0),"")</f>
        <v>0</v>
      </c>
      <c r="M1856" s="4">
        <f ca="1">_xlfn.IFNA(VLOOKUP(INDIRECT("G"&amp;ROW()),minfo!$A:$M,COLUMN()-8,0),"")</f>
        <v>0</v>
      </c>
      <c r="N1856" s="4">
        <f ca="1">_xlfn.IFNA(VLOOKUP(INDIRECT("G"&amp;ROW()),minfo!$A:$M,COLUMN()-8,0),"")</f>
        <v>0</v>
      </c>
      <c r="O1856" s="4">
        <f ca="1">_xlfn.IFNA(VLOOKUP(INDIRECT("G"&amp;ROW()),minfo!$A:$M,COLUMN()-8,0),"")</f>
        <v>0</v>
      </c>
      <c r="P1856" s="4">
        <f ca="1">_xlfn.IFNA(VLOOKUP(INDIRECT("G"&amp;ROW()),minfo!$A:$M,COLUMN()-8,0),"")</f>
        <v>0</v>
      </c>
      <c r="Q1856" s="4">
        <f ca="1">_xlfn.IFNA(VLOOKUP(INDIRECT("G"&amp;ROW()),minfo!$A:$M,COLUMN()-8,0),"")</f>
        <v>0</v>
      </c>
      <c r="R1856" s="4">
        <f ca="1">_xlfn.IFNA(VLOOKUP(INDIRECT("G"&amp;ROW()),minfo!$A:$M,COLUMN()-8,0),"")</f>
        <v>0</v>
      </c>
      <c r="S1856" s="4">
        <f ca="1">_xlfn.IFNA(VLOOKUP(INDIRECT("G"&amp;ROW()),minfo!$A:$M,COLUMN()-8,0),"")</f>
        <v>0</v>
      </c>
      <c r="T1856" s="4">
        <f ca="1">_xlfn.IFNA(VLOOKUP(INDIRECT("G"&amp;ROW()),minfo!$A:$M,COLUMN()-8,0),"")</f>
        <v>0</v>
      </c>
      <c r="U1856" s="4">
        <f ca="1">_xlfn.IFNA(VLOOKUP(INDIRECT("G"&amp;ROW()),minfo!$A:$M,COLUMN()-8,0),"")</f>
        <v>0</v>
      </c>
    </row>
    <row r="1857" spans="1:21" ht="15.75" customHeight="1">
      <c r="A1857" s="15">
        <v>1856</v>
      </c>
      <c r="D1857" s="4">
        <v>1</v>
      </c>
      <c r="E1857" s="4" t="s">
        <v>1184</v>
      </c>
      <c r="F1857" s="16">
        <v>45398</v>
      </c>
      <c r="G1857" s="5" t="s">
        <v>1183</v>
      </c>
      <c r="H1857" s="5" t="s">
        <v>5612</v>
      </c>
      <c r="I1857" s="24" t="str">
        <f>HYPERLINK("https://www.bilibili.com/video/BV16x421m79J?p=1", "BV16x421m79J?p=1")</f>
        <v>BV16x421m79J?p=1</v>
      </c>
      <c r="J1857" s="4" t="str">
        <f ca="1">_xlfn.IFNA(VLOOKUP(INDIRECT("G"&amp;ROW()),minfo!$A:$M,COLUMN()-8,0),"")</f>
        <v>喜欢寂寞</v>
      </c>
      <c r="K1857" s="4" t="str">
        <f ca="1">_xlfn.IFNA(VLOOKUP(INDIRECT("G"&amp;ROW()),minfo!$A:$M,COLUMN()-8,0),"")</f>
        <v>苏打绿</v>
      </c>
      <c r="L1857" s="4">
        <f ca="1">_xlfn.IFNA(VLOOKUP(INDIRECT("G"&amp;ROW()),minfo!$A:$M,COLUMN()-8,0),"")</f>
        <v>0</v>
      </c>
      <c r="M1857" s="4">
        <f ca="1">_xlfn.IFNA(VLOOKUP(INDIRECT("G"&amp;ROW()),minfo!$A:$M,COLUMN()-8,0),"")</f>
        <v>0</v>
      </c>
      <c r="N1857" s="4">
        <f ca="1">_xlfn.IFNA(VLOOKUP(INDIRECT("G"&amp;ROW()),minfo!$A:$M,COLUMN()-8,0),"")</f>
        <v>0</v>
      </c>
      <c r="O1857" s="4" t="str">
        <f ca="1">_xlfn.IFNA(VLOOKUP(INDIRECT("G"&amp;ROW()),minfo!$A:$M,COLUMN()-8,0),"")</f>
        <v>https://i0.hdslb.com/bfs/station_src/music_metadata/d121c3715408b7ed00de8d570a7c5b94.jpg</v>
      </c>
      <c r="P1857" s="4" t="str">
        <f ca="1">_xlfn.IFNA(VLOOKUP(INDIRECT("G"&amp;ROW()),minfo!$A:$M,COLUMN()-8,0),"")</f>
        <v>https://i0.hdslb.com/bfs/station_src/music_metadata/7751ffa790ea57dc1e90f19496ce8669.txt</v>
      </c>
      <c r="Q1857" s="4">
        <f ca="1">_xlfn.IFNA(VLOOKUP(INDIRECT("G"&amp;ROW()),minfo!$A:$M,COLUMN()-8,0),"")</f>
        <v>13</v>
      </c>
      <c r="R1857" s="4">
        <f ca="1">_xlfn.IFNA(VLOOKUP(INDIRECT("G"&amp;ROW()),minfo!$A:$M,COLUMN()-8,0),"")</f>
        <v>0</v>
      </c>
      <c r="S1857" s="4" t="str">
        <f ca="1">_xlfn.IFNA(VLOOKUP(INDIRECT("G"&amp;ROW()),minfo!$A:$M,COLUMN()-8,0),"")</f>
        <v>2011 Hit Fm 年度百首单曲</v>
      </c>
      <c r="T1857" s="4">
        <f ca="1">_xlfn.IFNA(VLOOKUP(INDIRECT("G"&amp;ROW()),minfo!$A:$M,COLUMN()-8,0),"")</f>
        <v>6139411</v>
      </c>
      <c r="U1857" s="4">
        <f ca="1">_xlfn.IFNA(VLOOKUP(INDIRECT("G"&amp;ROW()),minfo!$A:$M,COLUMN()-8,0),"")</f>
        <v>0</v>
      </c>
    </row>
    <row r="1858" spans="1:21" ht="15.75" customHeight="1">
      <c r="A1858" s="15">
        <v>1857</v>
      </c>
      <c r="D1858" s="4">
        <v>1</v>
      </c>
      <c r="E1858" s="4" t="s">
        <v>642</v>
      </c>
      <c r="F1858" s="16">
        <v>45398</v>
      </c>
      <c r="G1858" s="5" t="s">
        <v>642</v>
      </c>
      <c r="H1858" s="5" t="s">
        <v>5613</v>
      </c>
      <c r="I1858" s="24" t="str">
        <f>HYPERLINK("https://www.bilibili.com/video/BV18Z421Y7fe?p=1", "BV18Z421Y7fe?p=1")</f>
        <v>BV18Z421Y7fe?p=1</v>
      </c>
      <c r="J1858" s="4" t="str">
        <f ca="1">_xlfn.IFNA(VLOOKUP(INDIRECT("G"&amp;ROW()),minfo!$A:$M,COLUMN()-8,0),"")</f>
        <v>左边</v>
      </c>
      <c r="K1858" s="4" t="str">
        <f ca="1">_xlfn.IFNA(VLOOKUP(INDIRECT("G"&amp;ROW()),minfo!$A:$M,COLUMN()-8,0),"")</f>
        <v>苏打绿</v>
      </c>
      <c r="L1858" s="4">
        <f ca="1">_xlfn.IFNA(VLOOKUP(INDIRECT("G"&amp;ROW()),minfo!$A:$M,COLUMN()-8,0),"")</f>
        <v>0</v>
      </c>
      <c r="M1858" s="4">
        <f ca="1">_xlfn.IFNA(VLOOKUP(INDIRECT("G"&amp;ROW()),minfo!$A:$M,COLUMN()-8,0),"")</f>
        <v>0</v>
      </c>
      <c r="N1858" s="4">
        <f ca="1">_xlfn.IFNA(VLOOKUP(INDIRECT("G"&amp;ROW()),minfo!$A:$M,COLUMN()-8,0),"")</f>
        <v>0</v>
      </c>
      <c r="O1858" s="4">
        <f ca="1">_xlfn.IFNA(VLOOKUP(INDIRECT("G"&amp;ROW()),minfo!$A:$M,COLUMN()-8,0),"")</f>
        <v>0</v>
      </c>
      <c r="P1858" s="4">
        <f ca="1">_xlfn.IFNA(VLOOKUP(INDIRECT("G"&amp;ROW()),minfo!$A:$M,COLUMN()-8,0),"")</f>
        <v>0</v>
      </c>
      <c r="Q1858" s="4">
        <f ca="1">_xlfn.IFNA(VLOOKUP(INDIRECT("G"&amp;ROW()),minfo!$A:$M,COLUMN()-8,0),"")</f>
        <v>0</v>
      </c>
      <c r="R1858" s="4">
        <f ca="1">_xlfn.IFNA(VLOOKUP(INDIRECT("G"&amp;ROW()),minfo!$A:$M,COLUMN()-8,0),"")</f>
        <v>0</v>
      </c>
      <c r="S1858" s="4">
        <f ca="1">_xlfn.IFNA(VLOOKUP(INDIRECT("G"&amp;ROW()),minfo!$A:$M,COLUMN()-8,0),"")</f>
        <v>0</v>
      </c>
      <c r="T1858" s="4">
        <f ca="1">_xlfn.IFNA(VLOOKUP(INDIRECT("G"&amp;ROW()),minfo!$A:$M,COLUMN()-8,0),"")</f>
        <v>0</v>
      </c>
      <c r="U1858" s="4">
        <f ca="1">_xlfn.IFNA(VLOOKUP(INDIRECT("G"&amp;ROW()),minfo!$A:$M,COLUMN()-8,0),"")</f>
        <v>0</v>
      </c>
    </row>
    <row r="1859" spans="1:21" ht="15.75" customHeight="1">
      <c r="A1859" s="15">
        <v>1858</v>
      </c>
      <c r="D1859" s="4">
        <v>1</v>
      </c>
      <c r="E1859" s="4" t="s">
        <v>1255</v>
      </c>
      <c r="F1859" s="16">
        <v>45398</v>
      </c>
      <c r="G1859" s="5" t="s">
        <v>1254</v>
      </c>
      <c r="H1859" s="5" t="s">
        <v>5614</v>
      </c>
      <c r="I1859" s="24" t="str">
        <f>HYPERLINK("https://www.bilibili.com/video/BV1AA4m1c7Tu?p=1", "BV1AA4m1c7Tu?p=1")</f>
        <v>BV1AA4m1c7Tu?p=1</v>
      </c>
      <c r="J1859" s="4" t="str">
        <f ca="1">_xlfn.IFNA(VLOOKUP(INDIRECT("G"&amp;ROW()),minfo!$A:$M,COLUMN()-8,0),"")</f>
        <v>频率</v>
      </c>
      <c r="K1859" s="4" t="str">
        <f ca="1">_xlfn.IFNA(VLOOKUP(INDIRECT("G"&amp;ROW()),minfo!$A:$M,COLUMN()-8,0),"")</f>
        <v>苏打绿</v>
      </c>
      <c r="L1859" s="4">
        <f ca="1">_xlfn.IFNA(VLOOKUP(INDIRECT("G"&amp;ROW()),minfo!$A:$M,COLUMN()-8,0),"")</f>
        <v>0</v>
      </c>
      <c r="M1859" s="4">
        <f ca="1">_xlfn.IFNA(VLOOKUP(INDIRECT("G"&amp;ROW()),minfo!$A:$M,COLUMN()-8,0),"")</f>
        <v>0</v>
      </c>
      <c r="N1859" s="4">
        <f ca="1">_xlfn.IFNA(VLOOKUP(INDIRECT("G"&amp;ROW()),minfo!$A:$M,COLUMN()-8,0),"")</f>
        <v>0</v>
      </c>
      <c r="O1859" s="4" t="str">
        <f ca="1">_xlfn.IFNA(VLOOKUP(INDIRECT("G"&amp;ROW()),minfo!$A:$M,COLUMN()-8,0),"")</f>
        <v>http://i0.hdslb.com/bfs/station_src/music_metadata/d355dd715b57d78b55b55bafc618fa13.jpg</v>
      </c>
      <c r="P1859" s="4" t="str">
        <f ca="1">_xlfn.IFNA(VLOOKUP(INDIRECT("G"&amp;ROW()),minfo!$A:$M,COLUMN()-8,0),"")</f>
        <v>https://i0.hdslb.com/bfs/station_src/music_metadata/f0e4923aa68dd06d7470f9e57ad496f2.txt</v>
      </c>
      <c r="Q1859" s="4">
        <f ca="1">_xlfn.IFNA(VLOOKUP(INDIRECT("G"&amp;ROW()),minfo!$A:$M,COLUMN()-8,0),"")</f>
        <v>11</v>
      </c>
      <c r="R1859" s="4">
        <f ca="1">_xlfn.IFNA(VLOOKUP(INDIRECT("G"&amp;ROW()),minfo!$A:$M,COLUMN()-8,0),"")</f>
        <v>0</v>
      </c>
      <c r="S1859" s="4">
        <f ca="1">_xlfn.IFNA(VLOOKUP(INDIRECT("G"&amp;ROW()),minfo!$A:$M,COLUMN()-8,0),"")</f>
        <v>0</v>
      </c>
      <c r="T1859" s="4">
        <f ca="1">_xlfn.IFNA(VLOOKUP(INDIRECT("G"&amp;ROW()),minfo!$A:$M,COLUMN()-8,0),"")</f>
        <v>4994709</v>
      </c>
      <c r="U1859" s="4">
        <f ca="1">_xlfn.IFNA(VLOOKUP(INDIRECT("G"&amp;ROW()),minfo!$A:$M,COLUMN()-8,0),"")</f>
        <v>0</v>
      </c>
    </row>
    <row r="1860" spans="1:21" ht="15.75" customHeight="1">
      <c r="A1860" s="15">
        <v>1859</v>
      </c>
      <c r="D1860" s="4">
        <v>1</v>
      </c>
      <c r="E1860" s="4" t="s">
        <v>332</v>
      </c>
      <c r="F1860" s="16">
        <v>45399</v>
      </c>
      <c r="G1860" s="5" t="s">
        <v>331</v>
      </c>
      <c r="H1860" s="5" t="s">
        <v>5615</v>
      </c>
      <c r="I1860" s="24" t="str">
        <f>HYPERLINK("https://www.bilibili.com/video/BV16m421x7Dn?p=1", "BV16m421x7Dn?p=1")</f>
        <v>BV16m421x7Dn?p=1</v>
      </c>
      <c r="J1860" s="4" t="str">
        <f ca="1">_xlfn.IFNA(VLOOKUP(INDIRECT("G"&amp;ROW()),minfo!$A:$M,COLUMN()-8,0),"")</f>
        <v>春天的芭蕾</v>
      </c>
      <c r="K1860" s="4" t="str">
        <f ca="1">_xlfn.IFNA(VLOOKUP(INDIRECT("G"&amp;ROW()),minfo!$A:$M,COLUMN()-8,0),"")</f>
        <v>常思思</v>
      </c>
      <c r="L1860" s="4">
        <f ca="1">_xlfn.IFNA(VLOOKUP(INDIRECT("G"&amp;ROW()),minfo!$A:$M,COLUMN()-8,0),"")</f>
        <v>0</v>
      </c>
      <c r="M1860" s="4">
        <f ca="1">_xlfn.IFNA(VLOOKUP(INDIRECT("G"&amp;ROW()),minfo!$A:$M,COLUMN()-8,0),"")</f>
        <v>0</v>
      </c>
      <c r="N1860" s="4">
        <f ca="1">_xlfn.IFNA(VLOOKUP(INDIRECT("G"&amp;ROW()),minfo!$A:$M,COLUMN()-8,0),"")</f>
        <v>0</v>
      </c>
      <c r="O1860" s="4" t="str">
        <f ca="1">_xlfn.IFNA(VLOOKUP(INDIRECT("G"&amp;ROW()),minfo!$A:$M,COLUMN()-8,0),"")</f>
        <v>http://i0.hdslb.com/bfs/station_src/music_metadata/7202bafed8b495edfdc98691518442b5.jpg</v>
      </c>
      <c r="P1860" s="4" t="str">
        <f ca="1">_xlfn.IFNA(VLOOKUP(INDIRECT("G"&amp;ROW()),minfo!$A:$M,COLUMN()-8,0),"")</f>
        <v>http://i0.hdslb.com/bfs/station_src/music_metadata/1faf7f1d5734fb67fc3aa5824aaf8ed2</v>
      </c>
      <c r="Q1860" s="4">
        <f ca="1">_xlfn.IFNA(VLOOKUP(INDIRECT("G"&amp;ROW()),minfo!$A:$M,COLUMN()-8,0),"")</f>
        <v>173</v>
      </c>
      <c r="R1860" s="4">
        <f ca="1">_xlfn.IFNA(VLOOKUP(INDIRECT("G"&amp;ROW()),minfo!$A:$M,COLUMN()-8,0),"")</f>
        <v>0</v>
      </c>
      <c r="S1860" s="4">
        <f ca="1">_xlfn.IFNA(VLOOKUP(INDIRECT("G"&amp;ROW()),minfo!$A:$M,COLUMN()-8,0),"")</f>
        <v>0</v>
      </c>
      <c r="T1860" s="4">
        <f ca="1">_xlfn.IFNA(VLOOKUP(INDIRECT("G"&amp;ROW()),minfo!$A:$M,COLUMN()-8,0),"")</f>
        <v>25997684</v>
      </c>
      <c r="U1860" s="4">
        <f ca="1">_xlfn.IFNA(VLOOKUP(INDIRECT("G"&amp;ROW()),minfo!$A:$M,COLUMN()-8,0),"")</f>
        <v>0</v>
      </c>
    </row>
    <row r="1861" spans="1:21" ht="15.75" customHeight="1">
      <c r="A1861" s="15">
        <v>1860</v>
      </c>
      <c r="D1861" s="4">
        <v>1</v>
      </c>
      <c r="E1861" s="4" t="s">
        <v>192</v>
      </c>
      <c r="F1861" s="16">
        <v>45399</v>
      </c>
      <c r="G1861" s="5" t="s">
        <v>191</v>
      </c>
      <c r="H1861" s="5" t="s">
        <v>5616</v>
      </c>
      <c r="I1861" s="24" t="str">
        <f>HYPERLINK("https://www.bilibili.com/video/BV1fi421f7Q8?p=1", "BV1fi421f7Q8?p=1")</f>
        <v>BV1fi421f7Q8?p=1</v>
      </c>
      <c r="J1861" s="4" t="str">
        <f ca="1">_xlfn.IFNA(VLOOKUP(INDIRECT("G"&amp;ROW()),minfo!$A:$M,COLUMN()-8,0),"")</f>
        <v>流年如歌</v>
      </c>
      <c r="K1861" s="4" t="str">
        <f ca="1">_xlfn.IFNA(VLOOKUP(INDIRECT("G"&amp;ROW()),minfo!$A:$M,COLUMN()-8,0),"")</f>
        <v>苍穹</v>
      </c>
      <c r="L1861" s="4">
        <f ca="1">_xlfn.IFNA(VLOOKUP(INDIRECT("G"&amp;ROW()),minfo!$A:$M,COLUMN()-8,0),"")</f>
        <v>0</v>
      </c>
      <c r="M1861" s="4">
        <f ca="1">_xlfn.IFNA(VLOOKUP(INDIRECT("G"&amp;ROW()),minfo!$A:$M,COLUMN()-8,0),"")</f>
        <v>0</v>
      </c>
      <c r="N1861" s="4">
        <f ca="1">_xlfn.IFNA(VLOOKUP(INDIRECT("G"&amp;ROW()),minfo!$A:$M,COLUMN()-8,0),"")</f>
        <v>0</v>
      </c>
      <c r="O1861" s="4" t="str">
        <f ca="1">_xlfn.IFNA(VLOOKUP(INDIRECT("G"&amp;ROW()),minfo!$A:$M,COLUMN()-8,0),"")</f>
        <v>https://i0.hdslb.com/bfs/station_src/music_metadata/7d8de08a2fa9fed3e913a7cbedbd7359.jpg</v>
      </c>
      <c r="P1861" s="4" t="str">
        <f ca="1">_xlfn.IFNA(VLOOKUP(INDIRECT("G"&amp;ROW()),minfo!$A:$M,COLUMN()-8,0),"")</f>
        <v>https://i0.hdslb.com/bfs/station_src/music_metadata/39fd2191a90a6dfc42574ff5b43baadb.txt</v>
      </c>
      <c r="Q1861" s="4">
        <f ca="1">_xlfn.IFNA(VLOOKUP(INDIRECT("G"&amp;ROW()),minfo!$A:$M,COLUMN()-8,0),"")</f>
        <v>68</v>
      </c>
      <c r="R1861" s="4">
        <f ca="1">_xlfn.IFNA(VLOOKUP(INDIRECT("G"&amp;ROW()),minfo!$A:$M,COLUMN()-8,0),"")</f>
        <v>0</v>
      </c>
      <c r="S1861" s="4" t="str">
        <f ca="1">_xlfn.IFNA(VLOOKUP(INDIRECT("G"&amp;ROW()),minfo!$A:$M,COLUMN()-8,0),"")</f>
        <v>哔哩哔哩拜年纪金曲回顾</v>
      </c>
      <c r="T1861" s="4">
        <f ca="1">_xlfn.IFNA(VLOOKUP(INDIRECT("G"&amp;ROW()),minfo!$A:$M,COLUMN()-8,0),"")</f>
        <v>14971574</v>
      </c>
      <c r="U1861" s="4">
        <f ca="1">_xlfn.IFNA(VLOOKUP(INDIRECT("G"&amp;ROW()),minfo!$A:$M,COLUMN()-8,0),"")</f>
        <v>0</v>
      </c>
    </row>
    <row r="1862" spans="1:21" ht="15.75" customHeight="1">
      <c r="A1862" s="15">
        <v>1861</v>
      </c>
      <c r="D1862" s="4">
        <v>1</v>
      </c>
      <c r="E1862" s="4" t="s">
        <v>5617</v>
      </c>
      <c r="F1862" s="16">
        <v>45399</v>
      </c>
      <c r="G1862" s="5" t="s">
        <v>1769</v>
      </c>
      <c r="H1862" s="5" t="s">
        <v>5618</v>
      </c>
      <c r="I1862" s="24" t="str">
        <f>HYPERLINK("https://www.bilibili.com/video/BV1pu4m1F75N?p=1", "BV1pu4m1F75N?p=1")</f>
        <v>BV1pu4m1F75N?p=1</v>
      </c>
      <c r="J1862" s="4" t="str">
        <f ca="1">_xlfn.IFNA(VLOOKUP(INDIRECT("G"&amp;ROW()),minfo!$A:$M,COLUMN()-8,0),"")</f>
        <v>不识月</v>
      </c>
      <c r="K1862" s="4" t="str">
        <f ca="1">_xlfn.IFNA(VLOOKUP(INDIRECT("G"&amp;ROW()),minfo!$A:$M,COLUMN()-8,0),"")</f>
        <v>Luna Safari,折微微,赤羽</v>
      </c>
      <c r="L1862" s="4">
        <f ca="1">_xlfn.IFNA(VLOOKUP(INDIRECT("G"&amp;ROW()),minfo!$A:$M,COLUMN()-8,0),"")</f>
        <v>0</v>
      </c>
      <c r="M1862" s="4">
        <f ca="1">_xlfn.IFNA(VLOOKUP(INDIRECT("G"&amp;ROW()),minfo!$A:$M,COLUMN()-8,0),"")</f>
        <v>0</v>
      </c>
      <c r="N1862" s="4">
        <f ca="1">_xlfn.IFNA(VLOOKUP(INDIRECT("G"&amp;ROW()),minfo!$A:$M,COLUMN()-8,0),"")</f>
        <v>0</v>
      </c>
      <c r="O1862" s="4" t="str">
        <f ca="1">_xlfn.IFNA(VLOOKUP(INDIRECT("G"&amp;ROW()),minfo!$A:$M,COLUMN()-8,0),"")</f>
        <v>http://i0.hdslb.com/bfs/station_src/music_metadata/0ba4e987c52d0430bd333a7cdc71f19f.jpg</v>
      </c>
      <c r="P1862" s="4" t="str">
        <f ca="1">_xlfn.IFNA(VLOOKUP(INDIRECT("G"&amp;ROW()),minfo!$A:$M,COLUMN()-8,0),"")</f>
        <v>http://i0.hdslb.com/bfs/station_src/music_metadata/8a2c460684eb7937088ad1ba38ab015e</v>
      </c>
      <c r="Q1862" s="4">
        <f ca="1">_xlfn.IFNA(VLOOKUP(INDIRECT("G"&amp;ROW()),minfo!$A:$M,COLUMN()-8,0),"")</f>
        <v>10</v>
      </c>
      <c r="R1862" s="4">
        <f ca="1">_xlfn.IFNA(VLOOKUP(INDIRECT("G"&amp;ROW()),minfo!$A:$M,COLUMN()-8,0),"")</f>
        <v>0</v>
      </c>
      <c r="S1862" s="4" t="str">
        <f ca="1">_xlfn.IFNA(VLOOKUP(INDIRECT("G"&amp;ROW()),minfo!$A:$M,COLUMN()-8,0),"")</f>
        <v>不识月</v>
      </c>
      <c r="T1862" s="4">
        <f ca="1">_xlfn.IFNA(VLOOKUP(INDIRECT("G"&amp;ROW()),minfo!$A:$M,COLUMN()-8,0),"")</f>
        <v>3252187</v>
      </c>
      <c r="U1862" s="4">
        <f ca="1">_xlfn.IFNA(VLOOKUP(INDIRECT("G"&amp;ROW()),minfo!$A:$M,COLUMN()-8,0),"")</f>
        <v>0</v>
      </c>
    </row>
    <row r="1863" spans="1:21" ht="15.75" customHeight="1">
      <c r="A1863" s="15">
        <v>1862</v>
      </c>
      <c r="D1863" s="4">
        <v>1</v>
      </c>
      <c r="E1863" s="4" t="s">
        <v>2008</v>
      </c>
      <c r="F1863" s="16">
        <v>45399</v>
      </c>
      <c r="G1863" s="5" t="s">
        <v>2007</v>
      </c>
      <c r="H1863" s="5" t="s">
        <v>5619</v>
      </c>
      <c r="I1863" s="24" t="str">
        <f>HYPERLINK("https://www.bilibili.com/video/BV1Lz421k7kW?p=1", "BV1Lz421k7kW?p=1")</f>
        <v>BV1Lz421k7kW?p=1</v>
      </c>
      <c r="J1863" s="4" t="str">
        <f ca="1">_xlfn.IFNA(VLOOKUP(INDIRECT("G"&amp;ROW()),minfo!$A:$M,COLUMN()-8,0),"")</f>
        <v>流年</v>
      </c>
      <c r="K1863" s="4" t="str">
        <f ca="1">_xlfn.IFNA(VLOOKUP(INDIRECT("G"&amp;ROW()),minfo!$A:$M,COLUMN()-8,0),"")</f>
        <v>王菲</v>
      </c>
      <c r="L1863" s="4">
        <f ca="1">_xlfn.IFNA(VLOOKUP(INDIRECT("G"&amp;ROW()),minfo!$A:$M,COLUMN()-8,0),"")</f>
        <v>0</v>
      </c>
      <c r="M1863" s="4">
        <f ca="1">_xlfn.IFNA(VLOOKUP(INDIRECT("G"&amp;ROW()),minfo!$A:$M,COLUMN()-8,0),"")</f>
        <v>0</v>
      </c>
      <c r="N1863" s="4">
        <f ca="1">_xlfn.IFNA(VLOOKUP(INDIRECT("G"&amp;ROW()),minfo!$A:$M,COLUMN()-8,0),"")</f>
        <v>0</v>
      </c>
      <c r="O1863" s="4" t="str">
        <f ca="1">_xlfn.IFNA(VLOOKUP(INDIRECT("G"&amp;ROW()),minfo!$A:$M,COLUMN()-8,0),"")</f>
        <v>https://i0.hdslb.com/bfs/station_src/music_metadata/ae4551416f4fd8baa6a2daa657613bcb.jpg</v>
      </c>
      <c r="P1863" s="4" t="str">
        <f ca="1">_xlfn.IFNA(VLOOKUP(INDIRECT("G"&amp;ROW()),minfo!$A:$M,COLUMN()-8,0),"")</f>
        <v>http://i0.hdslb.com/bfs/station_src/music_metadata/24572fc2edb59fadf00c8c23d76dbda6</v>
      </c>
      <c r="Q1863" s="4">
        <f ca="1">_xlfn.IFNA(VLOOKUP(INDIRECT("G"&amp;ROW()),minfo!$A:$M,COLUMN()-8,0),"")</f>
        <v>65</v>
      </c>
      <c r="R1863" s="4">
        <f ca="1">_xlfn.IFNA(VLOOKUP(INDIRECT("G"&amp;ROW()),minfo!$A:$M,COLUMN()-8,0),"")</f>
        <v>0</v>
      </c>
      <c r="S1863" s="4" t="str">
        <f ca="1">_xlfn.IFNA(VLOOKUP(INDIRECT("G"&amp;ROW()),minfo!$A:$M,COLUMN()-8,0),"")</f>
        <v>王菲</v>
      </c>
      <c r="T1863" s="4">
        <f ca="1">_xlfn.IFNA(VLOOKUP(INDIRECT("G"&amp;ROW()),minfo!$A:$M,COLUMN()-8,0),"")</f>
        <v>35937366</v>
      </c>
      <c r="U1863" s="4">
        <f ca="1">_xlfn.IFNA(VLOOKUP(INDIRECT("G"&amp;ROW()),minfo!$A:$M,COLUMN()-8,0),"")</f>
        <v>0</v>
      </c>
    </row>
    <row r="1864" spans="1:21" ht="15.75" customHeight="1">
      <c r="A1864" s="15">
        <v>1863</v>
      </c>
      <c r="D1864" s="4">
        <v>1</v>
      </c>
      <c r="E1864" s="4" t="s">
        <v>1824</v>
      </c>
      <c r="F1864" s="16">
        <v>45399</v>
      </c>
      <c r="G1864" s="5" t="s">
        <v>1823</v>
      </c>
      <c r="H1864" s="5" t="s">
        <v>5620</v>
      </c>
      <c r="I1864" s="24" t="str">
        <f>HYPERLINK("https://www.bilibili.com/video/BV19H4y1P7d8?p=1", "BV19H4y1P7d8?p=1")</f>
        <v>BV19H4y1P7d8?p=1</v>
      </c>
      <c r="J1864" s="4" t="str">
        <f ca="1">_xlfn.IFNA(VLOOKUP(INDIRECT("G"&amp;ROW()),minfo!$A:$M,COLUMN()-8,0),"")</f>
        <v>月</v>
      </c>
      <c r="K1864" s="4" t="str">
        <f ca="1">_xlfn.IFNA(VLOOKUP(INDIRECT("G"&amp;ROW()),minfo!$A:$M,COLUMN()-8,0),"")</f>
        <v>郁可唯</v>
      </c>
      <c r="L1864" s="4">
        <f ca="1">_xlfn.IFNA(VLOOKUP(INDIRECT("G"&amp;ROW()),minfo!$A:$M,COLUMN()-8,0),"")</f>
        <v>0</v>
      </c>
      <c r="M1864" s="4">
        <f ca="1">_xlfn.IFNA(VLOOKUP(INDIRECT("G"&amp;ROW()),minfo!$A:$M,COLUMN()-8,0),"")</f>
        <v>0</v>
      </c>
      <c r="N1864" s="4">
        <f ca="1">_xlfn.IFNA(VLOOKUP(INDIRECT("G"&amp;ROW()),minfo!$A:$M,COLUMN()-8,0),"")</f>
        <v>0</v>
      </c>
      <c r="O1864" s="4" t="str">
        <f ca="1">_xlfn.IFNA(VLOOKUP(INDIRECT("G"&amp;ROW()),minfo!$A:$M,COLUMN()-8,0),"")</f>
        <v>https://i0.hdslb.com/bfs/station_src/music_metadata/18366082543cccb9ea83dadd477d221d.jpg</v>
      </c>
      <c r="P1864" s="4" t="str">
        <f ca="1">_xlfn.IFNA(VLOOKUP(INDIRECT("G"&amp;ROW()),minfo!$A:$M,COLUMN()-8,0),"")</f>
        <v>https://i0.hdslb.com/bfs/station_src/music_metadata/31530dd411904e556b2dcad90552b3b7.txt</v>
      </c>
      <c r="Q1864" s="4">
        <f ca="1">_xlfn.IFNA(VLOOKUP(INDIRECT("G"&amp;ROW()),minfo!$A:$M,COLUMN()-8,0),"")</f>
        <v>159</v>
      </c>
      <c r="R1864" s="4">
        <f ca="1">_xlfn.IFNA(VLOOKUP(INDIRECT("G"&amp;ROW()),minfo!$A:$M,COLUMN()-8,0),"")</f>
        <v>0</v>
      </c>
      <c r="S1864" s="4" t="str">
        <f ca="1">_xlfn.IFNA(VLOOKUP(INDIRECT("G"&amp;ROW()),minfo!$A:$M,COLUMN()-8,0),"")</f>
        <v>月</v>
      </c>
      <c r="T1864" s="4">
        <f ca="1">_xlfn.IFNA(VLOOKUP(INDIRECT("G"&amp;ROW()),minfo!$A:$M,COLUMN()-8,0),"")</f>
        <v>38638268</v>
      </c>
      <c r="U1864" s="4">
        <f ca="1">_xlfn.IFNA(VLOOKUP(INDIRECT("G"&amp;ROW()),minfo!$A:$M,COLUMN()-8,0),"")</f>
        <v>0</v>
      </c>
    </row>
    <row r="1865" spans="1:21" ht="15.75" customHeight="1">
      <c r="A1865" s="15">
        <v>1864</v>
      </c>
      <c r="D1865" s="4">
        <v>1</v>
      </c>
      <c r="E1865" s="4" t="s">
        <v>313</v>
      </c>
      <c r="F1865" s="16">
        <v>45399</v>
      </c>
      <c r="G1865" s="5" t="s">
        <v>312</v>
      </c>
      <c r="H1865" s="5" t="s">
        <v>5621</v>
      </c>
      <c r="I1865" s="24" t="str">
        <f>HYPERLINK("https://www.bilibili.com/video/BV1Mu4m1F7WW?p=1", "BV1Mu4m1F7WW?p=1")</f>
        <v>BV1Mu4m1F7WW?p=1</v>
      </c>
      <c r="J1865" s="4" t="str">
        <f ca="1">_xlfn.IFNA(VLOOKUP(INDIRECT("G"&amp;ROW()),minfo!$A:$M,COLUMN()-8,0),"")</f>
        <v>鸿雁</v>
      </c>
      <c r="K1865" s="4" t="str">
        <f ca="1">_xlfn.IFNA(VLOOKUP(INDIRECT("G"&amp;ROW()),minfo!$A:$M,COLUMN()-8,0),"")</f>
        <v>呼斯楞,柏菲音乐</v>
      </c>
      <c r="L1865" s="4">
        <f ca="1">_xlfn.IFNA(VLOOKUP(INDIRECT("G"&amp;ROW()),minfo!$A:$M,COLUMN()-8,0),"")</f>
        <v>0</v>
      </c>
      <c r="M1865" s="4">
        <f ca="1">_xlfn.IFNA(VLOOKUP(INDIRECT("G"&amp;ROW()),minfo!$A:$M,COLUMN()-8,0),"")</f>
        <v>0</v>
      </c>
      <c r="N1865" s="4">
        <f ca="1">_xlfn.IFNA(VLOOKUP(INDIRECT("G"&amp;ROW()),minfo!$A:$M,COLUMN()-8,0),"")</f>
        <v>0</v>
      </c>
      <c r="O1865" s="4" t="str">
        <f ca="1">_xlfn.IFNA(VLOOKUP(INDIRECT("G"&amp;ROW()),minfo!$A:$M,COLUMN()-8,0),"")</f>
        <v>https://i0.hdslb.com/bfs/station_src/music_metadata/757ef72664f713a69ffc3e10d1eaad5d.jpg</v>
      </c>
      <c r="P1865" s="4" t="str">
        <f ca="1">_xlfn.IFNA(VLOOKUP(INDIRECT("G"&amp;ROW()),minfo!$A:$M,COLUMN()-8,0),"")</f>
        <v>https://i0.hdslb.com/bfs/station_src/music_metadata/1cc81a2b8e82def7add1a73a9f9486fe.txt</v>
      </c>
      <c r="Q1865" s="4">
        <f ca="1">_xlfn.IFNA(VLOOKUP(INDIRECT("G"&amp;ROW()),minfo!$A:$M,COLUMN()-8,0),"")</f>
        <v>1717</v>
      </c>
      <c r="R1865" s="4">
        <f ca="1">_xlfn.IFNA(VLOOKUP(INDIRECT("G"&amp;ROW()),minfo!$A:$M,COLUMN()-8,0),"")</f>
        <v>0</v>
      </c>
      <c r="S1865" s="4" t="str">
        <f ca="1">_xlfn.IFNA(VLOOKUP(INDIRECT("G"&amp;ROW()),minfo!$A:$M,COLUMN()-8,0),"")</f>
        <v>非同凡响NO·3</v>
      </c>
      <c r="T1865" s="4">
        <f ca="1">_xlfn.IFNA(VLOOKUP(INDIRECT("G"&amp;ROW()),minfo!$A:$M,COLUMN()-8,0),"")</f>
        <v>79378829</v>
      </c>
      <c r="U1865" s="4">
        <f ca="1">_xlfn.IFNA(VLOOKUP(INDIRECT("G"&amp;ROW()),minfo!$A:$M,COLUMN()-8,0),"")</f>
        <v>0</v>
      </c>
    </row>
    <row r="1866" spans="1:21" ht="15.75" customHeight="1">
      <c r="A1866" s="15">
        <v>1865</v>
      </c>
      <c r="D1866" s="4">
        <v>1</v>
      </c>
      <c r="E1866" s="4" t="s">
        <v>1553</v>
      </c>
      <c r="F1866" s="16">
        <v>45399</v>
      </c>
      <c r="G1866" s="5" t="s">
        <v>1552</v>
      </c>
      <c r="H1866" s="5" t="s">
        <v>5622</v>
      </c>
      <c r="I1866" s="24" t="str">
        <f>HYPERLINK("https://www.bilibili.com/video/BV15m41127ep?p=1", "BV15m41127ep?p=1")</f>
        <v>BV15m41127ep?p=1</v>
      </c>
      <c r="J1866" s="4" t="str">
        <f ca="1">_xlfn.IFNA(VLOOKUP(INDIRECT("G"&amp;ROW()),minfo!$A:$M,COLUMN()-8,0),"")</f>
        <v>光亮</v>
      </c>
      <c r="K1866" s="4" t="str">
        <f ca="1">_xlfn.IFNA(VLOOKUP(INDIRECT("G"&amp;ROW()),minfo!$A:$M,COLUMN()-8,0),"")</f>
        <v>周深</v>
      </c>
      <c r="L1866" s="4">
        <f ca="1">_xlfn.IFNA(VLOOKUP(INDIRECT("G"&amp;ROW()),minfo!$A:$M,COLUMN()-8,0),"")</f>
        <v>0</v>
      </c>
      <c r="M1866" s="4">
        <f ca="1">_xlfn.IFNA(VLOOKUP(INDIRECT("G"&amp;ROW()),minfo!$A:$M,COLUMN()-8,0),"")</f>
        <v>50129</v>
      </c>
      <c r="N1866" s="4">
        <f ca="1">_xlfn.IFNA(VLOOKUP(INDIRECT("G"&amp;ROW()),minfo!$A:$M,COLUMN()-8,0),"")</f>
        <v>14164</v>
      </c>
      <c r="O1866" s="4" t="str">
        <f ca="1">_xlfn.IFNA(VLOOKUP(INDIRECT("G"&amp;ROW()),minfo!$A:$M,COLUMN()-8,0),"")</f>
        <v>https://i0.hdslb.com/bfs/station_src/music_metadata/432327254cfcfcbb06e70cd8958eec15.jpg</v>
      </c>
      <c r="P1866" s="4" t="str">
        <f ca="1">_xlfn.IFNA(VLOOKUP(INDIRECT("G"&amp;ROW()),minfo!$A:$M,COLUMN()-8,0),"")</f>
        <v>https://i0.hdslb.com/bfs/station_src/music_metadata/bc80794f31f422159366c112e2245a93.txt</v>
      </c>
      <c r="Q1866" s="4">
        <f ca="1">_xlfn.IFNA(VLOOKUP(INDIRECT("G"&amp;ROW()),minfo!$A:$M,COLUMN()-8,0),"")</f>
        <v>637</v>
      </c>
      <c r="R1866" s="4" t="str">
        <f ca="1">_xlfn.IFNA(VLOOKUP(INDIRECT("G"&amp;ROW()),minfo!$A:$M,COLUMN()-8,0),"")</f>
        <v>《紫禁城》大型纪录片主题歌</v>
      </c>
      <c r="S1866" s="4" t="str">
        <f ca="1">_xlfn.IFNA(VLOOKUP(INDIRECT("G"&amp;ROW()),minfo!$A:$M,COLUMN()-8,0),"")</f>
        <v>大型纪录片《紫禁城》主题歌音乐专辑</v>
      </c>
      <c r="T1866" s="4">
        <f ca="1">_xlfn.IFNA(VLOOKUP(INDIRECT("G"&amp;ROW()),minfo!$A:$M,COLUMN()-8,0),"")</f>
        <v>165524997</v>
      </c>
      <c r="U1866" s="4" t="str">
        <f ca="1">_xlfn.IFNA(VLOOKUP(INDIRECT("G"&amp;ROW()),minfo!$A:$M,COLUMN()-8,0),"")</f>
        <v>音乐榜最高NO.9</v>
      </c>
    </row>
    <row r="1867" spans="1:21" ht="15.75" customHeight="1">
      <c r="A1867" s="15">
        <v>1866</v>
      </c>
      <c r="D1867" s="4">
        <v>1</v>
      </c>
      <c r="E1867" s="4" t="s">
        <v>488</v>
      </c>
      <c r="F1867" s="16">
        <v>45400</v>
      </c>
      <c r="G1867" s="5" t="s">
        <v>487</v>
      </c>
      <c r="H1867" s="5" t="s">
        <v>5623</v>
      </c>
      <c r="I1867" s="24" t="str">
        <f>HYPERLINK("https://www.bilibili.com/video/BV1H1421d7rE?p=1", "BV1H1421d7rE?p=1")</f>
        <v>BV1H1421d7rE?p=1</v>
      </c>
      <c r="J1867" s="4" t="str">
        <f ca="1">_xlfn.IFNA(VLOOKUP(INDIRECT("G"&amp;ROW()),minfo!$A:$M,COLUMN()-8,0),"")</f>
        <v>如此</v>
      </c>
      <c r="K1867" s="4" t="str">
        <f ca="1">_xlfn.IFNA(VLOOKUP(INDIRECT("G"&amp;ROW()),minfo!$A:$M,COLUMN()-8,0),"")</f>
        <v>单依纯</v>
      </c>
      <c r="L1867" s="4">
        <f ca="1">_xlfn.IFNA(VLOOKUP(INDIRECT("G"&amp;ROW()),minfo!$A:$M,COLUMN()-8,0),"")</f>
        <v>0</v>
      </c>
      <c r="M1867" s="4">
        <f ca="1">_xlfn.IFNA(VLOOKUP(INDIRECT("G"&amp;ROW()),minfo!$A:$M,COLUMN()-8,0),"")</f>
        <v>0</v>
      </c>
      <c r="N1867" s="4">
        <f ca="1">_xlfn.IFNA(VLOOKUP(INDIRECT("G"&amp;ROW()),minfo!$A:$M,COLUMN()-8,0),"")</f>
        <v>0</v>
      </c>
      <c r="O1867" s="4" t="str">
        <f ca="1">_xlfn.IFNA(VLOOKUP(INDIRECT("G"&amp;ROW()),minfo!$A:$M,COLUMN()-8,0),"")</f>
        <v>https://i0.hdslb.com/bfs/station_src/music_metadata/02e014c37d605c9c48efcef4cb1658b5.jpg</v>
      </c>
      <c r="P1867" s="4">
        <f ca="1">_xlfn.IFNA(VLOOKUP(INDIRECT("G"&amp;ROW()),minfo!$A:$M,COLUMN()-8,0),"")</f>
        <v>0</v>
      </c>
      <c r="Q1867" s="4">
        <f ca="1">_xlfn.IFNA(VLOOKUP(INDIRECT("G"&amp;ROW()),minfo!$A:$M,COLUMN()-8,0),"")</f>
        <v>32</v>
      </c>
      <c r="R1867" s="4">
        <f ca="1">_xlfn.IFNA(VLOOKUP(INDIRECT("G"&amp;ROW()),minfo!$A:$M,COLUMN()-8,0),"")</f>
        <v>0</v>
      </c>
      <c r="S1867" s="4" t="str">
        <f ca="1">_xlfn.IFNA(VLOOKUP(INDIRECT("G"&amp;ROW()),minfo!$A:$M,COLUMN()-8,0),"")</f>
        <v>2020中国好声音 第10期</v>
      </c>
      <c r="T1867" s="4">
        <f ca="1">_xlfn.IFNA(VLOOKUP(INDIRECT("G"&amp;ROW()),minfo!$A:$M,COLUMN()-8,0),"")</f>
        <v>13362616</v>
      </c>
      <c r="U1867" s="4">
        <f ca="1">_xlfn.IFNA(VLOOKUP(INDIRECT("G"&amp;ROW()),minfo!$A:$M,COLUMN()-8,0),"")</f>
        <v>0</v>
      </c>
    </row>
    <row r="1868" spans="1:21" ht="15.75" customHeight="1">
      <c r="A1868" s="15">
        <v>1867</v>
      </c>
      <c r="D1868" s="4">
        <v>1</v>
      </c>
      <c r="E1868" s="4" t="s">
        <v>1024</v>
      </c>
      <c r="F1868" s="16">
        <v>45400</v>
      </c>
      <c r="G1868" s="5" t="s">
        <v>1023</v>
      </c>
      <c r="H1868" s="5" t="s">
        <v>5624</v>
      </c>
      <c r="I1868" s="24" t="str">
        <f>HYPERLINK("https://www.bilibili.com/video/BV15q421F7WR?p=1", "BV15q421F7WR?p=1")</f>
        <v>BV15q421F7WR?p=1</v>
      </c>
      <c r="J1868" s="4" t="str">
        <f ca="1">_xlfn.IFNA(VLOOKUP(INDIRECT("G"&amp;ROW()),minfo!$A:$M,COLUMN()-8,0),"")</f>
        <v>兰亭序</v>
      </c>
      <c r="K1868" s="4" t="str">
        <f ca="1">_xlfn.IFNA(VLOOKUP(INDIRECT("G"&amp;ROW()),minfo!$A:$M,COLUMN()-8,0),"")</f>
        <v>周杰伦</v>
      </c>
      <c r="L1868" s="4">
        <f ca="1">_xlfn.IFNA(VLOOKUP(INDIRECT("G"&amp;ROW()),minfo!$A:$M,COLUMN()-8,0),"")</f>
        <v>0</v>
      </c>
      <c r="M1868" s="4">
        <f ca="1">_xlfn.IFNA(VLOOKUP(INDIRECT("G"&amp;ROW()),minfo!$A:$M,COLUMN()-8,0),"")</f>
        <v>0</v>
      </c>
      <c r="N1868" s="4">
        <f ca="1">_xlfn.IFNA(VLOOKUP(INDIRECT("G"&amp;ROW()),minfo!$A:$M,COLUMN()-8,0),"")</f>
        <v>0</v>
      </c>
      <c r="O1868" s="4" t="str">
        <f ca="1">_xlfn.IFNA(VLOOKUP(INDIRECT("G"&amp;ROW()),minfo!$A:$M,COLUMN()-8,0),"")</f>
        <v>https://i0.hdslb.com/bfs/station_src/music_metadata/a03f7d174c3b01e4c6b3907a115c5434.jpg</v>
      </c>
      <c r="P1868" s="4">
        <f ca="1">_xlfn.IFNA(VLOOKUP(INDIRECT("G"&amp;ROW()),minfo!$A:$M,COLUMN()-8,0),"")</f>
        <v>0</v>
      </c>
      <c r="Q1868" s="4">
        <f ca="1">_xlfn.IFNA(VLOOKUP(INDIRECT("G"&amp;ROW()),minfo!$A:$M,COLUMN()-8,0),"")</f>
        <v>28515</v>
      </c>
      <c r="R1868" s="4">
        <f ca="1">_xlfn.IFNA(VLOOKUP(INDIRECT("G"&amp;ROW()),minfo!$A:$M,COLUMN()-8,0),"")</f>
        <v>0</v>
      </c>
      <c r="S1868" s="4" t="str">
        <f ca="1">_xlfn.IFNA(VLOOKUP(INDIRECT("G"&amp;ROW()),minfo!$A:$M,COLUMN()-8,0),"")</f>
        <v>魔杰座</v>
      </c>
      <c r="T1868" s="4">
        <f ca="1">_xlfn.IFNA(VLOOKUP(INDIRECT("G"&amp;ROW()),minfo!$A:$M,COLUMN()-8,0),"")</f>
        <v>2546158396</v>
      </c>
      <c r="U1868" s="4" t="str">
        <f ca="1">_xlfn.IFNA(VLOOKUP(INDIRECT("G"&amp;ROW()),minfo!$A:$M,COLUMN()-8,0),"")</f>
        <v>音乐榜最高NO.4</v>
      </c>
    </row>
    <row r="1869" spans="1:21" ht="15.75" customHeight="1">
      <c r="A1869" s="15">
        <v>1868</v>
      </c>
      <c r="D1869" s="4">
        <v>1</v>
      </c>
      <c r="E1869" s="4" t="s">
        <v>772</v>
      </c>
      <c r="F1869" s="16">
        <v>45400</v>
      </c>
      <c r="G1869" s="5" t="s">
        <v>771</v>
      </c>
      <c r="H1869" s="5" t="s">
        <v>5625</v>
      </c>
      <c r="I1869" s="24" t="str">
        <f>HYPERLINK("https://www.bilibili.com/video/BV1Vw4m127jY?p=1", "BV1Vw4m127jY?p=1")</f>
        <v>BV1Vw4m127jY?p=1</v>
      </c>
      <c r="J1869" s="4" t="str">
        <f ca="1">_xlfn.IFNA(VLOOKUP(INDIRECT("G"&amp;ROW()),minfo!$A:$M,COLUMN()-8,0),"")</f>
        <v>Da Capo</v>
      </c>
      <c r="K1869" s="4" t="str">
        <f ca="1">_xlfn.IFNA(VLOOKUP(INDIRECT("G"&amp;ROW()),minfo!$A:$M,COLUMN()-8,0),"")</f>
        <v>HOYO-MiX</v>
      </c>
      <c r="L1869" s="4">
        <f ca="1">_xlfn.IFNA(VLOOKUP(INDIRECT("G"&amp;ROW()),minfo!$A:$M,COLUMN()-8,0),"")</f>
        <v>0</v>
      </c>
      <c r="M1869" s="4">
        <f ca="1">_xlfn.IFNA(VLOOKUP(INDIRECT("G"&amp;ROW()),minfo!$A:$M,COLUMN()-8,0),"")</f>
        <v>371028</v>
      </c>
      <c r="N1869" s="4">
        <f ca="1">_xlfn.IFNA(VLOOKUP(INDIRECT("G"&amp;ROW()),minfo!$A:$M,COLUMN()-8,0),"")</f>
        <v>46827</v>
      </c>
      <c r="O1869" s="4" t="str">
        <f ca="1">_xlfn.IFNA(VLOOKUP(INDIRECT("G"&amp;ROW()),minfo!$A:$M,COLUMN()-8,0),"")</f>
        <v>https://i0.hdslb.com/bfs/station_src/music_metadata/7a9cf5180d2e8b433b69c7064ff0efe1.jpg</v>
      </c>
      <c r="P1869" s="4">
        <f ca="1">_xlfn.IFNA(VLOOKUP(INDIRECT("G"&amp;ROW()),minfo!$A:$M,COLUMN()-8,0),"")</f>
        <v>0</v>
      </c>
      <c r="Q1869" s="4">
        <f ca="1">_xlfn.IFNA(VLOOKUP(INDIRECT("G"&amp;ROW()),minfo!$A:$M,COLUMN()-8,0),"")</f>
        <v>6426</v>
      </c>
      <c r="R1869" s="4">
        <f ca="1">_xlfn.IFNA(VLOOKUP(INDIRECT("G"&amp;ROW()),minfo!$A:$M,COLUMN()-8,0),"")</f>
        <v>0</v>
      </c>
      <c r="S1869" s="4" t="str">
        <f ca="1">_xlfn.IFNA(VLOOKUP(INDIRECT("G"&amp;ROW()),minfo!$A:$M,COLUMN()-8,0),"")</f>
        <v>Da Capo</v>
      </c>
      <c r="T1869" s="4">
        <f ca="1">_xlfn.IFNA(VLOOKUP(INDIRECT("G"&amp;ROW()),minfo!$A:$M,COLUMN()-8,0),"")</f>
        <v>127070294</v>
      </c>
      <c r="U1869" s="4" t="str">
        <f ca="1">_xlfn.IFNA(VLOOKUP(INDIRECT("G"&amp;ROW()),minfo!$A:$M,COLUMN()-8,0),"")</f>
        <v>音乐榜最高NO.1</v>
      </c>
    </row>
    <row r="1870" spans="1:21" ht="15.75" customHeight="1">
      <c r="A1870" s="15">
        <v>1869</v>
      </c>
      <c r="D1870" s="4">
        <v>1</v>
      </c>
      <c r="E1870" s="4" t="s">
        <v>1977</v>
      </c>
      <c r="F1870" s="16">
        <v>45400</v>
      </c>
      <c r="G1870" s="5" t="s">
        <v>1977</v>
      </c>
      <c r="H1870" s="5" t="s">
        <v>5626</v>
      </c>
      <c r="I1870" s="24" t="str">
        <f>HYPERLINK("https://www.bilibili.com/video/BV1Wz421k7E2?p=1", "BV1Wz421k7E2?p=1")</f>
        <v>BV1Wz421k7E2?p=1</v>
      </c>
      <c r="J1870" s="4" t="str">
        <f ca="1">_xlfn.IFNA(VLOOKUP(INDIRECT("G"&amp;ROW()),minfo!$A:$M,COLUMN()-8,0),"")</f>
        <v>如燕</v>
      </c>
      <c r="K1870" s="4" t="str">
        <f ca="1">_xlfn.IFNA(VLOOKUP(INDIRECT("G"&amp;ROW()),minfo!$A:$M,COLUMN()-8,0),"")</f>
        <v>Olivia Ong</v>
      </c>
      <c r="L1870" s="4">
        <f ca="1">_xlfn.IFNA(VLOOKUP(INDIRECT("G"&amp;ROW()),minfo!$A:$M,COLUMN()-8,0),"")</f>
        <v>0</v>
      </c>
      <c r="M1870" s="4">
        <f ca="1">_xlfn.IFNA(VLOOKUP(INDIRECT("G"&amp;ROW()),minfo!$A:$M,COLUMN()-8,0),"")</f>
        <v>0</v>
      </c>
      <c r="N1870" s="4">
        <f ca="1">_xlfn.IFNA(VLOOKUP(INDIRECT("G"&amp;ROW()),minfo!$A:$M,COLUMN()-8,0),"")</f>
        <v>0</v>
      </c>
      <c r="O1870" s="4" t="str">
        <f ca="1">_xlfn.IFNA(VLOOKUP(INDIRECT("G"&amp;ROW()),minfo!$A:$M,COLUMN()-8,0),"")</f>
        <v>https://i0.hdslb.com/bfs/station_src/music_metadata/b2733c4bd517933dcae0cba2b7fa823a.jpg</v>
      </c>
      <c r="P1870" s="4" t="str">
        <f ca="1">_xlfn.IFNA(VLOOKUP(INDIRECT("G"&amp;ROW()),minfo!$A:$M,COLUMN()-8,0),"")</f>
        <v>https://i0.hdslb.com/bfs/station_src/music_metadata/ea39207bb5f0808fc26797b69111daa6.txt</v>
      </c>
      <c r="Q1870" s="4">
        <f ca="1">_xlfn.IFNA(VLOOKUP(INDIRECT("G"&amp;ROW()),minfo!$A:$M,COLUMN()-8,0),"")</f>
        <v>14</v>
      </c>
      <c r="R1870" s="4" t="str">
        <f ca="1">_xlfn.IFNA(VLOOKUP(INDIRECT("G"&amp;ROW()),minfo!$A:$M,COLUMN()-8,0),"")</f>
        <v>《我们的》电视剧主题曲</v>
      </c>
      <c r="S1870" s="4" t="str">
        <f ca="1">_xlfn.IFNA(VLOOKUP(INDIRECT("G"&amp;ROW()),minfo!$A:$M,COLUMN()-8,0),"")</f>
        <v>我们的主题曲</v>
      </c>
      <c r="T1870" s="4">
        <f ca="1">_xlfn.IFNA(VLOOKUP(INDIRECT("G"&amp;ROW()),minfo!$A:$M,COLUMN()-8,0),"")</f>
        <v>2915511</v>
      </c>
      <c r="U1870" s="4">
        <f ca="1">_xlfn.IFNA(VLOOKUP(INDIRECT("G"&amp;ROW()),minfo!$A:$M,COLUMN()-8,0),"")</f>
        <v>0</v>
      </c>
    </row>
    <row r="1871" spans="1:21" ht="15.75" customHeight="1">
      <c r="A1871" s="15">
        <v>1870</v>
      </c>
      <c r="D1871" s="4">
        <v>1</v>
      </c>
      <c r="E1871" s="4" t="s">
        <v>2777</v>
      </c>
      <c r="F1871" s="16">
        <v>45400</v>
      </c>
      <c r="G1871" s="5" t="s">
        <v>2776</v>
      </c>
      <c r="H1871" s="5" t="s">
        <v>5627</v>
      </c>
      <c r="I1871" s="24" t="str">
        <f>HYPERLINK("https://www.bilibili.com/video/BV1Tt421P76e?p=1", "BV1Tt421P76e?p=1")</f>
        <v>BV1Tt421P76e?p=1</v>
      </c>
      <c r="J1871" s="4" t="str">
        <f ca="1">_xlfn.IFNA(VLOOKUP(INDIRECT("G"&amp;ROW()),minfo!$A:$M,COLUMN()-8,0),"")</f>
        <v>妥协</v>
      </c>
      <c r="K1871" s="4" t="str">
        <f ca="1">_xlfn.IFNA(VLOOKUP(INDIRECT("G"&amp;ROW()),minfo!$A:$M,COLUMN()-8,0),"")</f>
        <v>蔡依林</v>
      </c>
      <c r="L1871" s="4">
        <f ca="1">_xlfn.IFNA(VLOOKUP(INDIRECT("G"&amp;ROW()),minfo!$A:$M,COLUMN()-8,0),"")</f>
        <v>0</v>
      </c>
      <c r="M1871" s="4">
        <f ca="1">_xlfn.IFNA(VLOOKUP(INDIRECT("G"&amp;ROW()),minfo!$A:$M,COLUMN()-8,0),"")</f>
        <v>0</v>
      </c>
      <c r="N1871" s="4">
        <f ca="1">_xlfn.IFNA(VLOOKUP(INDIRECT("G"&amp;ROW()),minfo!$A:$M,COLUMN()-8,0),"")</f>
        <v>0</v>
      </c>
      <c r="O1871" s="4" t="str">
        <f ca="1">_xlfn.IFNA(VLOOKUP(INDIRECT("G"&amp;ROW()),minfo!$A:$M,COLUMN()-8,0),"")</f>
        <v>http://i0.hdslb.com/bfs/station_src/music_metadata/3d66ea7591714d2b93a06ffc3b01a887.jpg</v>
      </c>
      <c r="P1871" s="4" t="str">
        <f ca="1">_xlfn.IFNA(VLOOKUP(INDIRECT("G"&amp;ROW()),minfo!$A:$M,COLUMN()-8,0),"")</f>
        <v>http://i0.hdslb.com/bfs/station_src/music_metadata/83d0afa45c7ff3186081cd92a653700c</v>
      </c>
      <c r="Q1871" s="4">
        <f ca="1">_xlfn.IFNA(VLOOKUP(INDIRECT("G"&amp;ROW()),minfo!$A:$M,COLUMN()-8,0),"")</f>
        <v>9</v>
      </c>
      <c r="R1871" s="4">
        <f ca="1">_xlfn.IFNA(VLOOKUP(INDIRECT("G"&amp;ROW()),minfo!$A:$M,COLUMN()-8,0),"")</f>
        <v>0</v>
      </c>
      <c r="S1871" s="4">
        <f ca="1">_xlfn.IFNA(VLOOKUP(INDIRECT("G"&amp;ROW()),minfo!$A:$M,COLUMN()-8,0),"")</f>
        <v>0</v>
      </c>
      <c r="T1871" s="4">
        <f ca="1">_xlfn.IFNA(VLOOKUP(INDIRECT("G"&amp;ROW()),minfo!$A:$M,COLUMN()-8,0),"")</f>
        <v>5379194</v>
      </c>
      <c r="U1871" s="4">
        <f ca="1">_xlfn.IFNA(VLOOKUP(INDIRECT("G"&amp;ROW()),minfo!$A:$M,COLUMN()-8,0),"")</f>
        <v>0</v>
      </c>
    </row>
    <row r="1872" spans="1:21" ht="15.75" customHeight="1">
      <c r="A1872" s="15">
        <v>1871</v>
      </c>
      <c r="D1872" s="4">
        <v>1</v>
      </c>
      <c r="E1872" s="4" t="s">
        <v>688</v>
      </c>
      <c r="F1872" s="16">
        <v>45400</v>
      </c>
      <c r="G1872" s="5" t="s">
        <v>687</v>
      </c>
      <c r="H1872" s="5" t="s">
        <v>5628</v>
      </c>
      <c r="I1872" s="24" t="str">
        <f>HYPERLINK("https://www.bilibili.com/video/BV1Ft421j7Fm?p=1", "BV1Ft421j7Fm?p=1")</f>
        <v>BV1Ft421j7Fm?p=1</v>
      </c>
      <c r="J1872" s="4" t="str">
        <f ca="1">_xlfn.IFNA(VLOOKUP(INDIRECT("G"&amp;ROW()),minfo!$A:$M,COLUMN()-8,0),"")</f>
        <v>关键词</v>
      </c>
      <c r="K1872" s="4" t="str">
        <f ca="1">_xlfn.IFNA(VLOOKUP(INDIRECT("G"&amp;ROW()),minfo!$A:$M,COLUMN()-8,0),"")</f>
        <v>林俊杰</v>
      </c>
      <c r="L1872" s="4">
        <f ca="1">_xlfn.IFNA(VLOOKUP(INDIRECT("G"&amp;ROW()),minfo!$A:$M,COLUMN()-8,0),"")</f>
        <v>0</v>
      </c>
      <c r="M1872" s="4">
        <f ca="1">_xlfn.IFNA(VLOOKUP(INDIRECT("G"&amp;ROW()),minfo!$A:$M,COLUMN()-8,0),"")</f>
        <v>314</v>
      </c>
      <c r="N1872" s="4">
        <f ca="1">_xlfn.IFNA(VLOOKUP(INDIRECT("G"&amp;ROW()),minfo!$A:$M,COLUMN()-8,0),"")</f>
        <v>49</v>
      </c>
      <c r="O1872" s="4" t="str">
        <f ca="1">_xlfn.IFNA(VLOOKUP(INDIRECT("G"&amp;ROW()),minfo!$A:$M,COLUMN()-8,0),"")</f>
        <v>http://i0.hdslb.com/bfs/station_src/music_metadata/2a51c18f069a58269fc8cde88e0fb107.jpg</v>
      </c>
      <c r="P1872" s="4" t="str">
        <f ca="1">_xlfn.IFNA(VLOOKUP(INDIRECT("G"&amp;ROW()),minfo!$A:$M,COLUMN()-8,0),"")</f>
        <v>http://i0.hdslb.com/bfs/station_src/music_metadata/b66ef916b6cf54b30ab6d5ba87db00fd</v>
      </c>
      <c r="Q1872" s="4">
        <f ca="1">_xlfn.IFNA(VLOOKUP(INDIRECT("G"&amp;ROW()),minfo!$A:$M,COLUMN()-8,0),"")</f>
        <v>765</v>
      </c>
      <c r="R1872" s="4">
        <f ca="1">_xlfn.IFNA(VLOOKUP(INDIRECT("G"&amp;ROW()),minfo!$A:$M,COLUMN()-8,0),"")</f>
        <v>0</v>
      </c>
      <c r="S1872" s="4" t="str">
        <f ca="1">_xlfn.IFNA(VLOOKUP(INDIRECT("G"&amp;ROW()),minfo!$A:$M,COLUMN()-8,0),"")</f>
        <v>和自己对话 From M.E. To Myself</v>
      </c>
      <c r="T1872" s="4">
        <f ca="1">_xlfn.IFNA(VLOOKUP(INDIRECT("G"&amp;ROW()),minfo!$A:$M,COLUMN()-8,0),"")</f>
        <v>287090873</v>
      </c>
      <c r="U1872" s="4">
        <f ca="1">_xlfn.IFNA(VLOOKUP(INDIRECT("G"&amp;ROW()),minfo!$A:$M,COLUMN()-8,0),"")</f>
        <v>0</v>
      </c>
    </row>
    <row r="1873" spans="1:21" ht="15.75" customHeight="1">
      <c r="A1873" s="15">
        <v>1872</v>
      </c>
      <c r="D1873" s="4">
        <v>1</v>
      </c>
      <c r="E1873" s="4" t="s">
        <v>93</v>
      </c>
      <c r="F1873" s="16">
        <v>45400</v>
      </c>
      <c r="G1873" s="5" t="s">
        <v>93</v>
      </c>
      <c r="H1873" s="5" t="s">
        <v>5629</v>
      </c>
      <c r="I1873" s="24" t="str">
        <f>HYPERLINK("https://www.bilibili.com/video/BV1vp421X72J?p=1", "BV1vp421X72J?p=1")</f>
        <v>BV1vp421X72J?p=1</v>
      </c>
      <c r="J1873" s="4" t="str">
        <f ca="1">_xlfn.IFNA(VLOOKUP(INDIRECT("G"&amp;ROW()),minfo!$A:$M,COLUMN()-8,0),"")</f>
        <v>罗敷</v>
      </c>
      <c r="K1873" s="4" t="str">
        <f ca="1">_xlfn.IFNA(VLOOKUP(INDIRECT("G"&amp;ROW()),minfo!$A:$M,COLUMN()-8,0),"")</f>
        <v>说说Crystal</v>
      </c>
      <c r="L1873" s="4" t="str">
        <f ca="1">_xlfn.IFNA(VLOOKUP(INDIRECT("G"&amp;ROW()),minfo!$A:$M,COLUMN()-8,0),"")</f>
        <v>BV1Jz4y127SL</v>
      </c>
      <c r="M1873" s="4">
        <f ca="1">_xlfn.IFNA(VLOOKUP(INDIRECT("G"&amp;ROW()),minfo!$A:$M,COLUMN()-8,0),"")</f>
        <v>0</v>
      </c>
      <c r="N1873" s="4">
        <f ca="1">_xlfn.IFNA(VLOOKUP(INDIRECT("G"&amp;ROW()),minfo!$A:$M,COLUMN()-8,0),"")</f>
        <v>0</v>
      </c>
      <c r="O1873" s="4">
        <f ca="1">_xlfn.IFNA(VLOOKUP(INDIRECT("G"&amp;ROW()),minfo!$A:$M,COLUMN()-8,0),"")</f>
        <v>0</v>
      </c>
      <c r="P1873" s="4">
        <f ca="1">_xlfn.IFNA(VLOOKUP(INDIRECT("G"&amp;ROW()),minfo!$A:$M,COLUMN()-8,0),"")</f>
        <v>0</v>
      </c>
      <c r="Q1873" s="4">
        <f ca="1">_xlfn.IFNA(VLOOKUP(INDIRECT("G"&amp;ROW()),minfo!$A:$M,COLUMN()-8,0),"")</f>
        <v>0</v>
      </c>
      <c r="R1873" s="4">
        <f ca="1">_xlfn.IFNA(VLOOKUP(INDIRECT("G"&amp;ROW()),minfo!$A:$M,COLUMN()-8,0),"")</f>
        <v>0</v>
      </c>
      <c r="S1873" s="4">
        <f ca="1">_xlfn.IFNA(VLOOKUP(INDIRECT("G"&amp;ROW()),minfo!$A:$M,COLUMN()-8,0),"")</f>
        <v>0</v>
      </c>
      <c r="T1873" s="4">
        <f ca="1">_xlfn.IFNA(VLOOKUP(INDIRECT("G"&amp;ROW()),minfo!$A:$M,COLUMN()-8,0),"")</f>
        <v>0</v>
      </c>
      <c r="U1873" s="4">
        <f ca="1">_xlfn.IFNA(VLOOKUP(INDIRECT("G"&amp;ROW()),minfo!$A:$M,COLUMN()-8,0),"")</f>
        <v>0</v>
      </c>
    </row>
    <row r="1874" spans="1:21" ht="15.75" customHeight="1">
      <c r="A1874" s="15">
        <v>1873</v>
      </c>
      <c r="D1874" s="4">
        <v>1</v>
      </c>
      <c r="E1874" s="4" t="s">
        <v>1330</v>
      </c>
      <c r="F1874" s="16">
        <v>45401</v>
      </c>
      <c r="G1874" s="5" t="s">
        <v>1329</v>
      </c>
      <c r="H1874" s="5" t="s">
        <v>5630</v>
      </c>
      <c r="I1874" s="24" t="str">
        <f>HYPERLINK("https://www.bilibili.com/video/BV1JJ4m1H7Vf?p=1", "BV1JJ4m1H7Vf?p=1")</f>
        <v>BV1JJ4m1H7Vf?p=1</v>
      </c>
      <c r="J1874" s="4" t="str">
        <f ca="1">_xlfn.IFNA(VLOOKUP(INDIRECT("G"&amp;ROW()),minfo!$A:$M,COLUMN()-8,0),"")</f>
        <v>Melody</v>
      </c>
      <c r="K1874" s="4" t="str">
        <f ca="1">_xlfn.IFNA(VLOOKUP(INDIRECT("G"&amp;ROW()),minfo!$A:$M,COLUMN()-8,0),"")</f>
        <v>陶喆</v>
      </c>
      <c r="L1874" s="4">
        <f ca="1">_xlfn.IFNA(VLOOKUP(INDIRECT("G"&amp;ROW()),minfo!$A:$M,COLUMN()-8,0),"")</f>
        <v>0</v>
      </c>
      <c r="M1874" s="4">
        <f ca="1">_xlfn.IFNA(VLOOKUP(INDIRECT("G"&amp;ROW()),minfo!$A:$M,COLUMN()-8,0),"")</f>
        <v>0</v>
      </c>
      <c r="N1874" s="4">
        <f ca="1">_xlfn.IFNA(VLOOKUP(INDIRECT("G"&amp;ROW()),minfo!$A:$M,COLUMN()-8,0),"")</f>
        <v>0</v>
      </c>
      <c r="O1874" s="4" t="str">
        <f ca="1">_xlfn.IFNA(VLOOKUP(INDIRECT("G"&amp;ROW()),minfo!$A:$M,COLUMN()-8,0),"")</f>
        <v>https://i0.hdslb.com/bfs/station_src/music_metadata/4f85133845e2c8b25026a678708a9376.jpg</v>
      </c>
      <c r="P1874" s="4" t="str">
        <f ca="1">_xlfn.IFNA(VLOOKUP(INDIRECT("G"&amp;ROW()),minfo!$A:$M,COLUMN()-8,0),"")</f>
        <v>http://i0.hdslb.com/bfs/station_src/music_metadata/d18325416bca019d84b21a8b3f7bb651</v>
      </c>
      <c r="Q1874" s="4">
        <f ca="1">_xlfn.IFNA(VLOOKUP(INDIRECT("G"&amp;ROW()),minfo!$A:$M,COLUMN()-8,0),"")</f>
        <v>1120</v>
      </c>
      <c r="R1874" s="4">
        <f ca="1">_xlfn.IFNA(VLOOKUP(INDIRECT("G"&amp;ROW()),minfo!$A:$M,COLUMN()-8,0),"")</f>
        <v>0</v>
      </c>
      <c r="S1874" s="4" t="str">
        <f ca="1">_xlfn.IFNA(VLOOKUP(INDIRECT("G"&amp;ROW()),minfo!$A:$M,COLUMN()-8,0),"")</f>
        <v>黑色柳丁</v>
      </c>
      <c r="T1874" s="4">
        <f ca="1">_xlfn.IFNA(VLOOKUP(INDIRECT("G"&amp;ROW()),minfo!$A:$M,COLUMN()-8,0),"")</f>
        <v>113992875</v>
      </c>
      <c r="U1874" s="4">
        <f ca="1">_xlfn.IFNA(VLOOKUP(INDIRECT("G"&amp;ROW()),minfo!$A:$M,COLUMN()-8,0),"")</f>
        <v>0</v>
      </c>
    </row>
    <row r="1875" spans="1:21" ht="15.75" customHeight="1">
      <c r="A1875" s="15">
        <v>1874</v>
      </c>
      <c r="D1875" s="4">
        <v>1</v>
      </c>
      <c r="E1875" s="4" t="s">
        <v>50</v>
      </c>
      <c r="F1875" s="16">
        <v>45401</v>
      </c>
      <c r="G1875" s="5" t="s">
        <v>50</v>
      </c>
      <c r="H1875" s="5" t="s">
        <v>5631</v>
      </c>
      <c r="I1875" s="24" t="str">
        <f>HYPERLINK("https://www.bilibili.com/video/BV1b1421d75J?p=1", "BV1b1421d75J?p=1")</f>
        <v>BV1b1421d75J?p=1</v>
      </c>
      <c r="J1875" s="4" t="str">
        <f ca="1">_xlfn.IFNA(VLOOKUP(INDIRECT("G"&amp;ROW()),minfo!$A:$M,COLUMN()-8,0),"")</f>
        <v>岁岁朝朝</v>
      </c>
      <c r="K1875" s="4" t="str">
        <f ca="1">_xlfn.IFNA(VLOOKUP(INDIRECT("G"&amp;ROW()),minfo!$A:$M,COLUMN()-8,0),"")</f>
        <v>说说Crystal</v>
      </c>
      <c r="L1875" s="4" t="str">
        <f ca="1">_xlfn.IFNA(VLOOKUP(INDIRECT("G"&amp;ROW()),minfo!$A:$M,COLUMN()-8,0),"")</f>
        <v>BV1Su4m1N7QS</v>
      </c>
      <c r="M1875" s="4">
        <f ca="1">_xlfn.IFNA(VLOOKUP(INDIRECT("G"&amp;ROW()),minfo!$A:$M,COLUMN()-8,0),"")</f>
        <v>0</v>
      </c>
      <c r="N1875" s="4">
        <f ca="1">_xlfn.IFNA(VLOOKUP(INDIRECT("G"&amp;ROW()),minfo!$A:$M,COLUMN()-8,0),"")</f>
        <v>0</v>
      </c>
      <c r="O1875" s="4">
        <f ca="1">_xlfn.IFNA(VLOOKUP(INDIRECT("G"&amp;ROW()),minfo!$A:$M,COLUMN()-8,0),"")</f>
        <v>0</v>
      </c>
      <c r="P1875" s="4">
        <f ca="1">_xlfn.IFNA(VLOOKUP(INDIRECT("G"&amp;ROW()),minfo!$A:$M,COLUMN()-8,0),"")</f>
        <v>0</v>
      </c>
      <c r="Q1875" s="4">
        <f ca="1">_xlfn.IFNA(VLOOKUP(INDIRECT("G"&amp;ROW()),minfo!$A:$M,COLUMN()-8,0),"")</f>
        <v>0</v>
      </c>
      <c r="R1875" s="4">
        <f ca="1">_xlfn.IFNA(VLOOKUP(INDIRECT("G"&amp;ROW()),minfo!$A:$M,COLUMN()-8,0),"")</f>
        <v>0</v>
      </c>
      <c r="S1875" s="4">
        <f ca="1">_xlfn.IFNA(VLOOKUP(INDIRECT("G"&amp;ROW()),minfo!$A:$M,COLUMN()-8,0),"")</f>
        <v>0</v>
      </c>
      <c r="T1875" s="4">
        <f ca="1">_xlfn.IFNA(VLOOKUP(INDIRECT("G"&amp;ROW()),minfo!$A:$M,COLUMN()-8,0),"")</f>
        <v>0</v>
      </c>
      <c r="U1875" s="4">
        <f ca="1">_xlfn.IFNA(VLOOKUP(INDIRECT("G"&amp;ROW()),minfo!$A:$M,COLUMN()-8,0),"")</f>
        <v>0</v>
      </c>
    </row>
    <row r="1876" spans="1:21" ht="15.75" customHeight="1">
      <c r="A1876" s="15">
        <v>1875</v>
      </c>
      <c r="D1876" s="4">
        <v>1</v>
      </c>
      <c r="E1876" s="4" t="s">
        <v>3261</v>
      </c>
      <c r="F1876" s="16">
        <v>45401</v>
      </c>
      <c r="G1876" s="5" t="s">
        <v>3260</v>
      </c>
      <c r="H1876" s="5" t="s">
        <v>5632</v>
      </c>
      <c r="I1876" s="24" t="str">
        <f>HYPERLINK("https://www.bilibili.com/video/BV1Xr42137Yu?p=1", "BV1Xr42137Yu?p=1")</f>
        <v>BV1Xr42137Yu?p=1</v>
      </c>
      <c r="J1876" s="4" t="str">
        <f ca="1">_xlfn.IFNA(VLOOKUP(INDIRECT("G"&amp;ROW()),minfo!$A:$M,COLUMN()-8,0),"")</f>
        <v>飞鸟和蝉</v>
      </c>
      <c r="K1876" s="4" t="str">
        <f ca="1">_xlfn.IFNA(VLOOKUP(INDIRECT("G"&amp;ROW()),minfo!$A:$M,COLUMN()-8,0),"")</f>
        <v>任然</v>
      </c>
      <c r="L1876" s="4">
        <f ca="1">_xlfn.IFNA(VLOOKUP(INDIRECT("G"&amp;ROW()),minfo!$A:$M,COLUMN()-8,0),"")</f>
        <v>851211311</v>
      </c>
      <c r="M1876" s="4">
        <f ca="1">_xlfn.IFNA(VLOOKUP(INDIRECT("G"&amp;ROW()),minfo!$A:$M,COLUMN()-8,0),"")</f>
        <v>498028830</v>
      </c>
      <c r="N1876" s="4" t="str">
        <f ca="1">_xlfn.IFNA(VLOOKUP(INDIRECT("G"&amp;ROW()),minfo!$A:$M,COLUMN()-8,0),"")</f>
        <v>BV1eL4y1W7bj</v>
      </c>
      <c r="O1876" s="4" t="str">
        <f ca="1">_xlfn.IFNA(VLOOKUP(INDIRECT("G"&amp;ROW()),minfo!$A:$M,COLUMN()-8,0),"")</f>
        <v>https://i0.hdslb.com/bfs/station_src/music_metadata/dcf922d878e8d192939c7fce3a301e4f.jpg</v>
      </c>
      <c r="P1876" s="4" t="str">
        <f ca="1">_xlfn.IFNA(VLOOKUP(INDIRECT("G"&amp;ROW()),minfo!$A:$M,COLUMN()-8,0),"")</f>
        <v>http://i0.hdslb.com/bfs/station_src/music_metadata/1e5a38904dbdf7dcf11d6059e25c09ba</v>
      </c>
      <c r="Q1876" s="4">
        <f ca="1">_xlfn.IFNA(VLOOKUP(INDIRECT("G"&amp;ROW()),minfo!$A:$M,COLUMN()-8,0),"")</f>
        <v>2154</v>
      </c>
      <c r="R1876" s="4">
        <f ca="1">_xlfn.IFNA(VLOOKUP(INDIRECT("G"&amp;ROW()),minfo!$A:$M,COLUMN()-8,0),"")</f>
        <v>0</v>
      </c>
      <c r="S1876" s="4" t="str">
        <f ca="1">_xlfn.IFNA(VLOOKUP(INDIRECT("G"&amp;ROW()),minfo!$A:$M,COLUMN()-8,0),"")</f>
        <v>飞鸟和蝉</v>
      </c>
      <c r="T1876" s="4">
        <f ca="1">_xlfn.IFNA(VLOOKUP(INDIRECT("G"&amp;ROW()),minfo!$A:$M,COLUMN()-8,0),"")</f>
        <v>442023152</v>
      </c>
      <c r="U1876" s="4" t="str">
        <f ca="1">_xlfn.IFNA(VLOOKUP(INDIRECT("G"&amp;ROW()),minfo!$A:$M,COLUMN()-8,0),"")</f>
        <v>音乐榜最高NO.20</v>
      </c>
    </row>
    <row r="1877" spans="1:21" ht="15.75" customHeight="1">
      <c r="A1877" s="15">
        <v>1876</v>
      </c>
      <c r="D1877" s="4">
        <v>1</v>
      </c>
      <c r="E1877" s="4" t="s">
        <v>14</v>
      </c>
      <c r="F1877" s="16">
        <v>45401</v>
      </c>
      <c r="G1877" s="5" t="s">
        <v>13</v>
      </c>
      <c r="H1877" s="5" t="s">
        <v>5633</v>
      </c>
      <c r="I1877" s="24" t="str">
        <f>HYPERLINK("https://www.bilibili.com/video/BV1pi42127GW?p=1", "BV1pi42127GW?p=1")</f>
        <v>BV1pi42127GW?p=1</v>
      </c>
      <c r="J1877" s="4" t="str">
        <f ca="1">_xlfn.IFNA(VLOOKUP(INDIRECT("G"&amp;ROW()),minfo!$A:$M,COLUMN()-8,0),"")</f>
        <v>瓦解</v>
      </c>
      <c r="K1877" s="4" t="str">
        <f ca="1">_xlfn.IFNA(VLOOKUP(INDIRECT("G"&amp;ROW()),minfo!$A:$M,COLUMN()-8,0),"")</f>
        <v>南拳妈妈</v>
      </c>
      <c r="L1877" s="4">
        <f ca="1">_xlfn.IFNA(VLOOKUP(INDIRECT("G"&amp;ROW()),minfo!$A:$M,COLUMN()-8,0),"")</f>
        <v>0</v>
      </c>
      <c r="M1877" s="4">
        <f ca="1">_xlfn.IFNA(VLOOKUP(INDIRECT("G"&amp;ROW()),minfo!$A:$M,COLUMN()-8,0),"")</f>
        <v>0</v>
      </c>
      <c r="N1877" s="4">
        <f ca="1">_xlfn.IFNA(VLOOKUP(INDIRECT("G"&amp;ROW()),minfo!$A:$M,COLUMN()-8,0),"")</f>
        <v>0</v>
      </c>
      <c r="O1877" s="4" t="str">
        <f ca="1">_xlfn.IFNA(VLOOKUP(INDIRECT("G"&amp;ROW()),minfo!$A:$M,COLUMN()-8,0),"")</f>
        <v>https://i0.hdslb.com/bfs/station_src/music_metadata/284aedba73bbb46dd43548a108598c32.jpg</v>
      </c>
      <c r="P1877" s="4" t="str">
        <f ca="1">_xlfn.IFNA(VLOOKUP(INDIRECT("G"&amp;ROW()),minfo!$A:$M,COLUMN()-8,0),"")</f>
        <v>http://i0.hdslb.com/bfs/station_src/music_metadata/4d7bef88af4faa856325802b023ef85e</v>
      </c>
      <c r="Q1877" s="4">
        <f ca="1">_xlfn.IFNA(VLOOKUP(INDIRECT("G"&amp;ROW()),minfo!$A:$M,COLUMN()-8,0),"")</f>
        <v>129</v>
      </c>
      <c r="R1877" s="4">
        <f ca="1">_xlfn.IFNA(VLOOKUP(INDIRECT("G"&amp;ROW()),minfo!$A:$M,COLUMN()-8,0),"")</f>
        <v>0</v>
      </c>
      <c r="S1877" s="4" t="str">
        <f ca="1">_xlfn.IFNA(VLOOKUP(INDIRECT("G"&amp;ROW()),minfo!$A:$M,COLUMN()-8,0),"")</f>
        <v>南拳妈妈的夏天</v>
      </c>
      <c r="T1877" s="4">
        <f ca="1">_xlfn.IFNA(VLOOKUP(INDIRECT("G"&amp;ROW()),minfo!$A:$M,COLUMN()-8,0),"")</f>
        <v>122109069</v>
      </c>
      <c r="U1877" s="4">
        <f ca="1">_xlfn.IFNA(VLOOKUP(INDIRECT("G"&amp;ROW()),minfo!$A:$M,COLUMN()-8,0),"")</f>
        <v>0</v>
      </c>
    </row>
    <row r="1878" spans="1:21" ht="15.75" customHeight="1">
      <c r="A1878" s="15">
        <v>1877</v>
      </c>
      <c r="D1878" s="4">
        <v>1</v>
      </c>
      <c r="E1878" s="4" t="s">
        <v>3257</v>
      </c>
      <c r="F1878" s="16">
        <v>45401</v>
      </c>
      <c r="G1878" s="5" t="s">
        <v>3256</v>
      </c>
      <c r="H1878" s="5" t="s">
        <v>5634</v>
      </c>
      <c r="I1878" s="24" t="str">
        <f>HYPERLINK("https://www.bilibili.com/video/BV1Zm421j7Dd?p=1", "BV1Zm421j7Dd?p=1")</f>
        <v>BV1Zm421j7Dd?p=1</v>
      </c>
      <c r="J1878" s="4" t="str">
        <f ca="1">_xlfn.IFNA(VLOOKUP(INDIRECT("G"&amp;ROW()),minfo!$A:$M,COLUMN()-8,0),"")</f>
        <v>眼泪成诗</v>
      </c>
      <c r="K1878" s="4" t="str">
        <f ca="1">_xlfn.IFNA(VLOOKUP(INDIRECT("G"&amp;ROW()),minfo!$A:$M,COLUMN()-8,0),"")</f>
        <v>孙燕姿</v>
      </c>
      <c r="L1878" s="4">
        <f ca="1">_xlfn.IFNA(VLOOKUP(INDIRECT("G"&amp;ROW()),minfo!$A:$M,COLUMN()-8,0),"")</f>
        <v>0</v>
      </c>
      <c r="M1878" s="4">
        <f ca="1">_xlfn.IFNA(VLOOKUP(INDIRECT("G"&amp;ROW()),minfo!$A:$M,COLUMN()-8,0),"")</f>
        <v>0</v>
      </c>
      <c r="N1878" s="4">
        <f ca="1">_xlfn.IFNA(VLOOKUP(INDIRECT("G"&amp;ROW()),minfo!$A:$M,COLUMN()-8,0),"")</f>
        <v>0</v>
      </c>
      <c r="O1878" s="4" t="str">
        <f ca="1">_xlfn.IFNA(VLOOKUP(INDIRECT("G"&amp;ROW()),minfo!$A:$M,COLUMN()-8,0),"")</f>
        <v>http://i0.hdslb.com/bfs/station_src/music_metadata/9f36b6c91db5e064802dcd6b7e3a4490.jpg</v>
      </c>
      <c r="P1878" s="4" t="str">
        <f ca="1">_xlfn.IFNA(VLOOKUP(INDIRECT("G"&amp;ROW()),minfo!$A:$M,COLUMN()-8,0),"")</f>
        <v>http://i0.hdslb.com/bfs/station_src/music_metadata/20ff409dba580102aa01112537942a19</v>
      </c>
      <c r="Q1878" s="4">
        <f ca="1">_xlfn.IFNA(VLOOKUP(INDIRECT("G"&amp;ROW()),minfo!$A:$M,COLUMN()-8,0),"")</f>
        <v>71</v>
      </c>
      <c r="R1878" s="4">
        <f ca="1">_xlfn.IFNA(VLOOKUP(INDIRECT("G"&amp;ROW()),minfo!$A:$M,COLUMN()-8,0),"")</f>
        <v>0</v>
      </c>
      <c r="S1878" s="4" t="str">
        <f ca="1">_xlfn.IFNA(VLOOKUP(INDIRECT("G"&amp;ROW()),minfo!$A:$M,COLUMN()-8,0),"")</f>
        <v>完美的一天</v>
      </c>
      <c r="T1878" s="4">
        <f ca="1">_xlfn.IFNA(VLOOKUP(INDIRECT("G"&amp;ROW()),minfo!$A:$M,COLUMN()-8,0),"")</f>
        <v>28168358</v>
      </c>
      <c r="U1878" s="4">
        <f ca="1">_xlfn.IFNA(VLOOKUP(INDIRECT("G"&amp;ROW()),minfo!$A:$M,COLUMN()-8,0),"")</f>
        <v>0</v>
      </c>
    </row>
    <row r="1879" spans="1:21" ht="15.75" customHeight="1">
      <c r="A1879" s="15">
        <v>1878</v>
      </c>
      <c r="D1879" s="4">
        <v>1</v>
      </c>
      <c r="E1879" s="4" t="s">
        <v>1048</v>
      </c>
      <c r="F1879" s="16">
        <v>45401</v>
      </c>
      <c r="G1879" s="5" t="s">
        <v>1047</v>
      </c>
      <c r="H1879" s="5" t="s">
        <v>5635</v>
      </c>
      <c r="I1879" s="24" t="str">
        <f>HYPERLINK("https://www.bilibili.com/video/BV1Li42127AX?p=1", "BV1Li42127AX?p=1")</f>
        <v>BV1Li42127AX?p=1</v>
      </c>
      <c r="J1879" s="4" t="str">
        <f ca="1">_xlfn.IFNA(VLOOKUP(INDIRECT("G"&amp;ROW()),minfo!$A:$M,COLUMN()-8,0),"")</f>
        <v>雨下一整晚</v>
      </c>
      <c r="K1879" s="4" t="str">
        <f ca="1">_xlfn.IFNA(VLOOKUP(INDIRECT("G"&amp;ROW()),minfo!$A:$M,COLUMN()-8,0),"")</f>
        <v>周杰伦</v>
      </c>
      <c r="L1879" s="4">
        <f ca="1">_xlfn.IFNA(VLOOKUP(INDIRECT("G"&amp;ROW()),minfo!$A:$M,COLUMN()-8,0),"")</f>
        <v>0</v>
      </c>
      <c r="M1879" s="4">
        <f ca="1">_xlfn.IFNA(VLOOKUP(INDIRECT("G"&amp;ROW()),minfo!$A:$M,COLUMN()-8,0),"")</f>
        <v>0</v>
      </c>
      <c r="N1879" s="4">
        <f ca="1">_xlfn.IFNA(VLOOKUP(INDIRECT("G"&amp;ROW()),minfo!$A:$M,COLUMN()-8,0),"")</f>
        <v>0</v>
      </c>
      <c r="O1879" s="4" t="str">
        <f ca="1">_xlfn.IFNA(VLOOKUP(INDIRECT("G"&amp;ROW()),minfo!$A:$M,COLUMN()-8,0),"")</f>
        <v>https://i0.hdslb.com/bfs/station_src/music_metadata/740bcd3058e7aa98df27f1f0a32b0f4b.jpg</v>
      </c>
      <c r="P1879" s="4" t="str">
        <f ca="1">_xlfn.IFNA(VLOOKUP(INDIRECT("G"&amp;ROW()),minfo!$A:$M,COLUMN()-8,0),"")</f>
        <v>copyright-crawler/music/task-lyric/654daafbfad724c0d03b496f.txt</v>
      </c>
      <c r="Q1879" s="4">
        <f ca="1">_xlfn.IFNA(VLOOKUP(INDIRECT("G"&amp;ROW()),minfo!$A:$M,COLUMN()-8,0),"")</f>
        <v>2220</v>
      </c>
      <c r="R1879" s="4" t="str">
        <f ca="1">_xlfn.IFNA(VLOOKUP(INDIRECT("G"&amp;ROW()),minfo!$A:$M,COLUMN()-8,0),"")</f>
        <v>雨下一整晚</v>
      </c>
      <c r="S1879" s="4" t="str">
        <f ca="1">_xlfn.IFNA(VLOOKUP(INDIRECT("G"&amp;ROW()),minfo!$A:$M,COLUMN()-8,0),"")</f>
        <v>跨时代</v>
      </c>
      <c r="T1879" s="4">
        <f ca="1">_xlfn.IFNA(VLOOKUP(INDIRECT("G"&amp;ROW()),minfo!$A:$M,COLUMN()-8,0),"")</f>
        <v>288931916</v>
      </c>
      <c r="U1879" s="4">
        <f ca="1">_xlfn.IFNA(VLOOKUP(INDIRECT("G"&amp;ROW()),minfo!$A:$M,COLUMN()-8,0),"")</f>
        <v>0</v>
      </c>
    </row>
    <row r="1880" spans="1:21" ht="15.75" customHeight="1">
      <c r="A1880" s="15">
        <v>1879</v>
      </c>
      <c r="D1880" s="4">
        <v>1</v>
      </c>
      <c r="E1880" s="4" t="s">
        <v>3267</v>
      </c>
      <c r="F1880" s="16">
        <v>45401</v>
      </c>
      <c r="G1880" s="5" t="s">
        <v>3266</v>
      </c>
      <c r="H1880" s="5" t="s">
        <v>5636</v>
      </c>
      <c r="I1880" s="24" t="str">
        <f>HYPERLINK("https://www.bilibili.com/video/BV1f1421d7vo?p=1", "BV1f1421d7vo?p=1")</f>
        <v>BV1f1421d7vo?p=1</v>
      </c>
      <c r="J1880" s="4" t="str">
        <f ca="1">_xlfn.IFNA(VLOOKUP(INDIRECT("G"&amp;ROW()),minfo!$A:$M,COLUMN()-8,0),"")</f>
        <v>不枉</v>
      </c>
      <c r="K1880" s="4" t="str">
        <f ca="1">_xlfn.IFNA(VLOOKUP(INDIRECT("G"&amp;ROW()),minfo!$A:$M,COLUMN()-8,0),"")</f>
        <v>汪小敏</v>
      </c>
      <c r="L1880" s="4">
        <f ca="1">_xlfn.IFNA(VLOOKUP(INDIRECT("G"&amp;ROW()),minfo!$A:$M,COLUMN()-8,0),"")</f>
        <v>0</v>
      </c>
      <c r="M1880" s="4">
        <f ca="1">_xlfn.IFNA(VLOOKUP(INDIRECT("G"&amp;ROW()),minfo!$A:$M,COLUMN()-8,0),"")</f>
        <v>0</v>
      </c>
      <c r="N1880" s="4">
        <f ca="1">_xlfn.IFNA(VLOOKUP(INDIRECT("G"&amp;ROW()),minfo!$A:$M,COLUMN()-8,0),"")</f>
        <v>0</v>
      </c>
      <c r="O1880" s="4" t="str">
        <f ca="1">_xlfn.IFNA(VLOOKUP(INDIRECT("G"&amp;ROW()),minfo!$A:$M,COLUMN()-8,0),"")</f>
        <v>https://i0.hdslb.com/bfs/station_src/music_metadata/1233569afa400d8a6333bb974bba7447.jpg</v>
      </c>
      <c r="P1880" s="4">
        <f ca="1">_xlfn.IFNA(VLOOKUP(INDIRECT("G"&amp;ROW()),minfo!$A:$M,COLUMN()-8,0),"")</f>
        <v>0</v>
      </c>
      <c r="Q1880" s="4">
        <f ca="1">_xlfn.IFNA(VLOOKUP(INDIRECT("G"&amp;ROW()),minfo!$A:$M,COLUMN()-8,0),"")</f>
        <v>75</v>
      </c>
      <c r="R1880" s="4">
        <f ca="1">_xlfn.IFNA(VLOOKUP(INDIRECT("G"&amp;ROW()),minfo!$A:$M,COLUMN()-8,0),"")</f>
        <v>0</v>
      </c>
      <c r="S1880" s="4" t="str">
        <f ca="1">_xlfn.IFNA(VLOOKUP(INDIRECT("G"&amp;ROW()),minfo!$A:$M,COLUMN()-8,0),"")</f>
        <v>空</v>
      </c>
      <c r="T1880" s="4">
        <f ca="1">_xlfn.IFNA(VLOOKUP(INDIRECT("G"&amp;ROW()),minfo!$A:$M,COLUMN()-8,0),"")</f>
        <v>5523557</v>
      </c>
      <c r="U1880" s="4" t="str">
        <f ca="1">_xlfn.IFNA(VLOOKUP(INDIRECT("G"&amp;ROW()),minfo!$A:$M,COLUMN()-8,0),"")</f>
        <v>音乐榜最高NO.18</v>
      </c>
    </row>
    <row r="1881" spans="1:21" ht="15.75" customHeight="1">
      <c r="A1881" s="15">
        <v>1880</v>
      </c>
      <c r="D1881" s="4">
        <v>1</v>
      </c>
      <c r="E1881" s="4" t="s">
        <v>426</v>
      </c>
      <c r="F1881" s="16">
        <v>45404</v>
      </c>
      <c r="G1881" s="5" t="s">
        <v>425</v>
      </c>
      <c r="H1881" s="5" t="s">
        <v>5637</v>
      </c>
      <c r="I1881" s="24" t="str">
        <f>HYPERLINK("https://www.bilibili.com/video/BV1Dt421w7Rv?p=1", "BV1Dt421w7Rv?p=1")</f>
        <v>BV1Dt421w7Rv?p=1</v>
      </c>
      <c r="J1881" s="4" t="str">
        <f ca="1">_xlfn.IFNA(VLOOKUP(INDIRECT("G"&amp;ROW()),minfo!$A:$M,COLUMN()-8,0),"")</f>
        <v>说散就散</v>
      </c>
      <c r="K1881" s="4" t="str">
        <f ca="1">_xlfn.IFNA(VLOOKUP(INDIRECT("G"&amp;ROW()),minfo!$A:$M,COLUMN()-8,0),"")</f>
        <v>袁娅维TIA RAY</v>
      </c>
      <c r="L1881" s="4">
        <f ca="1">_xlfn.IFNA(VLOOKUP(INDIRECT("G"&amp;ROW()),minfo!$A:$M,COLUMN()-8,0),"")</f>
        <v>0</v>
      </c>
      <c r="M1881" s="4">
        <f ca="1">_xlfn.IFNA(VLOOKUP(INDIRECT("G"&amp;ROW()),minfo!$A:$M,COLUMN()-8,0),"")</f>
        <v>0</v>
      </c>
      <c r="N1881" s="4">
        <f ca="1">_xlfn.IFNA(VLOOKUP(INDIRECT("G"&amp;ROW()),minfo!$A:$M,COLUMN()-8,0),"")</f>
        <v>0</v>
      </c>
      <c r="O1881" s="4" t="str">
        <f ca="1">_xlfn.IFNA(VLOOKUP(INDIRECT("G"&amp;ROW()),minfo!$A:$M,COLUMN()-8,0),"")</f>
        <v>http://i0.hdslb.com/bfs/station_src/music_metadata/0d2a98cfa94a37041a8fd9f6d060a0aa.jpg</v>
      </c>
      <c r="P1881" s="4" t="str">
        <f ca="1">_xlfn.IFNA(VLOOKUP(INDIRECT("G"&amp;ROW()),minfo!$A:$M,COLUMN()-8,0),"")</f>
        <v>http://i0.hdslb.com/bfs/station_src/music_metadata/ac9c061324965249882f646ffef11dd0</v>
      </c>
      <c r="Q1881" s="4">
        <f ca="1">_xlfn.IFNA(VLOOKUP(INDIRECT("G"&amp;ROW()),minfo!$A:$M,COLUMN()-8,0),"")</f>
        <v>876</v>
      </c>
      <c r="R1881" s="4" t="str">
        <f ca="1">_xlfn.IFNA(VLOOKUP(INDIRECT("G"&amp;ROW()),minfo!$A:$M,COLUMN()-8,0),"")</f>
        <v>《前任3：再见前任》主题曲)</v>
      </c>
      <c r="S1881" s="4" t="str">
        <f ca="1">_xlfn.IFNA(VLOOKUP(INDIRECT("G"&amp;ROW()),minfo!$A:$M,COLUMN()-8,0),"")</f>
        <v>说散就散</v>
      </c>
      <c r="T1881" s="4">
        <f ca="1">_xlfn.IFNA(VLOOKUP(INDIRECT("G"&amp;ROW()),minfo!$A:$M,COLUMN()-8,0),"")</f>
        <v>263880895</v>
      </c>
      <c r="U1881" s="4" t="str">
        <f ca="1">_xlfn.IFNA(VLOOKUP(INDIRECT("G"&amp;ROW()),minfo!$A:$M,COLUMN()-8,0),"")</f>
        <v>音乐榜最高NO.17</v>
      </c>
    </row>
    <row r="1882" spans="1:21" ht="15.75" customHeight="1">
      <c r="A1882" s="15">
        <v>1881</v>
      </c>
      <c r="D1882" s="4">
        <v>1</v>
      </c>
      <c r="E1882" s="4" t="s">
        <v>699</v>
      </c>
      <c r="F1882" s="16">
        <v>45404</v>
      </c>
      <c r="G1882" s="5" t="s">
        <v>698</v>
      </c>
      <c r="H1882" s="5" t="s">
        <v>5638</v>
      </c>
      <c r="I1882" s="24" t="str">
        <f>HYPERLINK("https://www.bilibili.com/video/BV19J4m1J7vm?p=1", "BV19J4m1J7vm?p=1")</f>
        <v>BV19J4m1J7vm?p=1</v>
      </c>
      <c r="J1882" s="4" t="str">
        <f ca="1">_xlfn.IFNA(VLOOKUP(INDIRECT("G"&amp;ROW()),minfo!$A:$M,COLUMN()-8,0),"")</f>
        <v>凄美地</v>
      </c>
      <c r="K1882" s="4" t="str">
        <f ca="1">_xlfn.IFNA(VLOOKUP(INDIRECT("G"&amp;ROW()),minfo!$A:$M,COLUMN()-8,0),"")</f>
        <v>郭顶</v>
      </c>
      <c r="L1882" s="4">
        <f ca="1">_xlfn.IFNA(VLOOKUP(INDIRECT("G"&amp;ROW()),minfo!$A:$M,COLUMN()-8,0),"")</f>
        <v>0</v>
      </c>
      <c r="M1882" s="4">
        <f ca="1">_xlfn.IFNA(VLOOKUP(INDIRECT("G"&amp;ROW()),minfo!$A:$M,COLUMN()-8,0),"")</f>
        <v>100657</v>
      </c>
      <c r="N1882" s="4">
        <f ca="1">_xlfn.IFNA(VLOOKUP(INDIRECT("G"&amp;ROW()),minfo!$A:$M,COLUMN()-8,0),"")</f>
        <v>21121</v>
      </c>
      <c r="O1882" s="4" t="str">
        <f ca="1">_xlfn.IFNA(VLOOKUP(INDIRECT("G"&amp;ROW()),minfo!$A:$M,COLUMN()-8,0),"")</f>
        <v>http://i0.hdslb.com/bfs/station_src/music_metadata/45c66fceda09e6bb1431d0bd2b04b2d9.jpg</v>
      </c>
      <c r="P1882" s="4" t="str">
        <f ca="1">_xlfn.IFNA(VLOOKUP(INDIRECT("G"&amp;ROW()),minfo!$A:$M,COLUMN()-8,0),"")</f>
        <v>http://i0.hdslb.com/bfs/station_src/music_metadata/62c3f56521310cc5f6b88b48093213b2</v>
      </c>
      <c r="Q1882" s="4">
        <f ca="1">_xlfn.IFNA(VLOOKUP(INDIRECT("G"&amp;ROW()),minfo!$A:$M,COLUMN()-8,0),"")</f>
        <v>18948</v>
      </c>
      <c r="R1882" s="4">
        <f ca="1">_xlfn.IFNA(VLOOKUP(INDIRECT("G"&amp;ROW()),minfo!$A:$M,COLUMN()-8,0),"")</f>
        <v>0</v>
      </c>
      <c r="S1882" s="4" t="str">
        <f ca="1">_xlfn.IFNA(VLOOKUP(INDIRECT("G"&amp;ROW()),minfo!$A:$M,COLUMN()-8,0),"")</f>
        <v>飞行器的执行周期</v>
      </c>
      <c r="T1882" s="4">
        <f ca="1">_xlfn.IFNA(VLOOKUP(INDIRECT("G"&amp;ROW()),minfo!$A:$M,COLUMN()-8,0),"")</f>
        <v>1973644689</v>
      </c>
      <c r="U1882" s="4" t="str">
        <f ca="1">_xlfn.IFNA(VLOOKUP(INDIRECT("G"&amp;ROW()),minfo!$A:$M,COLUMN()-8,0),"")</f>
        <v>音乐榜最高NO.1</v>
      </c>
    </row>
    <row r="1883" spans="1:21" ht="15.75" customHeight="1">
      <c r="A1883" s="15">
        <v>1882</v>
      </c>
      <c r="D1883" s="4">
        <v>1</v>
      </c>
      <c r="E1883" s="4" t="s">
        <v>399</v>
      </c>
      <c r="F1883" s="16">
        <v>45404</v>
      </c>
      <c r="G1883" s="5" t="s">
        <v>398</v>
      </c>
      <c r="H1883" s="5" t="s">
        <v>5639</v>
      </c>
      <c r="I1883" s="24" t="str">
        <f>HYPERLINK("https://www.bilibili.com/video/BV1EF4m1w7d6?p=1", "BV1EF4m1w7d6?p=1")</f>
        <v>BV1EF4m1w7d6?p=1</v>
      </c>
      <c r="J1883" s="4" t="str">
        <f ca="1">_xlfn.IFNA(VLOOKUP(INDIRECT("G"&amp;ROW()),minfo!$A:$M,COLUMN()-8,0),"")</f>
        <v>Paper Hearts</v>
      </c>
      <c r="K1883" s="4" t="str">
        <f ca="1">_xlfn.IFNA(VLOOKUP(INDIRECT("G"&amp;ROW()),minfo!$A:$M,COLUMN()-8,0),"")</f>
        <v>Tori Kelly</v>
      </c>
      <c r="L1883" s="4">
        <f ca="1">_xlfn.IFNA(VLOOKUP(INDIRECT("G"&amp;ROW()),minfo!$A:$M,COLUMN()-8,0),"")</f>
        <v>0</v>
      </c>
      <c r="M1883" s="4">
        <f ca="1">_xlfn.IFNA(VLOOKUP(INDIRECT("G"&amp;ROW()),minfo!$A:$M,COLUMN()-8,0),"")</f>
        <v>0</v>
      </c>
      <c r="N1883" s="4">
        <f ca="1">_xlfn.IFNA(VLOOKUP(INDIRECT("G"&amp;ROW()),minfo!$A:$M,COLUMN()-8,0),"")</f>
        <v>0</v>
      </c>
      <c r="O1883" s="4" t="str">
        <f ca="1">_xlfn.IFNA(VLOOKUP(INDIRECT("G"&amp;ROW()),minfo!$A:$M,COLUMN()-8,0),"")</f>
        <v>https://i0.hdslb.com/bfs/station_src/music_metadata/d163890fde7ff71487a0619f16a06100.jpg</v>
      </c>
      <c r="P1883" s="4">
        <f ca="1">_xlfn.IFNA(VLOOKUP(INDIRECT("G"&amp;ROW()),minfo!$A:$M,COLUMN()-8,0),"")</f>
        <v>0</v>
      </c>
      <c r="Q1883" s="4">
        <f ca="1">_xlfn.IFNA(VLOOKUP(INDIRECT("G"&amp;ROW()),minfo!$A:$M,COLUMN()-8,0),"")</f>
        <v>65</v>
      </c>
      <c r="R1883" s="4">
        <f ca="1">_xlfn.IFNA(VLOOKUP(INDIRECT("G"&amp;ROW()),minfo!$A:$M,COLUMN()-8,0),"")</f>
        <v>0</v>
      </c>
      <c r="S1883" s="4" t="str">
        <f ca="1">_xlfn.IFNA(VLOOKUP(INDIRECT("G"&amp;ROW()),minfo!$A:$M,COLUMN()-8,0),"")</f>
        <v>Foreword</v>
      </c>
      <c r="T1883" s="4">
        <f ca="1">_xlfn.IFNA(VLOOKUP(INDIRECT("G"&amp;ROW()),minfo!$A:$M,COLUMN()-8,0),"")</f>
        <v>14743388</v>
      </c>
      <c r="U1883" s="4">
        <f ca="1">_xlfn.IFNA(VLOOKUP(INDIRECT("G"&amp;ROW()),minfo!$A:$M,COLUMN()-8,0),"")</f>
        <v>0</v>
      </c>
    </row>
    <row r="1884" spans="1:21" ht="15.75" customHeight="1">
      <c r="A1884" s="15">
        <v>1883</v>
      </c>
      <c r="D1884" s="4">
        <v>1</v>
      </c>
      <c r="E1884" s="4" t="s">
        <v>1850</v>
      </c>
      <c r="F1884" s="16">
        <v>45404</v>
      </c>
      <c r="G1884" s="5" t="s">
        <v>1849</v>
      </c>
      <c r="H1884" s="5" t="s">
        <v>5640</v>
      </c>
      <c r="I1884" s="24" t="str">
        <f>HYPERLINK("https://www.bilibili.com/video/BV16C411n7rT?p=1", "BV16C411n7rT?p=1")</f>
        <v>BV16C411n7rT?p=1</v>
      </c>
      <c r="J1884" s="4" t="str">
        <f ca="1">_xlfn.IFNA(VLOOKUP(INDIRECT("G"&amp;ROW()),minfo!$A:$M,COLUMN()-8,0),"")</f>
        <v>我不配</v>
      </c>
      <c r="K1884" s="4" t="str">
        <f ca="1">_xlfn.IFNA(VLOOKUP(INDIRECT("G"&amp;ROW()),minfo!$A:$M,COLUMN()-8,0),"")</f>
        <v>周杰伦</v>
      </c>
      <c r="L1884" s="4">
        <f ca="1">_xlfn.IFNA(VLOOKUP(INDIRECT("G"&amp;ROW()),minfo!$A:$M,COLUMN()-8,0),"")</f>
        <v>0</v>
      </c>
      <c r="M1884" s="4">
        <f ca="1">_xlfn.IFNA(VLOOKUP(INDIRECT("G"&amp;ROW()),minfo!$A:$M,COLUMN()-8,0),"")</f>
        <v>0</v>
      </c>
      <c r="N1884" s="4">
        <f ca="1">_xlfn.IFNA(VLOOKUP(INDIRECT("G"&amp;ROW()),minfo!$A:$M,COLUMN()-8,0),"")</f>
        <v>0</v>
      </c>
      <c r="O1884" s="4" t="str">
        <f ca="1">_xlfn.IFNA(VLOOKUP(INDIRECT("G"&amp;ROW()),minfo!$A:$M,COLUMN()-8,0),"")</f>
        <v>https://i0.hdslb.com/bfs/station_src/music_metadata/a5214bbe0d47f79316edd71a862fc8a5.jpg</v>
      </c>
      <c r="P1884" s="4">
        <f ca="1">_xlfn.IFNA(VLOOKUP(INDIRECT("G"&amp;ROW()),minfo!$A:$M,COLUMN()-8,0),"")</f>
        <v>0</v>
      </c>
      <c r="Q1884" s="4">
        <f ca="1">_xlfn.IFNA(VLOOKUP(INDIRECT("G"&amp;ROW()),minfo!$A:$M,COLUMN()-8,0),"")</f>
        <v>2206</v>
      </c>
      <c r="R1884" s="4">
        <f ca="1">_xlfn.IFNA(VLOOKUP(INDIRECT("G"&amp;ROW()),minfo!$A:$M,COLUMN()-8,0),"")</f>
        <v>0</v>
      </c>
      <c r="S1884" s="4" t="str">
        <f ca="1">_xlfn.IFNA(VLOOKUP(INDIRECT("G"&amp;ROW()),minfo!$A:$M,COLUMN()-8,0),"")</f>
        <v>我很忙</v>
      </c>
      <c r="T1884" s="4">
        <f ca="1">_xlfn.IFNA(VLOOKUP(INDIRECT("G"&amp;ROW()),minfo!$A:$M,COLUMN()-8,0),"")</f>
        <v>358806634</v>
      </c>
      <c r="U1884" s="4">
        <f ca="1">_xlfn.IFNA(VLOOKUP(INDIRECT("G"&amp;ROW()),minfo!$A:$M,COLUMN()-8,0),"")</f>
        <v>0</v>
      </c>
    </row>
    <row r="1885" spans="1:21" ht="15.75" customHeight="1">
      <c r="A1885" s="15">
        <v>1884</v>
      </c>
      <c r="D1885" s="4">
        <v>1</v>
      </c>
      <c r="E1885" s="4" t="s">
        <v>3253</v>
      </c>
      <c r="F1885" s="16">
        <v>45404</v>
      </c>
      <c r="G1885" s="5" t="s">
        <v>3252</v>
      </c>
      <c r="H1885" s="5" t="s">
        <v>5641</v>
      </c>
      <c r="I1885" s="24" t="str">
        <f>HYPERLINK("https://www.bilibili.com/video/BV1iC411n7kF?p=1", "BV1iC411n7kF?p=1")</f>
        <v>BV1iC411n7kF?p=1</v>
      </c>
      <c r="J1885" s="4" t="str">
        <f ca="1">_xlfn.IFNA(VLOOKUP(INDIRECT("G"&amp;ROW()),minfo!$A:$M,COLUMN()-8,0),"")</f>
        <v>味道</v>
      </c>
      <c r="K1885" s="4" t="str">
        <f ca="1">_xlfn.IFNA(VLOOKUP(INDIRECT("G"&amp;ROW()),minfo!$A:$M,COLUMN()-8,0),"")</f>
        <v>辛晓琪</v>
      </c>
      <c r="L1885" s="4">
        <f ca="1">_xlfn.IFNA(VLOOKUP(INDIRECT("G"&amp;ROW()),minfo!$A:$M,COLUMN()-8,0),"")</f>
        <v>0</v>
      </c>
      <c r="M1885" s="4">
        <f ca="1">_xlfn.IFNA(VLOOKUP(INDIRECT("G"&amp;ROW()),minfo!$A:$M,COLUMN()-8,0),"")</f>
        <v>0</v>
      </c>
      <c r="N1885" s="4">
        <f ca="1">_xlfn.IFNA(VLOOKUP(INDIRECT("G"&amp;ROW()),minfo!$A:$M,COLUMN()-8,0),"")</f>
        <v>0</v>
      </c>
      <c r="O1885" s="4" t="str">
        <f ca="1">_xlfn.IFNA(VLOOKUP(INDIRECT("G"&amp;ROW()),minfo!$A:$M,COLUMN()-8,0),"")</f>
        <v>http://i0.hdslb.com/bfs/station_src/music_metadata/97d67be8ff8b1210b866263afa159956.jpg</v>
      </c>
      <c r="P1885" s="4">
        <f ca="1">_xlfn.IFNA(VLOOKUP(INDIRECT("G"&amp;ROW()),minfo!$A:$M,COLUMN()-8,0),"")</f>
        <v>0</v>
      </c>
      <c r="Q1885" s="4">
        <f ca="1">_xlfn.IFNA(VLOOKUP(INDIRECT("G"&amp;ROW()),minfo!$A:$M,COLUMN()-8,0),"")</f>
        <v>46</v>
      </c>
      <c r="R1885" s="4">
        <f ca="1">_xlfn.IFNA(VLOOKUP(INDIRECT("G"&amp;ROW()),minfo!$A:$M,COLUMN()-8,0),"")</f>
        <v>0</v>
      </c>
      <c r="S1885" s="4" t="str">
        <f ca="1">_xlfn.IFNA(VLOOKUP(INDIRECT("G"&amp;ROW()),minfo!$A:$M,COLUMN()-8,0),"")</f>
        <v>味道</v>
      </c>
      <c r="T1885" s="4">
        <f ca="1">_xlfn.IFNA(VLOOKUP(INDIRECT("G"&amp;ROW()),minfo!$A:$M,COLUMN()-8,0),"")</f>
        <v>24820081</v>
      </c>
      <c r="U1885" s="4">
        <f ca="1">_xlfn.IFNA(VLOOKUP(INDIRECT("G"&amp;ROW()),minfo!$A:$M,COLUMN()-8,0),"")</f>
        <v>0</v>
      </c>
    </row>
    <row r="1886" spans="1:21" ht="15.75" customHeight="1">
      <c r="A1886" s="15">
        <v>1885</v>
      </c>
      <c r="D1886" s="4">
        <v>1</v>
      </c>
      <c r="E1886" s="4" t="s">
        <v>1737</v>
      </c>
      <c r="F1886" s="16">
        <v>45404</v>
      </c>
      <c r="G1886" s="5" t="s">
        <v>1736</v>
      </c>
      <c r="H1886" s="5" t="s">
        <v>5642</v>
      </c>
      <c r="I1886" s="24" t="str">
        <f>HYPERLINK("https://www.bilibili.com/video/BV1rF4m1w7cK?p=1", "BV1rF4m1w7cK?p=1")</f>
        <v>BV1rF4m1w7cK?p=1</v>
      </c>
      <c r="J1886" s="4" t="str">
        <f ca="1">_xlfn.IFNA(VLOOKUP(INDIRECT("G"&amp;ROW()),minfo!$A:$M,COLUMN()-8,0),"")</f>
        <v>我怀念的</v>
      </c>
      <c r="K1886" s="4" t="str">
        <f ca="1">_xlfn.IFNA(VLOOKUP(INDIRECT("G"&amp;ROW()),minfo!$A:$M,COLUMN()-8,0),"")</f>
        <v>孙燕姿</v>
      </c>
      <c r="L1886" s="4">
        <f ca="1">_xlfn.IFNA(VLOOKUP(INDIRECT("G"&amp;ROW()),minfo!$A:$M,COLUMN()-8,0),"")</f>
        <v>0</v>
      </c>
      <c r="M1886" s="4">
        <f ca="1">_xlfn.IFNA(VLOOKUP(INDIRECT("G"&amp;ROW()),minfo!$A:$M,COLUMN()-8,0),"")</f>
        <v>0</v>
      </c>
      <c r="N1886" s="4">
        <f ca="1">_xlfn.IFNA(VLOOKUP(INDIRECT("G"&amp;ROW()),minfo!$A:$M,COLUMN()-8,0),"")</f>
        <v>0</v>
      </c>
      <c r="O1886" s="4" t="str">
        <f ca="1">_xlfn.IFNA(VLOOKUP(INDIRECT("G"&amp;ROW()),minfo!$A:$M,COLUMN()-8,0),"")</f>
        <v>https://i0.hdslb.com/bfs/station_src/music_metadata/aec63b858053100c9a0dc93fb7620374.jpg</v>
      </c>
      <c r="P1886" s="4" t="str">
        <f ca="1">_xlfn.IFNA(VLOOKUP(INDIRECT("G"&amp;ROW()),minfo!$A:$M,COLUMN()-8,0),"")</f>
        <v>http://i0.hdslb.com/bfs/station_src/music_metadata/de3bcae91bbe18f4ac9ca8db16ae0300</v>
      </c>
      <c r="Q1886" s="4">
        <f ca="1">_xlfn.IFNA(VLOOKUP(INDIRECT("G"&amp;ROW()),minfo!$A:$M,COLUMN()-8,0),"")</f>
        <v>1220</v>
      </c>
      <c r="R1886" s="4" t="str">
        <f ca="1">_xlfn.IFNA(VLOOKUP(INDIRECT("G"&amp;ROW()),minfo!$A:$M,COLUMN()-8,0),"")</f>
        <v>《第二回合我爱你（幸运日)》电视剧主题曲</v>
      </c>
      <c r="S1886" s="4" t="str">
        <f ca="1">_xlfn.IFNA(VLOOKUP(INDIRECT("G"&amp;ROW()),minfo!$A:$M,COLUMN()-8,0),"")</f>
        <v>逆光</v>
      </c>
      <c r="T1886" s="4">
        <f ca="1">_xlfn.IFNA(VLOOKUP(INDIRECT("G"&amp;ROW()),minfo!$A:$M,COLUMN()-8,0),"")</f>
        <v>311749521</v>
      </c>
      <c r="U1886" s="4">
        <f ca="1">_xlfn.IFNA(VLOOKUP(INDIRECT("G"&amp;ROW()),minfo!$A:$M,COLUMN()-8,0),"")</f>
        <v>0</v>
      </c>
    </row>
    <row r="1887" spans="1:21" ht="15.75" customHeight="1">
      <c r="A1887" s="15">
        <v>1886</v>
      </c>
      <c r="D1887" s="4">
        <v>1</v>
      </c>
      <c r="E1887" s="4" t="s">
        <v>3257</v>
      </c>
      <c r="F1887" s="16">
        <v>45404</v>
      </c>
      <c r="G1887" s="5" t="s">
        <v>3256</v>
      </c>
      <c r="H1887" s="5" t="s">
        <v>5643</v>
      </c>
      <c r="I1887" s="24" t="str">
        <f>HYPERLINK("https://www.bilibili.com/video/BV1pm41127Dv?p=1", "BV1pm41127Dv?p=1")</f>
        <v>BV1pm41127Dv?p=1</v>
      </c>
      <c r="J1887" s="4" t="str">
        <f ca="1">_xlfn.IFNA(VLOOKUP(INDIRECT("G"&amp;ROW()),minfo!$A:$M,COLUMN()-8,0),"")</f>
        <v>眼泪成诗</v>
      </c>
      <c r="K1887" s="4" t="str">
        <f ca="1">_xlfn.IFNA(VLOOKUP(INDIRECT("G"&amp;ROW()),minfo!$A:$M,COLUMN()-8,0),"")</f>
        <v>孙燕姿</v>
      </c>
      <c r="L1887" s="4">
        <f ca="1">_xlfn.IFNA(VLOOKUP(INDIRECT("G"&amp;ROW()),minfo!$A:$M,COLUMN()-8,0),"")</f>
        <v>0</v>
      </c>
      <c r="M1887" s="4">
        <f ca="1">_xlfn.IFNA(VLOOKUP(INDIRECT("G"&amp;ROW()),minfo!$A:$M,COLUMN()-8,0),"")</f>
        <v>0</v>
      </c>
      <c r="N1887" s="4">
        <f ca="1">_xlfn.IFNA(VLOOKUP(INDIRECT("G"&amp;ROW()),minfo!$A:$M,COLUMN()-8,0),"")</f>
        <v>0</v>
      </c>
      <c r="O1887" s="4" t="str">
        <f ca="1">_xlfn.IFNA(VLOOKUP(INDIRECT("G"&amp;ROW()),minfo!$A:$M,COLUMN()-8,0),"")</f>
        <v>http://i0.hdslb.com/bfs/station_src/music_metadata/9f36b6c91db5e064802dcd6b7e3a4490.jpg</v>
      </c>
      <c r="P1887" s="4" t="str">
        <f ca="1">_xlfn.IFNA(VLOOKUP(INDIRECT("G"&amp;ROW()),minfo!$A:$M,COLUMN()-8,0),"")</f>
        <v>http://i0.hdslb.com/bfs/station_src/music_metadata/20ff409dba580102aa01112537942a19</v>
      </c>
      <c r="Q1887" s="4">
        <f ca="1">_xlfn.IFNA(VLOOKUP(INDIRECT("G"&amp;ROW()),minfo!$A:$M,COLUMN()-8,0),"")</f>
        <v>71</v>
      </c>
      <c r="R1887" s="4">
        <f ca="1">_xlfn.IFNA(VLOOKUP(INDIRECT("G"&amp;ROW()),minfo!$A:$M,COLUMN()-8,0),"")</f>
        <v>0</v>
      </c>
      <c r="S1887" s="4" t="str">
        <f ca="1">_xlfn.IFNA(VLOOKUP(INDIRECT("G"&amp;ROW()),minfo!$A:$M,COLUMN()-8,0),"")</f>
        <v>完美的一天</v>
      </c>
      <c r="T1887" s="4">
        <f ca="1">_xlfn.IFNA(VLOOKUP(INDIRECT("G"&amp;ROW()),minfo!$A:$M,COLUMN()-8,0),"")</f>
        <v>28168358</v>
      </c>
      <c r="U1887" s="4">
        <f ca="1">_xlfn.IFNA(VLOOKUP(INDIRECT("G"&amp;ROW()),minfo!$A:$M,COLUMN()-8,0),"")</f>
        <v>0</v>
      </c>
    </row>
    <row r="1888" spans="1:21" ht="15.75" customHeight="1">
      <c r="A1888" s="15">
        <v>1887</v>
      </c>
      <c r="D1888" s="4">
        <v>1</v>
      </c>
      <c r="E1888" s="4" t="s">
        <v>3166</v>
      </c>
      <c r="F1888" s="16">
        <v>45405</v>
      </c>
      <c r="G1888" s="5" t="s">
        <v>3165</v>
      </c>
      <c r="H1888" s="5" t="s">
        <v>5644</v>
      </c>
      <c r="I1888" s="24" t="str">
        <f>HYPERLINK("https://www.bilibili.com/video/BV1rC411n75C?p=1", "BV1rC411n75C?p=1")</f>
        <v>BV1rC411n75C?p=1</v>
      </c>
      <c r="J1888" s="4" t="str">
        <f ca="1">_xlfn.IFNA(VLOOKUP(INDIRECT("G"&amp;ROW()),minfo!$A:$M,COLUMN()-8,0),"")</f>
        <v>传奇</v>
      </c>
      <c r="K1888" s="4" t="str">
        <f ca="1">_xlfn.IFNA(VLOOKUP(INDIRECT("G"&amp;ROW()),minfo!$A:$M,COLUMN()-8,0),"")</f>
        <v>李健</v>
      </c>
      <c r="L1888" s="4">
        <f ca="1">_xlfn.IFNA(VLOOKUP(INDIRECT("G"&amp;ROW()),minfo!$A:$M,COLUMN()-8,0),"")</f>
        <v>0</v>
      </c>
      <c r="M1888" s="4">
        <f ca="1">_xlfn.IFNA(VLOOKUP(INDIRECT("G"&amp;ROW()),minfo!$A:$M,COLUMN()-8,0),"")</f>
        <v>0</v>
      </c>
      <c r="N1888" s="4">
        <f ca="1">_xlfn.IFNA(VLOOKUP(INDIRECT("G"&amp;ROW()),minfo!$A:$M,COLUMN()-8,0),"")</f>
        <v>0</v>
      </c>
      <c r="O1888" s="4" t="str">
        <f ca="1">_xlfn.IFNA(VLOOKUP(INDIRECT("G"&amp;ROW()),minfo!$A:$M,COLUMN()-8,0),"")</f>
        <v>https://i0.hdslb.com/bfs/station_src/music_metadata/74574de8c7ebbe9ce08b34d8e32a9e05.jpg</v>
      </c>
      <c r="P1888" s="4" t="str">
        <f ca="1">_xlfn.IFNA(VLOOKUP(INDIRECT("G"&amp;ROW()),minfo!$A:$M,COLUMN()-8,0),"")</f>
        <v>http://i0.hdslb.com/bfs/station_src/music_metadata/74ab5848d00f5f602cc928768396f954</v>
      </c>
      <c r="Q1888" s="4">
        <f ca="1">_xlfn.IFNA(VLOOKUP(INDIRECT("G"&amp;ROW()),minfo!$A:$M,COLUMN()-8,0),"")</f>
        <v>751</v>
      </c>
      <c r="R1888" s="4" t="str">
        <f ca="1">_xlfn.IFNA(VLOOKUP(INDIRECT("G"&amp;ROW()),minfo!$A:$M,COLUMN()-8,0),"")</f>
        <v>《拿什么拯救你，我的爱人》电视剧主题曲</v>
      </c>
      <c r="S1888" s="4" t="str">
        <f ca="1">_xlfn.IFNA(VLOOKUP(INDIRECT("G"&amp;ROW()),minfo!$A:$M,COLUMN()-8,0),"")</f>
        <v>似水流年</v>
      </c>
      <c r="T1888" s="4">
        <f ca="1">_xlfn.IFNA(VLOOKUP(INDIRECT("G"&amp;ROW()),minfo!$A:$M,COLUMN()-8,0),"")</f>
        <v>157759348</v>
      </c>
      <c r="U1888" s="4">
        <f ca="1">_xlfn.IFNA(VLOOKUP(INDIRECT("G"&amp;ROW()),minfo!$A:$M,COLUMN()-8,0),"")</f>
        <v>0</v>
      </c>
    </row>
    <row r="1889" spans="1:21" ht="15.75" customHeight="1">
      <c r="A1889" s="15">
        <v>1888</v>
      </c>
      <c r="D1889" s="4">
        <v>1</v>
      </c>
      <c r="E1889" s="4" t="s">
        <v>3247</v>
      </c>
      <c r="F1889" s="16">
        <v>45405</v>
      </c>
      <c r="G1889" s="5" t="s">
        <v>3246</v>
      </c>
      <c r="H1889" s="5" t="s">
        <v>5645</v>
      </c>
      <c r="I1889" s="24" t="str">
        <f>HYPERLINK("https://www.bilibili.com/video/BV1PC411H7yB?p=1", "BV1PC411H7yB?p=1")</f>
        <v>BV1PC411H7yB?p=1</v>
      </c>
      <c r="J1889" s="4" t="str">
        <f ca="1">_xlfn.IFNA(VLOOKUP(INDIRECT("G"&amp;ROW()),minfo!$A:$M,COLUMN()-8,0),"")</f>
        <v>被雨困住的城市</v>
      </c>
      <c r="K1889" s="4" t="str">
        <f ca="1">_xlfn.IFNA(VLOOKUP(INDIRECT("G"&amp;ROW()),minfo!$A:$M,COLUMN()-8,0),"")</f>
        <v>鱼丁糸</v>
      </c>
      <c r="L1889" s="4">
        <f ca="1">_xlfn.IFNA(VLOOKUP(INDIRECT("G"&amp;ROW()),minfo!$A:$M,COLUMN()-8,0),"")</f>
        <v>0</v>
      </c>
      <c r="M1889" s="4">
        <f ca="1">_xlfn.IFNA(VLOOKUP(INDIRECT("G"&amp;ROW()),minfo!$A:$M,COLUMN()-8,0),"")</f>
        <v>0</v>
      </c>
      <c r="N1889" s="4">
        <f ca="1">_xlfn.IFNA(VLOOKUP(INDIRECT("G"&amp;ROW()),minfo!$A:$M,COLUMN()-8,0),"")</f>
        <v>0</v>
      </c>
      <c r="O1889" s="4" t="str">
        <f ca="1">_xlfn.IFNA(VLOOKUP(INDIRECT("G"&amp;ROW()),minfo!$A:$M,COLUMN()-8,0),"")</f>
        <v>https://i0.hdslb.com/bfs/station_src/music_metadata/e57c974de0aa1f043a9be4f477fd8110.jpg</v>
      </c>
      <c r="P1889" s="4" t="str">
        <f ca="1">_xlfn.IFNA(VLOOKUP(INDIRECT("G"&amp;ROW()),minfo!$A:$M,COLUMN()-8,0),"")</f>
        <v>https://i0.hdslb.com/bfs/station_src/music_metadata/3d04bc370202ca34d6e5ab8366061b7a.txt</v>
      </c>
      <c r="Q1889" s="4">
        <f ca="1">_xlfn.IFNA(VLOOKUP(INDIRECT("G"&amp;ROW()),minfo!$A:$M,COLUMN()-8,0),"")</f>
        <v>4</v>
      </c>
      <c r="R1889" s="4">
        <f ca="1">_xlfn.IFNA(VLOOKUP(INDIRECT("G"&amp;ROW()),minfo!$A:$M,COLUMN()-8,0),"")</f>
        <v>0</v>
      </c>
      <c r="S1889" s="4" t="str">
        <f ca="1">_xlfn.IFNA(VLOOKUP(INDIRECT("G"&amp;ROW()),minfo!$A:$M,COLUMN()-8,0),"")</f>
        <v>小宇宙 (鱼版)</v>
      </c>
      <c r="T1889" s="4">
        <f ca="1">_xlfn.IFNA(VLOOKUP(INDIRECT("G"&amp;ROW()),minfo!$A:$M,COLUMN()-8,0),"")</f>
        <v>2352335</v>
      </c>
      <c r="U1889" s="4">
        <f ca="1">_xlfn.IFNA(VLOOKUP(INDIRECT("G"&amp;ROW()),minfo!$A:$M,COLUMN()-8,0),"")</f>
        <v>0</v>
      </c>
    </row>
    <row r="1890" spans="1:21" ht="15.75" customHeight="1">
      <c r="A1890" s="15">
        <v>1889</v>
      </c>
      <c r="D1890" s="4">
        <v>1</v>
      </c>
      <c r="E1890" s="4" t="s">
        <v>3055</v>
      </c>
      <c r="F1890" s="16">
        <v>45405</v>
      </c>
      <c r="G1890" s="5" t="s">
        <v>3054</v>
      </c>
      <c r="H1890" s="5" t="s">
        <v>5646</v>
      </c>
      <c r="I1890" s="24" t="str">
        <f>HYPERLINK("https://www.bilibili.com/video/BV151421R7vC?p=1", "BV151421R7vC?p=1")</f>
        <v>BV151421R7vC?p=1</v>
      </c>
      <c r="J1890" s="4" t="str">
        <f ca="1">_xlfn.IFNA(VLOOKUP(INDIRECT("G"&amp;ROW()),minfo!$A:$M,COLUMN()-8,0),"")</f>
        <v>说了再见以后</v>
      </c>
      <c r="K1890" s="4" t="str">
        <f ca="1">_xlfn.IFNA(VLOOKUP(INDIRECT("G"&amp;ROW()),minfo!$A:$M,COLUMN()-8,0),"")</f>
        <v>苏打绿</v>
      </c>
      <c r="L1890" s="4">
        <f ca="1">_xlfn.IFNA(VLOOKUP(INDIRECT("G"&amp;ROW()),minfo!$A:$M,COLUMN()-8,0),"")</f>
        <v>0</v>
      </c>
      <c r="M1890" s="4">
        <f ca="1">_xlfn.IFNA(VLOOKUP(INDIRECT("G"&amp;ROW()),minfo!$A:$M,COLUMN()-8,0),"")</f>
        <v>0</v>
      </c>
      <c r="N1890" s="4">
        <f ca="1">_xlfn.IFNA(VLOOKUP(INDIRECT("G"&amp;ROW()),minfo!$A:$M,COLUMN()-8,0),"")</f>
        <v>0</v>
      </c>
      <c r="O1890" s="4" t="str">
        <f ca="1">_xlfn.IFNA(VLOOKUP(INDIRECT("G"&amp;ROW()),minfo!$A:$M,COLUMN()-8,0),"")</f>
        <v>https://i0.hdslb.com/bfs/station_src/music_metadata/94d234557fe9a5920254f7d6b7838607.jpg</v>
      </c>
      <c r="P1890" s="4" t="str">
        <f ca="1">_xlfn.IFNA(VLOOKUP(INDIRECT("G"&amp;ROW()),minfo!$A:$M,COLUMN()-8,0),"")</f>
        <v>https://i0.hdslb.com/bfs/station_src/music_metadata/8e4a419e96162f4f01b7e3d8698db51f.txt</v>
      </c>
      <c r="Q1890" s="4">
        <f ca="1">_xlfn.IFNA(VLOOKUP(INDIRECT("G"&amp;ROW()),minfo!$A:$M,COLUMN()-8,0),"")</f>
        <v>3</v>
      </c>
      <c r="R1890" s="4">
        <f ca="1">_xlfn.IFNA(VLOOKUP(INDIRECT("G"&amp;ROW()),minfo!$A:$M,COLUMN()-8,0),"")</f>
        <v>0</v>
      </c>
      <c r="S1890" s="4" t="str">
        <f ca="1">_xlfn.IFNA(VLOOKUP(INDIRECT("G"&amp;ROW()),minfo!$A:$M,COLUMN()-8,0),"")</f>
        <v>MOOV Live 2013 苏打绿</v>
      </c>
      <c r="T1890" s="4">
        <f ca="1">_xlfn.IFNA(VLOOKUP(INDIRECT("G"&amp;ROW()),minfo!$A:$M,COLUMN()-8,0),"")</f>
        <v>2380374</v>
      </c>
      <c r="U1890" s="4">
        <f ca="1">_xlfn.IFNA(VLOOKUP(INDIRECT("G"&amp;ROW()),minfo!$A:$M,COLUMN()-8,0),"")</f>
        <v>0</v>
      </c>
    </row>
    <row r="1891" spans="1:21" ht="15.75" customHeight="1">
      <c r="A1891" s="15">
        <v>1890</v>
      </c>
      <c r="D1891" s="4">
        <v>1</v>
      </c>
      <c r="E1891" s="4" t="s">
        <v>1824</v>
      </c>
      <c r="F1891" s="16">
        <v>45405</v>
      </c>
      <c r="G1891" s="5" t="s">
        <v>1823</v>
      </c>
      <c r="H1891" s="5" t="s">
        <v>5647</v>
      </c>
      <c r="I1891" s="24" t="str">
        <f>HYPERLINK("https://www.bilibili.com/video/BV1rC411n7m4?p=1", "BV1rC411n7m4?p=1")</f>
        <v>BV1rC411n7m4?p=1</v>
      </c>
      <c r="J1891" s="4" t="str">
        <f ca="1">_xlfn.IFNA(VLOOKUP(INDIRECT("G"&amp;ROW()),minfo!$A:$M,COLUMN()-8,0),"")</f>
        <v>月</v>
      </c>
      <c r="K1891" s="4" t="str">
        <f ca="1">_xlfn.IFNA(VLOOKUP(INDIRECT("G"&amp;ROW()),minfo!$A:$M,COLUMN()-8,0),"")</f>
        <v>郁可唯</v>
      </c>
      <c r="L1891" s="4">
        <f ca="1">_xlfn.IFNA(VLOOKUP(INDIRECT("G"&amp;ROW()),minfo!$A:$M,COLUMN()-8,0),"")</f>
        <v>0</v>
      </c>
      <c r="M1891" s="4">
        <f ca="1">_xlfn.IFNA(VLOOKUP(INDIRECT("G"&amp;ROW()),minfo!$A:$M,COLUMN()-8,0),"")</f>
        <v>0</v>
      </c>
      <c r="N1891" s="4">
        <f ca="1">_xlfn.IFNA(VLOOKUP(INDIRECT("G"&amp;ROW()),minfo!$A:$M,COLUMN()-8,0),"")</f>
        <v>0</v>
      </c>
      <c r="O1891" s="4" t="str">
        <f ca="1">_xlfn.IFNA(VLOOKUP(INDIRECT("G"&amp;ROW()),minfo!$A:$M,COLUMN()-8,0),"")</f>
        <v>https://i0.hdslb.com/bfs/station_src/music_metadata/18366082543cccb9ea83dadd477d221d.jpg</v>
      </c>
      <c r="P1891" s="4" t="str">
        <f ca="1">_xlfn.IFNA(VLOOKUP(INDIRECT("G"&amp;ROW()),minfo!$A:$M,COLUMN()-8,0),"")</f>
        <v>https://i0.hdslb.com/bfs/station_src/music_metadata/31530dd411904e556b2dcad90552b3b7.txt</v>
      </c>
      <c r="Q1891" s="4">
        <f ca="1">_xlfn.IFNA(VLOOKUP(INDIRECT("G"&amp;ROW()),minfo!$A:$M,COLUMN()-8,0),"")</f>
        <v>159</v>
      </c>
      <c r="R1891" s="4">
        <f ca="1">_xlfn.IFNA(VLOOKUP(INDIRECT("G"&amp;ROW()),minfo!$A:$M,COLUMN()-8,0),"")</f>
        <v>0</v>
      </c>
      <c r="S1891" s="4" t="str">
        <f ca="1">_xlfn.IFNA(VLOOKUP(INDIRECT("G"&amp;ROW()),minfo!$A:$M,COLUMN()-8,0),"")</f>
        <v>月</v>
      </c>
      <c r="T1891" s="4">
        <f ca="1">_xlfn.IFNA(VLOOKUP(INDIRECT("G"&amp;ROW()),minfo!$A:$M,COLUMN()-8,0),"")</f>
        <v>38638268</v>
      </c>
      <c r="U1891" s="4">
        <f ca="1">_xlfn.IFNA(VLOOKUP(INDIRECT("G"&amp;ROW()),minfo!$A:$M,COLUMN()-8,0),"")</f>
        <v>0</v>
      </c>
    </row>
    <row r="1892" spans="1:21" ht="15.75" customHeight="1">
      <c r="A1892" s="15">
        <v>1891</v>
      </c>
      <c r="D1892" s="4">
        <v>1</v>
      </c>
      <c r="E1892" s="4" t="s">
        <v>642</v>
      </c>
      <c r="F1892" s="16">
        <v>45405</v>
      </c>
      <c r="G1892" s="5" t="s">
        <v>642</v>
      </c>
      <c r="H1892" s="5" t="s">
        <v>5648</v>
      </c>
      <c r="I1892" s="24" t="str">
        <f>HYPERLINK("https://www.bilibili.com/video/BV1B1421R7E6?p=1", "BV1B1421R7E6?p=1")</f>
        <v>BV1B1421R7E6?p=1</v>
      </c>
      <c r="J1892" s="4" t="str">
        <f ca="1">_xlfn.IFNA(VLOOKUP(INDIRECT("G"&amp;ROW()),minfo!$A:$M,COLUMN()-8,0),"")</f>
        <v>左边</v>
      </c>
      <c r="K1892" s="4" t="str">
        <f ca="1">_xlfn.IFNA(VLOOKUP(INDIRECT("G"&amp;ROW()),minfo!$A:$M,COLUMN()-8,0),"")</f>
        <v>苏打绿</v>
      </c>
      <c r="L1892" s="4">
        <f ca="1">_xlfn.IFNA(VLOOKUP(INDIRECT("G"&amp;ROW()),minfo!$A:$M,COLUMN()-8,0),"")</f>
        <v>0</v>
      </c>
      <c r="M1892" s="4">
        <f ca="1">_xlfn.IFNA(VLOOKUP(INDIRECT("G"&amp;ROW()),minfo!$A:$M,COLUMN()-8,0),"")</f>
        <v>0</v>
      </c>
      <c r="N1892" s="4">
        <f ca="1">_xlfn.IFNA(VLOOKUP(INDIRECT("G"&amp;ROW()),minfo!$A:$M,COLUMN()-8,0),"")</f>
        <v>0</v>
      </c>
      <c r="O1892" s="4">
        <f ca="1">_xlfn.IFNA(VLOOKUP(INDIRECT("G"&amp;ROW()),minfo!$A:$M,COLUMN()-8,0),"")</f>
        <v>0</v>
      </c>
      <c r="P1892" s="4">
        <f ca="1">_xlfn.IFNA(VLOOKUP(INDIRECT("G"&amp;ROW()),minfo!$A:$M,COLUMN()-8,0),"")</f>
        <v>0</v>
      </c>
      <c r="Q1892" s="4">
        <f ca="1">_xlfn.IFNA(VLOOKUP(INDIRECT("G"&amp;ROW()),minfo!$A:$M,COLUMN()-8,0),"")</f>
        <v>0</v>
      </c>
      <c r="R1892" s="4">
        <f ca="1">_xlfn.IFNA(VLOOKUP(INDIRECT("G"&amp;ROW()),minfo!$A:$M,COLUMN()-8,0),"")</f>
        <v>0</v>
      </c>
      <c r="S1892" s="4">
        <f ca="1">_xlfn.IFNA(VLOOKUP(INDIRECT("G"&amp;ROW()),minfo!$A:$M,COLUMN()-8,0),"")</f>
        <v>0</v>
      </c>
      <c r="T1892" s="4">
        <f ca="1">_xlfn.IFNA(VLOOKUP(INDIRECT("G"&amp;ROW()),minfo!$A:$M,COLUMN()-8,0),"")</f>
        <v>0</v>
      </c>
      <c r="U1892" s="4">
        <f ca="1">_xlfn.IFNA(VLOOKUP(INDIRECT("G"&amp;ROW()),minfo!$A:$M,COLUMN()-8,0),"")</f>
        <v>0</v>
      </c>
    </row>
    <row r="1893" spans="1:21" ht="15.75" customHeight="1">
      <c r="A1893" s="15">
        <v>1892</v>
      </c>
      <c r="D1893" s="4">
        <v>1</v>
      </c>
      <c r="E1893" s="4" t="s">
        <v>812</v>
      </c>
      <c r="F1893" s="16">
        <v>45405</v>
      </c>
      <c r="G1893" s="5" t="s">
        <v>811</v>
      </c>
      <c r="H1893" s="5" t="s">
        <v>5649</v>
      </c>
      <c r="I1893" s="24" t="str">
        <f>HYPERLINK("https://www.bilibili.com/video/BV1Jm41127CP?p=1", "BV1Jm41127CP?p=1")</f>
        <v>BV1Jm41127CP?p=1</v>
      </c>
      <c r="J1893" s="4" t="str">
        <f ca="1">_xlfn.IFNA(VLOOKUP(INDIRECT("G"&amp;ROW()),minfo!$A:$M,COLUMN()-8,0),"")</f>
        <v>下雨的夜晚</v>
      </c>
      <c r="K1893" s="4" t="str">
        <f ca="1">_xlfn.IFNA(VLOOKUP(INDIRECT("G"&amp;ROW()),minfo!$A:$M,COLUMN()-8,0),"")</f>
        <v>苏打绿</v>
      </c>
      <c r="L1893" s="4">
        <f ca="1">_xlfn.IFNA(VLOOKUP(INDIRECT("G"&amp;ROW()),minfo!$A:$M,COLUMN()-8,0),"")</f>
        <v>0</v>
      </c>
      <c r="M1893" s="4">
        <f ca="1">_xlfn.IFNA(VLOOKUP(INDIRECT("G"&amp;ROW()),minfo!$A:$M,COLUMN()-8,0),"")</f>
        <v>0</v>
      </c>
      <c r="N1893" s="4">
        <f ca="1">_xlfn.IFNA(VLOOKUP(INDIRECT("G"&amp;ROW()),minfo!$A:$M,COLUMN()-8,0),"")</f>
        <v>0</v>
      </c>
      <c r="O1893" s="4" t="str">
        <f ca="1">_xlfn.IFNA(VLOOKUP(INDIRECT("G"&amp;ROW()),minfo!$A:$M,COLUMN()-8,0),"")</f>
        <v>https://i0.hdslb.com/bfs/station_src/music_metadata/515892bd2a4d344caf93fec714c813be.jpg</v>
      </c>
      <c r="P1893" s="4">
        <f ca="1">_xlfn.IFNA(VLOOKUP(INDIRECT("G"&amp;ROW()),minfo!$A:$M,COLUMN()-8,0),"")</f>
        <v>0</v>
      </c>
      <c r="Q1893" s="4">
        <f ca="1">_xlfn.IFNA(VLOOKUP(INDIRECT("G"&amp;ROW()),minfo!$A:$M,COLUMN()-8,0),"")</f>
        <v>14</v>
      </c>
      <c r="R1893" s="4">
        <f ca="1">_xlfn.IFNA(VLOOKUP(INDIRECT("G"&amp;ROW()),minfo!$A:$M,COLUMN()-8,0),"")</f>
        <v>0</v>
      </c>
      <c r="S1893" s="4" t="str">
        <f ca="1">_xlfn.IFNA(VLOOKUP(INDIRECT("G"&amp;ROW()),minfo!$A:$M,COLUMN()-8,0),"")</f>
        <v>冬 未了</v>
      </c>
      <c r="T1893" s="4">
        <f ca="1">_xlfn.IFNA(VLOOKUP(INDIRECT("G"&amp;ROW()),minfo!$A:$M,COLUMN()-8,0),"")</f>
        <v>3649724</v>
      </c>
      <c r="U1893" s="4">
        <f ca="1">_xlfn.IFNA(VLOOKUP(INDIRECT("G"&amp;ROW()),minfo!$A:$M,COLUMN()-8,0),"")</f>
        <v>0</v>
      </c>
    </row>
    <row r="1894" spans="1:21" ht="15.75" customHeight="1">
      <c r="A1894" s="15">
        <v>1893</v>
      </c>
      <c r="D1894" s="4">
        <v>1</v>
      </c>
      <c r="E1894" s="4" t="s">
        <v>736</v>
      </c>
      <c r="F1894" s="16">
        <v>45405</v>
      </c>
      <c r="G1894" s="5" t="s">
        <v>735</v>
      </c>
      <c r="H1894" s="5" t="s">
        <v>5650</v>
      </c>
      <c r="I1894" s="24" t="str">
        <f>HYPERLINK("https://www.bilibili.com/video/BV1Mx4y167Xo?p=1", "BV1Mx4y167Xo?p=1")</f>
        <v>BV1Mx4y167Xo?p=1</v>
      </c>
      <c r="J1894" s="4" t="str">
        <f ca="1">_xlfn.IFNA(VLOOKUP(INDIRECT("G"&amp;ROW()),minfo!$A:$M,COLUMN()-8,0),"")</f>
        <v>花一开就相爱吧</v>
      </c>
      <c r="K1894" s="4" t="str">
        <f ca="1">_xlfn.IFNA(VLOOKUP(INDIRECT("G"&amp;ROW()),minfo!$A:$M,COLUMN()-8,0),"")</f>
        <v>林依晨</v>
      </c>
      <c r="L1894" s="4">
        <f ca="1">_xlfn.IFNA(VLOOKUP(INDIRECT("G"&amp;ROW()),minfo!$A:$M,COLUMN()-8,0),"")</f>
        <v>0</v>
      </c>
      <c r="M1894" s="4">
        <f ca="1">_xlfn.IFNA(VLOOKUP(INDIRECT("G"&amp;ROW()),minfo!$A:$M,COLUMN()-8,0),"")</f>
        <v>0</v>
      </c>
      <c r="N1894" s="4">
        <f ca="1">_xlfn.IFNA(VLOOKUP(INDIRECT("G"&amp;ROW()),minfo!$A:$M,COLUMN()-8,0),"")</f>
        <v>0</v>
      </c>
      <c r="O1894" s="4" t="str">
        <f ca="1">_xlfn.IFNA(VLOOKUP(INDIRECT("G"&amp;ROW()),minfo!$A:$M,COLUMN()-8,0),"")</f>
        <v>https://i0.hdslb.com/bfs/station_src/music_metadata/64a48ebd48feecac91ab30c1fcc17d0b.jpg</v>
      </c>
      <c r="P1894" s="4">
        <f ca="1">_xlfn.IFNA(VLOOKUP(INDIRECT("G"&amp;ROW()),minfo!$A:$M,COLUMN()-8,0),"")</f>
        <v>0</v>
      </c>
      <c r="Q1894" s="4">
        <f ca="1">_xlfn.IFNA(VLOOKUP(INDIRECT("G"&amp;ROW()),minfo!$A:$M,COLUMN()-8,0),"")</f>
        <v>2</v>
      </c>
      <c r="R1894" s="4">
        <f ca="1">_xlfn.IFNA(VLOOKUP(INDIRECT("G"&amp;ROW()),minfo!$A:$M,COLUMN()-8,0),"")</f>
        <v>0</v>
      </c>
      <c r="S1894" s="4" t="str">
        <f ca="1">_xlfn.IFNA(VLOOKUP(INDIRECT("G"&amp;ROW()),minfo!$A:$M,COLUMN()-8,0),"")</f>
        <v>美好的旅行</v>
      </c>
      <c r="T1894" s="4">
        <f ca="1">_xlfn.IFNA(VLOOKUP(INDIRECT("G"&amp;ROW()),minfo!$A:$M,COLUMN()-8,0),"")</f>
        <v>4126537</v>
      </c>
      <c r="U1894" s="4">
        <f ca="1">_xlfn.IFNA(VLOOKUP(INDIRECT("G"&amp;ROW()),minfo!$A:$M,COLUMN()-8,0),"")</f>
        <v>0</v>
      </c>
    </row>
    <row r="1895" spans="1:21" ht="15.75" customHeight="1">
      <c r="A1895" s="15">
        <v>1894</v>
      </c>
      <c r="D1895" s="4">
        <v>1</v>
      </c>
      <c r="E1895" s="4" t="s">
        <v>3238</v>
      </c>
      <c r="F1895" s="16">
        <v>45406</v>
      </c>
      <c r="G1895" s="5" t="s">
        <v>3237</v>
      </c>
      <c r="H1895" s="5" t="s">
        <v>5651</v>
      </c>
      <c r="I1895" s="24" t="str">
        <f>HYPERLINK("https://www.bilibili.com/video/BV1vp421S7n8?p=1", "BV1vp421S7n8?p=1")</f>
        <v>BV1vp421S7n8?p=1</v>
      </c>
      <c r="J1895" s="4" t="str">
        <f ca="1">_xlfn.IFNA(VLOOKUP(INDIRECT("G"&amp;ROW()),minfo!$A:$M,COLUMN()-8,0),"")</f>
        <v>小镇姑娘</v>
      </c>
      <c r="K1895" s="4" t="str">
        <f ca="1">_xlfn.IFNA(VLOOKUP(INDIRECT("G"&amp;ROW()),minfo!$A:$M,COLUMN()-8,0),"")</f>
        <v>陶喆</v>
      </c>
      <c r="L1895" s="4">
        <f ca="1">_xlfn.IFNA(VLOOKUP(INDIRECT("G"&amp;ROW()),minfo!$A:$M,COLUMN()-8,0),"")</f>
        <v>0</v>
      </c>
      <c r="M1895" s="4">
        <f ca="1">_xlfn.IFNA(VLOOKUP(INDIRECT("G"&amp;ROW()),minfo!$A:$M,COLUMN()-8,0),"")</f>
        <v>0</v>
      </c>
      <c r="N1895" s="4">
        <f ca="1">_xlfn.IFNA(VLOOKUP(INDIRECT("G"&amp;ROW()),minfo!$A:$M,COLUMN()-8,0),"")</f>
        <v>0</v>
      </c>
      <c r="O1895" s="4" t="str">
        <f ca="1">_xlfn.IFNA(VLOOKUP(INDIRECT("G"&amp;ROW()),minfo!$A:$M,COLUMN()-8,0),"")</f>
        <v>http://i0.hdslb.com/bfs/station_src/music_metadata/63c043637ab4b1dc2750652f87cf1705.jpg</v>
      </c>
      <c r="P1895" s="4" t="str">
        <f ca="1">_xlfn.IFNA(VLOOKUP(INDIRECT("G"&amp;ROW()),minfo!$A:$M,COLUMN()-8,0),"")</f>
        <v>http://i0.hdslb.com/bfs/station_src/music_metadata/fd97a101c493130f23c5e1c19e7a4637</v>
      </c>
      <c r="Q1895" s="4">
        <f ca="1">_xlfn.IFNA(VLOOKUP(INDIRECT("G"&amp;ROW()),minfo!$A:$M,COLUMN()-8,0),"")</f>
        <v>841</v>
      </c>
      <c r="R1895" s="4">
        <f ca="1">_xlfn.IFNA(VLOOKUP(INDIRECT("G"&amp;ROW()),minfo!$A:$M,COLUMN()-8,0),"")</f>
        <v>0</v>
      </c>
      <c r="S1895" s="4">
        <f ca="1">_xlfn.IFNA(VLOOKUP(INDIRECT("G"&amp;ROW()),minfo!$A:$M,COLUMN()-8,0),"")</f>
        <v>0</v>
      </c>
      <c r="T1895" s="4">
        <f ca="1">_xlfn.IFNA(VLOOKUP(INDIRECT("G"&amp;ROW()),minfo!$A:$M,COLUMN()-8,0),"")</f>
        <v>167213252</v>
      </c>
      <c r="U1895" s="4">
        <f ca="1">_xlfn.IFNA(VLOOKUP(INDIRECT("G"&amp;ROW()),minfo!$A:$M,COLUMN()-8,0),"")</f>
        <v>0</v>
      </c>
    </row>
    <row r="1896" spans="1:21" ht="15.75" customHeight="1">
      <c r="A1896" s="15">
        <v>1895</v>
      </c>
      <c r="D1896" s="4">
        <v>1</v>
      </c>
      <c r="E1896" s="4" t="s">
        <v>1719</v>
      </c>
      <c r="F1896" s="16">
        <v>45406</v>
      </c>
      <c r="G1896" s="5" t="s">
        <v>1718</v>
      </c>
      <c r="H1896" s="5" t="s">
        <v>5652</v>
      </c>
      <c r="I1896" s="24" t="str">
        <f>HYPERLINK("https://www.bilibili.com/video/BV1vz42167bv?p=1", "BV1vz42167bv?p=1")</f>
        <v>BV1vz42167bv?p=1</v>
      </c>
      <c r="J1896" s="4" t="str">
        <f ca="1">_xlfn.IFNA(VLOOKUP(INDIRECT("G"&amp;ROW()),minfo!$A:$M,COLUMN()-8,0),"")</f>
        <v>达尔文</v>
      </c>
      <c r="K1896" s="4" t="str">
        <f ca="1">_xlfn.IFNA(VLOOKUP(INDIRECT("G"&amp;ROW()),minfo!$A:$M,COLUMN()-8,0),"")</f>
        <v>蔡健雅</v>
      </c>
      <c r="L1896" s="4">
        <f ca="1">_xlfn.IFNA(VLOOKUP(INDIRECT("G"&amp;ROW()),minfo!$A:$M,COLUMN()-8,0),"")</f>
        <v>0</v>
      </c>
      <c r="M1896" s="4">
        <f ca="1">_xlfn.IFNA(VLOOKUP(INDIRECT("G"&amp;ROW()),minfo!$A:$M,COLUMN()-8,0),"")</f>
        <v>61</v>
      </c>
      <c r="N1896" s="4">
        <f ca="1">_xlfn.IFNA(VLOOKUP(INDIRECT("G"&amp;ROW()),minfo!$A:$M,COLUMN()-8,0),"")</f>
        <v>23</v>
      </c>
      <c r="O1896" s="4" t="str">
        <f ca="1">_xlfn.IFNA(VLOOKUP(INDIRECT("G"&amp;ROW()),minfo!$A:$M,COLUMN()-8,0),"")</f>
        <v>http://i2.hdslb.com/bfs/archive/0d88147503c1678b5c14f01bf912438f0e18189c.jpg</v>
      </c>
      <c r="P1896" s="4">
        <f ca="1">_xlfn.IFNA(VLOOKUP(INDIRECT("G"&amp;ROW()),minfo!$A:$M,COLUMN()-8,0),"")</f>
        <v>0</v>
      </c>
      <c r="Q1896" s="4">
        <f ca="1">_xlfn.IFNA(VLOOKUP(INDIRECT("G"&amp;ROW()),minfo!$A:$M,COLUMN()-8,0),"")</f>
        <v>275</v>
      </c>
      <c r="R1896" s="4" t="str">
        <f ca="1">_xlfn.IFNA(VLOOKUP(INDIRECT("G"&amp;ROW()),minfo!$A:$M,COLUMN()-8,0),"")</f>
        <v>达尔文</v>
      </c>
      <c r="S1896" s="4" t="str">
        <f ca="1">_xlfn.IFNA(VLOOKUP(INDIRECT("G"&amp;ROW()),minfo!$A:$M,COLUMN()-8,0),"")</f>
        <v>达尔文</v>
      </c>
      <c r="T1896" s="4">
        <f ca="1">_xlfn.IFNA(VLOOKUP(INDIRECT("G"&amp;ROW()),minfo!$A:$M,COLUMN()-8,0),"")</f>
        <v>108423038</v>
      </c>
      <c r="U1896" s="4">
        <f ca="1">_xlfn.IFNA(VLOOKUP(INDIRECT("G"&amp;ROW()),minfo!$A:$M,COLUMN()-8,0),"")</f>
        <v>0</v>
      </c>
    </row>
    <row r="1897" spans="1:21" ht="15.75" customHeight="1">
      <c r="A1897" s="15">
        <v>1896</v>
      </c>
      <c r="D1897" s="4">
        <v>1</v>
      </c>
      <c r="E1897" s="4" t="s">
        <v>3242</v>
      </c>
      <c r="F1897" s="16">
        <v>45406</v>
      </c>
      <c r="G1897" s="5" t="s">
        <v>3241</v>
      </c>
      <c r="H1897" s="5" t="s">
        <v>5653</v>
      </c>
      <c r="I1897" s="24" t="str">
        <f>HYPERLINK("https://www.bilibili.com/video/BV1pm42147Kg?p=1", "BV1pm42147Kg?p=1")</f>
        <v>BV1pm42147Kg?p=1</v>
      </c>
      <c r="J1897" s="4" t="str">
        <f ca="1">_xlfn.IFNA(VLOOKUP(INDIRECT("G"&amp;ROW()),minfo!$A:$M,COLUMN()-8,0),"")</f>
        <v>飞机场</v>
      </c>
      <c r="K1897" s="4" t="str">
        <f ca="1">_xlfn.IFNA(VLOOKUP(INDIRECT("G"&amp;ROW()),minfo!$A:$M,COLUMN()-8,0),"")</f>
        <v>小凌,徐良</v>
      </c>
      <c r="L1897" s="4">
        <f ca="1">_xlfn.IFNA(VLOOKUP(INDIRECT("G"&amp;ROW()),minfo!$A:$M,COLUMN()-8,0),"")</f>
        <v>0</v>
      </c>
      <c r="M1897" s="4">
        <f ca="1">_xlfn.IFNA(VLOOKUP(INDIRECT("G"&amp;ROW()),minfo!$A:$M,COLUMN()-8,0),"")</f>
        <v>0</v>
      </c>
      <c r="N1897" s="4">
        <f ca="1">_xlfn.IFNA(VLOOKUP(INDIRECT("G"&amp;ROW()),minfo!$A:$M,COLUMN()-8,0),"")</f>
        <v>0</v>
      </c>
      <c r="O1897" s="4" t="str">
        <f ca="1">_xlfn.IFNA(VLOOKUP(INDIRECT("G"&amp;ROW()),minfo!$A:$M,COLUMN()-8,0),"")</f>
        <v>https://i0.hdslb.com/bfs/station_src/music_metadata/0a38128cbf918a6c59a87d1742d4a1f7.jpg</v>
      </c>
      <c r="P1897" s="4" t="str">
        <f ca="1">_xlfn.IFNA(VLOOKUP(INDIRECT("G"&amp;ROW()),minfo!$A:$M,COLUMN()-8,0),"")</f>
        <v>http://i0.hdslb.com/bfs/station_src/music_metadata/3f4933664afe675ec038fa36ea2c4ebf</v>
      </c>
      <c r="Q1897" s="4">
        <f ca="1">_xlfn.IFNA(VLOOKUP(INDIRECT("G"&amp;ROW()),minfo!$A:$M,COLUMN()-8,0),"")</f>
        <v>118</v>
      </c>
      <c r="R1897" s="4">
        <f ca="1">_xlfn.IFNA(VLOOKUP(INDIRECT("G"&amp;ROW()),minfo!$A:$M,COLUMN()-8,0),"")</f>
        <v>0</v>
      </c>
      <c r="S1897" s="4" t="str">
        <f ca="1">_xlfn.IFNA(VLOOKUP(INDIRECT("G"&amp;ROW()),minfo!$A:$M,COLUMN()-8,0),"")</f>
        <v>飞机场</v>
      </c>
      <c r="T1897" s="4">
        <f ca="1">_xlfn.IFNA(VLOOKUP(INDIRECT("G"&amp;ROW()),minfo!$A:$M,COLUMN()-8,0),"")</f>
        <v>31347993</v>
      </c>
      <c r="U1897" s="4">
        <f ca="1">_xlfn.IFNA(VLOOKUP(INDIRECT("G"&amp;ROW()),minfo!$A:$M,COLUMN()-8,0),"")</f>
        <v>0</v>
      </c>
    </row>
    <row r="1898" spans="1:21" ht="15.75" customHeight="1">
      <c r="A1898" s="15">
        <v>1897</v>
      </c>
      <c r="D1898" s="4">
        <v>1</v>
      </c>
      <c r="E1898" s="4" t="s">
        <v>798</v>
      </c>
      <c r="F1898" s="16">
        <v>45406</v>
      </c>
      <c r="G1898" s="5" t="s">
        <v>797</v>
      </c>
      <c r="H1898" s="5" t="s">
        <v>5654</v>
      </c>
      <c r="I1898" s="24" t="str">
        <f>HYPERLINK("https://www.bilibili.com/video/BV1Vt42177Hv?p=1", "BV1Vt42177Hv?p=1")</f>
        <v>BV1Vt42177Hv?p=1</v>
      </c>
      <c r="J1898" s="4" t="str">
        <f ca="1">_xlfn.IFNA(VLOOKUP(INDIRECT("G"&amp;ROW()),minfo!$A:$M,COLUMN()-8,0),"")</f>
        <v>让她降落</v>
      </c>
      <c r="K1898" s="4" t="str">
        <f ca="1">_xlfn.IFNA(VLOOKUP(INDIRECT("G"&amp;ROW()),minfo!$A:$M,COLUMN()-8,0),"")</f>
        <v>何璐</v>
      </c>
      <c r="L1898" s="4">
        <f ca="1">_xlfn.IFNA(VLOOKUP(INDIRECT("G"&amp;ROW()),minfo!$A:$M,COLUMN()-8,0),"")</f>
        <v>0</v>
      </c>
      <c r="M1898" s="4">
        <f ca="1">_xlfn.IFNA(VLOOKUP(INDIRECT("G"&amp;ROW()),minfo!$A:$M,COLUMN()-8,0),"")</f>
        <v>0</v>
      </c>
      <c r="N1898" s="4">
        <f ca="1">_xlfn.IFNA(VLOOKUP(INDIRECT("G"&amp;ROW()),minfo!$A:$M,COLUMN()-8,0),"")</f>
        <v>0</v>
      </c>
      <c r="O1898" s="4" t="str">
        <f ca="1">_xlfn.IFNA(VLOOKUP(INDIRECT("G"&amp;ROW()),minfo!$A:$M,COLUMN()-8,0),"")</f>
        <v>http://i0.hdslb.com/bfs/station_src/music_metadata/cac3cdb113beb631fc51a8ee80236746.jpg</v>
      </c>
      <c r="P1898" s="4" t="str">
        <f ca="1">_xlfn.IFNA(VLOOKUP(INDIRECT("G"&amp;ROW()),minfo!$A:$M,COLUMN()-8,0),"")</f>
        <v>http://i0.hdslb.com/bfs/station_src/music_metadata/61a0ea9f4aae0b0d39b3cda25e077499</v>
      </c>
      <c r="Q1898" s="4">
        <f ca="1">_xlfn.IFNA(VLOOKUP(INDIRECT("G"&amp;ROW()),minfo!$A:$M,COLUMN()-8,0),"")</f>
        <v>850</v>
      </c>
      <c r="R1898" s="4">
        <f ca="1">_xlfn.IFNA(VLOOKUP(INDIRECT("G"&amp;ROW()),minfo!$A:$M,COLUMN()-8,0),"")</f>
        <v>0</v>
      </c>
      <c r="S1898" s="4" t="str">
        <f ca="1">_xlfn.IFNA(VLOOKUP(INDIRECT("G"&amp;ROW()),minfo!$A:$M,COLUMN()-8,0),"")</f>
        <v>让她降落</v>
      </c>
      <c r="T1898" s="4">
        <f ca="1">_xlfn.IFNA(VLOOKUP(INDIRECT("G"&amp;ROW()),minfo!$A:$M,COLUMN()-8,0),"")</f>
        <v>168699816</v>
      </c>
      <c r="U1898" s="4">
        <f ca="1">_xlfn.IFNA(VLOOKUP(INDIRECT("G"&amp;ROW()),minfo!$A:$M,COLUMN()-8,0),"")</f>
        <v>0</v>
      </c>
    </row>
    <row r="1899" spans="1:21" ht="15.75" customHeight="1">
      <c r="A1899" s="15">
        <v>1898</v>
      </c>
      <c r="D1899" s="4">
        <v>1</v>
      </c>
      <c r="E1899" s="4" t="s">
        <v>568</v>
      </c>
      <c r="F1899" s="16">
        <v>45406</v>
      </c>
      <c r="G1899" s="5" t="s">
        <v>864</v>
      </c>
      <c r="H1899" s="5" t="s">
        <v>5655</v>
      </c>
      <c r="I1899" s="24" t="str">
        <f>HYPERLINK("https://www.bilibili.com/video/BV1kC411n7ra?p=1", "BV1kC411n7ra?p=1")</f>
        <v>BV1kC411n7ra?p=1</v>
      </c>
      <c r="J1899" s="4" t="str">
        <f ca="1">_xlfn.IFNA(VLOOKUP(INDIRECT("G"&amp;ROW()),minfo!$A:$M,COLUMN()-8,0),"")</f>
        <v>乌梅子酱</v>
      </c>
      <c r="K1899" s="4" t="str">
        <f ca="1">_xlfn.IFNA(VLOOKUP(INDIRECT("G"&amp;ROW()),minfo!$A:$M,COLUMN()-8,0),"")</f>
        <v>李荣浩</v>
      </c>
      <c r="L1899" s="4">
        <f ca="1">_xlfn.IFNA(VLOOKUP(INDIRECT("G"&amp;ROW()),minfo!$A:$M,COLUMN()-8,0),"")</f>
        <v>0</v>
      </c>
      <c r="M1899" s="4">
        <f ca="1">_xlfn.IFNA(VLOOKUP(INDIRECT("G"&amp;ROW()),minfo!$A:$M,COLUMN()-8,0),"")</f>
        <v>0</v>
      </c>
      <c r="N1899" s="4">
        <f ca="1">_xlfn.IFNA(VLOOKUP(INDIRECT("G"&amp;ROW()),minfo!$A:$M,COLUMN()-8,0),"")</f>
        <v>0</v>
      </c>
      <c r="O1899" s="4" t="str">
        <f ca="1">_xlfn.IFNA(VLOOKUP(INDIRECT("G"&amp;ROW()),minfo!$A:$M,COLUMN()-8,0),"")</f>
        <v>https://i0.hdslb.com/bfs/station_src/music_metadata/9ca5c7e277da8afb806c6e32ced62a88.jpg</v>
      </c>
      <c r="P1899" s="4" t="str">
        <f ca="1">_xlfn.IFNA(VLOOKUP(INDIRECT("G"&amp;ROW()),minfo!$A:$M,COLUMN()-8,0),"")</f>
        <v>copyright-crawler/music/lyric/86e5dbf825b8cc46f04240eae52987ff/86e5dbf825b8cc46f04240eae52987ff.txt</v>
      </c>
      <c r="Q1899" s="4">
        <f ca="1">_xlfn.IFNA(VLOOKUP(INDIRECT("G"&amp;ROW()),minfo!$A:$M,COLUMN()-8,0),"")</f>
        <v>6745</v>
      </c>
      <c r="R1899" s="4">
        <f ca="1">_xlfn.IFNA(VLOOKUP(INDIRECT("G"&amp;ROW()),minfo!$A:$M,COLUMN()-8,0),"")</f>
        <v>0</v>
      </c>
      <c r="S1899" s="4" t="str">
        <f ca="1">_xlfn.IFNA(VLOOKUP(INDIRECT("G"&amp;ROW()),minfo!$A:$M,COLUMN()-8,0),"")</f>
        <v>乌梅子酱</v>
      </c>
      <c r="T1899" s="4">
        <f ca="1">_xlfn.IFNA(VLOOKUP(INDIRECT("G"&amp;ROW()),minfo!$A:$M,COLUMN()-8,0),"")</f>
        <v>215251902</v>
      </c>
      <c r="U1899" s="4" t="str">
        <f ca="1">_xlfn.IFNA(VLOOKUP(INDIRECT("G"&amp;ROW()),minfo!$A:$M,COLUMN()-8,0),"")</f>
        <v>音乐榜最高NO.1</v>
      </c>
    </row>
    <row r="1900" spans="1:21" ht="15.75" customHeight="1">
      <c r="A1900" s="15">
        <v>1899</v>
      </c>
      <c r="D1900" s="4">
        <v>1</v>
      </c>
      <c r="E1900" s="4" t="s">
        <v>638</v>
      </c>
      <c r="F1900" s="16">
        <v>45406</v>
      </c>
      <c r="G1900" s="5" t="s">
        <v>637</v>
      </c>
      <c r="H1900" s="5" t="s">
        <v>5656</v>
      </c>
      <c r="I1900" s="24" t="str">
        <f>HYPERLINK("https://www.bilibili.com/video/BV1PC411H7QP?p=1", "BV1PC411H7QP?p=1")</f>
        <v>BV1PC411H7QP?p=1</v>
      </c>
      <c r="J1900" s="4" t="str">
        <f ca="1">_xlfn.IFNA(VLOOKUP(INDIRECT("G"&amp;ROW()),minfo!$A:$M,COLUMN()-8,0),"")</f>
        <v>搁浅</v>
      </c>
      <c r="K1900" s="4" t="str">
        <f ca="1">_xlfn.IFNA(VLOOKUP(INDIRECT("G"&amp;ROW()),minfo!$A:$M,COLUMN()-8,0),"")</f>
        <v>周杰伦</v>
      </c>
      <c r="L1900" s="4">
        <f ca="1">_xlfn.IFNA(VLOOKUP(INDIRECT("G"&amp;ROW()),minfo!$A:$M,COLUMN()-8,0),"")</f>
        <v>0</v>
      </c>
      <c r="M1900" s="4">
        <f ca="1">_xlfn.IFNA(VLOOKUP(INDIRECT("G"&amp;ROW()),minfo!$A:$M,COLUMN()-8,0),"")</f>
        <v>0</v>
      </c>
      <c r="N1900" s="4">
        <f ca="1">_xlfn.IFNA(VLOOKUP(INDIRECT("G"&amp;ROW()),minfo!$A:$M,COLUMN()-8,0),"")</f>
        <v>0</v>
      </c>
      <c r="O1900" s="4" t="str">
        <f ca="1">_xlfn.IFNA(VLOOKUP(INDIRECT("G"&amp;ROW()),minfo!$A:$M,COLUMN()-8,0),"")</f>
        <v>https://i0.hdslb.com/bfs/station_src/music_metadata/5ea93d49aa366e4340787bbc3d63de25.jpg</v>
      </c>
      <c r="P1900" s="4">
        <f ca="1">_xlfn.IFNA(VLOOKUP(INDIRECT("G"&amp;ROW()),minfo!$A:$M,COLUMN()-8,0),"")</f>
        <v>0</v>
      </c>
      <c r="Q1900" s="4">
        <f ca="1">_xlfn.IFNA(VLOOKUP(INDIRECT("G"&amp;ROW()),minfo!$A:$M,COLUMN()-8,0),"")</f>
        <v>4120</v>
      </c>
      <c r="R1900" s="4">
        <f ca="1">_xlfn.IFNA(VLOOKUP(INDIRECT("G"&amp;ROW()),minfo!$A:$M,COLUMN()-8,0),"")</f>
        <v>0</v>
      </c>
      <c r="S1900" s="4" t="str">
        <f ca="1">_xlfn.IFNA(VLOOKUP(INDIRECT("G"&amp;ROW()),minfo!$A:$M,COLUMN()-8,0),"")</f>
        <v>七里香</v>
      </c>
      <c r="T1900" s="4">
        <f ca="1">_xlfn.IFNA(VLOOKUP(INDIRECT("G"&amp;ROW()),minfo!$A:$M,COLUMN()-8,0),"")</f>
        <v>593603418</v>
      </c>
      <c r="U1900" s="4">
        <f ca="1">_xlfn.IFNA(VLOOKUP(INDIRECT("G"&amp;ROW()),minfo!$A:$M,COLUMN()-8,0),"")</f>
        <v>0</v>
      </c>
    </row>
    <row r="1901" spans="1:21" ht="15.75" customHeight="1">
      <c r="A1901" s="15">
        <v>1900</v>
      </c>
      <c r="D1901" s="4">
        <v>1</v>
      </c>
      <c r="E1901" s="4" t="s">
        <v>1850</v>
      </c>
      <c r="F1901" s="16">
        <v>45406</v>
      </c>
      <c r="G1901" s="5" t="s">
        <v>1849</v>
      </c>
      <c r="H1901" s="5" t="s">
        <v>5657</v>
      </c>
      <c r="I1901" s="24" t="str">
        <f>HYPERLINK("https://www.bilibili.com/video/BV1JZ421H7nL?p=1", "BV1JZ421H7nL?p=1")</f>
        <v>BV1JZ421H7nL?p=1</v>
      </c>
      <c r="J1901" s="4" t="str">
        <f ca="1">_xlfn.IFNA(VLOOKUP(INDIRECT("G"&amp;ROW()),minfo!$A:$M,COLUMN()-8,0),"")</f>
        <v>我不配</v>
      </c>
      <c r="K1901" s="4" t="str">
        <f ca="1">_xlfn.IFNA(VLOOKUP(INDIRECT("G"&amp;ROW()),minfo!$A:$M,COLUMN()-8,0),"")</f>
        <v>周杰伦</v>
      </c>
      <c r="L1901" s="4">
        <f ca="1">_xlfn.IFNA(VLOOKUP(INDIRECT("G"&amp;ROW()),minfo!$A:$M,COLUMN()-8,0),"")</f>
        <v>0</v>
      </c>
      <c r="M1901" s="4">
        <f ca="1">_xlfn.IFNA(VLOOKUP(INDIRECT("G"&amp;ROW()),minfo!$A:$M,COLUMN()-8,0),"")</f>
        <v>0</v>
      </c>
      <c r="N1901" s="4">
        <f ca="1">_xlfn.IFNA(VLOOKUP(INDIRECT("G"&amp;ROW()),minfo!$A:$M,COLUMN()-8,0),"")</f>
        <v>0</v>
      </c>
      <c r="O1901" s="4" t="str">
        <f ca="1">_xlfn.IFNA(VLOOKUP(INDIRECT("G"&amp;ROW()),minfo!$A:$M,COLUMN()-8,0),"")</f>
        <v>https://i0.hdslb.com/bfs/station_src/music_metadata/a5214bbe0d47f79316edd71a862fc8a5.jpg</v>
      </c>
      <c r="P1901" s="4">
        <f ca="1">_xlfn.IFNA(VLOOKUP(INDIRECT("G"&amp;ROW()),minfo!$A:$M,COLUMN()-8,0),"")</f>
        <v>0</v>
      </c>
      <c r="Q1901" s="4">
        <f ca="1">_xlfn.IFNA(VLOOKUP(INDIRECT("G"&amp;ROW()),minfo!$A:$M,COLUMN()-8,0),"")</f>
        <v>2206</v>
      </c>
      <c r="R1901" s="4">
        <f ca="1">_xlfn.IFNA(VLOOKUP(INDIRECT("G"&amp;ROW()),minfo!$A:$M,COLUMN()-8,0),"")</f>
        <v>0</v>
      </c>
      <c r="S1901" s="4" t="str">
        <f ca="1">_xlfn.IFNA(VLOOKUP(INDIRECT("G"&amp;ROW()),minfo!$A:$M,COLUMN()-8,0),"")</f>
        <v>我很忙</v>
      </c>
      <c r="T1901" s="4">
        <f ca="1">_xlfn.IFNA(VLOOKUP(INDIRECT("G"&amp;ROW()),minfo!$A:$M,COLUMN()-8,0),"")</f>
        <v>358806634</v>
      </c>
      <c r="U1901" s="4">
        <f ca="1">_xlfn.IFNA(VLOOKUP(INDIRECT("G"&amp;ROW()),minfo!$A:$M,COLUMN()-8,0),"")</f>
        <v>0</v>
      </c>
    </row>
    <row r="1902" spans="1:21" ht="15.75" customHeight="1">
      <c r="A1902" s="15">
        <v>1901</v>
      </c>
      <c r="D1902" s="4">
        <v>1</v>
      </c>
      <c r="E1902" s="4" t="s">
        <v>36</v>
      </c>
      <c r="F1902" s="16">
        <v>45406</v>
      </c>
      <c r="G1902" s="5" t="s">
        <v>35</v>
      </c>
      <c r="H1902" s="5" t="s">
        <v>5658</v>
      </c>
      <c r="I1902" s="24" t="str">
        <f>HYPERLINK("https://www.bilibili.com/video/BV15T42117Zh?p=1", "BV15T42117Zh?p=1")</f>
        <v>BV15T42117Zh?p=1</v>
      </c>
      <c r="J1902" s="4" t="str">
        <f ca="1">_xlfn.IFNA(VLOOKUP(INDIRECT("G"&amp;ROW()),minfo!$A:$M,COLUMN()-8,0),"")</f>
        <v>刻在我心底的名字</v>
      </c>
      <c r="K1902" s="4" t="str">
        <f ca="1">_xlfn.IFNA(VLOOKUP(INDIRECT("G"&amp;ROW()),minfo!$A:$M,COLUMN()-8,0),"")</f>
        <v>卢广仲</v>
      </c>
      <c r="L1902" s="4">
        <f ca="1">_xlfn.IFNA(VLOOKUP(INDIRECT("G"&amp;ROW()),minfo!$A:$M,COLUMN()-8,0),"")</f>
        <v>0</v>
      </c>
      <c r="M1902" s="4">
        <f ca="1">_xlfn.IFNA(VLOOKUP(INDIRECT("G"&amp;ROW()),minfo!$A:$M,COLUMN()-8,0),"")</f>
        <v>0</v>
      </c>
      <c r="N1902" s="4">
        <f ca="1">_xlfn.IFNA(VLOOKUP(INDIRECT("G"&amp;ROW()),minfo!$A:$M,COLUMN()-8,0),"")</f>
        <v>0</v>
      </c>
      <c r="O1902" s="4" t="str">
        <f ca="1">_xlfn.IFNA(VLOOKUP(INDIRECT("G"&amp;ROW()),minfo!$A:$M,COLUMN()-8,0),"")</f>
        <v>http://i0.hdslb.com/bfs/station_src/music_metadata/37ea3e391ee95afdcce1b5218d7a6b89.jpg</v>
      </c>
      <c r="P1902" s="4" t="str">
        <f ca="1">_xlfn.IFNA(VLOOKUP(INDIRECT("G"&amp;ROW()),minfo!$A:$M,COLUMN()-8,0),"")</f>
        <v>http://i0.hdslb.com/bfs/station_src/music_metadata/5a0249850c66fe79f1f63995afb75828</v>
      </c>
      <c r="Q1902" s="4">
        <f ca="1">_xlfn.IFNA(VLOOKUP(INDIRECT("G"&amp;ROW()),minfo!$A:$M,COLUMN()-8,0),"")</f>
        <v>938</v>
      </c>
      <c r="R1902" s="4">
        <f ca="1">_xlfn.IFNA(VLOOKUP(INDIRECT("G"&amp;ROW()),minfo!$A:$M,COLUMN()-8,0),"")</f>
        <v>0</v>
      </c>
      <c r="S1902" s="4" t="str">
        <f ca="1">_xlfn.IFNA(VLOOKUP(INDIRECT("G"&amp;ROW()),minfo!$A:$M,COLUMN()-8,0),"")</f>
        <v>刻在我心底的名字</v>
      </c>
      <c r="T1902" s="4">
        <f ca="1">_xlfn.IFNA(VLOOKUP(INDIRECT("G"&amp;ROW()),minfo!$A:$M,COLUMN()-8,0),"")</f>
        <v>127569700</v>
      </c>
      <c r="U1902" s="4">
        <f ca="1">_xlfn.IFNA(VLOOKUP(INDIRECT("G"&amp;ROW()),minfo!$A:$M,COLUMN()-8,0),"")</f>
        <v>0</v>
      </c>
    </row>
    <row r="1903" spans="1:21" ht="15.75" customHeight="1">
      <c r="A1903" s="15">
        <v>1902</v>
      </c>
      <c r="D1903" s="4">
        <v>1</v>
      </c>
      <c r="E1903" s="4" t="s">
        <v>2777</v>
      </c>
      <c r="F1903" s="16">
        <v>45406</v>
      </c>
      <c r="G1903" s="5" t="s">
        <v>2776</v>
      </c>
      <c r="H1903" s="5" t="s">
        <v>5659</v>
      </c>
      <c r="I1903" s="24" t="str">
        <f>HYPERLINK("https://www.bilibili.com/video/BV1mJ4m1J7xb?p=1", "BV1mJ4m1J7xb?p=1")</f>
        <v>BV1mJ4m1J7xb?p=1</v>
      </c>
      <c r="J1903" s="4" t="str">
        <f ca="1">_xlfn.IFNA(VLOOKUP(INDIRECT("G"&amp;ROW()),minfo!$A:$M,COLUMN()-8,0),"")</f>
        <v>妥协</v>
      </c>
      <c r="K1903" s="4" t="str">
        <f ca="1">_xlfn.IFNA(VLOOKUP(INDIRECT("G"&amp;ROW()),minfo!$A:$M,COLUMN()-8,0),"")</f>
        <v>蔡依林</v>
      </c>
      <c r="L1903" s="4">
        <f ca="1">_xlfn.IFNA(VLOOKUP(INDIRECT("G"&amp;ROW()),minfo!$A:$M,COLUMN()-8,0),"")</f>
        <v>0</v>
      </c>
      <c r="M1903" s="4">
        <f ca="1">_xlfn.IFNA(VLOOKUP(INDIRECT("G"&amp;ROW()),minfo!$A:$M,COLUMN()-8,0),"")</f>
        <v>0</v>
      </c>
      <c r="N1903" s="4">
        <f ca="1">_xlfn.IFNA(VLOOKUP(INDIRECT("G"&amp;ROW()),minfo!$A:$M,COLUMN()-8,0),"")</f>
        <v>0</v>
      </c>
      <c r="O1903" s="4" t="str">
        <f ca="1">_xlfn.IFNA(VLOOKUP(INDIRECT("G"&amp;ROW()),minfo!$A:$M,COLUMN()-8,0),"")</f>
        <v>http://i0.hdslb.com/bfs/station_src/music_metadata/3d66ea7591714d2b93a06ffc3b01a887.jpg</v>
      </c>
      <c r="P1903" s="4" t="str">
        <f ca="1">_xlfn.IFNA(VLOOKUP(INDIRECT("G"&amp;ROW()),minfo!$A:$M,COLUMN()-8,0),"")</f>
        <v>http://i0.hdslb.com/bfs/station_src/music_metadata/83d0afa45c7ff3186081cd92a653700c</v>
      </c>
      <c r="Q1903" s="4">
        <f ca="1">_xlfn.IFNA(VLOOKUP(INDIRECT("G"&amp;ROW()),minfo!$A:$M,COLUMN()-8,0),"")</f>
        <v>9</v>
      </c>
      <c r="R1903" s="4">
        <f ca="1">_xlfn.IFNA(VLOOKUP(INDIRECT("G"&amp;ROW()),minfo!$A:$M,COLUMN()-8,0),"")</f>
        <v>0</v>
      </c>
      <c r="S1903" s="4">
        <f ca="1">_xlfn.IFNA(VLOOKUP(INDIRECT("G"&amp;ROW()),minfo!$A:$M,COLUMN()-8,0),"")</f>
        <v>0</v>
      </c>
      <c r="T1903" s="4">
        <f ca="1">_xlfn.IFNA(VLOOKUP(INDIRECT("G"&amp;ROW()),minfo!$A:$M,COLUMN()-8,0),"")</f>
        <v>5379194</v>
      </c>
      <c r="U1903" s="4">
        <f ca="1">_xlfn.IFNA(VLOOKUP(INDIRECT("G"&amp;ROW()),minfo!$A:$M,COLUMN()-8,0),"")</f>
        <v>0</v>
      </c>
    </row>
    <row r="1904" spans="1:21" ht="15.75" customHeight="1">
      <c r="A1904" s="15">
        <v>1903</v>
      </c>
      <c r="D1904" s="4">
        <v>1</v>
      </c>
      <c r="E1904" s="4" t="s">
        <v>50</v>
      </c>
      <c r="F1904" s="16">
        <v>45408</v>
      </c>
      <c r="G1904" s="5" t="s">
        <v>50</v>
      </c>
      <c r="H1904" s="5" t="s">
        <v>5660</v>
      </c>
      <c r="I1904" s="24" t="str">
        <f>HYPERLINK("https://www.bilibili.com/video/BV1Yb421Y7RQ?p=1", "BV1Yb421Y7RQ?p=1")</f>
        <v>BV1Yb421Y7RQ?p=1</v>
      </c>
      <c r="J1904" s="4" t="str">
        <f ca="1">_xlfn.IFNA(VLOOKUP(INDIRECT("G"&amp;ROW()),minfo!$A:$M,COLUMN()-8,0),"")</f>
        <v>岁岁朝朝</v>
      </c>
      <c r="K1904" s="4" t="str">
        <f ca="1">_xlfn.IFNA(VLOOKUP(INDIRECT("G"&amp;ROW()),minfo!$A:$M,COLUMN()-8,0),"")</f>
        <v>说说Crystal</v>
      </c>
      <c r="L1904" s="4" t="str">
        <f ca="1">_xlfn.IFNA(VLOOKUP(INDIRECT("G"&amp;ROW()),minfo!$A:$M,COLUMN()-8,0),"")</f>
        <v>BV1Su4m1N7QS</v>
      </c>
      <c r="M1904" s="4">
        <f ca="1">_xlfn.IFNA(VLOOKUP(INDIRECT("G"&amp;ROW()),minfo!$A:$M,COLUMN()-8,0),"")</f>
        <v>0</v>
      </c>
      <c r="N1904" s="4">
        <f ca="1">_xlfn.IFNA(VLOOKUP(INDIRECT("G"&amp;ROW()),minfo!$A:$M,COLUMN()-8,0),"")</f>
        <v>0</v>
      </c>
      <c r="O1904" s="4">
        <f ca="1">_xlfn.IFNA(VLOOKUP(INDIRECT("G"&amp;ROW()),minfo!$A:$M,COLUMN()-8,0),"")</f>
        <v>0</v>
      </c>
      <c r="P1904" s="4">
        <f ca="1">_xlfn.IFNA(VLOOKUP(INDIRECT("G"&amp;ROW()),minfo!$A:$M,COLUMN()-8,0),"")</f>
        <v>0</v>
      </c>
      <c r="Q1904" s="4">
        <f ca="1">_xlfn.IFNA(VLOOKUP(INDIRECT("G"&amp;ROW()),minfo!$A:$M,COLUMN()-8,0),"")</f>
        <v>0</v>
      </c>
      <c r="R1904" s="4">
        <f ca="1">_xlfn.IFNA(VLOOKUP(INDIRECT("G"&amp;ROW()),minfo!$A:$M,COLUMN()-8,0),"")</f>
        <v>0</v>
      </c>
      <c r="S1904" s="4">
        <f ca="1">_xlfn.IFNA(VLOOKUP(INDIRECT("G"&amp;ROW()),minfo!$A:$M,COLUMN()-8,0),"")</f>
        <v>0</v>
      </c>
      <c r="T1904" s="4">
        <f ca="1">_xlfn.IFNA(VLOOKUP(INDIRECT("G"&amp;ROW()),minfo!$A:$M,COLUMN()-8,0),"")</f>
        <v>0</v>
      </c>
      <c r="U1904" s="4">
        <f ca="1">_xlfn.IFNA(VLOOKUP(INDIRECT("G"&amp;ROW()),minfo!$A:$M,COLUMN()-8,0),"")</f>
        <v>0</v>
      </c>
    </row>
    <row r="1905" spans="1:21" ht="15.75" customHeight="1">
      <c r="A1905" s="15">
        <v>1904</v>
      </c>
      <c r="D1905" s="4">
        <v>1</v>
      </c>
      <c r="E1905" s="4" t="s">
        <v>620</v>
      </c>
      <c r="F1905" s="16">
        <v>45408</v>
      </c>
      <c r="G1905" s="5" t="s">
        <v>619</v>
      </c>
      <c r="H1905" s="5" t="s">
        <v>5661</v>
      </c>
      <c r="I1905" s="24" t="str">
        <f>HYPERLINK("https://www.bilibili.com/video/BV1ix4y167i1?p=1", "BV1ix4y167i1?p=1")</f>
        <v>BV1ix4y167i1?p=1</v>
      </c>
      <c r="J1905" s="4" t="str">
        <f ca="1">_xlfn.IFNA(VLOOKUP(INDIRECT("G"&amp;ROW()),minfo!$A:$M,COLUMN()-8,0),"")</f>
        <v>春三月</v>
      </c>
      <c r="K1905" s="4" t="str">
        <f ca="1">_xlfn.IFNA(VLOOKUP(INDIRECT("G"&amp;ROW()),minfo!$A:$M,COLUMN()-8,0),"")</f>
        <v>司南</v>
      </c>
      <c r="L1905" s="4">
        <f ca="1">_xlfn.IFNA(VLOOKUP(INDIRECT("G"&amp;ROW()),minfo!$A:$M,COLUMN()-8,0),"")</f>
        <v>0</v>
      </c>
      <c r="M1905" s="4">
        <f ca="1">_xlfn.IFNA(VLOOKUP(INDIRECT("G"&amp;ROW()),minfo!$A:$M,COLUMN()-8,0),"")</f>
        <v>0</v>
      </c>
      <c r="N1905" s="4">
        <f ca="1">_xlfn.IFNA(VLOOKUP(INDIRECT("G"&amp;ROW()),minfo!$A:$M,COLUMN()-8,0),"")</f>
        <v>0</v>
      </c>
      <c r="O1905" s="4" t="str">
        <f ca="1">_xlfn.IFNA(VLOOKUP(INDIRECT("G"&amp;ROW()),minfo!$A:$M,COLUMN()-8,0),"")</f>
        <v>http://i0.hdslb.com/bfs/station_src/music_metadata/1e8f55a59589012b750c6ec41b99d497.jpg</v>
      </c>
      <c r="P1905" s="4" t="str">
        <f ca="1">_xlfn.IFNA(VLOOKUP(INDIRECT("G"&amp;ROW()),minfo!$A:$M,COLUMN()-8,0),"")</f>
        <v>http://i0.hdslb.com/bfs/station_src/music_metadata/c1d8969f8a1bbd139cb0cff290fb17e7</v>
      </c>
      <c r="Q1905" s="4">
        <f ca="1">_xlfn.IFNA(VLOOKUP(INDIRECT("G"&amp;ROW()),minfo!$A:$M,COLUMN()-8,0),"")</f>
        <v>1717</v>
      </c>
      <c r="R1905" s="4">
        <f ca="1">_xlfn.IFNA(VLOOKUP(INDIRECT("G"&amp;ROW()),minfo!$A:$M,COLUMN()-8,0),"")</f>
        <v>0</v>
      </c>
      <c r="S1905" s="4" t="str">
        <f ca="1">_xlfn.IFNA(VLOOKUP(INDIRECT("G"&amp;ROW()),minfo!$A:$M,COLUMN()-8,0),"")</f>
        <v>春三月</v>
      </c>
      <c r="T1905" s="4">
        <f ca="1">_xlfn.IFNA(VLOOKUP(INDIRECT("G"&amp;ROW()),minfo!$A:$M,COLUMN()-8,0),"")</f>
        <v>176570518</v>
      </c>
      <c r="U1905" s="4">
        <f ca="1">_xlfn.IFNA(VLOOKUP(INDIRECT("G"&amp;ROW()),minfo!$A:$M,COLUMN()-8,0),"")</f>
        <v>0</v>
      </c>
    </row>
    <row r="1906" spans="1:21" ht="15.75" customHeight="1">
      <c r="A1906" s="15">
        <v>1905</v>
      </c>
      <c r="D1906" s="4">
        <v>1</v>
      </c>
      <c r="E1906" s="4" t="s">
        <v>414</v>
      </c>
      <c r="F1906" s="16">
        <v>45408</v>
      </c>
      <c r="G1906" s="5" t="s">
        <v>413</v>
      </c>
      <c r="H1906" s="5" t="s">
        <v>5662</v>
      </c>
      <c r="I1906" s="24" t="str">
        <f>HYPERLINK("https://www.bilibili.com/video/BV1Yp421Q72Y?p=1", "BV1Yp421Q72Y?p=1")</f>
        <v>BV1Yp421Q72Y?p=1</v>
      </c>
      <c r="J1906" s="4" t="str">
        <f ca="1">_xlfn.IFNA(VLOOKUP(INDIRECT("G"&amp;ROW()),minfo!$A:$M,COLUMN()-8,0),"")</f>
        <v>告白气球</v>
      </c>
      <c r="K1906" s="4" t="str">
        <f ca="1">_xlfn.IFNA(VLOOKUP(INDIRECT("G"&amp;ROW()),minfo!$A:$M,COLUMN()-8,0),"")</f>
        <v>周杰伦</v>
      </c>
      <c r="L1906" s="4">
        <f ca="1">_xlfn.IFNA(VLOOKUP(INDIRECT("G"&amp;ROW()),minfo!$A:$M,COLUMN()-8,0),"")</f>
        <v>0</v>
      </c>
      <c r="M1906" s="4">
        <f ca="1">_xlfn.IFNA(VLOOKUP(INDIRECT("G"&amp;ROW()),minfo!$A:$M,COLUMN()-8,0),"")</f>
        <v>0</v>
      </c>
      <c r="N1906" s="4">
        <f ca="1">_xlfn.IFNA(VLOOKUP(INDIRECT("G"&amp;ROW()),minfo!$A:$M,COLUMN()-8,0),"")</f>
        <v>0</v>
      </c>
      <c r="O1906" s="4" t="str">
        <f ca="1">_xlfn.IFNA(VLOOKUP(INDIRECT("G"&amp;ROW()),minfo!$A:$M,COLUMN()-8,0),"")</f>
        <v>https://i0.hdslb.com/bfs/station_src/music_metadata/597fc2909210e665dd3a007352426e49.jpg</v>
      </c>
      <c r="P1906" s="4">
        <f ca="1">_xlfn.IFNA(VLOOKUP(INDIRECT("G"&amp;ROW()),minfo!$A:$M,COLUMN()-8,0),"")</f>
        <v>0</v>
      </c>
      <c r="Q1906" s="4">
        <f ca="1">_xlfn.IFNA(VLOOKUP(INDIRECT("G"&amp;ROW()),minfo!$A:$M,COLUMN()-8,0),"")</f>
        <v>2791</v>
      </c>
      <c r="R1906" s="4">
        <f ca="1">_xlfn.IFNA(VLOOKUP(INDIRECT("G"&amp;ROW()),minfo!$A:$M,COLUMN()-8,0),"")</f>
        <v>0</v>
      </c>
      <c r="S1906" s="4" t="str">
        <f ca="1">_xlfn.IFNA(VLOOKUP(INDIRECT("G"&amp;ROW()),minfo!$A:$M,COLUMN()-8,0),"")</f>
        <v>周杰伦的床边故事</v>
      </c>
      <c r="T1906" s="4">
        <f ca="1">_xlfn.IFNA(VLOOKUP(INDIRECT("G"&amp;ROW()),minfo!$A:$M,COLUMN()-8,0),"")</f>
        <v>787100295</v>
      </c>
      <c r="U1906" s="4">
        <f ca="1">_xlfn.IFNA(VLOOKUP(INDIRECT("G"&amp;ROW()),minfo!$A:$M,COLUMN()-8,0),"")</f>
        <v>0</v>
      </c>
    </row>
    <row r="1907" spans="1:21" ht="15.75" customHeight="1">
      <c r="A1907" s="15">
        <v>1906</v>
      </c>
      <c r="D1907" s="4">
        <v>1</v>
      </c>
      <c r="E1907" s="4" t="s">
        <v>5598</v>
      </c>
      <c r="F1907" s="16">
        <v>45409</v>
      </c>
      <c r="G1907" s="5" t="s">
        <v>2055</v>
      </c>
      <c r="H1907" s="5" t="s">
        <v>5663</v>
      </c>
      <c r="I1907" s="24" t="str">
        <f>HYPERLINK("https://www.bilibili.com/video/BV11M4m1f7zT?p=1", "BV11M4m1f7zT?p=1")</f>
        <v>BV11M4m1f7zT?p=1</v>
      </c>
      <c r="J1907" s="4" t="str">
        <f ca="1">_xlfn.IFNA(VLOOKUP(INDIRECT("G"&amp;ROW()),minfo!$A:$M,COLUMN()-8,0),"")</f>
        <v>泼墨漓江</v>
      </c>
      <c r="K1907" s="4" t="str">
        <f ca="1">_xlfn.IFNA(VLOOKUP(INDIRECT("G"&amp;ROW()),minfo!$A:$M,COLUMN()-8,0),"")</f>
        <v>泠鸢yousa</v>
      </c>
      <c r="L1907" s="4">
        <f ca="1">_xlfn.IFNA(VLOOKUP(INDIRECT("G"&amp;ROW()),minfo!$A:$M,COLUMN()-8,0),"")</f>
        <v>0</v>
      </c>
      <c r="M1907" s="4">
        <f ca="1">_xlfn.IFNA(VLOOKUP(INDIRECT("G"&amp;ROW()),minfo!$A:$M,COLUMN()-8,0),"")</f>
        <v>0</v>
      </c>
      <c r="N1907" s="4">
        <f ca="1">_xlfn.IFNA(VLOOKUP(INDIRECT("G"&amp;ROW()),minfo!$A:$M,COLUMN()-8,0),"")</f>
        <v>0</v>
      </c>
      <c r="O1907" s="4" t="str">
        <f ca="1">_xlfn.IFNA(VLOOKUP(INDIRECT("G"&amp;ROW()),minfo!$A:$M,COLUMN()-8,0),"")</f>
        <v>https://i0.hdslb.com/bfs/station_src/music_metadata/d66f5d91942551f93ea268afb3f1707d.jpg</v>
      </c>
      <c r="P1907" s="4" t="str">
        <f ca="1">_xlfn.IFNA(VLOOKUP(INDIRECT("G"&amp;ROW()),minfo!$A:$M,COLUMN()-8,0),"")</f>
        <v>https://i0.hdslb.com/bfs/station_src/music_metadata/fe2794c42c8d1fad9b590390dca312e5.txt</v>
      </c>
      <c r="Q1907" s="4">
        <f ca="1">_xlfn.IFNA(VLOOKUP(INDIRECT("G"&amp;ROW()),minfo!$A:$M,COLUMN()-8,0),"")</f>
        <v>24</v>
      </c>
      <c r="R1907" s="4">
        <f ca="1">_xlfn.IFNA(VLOOKUP(INDIRECT("G"&amp;ROW()),minfo!$A:$M,COLUMN()-8,0),"")</f>
        <v>0</v>
      </c>
      <c r="S1907" s="4" t="str">
        <f ca="1">_xlfn.IFNA(VLOOKUP(INDIRECT("G"&amp;ROW()),minfo!$A:$M,COLUMN()-8,0),"")</f>
        <v>创世之音 bilibili虚拟主播演唱会节目音频</v>
      </c>
      <c r="T1907" s="4">
        <f ca="1">_xlfn.IFNA(VLOOKUP(INDIRECT("G"&amp;ROW()),minfo!$A:$M,COLUMN()-8,0),"")</f>
        <v>6915969</v>
      </c>
      <c r="U1907" s="4">
        <f ca="1">_xlfn.IFNA(VLOOKUP(INDIRECT("G"&amp;ROW()),minfo!$A:$M,COLUMN()-8,0),"")</f>
        <v>0</v>
      </c>
    </row>
    <row r="1908" spans="1:21" ht="15.75" customHeight="1">
      <c r="A1908" s="15">
        <v>1907</v>
      </c>
      <c r="D1908" s="4">
        <v>1</v>
      </c>
      <c r="E1908" s="4" t="s">
        <v>226</v>
      </c>
      <c r="F1908" s="16">
        <v>45409</v>
      </c>
      <c r="G1908" s="5" t="s">
        <v>225</v>
      </c>
      <c r="H1908" s="5" t="s">
        <v>5664</v>
      </c>
      <c r="I1908" s="24" t="str">
        <f>HYPERLINK("https://www.bilibili.com/video/BV17t421A7oY?p=1", "BV17t421A7oY?p=1")</f>
        <v>BV17t421A7oY?p=1</v>
      </c>
      <c r="J1908" s="4" t="str">
        <f ca="1">_xlfn.IFNA(VLOOKUP(INDIRECT("G"&amp;ROW()),minfo!$A:$M,COLUMN()-8,0),"")</f>
        <v>如愿</v>
      </c>
      <c r="K1908" s="4" t="str">
        <f ca="1">_xlfn.IFNA(VLOOKUP(INDIRECT("G"&amp;ROW()),minfo!$A:$M,COLUMN()-8,0),"")</f>
        <v>王菲</v>
      </c>
      <c r="L1908" s="4">
        <f ca="1">_xlfn.IFNA(VLOOKUP(INDIRECT("G"&amp;ROW()),minfo!$A:$M,COLUMN()-8,0),"")</f>
        <v>0</v>
      </c>
      <c r="M1908" s="4">
        <f ca="1">_xlfn.IFNA(VLOOKUP(INDIRECT("G"&amp;ROW()),minfo!$A:$M,COLUMN()-8,0),"")</f>
        <v>0</v>
      </c>
      <c r="N1908" s="4">
        <f ca="1">_xlfn.IFNA(VLOOKUP(INDIRECT("G"&amp;ROW()),minfo!$A:$M,COLUMN()-8,0),"")</f>
        <v>0</v>
      </c>
      <c r="O1908" s="4" t="str">
        <f ca="1">_xlfn.IFNA(VLOOKUP(INDIRECT("G"&amp;ROW()),minfo!$A:$M,COLUMN()-8,0),"")</f>
        <v>http://i0.hdslb.com/bfs/station_src/music_metadata/4c29d6e8ea08a5ae0f90cb123bf5f52d.jpg</v>
      </c>
      <c r="P1908" s="4" t="str">
        <f ca="1">_xlfn.IFNA(VLOOKUP(INDIRECT("G"&amp;ROW()),minfo!$A:$M,COLUMN()-8,0),"")</f>
        <v>http://i0.hdslb.com/bfs/station_src/music_metadata/7dfb091f97b87d41cdb10f22a04b20e6</v>
      </c>
      <c r="Q1908" s="4">
        <f ca="1">_xlfn.IFNA(VLOOKUP(INDIRECT("G"&amp;ROW()),minfo!$A:$M,COLUMN()-8,0),"")</f>
        <v>8985</v>
      </c>
      <c r="R1908" s="4" t="str">
        <f ca="1">_xlfn.IFNA(VLOOKUP(INDIRECT("G"&amp;ROW()),minfo!$A:$M,COLUMN()-8,0),"")</f>
        <v>《我和我的父辈》电影主题推广曲</v>
      </c>
      <c r="S1908" s="4" t="str">
        <f ca="1">_xlfn.IFNA(VLOOKUP(INDIRECT("G"&amp;ROW()),minfo!$A:$M,COLUMN()-8,0),"")</f>
        <v>如愿</v>
      </c>
      <c r="T1908" s="4">
        <f ca="1">_xlfn.IFNA(VLOOKUP(INDIRECT("G"&amp;ROW()),minfo!$A:$M,COLUMN()-8,0),"")</f>
        <v>520502983</v>
      </c>
      <c r="U1908" s="4">
        <f ca="1">_xlfn.IFNA(VLOOKUP(INDIRECT("G"&amp;ROW()),minfo!$A:$M,COLUMN()-8,0),"")</f>
        <v>0</v>
      </c>
    </row>
    <row r="1909" spans="1:21" ht="15.75" customHeight="1">
      <c r="A1909" s="15">
        <v>1908</v>
      </c>
      <c r="D1909" s="4">
        <v>1</v>
      </c>
      <c r="E1909" s="4" t="s">
        <v>3197</v>
      </c>
      <c r="F1909" s="16">
        <v>45409</v>
      </c>
      <c r="G1909" s="5" t="s">
        <v>3196</v>
      </c>
      <c r="H1909" s="5" t="s">
        <v>5665</v>
      </c>
      <c r="I1909" s="24" t="str">
        <f>HYPERLINK("https://www.bilibili.com/video/BV1fb421a7Wb?p=1", "BV1fb421a7Wb?p=1")</f>
        <v>BV1fb421a7Wb?p=1</v>
      </c>
      <c r="J1909" s="4" t="str">
        <f ca="1">_xlfn.IFNA(VLOOKUP(INDIRECT("G"&amp;ROW()),minfo!$A:$M,COLUMN()-8,0),"")</f>
        <v>不如见一面</v>
      </c>
      <c r="K1909" s="4" t="str">
        <f ca="1">_xlfn.IFNA(VLOOKUP(INDIRECT("G"&amp;ROW()),minfo!$A:$M,COLUMN()-8,0),"")</f>
        <v>海来阿木</v>
      </c>
      <c r="L1909" s="4">
        <f ca="1">_xlfn.IFNA(VLOOKUP(INDIRECT("G"&amp;ROW()),minfo!$A:$M,COLUMN()-8,0),"")</f>
        <v>0</v>
      </c>
      <c r="M1909" s="4">
        <f ca="1">_xlfn.IFNA(VLOOKUP(INDIRECT("G"&amp;ROW()),minfo!$A:$M,COLUMN()-8,0),"")</f>
        <v>0</v>
      </c>
      <c r="N1909" s="4">
        <f ca="1">_xlfn.IFNA(VLOOKUP(INDIRECT("G"&amp;ROW()),minfo!$A:$M,COLUMN()-8,0),"")</f>
        <v>0</v>
      </c>
      <c r="O1909" s="4" t="str">
        <f ca="1">_xlfn.IFNA(VLOOKUP(INDIRECT("G"&amp;ROW()),minfo!$A:$M,COLUMN()-8,0),"")</f>
        <v>http://i0.hdslb.com/bfs/station_src/music_metadata/76635a0931f05ac28356a4ad5a3e052c.png</v>
      </c>
      <c r="P1909" s="4" t="str">
        <f ca="1">_xlfn.IFNA(VLOOKUP(INDIRECT("G"&amp;ROW()),minfo!$A:$M,COLUMN()-8,0),"")</f>
        <v>https://i0.hdslb.com/bfs/station_src/music_metadata/43201edef94fdfc18e734f051246e371.txt</v>
      </c>
      <c r="Q1909" s="4">
        <f ca="1">_xlfn.IFNA(VLOOKUP(INDIRECT("G"&amp;ROW()),minfo!$A:$M,COLUMN()-8,0),"")</f>
        <v>202</v>
      </c>
      <c r="R1909" s="4">
        <f ca="1">_xlfn.IFNA(VLOOKUP(INDIRECT("G"&amp;ROW()),minfo!$A:$M,COLUMN()-8,0),"")</f>
        <v>0</v>
      </c>
      <c r="S1909" s="4" t="str">
        <f ca="1">_xlfn.IFNA(VLOOKUP(INDIRECT("G"&amp;ROW()),minfo!$A:$M,COLUMN()-8,0),"")</f>
        <v>不如见一面</v>
      </c>
      <c r="T1909" s="4">
        <f ca="1">_xlfn.IFNA(VLOOKUP(INDIRECT("G"&amp;ROW()),minfo!$A:$M,COLUMN()-8,0),"")</f>
        <v>18674263</v>
      </c>
      <c r="U1909" s="4">
        <f ca="1">_xlfn.IFNA(VLOOKUP(INDIRECT("G"&amp;ROW()),minfo!$A:$M,COLUMN()-8,0),"")</f>
        <v>0</v>
      </c>
    </row>
    <row r="1910" spans="1:21" ht="15.75" customHeight="1">
      <c r="A1910" s="15">
        <v>1909</v>
      </c>
      <c r="D1910" s="4">
        <v>1</v>
      </c>
      <c r="E1910" s="4" t="s">
        <v>1419</v>
      </c>
      <c r="F1910" s="16">
        <v>45409</v>
      </c>
      <c r="G1910" s="5" t="s">
        <v>1418</v>
      </c>
      <c r="H1910" s="5" t="s">
        <v>5666</v>
      </c>
      <c r="I1910" s="24" t="str">
        <f>HYPERLINK("https://www.bilibili.com/video/BV1xr42137BA?p=1", "BV1xr42137BA?p=1")</f>
        <v>BV1xr42137BA?p=1</v>
      </c>
      <c r="J1910" s="4" t="str">
        <f ca="1">_xlfn.IFNA(VLOOKUP(INDIRECT("G"&amp;ROW()),minfo!$A:$M,COLUMN()-8,0),"")</f>
        <v>普通朋友</v>
      </c>
      <c r="K1910" s="4" t="str">
        <f ca="1">_xlfn.IFNA(VLOOKUP(INDIRECT("G"&amp;ROW()),minfo!$A:$M,COLUMN()-8,0),"")</f>
        <v>娃娃,陶喆</v>
      </c>
      <c r="L1910" s="4">
        <f ca="1">_xlfn.IFNA(VLOOKUP(INDIRECT("G"&amp;ROW()),minfo!$A:$M,COLUMN()-8,0),"")</f>
        <v>0</v>
      </c>
      <c r="M1910" s="4">
        <f ca="1">_xlfn.IFNA(VLOOKUP(INDIRECT("G"&amp;ROW()),minfo!$A:$M,COLUMN()-8,0),"")</f>
        <v>0</v>
      </c>
      <c r="N1910" s="4">
        <f ca="1">_xlfn.IFNA(VLOOKUP(INDIRECT("G"&amp;ROW()),minfo!$A:$M,COLUMN()-8,0),"")</f>
        <v>0</v>
      </c>
      <c r="O1910" s="4" t="str">
        <f ca="1">_xlfn.IFNA(VLOOKUP(INDIRECT("G"&amp;ROW()),minfo!$A:$M,COLUMN()-8,0),"")</f>
        <v>http://i0.hdslb.com/bfs/station_src/music_metadata/b4de12b50832ba1f1ca69812232e19ce.jpg</v>
      </c>
      <c r="P1910" s="4">
        <f ca="1">_xlfn.IFNA(VLOOKUP(INDIRECT("G"&amp;ROW()),minfo!$A:$M,COLUMN()-8,0),"")</f>
        <v>0</v>
      </c>
      <c r="Q1910" s="4">
        <f ca="1">_xlfn.IFNA(VLOOKUP(INDIRECT("G"&amp;ROW()),minfo!$A:$M,COLUMN()-8,0),"")</f>
        <v>828</v>
      </c>
      <c r="R1910" s="4">
        <f ca="1">_xlfn.IFNA(VLOOKUP(INDIRECT("G"&amp;ROW()),minfo!$A:$M,COLUMN()-8,0),"")</f>
        <v>0</v>
      </c>
      <c r="S1910" s="4" t="str">
        <f ca="1">_xlfn.IFNA(VLOOKUP(INDIRECT("G"&amp;ROW()),minfo!$A:$M,COLUMN()-8,0),"")</f>
        <v>I'm OK</v>
      </c>
      <c r="T1910" s="4">
        <f ca="1">_xlfn.IFNA(VLOOKUP(INDIRECT("G"&amp;ROW()),minfo!$A:$M,COLUMN()-8,0),"")</f>
        <v>137417227</v>
      </c>
      <c r="U1910" s="4">
        <f ca="1">_xlfn.IFNA(VLOOKUP(INDIRECT("G"&amp;ROW()),minfo!$A:$M,COLUMN()-8,0),"")</f>
        <v>0</v>
      </c>
    </row>
    <row r="1911" spans="1:21" ht="15.75" customHeight="1">
      <c r="A1911" s="15">
        <v>1910</v>
      </c>
      <c r="D1911" s="4">
        <v>1</v>
      </c>
      <c r="E1911" s="4" t="s">
        <v>930</v>
      </c>
      <c r="F1911" s="16">
        <v>45412</v>
      </c>
      <c r="G1911" s="5" t="s">
        <v>929</v>
      </c>
      <c r="H1911" s="5" t="s">
        <v>5667</v>
      </c>
      <c r="I1911" s="24" t="str">
        <f>HYPERLINK("https://www.bilibili.com/video/BV1KZ421J7dX?p=1", "BV1KZ421J7dX?p=1")</f>
        <v>BV1KZ421J7dX?p=1</v>
      </c>
      <c r="J1911" s="4" t="str">
        <f ca="1">_xlfn.IFNA(VLOOKUP(INDIRECT("G"&amp;ROW()),minfo!$A:$M,COLUMN()-8,0),"")</f>
        <v>蝶恋花</v>
      </c>
      <c r="K1911" s="4" t="str">
        <f ca="1">_xlfn.IFNA(VLOOKUP(INDIRECT("G"&amp;ROW()),minfo!$A:$M,COLUMN()-8,0),"")</f>
        <v>说说Crystal</v>
      </c>
      <c r="L1911" s="4">
        <f ca="1">_xlfn.IFNA(VLOOKUP(INDIRECT("G"&amp;ROW()),minfo!$A:$M,COLUMN()-8,0),"")</f>
        <v>0</v>
      </c>
      <c r="M1911" s="4">
        <f ca="1">_xlfn.IFNA(VLOOKUP(INDIRECT("G"&amp;ROW()),minfo!$A:$M,COLUMN()-8,0),"")</f>
        <v>0</v>
      </c>
      <c r="N1911" s="4">
        <f ca="1">_xlfn.IFNA(VLOOKUP(INDIRECT("G"&amp;ROW()),minfo!$A:$M,COLUMN()-8,0),"")</f>
        <v>0</v>
      </c>
      <c r="O1911" s="4" t="str">
        <f ca="1">_xlfn.IFNA(VLOOKUP(INDIRECT("G"&amp;ROW()),minfo!$A:$M,COLUMN()-8,0),"")</f>
        <v>https://i0.hdslb.com/bfs/station_src/music_metadata/1f79684c02756b9086386bb0054e5df4.jpg</v>
      </c>
      <c r="P1911" s="4" t="str">
        <f ca="1">_xlfn.IFNA(VLOOKUP(INDIRECT("G"&amp;ROW()),minfo!$A:$M,COLUMN()-8,0),"")</f>
        <v>https://i0.hdslb.com/bfs/station_src/music_metadata/4f297640d47e7f96e96f64cfd258bb5f.txt</v>
      </c>
      <c r="Q1911" s="4">
        <f ca="1">_xlfn.IFNA(VLOOKUP(INDIRECT("G"&amp;ROW()),minfo!$A:$M,COLUMN()-8,0),"")</f>
        <v>1</v>
      </c>
      <c r="R1911" s="4">
        <f ca="1">_xlfn.IFNA(VLOOKUP(INDIRECT("G"&amp;ROW()),minfo!$A:$M,COLUMN()-8,0),"")</f>
        <v>0</v>
      </c>
      <c r="S1911" s="4" t="str">
        <f ca="1">_xlfn.IFNA(VLOOKUP(INDIRECT("G"&amp;ROW()),minfo!$A:$M,COLUMN()-8,0),"")</f>
        <v>蝶恋花</v>
      </c>
      <c r="T1911" s="4">
        <f ca="1">_xlfn.IFNA(VLOOKUP(INDIRECT("G"&amp;ROW()),minfo!$A:$M,COLUMN()-8,0),"")</f>
        <v>514547</v>
      </c>
      <c r="U1911" s="4">
        <f ca="1">_xlfn.IFNA(VLOOKUP(INDIRECT("G"&amp;ROW()),minfo!$A:$M,COLUMN()-8,0),"")</f>
        <v>0</v>
      </c>
    </row>
    <row r="1912" spans="1:21" ht="15.75" customHeight="1">
      <c r="A1912" s="15">
        <v>1911</v>
      </c>
      <c r="D1912" s="4">
        <v>2</v>
      </c>
      <c r="E1912" s="4" t="s">
        <v>930</v>
      </c>
      <c r="F1912" s="16">
        <v>45412</v>
      </c>
      <c r="G1912" s="5" t="s">
        <v>929</v>
      </c>
      <c r="H1912" s="5" t="s">
        <v>5667</v>
      </c>
      <c r="I1912" s="24" t="str">
        <f>HYPERLINK("https://www.bilibili.com/video/BV1KZ421J7dX?p=2", "BV1KZ421J7dX?p=2")</f>
        <v>BV1KZ421J7dX?p=2</v>
      </c>
      <c r="J1912" s="4" t="str">
        <f ca="1">_xlfn.IFNA(VLOOKUP(INDIRECT("G"&amp;ROW()),minfo!$A:$M,COLUMN()-8,0),"")</f>
        <v>蝶恋花</v>
      </c>
      <c r="K1912" s="4" t="str">
        <f ca="1">_xlfn.IFNA(VLOOKUP(INDIRECT("G"&amp;ROW()),minfo!$A:$M,COLUMN()-8,0),"")</f>
        <v>说说Crystal</v>
      </c>
      <c r="L1912" s="4">
        <f ca="1">_xlfn.IFNA(VLOOKUP(INDIRECT("G"&amp;ROW()),minfo!$A:$M,COLUMN()-8,0),"")</f>
        <v>0</v>
      </c>
      <c r="M1912" s="4">
        <f ca="1">_xlfn.IFNA(VLOOKUP(INDIRECT("G"&amp;ROW()),minfo!$A:$M,COLUMN()-8,0),"")</f>
        <v>0</v>
      </c>
      <c r="N1912" s="4">
        <f ca="1">_xlfn.IFNA(VLOOKUP(INDIRECT("G"&amp;ROW()),minfo!$A:$M,COLUMN()-8,0),"")</f>
        <v>0</v>
      </c>
      <c r="O1912" s="4" t="str">
        <f ca="1">_xlfn.IFNA(VLOOKUP(INDIRECT("G"&amp;ROW()),minfo!$A:$M,COLUMN()-8,0),"")</f>
        <v>https://i0.hdslb.com/bfs/station_src/music_metadata/1f79684c02756b9086386bb0054e5df4.jpg</v>
      </c>
      <c r="P1912" s="4" t="str">
        <f ca="1">_xlfn.IFNA(VLOOKUP(INDIRECT("G"&amp;ROW()),minfo!$A:$M,COLUMN()-8,0),"")</f>
        <v>https://i0.hdslb.com/bfs/station_src/music_metadata/4f297640d47e7f96e96f64cfd258bb5f.txt</v>
      </c>
      <c r="Q1912" s="4">
        <f ca="1">_xlfn.IFNA(VLOOKUP(INDIRECT("G"&amp;ROW()),minfo!$A:$M,COLUMN()-8,0),"")</f>
        <v>1</v>
      </c>
      <c r="R1912" s="4">
        <f ca="1">_xlfn.IFNA(VLOOKUP(INDIRECT("G"&amp;ROW()),minfo!$A:$M,COLUMN()-8,0),"")</f>
        <v>0</v>
      </c>
      <c r="S1912" s="4" t="str">
        <f ca="1">_xlfn.IFNA(VLOOKUP(INDIRECT("G"&amp;ROW()),minfo!$A:$M,COLUMN()-8,0),"")</f>
        <v>蝶恋花</v>
      </c>
      <c r="T1912" s="4">
        <f ca="1">_xlfn.IFNA(VLOOKUP(INDIRECT("G"&amp;ROW()),minfo!$A:$M,COLUMN()-8,0),"")</f>
        <v>514547</v>
      </c>
      <c r="U1912" s="4">
        <f ca="1">_xlfn.IFNA(VLOOKUP(INDIRECT("G"&amp;ROW()),minfo!$A:$M,COLUMN()-8,0),"")</f>
        <v>0</v>
      </c>
    </row>
    <row r="1913" spans="1:21" ht="15.75" customHeight="1">
      <c r="A1913" s="15">
        <v>1912</v>
      </c>
      <c r="D1913" s="4">
        <v>1</v>
      </c>
      <c r="E1913" s="4" t="s">
        <v>655</v>
      </c>
      <c r="F1913" s="16">
        <v>45412</v>
      </c>
      <c r="G1913" s="5" t="s">
        <v>654</v>
      </c>
      <c r="H1913" s="5" t="s">
        <v>5668</v>
      </c>
      <c r="I1913" s="24" t="str">
        <f>HYPERLINK("https://www.bilibili.com/video/BV1pm411178E?p=1", "BV1pm411178E?p=1")</f>
        <v>BV1pm411178E?p=1</v>
      </c>
      <c r="J1913" s="4" t="str">
        <f ca="1">_xlfn.IFNA(VLOOKUP(INDIRECT("G"&amp;ROW()),minfo!$A:$M,COLUMN()-8,0),"")</f>
        <v>路过人间</v>
      </c>
      <c r="K1913" s="4" t="str">
        <f ca="1">_xlfn.IFNA(VLOOKUP(INDIRECT("G"&amp;ROW()),minfo!$A:$M,COLUMN()-8,0),"")</f>
        <v>郁可唯</v>
      </c>
      <c r="L1913" s="4">
        <f ca="1">_xlfn.IFNA(VLOOKUP(INDIRECT("G"&amp;ROW()),minfo!$A:$M,COLUMN()-8,0),"")</f>
        <v>0</v>
      </c>
      <c r="M1913" s="4">
        <f ca="1">_xlfn.IFNA(VLOOKUP(INDIRECT("G"&amp;ROW()),minfo!$A:$M,COLUMN()-8,0),"")</f>
        <v>17966</v>
      </c>
      <c r="N1913" s="4">
        <f ca="1">_xlfn.IFNA(VLOOKUP(INDIRECT("G"&amp;ROW()),minfo!$A:$M,COLUMN()-8,0),"")</f>
        <v>8458</v>
      </c>
      <c r="O1913" s="4" t="str">
        <f ca="1">_xlfn.IFNA(VLOOKUP(INDIRECT("G"&amp;ROW()),minfo!$A:$M,COLUMN()-8,0),"")</f>
        <v>http://i0.hdslb.com/bfs/station_src/music_metadata/570f6a193a95780dfeae2a4dfe0cb932.jpg</v>
      </c>
      <c r="P1913" s="4" t="str">
        <f ca="1">_xlfn.IFNA(VLOOKUP(INDIRECT("G"&amp;ROW()),minfo!$A:$M,COLUMN()-8,0),"")</f>
        <v>http://i0.hdslb.com/bfs/station_src/music_metadata/0386d6bc66823747cb1d61d511d20a21</v>
      </c>
      <c r="Q1913" s="4">
        <f ca="1">_xlfn.IFNA(VLOOKUP(INDIRECT("G"&amp;ROW()),minfo!$A:$M,COLUMN()-8,0),"")</f>
        <v>1296</v>
      </c>
      <c r="R1913" s="4">
        <f ca="1">_xlfn.IFNA(VLOOKUP(INDIRECT("G"&amp;ROW()),minfo!$A:$M,COLUMN()-8,0),"")</f>
        <v>0</v>
      </c>
      <c r="S1913" s="4" t="str">
        <f ca="1">_xlfn.IFNA(VLOOKUP(INDIRECT("G"&amp;ROW()),minfo!$A:$M,COLUMN()-8,0),"")</f>
        <v>路过人间</v>
      </c>
      <c r="T1913" s="4">
        <f ca="1">_xlfn.IFNA(VLOOKUP(INDIRECT("G"&amp;ROW()),minfo!$A:$M,COLUMN()-8,0),"")</f>
        <v>218547878</v>
      </c>
      <c r="U1913" s="4" t="str">
        <f ca="1">_xlfn.IFNA(VLOOKUP(INDIRECT("G"&amp;ROW()),minfo!$A:$M,COLUMN()-8,0),"")</f>
        <v>音乐榜最高NO.10</v>
      </c>
    </row>
    <row r="1914" spans="1:21" ht="15.75" customHeight="1">
      <c r="A1914" s="15">
        <v>1913</v>
      </c>
      <c r="D1914" s="4">
        <v>1</v>
      </c>
      <c r="E1914" s="4" t="s">
        <v>3229</v>
      </c>
      <c r="F1914" s="16">
        <v>45412</v>
      </c>
      <c r="G1914" s="5" t="s">
        <v>3228</v>
      </c>
      <c r="H1914" s="5" t="s">
        <v>5669</v>
      </c>
      <c r="I1914" s="24" t="str">
        <f>HYPERLINK("https://www.bilibili.com/video/BV1Wi421C7tm?p=1", "BV1Wi421C7tm?p=1")</f>
        <v>BV1Wi421C7tm?p=1</v>
      </c>
      <c r="J1914" s="4" t="str">
        <f ca="1">_xlfn.IFNA(VLOOKUP(INDIRECT("G"&amp;ROW()),minfo!$A:$M,COLUMN()-8,0),"")</f>
        <v>Scarborough Fair</v>
      </c>
      <c r="K1914" s="4" t="str">
        <f ca="1">_xlfn.IFNA(VLOOKUP(INDIRECT("G"&amp;ROW()),minfo!$A:$M,COLUMN()-8,0),"")</f>
        <v>Sarah Brightman</v>
      </c>
      <c r="L1914" s="4">
        <f ca="1">_xlfn.IFNA(VLOOKUP(INDIRECT("G"&amp;ROW()),minfo!$A:$M,COLUMN()-8,0),"")</f>
        <v>0</v>
      </c>
      <c r="M1914" s="4">
        <f ca="1">_xlfn.IFNA(VLOOKUP(INDIRECT("G"&amp;ROW()),minfo!$A:$M,COLUMN()-8,0),"")</f>
        <v>0</v>
      </c>
      <c r="N1914" s="4">
        <f ca="1">_xlfn.IFNA(VLOOKUP(INDIRECT("G"&amp;ROW()),minfo!$A:$M,COLUMN()-8,0),"")</f>
        <v>0</v>
      </c>
      <c r="O1914" s="4" t="str">
        <f ca="1">_xlfn.IFNA(VLOOKUP(INDIRECT("G"&amp;ROW()),minfo!$A:$M,COLUMN()-8,0),"")</f>
        <v>https://i0.hdslb.com/bfs/station_src/music_metadata/48bef0e727999b35aebee8cbff39db41.jpg</v>
      </c>
      <c r="P1914" s="4" t="str">
        <f ca="1">_xlfn.IFNA(VLOOKUP(INDIRECT("G"&amp;ROW()),minfo!$A:$M,COLUMN()-8,0),"")</f>
        <v>http://i0.hdslb.com/bfs/station_src/music_metadata/876b09ac2dd091cc969627e86c8ef88b</v>
      </c>
      <c r="Q1914" s="4">
        <f ca="1">_xlfn.IFNA(VLOOKUP(INDIRECT("G"&amp;ROW()),minfo!$A:$M,COLUMN()-8,0),"")</f>
        <v>2959</v>
      </c>
      <c r="R1914" s="4" t="str">
        <f ca="1">_xlfn.IFNA(VLOOKUP(INDIRECT("G"&amp;ROW()),minfo!$A:$M,COLUMN()-8,0),"")</f>
        <v>《毕业生》电影插曲</v>
      </c>
      <c r="S1914" s="4" t="str">
        <f ca="1">_xlfn.IFNA(VLOOKUP(INDIRECT("G"&amp;ROW()),minfo!$A:$M,COLUMN()-8,0),"")</f>
        <v>La Luna</v>
      </c>
      <c r="T1914" s="4">
        <f ca="1">_xlfn.IFNA(VLOOKUP(INDIRECT("G"&amp;ROW()),minfo!$A:$M,COLUMN()-8,0),"")</f>
        <v>111657012</v>
      </c>
      <c r="U1914" s="4">
        <f ca="1">_xlfn.IFNA(VLOOKUP(INDIRECT("G"&amp;ROW()),minfo!$A:$M,COLUMN()-8,0),"")</f>
        <v>0</v>
      </c>
    </row>
    <row r="1915" spans="1:21" ht="15.75" customHeight="1">
      <c r="A1915" s="15">
        <v>1914</v>
      </c>
      <c r="D1915" s="4">
        <v>1</v>
      </c>
      <c r="E1915" s="4" t="s">
        <v>5570</v>
      </c>
      <c r="F1915" s="16">
        <v>45412</v>
      </c>
      <c r="G1915" s="5" t="s">
        <v>2188</v>
      </c>
      <c r="H1915" s="5" t="s">
        <v>5670</v>
      </c>
      <c r="I1915" s="24" t="str">
        <f>HYPERLINK("https://www.bilibili.com/video/BV1aJ4m1E7zc?p=1", "BV1aJ4m1E7zc?p=1")</f>
        <v>BV1aJ4m1E7zc?p=1</v>
      </c>
      <c r="J1915" s="4" t="str">
        <f ca="1">_xlfn.IFNA(VLOOKUP(INDIRECT("G"&amp;ROW()),minfo!$A:$M,COLUMN()-8,0),"")</f>
        <v>无与伦比的美丽</v>
      </c>
      <c r="K1915" s="4" t="str">
        <f ca="1">_xlfn.IFNA(VLOOKUP(INDIRECT("G"&amp;ROW()),minfo!$A:$M,COLUMN()-8,0),"")</f>
        <v>苏打绿</v>
      </c>
      <c r="L1915" s="4">
        <f ca="1">_xlfn.IFNA(VLOOKUP(INDIRECT("G"&amp;ROW()),minfo!$A:$M,COLUMN()-8,0),"")</f>
        <v>0</v>
      </c>
      <c r="M1915" s="4">
        <f ca="1">_xlfn.IFNA(VLOOKUP(INDIRECT("G"&amp;ROW()),minfo!$A:$M,COLUMN()-8,0),"")</f>
        <v>0</v>
      </c>
      <c r="N1915" s="4">
        <f ca="1">_xlfn.IFNA(VLOOKUP(INDIRECT("G"&amp;ROW()),minfo!$A:$M,COLUMN()-8,0),"")</f>
        <v>0</v>
      </c>
      <c r="O1915" s="4" t="str">
        <f ca="1">_xlfn.IFNA(VLOOKUP(INDIRECT("G"&amp;ROW()),minfo!$A:$M,COLUMN()-8,0),"")</f>
        <v>https://i0.hdslb.com/bfs/station_src/music_metadata/1ae4d73925ac180dfcc11b0564d7b0c6.jpg</v>
      </c>
      <c r="P1915" s="4" t="str">
        <f ca="1">_xlfn.IFNA(VLOOKUP(INDIRECT("G"&amp;ROW()),minfo!$A:$M,COLUMN()-8,0),"")</f>
        <v>https://i0.hdslb.com/bfs/station_src/music_metadata/837fc03670cecb734e00da7c39983313.txt</v>
      </c>
      <c r="Q1915" s="4">
        <f ca="1">_xlfn.IFNA(VLOOKUP(INDIRECT("G"&amp;ROW()),minfo!$A:$M,COLUMN()-8,0),"")</f>
        <v>290</v>
      </c>
      <c r="R1915" s="4">
        <f ca="1">_xlfn.IFNA(VLOOKUP(INDIRECT("G"&amp;ROW()),minfo!$A:$M,COLUMN()-8,0),"")</f>
        <v>0</v>
      </c>
      <c r="S1915" s="4" t="str">
        <f ca="1">_xlfn.IFNA(VLOOKUP(INDIRECT("G"&amp;ROW()),minfo!$A:$M,COLUMN()-8,0),"")</f>
        <v>Walk Together Live 2012台北小巨蛋演唱会</v>
      </c>
      <c r="T1915" s="4">
        <f ca="1">_xlfn.IFNA(VLOOKUP(INDIRECT("G"&amp;ROW()),minfo!$A:$M,COLUMN()-8,0),"")</f>
        <v>53246846</v>
      </c>
      <c r="U1915" s="4">
        <f ca="1">_xlfn.IFNA(VLOOKUP(INDIRECT("G"&amp;ROW()),minfo!$A:$M,COLUMN()-8,0),"")</f>
        <v>0</v>
      </c>
    </row>
    <row r="1916" spans="1:21" ht="15.75" customHeight="1">
      <c r="A1916" s="15">
        <v>1915</v>
      </c>
      <c r="D1916" s="4">
        <v>1</v>
      </c>
      <c r="E1916" s="4" t="s">
        <v>113</v>
      </c>
      <c r="F1916" s="16">
        <v>45412</v>
      </c>
      <c r="G1916" s="5" t="s">
        <v>113</v>
      </c>
      <c r="H1916" s="5" t="s">
        <v>5671</v>
      </c>
      <c r="I1916" s="24" t="str">
        <f>HYPERLINK("https://www.bilibili.com/video/BV13f421S7Do?p=1", "BV13f421S7Do?p=1")</f>
        <v>BV13f421S7Do?p=1</v>
      </c>
      <c r="J1916" s="4" t="str">
        <f ca="1">_xlfn.IFNA(VLOOKUP(INDIRECT("G"&amp;ROW()),minfo!$A:$M,COLUMN()-8,0),"")</f>
        <v>牡丹亭畔</v>
      </c>
      <c r="K1916" s="4" t="str">
        <f ca="1">_xlfn.IFNA(VLOOKUP(INDIRECT("G"&amp;ROW()),minfo!$A:$M,COLUMN()-8,0),"")</f>
        <v>说说Crystal</v>
      </c>
      <c r="L1916" s="4" t="str">
        <f ca="1">_xlfn.IFNA(VLOOKUP(INDIRECT("G"&amp;ROW()),minfo!$A:$M,COLUMN()-8,0),"")</f>
        <v>BV1CP411M7tc</v>
      </c>
      <c r="M1916" s="4">
        <f ca="1">_xlfn.IFNA(VLOOKUP(INDIRECT("G"&amp;ROW()),minfo!$A:$M,COLUMN()-8,0),"")</f>
        <v>0</v>
      </c>
      <c r="N1916" s="4">
        <f ca="1">_xlfn.IFNA(VLOOKUP(INDIRECT("G"&amp;ROW()),minfo!$A:$M,COLUMN()-8,0),"")</f>
        <v>0</v>
      </c>
      <c r="O1916" s="4">
        <f ca="1">_xlfn.IFNA(VLOOKUP(INDIRECT("G"&amp;ROW()),minfo!$A:$M,COLUMN()-8,0),"")</f>
        <v>0</v>
      </c>
      <c r="P1916" s="4">
        <f ca="1">_xlfn.IFNA(VLOOKUP(INDIRECT("G"&amp;ROW()),minfo!$A:$M,COLUMN()-8,0),"")</f>
        <v>0</v>
      </c>
      <c r="Q1916" s="4">
        <f ca="1">_xlfn.IFNA(VLOOKUP(INDIRECT("G"&amp;ROW()),minfo!$A:$M,COLUMN()-8,0),"")</f>
        <v>0</v>
      </c>
      <c r="R1916" s="4">
        <f ca="1">_xlfn.IFNA(VLOOKUP(INDIRECT("G"&amp;ROW()),minfo!$A:$M,COLUMN()-8,0),"")</f>
        <v>0</v>
      </c>
      <c r="S1916" s="4">
        <f ca="1">_xlfn.IFNA(VLOOKUP(INDIRECT("G"&amp;ROW()),minfo!$A:$M,COLUMN()-8,0),"")</f>
        <v>0</v>
      </c>
      <c r="T1916" s="4">
        <f ca="1">_xlfn.IFNA(VLOOKUP(INDIRECT("G"&amp;ROW()),minfo!$A:$M,COLUMN()-8,0),"")</f>
        <v>0</v>
      </c>
      <c r="U1916" s="4">
        <f ca="1">_xlfn.IFNA(VLOOKUP(INDIRECT("G"&amp;ROW()),minfo!$A:$M,COLUMN()-8,0),"")</f>
        <v>0</v>
      </c>
    </row>
    <row r="1917" spans="1:21" ht="15.75" customHeight="1">
      <c r="A1917" s="15">
        <v>1916</v>
      </c>
      <c r="D1917" s="4">
        <v>1</v>
      </c>
      <c r="E1917" s="4" t="s">
        <v>3234</v>
      </c>
      <c r="F1917" s="16">
        <v>45412</v>
      </c>
      <c r="G1917" s="5" t="s">
        <v>3234</v>
      </c>
      <c r="H1917" s="5" t="s">
        <v>5672</v>
      </c>
      <c r="I1917" s="24" t="str">
        <f>HYPERLINK("https://www.bilibili.com/video/BV1KE421j7sk?p=1", "BV1KE421j7sk?p=1")</f>
        <v>BV1KE421j7sk?p=1</v>
      </c>
      <c r="J1917" s="4" t="str">
        <f ca="1">_xlfn.IFNA(VLOOKUP(INDIRECT("G"&amp;ROW()),minfo!$A:$M,COLUMN()-8,0),"")</f>
        <v>散尽飞花</v>
      </c>
      <c r="K1917" s="4" t="str">
        <f ca="1">_xlfn.IFNA(VLOOKUP(INDIRECT("G"&amp;ROW()),minfo!$A:$M,COLUMN()-8,0),"")</f>
        <v>艾梨尔Ariel</v>
      </c>
      <c r="L1917" s="4" t="str">
        <f ca="1">_xlfn.IFNA(VLOOKUP(INDIRECT("G"&amp;ROW()),minfo!$A:$M,COLUMN()-8,0),"")</f>
        <v>BV1rK421C7pc</v>
      </c>
      <c r="M1917" s="4">
        <f ca="1">_xlfn.IFNA(VLOOKUP(INDIRECT("G"&amp;ROW()),minfo!$A:$M,COLUMN()-8,0),"")</f>
        <v>0</v>
      </c>
      <c r="N1917" s="4">
        <f ca="1">_xlfn.IFNA(VLOOKUP(INDIRECT("G"&amp;ROW()),minfo!$A:$M,COLUMN()-8,0),"")</f>
        <v>0</v>
      </c>
      <c r="O1917" s="4">
        <f ca="1">_xlfn.IFNA(VLOOKUP(INDIRECT("G"&amp;ROW()),minfo!$A:$M,COLUMN()-8,0),"")</f>
        <v>0</v>
      </c>
      <c r="P1917" s="4">
        <f ca="1">_xlfn.IFNA(VLOOKUP(INDIRECT("G"&amp;ROW()),minfo!$A:$M,COLUMN()-8,0),"")</f>
        <v>0</v>
      </c>
      <c r="Q1917" s="4">
        <f ca="1">_xlfn.IFNA(VLOOKUP(INDIRECT("G"&amp;ROW()),minfo!$A:$M,COLUMN()-8,0),"")</f>
        <v>0</v>
      </c>
      <c r="R1917" s="4">
        <f ca="1">_xlfn.IFNA(VLOOKUP(INDIRECT("G"&amp;ROW()),minfo!$A:$M,COLUMN()-8,0),"")</f>
        <v>0</v>
      </c>
      <c r="S1917" s="4">
        <f ca="1">_xlfn.IFNA(VLOOKUP(INDIRECT("G"&amp;ROW()),minfo!$A:$M,COLUMN()-8,0),"")</f>
        <v>0</v>
      </c>
      <c r="T1917" s="4">
        <f ca="1">_xlfn.IFNA(VLOOKUP(INDIRECT("G"&amp;ROW()),minfo!$A:$M,COLUMN()-8,0),"")</f>
        <v>0</v>
      </c>
      <c r="U1917" s="4">
        <f ca="1">_xlfn.IFNA(VLOOKUP(INDIRECT("G"&amp;ROW()),minfo!$A:$M,COLUMN()-8,0),"")</f>
        <v>0</v>
      </c>
    </row>
    <row r="1918" spans="1:21" ht="15.75" customHeight="1">
      <c r="A1918" s="15">
        <v>1917</v>
      </c>
      <c r="D1918" s="4">
        <v>1</v>
      </c>
      <c r="E1918" s="4" t="s">
        <v>332</v>
      </c>
      <c r="F1918" s="16">
        <v>45412</v>
      </c>
      <c r="G1918" s="5" t="s">
        <v>331</v>
      </c>
      <c r="H1918" s="5" t="s">
        <v>5673</v>
      </c>
      <c r="I1918" s="24" t="str">
        <f>HYPERLINK("https://www.bilibili.com/video/BV1bi421C7ZN?p=1", "BV1bi421C7ZN?p=1")</f>
        <v>BV1bi421C7ZN?p=1</v>
      </c>
      <c r="J1918" s="4" t="str">
        <f ca="1">_xlfn.IFNA(VLOOKUP(INDIRECT("G"&amp;ROW()),minfo!$A:$M,COLUMN()-8,0),"")</f>
        <v>春天的芭蕾</v>
      </c>
      <c r="K1918" s="4" t="str">
        <f ca="1">_xlfn.IFNA(VLOOKUP(INDIRECT("G"&amp;ROW()),minfo!$A:$M,COLUMN()-8,0),"")</f>
        <v>常思思</v>
      </c>
      <c r="L1918" s="4">
        <f ca="1">_xlfn.IFNA(VLOOKUP(INDIRECT("G"&amp;ROW()),minfo!$A:$M,COLUMN()-8,0),"")</f>
        <v>0</v>
      </c>
      <c r="M1918" s="4">
        <f ca="1">_xlfn.IFNA(VLOOKUP(INDIRECT("G"&amp;ROW()),minfo!$A:$M,COLUMN()-8,0),"")</f>
        <v>0</v>
      </c>
      <c r="N1918" s="4">
        <f ca="1">_xlfn.IFNA(VLOOKUP(INDIRECT("G"&amp;ROW()),minfo!$A:$M,COLUMN()-8,0),"")</f>
        <v>0</v>
      </c>
      <c r="O1918" s="4" t="str">
        <f ca="1">_xlfn.IFNA(VLOOKUP(INDIRECT("G"&amp;ROW()),minfo!$A:$M,COLUMN()-8,0),"")</f>
        <v>http://i0.hdslb.com/bfs/station_src/music_metadata/7202bafed8b495edfdc98691518442b5.jpg</v>
      </c>
      <c r="P1918" s="4" t="str">
        <f ca="1">_xlfn.IFNA(VLOOKUP(INDIRECT("G"&amp;ROW()),minfo!$A:$M,COLUMN()-8,0),"")</f>
        <v>http://i0.hdslb.com/bfs/station_src/music_metadata/1faf7f1d5734fb67fc3aa5824aaf8ed2</v>
      </c>
      <c r="Q1918" s="4">
        <f ca="1">_xlfn.IFNA(VLOOKUP(INDIRECT("G"&amp;ROW()),minfo!$A:$M,COLUMN()-8,0),"")</f>
        <v>173</v>
      </c>
      <c r="R1918" s="4">
        <f ca="1">_xlfn.IFNA(VLOOKUP(INDIRECT("G"&amp;ROW()),minfo!$A:$M,COLUMN()-8,0),"")</f>
        <v>0</v>
      </c>
      <c r="S1918" s="4">
        <f ca="1">_xlfn.IFNA(VLOOKUP(INDIRECT("G"&amp;ROW()),minfo!$A:$M,COLUMN()-8,0),"")</f>
        <v>0</v>
      </c>
      <c r="T1918" s="4">
        <f ca="1">_xlfn.IFNA(VLOOKUP(INDIRECT("G"&amp;ROW()),minfo!$A:$M,COLUMN()-8,0),"")</f>
        <v>25997684</v>
      </c>
      <c r="U1918" s="4">
        <f ca="1">_xlfn.IFNA(VLOOKUP(INDIRECT("G"&amp;ROW()),minfo!$A:$M,COLUMN()-8,0),"")</f>
        <v>0</v>
      </c>
    </row>
    <row r="1919" spans="1:21" ht="15.75" customHeight="1">
      <c r="A1919" s="15">
        <v>1918</v>
      </c>
      <c r="D1919" s="4">
        <v>1</v>
      </c>
      <c r="E1919" s="4" t="s">
        <v>1949</v>
      </c>
      <c r="F1919" s="16">
        <v>45412</v>
      </c>
      <c r="G1919" s="5" t="s">
        <v>2771</v>
      </c>
      <c r="H1919" s="5" t="s">
        <v>5674</v>
      </c>
      <c r="I1919" s="24" t="str">
        <f>HYPERLINK("https://www.bilibili.com/video/BV1Lm411C7Ga?p=1", "BV1Lm411C7Ga?p=1")</f>
        <v>BV1Lm411C7Ga?p=1</v>
      </c>
      <c r="J1919" s="4" t="str">
        <f ca="1">_xlfn.IFNA(VLOOKUP(INDIRECT("G"&amp;ROW()),minfo!$A:$M,COLUMN()-8,0),"")</f>
        <v>蝴蝶泉边</v>
      </c>
      <c r="K1919" s="4" t="str">
        <f ca="1">_xlfn.IFNA(VLOOKUP(INDIRECT("G"&amp;ROW()),minfo!$A:$M,COLUMN()-8,0),"")</f>
        <v>黄雅莉</v>
      </c>
      <c r="L1919" s="4">
        <f ca="1">_xlfn.IFNA(VLOOKUP(INDIRECT("G"&amp;ROW()),minfo!$A:$M,COLUMN()-8,0),"")</f>
        <v>0</v>
      </c>
      <c r="M1919" s="4">
        <f ca="1">_xlfn.IFNA(VLOOKUP(INDIRECT("G"&amp;ROW()),minfo!$A:$M,COLUMN()-8,0),"")</f>
        <v>0</v>
      </c>
      <c r="N1919" s="4">
        <f ca="1">_xlfn.IFNA(VLOOKUP(INDIRECT("G"&amp;ROW()),minfo!$A:$M,COLUMN()-8,0),"")</f>
        <v>0</v>
      </c>
      <c r="O1919" s="4" t="str">
        <f ca="1">_xlfn.IFNA(VLOOKUP(INDIRECT("G"&amp;ROW()),minfo!$A:$M,COLUMN()-8,0),"")</f>
        <v>https://i0.hdslb.com/bfs/station_src/music_metadata/932e8dfc6da200a0e8bac6f301c78184.jpg</v>
      </c>
      <c r="P1919" s="4" t="str">
        <f ca="1">_xlfn.IFNA(VLOOKUP(INDIRECT("G"&amp;ROW()),minfo!$A:$M,COLUMN()-8,0),"")</f>
        <v>http://i0.hdslb.com/bfs/station_src/music_metadata/e51e5009d5ff192011aa88f30739d415</v>
      </c>
      <c r="Q1919" s="4">
        <f ca="1">_xlfn.IFNA(VLOOKUP(INDIRECT("G"&amp;ROW()),minfo!$A:$M,COLUMN()-8,0),"")</f>
        <v>273</v>
      </c>
      <c r="R1919" s="4" t="str">
        <f ca="1">_xlfn.IFNA(VLOOKUP(INDIRECT("G"&amp;ROW()),minfo!$A:$M,COLUMN()-8,0),"")</f>
        <v>live</v>
      </c>
      <c r="S1919" s="4" t="str">
        <f ca="1">_xlfn.IFNA(VLOOKUP(INDIRECT("G"&amp;ROW()),minfo!$A:$M,COLUMN()-8,0),"")</f>
        <v>崽崽</v>
      </c>
      <c r="T1919" s="4">
        <f ca="1">_xlfn.IFNA(VLOOKUP(INDIRECT("G"&amp;ROW()),minfo!$A:$M,COLUMN()-8,0),"")</f>
        <v>46216626</v>
      </c>
      <c r="U1919" s="4">
        <f ca="1">_xlfn.IFNA(VLOOKUP(INDIRECT("G"&amp;ROW()),minfo!$A:$M,COLUMN()-8,0),"")</f>
        <v>0</v>
      </c>
    </row>
    <row r="1920" spans="1:21" ht="15.75" customHeight="1">
      <c r="A1920" s="15">
        <v>1919</v>
      </c>
      <c r="D1920" s="4">
        <v>1</v>
      </c>
      <c r="E1920" s="4" t="s">
        <v>319</v>
      </c>
      <c r="F1920" s="16">
        <v>45413</v>
      </c>
      <c r="G1920" s="5" t="s">
        <v>318</v>
      </c>
      <c r="H1920" s="5" t="s">
        <v>5675</v>
      </c>
      <c r="I1920" s="24" t="str">
        <f>HYPERLINK("https://www.bilibili.com/video/BV1qx4y1B7Vn?p=1", "BV1qx4y1B7Vn?p=1")</f>
        <v>BV1qx4y1B7Vn?p=1</v>
      </c>
      <c r="J1920" s="4" t="str">
        <f ca="1">_xlfn.IFNA(VLOOKUP(INDIRECT("G"&amp;ROW()),minfo!$A:$M,COLUMN()-8,0),"")</f>
        <v>晴天</v>
      </c>
      <c r="K1920" s="4" t="str">
        <f ca="1">_xlfn.IFNA(VLOOKUP(INDIRECT("G"&amp;ROW()),minfo!$A:$M,COLUMN()-8,0),"")</f>
        <v>周杰伦</v>
      </c>
      <c r="L1920" s="4">
        <f ca="1">_xlfn.IFNA(VLOOKUP(INDIRECT("G"&amp;ROW()),minfo!$A:$M,COLUMN()-8,0),"")</f>
        <v>0</v>
      </c>
      <c r="M1920" s="4">
        <f ca="1">_xlfn.IFNA(VLOOKUP(INDIRECT("G"&amp;ROW()),minfo!$A:$M,COLUMN()-8,0),"")</f>
        <v>5048</v>
      </c>
      <c r="N1920" s="4">
        <f ca="1">_xlfn.IFNA(VLOOKUP(INDIRECT("G"&amp;ROW()),minfo!$A:$M,COLUMN()-8,0),"")</f>
        <v>135</v>
      </c>
      <c r="O1920" s="4" t="str">
        <f ca="1">_xlfn.IFNA(VLOOKUP(INDIRECT("G"&amp;ROW()),minfo!$A:$M,COLUMN()-8,0),"")</f>
        <v>https://i0.hdslb.com/bfs/station_src/music_metadata/2efa8f0df2aff949dee33b3f46a56312.jpg</v>
      </c>
      <c r="P1920" s="4">
        <f ca="1">_xlfn.IFNA(VLOOKUP(INDIRECT("G"&amp;ROW()),minfo!$A:$M,COLUMN()-8,0),"")</f>
        <v>0</v>
      </c>
      <c r="Q1920" s="4">
        <f ca="1">_xlfn.IFNA(VLOOKUP(INDIRECT("G"&amp;ROW()),minfo!$A:$M,COLUMN()-8,0),"")</f>
        <v>15983</v>
      </c>
      <c r="R1920" s="4">
        <f ca="1">_xlfn.IFNA(VLOOKUP(INDIRECT("G"&amp;ROW()),minfo!$A:$M,COLUMN()-8,0),"")</f>
        <v>0</v>
      </c>
      <c r="S1920" s="4" t="str">
        <f ca="1">_xlfn.IFNA(VLOOKUP(INDIRECT("G"&amp;ROW()),minfo!$A:$M,COLUMN()-8,0),"")</f>
        <v>叶惠美</v>
      </c>
      <c r="T1920" s="4">
        <f ca="1">_xlfn.IFNA(VLOOKUP(INDIRECT("G"&amp;ROW()),minfo!$A:$M,COLUMN()-8,0),"")</f>
        <v>1497162616</v>
      </c>
      <c r="U1920" s="4" t="str">
        <f ca="1">_xlfn.IFNA(VLOOKUP(INDIRECT("G"&amp;ROW()),minfo!$A:$M,COLUMN()-8,0),"")</f>
        <v>音乐榜最高NO.8</v>
      </c>
    </row>
    <row r="1921" spans="1:21" ht="15.75" customHeight="1">
      <c r="A1921" s="15">
        <v>1920</v>
      </c>
      <c r="D1921" s="4">
        <v>1</v>
      </c>
      <c r="E1921" s="4" t="s">
        <v>1226</v>
      </c>
      <c r="F1921" s="16">
        <v>45413</v>
      </c>
      <c r="G1921" s="5" t="s">
        <v>1225</v>
      </c>
      <c r="H1921" s="5" t="s">
        <v>5676</v>
      </c>
      <c r="I1921" s="24" t="str">
        <f>HYPERLINK("https://www.bilibili.com/video/BV1Yw4m117X1?p=1", "BV1Yw4m117X1?p=1")</f>
        <v>BV1Yw4m117X1?p=1</v>
      </c>
      <c r="J1921" s="4" t="str">
        <f ca="1">_xlfn.IFNA(VLOOKUP(INDIRECT("G"&amp;ROW()),minfo!$A:$M,COLUMN()-8,0),"")</f>
        <v>你不知道的事</v>
      </c>
      <c r="K1921" s="4" t="str">
        <f ca="1">_xlfn.IFNA(VLOOKUP(INDIRECT("G"&amp;ROW()),minfo!$A:$M,COLUMN()-8,0),"")</f>
        <v>王力宏</v>
      </c>
      <c r="L1921" s="4">
        <f ca="1">_xlfn.IFNA(VLOOKUP(INDIRECT("G"&amp;ROW()),minfo!$A:$M,COLUMN()-8,0),"")</f>
        <v>0</v>
      </c>
      <c r="M1921" s="4">
        <f ca="1">_xlfn.IFNA(VLOOKUP(INDIRECT("G"&amp;ROW()),minfo!$A:$M,COLUMN()-8,0),"")</f>
        <v>547</v>
      </c>
      <c r="N1921" s="4">
        <f ca="1">_xlfn.IFNA(VLOOKUP(INDIRECT("G"&amp;ROW()),minfo!$A:$M,COLUMN()-8,0),"")</f>
        <v>47</v>
      </c>
      <c r="O1921" s="4" t="str">
        <f ca="1">_xlfn.IFNA(VLOOKUP(INDIRECT("G"&amp;ROW()),minfo!$A:$M,COLUMN()-8,0),"")</f>
        <v>http://i1.hdslb.com/bfs/archive/d601f75e582fef1ea0319e5334def584fa16659b.jpg</v>
      </c>
      <c r="P1921" s="4">
        <f ca="1">_xlfn.IFNA(VLOOKUP(INDIRECT("G"&amp;ROW()),minfo!$A:$M,COLUMN()-8,0),"")</f>
        <v>0</v>
      </c>
      <c r="Q1921" s="4">
        <f ca="1">_xlfn.IFNA(VLOOKUP(INDIRECT("G"&amp;ROW()),minfo!$A:$M,COLUMN()-8,0),"")</f>
        <v>157</v>
      </c>
      <c r="R1921" s="4" t="str">
        <f ca="1">_xlfn.IFNA(VLOOKUP(INDIRECT("G"&amp;ROW()),minfo!$A:$M,COLUMN()-8,0),"")</f>
        <v>你不知道的事</v>
      </c>
      <c r="S1921" s="4">
        <f ca="1">_xlfn.IFNA(VLOOKUP(INDIRECT("G"&amp;ROW()),minfo!$A:$M,COLUMN()-8,0),"")</f>
        <v>0</v>
      </c>
      <c r="T1921" s="4">
        <f ca="1">_xlfn.IFNA(VLOOKUP(INDIRECT("G"&amp;ROW()),minfo!$A:$M,COLUMN()-8,0),"")</f>
        <v>96065912</v>
      </c>
      <c r="U1921" s="4">
        <f ca="1">_xlfn.IFNA(VLOOKUP(INDIRECT("G"&amp;ROW()),minfo!$A:$M,COLUMN()-8,0),"")</f>
        <v>0</v>
      </c>
    </row>
    <row r="1922" spans="1:21" ht="15.75" customHeight="1">
      <c r="A1922" s="15">
        <v>1921</v>
      </c>
      <c r="D1922" s="4">
        <v>1</v>
      </c>
      <c r="E1922" s="4" t="s">
        <v>1478</v>
      </c>
      <c r="F1922" s="16">
        <v>45413</v>
      </c>
      <c r="G1922" s="5" t="s">
        <v>1477</v>
      </c>
      <c r="H1922" s="5" t="s">
        <v>5677</v>
      </c>
      <c r="I1922" s="24" t="str">
        <f>HYPERLINK("https://www.bilibili.com/video/BV1GH4y1V71C?p=1", "BV1GH4y1V71C?p=1")</f>
        <v>BV1GH4y1V71C?p=1</v>
      </c>
      <c r="J1922" s="4" t="str">
        <f ca="1">_xlfn.IFNA(VLOOKUP(INDIRECT("G"&amp;ROW()),minfo!$A:$M,COLUMN()-8,0),"")</f>
        <v>想你时风起</v>
      </c>
      <c r="K1922" s="4" t="str">
        <f ca="1">_xlfn.IFNA(VLOOKUP(INDIRECT("G"&amp;ROW()),minfo!$A:$M,COLUMN()-8,0),"")</f>
        <v>单依纯</v>
      </c>
      <c r="L1922" s="4">
        <f ca="1">_xlfn.IFNA(VLOOKUP(INDIRECT("G"&amp;ROW()),minfo!$A:$M,COLUMN()-8,0),"")</f>
        <v>0</v>
      </c>
      <c r="M1922" s="4">
        <f ca="1">_xlfn.IFNA(VLOOKUP(INDIRECT("G"&amp;ROW()),minfo!$A:$M,COLUMN()-8,0),"")</f>
        <v>0</v>
      </c>
      <c r="N1922" s="4">
        <f ca="1">_xlfn.IFNA(VLOOKUP(INDIRECT("G"&amp;ROW()),minfo!$A:$M,COLUMN()-8,0),"")</f>
        <v>0</v>
      </c>
      <c r="O1922" s="4" t="str">
        <f ca="1">_xlfn.IFNA(VLOOKUP(INDIRECT("G"&amp;ROW()),minfo!$A:$M,COLUMN()-8,0),"")</f>
        <v>http://i0.hdslb.com/bfs/station_src/music_metadata/690d5f026cf42acdf74154d42a9e4aec.jpg</v>
      </c>
      <c r="P1922" s="4">
        <f ca="1">_xlfn.IFNA(VLOOKUP(INDIRECT("G"&amp;ROW()),minfo!$A:$M,COLUMN()-8,0),"")</f>
        <v>0</v>
      </c>
      <c r="Q1922" s="4">
        <f ca="1">_xlfn.IFNA(VLOOKUP(INDIRECT("G"&amp;ROW()),minfo!$A:$M,COLUMN()-8,0),"")</f>
        <v>710</v>
      </c>
      <c r="R1922" s="4">
        <f ca="1">_xlfn.IFNA(VLOOKUP(INDIRECT("G"&amp;ROW()),minfo!$A:$M,COLUMN()-8,0),"")</f>
        <v>0</v>
      </c>
      <c r="S1922" s="4" t="str">
        <f ca="1">_xlfn.IFNA(VLOOKUP(INDIRECT("G"&amp;ROW()),minfo!$A:$M,COLUMN()-8,0),"")</f>
        <v>想你时风起</v>
      </c>
      <c r="T1922" s="4">
        <f ca="1">_xlfn.IFNA(VLOOKUP(INDIRECT("G"&amp;ROW()),minfo!$A:$M,COLUMN()-8,0),"")</f>
        <v>48566163</v>
      </c>
      <c r="U1922" s="4">
        <f ca="1">_xlfn.IFNA(VLOOKUP(INDIRECT("G"&amp;ROW()),minfo!$A:$M,COLUMN()-8,0),"")</f>
        <v>0</v>
      </c>
    </row>
    <row r="1923" spans="1:21" ht="15.75" customHeight="1">
      <c r="A1923" s="15">
        <v>1922</v>
      </c>
      <c r="D1923" s="4">
        <v>1</v>
      </c>
      <c r="E1923" s="4" t="s">
        <v>846</v>
      </c>
      <c r="F1923" s="16">
        <v>45413</v>
      </c>
      <c r="G1923" s="5" t="s">
        <v>845</v>
      </c>
      <c r="H1923" s="5" t="s">
        <v>5678</v>
      </c>
      <c r="I1923" s="24" t="str">
        <f>HYPERLINK("https://www.bilibili.com/video/BV17142197Ag?p=1", "BV17142197Ag?p=1")</f>
        <v>BV17142197Ag?p=1</v>
      </c>
      <c r="J1923" s="4" t="str">
        <f ca="1">_xlfn.IFNA(VLOOKUP(INDIRECT("G"&amp;ROW()),minfo!$A:$M,COLUMN()-8,0),"")</f>
        <v>左手指月</v>
      </c>
      <c r="K1923" s="4" t="str">
        <f ca="1">_xlfn.IFNA(VLOOKUP(INDIRECT("G"&amp;ROW()),minfo!$A:$M,COLUMN()-8,0),"")</f>
        <v>萨顶顶</v>
      </c>
      <c r="L1923" s="4">
        <f ca="1">_xlfn.IFNA(VLOOKUP(INDIRECT("G"&amp;ROW()),minfo!$A:$M,COLUMN()-8,0),"")</f>
        <v>0</v>
      </c>
      <c r="M1923" s="4">
        <f ca="1">_xlfn.IFNA(VLOOKUP(INDIRECT("G"&amp;ROW()),minfo!$A:$M,COLUMN()-8,0),"")</f>
        <v>0</v>
      </c>
      <c r="N1923" s="4">
        <f ca="1">_xlfn.IFNA(VLOOKUP(INDIRECT("G"&amp;ROW()),minfo!$A:$M,COLUMN()-8,0),"")</f>
        <v>0</v>
      </c>
      <c r="O1923" s="4" t="str">
        <f ca="1">_xlfn.IFNA(VLOOKUP(INDIRECT("G"&amp;ROW()),minfo!$A:$M,COLUMN()-8,0),"")</f>
        <v>http://i0.hdslb.com/bfs/station_src/music_metadata/fe8994db7a3105222f29993a7e9a6d6e.jpg</v>
      </c>
      <c r="P1923" s="4" t="str">
        <f ca="1">_xlfn.IFNA(VLOOKUP(INDIRECT("G"&amp;ROW()),minfo!$A:$M,COLUMN()-8,0),"")</f>
        <v>http://i0.hdslb.com/bfs/station_src/music_metadata/78e1f08a3ddf3473daad2f7995590a90</v>
      </c>
      <c r="Q1923" s="4">
        <f ca="1">_xlfn.IFNA(VLOOKUP(INDIRECT("G"&amp;ROW()),minfo!$A:$M,COLUMN()-8,0),"")</f>
        <v>1334</v>
      </c>
      <c r="R1923" s="4" t="str">
        <f ca="1">_xlfn.IFNA(VLOOKUP(INDIRECT("G"&amp;ROW()),minfo!$A:$M,COLUMN()-8,0),"")</f>
        <v>《香蜜沉沉烬如霜》电视剧片尾曲</v>
      </c>
      <c r="S1923" s="4" t="str">
        <f ca="1">_xlfn.IFNA(VLOOKUP(INDIRECT("G"&amp;ROW()),minfo!$A:$M,COLUMN()-8,0),"")</f>
        <v>香蜜沉沉烬如霜 电视原声音乐专辑</v>
      </c>
      <c r="T1923" s="4">
        <f ca="1">_xlfn.IFNA(VLOOKUP(INDIRECT("G"&amp;ROW()),minfo!$A:$M,COLUMN()-8,0),"")</f>
        <v>594956132</v>
      </c>
      <c r="U1923" s="4" t="str">
        <f ca="1">_xlfn.IFNA(VLOOKUP(INDIRECT("G"&amp;ROW()),minfo!$A:$M,COLUMN()-8,0),"")</f>
        <v>音乐榜最高NO.16</v>
      </c>
    </row>
    <row r="1924" spans="1:21" ht="15.75" customHeight="1">
      <c r="A1924" s="15">
        <v>1923</v>
      </c>
      <c r="D1924" s="4">
        <v>1</v>
      </c>
      <c r="E1924" s="4" t="s">
        <v>65</v>
      </c>
      <c r="F1924" s="16">
        <v>45413</v>
      </c>
      <c r="G1924" s="5" t="s">
        <v>513</v>
      </c>
      <c r="H1924" s="5" t="s">
        <v>5679</v>
      </c>
      <c r="I1924" s="24" t="str">
        <f>HYPERLINK("https://www.bilibili.com/video/BV1dZ421J7tj?p=1", "BV1dZ421J7tj?p=1")</f>
        <v>BV1dZ421J7tj?p=1</v>
      </c>
      <c r="J1924" s="4" t="str">
        <f ca="1">_xlfn.IFNA(VLOOKUP(INDIRECT("G"&amp;ROW()),minfo!$A:$M,COLUMN()-8,0),"")</f>
        <v>天知河</v>
      </c>
      <c r="K1924" s="4" t="str">
        <f ca="1">_xlfn.IFNA(VLOOKUP(INDIRECT("G"&amp;ROW()),minfo!$A:$M,COLUMN()-8,0),"")</f>
        <v>说说Crystal</v>
      </c>
      <c r="L1924" s="4">
        <f ca="1">_xlfn.IFNA(VLOOKUP(INDIRECT("G"&amp;ROW()),minfo!$A:$M,COLUMN()-8,0),"")</f>
        <v>0</v>
      </c>
      <c r="M1924" s="4">
        <f ca="1">_xlfn.IFNA(VLOOKUP(INDIRECT("G"&amp;ROW()),minfo!$A:$M,COLUMN()-8,0),"")</f>
        <v>63471</v>
      </c>
      <c r="N1924" s="4">
        <f ca="1">_xlfn.IFNA(VLOOKUP(INDIRECT("G"&amp;ROW()),minfo!$A:$M,COLUMN()-8,0),"")</f>
        <v>19895</v>
      </c>
      <c r="O1924" s="4" t="str">
        <f ca="1">_xlfn.IFNA(VLOOKUP(INDIRECT("G"&amp;ROW()),minfo!$A:$M,COLUMN()-8,0),"")</f>
        <v>http://i0.hdslb.com/bfs/station_src/music_metadata/4ad5958a6b4bee52560f0cf175374bf7.jpg</v>
      </c>
      <c r="P1924" s="4">
        <f ca="1">_xlfn.IFNA(VLOOKUP(INDIRECT("G"&amp;ROW()),minfo!$A:$M,COLUMN()-8,0),"")</f>
        <v>0</v>
      </c>
      <c r="Q1924" s="4">
        <f ca="1">_xlfn.IFNA(VLOOKUP(INDIRECT("G"&amp;ROW()),minfo!$A:$M,COLUMN()-8,0),"")</f>
        <v>106</v>
      </c>
      <c r="R1924" s="4">
        <f ca="1">_xlfn.IFNA(VLOOKUP(INDIRECT("G"&amp;ROW()),minfo!$A:$M,COLUMN()-8,0),"")</f>
        <v>0</v>
      </c>
      <c r="S1924" s="4" t="str">
        <f ca="1">_xlfn.IFNA(VLOOKUP(INDIRECT("G"&amp;ROW()),minfo!$A:$M,COLUMN()-8,0),"")</f>
        <v>天知河</v>
      </c>
      <c r="T1924" s="4">
        <f ca="1">_xlfn.IFNA(VLOOKUP(INDIRECT("G"&amp;ROW()),minfo!$A:$M,COLUMN()-8,0),"")</f>
        <v>3294592</v>
      </c>
      <c r="U1924" s="4">
        <f ca="1">_xlfn.IFNA(VLOOKUP(INDIRECT("G"&amp;ROW()),minfo!$A:$M,COLUMN()-8,0),"")</f>
        <v>0</v>
      </c>
    </row>
    <row r="1925" spans="1:21" ht="15.75" customHeight="1">
      <c r="A1925" s="15">
        <v>1924</v>
      </c>
      <c r="D1925" s="4">
        <v>1</v>
      </c>
      <c r="E1925" s="4" t="s">
        <v>5564</v>
      </c>
      <c r="F1925" s="16">
        <v>45413</v>
      </c>
      <c r="G1925" s="5" t="s">
        <v>1937</v>
      </c>
      <c r="H1925" s="5" t="s">
        <v>5680</v>
      </c>
      <c r="I1925" s="24" t="str">
        <f>HYPERLINK("https://www.bilibili.com/video/BV1vm421p73M?p=1", "BV1vm421p73M?p=1")</f>
        <v>BV1vm421p73M?p=1</v>
      </c>
      <c r="J1925" s="4" t="str">
        <f ca="1">_xlfn.IFNA(VLOOKUP(INDIRECT("G"&amp;ROW()),minfo!$A:$M,COLUMN()-8,0),"")</f>
        <v>灯花落</v>
      </c>
      <c r="K1925" s="4" t="str">
        <f ca="1">_xlfn.IFNA(VLOOKUP(INDIRECT("G"&amp;ROW()),minfo!$A:$M,COLUMN()-8,0),"")</f>
        <v>说说Crystal</v>
      </c>
      <c r="L1925" s="4">
        <f ca="1">_xlfn.IFNA(VLOOKUP(INDIRECT("G"&amp;ROW()),minfo!$A:$M,COLUMN()-8,0),"")</f>
        <v>0</v>
      </c>
      <c r="M1925" s="4">
        <f ca="1">_xlfn.IFNA(VLOOKUP(INDIRECT("G"&amp;ROW()),minfo!$A:$M,COLUMN()-8,0),"")</f>
        <v>0</v>
      </c>
      <c r="N1925" s="4">
        <f ca="1">_xlfn.IFNA(VLOOKUP(INDIRECT("G"&amp;ROW()),minfo!$A:$M,COLUMN()-8,0),"")</f>
        <v>0</v>
      </c>
      <c r="O1925" s="4" t="str">
        <f ca="1">_xlfn.IFNA(VLOOKUP(INDIRECT("G"&amp;ROW()),minfo!$A:$M,COLUMN()-8,0),"")</f>
        <v>https://i0.hdslb.com/bfs/station_src/music_metadata/f014cc372efc20dcaf401338a91b51bf.jpg</v>
      </c>
      <c r="P1925" s="4">
        <f ca="1">_xlfn.IFNA(VLOOKUP(INDIRECT("G"&amp;ROW()),minfo!$A:$M,COLUMN()-8,0),"")</f>
        <v>0</v>
      </c>
      <c r="Q1925" s="4">
        <f ca="1">_xlfn.IFNA(VLOOKUP(INDIRECT("G"&amp;ROW()),minfo!$A:$M,COLUMN()-8,0),"")</f>
        <v>0</v>
      </c>
      <c r="R1925" s="4">
        <f ca="1">_xlfn.IFNA(VLOOKUP(INDIRECT("G"&amp;ROW()),minfo!$A:$M,COLUMN()-8,0),"")</f>
        <v>0</v>
      </c>
      <c r="S1925" s="4" t="str">
        <f ca="1">_xlfn.IFNA(VLOOKUP(INDIRECT("G"&amp;ROW()),minfo!$A:$M,COLUMN()-8,0),"")</f>
        <v>灯花落</v>
      </c>
      <c r="T1925" s="4">
        <f ca="1">_xlfn.IFNA(VLOOKUP(INDIRECT("G"&amp;ROW()),minfo!$A:$M,COLUMN()-8,0),"")</f>
        <v>538222</v>
      </c>
      <c r="U1925" s="4">
        <f ca="1">_xlfn.IFNA(VLOOKUP(INDIRECT("G"&amp;ROW()),minfo!$A:$M,COLUMN()-8,0),"")</f>
        <v>0</v>
      </c>
    </row>
    <row r="1926" spans="1:21" ht="15.75" customHeight="1">
      <c r="A1926" s="15">
        <v>1925</v>
      </c>
      <c r="D1926" s="4">
        <v>1</v>
      </c>
      <c r="E1926" s="4" t="s">
        <v>342</v>
      </c>
      <c r="F1926" s="16">
        <v>45413</v>
      </c>
      <c r="G1926" s="5" t="s">
        <v>341</v>
      </c>
      <c r="H1926" s="5" t="s">
        <v>5681</v>
      </c>
      <c r="I1926" s="24" t="str">
        <f>HYPERLINK("https://www.bilibili.com/video/BV13E42157Uk?p=1", "BV13E42157Uk?p=1")</f>
        <v>BV13E42157Uk?p=1</v>
      </c>
      <c r="J1926" s="4" t="str">
        <f ca="1">_xlfn.IFNA(VLOOKUP(INDIRECT("G"&amp;ROW()),minfo!$A:$M,COLUMN()-8,0),"")</f>
        <v>灯火里的中国</v>
      </c>
      <c r="K1926" s="4" t="str">
        <f ca="1">_xlfn.IFNA(VLOOKUP(INDIRECT("G"&amp;ROW()),minfo!$A:$M,COLUMN()-8,0),"")</f>
        <v>张也 / 周深</v>
      </c>
      <c r="L1926" s="4">
        <f ca="1">_xlfn.IFNA(VLOOKUP(INDIRECT("G"&amp;ROW()),minfo!$A:$M,COLUMN()-8,0),"")</f>
        <v>0</v>
      </c>
      <c r="M1926" s="4">
        <f ca="1">_xlfn.IFNA(VLOOKUP(INDIRECT("G"&amp;ROW()),minfo!$A:$M,COLUMN()-8,0),"")</f>
        <v>0</v>
      </c>
      <c r="N1926" s="4">
        <f ca="1">_xlfn.IFNA(VLOOKUP(INDIRECT("G"&amp;ROW()),minfo!$A:$M,COLUMN()-8,0),"")</f>
        <v>0</v>
      </c>
      <c r="O1926" s="4" t="str">
        <f ca="1">_xlfn.IFNA(VLOOKUP(INDIRECT("G"&amp;ROW()),minfo!$A:$M,COLUMN()-8,0),"")</f>
        <v>http://i0.hdslb.com/bfs/station_src/music_metadata/0924bf85b82fa62dfcdce38ffb74da1a.jpg</v>
      </c>
      <c r="P1926" s="4" t="str">
        <f ca="1">_xlfn.IFNA(VLOOKUP(INDIRECT("G"&amp;ROW()),minfo!$A:$M,COLUMN()-8,0),"")</f>
        <v>http://i0.hdslb.com/bfs/station_src/music_metadata/6398db62f5d229235035926dbc914370</v>
      </c>
      <c r="Q1926" s="4">
        <f ca="1">_xlfn.IFNA(VLOOKUP(INDIRECT("G"&amp;ROW()),minfo!$A:$M,COLUMN()-8,0),"")</f>
        <v>620</v>
      </c>
      <c r="R1926" s="4">
        <f ca="1">_xlfn.IFNA(VLOOKUP(INDIRECT("G"&amp;ROW()),minfo!$A:$M,COLUMN()-8,0),"")</f>
        <v>0</v>
      </c>
      <c r="S1926" s="4">
        <f ca="1">_xlfn.IFNA(VLOOKUP(INDIRECT("G"&amp;ROW()),minfo!$A:$M,COLUMN()-8,0),"")</f>
        <v>0</v>
      </c>
      <c r="T1926" s="4">
        <f ca="1">_xlfn.IFNA(VLOOKUP(INDIRECT("G"&amp;ROW()),minfo!$A:$M,COLUMN()-8,0),"")</f>
        <v>86381272</v>
      </c>
      <c r="U1926" s="4">
        <f ca="1">_xlfn.IFNA(VLOOKUP(INDIRECT("G"&amp;ROW()),minfo!$A:$M,COLUMN()-8,0),"")</f>
        <v>0</v>
      </c>
    </row>
    <row r="1927" spans="1:21" ht="15.75" customHeight="1">
      <c r="A1927" s="15">
        <v>1926</v>
      </c>
      <c r="D1927" s="4">
        <v>1</v>
      </c>
      <c r="E1927" s="4" t="s">
        <v>3209</v>
      </c>
      <c r="F1927" s="16">
        <v>45414</v>
      </c>
      <c r="G1927" s="5" t="s">
        <v>3208</v>
      </c>
      <c r="H1927" s="5" t="s">
        <v>5682</v>
      </c>
      <c r="I1927" s="24" t="str">
        <f>HYPERLINK("https://www.bilibili.com/video/BV1Up421S7QS?p=1", "BV1Up421S7QS?p=1")</f>
        <v>BV1Up421S7QS?p=1</v>
      </c>
      <c r="J1927" s="4" t="str">
        <f ca="1">_xlfn.IFNA(VLOOKUP(INDIRECT("G"&amp;ROW()),minfo!$A:$M,COLUMN()-8,0),"")</f>
        <v>小美满</v>
      </c>
      <c r="K1927" s="4" t="str">
        <f ca="1">_xlfn.IFNA(VLOOKUP(INDIRECT("G"&amp;ROW()),minfo!$A:$M,COLUMN()-8,0),"")</f>
        <v>周深</v>
      </c>
      <c r="L1927" s="4">
        <f ca="1">_xlfn.IFNA(VLOOKUP(INDIRECT("G"&amp;ROW()),minfo!$A:$M,COLUMN()-8,0),"")</f>
        <v>1950384180</v>
      </c>
      <c r="M1927" s="4">
        <f ca="1">_xlfn.IFNA(VLOOKUP(INDIRECT("G"&amp;ROW()),minfo!$A:$M,COLUMN()-8,0),"")</f>
        <v>1431686049</v>
      </c>
      <c r="N1927" s="4" t="str">
        <f ca="1">_xlfn.IFNA(VLOOKUP(INDIRECT("G"&amp;ROW()),minfo!$A:$M,COLUMN()-8,0),"")</f>
        <v>BV1ZC411x7Ky</v>
      </c>
      <c r="O1927" s="4" t="str">
        <f ca="1">_xlfn.IFNA(VLOOKUP(INDIRECT("G"&amp;ROW()),minfo!$A:$M,COLUMN()-8,0),"")</f>
        <v>https://i0.hdslb.com/bfs/station_src/music_metadata/21b82b115506a9a9cea7aa1eb481c598.jpg</v>
      </c>
      <c r="P1927" s="4" t="str">
        <f ca="1">_xlfn.IFNA(VLOOKUP(INDIRECT("G"&amp;ROW()),minfo!$A:$M,COLUMN()-8,0),"")</f>
        <v>https://i0.hdslb.com/bfs/station_src/music_metadata/a9b34f18851621ce7c2a74133efa4171.txt</v>
      </c>
      <c r="Q1927" s="4">
        <f ca="1">_xlfn.IFNA(VLOOKUP(INDIRECT("G"&amp;ROW()),minfo!$A:$M,COLUMN()-8,0),"")</f>
        <v>733</v>
      </c>
      <c r="R1927" s="4" t="str">
        <f ca="1">_xlfn.IFNA(VLOOKUP(INDIRECT("G"&amp;ROW()),minfo!$A:$M,COLUMN()-8,0),"")</f>
        <v>《热辣滚烫》电影热辣陪伴曲</v>
      </c>
      <c r="S1927" s="4" t="str">
        <f ca="1">_xlfn.IFNA(VLOOKUP(INDIRECT("G"&amp;ROW()),minfo!$A:$M,COLUMN()-8,0),"")</f>
        <v>小美满</v>
      </c>
      <c r="T1927" s="4">
        <f ca="1">_xlfn.IFNA(VLOOKUP(INDIRECT("G"&amp;ROW()),minfo!$A:$M,COLUMN()-8,0),"")</f>
        <v>147169382</v>
      </c>
      <c r="U1927" s="4" t="str">
        <f ca="1">_xlfn.IFNA(VLOOKUP(INDIRECT("G"&amp;ROW()),minfo!$A:$M,COLUMN()-8,0),"")</f>
        <v>音乐榜最高NO.2</v>
      </c>
    </row>
    <row r="1928" spans="1:21" ht="15.75" customHeight="1">
      <c r="A1928" s="15">
        <v>1927</v>
      </c>
      <c r="D1928" s="4">
        <v>1</v>
      </c>
      <c r="E1928" s="4" t="s">
        <v>1858</v>
      </c>
      <c r="F1928" s="16">
        <v>45415</v>
      </c>
      <c r="G1928" s="5" t="s">
        <v>1857</v>
      </c>
      <c r="H1928" s="5" t="s">
        <v>5683</v>
      </c>
      <c r="I1928" s="24" t="str">
        <f>HYPERLINK("https://www.bilibili.com/video/BV1GE421L7RX?p=1", "BV1GE421L7RX?p=1")</f>
        <v>BV1GE421L7RX?p=1</v>
      </c>
      <c r="J1928" s="4" t="str">
        <f ca="1">_xlfn.IFNA(VLOOKUP(INDIRECT("G"&amp;ROW()),minfo!$A:$M,COLUMN()-8,0),"")</f>
        <v>茉莉雨</v>
      </c>
      <c r="K1928" s="4" t="str">
        <f ca="1">_xlfn.IFNA(VLOOKUP(INDIRECT("G"&amp;ROW()),minfo!$A:$M,COLUMN()-8,0),"")</f>
        <v>林俊杰</v>
      </c>
      <c r="L1928" s="4">
        <f ca="1">_xlfn.IFNA(VLOOKUP(INDIRECT("G"&amp;ROW()),minfo!$A:$M,COLUMN()-8,0),"")</f>
        <v>0</v>
      </c>
      <c r="M1928" s="4">
        <f ca="1">_xlfn.IFNA(VLOOKUP(INDIRECT("G"&amp;ROW()),minfo!$A:$M,COLUMN()-8,0),"")</f>
        <v>0</v>
      </c>
      <c r="N1928" s="4">
        <f ca="1">_xlfn.IFNA(VLOOKUP(INDIRECT("G"&amp;ROW()),minfo!$A:$M,COLUMN()-8,0),"")</f>
        <v>0</v>
      </c>
      <c r="O1928" s="4" t="str">
        <f ca="1">_xlfn.IFNA(VLOOKUP(INDIRECT("G"&amp;ROW()),minfo!$A:$M,COLUMN()-8,0),"")</f>
        <v>https://i0.hdslb.com/bfs/station_src/music_metadata/c0c395d0757c371b76c37bb98d3c24e7.jpg</v>
      </c>
      <c r="P1928" s="4" t="str">
        <f ca="1">_xlfn.IFNA(VLOOKUP(INDIRECT("G"&amp;ROW()),minfo!$A:$M,COLUMN()-8,0),"")</f>
        <v>https://i0.hdslb.com/bfs/station_src/music_metadata/d45f6c1adb54696b8ea71a2b8e4f0c55.txt</v>
      </c>
      <c r="Q1928" s="4">
        <f ca="1">_xlfn.IFNA(VLOOKUP(INDIRECT("G"&amp;ROW()),minfo!$A:$M,COLUMN()-8,0),"")</f>
        <v>114</v>
      </c>
      <c r="R1928" s="4">
        <f ca="1">_xlfn.IFNA(VLOOKUP(INDIRECT("G"&amp;ROW()),minfo!$A:$M,COLUMN()-8,0),"")</f>
        <v>0</v>
      </c>
      <c r="S1928" s="4" t="str">
        <f ca="1">_xlfn.IFNA(VLOOKUP(INDIRECT("G"&amp;ROW()),minfo!$A:$M,COLUMN()-8,0),"")</f>
        <v>新地球</v>
      </c>
      <c r="T1928" s="4">
        <f ca="1">_xlfn.IFNA(VLOOKUP(INDIRECT("G"&amp;ROW()),minfo!$A:$M,COLUMN()-8,0),"")</f>
        <v>23763965</v>
      </c>
      <c r="U1928" s="4">
        <f ca="1">_xlfn.IFNA(VLOOKUP(INDIRECT("G"&amp;ROW()),minfo!$A:$M,COLUMN()-8,0),"")</f>
        <v>0</v>
      </c>
    </row>
    <row r="1929" spans="1:21" ht="15.75" customHeight="1">
      <c r="A1929" s="15">
        <v>1928</v>
      </c>
      <c r="D1929" s="4">
        <v>1</v>
      </c>
      <c r="E1929" s="4" t="s">
        <v>319</v>
      </c>
      <c r="F1929" s="16">
        <v>45415</v>
      </c>
      <c r="G1929" s="5" t="s">
        <v>318</v>
      </c>
      <c r="H1929" s="5" t="s">
        <v>5684</v>
      </c>
      <c r="I1929" s="24" t="str">
        <f>HYPERLINK("https://www.bilibili.com/video/BV1Qr421E7y5?p=1", "BV1Qr421E7y5?p=1")</f>
        <v>BV1Qr421E7y5?p=1</v>
      </c>
      <c r="J1929" s="4" t="str">
        <f ca="1">_xlfn.IFNA(VLOOKUP(INDIRECT("G"&amp;ROW()),minfo!$A:$M,COLUMN()-8,0),"")</f>
        <v>晴天</v>
      </c>
      <c r="K1929" s="4" t="str">
        <f ca="1">_xlfn.IFNA(VLOOKUP(INDIRECT("G"&amp;ROW()),minfo!$A:$M,COLUMN()-8,0),"")</f>
        <v>周杰伦</v>
      </c>
      <c r="L1929" s="4">
        <f ca="1">_xlfn.IFNA(VLOOKUP(INDIRECT("G"&amp;ROW()),minfo!$A:$M,COLUMN()-8,0),"")</f>
        <v>0</v>
      </c>
      <c r="M1929" s="4">
        <f ca="1">_xlfn.IFNA(VLOOKUP(INDIRECT("G"&amp;ROW()),minfo!$A:$M,COLUMN()-8,0),"")</f>
        <v>5048</v>
      </c>
      <c r="N1929" s="4">
        <f ca="1">_xlfn.IFNA(VLOOKUP(INDIRECT("G"&amp;ROW()),minfo!$A:$M,COLUMN()-8,0),"")</f>
        <v>135</v>
      </c>
      <c r="O1929" s="4" t="str">
        <f ca="1">_xlfn.IFNA(VLOOKUP(INDIRECT("G"&amp;ROW()),minfo!$A:$M,COLUMN()-8,0),"")</f>
        <v>https://i0.hdslb.com/bfs/station_src/music_metadata/2efa8f0df2aff949dee33b3f46a56312.jpg</v>
      </c>
      <c r="P1929" s="4">
        <f ca="1">_xlfn.IFNA(VLOOKUP(INDIRECT("G"&amp;ROW()),minfo!$A:$M,COLUMN()-8,0),"")</f>
        <v>0</v>
      </c>
      <c r="Q1929" s="4">
        <f ca="1">_xlfn.IFNA(VLOOKUP(INDIRECT("G"&amp;ROW()),minfo!$A:$M,COLUMN()-8,0),"")</f>
        <v>15983</v>
      </c>
      <c r="R1929" s="4">
        <f ca="1">_xlfn.IFNA(VLOOKUP(INDIRECT("G"&amp;ROW()),minfo!$A:$M,COLUMN()-8,0),"")</f>
        <v>0</v>
      </c>
      <c r="S1929" s="4" t="str">
        <f ca="1">_xlfn.IFNA(VLOOKUP(INDIRECT("G"&amp;ROW()),minfo!$A:$M,COLUMN()-8,0),"")</f>
        <v>叶惠美</v>
      </c>
      <c r="T1929" s="4">
        <f ca="1">_xlfn.IFNA(VLOOKUP(INDIRECT("G"&amp;ROW()),minfo!$A:$M,COLUMN()-8,0),"")</f>
        <v>1497162616</v>
      </c>
      <c r="U1929" s="4" t="str">
        <f ca="1">_xlfn.IFNA(VLOOKUP(INDIRECT("G"&amp;ROW()),minfo!$A:$M,COLUMN()-8,0),"")</f>
        <v>音乐榜最高NO.8</v>
      </c>
    </row>
    <row r="1930" spans="1:21" ht="15.75" customHeight="1">
      <c r="A1930" s="15">
        <v>1929</v>
      </c>
      <c r="D1930" s="4">
        <v>1</v>
      </c>
      <c r="E1930" s="4" t="s">
        <v>1305</v>
      </c>
      <c r="F1930" s="16">
        <v>45416</v>
      </c>
      <c r="G1930" s="5" t="s">
        <v>1304</v>
      </c>
      <c r="H1930" s="5" t="s">
        <v>5685</v>
      </c>
      <c r="I1930" s="24" t="str">
        <f>HYPERLINK("https://www.bilibili.com/video/BV1Sf421U79x?p=1", "BV1Sf421U79x?p=1")</f>
        <v>BV1Sf421U79x?p=1</v>
      </c>
      <c r="J1930" s="4" t="str">
        <f ca="1">_xlfn.IFNA(VLOOKUP(INDIRECT("G"&amp;ROW()),minfo!$A:$M,COLUMN()-8,0),"")</f>
        <v>萱草花</v>
      </c>
      <c r="K1930" s="4" t="str">
        <f ca="1">_xlfn.IFNA(VLOOKUP(INDIRECT("G"&amp;ROW()),minfo!$A:$M,COLUMN()-8,0),"")</f>
        <v>张小斐</v>
      </c>
      <c r="L1930" s="4">
        <f ca="1">_xlfn.IFNA(VLOOKUP(INDIRECT("G"&amp;ROW()),minfo!$A:$M,COLUMN()-8,0),"")</f>
        <v>0</v>
      </c>
      <c r="M1930" s="4">
        <f ca="1">_xlfn.IFNA(VLOOKUP(INDIRECT("G"&amp;ROW()),minfo!$A:$M,COLUMN()-8,0),"")</f>
        <v>0</v>
      </c>
      <c r="N1930" s="4">
        <f ca="1">_xlfn.IFNA(VLOOKUP(INDIRECT("G"&amp;ROW()),minfo!$A:$M,COLUMN()-8,0),"")</f>
        <v>0</v>
      </c>
      <c r="O1930" s="4" t="str">
        <f ca="1">_xlfn.IFNA(VLOOKUP(INDIRECT("G"&amp;ROW()),minfo!$A:$M,COLUMN()-8,0),"")</f>
        <v>http://i0.hdslb.com/bfs/station_src/music_metadata/8a229082f89f61dabf4714b7ca60f646.jpg</v>
      </c>
      <c r="P1930" s="4" t="str">
        <f ca="1">_xlfn.IFNA(VLOOKUP(INDIRECT("G"&amp;ROW()),minfo!$A:$M,COLUMN()-8,0),"")</f>
        <v>http://i0.hdslb.com/bfs/station_src/music_metadata/717c439a71569e00fd804d305ca74fdd</v>
      </c>
      <c r="Q1930" s="4">
        <f ca="1">_xlfn.IFNA(VLOOKUP(INDIRECT("G"&amp;ROW()),minfo!$A:$M,COLUMN()-8,0),"")</f>
        <v>1718</v>
      </c>
      <c r="R1930" s="4" t="str">
        <f ca="1">_xlfn.IFNA(VLOOKUP(INDIRECT("G"&amp;ROW()),minfo!$A:$M,COLUMN()-8,0),"")</f>
        <v>《你好，李焕英》电影主题曲</v>
      </c>
      <c r="S1930" s="4" t="str">
        <f ca="1">_xlfn.IFNA(VLOOKUP(INDIRECT("G"&amp;ROW()),minfo!$A:$M,COLUMN()-8,0),"")</f>
        <v>你好，李焕英 电影原声大碟</v>
      </c>
      <c r="T1930" s="4">
        <f ca="1">_xlfn.IFNA(VLOOKUP(INDIRECT("G"&amp;ROW()),minfo!$A:$M,COLUMN()-8,0),"")</f>
        <v>544027498</v>
      </c>
      <c r="U1930" s="4">
        <f ca="1">_xlfn.IFNA(VLOOKUP(INDIRECT("G"&amp;ROW()),minfo!$A:$M,COLUMN()-8,0),"")</f>
        <v>0</v>
      </c>
    </row>
    <row r="1931" spans="1:21" ht="15.75" customHeight="1">
      <c r="A1931" s="15">
        <v>1930</v>
      </c>
      <c r="D1931" s="4">
        <v>1</v>
      </c>
      <c r="E1931" s="4" t="s">
        <v>1159</v>
      </c>
      <c r="F1931" s="16">
        <v>45416</v>
      </c>
      <c r="G1931" s="5" t="s">
        <v>1158</v>
      </c>
      <c r="H1931" s="5" t="s">
        <v>5686</v>
      </c>
      <c r="I1931" s="24" t="str">
        <f>HYPERLINK("https://www.bilibili.com/video/BV1LE421V7Du?p=1", "BV1LE421V7Du?p=1")</f>
        <v>BV1LE421V7Du?p=1</v>
      </c>
      <c r="J1931" s="4" t="str">
        <f ca="1">_xlfn.IFNA(VLOOKUP(INDIRECT("G"&amp;ROW()),minfo!$A:$M,COLUMN()-8,0),"")</f>
        <v>霞光</v>
      </c>
      <c r="K1931" s="4" t="str">
        <f ca="1">_xlfn.IFNA(VLOOKUP(INDIRECT("G"&amp;ROW()),minfo!$A:$M,COLUMN()-8,0),"")</f>
        <v>曲锦楠</v>
      </c>
      <c r="L1931" s="4">
        <f ca="1">_xlfn.IFNA(VLOOKUP(INDIRECT("G"&amp;ROW()),minfo!$A:$M,COLUMN()-8,0),"")</f>
        <v>0</v>
      </c>
      <c r="M1931" s="4">
        <f ca="1">_xlfn.IFNA(VLOOKUP(INDIRECT("G"&amp;ROW()),minfo!$A:$M,COLUMN()-8,0),"")</f>
        <v>0</v>
      </c>
      <c r="N1931" s="4">
        <f ca="1">_xlfn.IFNA(VLOOKUP(INDIRECT("G"&amp;ROW()),minfo!$A:$M,COLUMN()-8,0),"")</f>
        <v>0</v>
      </c>
      <c r="O1931" s="4" t="str">
        <f ca="1">_xlfn.IFNA(VLOOKUP(INDIRECT("G"&amp;ROW()),minfo!$A:$M,COLUMN()-8,0),"")</f>
        <v>https://i0.hdslb.com/bfs/station_src/music_metadata/a077572f8ee7b3c83f38ffcf4a94acb4.jpg</v>
      </c>
      <c r="P1931" s="4" t="str">
        <f ca="1">_xlfn.IFNA(VLOOKUP(INDIRECT("G"&amp;ROW()),minfo!$A:$M,COLUMN()-8,0),"")</f>
        <v>http://i0.hdslb.com/bfs/station_src/music_metadata/6b6d83bcd7a80305c8bae4ed3500a2af</v>
      </c>
      <c r="Q1931" s="4">
        <f ca="1">_xlfn.IFNA(VLOOKUP(INDIRECT("G"&amp;ROW()),minfo!$A:$M,COLUMN()-8,0),"")</f>
        <v>642</v>
      </c>
      <c r="R1931" s="4" t="str">
        <f ca="1">_xlfn.IFNA(VLOOKUP(INDIRECT("G"&amp;ROW()),minfo!$A:$M,COLUMN()-8,0),"")</f>
        <v>动画片《精灵世纪》片尾曲</v>
      </c>
      <c r="S1931" s="4" t="str">
        <f ca="1">_xlfn.IFNA(VLOOKUP(INDIRECT("G"&amp;ROW()),minfo!$A:$M,COLUMN()-8,0),"")</f>
        <v>霞光</v>
      </c>
      <c r="T1931" s="4">
        <f ca="1">_xlfn.IFNA(VLOOKUP(INDIRECT("G"&amp;ROW()),minfo!$A:$M,COLUMN()-8,0),"")</f>
        <v>87672374</v>
      </c>
      <c r="U1931" s="4">
        <f ca="1">_xlfn.IFNA(VLOOKUP(INDIRECT("G"&amp;ROW()),minfo!$A:$M,COLUMN()-8,0),"")</f>
        <v>0</v>
      </c>
    </row>
    <row r="1932" spans="1:21" ht="15.75" customHeight="1">
      <c r="A1932" s="15">
        <v>1931</v>
      </c>
      <c r="D1932" s="4">
        <v>1</v>
      </c>
      <c r="E1932" s="4" t="s">
        <v>1949</v>
      </c>
      <c r="F1932" s="16">
        <v>45416</v>
      </c>
      <c r="G1932" s="5" t="s">
        <v>2771</v>
      </c>
      <c r="H1932" s="5" t="s">
        <v>5687</v>
      </c>
      <c r="I1932" s="24" t="str">
        <f>HYPERLINK("https://www.bilibili.com/video/BV1Zm411C7WL?p=1", "BV1Zm411C7WL?p=1")</f>
        <v>BV1Zm411C7WL?p=1</v>
      </c>
      <c r="J1932" s="4" t="str">
        <f ca="1">_xlfn.IFNA(VLOOKUP(INDIRECT("G"&amp;ROW()),minfo!$A:$M,COLUMN()-8,0),"")</f>
        <v>蝴蝶泉边</v>
      </c>
      <c r="K1932" s="4" t="str">
        <f ca="1">_xlfn.IFNA(VLOOKUP(INDIRECT("G"&amp;ROW()),minfo!$A:$M,COLUMN()-8,0),"")</f>
        <v>黄雅莉</v>
      </c>
      <c r="L1932" s="4">
        <f ca="1">_xlfn.IFNA(VLOOKUP(INDIRECT("G"&amp;ROW()),minfo!$A:$M,COLUMN()-8,0),"")</f>
        <v>0</v>
      </c>
      <c r="M1932" s="4">
        <f ca="1">_xlfn.IFNA(VLOOKUP(INDIRECT("G"&amp;ROW()),minfo!$A:$M,COLUMN()-8,0),"")</f>
        <v>0</v>
      </c>
      <c r="N1932" s="4">
        <f ca="1">_xlfn.IFNA(VLOOKUP(INDIRECT("G"&amp;ROW()),minfo!$A:$M,COLUMN()-8,0),"")</f>
        <v>0</v>
      </c>
      <c r="O1932" s="4" t="str">
        <f ca="1">_xlfn.IFNA(VLOOKUP(INDIRECT("G"&amp;ROW()),minfo!$A:$M,COLUMN()-8,0),"")</f>
        <v>https://i0.hdslb.com/bfs/station_src/music_metadata/932e8dfc6da200a0e8bac6f301c78184.jpg</v>
      </c>
      <c r="P1932" s="4" t="str">
        <f ca="1">_xlfn.IFNA(VLOOKUP(INDIRECT("G"&amp;ROW()),minfo!$A:$M,COLUMN()-8,0),"")</f>
        <v>http://i0.hdslb.com/bfs/station_src/music_metadata/e51e5009d5ff192011aa88f30739d415</v>
      </c>
      <c r="Q1932" s="4">
        <f ca="1">_xlfn.IFNA(VLOOKUP(INDIRECT("G"&amp;ROW()),minfo!$A:$M,COLUMN()-8,0),"")</f>
        <v>273</v>
      </c>
      <c r="R1932" s="4" t="str">
        <f ca="1">_xlfn.IFNA(VLOOKUP(INDIRECT("G"&amp;ROW()),minfo!$A:$M,COLUMN()-8,0),"")</f>
        <v>live</v>
      </c>
      <c r="S1932" s="4" t="str">
        <f ca="1">_xlfn.IFNA(VLOOKUP(INDIRECT("G"&amp;ROW()),minfo!$A:$M,COLUMN()-8,0),"")</f>
        <v>崽崽</v>
      </c>
      <c r="T1932" s="4">
        <f ca="1">_xlfn.IFNA(VLOOKUP(INDIRECT("G"&amp;ROW()),minfo!$A:$M,COLUMN()-8,0),"")</f>
        <v>46216626</v>
      </c>
      <c r="U1932" s="4">
        <f ca="1">_xlfn.IFNA(VLOOKUP(INDIRECT("G"&amp;ROW()),minfo!$A:$M,COLUMN()-8,0),"")</f>
        <v>0</v>
      </c>
    </row>
    <row r="1933" spans="1:21" ht="15.75" customHeight="1">
      <c r="A1933" s="15">
        <v>1932</v>
      </c>
      <c r="D1933" s="4">
        <v>1</v>
      </c>
      <c r="E1933" s="4" t="s">
        <v>136</v>
      </c>
      <c r="F1933" s="16">
        <v>45416</v>
      </c>
      <c r="G1933" s="5" t="s">
        <v>136</v>
      </c>
      <c r="H1933" s="5" t="s">
        <v>5688</v>
      </c>
      <c r="I1933" s="24" t="str">
        <f>HYPERLINK("https://www.bilibili.com/video/BV1GC411n7W1?p=1", "BV1GC411n7W1?p=1")</f>
        <v>BV1GC411n7W1?p=1</v>
      </c>
      <c r="J1933" s="4" t="str">
        <f ca="1">_xlfn.IFNA(VLOOKUP(INDIRECT("G"&amp;ROW()),minfo!$A:$M,COLUMN()-8,0),"")</f>
        <v>续写</v>
      </c>
      <c r="K1933" s="4" t="str">
        <f ca="1">_xlfn.IFNA(VLOOKUP(INDIRECT("G"&amp;ROW()),minfo!$A:$M,COLUMN()-8,0),"")</f>
        <v>单依纯</v>
      </c>
      <c r="L1933" s="4">
        <f ca="1">_xlfn.IFNA(VLOOKUP(INDIRECT("G"&amp;ROW()),minfo!$A:$M,COLUMN()-8,0),"")</f>
        <v>0</v>
      </c>
      <c r="M1933" s="4">
        <f ca="1">_xlfn.IFNA(VLOOKUP(INDIRECT("G"&amp;ROW()),minfo!$A:$M,COLUMN()-8,0),"")</f>
        <v>0</v>
      </c>
      <c r="N1933" s="4">
        <f ca="1">_xlfn.IFNA(VLOOKUP(INDIRECT("G"&amp;ROW()),minfo!$A:$M,COLUMN()-8,0),"")</f>
        <v>0</v>
      </c>
      <c r="O1933" s="4">
        <f ca="1">_xlfn.IFNA(VLOOKUP(INDIRECT("G"&amp;ROW()),minfo!$A:$M,COLUMN()-8,0),"")</f>
        <v>0</v>
      </c>
      <c r="P1933" s="4">
        <f ca="1">_xlfn.IFNA(VLOOKUP(INDIRECT("G"&amp;ROW()),minfo!$A:$M,COLUMN()-8,0),"")</f>
        <v>0</v>
      </c>
      <c r="Q1933" s="4">
        <f ca="1">_xlfn.IFNA(VLOOKUP(INDIRECT("G"&amp;ROW()),minfo!$A:$M,COLUMN()-8,0),"")</f>
        <v>0</v>
      </c>
      <c r="R1933" s="4">
        <f ca="1">_xlfn.IFNA(VLOOKUP(INDIRECT("G"&amp;ROW()),minfo!$A:$M,COLUMN()-8,0),"")</f>
        <v>0</v>
      </c>
      <c r="S1933" s="4">
        <f ca="1">_xlfn.IFNA(VLOOKUP(INDIRECT("G"&amp;ROW()),minfo!$A:$M,COLUMN()-8,0),"")</f>
        <v>0</v>
      </c>
      <c r="T1933" s="4">
        <f ca="1">_xlfn.IFNA(VLOOKUP(INDIRECT("G"&amp;ROW()),minfo!$A:$M,COLUMN()-8,0),"")</f>
        <v>0</v>
      </c>
      <c r="U1933" s="4">
        <f ca="1">_xlfn.IFNA(VLOOKUP(INDIRECT("G"&amp;ROW()),minfo!$A:$M,COLUMN()-8,0),"")</f>
        <v>0</v>
      </c>
    </row>
    <row r="1934" spans="1:21" ht="15.75" customHeight="1">
      <c r="A1934" s="15">
        <v>1933</v>
      </c>
      <c r="D1934" s="4">
        <v>1</v>
      </c>
      <c r="E1934" s="4" t="s">
        <v>492</v>
      </c>
      <c r="F1934" s="16">
        <v>45416</v>
      </c>
      <c r="G1934" s="5" t="s">
        <v>491</v>
      </c>
      <c r="H1934" s="5" t="s">
        <v>5689</v>
      </c>
      <c r="I1934" s="24" t="str">
        <f>HYPERLINK("https://www.bilibili.com/video/BV1KE421L7hV?p=1", "BV1KE421L7hV?p=1")</f>
        <v>BV1KE421L7hV?p=1</v>
      </c>
      <c r="J1934" s="4" t="str">
        <f ca="1">_xlfn.IFNA(VLOOKUP(INDIRECT("G"&amp;ROW()),minfo!$A:$M,COLUMN()-8,0),"")</f>
        <v>像风一样</v>
      </c>
      <c r="K1934" s="4" t="str">
        <f ca="1">_xlfn.IFNA(VLOOKUP(INDIRECT("G"&amp;ROW()),minfo!$A:$M,COLUMN()-8,0),"")</f>
        <v>薛之谦</v>
      </c>
      <c r="L1934" s="4">
        <f ca="1">_xlfn.IFNA(VLOOKUP(INDIRECT("G"&amp;ROW()),minfo!$A:$M,COLUMN()-8,0),"")</f>
        <v>0</v>
      </c>
      <c r="M1934" s="4">
        <f ca="1">_xlfn.IFNA(VLOOKUP(INDIRECT("G"&amp;ROW()),minfo!$A:$M,COLUMN()-8,0),"")</f>
        <v>658</v>
      </c>
      <c r="N1934" s="4">
        <f ca="1">_xlfn.IFNA(VLOOKUP(INDIRECT("G"&amp;ROW()),minfo!$A:$M,COLUMN()-8,0),"")</f>
        <v>85</v>
      </c>
      <c r="O1934" s="4" t="str">
        <f ca="1">_xlfn.IFNA(VLOOKUP(INDIRECT("G"&amp;ROW()),minfo!$A:$M,COLUMN()-8,0),"")</f>
        <v>http://i0.hdslb.com/bfs/station_src/music_metadata/a3a8c61a923efdb7e46195d46e94c363.jpg</v>
      </c>
      <c r="P1934" s="4">
        <f ca="1">_xlfn.IFNA(VLOOKUP(INDIRECT("G"&amp;ROW()),minfo!$A:$M,COLUMN()-8,0),"")</f>
        <v>0</v>
      </c>
      <c r="Q1934" s="4">
        <f ca="1">_xlfn.IFNA(VLOOKUP(INDIRECT("G"&amp;ROW()),minfo!$A:$M,COLUMN()-8,0),"")</f>
        <v>125</v>
      </c>
      <c r="R1934" s="4" t="str">
        <f ca="1">_xlfn.IFNA(VLOOKUP(INDIRECT("G"&amp;ROW()),minfo!$A:$M,COLUMN()-8,0),"")</f>
        <v>像风一样</v>
      </c>
      <c r="S1934" s="4" t="str">
        <f ca="1">_xlfn.IFNA(VLOOKUP(INDIRECT("G"&amp;ROW()),minfo!$A:$M,COLUMN()-8,0),"")</f>
        <v>渡 The Crossing</v>
      </c>
      <c r="T1934" s="4">
        <f ca="1">_xlfn.IFNA(VLOOKUP(INDIRECT("G"&amp;ROW()),minfo!$A:$M,COLUMN()-8,0),"")</f>
        <v>87463982</v>
      </c>
      <c r="U1934" s="4">
        <f ca="1">_xlfn.IFNA(VLOOKUP(INDIRECT("G"&amp;ROW()),minfo!$A:$M,COLUMN()-8,0),"")</f>
        <v>0</v>
      </c>
    </row>
    <row r="1935" spans="1:21" ht="15.75" customHeight="1">
      <c r="A1935" s="15">
        <v>1934</v>
      </c>
      <c r="D1935" s="4">
        <v>1</v>
      </c>
      <c r="E1935" s="4" t="s">
        <v>3222</v>
      </c>
      <c r="F1935" s="16">
        <v>45419</v>
      </c>
      <c r="G1935" s="5" t="s">
        <v>3221</v>
      </c>
      <c r="H1935" s="5" t="s">
        <v>5690</v>
      </c>
      <c r="I1935" s="24" t="str">
        <f>HYPERLINK("https://www.bilibili.com/video/BV1Lr421g7b8?p=1", "BV1Lr421g7b8?p=1")</f>
        <v>BV1Lr421g7b8?p=1</v>
      </c>
      <c r="J1935" s="4" t="str">
        <f ca="1">_xlfn.IFNA(VLOOKUP(INDIRECT("G"&amp;ROW()),minfo!$A:$M,COLUMN()-8,0),"")</f>
        <v>借口</v>
      </c>
      <c r="K1935" s="4" t="str">
        <f ca="1">_xlfn.IFNA(VLOOKUP(INDIRECT("G"&amp;ROW()),minfo!$A:$M,COLUMN()-8,0),"")</f>
        <v>周杰伦</v>
      </c>
      <c r="L1935" s="4">
        <f ca="1">_xlfn.IFNA(VLOOKUP(INDIRECT("G"&amp;ROW()),minfo!$A:$M,COLUMN()-8,0),"")</f>
        <v>0</v>
      </c>
      <c r="M1935" s="4">
        <f ca="1">_xlfn.IFNA(VLOOKUP(INDIRECT("G"&amp;ROW()),minfo!$A:$M,COLUMN()-8,0),"")</f>
        <v>0</v>
      </c>
      <c r="N1935" s="4">
        <f ca="1">_xlfn.IFNA(VLOOKUP(INDIRECT("G"&amp;ROW()),minfo!$A:$M,COLUMN()-8,0),"")</f>
        <v>0</v>
      </c>
      <c r="O1935" s="4" t="str">
        <f ca="1">_xlfn.IFNA(VLOOKUP(INDIRECT("G"&amp;ROW()),minfo!$A:$M,COLUMN()-8,0),"")</f>
        <v>https://i0.hdslb.com/bfs/station_src/music_metadata/52ac34423a448bcd0bb77827494a6874.jpg</v>
      </c>
      <c r="P1935" s="4" t="str">
        <f ca="1">_xlfn.IFNA(VLOOKUP(INDIRECT("G"&amp;ROW()),minfo!$A:$M,COLUMN()-8,0),"")</f>
        <v>copyright-crawler/music/task-lyric/650e62eafad724c0d011364f.txt</v>
      </c>
      <c r="Q1935" s="4">
        <f ca="1">_xlfn.IFNA(VLOOKUP(INDIRECT("G"&amp;ROW()),minfo!$A:$M,COLUMN()-8,0),"")</f>
        <v>1401</v>
      </c>
      <c r="R1935" s="4" t="str">
        <f ca="1">_xlfn.IFNA(VLOOKUP(INDIRECT("G"&amp;ROW()),minfo!$A:$M,COLUMN()-8,0),"")</f>
        <v>借口</v>
      </c>
      <c r="S1935" s="4" t="str">
        <f ca="1">_xlfn.IFNA(VLOOKUP(INDIRECT("G"&amp;ROW()),minfo!$A:$M,COLUMN()-8,0),"")</f>
        <v>七里香</v>
      </c>
      <c r="T1935" s="4">
        <f ca="1">_xlfn.IFNA(VLOOKUP(INDIRECT("G"&amp;ROW()),minfo!$A:$M,COLUMN()-8,0),"")</f>
        <v>299369424</v>
      </c>
      <c r="U1935" s="4">
        <f ca="1">_xlfn.IFNA(VLOOKUP(INDIRECT("G"&amp;ROW()),minfo!$A:$M,COLUMN()-8,0),"")</f>
        <v>0</v>
      </c>
    </row>
    <row r="1936" spans="1:21" ht="15.75" customHeight="1">
      <c r="A1936" s="15">
        <v>1935</v>
      </c>
      <c r="D1936" s="4">
        <v>1</v>
      </c>
      <c r="E1936" s="4" t="s">
        <v>904</v>
      </c>
      <c r="F1936" s="16">
        <v>45419</v>
      </c>
      <c r="G1936" s="5" t="s">
        <v>903</v>
      </c>
      <c r="H1936" s="5" t="s">
        <v>5691</v>
      </c>
      <c r="I1936" s="24" t="str">
        <f>HYPERLINK("https://www.bilibili.com/video/BV1xD421K7BK?p=1", "BV1xD421K7BK?p=1")</f>
        <v>BV1xD421K7BK?p=1</v>
      </c>
      <c r="J1936" s="4" t="str">
        <f ca="1">_xlfn.IFNA(VLOOKUP(INDIRECT("G"&amp;ROW()),minfo!$A:$M,COLUMN()-8,0),"")</f>
        <v>轨迹</v>
      </c>
      <c r="K1936" s="4" t="str">
        <f ca="1">_xlfn.IFNA(VLOOKUP(INDIRECT("G"&amp;ROW()),minfo!$A:$M,COLUMN()-8,0),"")</f>
        <v>周杰伦</v>
      </c>
      <c r="L1936" s="4">
        <f ca="1">_xlfn.IFNA(VLOOKUP(INDIRECT("G"&amp;ROW()),minfo!$A:$M,COLUMN()-8,0),"")</f>
        <v>0</v>
      </c>
      <c r="M1936" s="4">
        <f ca="1">_xlfn.IFNA(VLOOKUP(INDIRECT("G"&amp;ROW()),minfo!$A:$M,COLUMN()-8,0),"")</f>
        <v>0</v>
      </c>
      <c r="N1936" s="4">
        <f ca="1">_xlfn.IFNA(VLOOKUP(INDIRECT("G"&amp;ROW()),minfo!$A:$M,COLUMN()-8,0),"")</f>
        <v>0</v>
      </c>
      <c r="O1936" s="4" t="str">
        <f ca="1">_xlfn.IFNA(VLOOKUP(INDIRECT("G"&amp;ROW()),minfo!$A:$M,COLUMN()-8,0),"")</f>
        <v>https://i0.hdslb.com/bfs/station_src/music_metadata/439418765b962c30a2db33196128f32b.jpg</v>
      </c>
      <c r="P1936" s="4" t="str">
        <f ca="1">_xlfn.IFNA(VLOOKUP(INDIRECT("G"&amp;ROW()),minfo!$A:$M,COLUMN()-8,0),"")</f>
        <v>copyright-crawler/music/task-lyric/6267f46a504b4c0665fd7bfd.txt</v>
      </c>
      <c r="Q1936" s="4">
        <f ca="1">_xlfn.IFNA(VLOOKUP(INDIRECT("G"&amp;ROW()),minfo!$A:$M,COLUMN()-8,0),"")</f>
        <v>2850</v>
      </c>
      <c r="R1936" s="4" t="str">
        <f ca="1">_xlfn.IFNA(VLOOKUP(INDIRECT("G"&amp;ROW()),minfo!$A:$M,COLUMN()-8,0),"")</f>
        <v>轨迹</v>
      </c>
      <c r="S1936" s="4" t="str">
        <f ca="1">_xlfn.IFNA(VLOOKUP(INDIRECT("G"&amp;ROW()),minfo!$A:$M,COLUMN()-8,0),"")</f>
        <v>寻找周杰伦</v>
      </c>
      <c r="T1936" s="4">
        <f ca="1">_xlfn.IFNA(VLOOKUP(INDIRECT("G"&amp;ROW()),minfo!$A:$M,COLUMN()-8,0),"")</f>
        <v>416774055</v>
      </c>
      <c r="U1936" s="4">
        <f ca="1">_xlfn.IFNA(VLOOKUP(INDIRECT("G"&amp;ROW()),minfo!$A:$M,COLUMN()-8,0),"")</f>
        <v>0</v>
      </c>
    </row>
    <row r="1937" spans="1:21" ht="15.75" customHeight="1">
      <c r="A1937" s="15">
        <v>1936</v>
      </c>
      <c r="D1937" s="4">
        <v>1</v>
      </c>
      <c r="E1937" s="4" t="s">
        <v>1340</v>
      </c>
      <c r="F1937" s="16">
        <v>45419</v>
      </c>
      <c r="G1937" s="5" t="s">
        <v>1339</v>
      </c>
      <c r="H1937" s="5" t="s">
        <v>5692</v>
      </c>
      <c r="I1937" s="24" t="str">
        <f>HYPERLINK("https://www.bilibili.com/video/BV1jf421U7V7?p=1", "BV1jf421U7V7?p=1")</f>
        <v>BV1jf421U7V7?p=1</v>
      </c>
      <c r="J1937" s="4" t="str">
        <f ca="1">_xlfn.IFNA(VLOOKUP(INDIRECT("G"&amp;ROW()),minfo!$A:$M,COLUMN()-8,0),"")</f>
        <v>天天</v>
      </c>
      <c r="K1937" s="4" t="str">
        <f ca="1">_xlfn.IFNA(VLOOKUP(INDIRECT("G"&amp;ROW()),minfo!$A:$M,COLUMN()-8,0),"")</f>
        <v>陶喆</v>
      </c>
      <c r="L1937" s="4">
        <f ca="1">_xlfn.IFNA(VLOOKUP(INDIRECT("G"&amp;ROW()),minfo!$A:$M,COLUMN()-8,0),"")</f>
        <v>0</v>
      </c>
      <c r="M1937" s="4">
        <f ca="1">_xlfn.IFNA(VLOOKUP(INDIRECT("G"&amp;ROW()),minfo!$A:$M,COLUMN()-8,0),"")</f>
        <v>0</v>
      </c>
      <c r="N1937" s="4">
        <f ca="1">_xlfn.IFNA(VLOOKUP(INDIRECT("G"&amp;ROW()),minfo!$A:$M,COLUMN()-8,0),"")</f>
        <v>0</v>
      </c>
      <c r="O1937" s="4" t="str">
        <f ca="1">_xlfn.IFNA(VLOOKUP(INDIRECT("G"&amp;ROW()),minfo!$A:$M,COLUMN()-8,0),"")</f>
        <v>http://i0.hdslb.com/bfs/station_src/music_metadata/ff6417302beb4146f79dbd4e37c6d317.jpg</v>
      </c>
      <c r="P1937" s="4" t="str">
        <f ca="1">_xlfn.IFNA(VLOOKUP(INDIRECT("G"&amp;ROW()),minfo!$A:$M,COLUMN()-8,0),"")</f>
        <v>http://i0.hdslb.com/bfs/station_src/music_metadata/c93605bfcadefe74f0d5b1a5b6a8db05</v>
      </c>
      <c r="Q1937" s="4">
        <f ca="1">_xlfn.IFNA(VLOOKUP(INDIRECT("G"&amp;ROW()),minfo!$A:$M,COLUMN()-8,0),"")</f>
        <v>535</v>
      </c>
      <c r="R1937" s="4">
        <f ca="1">_xlfn.IFNA(VLOOKUP(INDIRECT("G"&amp;ROW()),minfo!$A:$M,COLUMN()-8,0),"")</f>
        <v>0</v>
      </c>
      <c r="S1937" s="4" t="str">
        <f ca="1">_xlfn.IFNA(VLOOKUP(INDIRECT("G"&amp;ROW()),minfo!$A:$M,COLUMN()-8,0),"")</f>
        <v>I'm OK</v>
      </c>
      <c r="T1937" s="4">
        <f ca="1">_xlfn.IFNA(VLOOKUP(INDIRECT("G"&amp;ROW()),minfo!$A:$M,COLUMN()-8,0),"")</f>
        <v>82012532</v>
      </c>
      <c r="U1937" s="4">
        <f ca="1">_xlfn.IFNA(VLOOKUP(INDIRECT("G"&amp;ROW()),minfo!$A:$M,COLUMN()-8,0),"")</f>
        <v>0</v>
      </c>
    </row>
    <row r="1938" spans="1:21" ht="15.75" customHeight="1">
      <c r="A1938" s="15">
        <v>1937</v>
      </c>
      <c r="D1938" s="4">
        <v>1</v>
      </c>
      <c r="E1938" s="4" t="s">
        <v>3120</v>
      </c>
      <c r="F1938" s="16">
        <v>45419</v>
      </c>
      <c r="G1938" s="5" t="s">
        <v>3225</v>
      </c>
      <c r="H1938" s="5" t="s">
        <v>5693</v>
      </c>
      <c r="I1938" s="24" t="str">
        <f>HYPERLINK("https://www.bilibili.com/video/BV1GM4m1d7sg?p=1", "BV1GM4m1d7sg?p=1")</f>
        <v>BV1GM4m1d7sg?p=1</v>
      </c>
      <c r="J1938" s="4" t="str">
        <f ca="1">_xlfn.IFNA(VLOOKUP(INDIRECT("G"&amp;ROW()),minfo!$A:$M,COLUMN()-8,0),"")</f>
        <v>不爱</v>
      </c>
      <c r="K1938" s="4" t="str">
        <f ca="1">_xlfn.IFNA(VLOOKUP(INDIRECT("G"&amp;ROW()),minfo!$A:$M,COLUMN()-8,0),"")</f>
        <v>陶喆</v>
      </c>
      <c r="L1938" s="4">
        <f ca="1">_xlfn.IFNA(VLOOKUP(INDIRECT("G"&amp;ROW()),minfo!$A:$M,COLUMN()-8,0),"")</f>
        <v>0</v>
      </c>
      <c r="M1938" s="4">
        <f ca="1">_xlfn.IFNA(VLOOKUP(INDIRECT("G"&amp;ROW()),minfo!$A:$M,COLUMN()-8,0),"")</f>
        <v>0</v>
      </c>
      <c r="N1938" s="4">
        <f ca="1">_xlfn.IFNA(VLOOKUP(INDIRECT("G"&amp;ROW()),minfo!$A:$M,COLUMN()-8,0),"")</f>
        <v>0</v>
      </c>
      <c r="O1938" s="4" t="str">
        <f ca="1">_xlfn.IFNA(VLOOKUP(INDIRECT("G"&amp;ROW()),minfo!$A:$M,COLUMN()-8,0),"")</f>
        <v>https://i0.hdslb.com/bfs/station_src/music_metadata/1834f1419912a823d698b7c012f7da8d.jpg</v>
      </c>
      <c r="P1938" s="4" t="str">
        <f ca="1">_xlfn.IFNA(VLOOKUP(INDIRECT("G"&amp;ROW()),minfo!$A:$M,COLUMN()-8,0),"")</f>
        <v>https://i0.hdslb.com/bfs/station_src/music_metadata/9625c13f980a53a15614ffacc1dce51c.txt</v>
      </c>
      <c r="Q1938" s="4">
        <f ca="1">_xlfn.IFNA(VLOOKUP(INDIRECT("G"&amp;ROW()),minfo!$A:$M,COLUMN()-8,0),"")</f>
        <v>17</v>
      </c>
      <c r="R1938" s="4">
        <f ca="1">_xlfn.IFNA(VLOOKUP(INDIRECT("G"&amp;ROW()),minfo!$A:$M,COLUMN()-8,0),"")</f>
        <v>0</v>
      </c>
      <c r="S1938" s="4" t="str">
        <f ca="1">_xlfn.IFNA(VLOOKUP(INDIRECT("G"&amp;ROW()),minfo!$A:$M,COLUMN()-8,0),"")</f>
        <v>不爱</v>
      </c>
      <c r="T1938" s="4">
        <f ca="1">_xlfn.IFNA(VLOOKUP(INDIRECT("G"&amp;ROW()),minfo!$A:$M,COLUMN()-8,0),"")</f>
        <v>9803663</v>
      </c>
      <c r="U1938" s="4">
        <f ca="1">_xlfn.IFNA(VLOOKUP(INDIRECT("G"&amp;ROW()),minfo!$A:$M,COLUMN()-8,0),"")</f>
        <v>0</v>
      </c>
    </row>
    <row r="1939" spans="1:21" ht="15.75" customHeight="1">
      <c r="A1939" s="15">
        <v>1938</v>
      </c>
      <c r="D1939" s="4">
        <v>1</v>
      </c>
      <c r="E1939" s="4" t="s">
        <v>1143</v>
      </c>
      <c r="F1939" s="16">
        <v>45419</v>
      </c>
      <c r="G1939" s="5" t="s">
        <v>1142</v>
      </c>
      <c r="H1939" s="5" t="s">
        <v>5694</v>
      </c>
      <c r="I1939" s="24" t="str">
        <f>HYPERLINK("https://www.bilibili.com/video/BV1eD421K7BS?p=1", "BV1eD421K7BS?p=1")</f>
        <v>BV1eD421K7BS?p=1</v>
      </c>
      <c r="J1939" s="4" t="str">
        <f ca="1">_xlfn.IFNA(VLOOKUP(INDIRECT("G"&amp;ROW()),minfo!$A:$M,COLUMN()-8,0),"")</f>
        <v>稻香</v>
      </c>
      <c r="K1939" s="4" t="str">
        <f ca="1">_xlfn.IFNA(VLOOKUP(INDIRECT("G"&amp;ROW()),minfo!$A:$M,COLUMN()-8,0),"")</f>
        <v>周杰伦</v>
      </c>
      <c r="L1939" s="4">
        <f ca="1">_xlfn.IFNA(VLOOKUP(INDIRECT("G"&amp;ROW()),minfo!$A:$M,COLUMN()-8,0),"")</f>
        <v>0</v>
      </c>
      <c r="M1939" s="4">
        <f ca="1">_xlfn.IFNA(VLOOKUP(INDIRECT("G"&amp;ROW()),minfo!$A:$M,COLUMN()-8,0),"")</f>
        <v>82980</v>
      </c>
      <c r="N1939" s="4">
        <f ca="1">_xlfn.IFNA(VLOOKUP(INDIRECT("G"&amp;ROW()),minfo!$A:$M,COLUMN()-8,0),"")</f>
        <v>5843</v>
      </c>
      <c r="O1939" s="4" t="str">
        <f ca="1">_xlfn.IFNA(VLOOKUP(INDIRECT("G"&amp;ROW()),minfo!$A:$M,COLUMN()-8,0),"")</f>
        <v>https://i0.hdslb.com/bfs/station_src/music_metadata/957f8ba4e202e519f64cdd61268ee24d.jpg</v>
      </c>
      <c r="P1939" s="4">
        <f ca="1">_xlfn.IFNA(VLOOKUP(INDIRECT("G"&amp;ROW()),minfo!$A:$M,COLUMN()-8,0),"")</f>
        <v>0</v>
      </c>
      <c r="Q1939" s="4">
        <f ca="1">_xlfn.IFNA(VLOOKUP(INDIRECT("G"&amp;ROW()),minfo!$A:$M,COLUMN()-8,0),"")</f>
        <v>7881</v>
      </c>
      <c r="R1939" s="4">
        <f ca="1">_xlfn.IFNA(VLOOKUP(INDIRECT("G"&amp;ROW()),minfo!$A:$M,COLUMN()-8,0),"")</f>
        <v>0</v>
      </c>
      <c r="S1939" s="4" t="str">
        <f ca="1">_xlfn.IFNA(VLOOKUP(INDIRECT("G"&amp;ROW()),minfo!$A:$M,COLUMN()-8,0),"")</f>
        <v>魔杰座</v>
      </c>
      <c r="T1939" s="4">
        <f ca="1">_xlfn.IFNA(VLOOKUP(INDIRECT("G"&amp;ROW()),minfo!$A:$M,COLUMN()-8,0),"")</f>
        <v>2525440964</v>
      </c>
      <c r="U1939" s="4" t="str">
        <f ca="1">_xlfn.IFNA(VLOOKUP(INDIRECT("G"&amp;ROW()),minfo!$A:$M,COLUMN()-8,0),"")</f>
        <v>音乐榜最高NO.6</v>
      </c>
    </row>
    <row r="1940" spans="1:21" ht="15.75" customHeight="1">
      <c r="A1940" s="15">
        <v>1939</v>
      </c>
      <c r="D1940" s="4">
        <v>1</v>
      </c>
      <c r="E1940" s="4" t="s">
        <v>61</v>
      </c>
      <c r="F1940" s="16">
        <v>45420</v>
      </c>
      <c r="G1940" s="5" t="s">
        <v>61</v>
      </c>
      <c r="H1940" s="5" t="s">
        <v>5695</v>
      </c>
      <c r="I1940" s="24" t="str">
        <f>HYPERLINK("https://www.bilibili.com/video/BV1w1421z779?p=1", "BV1w1421z779?p=1")</f>
        <v>BV1w1421z779?p=1</v>
      </c>
      <c r="J1940" s="4" t="str">
        <f ca="1">_xlfn.IFNA(VLOOKUP(INDIRECT("G"&amp;ROW()),minfo!$A:$M,COLUMN()-8,0),"")</f>
        <v>桃華</v>
      </c>
      <c r="K1940" s="4" t="str">
        <f ca="1">_xlfn.IFNA(VLOOKUP(INDIRECT("G"&amp;ROW()),minfo!$A:$M,COLUMN()-8,0),"")</f>
        <v>说说Crystal</v>
      </c>
      <c r="L1940" s="4" t="str">
        <f ca="1">_xlfn.IFNA(VLOOKUP(INDIRECT("G"&amp;ROW()),minfo!$A:$M,COLUMN()-8,0),"")</f>
        <v>BV14z4y1H7Jn</v>
      </c>
      <c r="M1940" s="4">
        <f ca="1">_xlfn.IFNA(VLOOKUP(INDIRECT("G"&amp;ROW()),minfo!$A:$M,COLUMN()-8,0),"")</f>
        <v>0</v>
      </c>
      <c r="N1940" s="4">
        <f ca="1">_xlfn.IFNA(VLOOKUP(INDIRECT("G"&amp;ROW()),minfo!$A:$M,COLUMN()-8,0),"")</f>
        <v>0</v>
      </c>
      <c r="O1940" s="4">
        <f ca="1">_xlfn.IFNA(VLOOKUP(INDIRECT("G"&amp;ROW()),minfo!$A:$M,COLUMN()-8,0),"")</f>
        <v>0</v>
      </c>
      <c r="P1940" s="4">
        <f ca="1">_xlfn.IFNA(VLOOKUP(INDIRECT("G"&amp;ROW()),minfo!$A:$M,COLUMN()-8,0),"")</f>
        <v>0</v>
      </c>
      <c r="Q1940" s="4">
        <f ca="1">_xlfn.IFNA(VLOOKUP(INDIRECT("G"&amp;ROW()),minfo!$A:$M,COLUMN()-8,0),"")</f>
        <v>0</v>
      </c>
      <c r="R1940" s="4">
        <f ca="1">_xlfn.IFNA(VLOOKUP(INDIRECT("G"&amp;ROW()),minfo!$A:$M,COLUMN()-8,0),"")</f>
        <v>0</v>
      </c>
      <c r="S1940" s="4">
        <f ca="1">_xlfn.IFNA(VLOOKUP(INDIRECT("G"&amp;ROW()),minfo!$A:$M,COLUMN()-8,0),"")</f>
        <v>0</v>
      </c>
      <c r="T1940" s="4">
        <f ca="1">_xlfn.IFNA(VLOOKUP(INDIRECT("G"&amp;ROW()),minfo!$A:$M,COLUMN()-8,0),"")</f>
        <v>0</v>
      </c>
      <c r="U1940" s="4">
        <f ca="1">_xlfn.IFNA(VLOOKUP(INDIRECT("G"&amp;ROW()),minfo!$A:$M,COLUMN()-8,0),"")</f>
        <v>0</v>
      </c>
    </row>
    <row r="1941" spans="1:21" ht="15.75" customHeight="1">
      <c r="A1941" s="15">
        <v>1940</v>
      </c>
      <c r="D1941" s="4">
        <v>2</v>
      </c>
      <c r="E1941" s="4" t="s">
        <v>61</v>
      </c>
      <c r="F1941" s="16">
        <v>45420</v>
      </c>
      <c r="G1941" s="5" t="s">
        <v>61</v>
      </c>
      <c r="H1941" s="5" t="s">
        <v>5695</v>
      </c>
      <c r="I1941" s="24" t="str">
        <f>HYPERLINK("https://www.bilibili.com/video/BV1w1421z779?p=2", "BV1w1421z779?p=2")</f>
        <v>BV1w1421z779?p=2</v>
      </c>
      <c r="J1941" s="4" t="str">
        <f ca="1">_xlfn.IFNA(VLOOKUP(INDIRECT("G"&amp;ROW()),minfo!$A:$M,COLUMN()-8,0),"")</f>
        <v>桃華</v>
      </c>
      <c r="K1941" s="4" t="str">
        <f ca="1">_xlfn.IFNA(VLOOKUP(INDIRECT("G"&amp;ROW()),minfo!$A:$M,COLUMN()-8,0),"")</f>
        <v>说说Crystal</v>
      </c>
      <c r="L1941" s="4" t="str">
        <f ca="1">_xlfn.IFNA(VLOOKUP(INDIRECT("G"&amp;ROW()),minfo!$A:$M,COLUMN()-8,0),"")</f>
        <v>BV14z4y1H7Jn</v>
      </c>
      <c r="M1941" s="4">
        <f ca="1">_xlfn.IFNA(VLOOKUP(INDIRECT("G"&amp;ROW()),minfo!$A:$M,COLUMN()-8,0),"")</f>
        <v>0</v>
      </c>
      <c r="N1941" s="4">
        <f ca="1">_xlfn.IFNA(VLOOKUP(INDIRECT("G"&amp;ROW()),minfo!$A:$M,COLUMN()-8,0),"")</f>
        <v>0</v>
      </c>
      <c r="O1941" s="4">
        <f ca="1">_xlfn.IFNA(VLOOKUP(INDIRECT("G"&amp;ROW()),minfo!$A:$M,COLUMN()-8,0),"")</f>
        <v>0</v>
      </c>
      <c r="P1941" s="4">
        <f ca="1">_xlfn.IFNA(VLOOKUP(INDIRECT("G"&amp;ROW()),minfo!$A:$M,COLUMN()-8,0),"")</f>
        <v>0</v>
      </c>
      <c r="Q1941" s="4">
        <f ca="1">_xlfn.IFNA(VLOOKUP(INDIRECT("G"&amp;ROW()),minfo!$A:$M,COLUMN()-8,0),"")</f>
        <v>0</v>
      </c>
      <c r="R1941" s="4">
        <f ca="1">_xlfn.IFNA(VLOOKUP(INDIRECT("G"&amp;ROW()),minfo!$A:$M,COLUMN()-8,0),"")</f>
        <v>0</v>
      </c>
      <c r="S1941" s="4">
        <f ca="1">_xlfn.IFNA(VLOOKUP(INDIRECT("G"&amp;ROW()),minfo!$A:$M,COLUMN()-8,0),"")</f>
        <v>0</v>
      </c>
      <c r="T1941" s="4">
        <f ca="1">_xlfn.IFNA(VLOOKUP(INDIRECT("G"&amp;ROW()),minfo!$A:$M,COLUMN()-8,0),"")</f>
        <v>0</v>
      </c>
      <c r="U1941" s="4">
        <f ca="1">_xlfn.IFNA(VLOOKUP(INDIRECT("G"&amp;ROW()),minfo!$A:$M,COLUMN()-8,0),"")</f>
        <v>0</v>
      </c>
    </row>
    <row r="1942" spans="1:21" ht="15.75" customHeight="1">
      <c r="A1942" s="15">
        <v>1941</v>
      </c>
      <c r="D1942" s="4">
        <v>1</v>
      </c>
      <c r="E1942" s="4" t="s">
        <v>75</v>
      </c>
      <c r="F1942" s="16">
        <v>45420</v>
      </c>
      <c r="G1942" s="5" t="s">
        <v>1056</v>
      </c>
      <c r="H1942" s="5" t="s">
        <v>5696</v>
      </c>
      <c r="I1942" s="24" t="str">
        <f>HYPERLINK("https://www.bilibili.com/video/BV1pH4y1g74S?p=1", "BV1pH4y1g74S?p=1")</f>
        <v>BV1pH4y1g74S?p=1</v>
      </c>
      <c r="J1942" s="4" t="str">
        <f ca="1">_xlfn.IFNA(VLOOKUP(INDIRECT("G"&amp;ROW()),minfo!$A:$M,COLUMN()-8,0),"")</f>
        <v>布虎记</v>
      </c>
      <c r="K1942" s="4" t="str">
        <f ca="1">_xlfn.IFNA(VLOOKUP(INDIRECT("G"&amp;ROW()),minfo!$A:$M,COLUMN()-8,0),"")</f>
        <v>洛天依,西门振</v>
      </c>
      <c r="L1942" s="4">
        <f ca="1">_xlfn.IFNA(VLOOKUP(INDIRECT("G"&amp;ROW()),minfo!$A:$M,COLUMN()-8,0),"")</f>
        <v>0</v>
      </c>
      <c r="M1942" s="4">
        <f ca="1">_xlfn.IFNA(VLOOKUP(INDIRECT("G"&amp;ROW()),minfo!$A:$M,COLUMN()-8,0),"")</f>
        <v>0</v>
      </c>
      <c r="N1942" s="4">
        <f ca="1">_xlfn.IFNA(VLOOKUP(INDIRECT("G"&amp;ROW()),minfo!$A:$M,COLUMN()-8,0),"")</f>
        <v>0</v>
      </c>
      <c r="O1942" s="4" t="str">
        <f ca="1">_xlfn.IFNA(VLOOKUP(INDIRECT("G"&amp;ROW()),minfo!$A:$M,COLUMN()-8,0),"")</f>
        <v>https://i0.hdslb.com/bfs/station_src/music_metadata/346f3d0245c598c7be9afcb1e6a727b4.jpg</v>
      </c>
      <c r="P1942" s="4">
        <f ca="1">_xlfn.IFNA(VLOOKUP(INDIRECT("G"&amp;ROW()),minfo!$A:$M,COLUMN()-8,0),"")</f>
        <v>0</v>
      </c>
      <c r="Q1942" s="4">
        <f ca="1">_xlfn.IFNA(VLOOKUP(INDIRECT("G"&amp;ROW()),minfo!$A:$M,COLUMN()-8,0),"")</f>
        <v>0</v>
      </c>
      <c r="R1942" s="4">
        <f ca="1">_xlfn.IFNA(VLOOKUP(INDIRECT("G"&amp;ROW()),minfo!$A:$M,COLUMN()-8,0),"")</f>
        <v>0</v>
      </c>
      <c r="S1942" s="4" t="str">
        <f ca="1">_xlfn.IFNA(VLOOKUP(INDIRECT("G"&amp;ROW()),minfo!$A:$M,COLUMN()-8,0),"")</f>
        <v>【2022虚拟歌手贺岁纪】布虎记</v>
      </c>
      <c r="T1942" s="4">
        <f ca="1">_xlfn.IFNA(VLOOKUP(INDIRECT("G"&amp;ROW()),minfo!$A:$M,COLUMN()-8,0),"")</f>
        <v>1512793</v>
      </c>
      <c r="U1942" s="4">
        <f ca="1">_xlfn.IFNA(VLOOKUP(INDIRECT("G"&amp;ROW()),minfo!$A:$M,COLUMN()-8,0),"")</f>
        <v>0</v>
      </c>
    </row>
    <row r="1943" spans="1:21" ht="15.75" customHeight="1">
      <c r="A1943" s="15">
        <v>1942</v>
      </c>
      <c r="D1943" s="4">
        <v>1</v>
      </c>
      <c r="E1943" s="4" t="s">
        <v>3209</v>
      </c>
      <c r="F1943" s="16">
        <v>45420</v>
      </c>
      <c r="G1943" s="5" t="s">
        <v>3208</v>
      </c>
      <c r="H1943" s="5" t="s">
        <v>5697</v>
      </c>
      <c r="I1943" s="24" t="str">
        <f>HYPERLINK("https://www.bilibili.com/video/BV1fC411j7Gc?p=1", "BV1fC411j7Gc?p=1")</f>
        <v>BV1fC411j7Gc?p=1</v>
      </c>
      <c r="J1943" s="4" t="str">
        <f ca="1">_xlfn.IFNA(VLOOKUP(INDIRECT("G"&amp;ROW()),minfo!$A:$M,COLUMN()-8,0),"")</f>
        <v>小美满</v>
      </c>
      <c r="K1943" s="4" t="str">
        <f ca="1">_xlfn.IFNA(VLOOKUP(INDIRECT("G"&amp;ROW()),minfo!$A:$M,COLUMN()-8,0),"")</f>
        <v>周深</v>
      </c>
      <c r="L1943" s="4">
        <f ca="1">_xlfn.IFNA(VLOOKUP(INDIRECT("G"&amp;ROW()),minfo!$A:$M,COLUMN()-8,0),"")</f>
        <v>1950384180</v>
      </c>
      <c r="M1943" s="4">
        <f ca="1">_xlfn.IFNA(VLOOKUP(INDIRECT("G"&amp;ROW()),minfo!$A:$M,COLUMN()-8,0),"")</f>
        <v>1431686049</v>
      </c>
      <c r="N1943" s="4" t="str">
        <f ca="1">_xlfn.IFNA(VLOOKUP(INDIRECT("G"&amp;ROW()),minfo!$A:$M,COLUMN()-8,0),"")</f>
        <v>BV1ZC411x7Ky</v>
      </c>
      <c r="O1943" s="4" t="str">
        <f ca="1">_xlfn.IFNA(VLOOKUP(INDIRECT("G"&amp;ROW()),minfo!$A:$M,COLUMN()-8,0),"")</f>
        <v>https://i0.hdslb.com/bfs/station_src/music_metadata/21b82b115506a9a9cea7aa1eb481c598.jpg</v>
      </c>
      <c r="P1943" s="4" t="str">
        <f ca="1">_xlfn.IFNA(VLOOKUP(INDIRECT("G"&amp;ROW()),minfo!$A:$M,COLUMN()-8,0),"")</f>
        <v>https://i0.hdslb.com/bfs/station_src/music_metadata/a9b34f18851621ce7c2a74133efa4171.txt</v>
      </c>
      <c r="Q1943" s="4">
        <f ca="1">_xlfn.IFNA(VLOOKUP(INDIRECT("G"&amp;ROW()),minfo!$A:$M,COLUMN()-8,0),"")</f>
        <v>733</v>
      </c>
      <c r="R1943" s="4" t="str">
        <f ca="1">_xlfn.IFNA(VLOOKUP(INDIRECT("G"&amp;ROW()),minfo!$A:$M,COLUMN()-8,0),"")</f>
        <v>《热辣滚烫》电影热辣陪伴曲</v>
      </c>
      <c r="S1943" s="4" t="str">
        <f ca="1">_xlfn.IFNA(VLOOKUP(INDIRECT("G"&amp;ROW()),minfo!$A:$M,COLUMN()-8,0),"")</f>
        <v>小美满</v>
      </c>
      <c r="T1943" s="4">
        <f ca="1">_xlfn.IFNA(VLOOKUP(INDIRECT("G"&amp;ROW()),minfo!$A:$M,COLUMN()-8,0),"")</f>
        <v>147169382</v>
      </c>
      <c r="U1943" s="4" t="str">
        <f ca="1">_xlfn.IFNA(VLOOKUP(INDIRECT("G"&amp;ROW()),minfo!$A:$M,COLUMN()-8,0),"")</f>
        <v>音乐榜最高NO.2</v>
      </c>
    </row>
    <row r="1944" spans="1:21" ht="15.75" customHeight="1">
      <c r="A1944" s="15">
        <v>1943</v>
      </c>
      <c r="D1944" s="4">
        <v>1</v>
      </c>
      <c r="E1944" s="4" t="s">
        <v>139</v>
      </c>
      <c r="F1944" s="16">
        <v>45420</v>
      </c>
      <c r="G1944" s="5" t="s">
        <v>3214</v>
      </c>
      <c r="H1944" s="5" t="s">
        <v>5698</v>
      </c>
      <c r="I1944" s="24" t="str">
        <f>HYPERLINK("https://www.bilibili.com/video/BV1qH4y1G7EX?p=1", "BV1qH4y1G7EX?p=1")</f>
        <v>BV1qH4y1G7EX?p=1</v>
      </c>
      <c r="J1944" s="4" t="str">
        <f ca="1">_xlfn.IFNA(VLOOKUP(INDIRECT("G"&amp;ROW()),minfo!$A:$M,COLUMN()-8,0),"")</f>
        <v>康定情歌</v>
      </c>
      <c r="K1944" s="4" t="str">
        <f ca="1">_xlfn.IFNA(VLOOKUP(INDIRECT("G"&amp;ROW()),minfo!$A:$M,COLUMN()-8,0),"")</f>
        <v>汤灿</v>
      </c>
      <c r="L1944" s="4">
        <f ca="1">_xlfn.IFNA(VLOOKUP(INDIRECT("G"&amp;ROW()),minfo!$A:$M,COLUMN()-8,0),"")</f>
        <v>0</v>
      </c>
      <c r="M1944" s="4">
        <f ca="1">_xlfn.IFNA(VLOOKUP(INDIRECT("G"&amp;ROW()),minfo!$A:$M,COLUMN()-8,0),"")</f>
        <v>0</v>
      </c>
      <c r="N1944" s="4">
        <f ca="1">_xlfn.IFNA(VLOOKUP(INDIRECT("G"&amp;ROW()),minfo!$A:$M,COLUMN()-8,0),"")</f>
        <v>0</v>
      </c>
      <c r="O1944" s="4" t="str">
        <f ca="1">_xlfn.IFNA(VLOOKUP(INDIRECT("G"&amp;ROW()),minfo!$A:$M,COLUMN()-8,0),"")</f>
        <v>https://i0.hdslb.com/bfs/station_src/music_metadata/e1a7a999898e7d1f5cdb3b7ebad1a523.jpg</v>
      </c>
      <c r="P1944" s="4" t="str">
        <f ca="1">_xlfn.IFNA(VLOOKUP(INDIRECT("G"&amp;ROW()),minfo!$A:$M,COLUMN()-8,0),"")</f>
        <v>https://i0.hdslb.com/bfs/station_src/music_metadata/94a279a30c69c0e23df26101babf6355.txt</v>
      </c>
      <c r="Q1944" s="4">
        <f ca="1">_xlfn.IFNA(VLOOKUP(INDIRECT("G"&amp;ROW()),minfo!$A:$M,COLUMN()-8,0),"")</f>
        <v>9</v>
      </c>
      <c r="R1944" s="4">
        <f ca="1">_xlfn.IFNA(VLOOKUP(INDIRECT("G"&amp;ROW()),minfo!$A:$M,COLUMN()-8,0),"")</f>
        <v>0</v>
      </c>
      <c r="S1944" s="4" t="str">
        <f ca="1">_xlfn.IFNA(VLOOKUP(INDIRECT("G"&amp;ROW()),minfo!$A:$M,COLUMN()-8,0),"")</f>
        <v>爱的月光</v>
      </c>
      <c r="T1944" s="4">
        <f ca="1">_xlfn.IFNA(VLOOKUP(INDIRECT("G"&amp;ROW()),minfo!$A:$M,COLUMN()-8,0),"")</f>
        <v>2216699</v>
      </c>
      <c r="U1944" s="4">
        <f ca="1">_xlfn.IFNA(VLOOKUP(INDIRECT("G"&amp;ROW()),minfo!$A:$M,COLUMN()-8,0),"")</f>
        <v>0</v>
      </c>
    </row>
    <row r="1945" spans="1:21" ht="15.75" customHeight="1">
      <c r="A1945" s="15">
        <v>1944</v>
      </c>
      <c r="D1945" s="4">
        <v>1</v>
      </c>
      <c r="E1945" s="4" t="s">
        <v>1401</v>
      </c>
      <c r="F1945" s="16">
        <v>45420</v>
      </c>
      <c r="G1945" s="5" t="s">
        <v>1400</v>
      </c>
      <c r="H1945" s="5" t="s">
        <v>5699</v>
      </c>
      <c r="I1945" s="24" t="str">
        <f>HYPERLINK("https://www.bilibili.com/video/BV1vz421m73k?p=1", "BV1vz421m73k?p=1")</f>
        <v>BV1vz421m73k?p=1</v>
      </c>
      <c r="J1945" s="4" t="str">
        <f ca="1">_xlfn.IFNA(VLOOKUP(INDIRECT("G"&amp;ROW()),minfo!$A:$M,COLUMN()-8,0),"")</f>
        <v>青藏高原</v>
      </c>
      <c r="K1945" s="4" t="str">
        <f ca="1">_xlfn.IFNA(VLOOKUP(INDIRECT("G"&amp;ROW()),minfo!$A:$M,COLUMN()-8,0),"")</f>
        <v>李娜</v>
      </c>
      <c r="L1945" s="4">
        <f ca="1">_xlfn.IFNA(VLOOKUP(INDIRECT("G"&amp;ROW()),minfo!$A:$M,COLUMN()-8,0),"")</f>
        <v>0</v>
      </c>
      <c r="M1945" s="4">
        <f ca="1">_xlfn.IFNA(VLOOKUP(INDIRECT("G"&amp;ROW()),minfo!$A:$M,COLUMN()-8,0),"")</f>
        <v>0</v>
      </c>
      <c r="N1945" s="4">
        <f ca="1">_xlfn.IFNA(VLOOKUP(INDIRECT("G"&amp;ROW()),minfo!$A:$M,COLUMN()-8,0),"")</f>
        <v>0</v>
      </c>
      <c r="O1945" s="4" t="str">
        <f ca="1">_xlfn.IFNA(VLOOKUP(INDIRECT("G"&amp;ROW()),minfo!$A:$M,COLUMN()-8,0),"")</f>
        <v>http://i0.hdslb.com/bfs/station_src/music_metadata/abffd58894a68460c3c30d449dad96ee.jpg</v>
      </c>
      <c r="P1945" s="4" t="str">
        <f ca="1">_xlfn.IFNA(VLOOKUP(INDIRECT("G"&amp;ROW()),minfo!$A:$M,COLUMN()-8,0),"")</f>
        <v>http://i0.hdslb.com/bfs/station_src/music_metadata/c1f095eb882ec280da5fefcb120232f8</v>
      </c>
      <c r="Q1945" s="4">
        <f ca="1">_xlfn.IFNA(VLOOKUP(INDIRECT("G"&amp;ROW()),minfo!$A:$M,COLUMN()-8,0),"")</f>
        <v>428</v>
      </c>
      <c r="R1945" s="4">
        <f ca="1">_xlfn.IFNA(VLOOKUP(INDIRECT("G"&amp;ROW()),minfo!$A:$M,COLUMN()-8,0),"")</f>
        <v>0</v>
      </c>
      <c r="S1945" s="4" t="str">
        <f ca="1">_xlfn.IFNA(VLOOKUP(INDIRECT("G"&amp;ROW()),minfo!$A:$M,COLUMN()-8,0),"")</f>
        <v>青藏高原</v>
      </c>
      <c r="T1945" s="4">
        <f ca="1">_xlfn.IFNA(VLOOKUP(INDIRECT("G"&amp;ROW()),minfo!$A:$M,COLUMN()-8,0),"")</f>
        <v>112923360</v>
      </c>
      <c r="U1945" s="4">
        <f ca="1">_xlfn.IFNA(VLOOKUP(INDIRECT("G"&amp;ROW()),minfo!$A:$M,COLUMN()-8,0),"")</f>
        <v>0</v>
      </c>
    </row>
    <row r="1946" spans="1:21" ht="15.75" customHeight="1">
      <c r="A1946" s="15">
        <v>1945</v>
      </c>
      <c r="D1946" s="4">
        <v>1</v>
      </c>
      <c r="E1946" s="4" t="s">
        <v>2088</v>
      </c>
      <c r="F1946" s="16">
        <v>45420</v>
      </c>
      <c r="G1946" s="5" t="s">
        <v>2996</v>
      </c>
      <c r="H1946" s="5" t="s">
        <v>5700</v>
      </c>
      <c r="I1946" s="24" t="str">
        <f>HYPERLINK("https://www.bilibili.com/video/BV15J4m1T79p?p=1", "BV15J4m1T79p?p=1")</f>
        <v>BV15J4m1T79p?p=1</v>
      </c>
      <c r="J1946" s="4" t="str">
        <f ca="1">_xlfn.IFNA(VLOOKUP(INDIRECT("G"&amp;ROW()),minfo!$A:$M,COLUMN()-8,0),"")</f>
        <v>乌兰巴托的夜</v>
      </c>
      <c r="K1946" s="4" t="str">
        <f ca="1">_xlfn.IFNA(VLOOKUP(INDIRECT("G"&amp;ROW()),minfo!$A:$M,COLUMN()-8,0),"")</f>
        <v>谭维维</v>
      </c>
      <c r="L1946" s="4">
        <f ca="1">_xlfn.IFNA(VLOOKUP(INDIRECT("G"&amp;ROW()),minfo!$A:$M,COLUMN()-8,0),"")</f>
        <v>0</v>
      </c>
      <c r="M1946" s="4">
        <f ca="1">_xlfn.IFNA(VLOOKUP(INDIRECT("G"&amp;ROW()),minfo!$A:$M,COLUMN()-8,0),"")</f>
        <v>0</v>
      </c>
      <c r="N1946" s="4">
        <f ca="1">_xlfn.IFNA(VLOOKUP(INDIRECT("G"&amp;ROW()),minfo!$A:$M,COLUMN()-8,0),"")</f>
        <v>0</v>
      </c>
      <c r="O1946" s="4" t="str">
        <f ca="1">_xlfn.IFNA(VLOOKUP(INDIRECT("G"&amp;ROW()),minfo!$A:$M,COLUMN()-8,0),"")</f>
        <v>https://i0.hdslb.com/bfs/station_src/music_metadata/83084f80c987e2891a4f611fad52f476.jpg</v>
      </c>
      <c r="P1946" s="4" t="str">
        <f ca="1">_xlfn.IFNA(VLOOKUP(INDIRECT("G"&amp;ROW()),minfo!$A:$M,COLUMN()-8,0),"")</f>
        <v>https://i0.hdslb.com/bfs/station_src/music_metadata/5ff2e94fba4074601c2df670f83c3c91.txt</v>
      </c>
      <c r="Q1946" s="4">
        <f ca="1">_xlfn.IFNA(VLOOKUP(INDIRECT("G"&amp;ROW()),minfo!$A:$M,COLUMN()-8,0),"")</f>
        <v>3295</v>
      </c>
      <c r="R1946" s="4">
        <f ca="1">_xlfn.IFNA(VLOOKUP(INDIRECT("G"&amp;ROW()),minfo!$A:$M,COLUMN()-8,0),"")</f>
        <v>0</v>
      </c>
      <c r="S1946" s="4" t="str">
        <f ca="1">_xlfn.IFNA(VLOOKUP(INDIRECT("G"&amp;ROW()),minfo!$A:$M,COLUMN()-8,0),"")</f>
        <v>我的名字叫做安</v>
      </c>
      <c r="T1946" s="4">
        <f ca="1">_xlfn.IFNA(VLOOKUP(INDIRECT("G"&amp;ROW()),minfo!$A:$M,COLUMN()-8,0),"")</f>
        <v>132388811</v>
      </c>
      <c r="U1946" s="4" t="str">
        <f ca="1">_xlfn.IFNA(VLOOKUP(INDIRECT("G"&amp;ROW()),minfo!$A:$M,COLUMN()-8,0),"")</f>
        <v>音乐榜最高NO.16</v>
      </c>
    </row>
    <row r="1947" spans="1:21" ht="15.75" customHeight="1">
      <c r="A1947" s="15">
        <v>1946</v>
      </c>
      <c r="D1947" s="4">
        <v>1</v>
      </c>
      <c r="E1947" s="4" t="s">
        <v>1110</v>
      </c>
      <c r="F1947" s="16">
        <v>45420</v>
      </c>
      <c r="G1947" s="5" t="s">
        <v>3218</v>
      </c>
      <c r="H1947" s="5" t="s">
        <v>5701</v>
      </c>
      <c r="I1947" s="24" t="str">
        <f>HYPERLINK("https://www.bilibili.com/video/BV1kt421u7xK?p=1", "BV1kt421u7xK?p=1")</f>
        <v>BV1kt421u7xK?p=1</v>
      </c>
      <c r="J1947" s="4" t="str">
        <f ca="1">_xlfn.IFNA(VLOOKUP(INDIRECT("G"&amp;ROW()),minfo!$A:$M,COLUMN()-8,0),"")</f>
        <v>学不会</v>
      </c>
      <c r="K1947" s="4" t="str">
        <f ca="1">_xlfn.IFNA(VLOOKUP(INDIRECT("G"&amp;ROW()),minfo!$A:$M,COLUMN()-8,0),"")</f>
        <v>林俊杰</v>
      </c>
      <c r="L1947" s="4">
        <f ca="1">_xlfn.IFNA(VLOOKUP(INDIRECT("G"&amp;ROW()),minfo!$A:$M,COLUMN()-8,0),"")</f>
        <v>0</v>
      </c>
      <c r="M1947" s="4">
        <f ca="1">_xlfn.IFNA(VLOOKUP(INDIRECT("G"&amp;ROW()),minfo!$A:$M,COLUMN()-8,0),"")</f>
        <v>0</v>
      </c>
      <c r="N1947" s="4">
        <f ca="1">_xlfn.IFNA(VLOOKUP(INDIRECT("G"&amp;ROW()),minfo!$A:$M,COLUMN()-8,0),"")</f>
        <v>0</v>
      </c>
      <c r="O1947" s="4" t="str">
        <f ca="1">_xlfn.IFNA(VLOOKUP(INDIRECT("G"&amp;ROW()),minfo!$A:$M,COLUMN()-8,0),"")</f>
        <v>https://i0.hdslb.com/bfs/station_src/music_metadata/a45420bf5f1761730f869c2dc1d13f30.jpg</v>
      </c>
      <c r="P1947" s="4" t="str">
        <f ca="1">_xlfn.IFNA(VLOOKUP(INDIRECT("G"&amp;ROW()),minfo!$A:$M,COLUMN()-8,0),"")</f>
        <v>http://i0.hdslb.com/bfs/station_src/music_metadata/6c42944895f5d6ccba843189c471ae4c</v>
      </c>
      <c r="Q1947" s="4">
        <f ca="1">_xlfn.IFNA(VLOOKUP(INDIRECT("G"&amp;ROW()),minfo!$A:$M,COLUMN()-8,0),"")</f>
        <v>344</v>
      </c>
      <c r="R1947" s="4">
        <f ca="1">_xlfn.IFNA(VLOOKUP(INDIRECT("G"&amp;ROW()),minfo!$A:$M,COLUMN()-8,0),"")</f>
        <v>0</v>
      </c>
      <c r="S1947" s="4" t="str">
        <f ca="1">_xlfn.IFNA(VLOOKUP(INDIRECT("G"&amp;ROW()),minfo!$A:$M,COLUMN()-8,0),"")</f>
        <v>学不会</v>
      </c>
      <c r="T1947" s="4">
        <f ca="1">_xlfn.IFNA(VLOOKUP(INDIRECT("G"&amp;ROW()),minfo!$A:$M,COLUMN()-8,0),"")</f>
        <v>98600843</v>
      </c>
      <c r="U1947" s="4">
        <f ca="1">_xlfn.IFNA(VLOOKUP(INDIRECT("G"&amp;ROW()),minfo!$A:$M,COLUMN()-8,0),"")</f>
        <v>0</v>
      </c>
    </row>
    <row r="1948" spans="1:21" ht="15.75" customHeight="1">
      <c r="A1948" s="15">
        <v>1947</v>
      </c>
      <c r="D1948" s="4">
        <v>1</v>
      </c>
      <c r="E1948" s="4" t="s">
        <v>3194</v>
      </c>
      <c r="F1948" s="16">
        <v>45422</v>
      </c>
      <c r="G1948" s="5" t="s">
        <v>3193</v>
      </c>
      <c r="H1948" s="5" t="s">
        <v>5702</v>
      </c>
      <c r="I1948" s="24" t="str">
        <f>HYPERLINK("https://www.bilibili.com/video/BV18z421m7Gj?p=1", "BV18z421m7Gj?p=1")</f>
        <v>BV18z421m7Gj?p=1</v>
      </c>
      <c r="J1948" s="4" t="str">
        <f ca="1">_xlfn.IFNA(VLOOKUP(INDIRECT("G"&amp;ROW()),minfo!$A:$M,COLUMN()-8,0),"")</f>
        <v>白色风车</v>
      </c>
      <c r="K1948" s="4" t="str">
        <f ca="1">_xlfn.IFNA(VLOOKUP(INDIRECT("G"&amp;ROW()),minfo!$A:$M,COLUMN()-8,0),"")</f>
        <v>周杰伦</v>
      </c>
      <c r="L1948" s="4">
        <f ca="1">_xlfn.IFNA(VLOOKUP(INDIRECT("G"&amp;ROW()),minfo!$A:$M,COLUMN()-8,0),"")</f>
        <v>0</v>
      </c>
      <c r="M1948" s="4">
        <f ca="1">_xlfn.IFNA(VLOOKUP(INDIRECT("G"&amp;ROW()),minfo!$A:$M,COLUMN()-8,0),"")</f>
        <v>0</v>
      </c>
      <c r="N1948" s="4">
        <f ca="1">_xlfn.IFNA(VLOOKUP(INDIRECT("G"&amp;ROW()),minfo!$A:$M,COLUMN()-8,0),"")</f>
        <v>0</v>
      </c>
      <c r="O1948" s="4" t="str">
        <f ca="1">_xlfn.IFNA(VLOOKUP(INDIRECT("G"&amp;ROW()),minfo!$A:$M,COLUMN()-8,0),"")</f>
        <v>https://i0.hdslb.com/bfs/station_src/music_metadata/67eddf8b879abc06399423973c78909f.jpg</v>
      </c>
      <c r="P1948" s="4">
        <f ca="1">_xlfn.IFNA(VLOOKUP(INDIRECT("G"&amp;ROW()),minfo!$A:$M,COLUMN()-8,0),"")</f>
        <v>0</v>
      </c>
      <c r="Q1948" s="4">
        <f ca="1">_xlfn.IFNA(VLOOKUP(INDIRECT("G"&amp;ROW()),minfo!$A:$M,COLUMN()-8,0),"")</f>
        <v>781</v>
      </c>
      <c r="R1948" s="4">
        <f ca="1">_xlfn.IFNA(VLOOKUP(INDIRECT("G"&amp;ROW()),minfo!$A:$M,COLUMN()-8,0),"")</f>
        <v>0</v>
      </c>
      <c r="S1948" s="4" t="str">
        <f ca="1">_xlfn.IFNA(VLOOKUP(INDIRECT("G"&amp;ROW()),minfo!$A:$M,COLUMN()-8,0),"")</f>
        <v>依然范特西</v>
      </c>
      <c r="T1948" s="4">
        <f ca="1">_xlfn.IFNA(VLOOKUP(INDIRECT("G"&amp;ROW()),minfo!$A:$M,COLUMN()-8,0),"")</f>
        <v>282015307</v>
      </c>
      <c r="U1948" s="4">
        <f ca="1">_xlfn.IFNA(VLOOKUP(INDIRECT("G"&amp;ROW()),minfo!$A:$M,COLUMN()-8,0),"")</f>
        <v>0</v>
      </c>
    </row>
    <row r="1949" spans="1:21" ht="15.75" customHeight="1">
      <c r="A1949" s="15">
        <v>1948</v>
      </c>
      <c r="D1949" s="4">
        <v>1</v>
      </c>
      <c r="E1949" s="4" t="s">
        <v>3197</v>
      </c>
      <c r="F1949" s="16">
        <v>45422</v>
      </c>
      <c r="G1949" s="5" t="s">
        <v>3196</v>
      </c>
      <c r="H1949" s="5" t="s">
        <v>5703</v>
      </c>
      <c r="I1949" s="24" t="str">
        <f>HYPERLINK("https://www.bilibili.com/video/BV1wC41177Mf?p=1", "BV1wC41177Mf?p=1")</f>
        <v>BV1wC41177Mf?p=1</v>
      </c>
      <c r="J1949" s="4" t="str">
        <f ca="1">_xlfn.IFNA(VLOOKUP(INDIRECT("G"&amp;ROW()),minfo!$A:$M,COLUMN()-8,0),"")</f>
        <v>不如见一面</v>
      </c>
      <c r="K1949" s="4" t="str">
        <f ca="1">_xlfn.IFNA(VLOOKUP(INDIRECT("G"&amp;ROW()),minfo!$A:$M,COLUMN()-8,0),"")</f>
        <v>海来阿木</v>
      </c>
      <c r="L1949" s="4">
        <f ca="1">_xlfn.IFNA(VLOOKUP(INDIRECT("G"&amp;ROW()),minfo!$A:$M,COLUMN()-8,0),"")</f>
        <v>0</v>
      </c>
      <c r="M1949" s="4">
        <f ca="1">_xlfn.IFNA(VLOOKUP(INDIRECT("G"&amp;ROW()),minfo!$A:$M,COLUMN()-8,0),"")</f>
        <v>0</v>
      </c>
      <c r="N1949" s="4">
        <f ca="1">_xlfn.IFNA(VLOOKUP(INDIRECT("G"&amp;ROW()),minfo!$A:$M,COLUMN()-8,0),"")</f>
        <v>0</v>
      </c>
      <c r="O1949" s="4" t="str">
        <f ca="1">_xlfn.IFNA(VLOOKUP(INDIRECT("G"&amp;ROW()),minfo!$A:$M,COLUMN()-8,0),"")</f>
        <v>http://i0.hdslb.com/bfs/station_src/music_metadata/76635a0931f05ac28356a4ad5a3e052c.png</v>
      </c>
      <c r="P1949" s="4" t="str">
        <f ca="1">_xlfn.IFNA(VLOOKUP(INDIRECT("G"&amp;ROW()),minfo!$A:$M,COLUMN()-8,0),"")</f>
        <v>https://i0.hdslb.com/bfs/station_src/music_metadata/43201edef94fdfc18e734f051246e371.txt</v>
      </c>
      <c r="Q1949" s="4">
        <f ca="1">_xlfn.IFNA(VLOOKUP(INDIRECT("G"&amp;ROW()),minfo!$A:$M,COLUMN()-8,0),"")</f>
        <v>202</v>
      </c>
      <c r="R1949" s="4">
        <f ca="1">_xlfn.IFNA(VLOOKUP(INDIRECT("G"&amp;ROW()),minfo!$A:$M,COLUMN()-8,0),"")</f>
        <v>0</v>
      </c>
      <c r="S1949" s="4" t="str">
        <f ca="1">_xlfn.IFNA(VLOOKUP(INDIRECT("G"&amp;ROW()),minfo!$A:$M,COLUMN()-8,0),"")</f>
        <v>不如见一面</v>
      </c>
      <c r="T1949" s="4">
        <f ca="1">_xlfn.IFNA(VLOOKUP(INDIRECT("G"&amp;ROW()),minfo!$A:$M,COLUMN()-8,0),"")</f>
        <v>18674263</v>
      </c>
      <c r="U1949" s="4">
        <f ca="1">_xlfn.IFNA(VLOOKUP(INDIRECT("G"&amp;ROW()),minfo!$A:$M,COLUMN()-8,0),"")</f>
        <v>0</v>
      </c>
    </row>
    <row r="1950" spans="1:21" ht="15.75" customHeight="1">
      <c r="A1950" s="15">
        <v>1949</v>
      </c>
      <c r="D1950" s="4">
        <v>1</v>
      </c>
      <c r="E1950" s="4" t="s">
        <v>918</v>
      </c>
      <c r="F1950" s="16">
        <v>45422</v>
      </c>
      <c r="G1950" s="5" t="s">
        <v>917</v>
      </c>
      <c r="H1950" s="5" t="s">
        <v>5704</v>
      </c>
      <c r="I1950" s="24" t="str">
        <f>HYPERLINK("https://www.bilibili.com/video/BV1xz421m7he?p=1", "BV1xz421m7he?p=1")</f>
        <v>BV1xz421m7he?p=1</v>
      </c>
      <c r="J1950" s="4" t="str">
        <f ca="1">_xlfn.IFNA(VLOOKUP(INDIRECT("G"&amp;ROW()),minfo!$A:$M,COLUMN()-8,0),"")</f>
        <v>暗号</v>
      </c>
      <c r="K1950" s="4" t="str">
        <f ca="1">_xlfn.IFNA(VLOOKUP(INDIRECT("G"&amp;ROW()),minfo!$A:$M,COLUMN()-8,0),"")</f>
        <v>周杰伦</v>
      </c>
      <c r="L1950" s="4">
        <f ca="1">_xlfn.IFNA(VLOOKUP(INDIRECT("G"&amp;ROW()),minfo!$A:$M,COLUMN()-8,0),"")</f>
        <v>0</v>
      </c>
      <c r="M1950" s="4">
        <f ca="1">_xlfn.IFNA(VLOOKUP(INDIRECT("G"&amp;ROW()),minfo!$A:$M,COLUMN()-8,0),"")</f>
        <v>0</v>
      </c>
      <c r="N1950" s="4">
        <f ca="1">_xlfn.IFNA(VLOOKUP(INDIRECT("G"&amp;ROW()),minfo!$A:$M,COLUMN()-8,0),"")</f>
        <v>0</v>
      </c>
      <c r="O1950" s="4" t="str">
        <f ca="1">_xlfn.IFNA(VLOOKUP(INDIRECT("G"&amp;ROW()),minfo!$A:$M,COLUMN()-8,0),"")</f>
        <v>https://i0.hdslb.com/bfs/station_src/music_metadata/836d7078552d6143b4a27f54a2a62598.jpg</v>
      </c>
      <c r="P1950" s="4">
        <f ca="1">_xlfn.IFNA(VLOOKUP(INDIRECT("G"&amp;ROW()),minfo!$A:$M,COLUMN()-8,0),"")</f>
        <v>0</v>
      </c>
      <c r="Q1950" s="4">
        <f ca="1">_xlfn.IFNA(VLOOKUP(INDIRECT("G"&amp;ROW()),minfo!$A:$M,COLUMN()-8,0),"")</f>
        <v>8346</v>
      </c>
      <c r="R1950" s="4">
        <f ca="1">_xlfn.IFNA(VLOOKUP(INDIRECT("G"&amp;ROW()),minfo!$A:$M,COLUMN()-8,0),"")</f>
        <v>0</v>
      </c>
      <c r="S1950" s="4" t="str">
        <f ca="1">_xlfn.IFNA(VLOOKUP(INDIRECT("G"&amp;ROW()),minfo!$A:$M,COLUMN()-8,0),"")</f>
        <v>八度空间</v>
      </c>
      <c r="T1950" s="4">
        <f ca="1">_xlfn.IFNA(VLOOKUP(INDIRECT("G"&amp;ROW()),minfo!$A:$M,COLUMN()-8,0),"")</f>
        <v>445692889</v>
      </c>
      <c r="U1950" s="4">
        <f ca="1">_xlfn.IFNA(VLOOKUP(INDIRECT("G"&amp;ROW()),minfo!$A:$M,COLUMN()-8,0),"")</f>
        <v>0</v>
      </c>
    </row>
    <row r="1951" spans="1:21" ht="15.75" customHeight="1">
      <c r="A1951" s="15">
        <v>1950</v>
      </c>
      <c r="D1951" s="4">
        <v>2</v>
      </c>
      <c r="E1951" s="4" t="s">
        <v>918</v>
      </c>
      <c r="F1951" s="16">
        <v>45422</v>
      </c>
      <c r="G1951" s="5" t="s">
        <v>917</v>
      </c>
      <c r="H1951" s="5" t="s">
        <v>5704</v>
      </c>
      <c r="I1951" s="24" t="str">
        <f>HYPERLINK("https://www.bilibili.com/video/BV1xz421m7he?p=2", "BV1xz421m7he?p=2")</f>
        <v>BV1xz421m7he?p=2</v>
      </c>
      <c r="J1951" s="4" t="str">
        <f ca="1">_xlfn.IFNA(VLOOKUP(INDIRECT("G"&amp;ROW()),minfo!$A:$M,COLUMN()-8,0),"")</f>
        <v>暗号</v>
      </c>
      <c r="K1951" s="4" t="str">
        <f ca="1">_xlfn.IFNA(VLOOKUP(INDIRECT("G"&amp;ROW()),minfo!$A:$M,COLUMN()-8,0),"")</f>
        <v>周杰伦</v>
      </c>
      <c r="L1951" s="4">
        <f ca="1">_xlfn.IFNA(VLOOKUP(INDIRECT("G"&amp;ROW()),minfo!$A:$M,COLUMN()-8,0),"")</f>
        <v>0</v>
      </c>
      <c r="M1951" s="4">
        <f ca="1">_xlfn.IFNA(VLOOKUP(INDIRECT("G"&amp;ROW()),minfo!$A:$M,COLUMN()-8,0),"")</f>
        <v>0</v>
      </c>
      <c r="N1951" s="4">
        <f ca="1">_xlfn.IFNA(VLOOKUP(INDIRECT("G"&amp;ROW()),minfo!$A:$M,COLUMN()-8,0),"")</f>
        <v>0</v>
      </c>
      <c r="O1951" s="4" t="str">
        <f ca="1">_xlfn.IFNA(VLOOKUP(INDIRECT("G"&amp;ROW()),minfo!$A:$M,COLUMN()-8,0),"")</f>
        <v>https://i0.hdslb.com/bfs/station_src/music_metadata/836d7078552d6143b4a27f54a2a62598.jpg</v>
      </c>
      <c r="P1951" s="4">
        <f ca="1">_xlfn.IFNA(VLOOKUP(INDIRECT("G"&amp;ROW()),minfo!$A:$M,COLUMN()-8,0),"")</f>
        <v>0</v>
      </c>
      <c r="Q1951" s="4">
        <f ca="1">_xlfn.IFNA(VLOOKUP(INDIRECT("G"&amp;ROW()),minfo!$A:$M,COLUMN()-8,0),"")</f>
        <v>8346</v>
      </c>
      <c r="R1951" s="4">
        <f ca="1">_xlfn.IFNA(VLOOKUP(INDIRECT("G"&amp;ROW()),minfo!$A:$M,COLUMN()-8,0),"")</f>
        <v>0</v>
      </c>
      <c r="S1951" s="4" t="str">
        <f ca="1">_xlfn.IFNA(VLOOKUP(INDIRECT("G"&amp;ROW()),minfo!$A:$M,COLUMN()-8,0),"")</f>
        <v>八度空间</v>
      </c>
      <c r="T1951" s="4">
        <f ca="1">_xlfn.IFNA(VLOOKUP(INDIRECT("G"&amp;ROW()),minfo!$A:$M,COLUMN()-8,0),"")</f>
        <v>445692889</v>
      </c>
      <c r="U1951" s="4">
        <f ca="1">_xlfn.IFNA(VLOOKUP(INDIRECT("G"&amp;ROW()),minfo!$A:$M,COLUMN()-8,0),"")</f>
        <v>0</v>
      </c>
    </row>
    <row r="1952" spans="1:21" ht="15.75" customHeight="1">
      <c r="A1952" s="15">
        <v>1951</v>
      </c>
      <c r="D1952" s="4">
        <v>1</v>
      </c>
      <c r="E1952" s="4" t="s">
        <v>5533</v>
      </c>
      <c r="F1952" s="16">
        <v>45422</v>
      </c>
      <c r="G1952" s="5" t="s">
        <v>3201</v>
      </c>
      <c r="H1952" s="5" t="s">
        <v>5705</v>
      </c>
      <c r="I1952" s="24" t="str">
        <f>HYPERLINK("https://www.bilibili.com/video/BV1nb421h7vX?p=1", "BV1nb421h7vX?p=1")</f>
        <v>BV1nb421h7vX?p=1</v>
      </c>
      <c r="J1952" s="4" t="str">
        <f ca="1">_xlfn.IFNA(VLOOKUP(INDIRECT("G"&amp;ROW()),minfo!$A:$M,COLUMN()-8,0),"")</f>
        <v>My Destiny</v>
      </c>
      <c r="K1952" s="4" t="str">
        <f ca="1">_xlfn.IFNA(VLOOKUP(INDIRECT("G"&amp;ROW()),minfo!$A:$M,COLUMN()-8,0),"")</f>
        <v>LYn</v>
      </c>
      <c r="L1952" s="4">
        <f ca="1">_xlfn.IFNA(VLOOKUP(INDIRECT("G"&amp;ROW()),minfo!$A:$M,COLUMN()-8,0),"")</f>
        <v>0</v>
      </c>
      <c r="M1952" s="4">
        <f ca="1">_xlfn.IFNA(VLOOKUP(INDIRECT("G"&amp;ROW()),minfo!$A:$M,COLUMN()-8,0),"")</f>
        <v>0</v>
      </c>
      <c r="N1952" s="4">
        <f ca="1">_xlfn.IFNA(VLOOKUP(INDIRECT("G"&amp;ROW()),minfo!$A:$M,COLUMN()-8,0),"")</f>
        <v>0</v>
      </c>
      <c r="O1952" s="4" t="str">
        <f ca="1">_xlfn.IFNA(VLOOKUP(INDIRECT("G"&amp;ROW()),minfo!$A:$M,COLUMN()-8,0),"")</f>
        <v>https://i0.hdslb.com/bfs/station_src/music_metadata/50bb9639e44118942b12fec4b015db07.jpg</v>
      </c>
      <c r="P1952" s="4" t="str">
        <f ca="1">_xlfn.IFNA(VLOOKUP(INDIRECT("G"&amp;ROW()),minfo!$A:$M,COLUMN()-8,0),"")</f>
        <v>http://i0.hdslb.com/bfs/station_src/music_metadata/f0ca1a5be1505a56d406d2eabed875ab</v>
      </c>
      <c r="Q1952" s="4">
        <f ca="1">_xlfn.IFNA(VLOOKUP(INDIRECT("G"&amp;ROW()),minfo!$A:$M,COLUMN()-8,0),"")</f>
        <v>208</v>
      </c>
      <c r="R1952" s="4" t="str">
        <f ca="1">_xlfn.IFNA(VLOOKUP(INDIRECT("G"&amp;ROW()),minfo!$A:$M,COLUMN()-8,0),"")</f>
        <v>《来自星星的你》韩剧插曲|《滚蛋吧！肿瘤君》电影插曲</v>
      </c>
      <c r="S1952" s="4" t="str">
        <f ca="1">_xlfn.IFNA(VLOOKUP(INDIRECT("G"&amp;ROW()),minfo!$A:$M,COLUMN()-8,0),"")</f>
        <v>별에서 온 그대 OST - Part.1</v>
      </c>
      <c r="T1952" s="4">
        <f ca="1">_xlfn.IFNA(VLOOKUP(INDIRECT("G"&amp;ROW()),minfo!$A:$M,COLUMN()-8,0),"")</f>
        <v>70133352</v>
      </c>
      <c r="U1952" s="4">
        <f ca="1">_xlfn.IFNA(VLOOKUP(INDIRECT("G"&amp;ROW()),minfo!$A:$M,COLUMN()-8,0),"")</f>
        <v>0</v>
      </c>
    </row>
    <row r="1953" spans="1:21" ht="15.75" customHeight="1">
      <c r="A1953" s="15">
        <v>1952</v>
      </c>
      <c r="D1953" s="4">
        <v>1</v>
      </c>
      <c r="E1953" s="4" t="s">
        <v>244</v>
      </c>
      <c r="F1953" s="16">
        <v>45422</v>
      </c>
      <c r="G1953" s="5" t="s">
        <v>243</v>
      </c>
      <c r="H1953" s="5" t="s">
        <v>5706</v>
      </c>
      <c r="I1953" s="24" t="str">
        <f>HYPERLINK("https://www.bilibili.com/video/BV13D421N7V9?p=1", "BV13D421N7V9?p=1")</f>
        <v>BV13D421N7V9?p=1</v>
      </c>
      <c r="J1953" s="4" t="str">
        <f ca="1">_xlfn.IFNA(VLOOKUP(INDIRECT("G"&amp;ROW()),minfo!$A:$M,COLUMN()-8,0),"")</f>
        <v>天若有情</v>
      </c>
      <c r="K1953" s="4" t="str">
        <f ca="1">_xlfn.IFNA(VLOOKUP(INDIRECT("G"&amp;ROW()),minfo!$A:$M,COLUMN()-8,0),"")</f>
        <v>A-Lin</v>
      </c>
      <c r="L1953" s="4">
        <f ca="1">_xlfn.IFNA(VLOOKUP(INDIRECT("G"&amp;ROW()),minfo!$A:$M,COLUMN()-8,0),"")</f>
        <v>0</v>
      </c>
      <c r="M1953" s="4">
        <f ca="1">_xlfn.IFNA(VLOOKUP(INDIRECT("G"&amp;ROW()),minfo!$A:$M,COLUMN()-8,0),"")</f>
        <v>0</v>
      </c>
      <c r="N1953" s="4">
        <f ca="1">_xlfn.IFNA(VLOOKUP(INDIRECT("G"&amp;ROW()),minfo!$A:$M,COLUMN()-8,0),"")</f>
        <v>0</v>
      </c>
      <c r="O1953" s="4" t="str">
        <f ca="1">_xlfn.IFNA(VLOOKUP(INDIRECT("G"&amp;ROW()),minfo!$A:$M,COLUMN()-8,0),"")</f>
        <v>https://i0.hdslb.com/bfs/station_src/music_metadata/d7077aac44142c14752bf54adb6735dd.jpg</v>
      </c>
      <c r="P1953" s="4" t="str">
        <f ca="1">_xlfn.IFNA(VLOOKUP(INDIRECT("G"&amp;ROW()),minfo!$A:$M,COLUMN()-8,0),"")</f>
        <v>http://i0.hdslb.com/bfs/station_src/music_metadata/d430629d07fd668a47cf98e2c77345f8</v>
      </c>
      <c r="Q1953" s="4">
        <f ca="1">_xlfn.IFNA(VLOOKUP(INDIRECT("G"&amp;ROW()),minfo!$A:$M,COLUMN()-8,0),"")</f>
        <v>4856</v>
      </c>
      <c r="R1953" s="4" t="str">
        <f ca="1">_xlfn.IFNA(VLOOKUP(INDIRECT("G"&amp;ROW()),minfo!$A:$M,COLUMN()-8,0),"")</f>
        <v>《锦绣未央》电视剧主题曲</v>
      </c>
      <c r="S1953" s="4" t="str">
        <f ca="1">_xlfn.IFNA(VLOOKUP(INDIRECT("G"&amp;ROW()),minfo!$A:$M,COLUMN()-8,0),"")</f>
        <v>天若有情</v>
      </c>
      <c r="T1953" s="4">
        <f ca="1">_xlfn.IFNA(VLOOKUP(INDIRECT("G"&amp;ROW()),minfo!$A:$M,COLUMN()-8,0),"")</f>
        <v>508621070</v>
      </c>
      <c r="U1953" s="4">
        <f ca="1">_xlfn.IFNA(VLOOKUP(INDIRECT("G"&amp;ROW()),minfo!$A:$M,COLUMN()-8,0),"")</f>
        <v>0</v>
      </c>
    </row>
    <row r="1954" spans="1:21" ht="15.75" customHeight="1">
      <c r="A1954" s="15">
        <v>1953</v>
      </c>
      <c r="D1954" s="4">
        <v>1</v>
      </c>
      <c r="E1954" s="4" t="s">
        <v>1824</v>
      </c>
      <c r="F1954" s="16">
        <v>45422</v>
      </c>
      <c r="G1954" s="5" t="s">
        <v>1823</v>
      </c>
      <c r="H1954" s="5" t="s">
        <v>5707</v>
      </c>
      <c r="I1954" s="24" t="str">
        <f>HYPERLINK("https://www.bilibili.com/video/BV1HD421N7NU?p=1", "BV1HD421N7NU?p=1")</f>
        <v>BV1HD421N7NU?p=1</v>
      </c>
      <c r="J1954" s="4" t="str">
        <f ca="1">_xlfn.IFNA(VLOOKUP(INDIRECT("G"&amp;ROW()),minfo!$A:$M,COLUMN()-8,0),"")</f>
        <v>月</v>
      </c>
      <c r="K1954" s="4" t="str">
        <f ca="1">_xlfn.IFNA(VLOOKUP(INDIRECT("G"&amp;ROW()),minfo!$A:$M,COLUMN()-8,0),"")</f>
        <v>郁可唯</v>
      </c>
      <c r="L1954" s="4">
        <f ca="1">_xlfn.IFNA(VLOOKUP(INDIRECT("G"&amp;ROW()),minfo!$A:$M,COLUMN()-8,0),"")</f>
        <v>0</v>
      </c>
      <c r="M1954" s="4">
        <f ca="1">_xlfn.IFNA(VLOOKUP(INDIRECT("G"&amp;ROW()),minfo!$A:$M,COLUMN()-8,0),"")</f>
        <v>0</v>
      </c>
      <c r="N1954" s="4">
        <f ca="1">_xlfn.IFNA(VLOOKUP(INDIRECT("G"&amp;ROW()),minfo!$A:$M,COLUMN()-8,0),"")</f>
        <v>0</v>
      </c>
      <c r="O1954" s="4" t="str">
        <f ca="1">_xlfn.IFNA(VLOOKUP(INDIRECT("G"&amp;ROW()),minfo!$A:$M,COLUMN()-8,0),"")</f>
        <v>https://i0.hdslb.com/bfs/station_src/music_metadata/18366082543cccb9ea83dadd477d221d.jpg</v>
      </c>
      <c r="P1954" s="4" t="str">
        <f ca="1">_xlfn.IFNA(VLOOKUP(INDIRECT("G"&amp;ROW()),minfo!$A:$M,COLUMN()-8,0),"")</f>
        <v>https://i0.hdslb.com/bfs/station_src/music_metadata/31530dd411904e556b2dcad90552b3b7.txt</v>
      </c>
      <c r="Q1954" s="4">
        <f ca="1">_xlfn.IFNA(VLOOKUP(INDIRECT("G"&amp;ROW()),minfo!$A:$M,COLUMN()-8,0),"")</f>
        <v>159</v>
      </c>
      <c r="R1954" s="4">
        <f ca="1">_xlfn.IFNA(VLOOKUP(INDIRECT("G"&amp;ROW()),minfo!$A:$M,COLUMN()-8,0),"")</f>
        <v>0</v>
      </c>
      <c r="S1954" s="4" t="str">
        <f ca="1">_xlfn.IFNA(VLOOKUP(INDIRECT("G"&amp;ROW()),minfo!$A:$M,COLUMN()-8,0),"")</f>
        <v>月</v>
      </c>
      <c r="T1954" s="4">
        <f ca="1">_xlfn.IFNA(VLOOKUP(INDIRECT("G"&amp;ROW()),minfo!$A:$M,COLUMN()-8,0),"")</f>
        <v>38638268</v>
      </c>
      <c r="U1954" s="4">
        <f ca="1">_xlfn.IFNA(VLOOKUP(INDIRECT("G"&amp;ROW()),minfo!$A:$M,COLUMN()-8,0),"")</f>
        <v>0</v>
      </c>
    </row>
    <row r="1955" spans="1:21" ht="15.75" customHeight="1">
      <c r="A1955" s="15">
        <v>1954</v>
      </c>
      <c r="D1955" s="4">
        <v>1</v>
      </c>
      <c r="E1955" s="4" t="s">
        <v>579</v>
      </c>
      <c r="F1955" s="16">
        <v>45422</v>
      </c>
      <c r="G1955" s="5" t="s">
        <v>578</v>
      </c>
      <c r="H1955" s="5" t="s">
        <v>5708</v>
      </c>
      <c r="I1955" s="24" t="str">
        <f>HYPERLINK("https://www.bilibili.com/video/BV1vr421779m?p=1", "BV1vr421779m?p=1")</f>
        <v>BV1vr421779m?p=1</v>
      </c>
      <c r="J1955" s="4" t="str">
        <f ca="1">_xlfn.IFNA(VLOOKUP(INDIRECT("G"&amp;ROW()),minfo!$A:$M,COLUMN()-8,0),"")</f>
        <v>月光</v>
      </c>
      <c r="K1955" s="4" t="str">
        <f ca="1">_xlfn.IFNA(VLOOKUP(INDIRECT("G"&amp;ROW()),minfo!$A:$M,COLUMN()-8,0),"")</f>
        <v>胡彦斌</v>
      </c>
      <c r="L1955" s="4">
        <f ca="1">_xlfn.IFNA(VLOOKUP(INDIRECT("G"&amp;ROW()),minfo!$A:$M,COLUMN()-8,0),"")</f>
        <v>0</v>
      </c>
      <c r="M1955" s="4">
        <f ca="1">_xlfn.IFNA(VLOOKUP(INDIRECT("G"&amp;ROW()),minfo!$A:$M,COLUMN()-8,0),"")</f>
        <v>0</v>
      </c>
      <c r="N1955" s="4">
        <f ca="1">_xlfn.IFNA(VLOOKUP(INDIRECT("G"&amp;ROW()),minfo!$A:$M,COLUMN()-8,0),"")</f>
        <v>0</v>
      </c>
      <c r="O1955" s="4" t="str">
        <f ca="1">_xlfn.IFNA(VLOOKUP(INDIRECT("G"&amp;ROW()),minfo!$A:$M,COLUMN()-8,0),"")</f>
        <v>https://i0.hdslb.com/bfs/station_src/music_metadata/7cc411366d037e788cb0589e4b72b353.jpg</v>
      </c>
      <c r="P1955" s="4" t="str">
        <f ca="1">_xlfn.IFNA(VLOOKUP(INDIRECT("G"&amp;ROW()),minfo!$A:$M,COLUMN()-8,0),"")</f>
        <v>https://i0.hdslb.com/bfs/station_src/music_metadata/24b147c13fc9ffd4dfb30a3a88355255.txt</v>
      </c>
      <c r="Q1955" s="4">
        <f ca="1">_xlfn.IFNA(VLOOKUP(INDIRECT("G"&amp;ROW()),minfo!$A:$M,COLUMN()-8,0),"")</f>
        <v>3207</v>
      </c>
      <c r="R1955" s="4" t="str">
        <f ca="1">_xlfn.IFNA(VLOOKUP(INDIRECT("G"&amp;ROW()),minfo!$A:$M,COLUMN()-8,0),"")</f>
        <v>《秦时明月》动画主题曲|《秦时明月之君临天下》动画片头曲</v>
      </c>
      <c r="S1955" s="4" t="str">
        <f ca="1">_xlfn.IFNA(VLOOKUP(INDIRECT("G"&amp;ROW()),minfo!$A:$M,COLUMN()-8,0),"")</f>
        <v>男人歌 (全胜铂金版)</v>
      </c>
      <c r="T1955" s="4">
        <f ca="1">_xlfn.IFNA(VLOOKUP(INDIRECT("G"&amp;ROW()),minfo!$A:$M,COLUMN()-8,0),"")</f>
        <v>276993628</v>
      </c>
      <c r="U1955" s="4">
        <f ca="1">_xlfn.IFNA(VLOOKUP(INDIRECT("G"&amp;ROW()),minfo!$A:$M,COLUMN()-8,0),"")</f>
        <v>0</v>
      </c>
    </row>
    <row r="1956" spans="1:21" ht="15.75" customHeight="1">
      <c r="A1956" s="15">
        <v>1955</v>
      </c>
      <c r="D1956" s="4">
        <v>1</v>
      </c>
      <c r="E1956" s="4" t="s">
        <v>3181</v>
      </c>
      <c r="F1956" s="16">
        <v>45422</v>
      </c>
      <c r="G1956" s="5" t="s">
        <v>3180</v>
      </c>
      <c r="H1956" s="5" t="s">
        <v>5709</v>
      </c>
      <c r="I1956" s="24" t="str">
        <f>HYPERLINK("https://www.bilibili.com/video/BV1fr42177Zv?p=1", "BV1fr42177Zv?p=1")</f>
        <v>BV1fr42177Zv?p=1</v>
      </c>
      <c r="J1956" s="4" t="str">
        <f ca="1">_xlfn.IFNA(VLOOKUP(INDIRECT("G"&amp;ROW()),minfo!$A:$M,COLUMN()-8,0),"")</f>
        <v>如果可以</v>
      </c>
      <c r="K1956" s="4" t="str">
        <f ca="1">_xlfn.IFNA(VLOOKUP(INDIRECT("G"&amp;ROW()),minfo!$A:$M,COLUMN()-8,0),"")</f>
        <v>韦礼安</v>
      </c>
      <c r="L1956" s="4">
        <f ca="1">_xlfn.IFNA(VLOOKUP(INDIRECT("G"&amp;ROW()),minfo!$A:$M,COLUMN()-8,0),"")</f>
        <v>0</v>
      </c>
      <c r="M1956" s="4">
        <f ca="1">_xlfn.IFNA(VLOOKUP(INDIRECT("G"&amp;ROW()),minfo!$A:$M,COLUMN()-8,0),"")</f>
        <v>0</v>
      </c>
      <c r="N1956" s="4">
        <f ca="1">_xlfn.IFNA(VLOOKUP(INDIRECT("G"&amp;ROW()),minfo!$A:$M,COLUMN()-8,0),"")</f>
        <v>0</v>
      </c>
      <c r="O1956" s="4" t="str">
        <f ca="1">_xlfn.IFNA(VLOOKUP(INDIRECT("G"&amp;ROW()),minfo!$A:$M,COLUMN()-8,0),"")</f>
        <v>https://i0.hdslb.com/bfs/station_src/music_metadata/3d52e1d9e9d668310f6fb22c7c34650c.jpg</v>
      </c>
      <c r="P1956" s="4" t="str">
        <f ca="1">_xlfn.IFNA(VLOOKUP(INDIRECT("G"&amp;ROW()),minfo!$A:$M,COLUMN()-8,0),"")</f>
        <v>http://i0.hdslb.com/bfs/station_src/music_metadata/0d57c85e1991b51c43332c9b6cb6c1d4</v>
      </c>
      <c r="Q1956" s="4">
        <f ca="1">_xlfn.IFNA(VLOOKUP(INDIRECT("G"&amp;ROW()),minfo!$A:$M,COLUMN()-8,0),"")</f>
        <v>1735</v>
      </c>
      <c r="R1956" s="4" t="str">
        <f ca="1">_xlfn.IFNA(VLOOKUP(INDIRECT("G"&amp;ROW()),minfo!$A:$M,COLUMN()-8,0),"")</f>
        <v>《月老》电影主题曲</v>
      </c>
      <c r="S1956" s="4" t="str">
        <f ca="1">_xlfn.IFNA(VLOOKUP(INDIRECT("G"&amp;ROW()),minfo!$A:$M,COLUMN()-8,0),"")</f>
        <v>如果可以</v>
      </c>
      <c r="T1956" s="4">
        <f ca="1">_xlfn.IFNA(VLOOKUP(INDIRECT("G"&amp;ROW()),minfo!$A:$M,COLUMN()-8,0),"")</f>
        <v>123868678</v>
      </c>
      <c r="U1956" s="4">
        <f ca="1">_xlfn.IFNA(VLOOKUP(INDIRECT("G"&amp;ROW()),minfo!$A:$M,COLUMN()-8,0),"")</f>
        <v>0</v>
      </c>
    </row>
    <row r="1957" spans="1:21" ht="15.75" customHeight="1">
      <c r="A1957" s="15">
        <v>1956</v>
      </c>
      <c r="D1957" s="4">
        <v>1</v>
      </c>
      <c r="E1957" s="4" t="s">
        <v>934</v>
      </c>
      <c r="F1957" s="16">
        <v>45423</v>
      </c>
      <c r="G1957" s="5" t="s">
        <v>933</v>
      </c>
      <c r="H1957" s="5" t="s">
        <v>5710</v>
      </c>
      <c r="I1957" s="24" t="str">
        <f>HYPERLINK("https://www.bilibili.com/video/BV1LZ42177JL?p=1", "BV1LZ42177JL?p=1")</f>
        <v>BV1LZ42177JL?p=1</v>
      </c>
      <c r="J1957" s="4" t="str">
        <f ca="1">_xlfn.IFNA(VLOOKUP(INDIRECT("G"&amp;ROW()),minfo!$A:$M,COLUMN()-8,0),"")</f>
        <v>敕勒歌</v>
      </c>
      <c r="K1957" s="4" t="str">
        <f ca="1">_xlfn.IFNA(VLOOKUP(INDIRECT("G"&amp;ROW()),minfo!$A:$M,COLUMN()-8,0),"")</f>
        <v>谭维维</v>
      </c>
      <c r="L1957" s="4">
        <f ca="1">_xlfn.IFNA(VLOOKUP(INDIRECT("G"&amp;ROW()),minfo!$A:$M,COLUMN()-8,0),"")</f>
        <v>0</v>
      </c>
      <c r="M1957" s="4">
        <f ca="1">_xlfn.IFNA(VLOOKUP(INDIRECT("G"&amp;ROW()),minfo!$A:$M,COLUMN()-8,0),"")</f>
        <v>0</v>
      </c>
      <c r="N1957" s="4">
        <f ca="1">_xlfn.IFNA(VLOOKUP(INDIRECT("G"&amp;ROW()),minfo!$A:$M,COLUMN()-8,0),"")</f>
        <v>0</v>
      </c>
      <c r="O1957" s="4" t="str">
        <f ca="1">_xlfn.IFNA(VLOOKUP(INDIRECT("G"&amp;ROW()),minfo!$A:$M,COLUMN()-8,0),"")</f>
        <v>https://i0.hdslb.com/bfs/station_src/music_metadata/4633e67685206de0672cc528709e3e2f.jpg</v>
      </c>
      <c r="P1957" s="4" t="str">
        <f ca="1">_xlfn.IFNA(VLOOKUP(INDIRECT("G"&amp;ROW()),minfo!$A:$M,COLUMN()-8,0),"")</f>
        <v>https://i0.hdslb.com/bfs/station_src/music_metadata/dff7d3073b6cc36766c38942f1f4cf16.txt</v>
      </c>
      <c r="Q1957" s="4">
        <f ca="1">_xlfn.IFNA(VLOOKUP(INDIRECT("G"&amp;ROW()),minfo!$A:$M,COLUMN()-8,0),"")</f>
        <v>382</v>
      </c>
      <c r="R1957" s="4">
        <f ca="1">_xlfn.IFNA(VLOOKUP(INDIRECT("G"&amp;ROW()),minfo!$A:$M,COLUMN()-8,0),"")</f>
        <v>0</v>
      </c>
      <c r="S1957" s="4" t="str">
        <f ca="1">_xlfn.IFNA(VLOOKUP(INDIRECT("G"&amp;ROW()),minfo!$A:$M,COLUMN()-8,0),"")</f>
        <v>经典咏流传第二季 第六期</v>
      </c>
      <c r="T1957" s="4">
        <f ca="1">_xlfn.IFNA(VLOOKUP(INDIRECT("G"&amp;ROW()),minfo!$A:$M,COLUMN()-8,0),"")</f>
        <v>19549830</v>
      </c>
      <c r="U1957" s="4">
        <f ca="1">_xlfn.IFNA(VLOOKUP(INDIRECT("G"&amp;ROW()),minfo!$A:$M,COLUMN()-8,0),"")</f>
        <v>0</v>
      </c>
    </row>
    <row r="1958" spans="1:21" ht="15.75" customHeight="1">
      <c r="A1958" s="15">
        <v>1957</v>
      </c>
      <c r="D1958" s="4">
        <v>1</v>
      </c>
      <c r="E1958" s="4" t="s">
        <v>2588</v>
      </c>
      <c r="F1958" s="16">
        <v>45423</v>
      </c>
      <c r="G1958" s="5" t="s">
        <v>2587</v>
      </c>
      <c r="H1958" s="5" t="s">
        <v>5711</v>
      </c>
      <c r="I1958" s="24" t="str">
        <f>HYPERLINK("https://www.bilibili.com/video/BV1zE421V7Uz?p=1", "BV1zE421V7Uz?p=1")</f>
        <v>BV1zE421V7Uz?p=1</v>
      </c>
      <c r="J1958" s="4" t="str">
        <f ca="1">_xlfn.IFNA(VLOOKUP(INDIRECT("G"&amp;ROW()),minfo!$A:$M,COLUMN()-8,0),"")</f>
        <v>默</v>
      </c>
      <c r="K1958" s="4" t="str">
        <f ca="1">_xlfn.IFNA(VLOOKUP(INDIRECT("G"&amp;ROW()),minfo!$A:$M,COLUMN()-8,0),"")</f>
        <v>那英</v>
      </c>
      <c r="L1958" s="4">
        <f ca="1">_xlfn.IFNA(VLOOKUP(INDIRECT("G"&amp;ROW()),minfo!$A:$M,COLUMN()-8,0),"")</f>
        <v>0</v>
      </c>
      <c r="M1958" s="4">
        <f ca="1">_xlfn.IFNA(VLOOKUP(INDIRECT("G"&amp;ROW()),minfo!$A:$M,COLUMN()-8,0),"")</f>
        <v>0</v>
      </c>
      <c r="N1958" s="4">
        <f ca="1">_xlfn.IFNA(VLOOKUP(INDIRECT("G"&amp;ROW()),minfo!$A:$M,COLUMN()-8,0),"")</f>
        <v>0</v>
      </c>
      <c r="O1958" s="4" t="str">
        <f ca="1">_xlfn.IFNA(VLOOKUP(INDIRECT("G"&amp;ROW()),minfo!$A:$M,COLUMN()-8,0),"")</f>
        <v>http://i0.hdslb.com/bfs/station_src/music_metadata/dcf20adaad19567179fdc54f7bf1704f.jpg</v>
      </c>
      <c r="P1958" s="4" t="str">
        <f ca="1">_xlfn.IFNA(VLOOKUP(INDIRECT("G"&amp;ROW()),minfo!$A:$M,COLUMN()-8,0),"")</f>
        <v>http://i0.hdslb.com/bfs/station_src/music_metadata/e39ee9d0c9c0216585b37d5ee4e2a9f5</v>
      </c>
      <c r="Q1958" s="4">
        <f ca="1">_xlfn.IFNA(VLOOKUP(INDIRECT("G"&amp;ROW()),minfo!$A:$M,COLUMN()-8,0),"")</f>
        <v>1152</v>
      </c>
      <c r="R1958" s="4" t="str">
        <f ca="1">_xlfn.IFNA(VLOOKUP(INDIRECT("G"&amp;ROW()),minfo!$A:$M,COLUMN()-8,0),"")</f>
        <v>《何以笙箫默》电影插曲|《这！就是街舞》第四期背景音乐</v>
      </c>
      <c r="S1958" s="4" t="str">
        <f ca="1">_xlfn.IFNA(VLOOKUP(INDIRECT("G"&amp;ROW()),minfo!$A:$M,COLUMN()-8,0),"")</f>
        <v>默</v>
      </c>
      <c r="T1958" s="4">
        <f ca="1">_xlfn.IFNA(VLOOKUP(INDIRECT("G"&amp;ROW()),minfo!$A:$M,COLUMN()-8,0),"")</f>
        <v>305839358</v>
      </c>
      <c r="U1958" s="4">
        <f ca="1">_xlfn.IFNA(VLOOKUP(INDIRECT("G"&amp;ROW()),minfo!$A:$M,COLUMN()-8,0),"")</f>
        <v>0</v>
      </c>
    </row>
    <row r="1959" spans="1:21" ht="15.75" customHeight="1">
      <c r="A1959" s="15">
        <v>1958</v>
      </c>
      <c r="D1959" s="4">
        <v>2</v>
      </c>
      <c r="E1959" s="4" t="s">
        <v>2588</v>
      </c>
      <c r="F1959" s="16">
        <v>45423</v>
      </c>
      <c r="G1959" s="5" t="s">
        <v>2587</v>
      </c>
      <c r="H1959" s="5" t="s">
        <v>5711</v>
      </c>
      <c r="I1959" s="24" t="str">
        <f>HYPERLINK("https://www.bilibili.com/video/BV1zE421V7Uz?p=2", "BV1zE421V7Uz?p=2")</f>
        <v>BV1zE421V7Uz?p=2</v>
      </c>
      <c r="J1959" s="4" t="str">
        <f ca="1">_xlfn.IFNA(VLOOKUP(INDIRECT("G"&amp;ROW()),minfo!$A:$M,COLUMN()-8,0),"")</f>
        <v>默</v>
      </c>
      <c r="K1959" s="4" t="str">
        <f ca="1">_xlfn.IFNA(VLOOKUP(INDIRECT("G"&amp;ROW()),minfo!$A:$M,COLUMN()-8,0),"")</f>
        <v>那英</v>
      </c>
      <c r="L1959" s="4">
        <f ca="1">_xlfn.IFNA(VLOOKUP(INDIRECT("G"&amp;ROW()),minfo!$A:$M,COLUMN()-8,0),"")</f>
        <v>0</v>
      </c>
      <c r="M1959" s="4">
        <f ca="1">_xlfn.IFNA(VLOOKUP(INDIRECT("G"&amp;ROW()),minfo!$A:$M,COLUMN()-8,0),"")</f>
        <v>0</v>
      </c>
      <c r="N1959" s="4">
        <f ca="1">_xlfn.IFNA(VLOOKUP(INDIRECT("G"&amp;ROW()),minfo!$A:$M,COLUMN()-8,0),"")</f>
        <v>0</v>
      </c>
      <c r="O1959" s="4" t="str">
        <f ca="1">_xlfn.IFNA(VLOOKUP(INDIRECT("G"&amp;ROW()),minfo!$A:$M,COLUMN()-8,0),"")</f>
        <v>http://i0.hdslb.com/bfs/station_src/music_metadata/dcf20adaad19567179fdc54f7bf1704f.jpg</v>
      </c>
      <c r="P1959" s="4" t="str">
        <f ca="1">_xlfn.IFNA(VLOOKUP(INDIRECT("G"&amp;ROW()),minfo!$A:$M,COLUMN()-8,0),"")</f>
        <v>http://i0.hdslb.com/bfs/station_src/music_metadata/e39ee9d0c9c0216585b37d5ee4e2a9f5</v>
      </c>
      <c r="Q1959" s="4">
        <f ca="1">_xlfn.IFNA(VLOOKUP(INDIRECT("G"&amp;ROW()),minfo!$A:$M,COLUMN()-8,0),"")</f>
        <v>1152</v>
      </c>
      <c r="R1959" s="4" t="str">
        <f ca="1">_xlfn.IFNA(VLOOKUP(INDIRECT("G"&amp;ROW()),minfo!$A:$M,COLUMN()-8,0),"")</f>
        <v>《何以笙箫默》电影插曲|《这！就是街舞》第四期背景音乐</v>
      </c>
      <c r="S1959" s="4" t="str">
        <f ca="1">_xlfn.IFNA(VLOOKUP(INDIRECT("G"&amp;ROW()),minfo!$A:$M,COLUMN()-8,0),"")</f>
        <v>默</v>
      </c>
      <c r="T1959" s="4">
        <f ca="1">_xlfn.IFNA(VLOOKUP(INDIRECT("G"&amp;ROW()),minfo!$A:$M,COLUMN()-8,0),"")</f>
        <v>305839358</v>
      </c>
      <c r="U1959" s="4">
        <f ca="1">_xlfn.IFNA(VLOOKUP(INDIRECT("G"&amp;ROW()),minfo!$A:$M,COLUMN()-8,0),"")</f>
        <v>0</v>
      </c>
    </row>
    <row r="1960" spans="1:21" ht="15.75" customHeight="1">
      <c r="A1960" s="15">
        <v>1959</v>
      </c>
      <c r="D1960" s="4">
        <v>1</v>
      </c>
      <c r="E1960" s="4" t="s">
        <v>1005</v>
      </c>
      <c r="F1960" s="16">
        <v>45423</v>
      </c>
      <c r="G1960" s="5" t="s">
        <v>1004</v>
      </c>
      <c r="H1960" s="5" t="s">
        <v>5712</v>
      </c>
      <c r="I1960" s="24" t="str">
        <f>HYPERLINK("https://www.bilibili.com/video/BV1nE42137rK?p=1", "BV1nE42137rK?p=1")</f>
        <v>BV1nE42137rK?p=1</v>
      </c>
      <c r="J1960" s="4" t="str">
        <f ca="1">_xlfn.IFNA(VLOOKUP(INDIRECT("G"&amp;ROW()),minfo!$A:$M,COLUMN()-8,0),"")</f>
        <v>如果有来生</v>
      </c>
      <c r="K1960" s="4" t="str">
        <f ca="1">_xlfn.IFNA(VLOOKUP(INDIRECT("G"&amp;ROW()),minfo!$A:$M,COLUMN()-8,0),"")</f>
        <v>谭维维</v>
      </c>
      <c r="L1960" s="4">
        <f ca="1">_xlfn.IFNA(VLOOKUP(INDIRECT("G"&amp;ROW()),minfo!$A:$M,COLUMN()-8,0),"")</f>
        <v>0</v>
      </c>
      <c r="M1960" s="4">
        <f ca="1">_xlfn.IFNA(VLOOKUP(INDIRECT("G"&amp;ROW()),minfo!$A:$M,COLUMN()-8,0),"")</f>
        <v>0</v>
      </c>
      <c r="N1960" s="4">
        <f ca="1">_xlfn.IFNA(VLOOKUP(INDIRECT("G"&amp;ROW()),minfo!$A:$M,COLUMN()-8,0),"")</f>
        <v>0</v>
      </c>
      <c r="O1960" s="4" t="str">
        <f ca="1">_xlfn.IFNA(VLOOKUP(INDIRECT("G"&amp;ROW()),minfo!$A:$M,COLUMN()-8,0),"")</f>
        <v>https://i0.hdslb.com/bfs/station_src/music_metadata/e2cfe88bc057d9c01d2360f94c6d6006.jpg</v>
      </c>
      <c r="P1960" s="4" t="str">
        <f ca="1">_xlfn.IFNA(VLOOKUP(INDIRECT("G"&amp;ROW()),minfo!$A:$M,COLUMN()-8,0),"")</f>
        <v>https://i0.hdslb.com/bfs/station_src/music_metadata/accd124b120d284323dbfb2e1955f047.txt</v>
      </c>
      <c r="Q1960" s="4">
        <f ca="1">_xlfn.IFNA(VLOOKUP(INDIRECT("G"&amp;ROW()),minfo!$A:$M,COLUMN()-8,0),"")</f>
        <v>251</v>
      </c>
      <c r="R1960" s="4">
        <f ca="1">_xlfn.IFNA(VLOOKUP(INDIRECT("G"&amp;ROW()),minfo!$A:$M,COLUMN()-8,0),"")</f>
        <v>0</v>
      </c>
      <c r="S1960" s="4" t="str">
        <f ca="1">_xlfn.IFNA(VLOOKUP(INDIRECT("G"&amp;ROW()),minfo!$A:$M,COLUMN()-8,0),"")</f>
        <v>谭某某</v>
      </c>
      <c r="T1960" s="4">
        <f ca="1">_xlfn.IFNA(VLOOKUP(INDIRECT("G"&amp;ROW()),minfo!$A:$M,COLUMN()-8,0),"")</f>
        <v>55662569</v>
      </c>
      <c r="U1960" s="4">
        <f ca="1">_xlfn.IFNA(VLOOKUP(INDIRECT("G"&amp;ROW()),minfo!$A:$M,COLUMN()-8,0),"")</f>
        <v>0</v>
      </c>
    </row>
    <row r="1961" spans="1:21" ht="15.75" customHeight="1">
      <c r="A1961" s="15">
        <v>1960</v>
      </c>
      <c r="D1961" s="4">
        <v>1</v>
      </c>
      <c r="E1961" s="4" t="s">
        <v>1029</v>
      </c>
      <c r="F1961" s="16">
        <v>45423</v>
      </c>
      <c r="G1961" s="5" t="s">
        <v>1028</v>
      </c>
      <c r="H1961" s="5" t="s">
        <v>5713</v>
      </c>
      <c r="I1961" s="24" t="str">
        <f>HYPERLINK("https://www.bilibili.com/video/BV15f421m7RW?p=1", "BV15f421m7RW?p=1")</f>
        <v>BV15f421m7RW?p=1</v>
      </c>
      <c r="J1961" s="4" t="str">
        <f ca="1">_xlfn.IFNA(VLOOKUP(INDIRECT("G"&amp;ROW()),minfo!$A:$M,COLUMN()-8,0),"")</f>
        <v>梦一场</v>
      </c>
      <c r="K1961" s="4" t="str">
        <f ca="1">_xlfn.IFNA(VLOOKUP(INDIRECT("G"&amp;ROW()),minfo!$A:$M,COLUMN()-8,0),"")</f>
        <v>那英</v>
      </c>
      <c r="L1961" s="4">
        <f ca="1">_xlfn.IFNA(VLOOKUP(INDIRECT("G"&amp;ROW()),minfo!$A:$M,COLUMN()-8,0),"")</f>
        <v>0</v>
      </c>
      <c r="M1961" s="4">
        <f ca="1">_xlfn.IFNA(VLOOKUP(INDIRECT("G"&amp;ROW()),minfo!$A:$M,COLUMN()-8,0),"")</f>
        <v>0</v>
      </c>
      <c r="N1961" s="4">
        <f ca="1">_xlfn.IFNA(VLOOKUP(INDIRECT("G"&amp;ROW()),minfo!$A:$M,COLUMN()-8,0),"")</f>
        <v>0</v>
      </c>
      <c r="O1961" s="4" t="str">
        <f ca="1">_xlfn.IFNA(VLOOKUP(INDIRECT("G"&amp;ROW()),minfo!$A:$M,COLUMN()-8,0),"")</f>
        <v>http://i0.hdslb.com/bfs/station_src/music_metadata/773e1f17befd2548f3caea5b4a15cca5.jpg</v>
      </c>
      <c r="P1961" s="4" t="str">
        <f ca="1">_xlfn.IFNA(VLOOKUP(INDIRECT("G"&amp;ROW()),minfo!$A:$M,COLUMN()-8,0),"")</f>
        <v>http://i0.hdslb.com/bfs/station_src/music_metadata/9d34117655bd2156a1e59015320fba7b</v>
      </c>
      <c r="Q1961" s="4">
        <f ca="1">_xlfn.IFNA(VLOOKUP(INDIRECT("G"&amp;ROW()),minfo!$A:$M,COLUMN()-8,0),"")</f>
        <v>67</v>
      </c>
      <c r="R1961" s="4" t="str">
        <f ca="1">_xlfn.IFNA(VLOOKUP(INDIRECT("G"&amp;ROW()),minfo!$A:$M,COLUMN()-8,0),"")</f>
        <v>《新闻小姐》电视剧插曲|《春娇救志明》电影插曲</v>
      </c>
      <c r="S1961" s="4" t="str">
        <f ca="1">_xlfn.IFNA(VLOOKUP(INDIRECT("G"&amp;ROW()),minfo!$A:$M,COLUMN()-8,0),"")</f>
        <v>干脆</v>
      </c>
      <c r="T1961" s="4">
        <f ca="1">_xlfn.IFNA(VLOOKUP(INDIRECT("G"&amp;ROW()),minfo!$A:$M,COLUMN()-8,0),"")</f>
        <v>40740970</v>
      </c>
      <c r="U1961" s="4">
        <f ca="1">_xlfn.IFNA(VLOOKUP(INDIRECT("G"&amp;ROW()),minfo!$A:$M,COLUMN()-8,0),"")</f>
        <v>0</v>
      </c>
    </row>
    <row r="1962" spans="1:21" ht="15.75" customHeight="1">
      <c r="A1962" s="15">
        <v>1961</v>
      </c>
      <c r="D1962" s="4">
        <v>1</v>
      </c>
      <c r="E1962" s="4" t="s">
        <v>960</v>
      </c>
      <c r="F1962" s="16">
        <v>45423</v>
      </c>
      <c r="G1962" s="5" t="s">
        <v>959</v>
      </c>
      <c r="H1962" s="5" t="s">
        <v>5714</v>
      </c>
      <c r="I1962" s="24" t="str">
        <f>HYPERLINK("https://www.bilibili.com/video/BV1YH4y1G7Ze?p=1", "BV1YH4y1G7Ze?p=1")</f>
        <v>BV1YH4y1G7Ze?p=1</v>
      </c>
      <c r="J1962" s="4" t="str">
        <f ca="1">_xlfn.IFNA(VLOOKUP(INDIRECT("G"&amp;ROW()),minfo!$A:$M,COLUMN()-8,0),"")</f>
        <v>带我走</v>
      </c>
      <c r="K1962" s="4" t="str">
        <f ca="1">_xlfn.IFNA(VLOOKUP(INDIRECT("G"&amp;ROW()),minfo!$A:$M,COLUMN()-8,0),"")</f>
        <v>杨丞琳,吴青峰</v>
      </c>
      <c r="L1962" s="4">
        <f ca="1">_xlfn.IFNA(VLOOKUP(INDIRECT("G"&amp;ROW()),minfo!$A:$M,COLUMN()-8,0),"")</f>
        <v>0</v>
      </c>
      <c r="M1962" s="4">
        <f ca="1">_xlfn.IFNA(VLOOKUP(INDIRECT("G"&amp;ROW()),minfo!$A:$M,COLUMN()-8,0),"")</f>
        <v>518</v>
      </c>
      <c r="N1962" s="4">
        <f ca="1">_xlfn.IFNA(VLOOKUP(INDIRECT("G"&amp;ROW()),minfo!$A:$M,COLUMN()-8,0),"")</f>
        <v>145</v>
      </c>
      <c r="O1962" s="4" t="str">
        <f ca="1">_xlfn.IFNA(VLOOKUP(INDIRECT("G"&amp;ROW()),minfo!$A:$M,COLUMN()-8,0),"")</f>
        <v>http://i0.hdslb.com/bfs/station_src/music_metadata/2e11b5422ed3f3a27ffc1f5e38246a69.jpg</v>
      </c>
      <c r="P1962" s="4" t="str">
        <f ca="1">_xlfn.IFNA(VLOOKUP(INDIRECT("G"&amp;ROW()),minfo!$A:$M,COLUMN()-8,0),"")</f>
        <v>https://i0.hdslb.com/bfs/station_src/music_metadata/b65990afa3b9671cd36f6915d8146ed7.txt</v>
      </c>
      <c r="Q1962" s="4">
        <f ca="1">_xlfn.IFNA(VLOOKUP(INDIRECT("G"&amp;ROW()),minfo!$A:$M,COLUMN()-8,0),"")</f>
        <v>473</v>
      </c>
      <c r="R1962" s="4">
        <f ca="1">_xlfn.IFNA(VLOOKUP(INDIRECT("G"&amp;ROW()),minfo!$A:$M,COLUMN()-8,0),"")</f>
        <v>0</v>
      </c>
      <c r="S1962" s="4" t="str">
        <f ca="1">_xlfn.IFNA(VLOOKUP(INDIRECT("G"&amp;ROW()),minfo!$A:$M,COLUMN()-8,0),"")</f>
        <v>半熟宣言</v>
      </c>
      <c r="T1962" s="4">
        <f ca="1">_xlfn.IFNA(VLOOKUP(INDIRECT("G"&amp;ROW()),minfo!$A:$M,COLUMN()-8,0),"")</f>
        <v>115959006</v>
      </c>
      <c r="U1962" s="4">
        <f ca="1">_xlfn.IFNA(VLOOKUP(INDIRECT("G"&amp;ROW()),minfo!$A:$M,COLUMN()-8,0),"")</f>
        <v>0</v>
      </c>
    </row>
    <row r="1963" spans="1:21" ht="15.75" customHeight="1">
      <c r="A1963" s="15">
        <v>1962</v>
      </c>
      <c r="D1963" s="4">
        <v>1</v>
      </c>
      <c r="E1963" s="4" t="s">
        <v>1793</v>
      </c>
      <c r="F1963" s="16">
        <v>45423</v>
      </c>
      <c r="G1963" s="5" t="s">
        <v>1792</v>
      </c>
      <c r="H1963" s="5" t="s">
        <v>5715</v>
      </c>
      <c r="I1963" s="24" t="str">
        <f>HYPERLINK("https://www.bilibili.com/video/BV16w4m197Rx?p=1", "BV16w4m197Rx?p=1")</f>
        <v>BV16w4m197Rx?p=1</v>
      </c>
      <c r="J1963" s="4" t="str">
        <f ca="1">_xlfn.IFNA(VLOOKUP(INDIRECT("G"&amp;ROW()),minfo!$A:$M,COLUMN()-8,0),"")</f>
        <v>雨爱</v>
      </c>
      <c r="K1963" s="4" t="str">
        <f ca="1">_xlfn.IFNA(VLOOKUP(INDIRECT("G"&amp;ROW()),minfo!$A:$M,COLUMN()-8,0),"")</f>
        <v>杨丞琳</v>
      </c>
      <c r="L1963" s="4">
        <f ca="1">_xlfn.IFNA(VLOOKUP(INDIRECT("G"&amp;ROW()),minfo!$A:$M,COLUMN()-8,0),"")</f>
        <v>0</v>
      </c>
      <c r="M1963" s="4">
        <f ca="1">_xlfn.IFNA(VLOOKUP(INDIRECT("G"&amp;ROW()),minfo!$A:$M,COLUMN()-8,0),"")</f>
        <v>186</v>
      </c>
      <c r="N1963" s="4">
        <f ca="1">_xlfn.IFNA(VLOOKUP(INDIRECT("G"&amp;ROW()),minfo!$A:$M,COLUMN()-8,0),"")</f>
        <v>17</v>
      </c>
      <c r="O1963" s="4" t="str">
        <f ca="1">_xlfn.IFNA(VLOOKUP(INDIRECT("G"&amp;ROW()),minfo!$A:$M,COLUMN()-8,0),"")</f>
        <v>https://i0.hdslb.com/bfs/station_src/music_metadata/d2d96b39e6c888e709641d2931657784.jpg</v>
      </c>
      <c r="P1963" s="4" t="str">
        <f ca="1">_xlfn.IFNA(VLOOKUP(INDIRECT("G"&amp;ROW()),minfo!$A:$M,COLUMN()-8,0),"")</f>
        <v>https://i0.hdslb.com/bfs/station_src/music_metadata/da71918707bbbcc54129293228673828.com/bfs/station_src/music_metadata/4ee2e418ba5ab8982bdcaf20967930a5</v>
      </c>
      <c r="Q1963" s="4">
        <f ca="1">_xlfn.IFNA(VLOOKUP(INDIRECT("G"&amp;ROW()),minfo!$A:$M,COLUMN()-8,0),"")</f>
        <v>585</v>
      </c>
      <c r="R1963" s="4" t="str">
        <f ca="1">_xlfn.IFNA(VLOOKUP(INDIRECT("G"&amp;ROW()),minfo!$A:$M,COLUMN()-8,0),"")</f>
        <v>雨爱</v>
      </c>
      <c r="S1963" s="4">
        <f ca="1">_xlfn.IFNA(VLOOKUP(INDIRECT("G"&amp;ROW()),minfo!$A:$M,COLUMN()-8,0),"")</f>
        <v>0</v>
      </c>
      <c r="T1963" s="4">
        <f ca="1">_xlfn.IFNA(VLOOKUP(INDIRECT("G"&amp;ROW()),minfo!$A:$M,COLUMN()-8,0),"")</f>
        <v>299586451</v>
      </c>
      <c r="U1963" s="4">
        <f ca="1">_xlfn.IFNA(VLOOKUP(INDIRECT("G"&amp;ROW()),minfo!$A:$M,COLUMN()-8,0),"")</f>
        <v>0</v>
      </c>
    </row>
    <row r="1964" spans="1:21" ht="15.75" customHeight="1">
      <c r="A1964" s="15">
        <v>1963</v>
      </c>
      <c r="D1964" s="4">
        <v>1</v>
      </c>
      <c r="E1964" s="4" t="s">
        <v>3188</v>
      </c>
      <c r="F1964" s="16">
        <v>45426</v>
      </c>
      <c r="G1964" s="5" t="s">
        <v>3187</v>
      </c>
      <c r="H1964" s="5" t="s">
        <v>5716</v>
      </c>
      <c r="I1964" s="24" t="str">
        <f>HYPERLINK("https://www.bilibili.com/video/BV1Xx4y1p7Lt?p=1", "BV1Xx4y1p7Lt?p=1")</f>
        <v>BV1Xx4y1p7Lt?p=1</v>
      </c>
      <c r="J1964" s="4" t="str">
        <f ca="1">_xlfn.IFNA(VLOOKUP(INDIRECT("G"&amp;ROW()),minfo!$A:$M,COLUMN()-8,0),"")</f>
        <v>瘦子</v>
      </c>
      <c r="K1964" s="4" t="str">
        <f ca="1">_xlfn.IFNA(VLOOKUP(INDIRECT("G"&amp;ROW()),minfo!$A:$M,COLUMN()-8,0),"")</f>
        <v>丁世光</v>
      </c>
      <c r="L1964" s="4">
        <f ca="1">_xlfn.IFNA(VLOOKUP(INDIRECT("G"&amp;ROW()),minfo!$A:$M,COLUMN()-8,0),"")</f>
        <v>0</v>
      </c>
      <c r="M1964" s="4">
        <f ca="1">_xlfn.IFNA(VLOOKUP(INDIRECT("G"&amp;ROW()),minfo!$A:$M,COLUMN()-8,0),"")</f>
        <v>0</v>
      </c>
      <c r="N1964" s="4">
        <f ca="1">_xlfn.IFNA(VLOOKUP(INDIRECT("G"&amp;ROW()),minfo!$A:$M,COLUMN()-8,0),"")</f>
        <v>0</v>
      </c>
      <c r="O1964" s="4" t="str">
        <f ca="1">_xlfn.IFNA(VLOOKUP(INDIRECT("G"&amp;ROW()),minfo!$A:$M,COLUMN()-8,0),"")</f>
        <v>https://i0.hdslb.com/bfs/station_src/music_metadata/6206b348bda97a437ae1de2703ef25cc.jpg</v>
      </c>
      <c r="P1964" s="4" t="str">
        <f ca="1">_xlfn.IFNA(VLOOKUP(INDIRECT("G"&amp;ROW()),minfo!$A:$M,COLUMN()-8,0),"")</f>
        <v>https://i0.hdslb.com/bfs/station_src/music_metadata/80dbd3652912432980a3c993c4d64988.txt</v>
      </c>
      <c r="Q1964" s="4">
        <f ca="1">_xlfn.IFNA(VLOOKUP(INDIRECT("G"&amp;ROW()),minfo!$A:$M,COLUMN()-8,0),"")</f>
        <v>32</v>
      </c>
      <c r="R1964" s="4" t="str">
        <f ca="1">_xlfn.IFNA(VLOOKUP(INDIRECT("G"&amp;ROW()),minfo!$A:$M,COLUMN()-8,0),"")</f>
        <v>Skinny Love</v>
      </c>
      <c r="S1964" s="4" t="str">
        <f ca="1">_xlfn.IFNA(VLOOKUP(INDIRECT("G"&amp;ROW()),minfo!$A:$M,COLUMN()-8,0),"")</f>
        <v>瘦子</v>
      </c>
      <c r="T1964" s="4">
        <f ca="1">_xlfn.IFNA(VLOOKUP(INDIRECT("G"&amp;ROW()),minfo!$A:$M,COLUMN()-8,0),"")</f>
        <v>7621238</v>
      </c>
      <c r="U1964" s="4">
        <f ca="1">_xlfn.IFNA(VLOOKUP(INDIRECT("G"&amp;ROW()),minfo!$A:$M,COLUMN()-8,0),"")</f>
        <v>0</v>
      </c>
    </row>
    <row r="1965" spans="1:21" ht="15.75" customHeight="1">
      <c r="A1965" s="15">
        <v>1964</v>
      </c>
      <c r="D1965" s="4">
        <v>1</v>
      </c>
      <c r="E1965" s="4" t="s">
        <v>1616</v>
      </c>
      <c r="F1965" s="16">
        <v>45426</v>
      </c>
      <c r="G1965" s="5" t="s">
        <v>1615</v>
      </c>
      <c r="H1965" s="5" t="s">
        <v>5717</v>
      </c>
      <c r="I1965" s="24" t="str">
        <f>HYPERLINK("https://www.bilibili.com/video/BV1vf42117UX?p=1", "BV1vf42117UX?p=1")</f>
        <v>BV1vf42117UX?p=1</v>
      </c>
      <c r="J1965" s="4" t="str">
        <f ca="1">_xlfn.IFNA(VLOOKUP(INDIRECT("G"&amp;ROW()),minfo!$A:$M,COLUMN()-8,0),"")</f>
        <v>雨后日记</v>
      </c>
      <c r="K1965" s="4" t="str">
        <f ca="1">_xlfn.IFNA(VLOOKUP(INDIRECT("G"&amp;ROW()),minfo!$A:$M,COLUMN()-8,0),"")</f>
        <v>单依纯</v>
      </c>
      <c r="L1965" s="4">
        <f ca="1">_xlfn.IFNA(VLOOKUP(INDIRECT("G"&amp;ROW()),minfo!$A:$M,COLUMN()-8,0),"")</f>
        <v>0</v>
      </c>
      <c r="M1965" s="4">
        <f ca="1">_xlfn.IFNA(VLOOKUP(INDIRECT("G"&amp;ROW()),minfo!$A:$M,COLUMN()-8,0),"")</f>
        <v>0</v>
      </c>
      <c r="N1965" s="4">
        <f ca="1">_xlfn.IFNA(VLOOKUP(INDIRECT("G"&amp;ROW()),minfo!$A:$M,COLUMN()-8,0),"")</f>
        <v>0</v>
      </c>
      <c r="O1965" s="4" t="str">
        <f ca="1">_xlfn.IFNA(VLOOKUP(INDIRECT("G"&amp;ROW()),minfo!$A:$M,COLUMN()-8,0),"")</f>
        <v>http://i0.hdslb.com/bfs/station_src/music_metadata/3afd0ffaed0e7606577cabb03408bdd1.jpg</v>
      </c>
      <c r="P1965" s="4">
        <f ca="1">_xlfn.IFNA(VLOOKUP(INDIRECT("G"&amp;ROW()),minfo!$A:$M,COLUMN()-8,0),"")</f>
        <v>0</v>
      </c>
      <c r="Q1965" s="4">
        <f ca="1">_xlfn.IFNA(VLOOKUP(INDIRECT("G"&amp;ROW()),minfo!$A:$M,COLUMN()-8,0),"")</f>
        <v>15</v>
      </c>
      <c r="R1965" s="4">
        <f ca="1">_xlfn.IFNA(VLOOKUP(INDIRECT("G"&amp;ROW()),minfo!$A:$M,COLUMN()-8,0),"")</f>
        <v>0</v>
      </c>
      <c r="S1965" s="4" t="str">
        <f ca="1">_xlfn.IFNA(VLOOKUP(INDIRECT("G"&amp;ROW()),minfo!$A:$M,COLUMN()-8,0),"")</f>
        <v>勇敢额度</v>
      </c>
      <c r="T1965" s="4">
        <f ca="1">_xlfn.IFNA(VLOOKUP(INDIRECT("G"&amp;ROW()),minfo!$A:$M,COLUMN()-8,0),"")</f>
        <v>5496354</v>
      </c>
      <c r="U1965" s="4">
        <f ca="1">_xlfn.IFNA(VLOOKUP(INDIRECT("G"&amp;ROW()),minfo!$A:$M,COLUMN()-8,0),"")</f>
        <v>0</v>
      </c>
    </row>
    <row r="1966" spans="1:21" ht="15.75" customHeight="1">
      <c r="A1966" s="15">
        <v>1965</v>
      </c>
      <c r="D1966" s="4">
        <v>1</v>
      </c>
      <c r="E1966" s="4" t="s">
        <v>192</v>
      </c>
      <c r="F1966" s="16">
        <v>45426</v>
      </c>
      <c r="G1966" s="5" t="s">
        <v>191</v>
      </c>
      <c r="H1966" s="5" t="s">
        <v>5718</v>
      </c>
      <c r="I1966" s="24" t="str">
        <f>HYPERLINK("https://www.bilibili.com/video/BV1tt421M7DF?p=1", "BV1tt421M7DF?p=1")</f>
        <v>BV1tt421M7DF?p=1</v>
      </c>
      <c r="J1966" s="4" t="str">
        <f ca="1">_xlfn.IFNA(VLOOKUP(INDIRECT("G"&amp;ROW()),minfo!$A:$M,COLUMN()-8,0),"")</f>
        <v>流年如歌</v>
      </c>
      <c r="K1966" s="4" t="str">
        <f ca="1">_xlfn.IFNA(VLOOKUP(INDIRECT("G"&amp;ROW()),minfo!$A:$M,COLUMN()-8,0),"")</f>
        <v>苍穹</v>
      </c>
      <c r="L1966" s="4">
        <f ca="1">_xlfn.IFNA(VLOOKUP(INDIRECT("G"&amp;ROW()),minfo!$A:$M,COLUMN()-8,0),"")</f>
        <v>0</v>
      </c>
      <c r="M1966" s="4">
        <f ca="1">_xlfn.IFNA(VLOOKUP(INDIRECT("G"&amp;ROW()),minfo!$A:$M,COLUMN()-8,0),"")</f>
        <v>0</v>
      </c>
      <c r="N1966" s="4">
        <f ca="1">_xlfn.IFNA(VLOOKUP(INDIRECT("G"&amp;ROW()),minfo!$A:$M,COLUMN()-8,0),"")</f>
        <v>0</v>
      </c>
      <c r="O1966" s="4" t="str">
        <f ca="1">_xlfn.IFNA(VLOOKUP(INDIRECT("G"&amp;ROW()),minfo!$A:$M,COLUMN()-8,0),"")</f>
        <v>https://i0.hdslb.com/bfs/station_src/music_metadata/7d8de08a2fa9fed3e913a7cbedbd7359.jpg</v>
      </c>
      <c r="P1966" s="4" t="str">
        <f ca="1">_xlfn.IFNA(VLOOKUP(INDIRECT("G"&amp;ROW()),minfo!$A:$M,COLUMN()-8,0),"")</f>
        <v>https://i0.hdslb.com/bfs/station_src/music_metadata/39fd2191a90a6dfc42574ff5b43baadb.txt</v>
      </c>
      <c r="Q1966" s="4">
        <f ca="1">_xlfn.IFNA(VLOOKUP(INDIRECT("G"&amp;ROW()),minfo!$A:$M,COLUMN()-8,0),"")</f>
        <v>68</v>
      </c>
      <c r="R1966" s="4">
        <f ca="1">_xlfn.IFNA(VLOOKUP(INDIRECT("G"&amp;ROW()),minfo!$A:$M,COLUMN()-8,0),"")</f>
        <v>0</v>
      </c>
      <c r="S1966" s="4" t="str">
        <f ca="1">_xlfn.IFNA(VLOOKUP(INDIRECT("G"&amp;ROW()),minfo!$A:$M,COLUMN()-8,0),"")</f>
        <v>哔哩哔哩拜年纪金曲回顾</v>
      </c>
      <c r="T1966" s="4">
        <f ca="1">_xlfn.IFNA(VLOOKUP(INDIRECT("G"&amp;ROW()),minfo!$A:$M,COLUMN()-8,0),"")</f>
        <v>14971574</v>
      </c>
      <c r="U1966" s="4">
        <f ca="1">_xlfn.IFNA(VLOOKUP(INDIRECT("G"&amp;ROW()),minfo!$A:$M,COLUMN()-8,0),"")</f>
        <v>0</v>
      </c>
    </row>
    <row r="1967" spans="1:21" ht="15.75" customHeight="1">
      <c r="A1967" s="15">
        <v>1966</v>
      </c>
      <c r="D1967" s="4">
        <v>1</v>
      </c>
      <c r="E1967" s="4" t="s">
        <v>967</v>
      </c>
      <c r="F1967" s="16">
        <v>45426</v>
      </c>
      <c r="G1967" s="5" t="s">
        <v>966</v>
      </c>
      <c r="H1967" s="5" t="s">
        <v>5719</v>
      </c>
      <c r="I1967" s="24" t="str">
        <f>HYPERLINK("https://www.bilibili.com/video/BV1Cm421T77e?p=1", "BV1Cm421T77e?p=1")</f>
        <v>BV1Cm421T77e?p=1</v>
      </c>
      <c r="J1967" s="4" t="str">
        <f ca="1">_xlfn.IFNA(VLOOKUP(INDIRECT("G"&amp;ROW()),minfo!$A:$M,COLUMN()-8,0),"")</f>
        <v>小雨</v>
      </c>
      <c r="K1967" s="4" t="str">
        <f ca="1">_xlfn.IFNA(VLOOKUP(INDIRECT("G"&amp;ROW()),minfo!$A:$M,COLUMN()-8,0),"")</f>
        <v>黄龄</v>
      </c>
      <c r="L1967" s="4">
        <f ca="1">_xlfn.IFNA(VLOOKUP(INDIRECT("G"&amp;ROW()),minfo!$A:$M,COLUMN()-8,0),"")</f>
        <v>0</v>
      </c>
      <c r="M1967" s="4">
        <f ca="1">_xlfn.IFNA(VLOOKUP(INDIRECT("G"&amp;ROW()),minfo!$A:$M,COLUMN()-8,0),"")</f>
        <v>0</v>
      </c>
      <c r="N1967" s="4">
        <f ca="1">_xlfn.IFNA(VLOOKUP(INDIRECT("G"&amp;ROW()),minfo!$A:$M,COLUMN()-8,0),"")</f>
        <v>0</v>
      </c>
      <c r="O1967" s="4" t="str">
        <f ca="1">_xlfn.IFNA(VLOOKUP(INDIRECT("G"&amp;ROW()),minfo!$A:$M,COLUMN()-8,0),"")</f>
        <v>https://i0.hdslb.com/bfs/station_src/music_metadata/607346922702f1ba7302d87db0ecdbf1.jpg</v>
      </c>
      <c r="P1967" s="4" t="str">
        <f ca="1">_xlfn.IFNA(VLOOKUP(INDIRECT("G"&amp;ROW()),minfo!$A:$M,COLUMN()-8,0),"")</f>
        <v>https://i0.hdslb.com/bfs/station_src/music_metadata/245fdd0b68a8f71caa554e8f05ea1b6c.txt</v>
      </c>
      <c r="Q1967" s="4">
        <f ca="1">_xlfn.IFNA(VLOOKUP(INDIRECT("G"&amp;ROW()),minfo!$A:$M,COLUMN()-8,0),"")</f>
        <v>2250</v>
      </c>
      <c r="R1967" s="4">
        <f ca="1">_xlfn.IFNA(VLOOKUP(INDIRECT("G"&amp;ROW()),minfo!$A:$M,COLUMN()-8,0),"")</f>
        <v>0</v>
      </c>
      <c r="S1967" s="4" t="str">
        <f ca="1">_xlfn.IFNA(VLOOKUP(INDIRECT("G"&amp;ROW()),minfo!$A:$M,COLUMN()-8,0),"")</f>
        <v>小雨</v>
      </c>
      <c r="T1967" s="4">
        <f ca="1">_xlfn.IFNA(VLOOKUP(INDIRECT("G"&amp;ROW()),minfo!$A:$M,COLUMN()-8,0),"")</f>
        <v>63947645</v>
      </c>
      <c r="U1967" s="4">
        <f ca="1">_xlfn.IFNA(VLOOKUP(INDIRECT("G"&amp;ROW()),minfo!$A:$M,COLUMN()-8,0),"")</f>
        <v>0</v>
      </c>
    </row>
    <row r="1968" spans="1:21" ht="15.75" customHeight="1">
      <c r="A1968" s="15">
        <v>1967</v>
      </c>
      <c r="D1968" s="4">
        <v>1</v>
      </c>
      <c r="E1968" s="4" t="s">
        <v>3141</v>
      </c>
      <c r="F1968" s="16">
        <v>45426</v>
      </c>
      <c r="G1968" s="5" t="s">
        <v>3140</v>
      </c>
      <c r="H1968" s="5" t="s">
        <v>5720</v>
      </c>
      <c r="I1968" s="24" t="str">
        <f>HYPERLINK("https://www.bilibili.com/video/BV17r421E7Eg?p=1", "BV17r421E7Eg?p=1")</f>
        <v>BV17r421E7Eg?p=1</v>
      </c>
      <c r="J1968" s="4" t="str">
        <f ca="1">_xlfn.IFNA(VLOOKUP(INDIRECT("G"&amp;ROW()),minfo!$A:$M,COLUMN()-8,0),"")</f>
        <v>当你</v>
      </c>
      <c r="K1968" s="4" t="str">
        <f ca="1">_xlfn.IFNA(VLOOKUP(INDIRECT("G"&amp;ROW()),minfo!$A:$M,COLUMN()-8,0),"")</f>
        <v>王心凌</v>
      </c>
      <c r="L1968" s="4" t="str">
        <f ca="1">_xlfn.IFNA(VLOOKUP(INDIRECT("G"&amp;ROW()),minfo!$A:$M,COLUMN()-8,0),"")</f>
        <v>BV1rv4y1f7kh</v>
      </c>
      <c r="M1968" s="4">
        <f ca="1">_xlfn.IFNA(VLOOKUP(INDIRECT("G"&amp;ROW()),minfo!$A:$M,COLUMN()-8,0),"")</f>
        <v>14</v>
      </c>
      <c r="N1968" s="4">
        <f ca="1">_xlfn.IFNA(VLOOKUP(INDIRECT("G"&amp;ROW()),minfo!$A:$M,COLUMN()-8,0),"")</f>
        <v>2</v>
      </c>
      <c r="O1968" s="4" t="str">
        <f ca="1">_xlfn.IFNA(VLOOKUP(INDIRECT("G"&amp;ROW()),minfo!$A:$M,COLUMN()-8,0),"")</f>
        <v>https://i0.hdslb.com/bfs/station_src/music_metadata/d171cd11917e0385262f9cb1564fcb3b.jpg</v>
      </c>
      <c r="P1968" s="4" t="str">
        <f ca="1">_xlfn.IFNA(VLOOKUP(INDIRECT("G"&amp;ROW()),minfo!$A:$M,COLUMN()-8,0),"")</f>
        <v>http://i0.hdslb.com/bfs/station_src/music_metadata/86667b348835d329c8074baaa6a4db56</v>
      </c>
      <c r="Q1968" s="4">
        <f ca="1">_xlfn.IFNA(VLOOKUP(INDIRECT("G"&amp;ROW()),minfo!$A:$M,COLUMN()-8,0),"")</f>
        <v>711</v>
      </c>
      <c r="R1968" s="4" t="str">
        <f ca="1">_xlfn.IFNA(VLOOKUP(INDIRECT("G"&amp;ROW()),minfo!$A:$M,COLUMN()-8,0),"")</f>
        <v>《背叛爱情》电视剧中文版主题曲</v>
      </c>
      <c r="S1968" s="4" t="str">
        <f ca="1">_xlfn.IFNA(VLOOKUP(INDIRECT("G"&amp;ROW()),minfo!$A:$M,COLUMN()-8,0),"")</f>
        <v>My! Cyndi!</v>
      </c>
      <c r="T1968" s="4">
        <f ca="1">_xlfn.IFNA(VLOOKUP(INDIRECT("G"&amp;ROW()),minfo!$A:$M,COLUMN()-8,0),"")</f>
        <v>257991068</v>
      </c>
      <c r="U1968" s="4" t="str">
        <f ca="1">_xlfn.IFNA(VLOOKUP(INDIRECT("G"&amp;ROW()),minfo!$A:$M,COLUMN()-8,0),"")</f>
        <v>音乐榜最高NO.12</v>
      </c>
    </row>
    <row r="1969" spans="1:21" ht="15.75" customHeight="1">
      <c r="A1969" s="15">
        <v>1968</v>
      </c>
      <c r="D1969" s="4">
        <v>1</v>
      </c>
      <c r="E1969" s="17" t="s">
        <v>95</v>
      </c>
      <c r="F1969" s="16">
        <v>45426</v>
      </c>
      <c r="G1969" s="5" t="s">
        <v>203</v>
      </c>
      <c r="H1969" s="5" t="s">
        <v>5721</v>
      </c>
      <c r="I1969" s="24" t="str">
        <f>HYPERLINK("https://www.bilibili.com/video/BV1Fm421g7s3?p=1", "BV1Fm421g7s3?p=1")</f>
        <v>BV1Fm421g7s3?p=1</v>
      </c>
      <c r="J1969" s="4" t="str">
        <f ca="1">_xlfn.IFNA(VLOOKUP(INDIRECT("G"&amp;ROW()),minfo!$A:$M,COLUMN()-8,0),"")</f>
        <v>不问天</v>
      </c>
      <c r="K1969" s="4" t="str">
        <f ca="1">_xlfn.IFNA(VLOOKUP(INDIRECT("G"&amp;ROW()),minfo!$A:$M,COLUMN()-8,0),"")</f>
        <v>说说Crystal</v>
      </c>
      <c r="L1969" s="4">
        <f ca="1">_xlfn.IFNA(VLOOKUP(INDIRECT("G"&amp;ROW()),minfo!$A:$M,COLUMN()-8,0),"")</f>
        <v>0</v>
      </c>
      <c r="M1969" s="4">
        <f ca="1">_xlfn.IFNA(VLOOKUP(INDIRECT("G"&amp;ROW()),minfo!$A:$M,COLUMN()-8,0),"")</f>
        <v>0</v>
      </c>
      <c r="N1969" s="4">
        <f ca="1">_xlfn.IFNA(VLOOKUP(INDIRECT("G"&amp;ROW()),minfo!$A:$M,COLUMN()-8,0),"")</f>
        <v>0</v>
      </c>
      <c r="O1969" s="4" t="str">
        <f ca="1">_xlfn.IFNA(VLOOKUP(INDIRECT("G"&amp;ROW()),minfo!$A:$M,COLUMN()-8,0),"")</f>
        <v>https://i0.hdslb.com/bfs/station_src/music_metadata/ce3a0da2a7e64a49fa42a6e3db521f57.jpg</v>
      </c>
      <c r="P1969" s="4" t="str">
        <f ca="1">_xlfn.IFNA(VLOOKUP(INDIRECT("G"&amp;ROW()),minfo!$A:$M,COLUMN()-8,0),"")</f>
        <v>https://i0.hdslb.com/bfs/station_src/music_metadata/02cd9198a33924449443fc704a92a25a.txt</v>
      </c>
      <c r="Q1969" s="4">
        <f ca="1">_xlfn.IFNA(VLOOKUP(INDIRECT("G"&amp;ROW()),minfo!$A:$M,COLUMN()-8,0),"")</f>
        <v>149</v>
      </c>
      <c r="R1969" s="4">
        <f ca="1">_xlfn.IFNA(VLOOKUP(INDIRECT("G"&amp;ROW()),minfo!$A:$M,COLUMN()-8,0),"")</f>
        <v>0</v>
      </c>
      <c r="S1969" s="4" t="str">
        <f ca="1">_xlfn.IFNA(VLOOKUP(INDIRECT("G"&amp;ROW()),minfo!$A:$M,COLUMN()-8,0),"")</f>
        <v>2021哔哩哔哩拜年纪</v>
      </c>
      <c r="T1969" s="4">
        <f ca="1">_xlfn.IFNA(VLOOKUP(INDIRECT("G"&amp;ROW()),minfo!$A:$M,COLUMN()-8,0),"")</f>
        <v>33137051</v>
      </c>
      <c r="U1969" s="4">
        <f ca="1">_xlfn.IFNA(VLOOKUP(INDIRECT("G"&amp;ROW()),minfo!$A:$M,COLUMN()-8,0),"")</f>
        <v>0</v>
      </c>
    </row>
    <row r="1970" spans="1:21" ht="15.75" customHeight="1">
      <c r="A1970" s="15">
        <v>1969</v>
      </c>
      <c r="D1970" s="4">
        <v>1</v>
      </c>
      <c r="E1970" s="4" t="s">
        <v>523</v>
      </c>
      <c r="F1970" s="16">
        <v>45426</v>
      </c>
      <c r="G1970" s="5" t="s">
        <v>522</v>
      </c>
      <c r="H1970" s="5" t="s">
        <v>5722</v>
      </c>
      <c r="I1970" s="24" t="str">
        <f>HYPERLINK("https://www.bilibili.com/video/BV1ZM4m1C7Lz?p=1", "BV1ZM4m1C7Lz?p=1")</f>
        <v>BV1ZM4m1C7Lz?p=1</v>
      </c>
      <c r="J1970" s="4" t="str">
        <f ca="1">_xlfn.IFNA(VLOOKUP(INDIRECT("G"&amp;ROW()),minfo!$A:$M,COLUMN()-8,0),"")</f>
        <v>不醉不会</v>
      </c>
      <c r="K1970" s="4" t="str">
        <f ca="1">_xlfn.IFNA(VLOOKUP(INDIRECT("G"&amp;ROW()),minfo!$A:$M,COLUMN()-8,0),"")</f>
        <v>田馥甄</v>
      </c>
      <c r="L1970" s="4">
        <f ca="1">_xlfn.IFNA(VLOOKUP(INDIRECT("G"&amp;ROW()),minfo!$A:$M,COLUMN()-8,0),"")</f>
        <v>0</v>
      </c>
      <c r="M1970" s="4">
        <f ca="1">_xlfn.IFNA(VLOOKUP(INDIRECT("G"&amp;ROW()),minfo!$A:$M,COLUMN()-8,0),"")</f>
        <v>0</v>
      </c>
      <c r="N1970" s="4">
        <f ca="1">_xlfn.IFNA(VLOOKUP(INDIRECT("G"&amp;ROW()),minfo!$A:$M,COLUMN()-8,0),"")</f>
        <v>0</v>
      </c>
      <c r="O1970" s="4" t="str">
        <f ca="1">_xlfn.IFNA(VLOOKUP(INDIRECT("G"&amp;ROW()),minfo!$A:$M,COLUMN()-8,0),"")</f>
        <v>https://i0.hdslb.com/bfs/station_src/music_metadata/89dd3a7fe31b05442c9ebecb6692d9c6.jpg</v>
      </c>
      <c r="P1970" s="4" t="str">
        <f ca="1">_xlfn.IFNA(VLOOKUP(INDIRECT("G"&amp;ROW()),minfo!$A:$M,COLUMN()-8,0),"")</f>
        <v>http://i0.hdslb.com/bfs/station_src/music_metadata/e538f424a7bb1b824c88467288129a7b</v>
      </c>
      <c r="Q1970" s="4">
        <f ca="1">_xlfn.IFNA(VLOOKUP(INDIRECT("G"&amp;ROW()),minfo!$A:$M,COLUMN()-8,0),"")</f>
        <v>46</v>
      </c>
      <c r="R1970" s="4" t="str">
        <f ca="1">_xlfn.IFNA(VLOOKUP(INDIRECT("G"&amp;ROW()),minfo!$A:$M,COLUMN()-8,0),"")</f>
        <v>《没有名字的甜点店》电视剧主题曲</v>
      </c>
      <c r="S1970" s="4" t="str">
        <f ca="1">_xlfn.IFNA(VLOOKUP(INDIRECT("G"&amp;ROW()),minfo!$A:$M,COLUMN()-8,0),"")</f>
        <v>渺小</v>
      </c>
      <c r="T1970" s="4">
        <f ca="1">_xlfn.IFNA(VLOOKUP(INDIRECT("G"&amp;ROW()),minfo!$A:$M,COLUMN()-8,0),"")</f>
        <v>22119844</v>
      </c>
      <c r="U1970" s="4">
        <f ca="1">_xlfn.IFNA(VLOOKUP(INDIRECT("G"&amp;ROW()),minfo!$A:$M,COLUMN()-8,0),"")</f>
        <v>0</v>
      </c>
    </row>
    <row r="1971" spans="1:21" ht="15.75" customHeight="1">
      <c r="A1971" s="15">
        <v>1970</v>
      </c>
      <c r="D1971" s="4">
        <v>1</v>
      </c>
      <c r="E1971" s="4" t="s">
        <v>3181</v>
      </c>
      <c r="F1971" s="16">
        <v>45427</v>
      </c>
      <c r="G1971" s="5" t="s">
        <v>3180</v>
      </c>
      <c r="H1971" s="5" t="s">
        <v>5723</v>
      </c>
      <c r="I1971" s="24" t="str">
        <f>HYPERLINK("https://www.bilibili.com/video/BV19J4m1N7BN?p=1", "BV19J4m1N7BN?p=1")</f>
        <v>BV19J4m1N7BN?p=1</v>
      </c>
      <c r="J1971" s="4" t="str">
        <f ca="1">_xlfn.IFNA(VLOOKUP(INDIRECT("G"&amp;ROW()),minfo!$A:$M,COLUMN()-8,0),"")</f>
        <v>如果可以</v>
      </c>
      <c r="K1971" s="4" t="str">
        <f ca="1">_xlfn.IFNA(VLOOKUP(INDIRECT("G"&amp;ROW()),minfo!$A:$M,COLUMN()-8,0),"")</f>
        <v>韦礼安</v>
      </c>
      <c r="L1971" s="4">
        <f ca="1">_xlfn.IFNA(VLOOKUP(INDIRECT("G"&amp;ROW()),minfo!$A:$M,COLUMN()-8,0),"")</f>
        <v>0</v>
      </c>
      <c r="M1971" s="4">
        <f ca="1">_xlfn.IFNA(VLOOKUP(INDIRECT("G"&amp;ROW()),minfo!$A:$M,COLUMN()-8,0),"")</f>
        <v>0</v>
      </c>
      <c r="N1971" s="4">
        <f ca="1">_xlfn.IFNA(VLOOKUP(INDIRECT("G"&amp;ROW()),minfo!$A:$M,COLUMN()-8,0),"")</f>
        <v>0</v>
      </c>
      <c r="O1971" s="4" t="str">
        <f ca="1">_xlfn.IFNA(VLOOKUP(INDIRECT("G"&amp;ROW()),minfo!$A:$M,COLUMN()-8,0),"")</f>
        <v>https://i0.hdslb.com/bfs/station_src/music_metadata/3d52e1d9e9d668310f6fb22c7c34650c.jpg</v>
      </c>
      <c r="P1971" s="4" t="str">
        <f ca="1">_xlfn.IFNA(VLOOKUP(INDIRECT("G"&amp;ROW()),minfo!$A:$M,COLUMN()-8,0),"")</f>
        <v>http://i0.hdslb.com/bfs/station_src/music_metadata/0d57c85e1991b51c43332c9b6cb6c1d4</v>
      </c>
      <c r="Q1971" s="4">
        <f ca="1">_xlfn.IFNA(VLOOKUP(INDIRECT("G"&amp;ROW()),minfo!$A:$M,COLUMN()-8,0),"")</f>
        <v>1735</v>
      </c>
      <c r="R1971" s="4" t="str">
        <f ca="1">_xlfn.IFNA(VLOOKUP(INDIRECT("G"&amp;ROW()),minfo!$A:$M,COLUMN()-8,0),"")</f>
        <v>《月老》电影主题曲</v>
      </c>
      <c r="S1971" s="4" t="str">
        <f ca="1">_xlfn.IFNA(VLOOKUP(INDIRECT("G"&amp;ROW()),minfo!$A:$M,COLUMN()-8,0),"")</f>
        <v>如果可以</v>
      </c>
      <c r="T1971" s="4">
        <f ca="1">_xlfn.IFNA(VLOOKUP(INDIRECT("G"&amp;ROW()),minfo!$A:$M,COLUMN()-8,0),"")</f>
        <v>123868678</v>
      </c>
      <c r="U1971" s="4">
        <f ca="1">_xlfn.IFNA(VLOOKUP(INDIRECT("G"&amp;ROW()),minfo!$A:$M,COLUMN()-8,0),"")</f>
        <v>0</v>
      </c>
    </row>
    <row r="1972" spans="1:21" ht="15.75" customHeight="1">
      <c r="A1972" s="15">
        <v>1971</v>
      </c>
      <c r="D1972" s="4">
        <v>2</v>
      </c>
      <c r="E1972" s="4" t="s">
        <v>3181</v>
      </c>
      <c r="F1972" s="16">
        <v>45427</v>
      </c>
      <c r="G1972" s="5" t="s">
        <v>3186</v>
      </c>
      <c r="H1972" s="5" t="s">
        <v>5723</v>
      </c>
      <c r="I1972" s="24" t="str">
        <f>HYPERLINK("https://www.bilibili.com/video/BV19J4m1N7BN?p=2", "BV19J4m1N7BN?p=2")</f>
        <v>BV19J4m1N7BN?p=2</v>
      </c>
      <c r="J1972" s="4" t="str">
        <f ca="1">_xlfn.IFNA(VLOOKUP(INDIRECT("G"&amp;ROW()),minfo!$A:$M,COLUMN()-8,0),"")</f>
        <v>如果可以</v>
      </c>
      <c r="K1972" s="4" t="str">
        <f ca="1">_xlfn.IFNA(VLOOKUP(INDIRECT("G"&amp;ROW()),minfo!$A:$M,COLUMN()-8,0),"")</f>
        <v>韦礼安</v>
      </c>
      <c r="L1972" s="4">
        <f ca="1">_xlfn.IFNA(VLOOKUP(INDIRECT("G"&amp;ROW()),minfo!$A:$M,COLUMN()-8,0),"")</f>
        <v>0</v>
      </c>
      <c r="M1972" s="4">
        <f ca="1">_xlfn.IFNA(VLOOKUP(INDIRECT("G"&amp;ROW()),minfo!$A:$M,COLUMN()-8,0),"")</f>
        <v>0</v>
      </c>
      <c r="N1972" s="4">
        <f ca="1">_xlfn.IFNA(VLOOKUP(INDIRECT("G"&amp;ROW()),minfo!$A:$M,COLUMN()-8,0),"")</f>
        <v>0</v>
      </c>
      <c r="O1972" s="4" t="str">
        <f ca="1">_xlfn.IFNA(VLOOKUP(INDIRECT("G"&amp;ROW()),minfo!$A:$M,COLUMN()-8,0),"")</f>
        <v>https://i0.hdslb.com/bfs/station_src/music_metadata/3d52e1d9e9d668310f6fb22c7c34650c.jpg</v>
      </c>
      <c r="P1972" s="4" t="str">
        <f ca="1">_xlfn.IFNA(VLOOKUP(INDIRECT("G"&amp;ROW()),minfo!$A:$M,COLUMN()-8,0),"")</f>
        <v>http://i0.hdslb.com/bfs/station_src/music_metadata/0d57c85e1991b51c43332c9b6cb6c1d4</v>
      </c>
      <c r="Q1972" s="4">
        <f ca="1">_xlfn.IFNA(VLOOKUP(INDIRECT("G"&amp;ROW()),minfo!$A:$M,COLUMN()-8,0),"")</f>
        <v>1735</v>
      </c>
      <c r="R1972" s="4" t="str">
        <f ca="1">_xlfn.IFNA(VLOOKUP(INDIRECT("G"&amp;ROW()),minfo!$A:$M,COLUMN()-8,0),"")</f>
        <v>《月老》电影主题曲</v>
      </c>
      <c r="S1972" s="4" t="str">
        <f ca="1">_xlfn.IFNA(VLOOKUP(INDIRECT("G"&amp;ROW()),minfo!$A:$M,COLUMN()-8,0),"")</f>
        <v>如果可以</v>
      </c>
      <c r="T1972" s="4">
        <f ca="1">_xlfn.IFNA(VLOOKUP(INDIRECT("G"&amp;ROW()),minfo!$A:$M,COLUMN()-8,0),"")</f>
        <v>123868678</v>
      </c>
      <c r="U1972" s="4">
        <f ca="1">_xlfn.IFNA(VLOOKUP(INDIRECT("G"&amp;ROW()),minfo!$A:$M,COLUMN()-8,0),"")</f>
        <v>0</v>
      </c>
    </row>
    <row r="1973" spans="1:21" ht="15.75" customHeight="1">
      <c r="A1973" s="15">
        <v>1972</v>
      </c>
      <c r="D1973" s="4">
        <v>1</v>
      </c>
      <c r="E1973" s="4" t="s">
        <v>126</v>
      </c>
      <c r="F1973" s="16">
        <v>45427</v>
      </c>
      <c r="G1973" s="5" t="s">
        <v>3084</v>
      </c>
      <c r="H1973" s="5" t="s">
        <v>5724</v>
      </c>
      <c r="I1973" s="24" t="str">
        <f>HYPERLINK("https://www.bilibili.com/video/BV1aJ4m1A7Fs?p=1", "BV1aJ4m1A7Fs?p=1")</f>
        <v>BV1aJ4m1A7Fs?p=1</v>
      </c>
      <c r="J1973" s="4" t="str">
        <f ca="1">_xlfn.IFNA(VLOOKUP(INDIRECT("G"&amp;ROW()),minfo!$A:$M,COLUMN()-8,0),"")</f>
        <v>最后一页</v>
      </c>
      <c r="K1973" s="4" t="str">
        <f ca="1">_xlfn.IFNA(VLOOKUP(INDIRECT("G"&amp;ROW()),minfo!$A:$M,COLUMN()-8,0),"")</f>
        <v>江语晨</v>
      </c>
      <c r="L1973" s="4">
        <f ca="1">_xlfn.IFNA(VLOOKUP(INDIRECT("G"&amp;ROW()),minfo!$A:$M,COLUMN()-8,0),"")</f>
        <v>0</v>
      </c>
      <c r="M1973" s="4">
        <f ca="1">_xlfn.IFNA(VLOOKUP(INDIRECT("G"&amp;ROW()),minfo!$A:$M,COLUMN()-8,0),"")</f>
        <v>0</v>
      </c>
      <c r="N1973" s="4">
        <f ca="1">_xlfn.IFNA(VLOOKUP(INDIRECT("G"&amp;ROW()),minfo!$A:$M,COLUMN()-8,0),"")</f>
        <v>0</v>
      </c>
      <c r="O1973" s="4" t="str">
        <f ca="1">_xlfn.IFNA(VLOOKUP(INDIRECT("G"&amp;ROW()),minfo!$A:$M,COLUMN()-8,0),"")</f>
        <v>http://i0.hdslb.com/bfs/station_src/music_metadata/03829d07e510b264a8ee03b9ff99af1d.jpg</v>
      </c>
      <c r="P1973" s="4" t="str">
        <f ca="1">_xlfn.IFNA(VLOOKUP(INDIRECT("G"&amp;ROW()),minfo!$A:$M,COLUMN()-8,0),"")</f>
        <v>http://i0.hdslb.com/bfs/station_src/music_metadata/99e9792086eeea86ae744bc267bcf796</v>
      </c>
      <c r="Q1973" s="4">
        <f ca="1">_xlfn.IFNA(VLOOKUP(INDIRECT("G"&amp;ROW()),minfo!$A:$M,COLUMN()-8,0),"")</f>
        <v>6399</v>
      </c>
      <c r="R1973" s="4" t="str">
        <f ca="1">_xlfn.IFNA(VLOOKUP(INDIRECT("G"&amp;ROW()),minfo!$A:$M,COLUMN()-8,0),"")</f>
        <v>爱只能在回忆里完整</v>
      </c>
      <c r="S1973" s="4" t="str">
        <f ca="1">_xlfn.IFNA(VLOOKUP(INDIRECT("G"&amp;ROW()),minfo!$A:$M,COLUMN()-8,0),"")</f>
        <v>恋习</v>
      </c>
      <c r="T1973" s="4">
        <f ca="1">_xlfn.IFNA(VLOOKUP(INDIRECT("G"&amp;ROW()),minfo!$A:$M,COLUMN()-8,0),"")</f>
        <v>834285022</v>
      </c>
      <c r="U1973" s="4" t="str">
        <f ca="1">_xlfn.IFNA(VLOOKUP(INDIRECT("G"&amp;ROW()),minfo!$A:$M,COLUMN()-8,0),"")</f>
        <v>音乐榜最高NO.10</v>
      </c>
    </row>
    <row r="1974" spans="1:21" ht="15.75" customHeight="1">
      <c r="A1974" s="15">
        <v>1973</v>
      </c>
      <c r="D1974" s="4">
        <v>1</v>
      </c>
      <c r="E1974" s="4" t="s">
        <v>375</v>
      </c>
      <c r="F1974" s="16">
        <v>45427</v>
      </c>
      <c r="G1974" s="5" t="s">
        <v>374</v>
      </c>
      <c r="H1974" s="5" t="s">
        <v>5725</v>
      </c>
      <c r="I1974" s="24" t="str">
        <f>HYPERLINK("https://www.bilibili.com/video/BV1wy411e7do?p=1", "BV1wy411e7do?p=1")</f>
        <v>BV1wy411e7do?p=1</v>
      </c>
      <c r="J1974" s="4" t="str">
        <f ca="1">_xlfn.IFNA(VLOOKUP(INDIRECT("G"&amp;ROW()),minfo!$A:$M,COLUMN()-8,0),"")</f>
        <v>彩虹</v>
      </c>
      <c r="K1974" s="4" t="str">
        <f ca="1">_xlfn.IFNA(VLOOKUP(INDIRECT("G"&amp;ROW()),minfo!$A:$M,COLUMN()-8,0),"")</f>
        <v>周杰伦</v>
      </c>
      <c r="L1974" s="4">
        <f ca="1">_xlfn.IFNA(VLOOKUP(INDIRECT("G"&amp;ROW()),minfo!$A:$M,COLUMN()-8,0),"")</f>
        <v>0</v>
      </c>
      <c r="M1974" s="4">
        <f ca="1">_xlfn.IFNA(VLOOKUP(INDIRECT("G"&amp;ROW()),minfo!$A:$M,COLUMN()-8,0),"")</f>
        <v>0</v>
      </c>
      <c r="N1974" s="4">
        <f ca="1">_xlfn.IFNA(VLOOKUP(INDIRECT("G"&amp;ROW()),minfo!$A:$M,COLUMN()-8,0),"")</f>
        <v>0</v>
      </c>
      <c r="O1974" s="4" t="str">
        <f ca="1">_xlfn.IFNA(VLOOKUP(INDIRECT("G"&amp;ROW()),minfo!$A:$M,COLUMN()-8,0),"")</f>
        <v>https://i0.hdslb.com/bfs/station_src/music_metadata/2b7d7250423bd10995c607eb49b4e004.jpg</v>
      </c>
      <c r="P1974" s="4">
        <f ca="1">_xlfn.IFNA(VLOOKUP(INDIRECT("G"&amp;ROW()),minfo!$A:$M,COLUMN()-8,0),"")</f>
        <v>0</v>
      </c>
      <c r="Q1974" s="4">
        <f ca="1">_xlfn.IFNA(VLOOKUP(INDIRECT("G"&amp;ROW()),minfo!$A:$M,COLUMN()-8,0),"")</f>
        <v>1340</v>
      </c>
      <c r="R1974" s="4" t="str">
        <f ca="1">_xlfn.IFNA(VLOOKUP(INDIRECT("G"&amp;ROW()),minfo!$A:$M,COLUMN()-8,0),"")</f>
        <v>《命运呼叫转移》电影主题曲</v>
      </c>
      <c r="S1974" s="4" t="str">
        <f ca="1">_xlfn.IFNA(VLOOKUP(INDIRECT("G"&amp;ROW()),minfo!$A:$M,COLUMN()-8,0),"")</f>
        <v>我很忙</v>
      </c>
      <c r="T1974" s="4">
        <f ca="1">_xlfn.IFNA(VLOOKUP(INDIRECT("G"&amp;ROW()),minfo!$A:$M,COLUMN()-8,0),"")</f>
        <v>394249952</v>
      </c>
      <c r="U1974" s="4">
        <f ca="1">_xlfn.IFNA(VLOOKUP(INDIRECT("G"&amp;ROW()),minfo!$A:$M,COLUMN()-8,0),"")</f>
        <v>0</v>
      </c>
    </row>
    <row r="1975" spans="1:21" ht="15.75" customHeight="1">
      <c r="A1975" s="15">
        <v>1974</v>
      </c>
      <c r="D1975" s="4">
        <v>1</v>
      </c>
      <c r="E1975" s="4" t="s">
        <v>3161</v>
      </c>
      <c r="F1975" s="16">
        <v>45427</v>
      </c>
      <c r="G1975" s="5" t="s">
        <v>3160</v>
      </c>
      <c r="H1975" s="5" t="s">
        <v>5726</v>
      </c>
      <c r="I1975" s="24" t="str">
        <f>HYPERLINK("https://www.bilibili.com/video/BV1cr421j75a?p=1", "BV1cr421j75a?p=1")</f>
        <v>BV1cr421j75a?p=1</v>
      </c>
      <c r="J1975" s="4" t="str">
        <f ca="1">_xlfn.IFNA(VLOOKUP(INDIRECT("G"&amp;ROW()),minfo!$A:$M,COLUMN()-8,0),"")</f>
        <v>姐就是女王</v>
      </c>
      <c r="K1975" s="4" t="str">
        <f ca="1">_xlfn.IFNA(VLOOKUP(INDIRECT("G"&amp;ROW()),minfo!$A:$M,COLUMN()-8,0),"")</f>
        <v>王莎莎</v>
      </c>
      <c r="L1975" s="4">
        <f ca="1">_xlfn.IFNA(VLOOKUP(INDIRECT("G"&amp;ROW()),minfo!$A:$M,COLUMN()-8,0),"")</f>
        <v>0</v>
      </c>
      <c r="M1975" s="4">
        <f ca="1">_xlfn.IFNA(VLOOKUP(INDIRECT("G"&amp;ROW()),minfo!$A:$M,COLUMN()-8,0),"")</f>
        <v>0</v>
      </c>
      <c r="N1975" s="4">
        <f ca="1">_xlfn.IFNA(VLOOKUP(INDIRECT("G"&amp;ROW()),minfo!$A:$M,COLUMN()-8,0),"")</f>
        <v>0</v>
      </c>
      <c r="O1975" s="4" t="str">
        <f ca="1">_xlfn.IFNA(VLOOKUP(INDIRECT("G"&amp;ROW()),minfo!$A:$M,COLUMN()-8,0),"")</f>
        <v>http://i0.hdslb.com/bfs/station_src/music_metadata/ea2c3816f8a4885c4c0cb7067d0c7d44.jpg</v>
      </c>
      <c r="P1975" s="4" t="str">
        <f ca="1">_xlfn.IFNA(VLOOKUP(INDIRECT("G"&amp;ROW()),minfo!$A:$M,COLUMN()-8,0),"")</f>
        <v>http://i0.hdslb.com/bfs/station_src/music_metadata/461e64097b3f1f448d6438456c2136de</v>
      </c>
      <c r="Q1975" s="4">
        <f ca="1">_xlfn.IFNA(VLOOKUP(INDIRECT("G"&amp;ROW()),minfo!$A:$M,COLUMN()-8,0),"")</f>
        <v>1759</v>
      </c>
      <c r="R1975" s="4">
        <f ca="1">_xlfn.IFNA(VLOOKUP(INDIRECT("G"&amp;ROW()),minfo!$A:$M,COLUMN()-8,0),"")</f>
        <v>0</v>
      </c>
      <c r="S1975" s="4" t="str">
        <f ca="1">_xlfn.IFNA(VLOOKUP(INDIRECT("G"&amp;ROW()),minfo!$A:$M,COLUMN()-8,0),"")</f>
        <v>姐就是女王</v>
      </c>
      <c r="T1975" s="4">
        <f ca="1">_xlfn.IFNA(VLOOKUP(INDIRECT("G"&amp;ROW()),minfo!$A:$M,COLUMN()-8,0),"")</f>
        <v>551836533</v>
      </c>
      <c r="U1975" s="4">
        <f ca="1">_xlfn.IFNA(VLOOKUP(INDIRECT("G"&amp;ROW()),minfo!$A:$M,COLUMN()-8,0),"")</f>
        <v>0</v>
      </c>
    </row>
    <row r="1976" spans="1:21" ht="15.75" customHeight="1">
      <c r="A1976" s="15">
        <v>1975</v>
      </c>
      <c r="D1976" s="4">
        <v>1</v>
      </c>
      <c r="E1976" s="4" t="s">
        <v>1340</v>
      </c>
      <c r="F1976" s="16">
        <v>45427</v>
      </c>
      <c r="G1976" s="5" t="s">
        <v>1339</v>
      </c>
      <c r="H1976" s="5" t="s">
        <v>5727</v>
      </c>
      <c r="I1976" s="24" t="str">
        <f>HYPERLINK("https://www.bilibili.com/video/BV1aM4m1C7q2?p=1", "BV1aM4m1C7q2?p=1")</f>
        <v>BV1aM4m1C7q2?p=1</v>
      </c>
      <c r="J1976" s="4" t="str">
        <f ca="1">_xlfn.IFNA(VLOOKUP(INDIRECT("G"&amp;ROW()),minfo!$A:$M,COLUMN()-8,0),"")</f>
        <v>天天</v>
      </c>
      <c r="K1976" s="4" t="str">
        <f ca="1">_xlfn.IFNA(VLOOKUP(INDIRECT("G"&amp;ROW()),minfo!$A:$M,COLUMN()-8,0),"")</f>
        <v>陶喆</v>
      </c>
      <c r="L1976" s="4">
        <f ca="1">_xlfn.IFNA(VLOOKUP(INDIRECT("G"&amp;ROW()),minfo!$A:$M,COLUMN()-8,0),"")</f>
        <v>0</v>
      </c>
      <c r="M1976" s="4">
        <f ca="1">_xlfn.IFNA(VLOOKUP(INDIRECT("G"&amp;ROW()),minfo!$A:$M,COLUMN()-8,0),"")</f>
        <v>0</v>
      </c>
      <c r="N1976" s="4">
        <f ca="1">_xlfn.IFNA(VLOOKUP(INDIRECT("G"&amp;ROW()),minfo!$A:$M,COLUMN()-8,0),"")</f>
        <v>0</v>
      </c>
      <c r="O1976" s="4" t="str">
        <f ca="1">_xlfn.IFNA(VLOOKUP(INDIRECT("G"&amp;ROW()),minfo!$A:$M,COLUMN()-8,0),"")</f>
        <v>http://i0.hdslb.com/bfs/station_src/music_metadata/ff6417302beb4146f79dbd4e37c6d317.jpg</v>
      </c>
      <c r="P1976" s="4" t="str">
        <f ca="1">_xlfn.IFNA(VLOOKUP(INDIRECT("G"&amp;ROW()),minfo!$A:$M,COLUMN()-8,0),"")</f>
        <v>http://i0.hdslb.com/bfs/station_src/music_metadata/c93605bfcadefe74f0d5b1a5b6a8db05</v>
      </c>
      <c r="Q1976" s="4">
        <f ca="1">_xlfn.IFNA(VLOOKUP(INDIRECT("G"&amp;ROW()),minfo!$A:$M,COLUMN()-8,0),"")</f>
        <v>535</v>
      </c>
      <c r="R1976" s="4">
        <f ca="1">_xlfn.IFNA(VLOOKUP(INDIRECT("G"&amp;ROW()),minfo!$A:$M,COLUMN()-8,0),"")</f>
        <v>0</v>
      </c>
      <c r="S1976" s="4" t="str">
        <f ca="1">_xlfn.IFNA(VLOOKUP(INDIRECT("G"&amp;ROW()),minfo!$A:$M,COLUMN()-8,0),"")</f>
        <v>I'm OK</v>
      </c>
      <c r="T1976" s="4">
        <f ca="1">_xlfn.IFNA(VLOOKUP(INDIRECT("G"&amp;ROW()),minfo!$A:$M,COLUMN()-8,0),"")</f>
        <v>82012532</v>
      </c>
      <c r="U1976" s="4">
        <f ca="1">_xlfn.IFNA(VLOOKUP(INDIRECT("G"&amp;ROW()),minfo!$A:$M,COLUMN()-8,0),"")</f>
        <v>0</v>
      </c>
    </row>
    <row r="1977" spans="1:21" ht="15.75" customHeight="1">
      <c r="A1977" s="15">
        <v>1976</v>
      </c>
      <c r="D1977" s="4">
        <v>1</v>
      </c>
      <c r="E1977" s="4" t="s">
        <v>409</v>
      </c>
      <c r="F1977" s="16">
        <v>45427</v>
      </c>
      <c r="G1977" s="5" t="s">
        <v>408</v>
      </c>
      <c r="H1977" s="5" t="s">
        <v>5728</v>
      </c>
      <c r="I1977" s="24" t="str">
        <f>HYPERLINK("https://www.bilibili.com/video/BV1Uw4m1Q7JU?p=1", "BV1Uw4m1Q7JU?p=1")</f>
        <v>BV1Uw4m1Q7JU?p=1</v>
      </c>
      <c r="J1977" s="4" t="str">
        <f ca="1">_xlfn.IFNA(VLOOKUP(INDIRECT("G"&amp;ROW()),minfo!$A:$M,COLUMN()-8,0),"")</f>
        <v>呼吸决定</v>
      </c>
      <c r="K1977" s="4" t="str">
        <f ca="1">_xlfn.IFNA(VLOOKUP(INDIRECT("G"&amp;ROW()),minfo!$A:$M,COLUMN()-8,0),"")</f>
        <v>Fine乐团</v>
      </c>
      <c r="L1977" s="4">
        <f ca="1">_xlfn.IFNA(VLOOKUP(INDIRECT("G"&amp;ROW()),minfo!$A:$M,COLUMN()-8,0),"")</f>
        <v>0</v>
      </c>
      <c r="M1977" s="4">
        <f ca="1">_xlfn.IFNA(VLOOKUP(INDIRECT("G"&amp;ROW()),minfo!$A:$M,COLUMN()-8,0),"")</f>
        <v>0</v>
      </c>
      <c r="N1977" s="4">
        <f ca="1">_xlfn.IFNA(VLOOKUP(INDIRECT("G"&amp;ROW()),minfo!$A:$M,COLUMN()-8,0),"")</f>
        <v>0</v>
      </c>
      <c r="O1977" s="4" t="str">
        <f ca="1">_xlfn.IFNA(VLOOKUP(INDIRECT("G"&amp;ROW()),minfo!$A:$M,COLUMN()-8,0),"")</f>
        <v>http://i0.hdslb.com/bfs/station_src/music_metadata/de6c3020bce1962dc02b42568606781f.jpg</v>
      </c>
      <c r="P1977" s="4" t="str">
        <f ca="1">_xlfn.IFNA(VLOOKUP(INDIRECT("G"&amp;ROW()),minfo!$A:$M,COLUMN()-8,0),"")</f>
        <v>http://i0.hdslb.com/bfs/station_src/music_metadata/9dfd516512eb23be6e624848db3bed57</v>
      </c>
      <c r="Q1977" s="4">
        <f ca="1">_xlfn.IFNA(VLOOKUP(INDIRECT("G"&amp;ROW()),minfo!$A:$M,COLUMN()-8,0),"")</f>
        <v>838</v>
      </c>
      <c r="R1977" s="4">
        <f ca="1">_xlfn.IFNA(VLOOKUP(INDIRECT("G"&amp;ROW()),minfo!$A:$M,COLUMN()-8,0),"")</f>
        <v>0</v>
      </c>
      <c r="S1977" s="4">
        <f ca="1">_xlfn.IFNA(VLOOKUP(INDIRECT("G"&amp;ROW()),minfo!$A:$M,COLUMN()-8,0),"")</f>
        <v>0</v>
      </c>
      <c r="T1977" s="4">
        <f ca="1">_xlfn.IFNA(VLOOKUP(INDIRECT("G"&amp;ROW()),minfo!$A:$M,COLUMN()-8,0),"")</f>
        <v>100019249</v>
      </c>
      <c r="U1977" s="4">
        <f ca="1">_xlfn.IFNA(VLOOKUP(INDIRECT("G"&amp;ROW()),minfo!$A:$M,COLUMN()-8,0),"")</f>
        <v>0</v>
      </c>
    </row>
    <row r="1978" spans="1:21" ht="15.75" customHeight="1">
      <c r="A1978" s="15">
        <v>1977</v>
      </c>
      <c r="D1978" s="4">
        <v>1</v>
      </c>
      <c r="E1978" s="4" t="s">
        <v>1563</v>
      </c>
      <c r="F1978" s="16">
        <v>45427</v>
      </c>
      <c r="G1978" s="5" t="s">
        <v>1562</v>
      </c>
      <c r="H1978" s="5" t="s">
        <v>5729</v>
      </c>
      <c r="I1978" s="24" t="str">
        <f>HYPERLINK("https://www.bilibili.com/video/BV1oH4y1M7BK?p=1", "BV1oH4y1M7BK?p=1")</f>
        <v>BV1oH4y1M7BK?p=1</v>
      </c>
      <c r="J1978" s="4" t="str">
        <f ca="1">_xlfn.IFNA(VLOOKUP(INDIRECT("G"&amp;ROW()),minfo!$A:$M,COLUMN()-8,0),"")</f>
        <v>广寒宫</v>
      </c>
      <c r="K1978" s="4" t="str">
        <f ca="1">_xlfn.IFNA(VLOOKUP(INDIRECT("G"&amp;ROW()),minfo!$A:$M,COLUMN()-8,0),"")</f>
        <v>丸子呦</v>
      </c>
      <c r="L1978" s="4">
        <f ca="1">_xlfn.IFNA(VLOOKUP(INDIRECT("G"&amp;ROW()),minfo!$A:$M,COLUMN()-8,0),"")</f>
        <v>0</v>
      </c>
      <c r="M1978" s="4">
        <f ca="1">_xlfn.IFNA(VLOOKUP(INDIRECT("G"&amp;ROW()),minfo!$A:$M,COLUMN()-8,0),"")</f>
        <v>0</v>
      </c>
      <c r="N1978" s="4">
        <f ca="1">_xlfn.IFNA(VLOOKUP(INDIRECT("G"&amp;ROW()),minfo!$A:$M,COLUMN()-8,0),"")</f>
        <v>0</v>
      </c>
      <c r="O1978" s="4" t="str">
        <f ca="1">_xlfn.IFNA(VLOOKUP(INDIRECT("G"&amp;ROW()),minfo!$A:$M,COLUMN()-8,0),"")</f>
        <v>http://i0.hdslb.com/bfs/station_src/music_metadata/34ca6b8e730825da76cd496fc8ec788e.jpg</v>
      </c>
      <c r="P1978" s="4" t="str">
        <f ca="1">_xlfn.IFNA(VLOOKUP(INDIRECT("G"&amp;ROW()),minfo!$A:$M,COLUMN()-8,0),"")</f>
        <v>http://i0.hdslb.com/bfs/station_src/music_metadata/a95b0d50c3fc759441c9e4331e2e9148</v>
      </c>
      <c r="Q1978" s="4">
        <f ca="1">_xlfn.IFNA(VLOOKUP(INDIRECT("G"&amp;ROW()),minfo!$A:$M,COLUMN()-8,0),"")</f>
        <v>1984</v>
      </c>
      <c r="R1978" s="4">
        <f ca="1">_xlfn.IFNA(VLOOKUP(INDIRECT("G"&amp;ROW()),minfo!$A:$M,COLUMN()-8,0),"")</f>
        <v>0</v>
      </c>
      <c r="S1978" s="4" t="str">
        <f ca="1">_xlfn.IFNA(VLOOKUP(INDIRECT("G"&amp;ROW()),minfo!$A:$M,COLUMN()-8,0),"")</f>
        <v xml:space="preserve"> 广寒宫 </v>
      </c>
      <c r="T1978" s="4">
        <f ca="1">_xlfn.IFNA(VLOOKUP(INDIRECT("G"&amp;ROW()),minfo!$A:$M,COLUMN()-8,0),"")</f>
        <v>812417214</v>
      </c>
      <c r="U1978" s="4">
        <f ca="1">_xlfn.IFNA(VLOOKUP(INDIRECT("G"&amp;ROW()),minfo!$A:$M,COLUMN()-8,0),"")</f>
        <v>0</v>
      </c>
    </row>
    <row r="1979" spans="1:21" ht="15.75" customHeight="1">
      <c r="A1979" s="15">
        <v>1978</v>
      </c>
      <c r="D1979" s="4">
        <v>1</v>
      </c>
      <c r="E1979" s="4" t="s">
        <v>597</v>
      </c>
      <c r="F1979" s="16">
        <v>45427</v>
      </c>
      <c r="G1979" s="5" t="s">
        <v>596</v>
      </c>
      <c r="H1979" s="5" t="s">
        <v>5730</v>
      </c>
      <c r="I1979" s="24" t="str">
        <f>HYPERLINK("https://www.bilibili.com/video/BV1F1421B76K?p=1", "BV1F1421B76K?p=1")</f>
        <v>BV1F1421B76K?p=1</v>
      </c>
      <c r="J1979" s="4" t="str">
        <f ca="1">_xlfn.IFNA(VLOOKUP(INDIRECT("G"&amp;ROW()),minfo!$A:$M,COLUMN()-8,0),"")</f>
        <v>十万毫升泪水</v>
      </c>
      <c r="K1979" s="4" t="str">
        <f ca="1">_xlfn.IFNA(VLOOKUP(INDIRECT("G"&amp;ROW()),minfo!$A:$M,COLUMN()-8,0),"")</f>
        <v>蔡健雅</v>
      </c>
      <c r="L1979" s="4">
        <f ca="1">_xlfn.IFNA(VLOOKUP(INDIRECT("G"&amp;ROW()),minfo!$A:$M,COLUMN()-8,0),"")</f>
        <v>0</v>
      </c>
      <c r="M1979" s="4">
        <f ca="1">_xlfn.IFNA(VLOOKUP(INDIRECT("G"&amp;ROW()),minfo!$A:$M,COLUMN()-8,0),"")</f>
        <v>0</v>
      </c>
      <c r="N1979" s="4">
        <f ca="1">_xlfn.IFNA(VLOOKUP(INDIRECT("G"&amp;ROW()),minfo!$A:$M,COLUMN()-8,0),"")</f>
        <v>0</v>
      </c>
      <c r="O1979" s="4" t="str">
        <f ca="1">_xlfn.IFNA(VLOOKUP(INDIRECT("G"&amp;ROW()),minfo!$A:$M,COLUMN()-8,0),"")</f>
        <v>https://i0.hdslb.com/bfs/station_src/music_metadata/43003db948184238a261743b3e985d11.jpg</v>
      </c>
      <c r="P1979" s="4" t="str">
        <f ca="1">_xlfn.IFNA(VLOOKUP(INDIRECT("G"&amp;ROW()),minfo!$A:$M,COLUMN()-8,0),"")</f>
        <v>https://i0.hdslb.com/bfs/station_src/music_metadata/b460bce037ba5523f9fe4dceb112d960.txt</v>
      </c>
      <c r="Q1979" s="4">
        <f ca="1">_xlfn.IFNA(VLOOKUP(INDIRECT("G"&amp;ROW()),minfo!$A:$M,COLUMN()-8,0),"")</f>
        <v>6</v>
      </c>
      <c r="R1979" s="4" t="str">
        <f ca="1">_xlfn.IFNA(VLOOKUP(INDIRECT("G"&amp;ROW()),minfo!$A:$M,COLUMN()-8,0),"")</f>
        <v>电影《爱在午夜希腊时》中文宣传曲</v>
      </c>
      <c r="S1979" s="4" t="str">
        <f ca="1">_xlfn.IFNA(VLOOKUP(INDIRECT("G"&amp;ROW()),minfo!$A:$M,COLUMN()-8,0),"")</f>
        <v>十万毫升泪水</v>
      </c>
      <c r="T1979" s="4">
        <f ca="1">_xlfn.IFNA(VLOOKUP(INDIRECT("G"&amp;ROW()),minfo!$A:$M,COLUMN()-8,0),"")</f>
        <v>7862640</v>
      </c>
      <c r="U1979" s="4">
        <f ca="1">_xlfn.IFNA(VLOOKUP(INDIRECT("G"&amp;ROW()),minfo!$A:$M,COLUMN()-8,0),"")</f>
        <v>0</v>
      </c>
    </row>
    <row r="1980" spans="1:21" ht="15.75" customHeight="1">
      <c r="A1980" s="15">
        <v>1979</v>
      </c>
      <c r="D1980" s="4">
        <v>1</v>
      </c>
      <c r="E1980" s="4" t="s">
        <v>1078</v>
      </c>
      <c r="F1980" s="16">
        <v>45427</v>
      </c>
      <c r="G1980" s="5" t="s">
        <v>1077</v>
      </c>
      <c r="H1980" s="5" t="s">
        <v>5731</v>
      </c>
      <c r="I1980" s="24" t="str">
        <f>HYPERLINK("https://www.bilibili.com/video/BV1e7421f7HF?p=1", "BV1e7421f7HF?p=1")</f>
        <v>BV1e7421f7HF?p=1</v>
      </c>
      <c r="J1980" s="4" t="str">
        <f ca="1">_xlfn.IFNA(VLOOKUP(INDIRECT("G"&amp;ROW()),minfo!$A:$M,COLUMN()-8,0),"")</f>
        <v>最长的电影</v>
      </c>
      <c r="K1980" s="4" t="str">
        <f ca="1">_xlfn.IFNA(VLOOKUP(INDIRECT("G"&amp;ROW()),minfo!$A:$M,COLUMN()-8,0),"")</f>
        <v>周杰伦</v>
      </c>
      <c r="L1980" s="4">
        <f ca="1">_xlfn.IFNA(VLOOKUP(INDIRECT("G"&amp;ROW()),minfo!$A:$M,COLUMN()-8,0),"")</f>
        <v>0</v>
      </c>
      <c r="M1980" s="4">
        <f ca="1">_xlfn.IFNA(VLOOKUP(INDIRECT("G"&amp;ROW()),minfo!$A:$M,COLUMN()-8,0),"")</f>
        <v>0</v>
      </c>
      <c r="N1980" s="4">
        <f ca="1">_xlfn.IFNA(VLOOKUP(INDIRECT("G"&amp;ROW()),minfo!$A:$M,COLUMN()-8,0),"")</f>
        <v>0</v>
      </c>
      <c r="O1980" s="4" t="str">
        <f ca="1">_xlfn.IFNA(VLOOKUP(INDIRECT("G"&amp;ROW()),minfo!$A:$M,COLUMN()-8,0),"")</f>
        <v>https://i0.hdslb.com/bfs/station_src/music_metadata/7eaa1a96d6dc901ac8d38b532ba49f47.jpg</v>
      </c>
      <c r="P1980" s="4" t="str">
        <f ca="1">_xlfn.IFNA(VLOOKUP(INDIRECT("G"&amp;ROW()),minfo!$A:$M,COLUMN()-8,0),"")</f>
        <v>http://i0.hdslb.com/bfs/station_src/music_metadata/62e80a61723a09aff7da0f2c4f4612c9</v>
      </c>
      <c r="Q1980" s="4">
        <f ca="1">_xlfn.IFNA(VLOOKUP(INDIRECT("G"&amp;ROW()),minfo!$A:$M,COLUMN()-8,0),"")</f>
        <v>2026</v>
      </c>
      <c r="R1980" s="4">
        <f ca="1">_xlfn.IFNA(VLOOKUP(INDIRECT("G"&amp;ROW()),minfo!$A:$M,COLUMN()-8,0),"")</f>
        <v>0</v>
      </c>
      <c r="S1980" s="4" t="str">
        <f ca="1">_xlfn.IFNA(VLOOKUP(INDIRECT("G"&amp;ROW()),minfo!$A:$M,COLUMN()-8,0),"")</f>
        <v>我很忙</v>
      </c>
      <c r="T1980" s="4">
        <f ca="1">_xlfn.IFNA(VLOOKUP(INDIRECT("G"&amp;ROW()),minfo!$A:$M,COLUMN()-8,0),"")</f>
        <v>437092203</v>
      </c>
      <c r="U1980" s="4">
        <f ca="1">_xlfn.IFNA(VLOOKUP(INDIRECT("G"&amp;ROW()),minfo!$A:$M,COLUMN()-8,0),"")</f>
        <v>0</v>
      </c>
    </row>
    <row r="1981" spans="1:21" ht="15.75" customHeight="1">
      <c r="A1981" s="15">
        <v>1980</v>
      </c>
      <c r="D1981" s="4">
        <v>1</v>
      </c>
      <c r="E1981" s="4" t="s">
        <v>2072</v>
      </c>
      <c r="F1981" s="16">
        <v>45427</v>
      </c>
      <c r="G1981" s="5" t="s">
        <v>2071</v>
      </c>
      <c r="H1981" s="5" t="s">
        <v>5732</v>
      </c>
      <c r="I1981" s="24" t="str">
        <f>HYPERLINK("https://www.bilibili.com/video/BV1UJ4m1N7rC?p=1", "BV1UJ4m1N7rC?p=1")</f>
        <v>BV1UJ4m1N7rC?p=1</v>
      </c>
      <c r="J1981" s="4" t="str">
        <f ca="1">_xlfn.IFNA(VLOOKUP(INDIRECT("G"&amp;ROW()),minfo!$A:$M,COLUMN()-8,0),"")</f>
        <v>年轮</v>
      </c>
      <c r="K1981" s="4" t="str">
        <f ca="1">_xlfn.IFNA(VLOOKUP(INDIRECT("G"&amp;ROW()),minfo!$A:$M,COLUMN()-8,0),"")</f>
        <v>张碧晨</v>
      </c>
      <c r="L1981" s="4">
        <f ca="1">_xlfn.IFNA(VLOOKUP(INDIRECT("G"&amp;ROW()),minfo!$A:$M,COLUMN()-8,0),"")</f>
        <v>0</v>
      </c>
      <c r="M1981" s="4">
        <f ca="1">_xlfn.IFNA(VLOOKUP(INDIRECT("G"&amp;ROW()),minfo!$A:$M,COLUMN()-8,0),"")</f>
        <v>0</v>
      </c>
      <c r="N1981" s="4">
        <f ca="1">_xlfn.IFNA(VLOOKUP(INDIRECT("G"&amp;ROW()),minfo!$A:$M,COLUMN()-8,0),"")</f>
        <v>0</v>
      </c>
      <c r="O1981" s="4" t="str">
        <f ca="1">_xlfn.IFNA(VLOOKUP(INDIRECT("G"&amp;ROW()),minfo!$A:$M,COLUMN()-8,0),"")</f>
        <v>http://i0.hdslb.com/bfs/station_src/music_metadata/f4b95f7e59a319ac109088bc214ff891.jpg</v>
      </c>
      <c r="P1981" s="4" t="str">
        <f ca="1">_xlfn.IFNA(VLOOKUP(INDIRECT("G"&amp;ROW()),minfo!$A:$M,COLUMN()-8,0),"")</f>
        <v>https://i0.hdslb.com/bfs/station_src/music_metadata/e89db32904a194caab0c8b0b5dcd95b6.txt</v>
      </c>
      <c r="Q1981" s="4">
        <f ca="1">_xlfn.IFNA(VLOOKUP(INDIRECT("G"&amp;ROW()),minfo!$A:$M,COLUMN()-8,0),"")</f>
        <v>1908</v>
      </c>
      <c r="R1981" s="4">
        <f ca="1">_xlfn.IFNA(VLOOKUP(INDIRECT("G"&amp;ROW()),minfo!$A:$M,COLUMN()-8,0),"")</f>
        <v>0</v>
      </c>
      <c r="S1981" s="4" t="str">
        <f ca="1">_xlfn.IFNA(VLOOKUP(INDIRECT("G"&amp;ROW()),minfo!$A:$M,COLUMN()-8,0),"")</f>
        <v>花千骨 电视剧原声带</v>
      </c>
      <c r="T1981" s="4">
        <f ca="1">_xlfn.IFNA(VLOOKUP(INDIRECT("G"&amp;ROW()),minfo!$A:$M,COLUMN()-8,0),"")</f>
        <v>346099555</v>
      </c>
      <c r="U1981" s="4">
        <f ca="1">_xlfn.IFNA(VLOOKUP(INDIRECT("G"&amp;ROW()),minfo!$A:$M,COLUMN()-8,0),"")</f>
        <v>0</v>
      </c>
    </row>
    <row r="1982" spans="1:21" ht="15.75" customHeight="1">
      <c r="A1982" s="15">
        <v>1981</v>
      </c>
      <c r="B1982" s="4" t="s">
        <v>5733</v>
      </c>
      <c r="D1982" s="4">
        <v>1</v>
      </c>
      <c r="E1982" s="4" t="s">
        <v>2436</v>
      </c>
      <c r="F1982" s="16" t="s">
        <v>5734</v>
      </c>
      <c r="G1982" s="5" t="s">
        <v>2435</v>
      </c>
      <c r="H1982" s="5" t="s">
        <v>5735</v>
      </c>
      <c r="I1982" s="24" t="str">
        <f>HYPERLINK("https://www.bilibili.com/video/BV1ey411a7q4?p=1", "BV1ey411a7q4?p=1")</f>
        <v>BV1ey411a7q4?p=1</v>
      </c>
      <c r="J1982" s="4" t="str">
        <f ca="1">_xlfn.IFNA(VLOOKUP(INDIRECT("G"&amp;ROW()),minfo!$A:$M,COLUMN()-8,0),"")</f>
        <v>泡沫</v>
      </c>
      <c r="K1982" s="4" t="str">
        <f ca="1">_xlfn.IFNA(VLOOKUP(INDIRECT("G"&amp;ROW()),minfo!$A:$M,COLUMN()-8,0),"")</f>
        <v>G.E.M. 邓紫棋</v>
      </c>
      <c r="L1982" s="4">
        <f ca="1">_xlfn.IFNA(VLOOKUP(INDIRECT("G"&amp;ROW()),minfo!$A:$M,COLUMN()-8,0),"")</f>
        <v>0</v>
      </c>
      <c r="M1982" s="4">
        <f ca="1">_xlfn.IFNA(VLOOKUP(INDIRECT("G"&amp;ROW()),minfo!$A:$M,COLUMN()-8,0),"")</f>
        <v>0</v>
      </c>
      <c r="N1982" s="4">
        <f ca="1">_xlfn.IFNA(VLOOKUP(INDIRECT("G"&amp;ROW()),minfo!$A:$M,COLUMN()-8,0),"")</f>
        <v>0</v>
      </c>
      <c r="O1982" s="4" t="str">
        <f ca="1">_xlfn.IFNA(VLOOKUP(INDIRECT("G"&amp;ROW()),minfo!$A:$M,COLUMN()-8,0),"")</f>
        <v>http://i0.hdslb.com/bfs/station_src/music_metadata/69c6906ad6bd63b8c1ae326b958431e6.jpg</v>
      </c>
      <c r="P1982" s="4" t="str">
        <f ca="1">_xlfn.IFNA(VLOOKUP(INDIRECT("G"&amp;ROW()),minfo!$A:$M,COLUMN()-8,0),"")</f>
        <v>http://i0.hdslb.com/bfs/station_src/music_metadata/1bc15ce05ac17a2e6ff62860f63f3312</v>
      </c>
      <c r="Q1982" s="4">
        <f ca="1">_xlfn.IFNA(VLOOKUP(INDIRECT("G"&amp;ROW()),minfo!$A:$M,COLUMN()-8,0),"")</f>
        <v>836</v>
      </c>
      <c r="R1982" s="4" t="str">
        <f ca="1">_xlfn.IFNA(VLOOKUP(INDIRECT("G"&amp;ROW()),minfo!$A:$M,COLUMN()-8,0),"")</f>
        <v>2012-07-05</v>
      </c>
      <c r="S1982" s="4" t="str">
        <f ca="1">_xlfn.IFNA(VLOOKUP(INDIRECT("G"&amp;ROW()),minfo!$A:$M,COLUMN()-8,0),"")</f>
        <v>Xposed</v>
      </c>
      <c r="T1982" s="4">
        <f ca="1">_xlfn.IFNA(VLOOKUP(INDIRECT("G"&amp;ROW()),minfo!$A:$M,COLUMN()-8,0),"")</f>
        <v>425527859</v>
      </c>
      <c r="U1982" s="4">
        <f ca="1">_xlfn.IFNA(VLOOKUP(INDIRECT("G"&amp;ROW()),minfo!$A:$M,COLUMN()-8,0),"")</f>
        <v>0</v>
      </c>
    </row>
    <row r="1983" spans="1:21" ht="15.75" customHeight="1">
      <c r="A1983" s="15">
        <v>1982</v>
      </c>
      <c r="B1983" s="4" t="s">
        <v>5736</v>
      </c>
      <c r="D1983" s="4">
        <v>1</v>
      </c>
      <c r="E1983" s="4" t="s">
        <v>1923</v>
      </c>
      <c r="F1983" s="16" t="s">
        <v>5734</v>
      </c>
      <c r="G1983" s="5" t="s">
        <v>1922</v>
      </c>
      <c r="H1983" s="5" t="s">
        <v>5737</v>
      </c>
      <c r="I1983" s="24" t="str">
        <f>HYPERLINK("https://www.bilibili.com/video/BV1tf421R7SG?p=1", "BV1tf421R7SG?p=1")</f>
        <v>BV1tf421R7SG?p=1</v>
      </c>
      <c r="J1983" s="4" t="str">
        <f ca="1">_xlfn.IFNA(VLOOKUP(INDIRECT("G"&amp;ROW()),minfo!$A:$M,COLUMN()-8,0),"")</f>
        <v>在水一方</v>
      </c>
      <c r="K1983" s="4" t="str">
        <f ca="1">_xlfn.IFNA(VLOOKUP(INDIRECT("G"&amp;ROW()),minfo!$A:$M,COLUMN()-8,0),"")</f>
        <v>邓丽君</v>
      </c>
      <c r="L1983" s="4">
        <f ca="1">_xlfn.IFNA(VLOOKUP(INDIRECT("G"&amp;ROW()),minfo!$A:$M,COLUMN()-8,0),"")</f>
        <v>0</v>
      </c>
      <c r="M1983" s="4">
        <f ca="1">_xlfn.IFNA(VLOOKUP(INDIRECT("G"&amp;ROW()),minfo!$A:$M,COLUMN()-8,0),"")</f>
        <v>0</v>
      </c>
      <c r="N1983" s="4">
        <f ca="1">_xlfn.IFNA(VLOOKUP(INDIRECT("G"&amp;ROW()),minfo!$A:$M,COLUMN()-8,0),"")</f>
        <v>0</v>
      </c>
      <c r="O1983" s="4" t="str">
        <f ca="1">_xlfn.IFNA(VLOOKUP(INDIRECT("G"&amp;ROW()),minfo!$A:$M,COLUMN()-8,0),"")</f>
        <v>https://i0.hdslb.com/bfs/station_src/music_metadata/175674bd7923821572887bc818ee2513.jpg</v>
      </c>
      <c r="P1983" s="4" t="str">
        <f ca="1">_xlfn.IFNA(VLOOKUP(INDIRECT("G"&amp;ROW()),minfo!$A:$M,COLUMN()-8,0),"")</f>
        <v>http://i0.hdslb.com/bfs/station_src/music_metadata/5f76295c7b03d1917761b2babaf3ebff</v>
      </c>
      <c r="Q1983" s="4">
        <f ca="1">_xlfn.IFNA(VLOOKUP(INDIRECT("G"&amp;ROW()),minfo!$A:$M,COLUMN()-8,0),"")</f>
        <v>777</v>
      </c>
      <c r="R1983" s="4">
        <f ca="1">_xlfn.IFNA(VLOOKUP(INDIRECT("G"&amp;ROW()),minfo!$A:$M,COLUMN()-8,0),"")</f>
        <v>0</v>
      </c>
      <c r="S1983" s="4" t="str">
        <f ca="1">_xlfn.IFNA(VLOOKUP(INDIRECT("G"&amp;ROW()),minfo!$A:$M,COLUMN()-8,0),"")</f>
        <v>恋君情深 永恒巨星 邓丽君 第二乐章</v>
      </c>
      <c r="T1983" s="4">
        <f ca="1">_xlfn.IFNA(VLOOKUP(INDIRECT("G"&amp;ROW()),minfo!$A:$M,COLUMN()-8,0),"")</f>
        <v>131989323</v>
      </c>
      <c r="U1983" s="4">
        <f ca="1">_xlfn.IFNA(VLOOKUP(INDIRECT("G"&amp;ROW()),minfo!$A:$M,COLUMN()-8,0),"")</f>
        <v>0</v>
      </c>
    </row>
    <row r="1984" spans="1:21" ht="15.75" customHeight="1">
      <c r="A1984" s="15">
        <v>1983</v>
      </c>
      <c r="B1984" s="4" t="s">
        <v>5738</v>
      </c>
      <c r="D1984" s="4">
        <v>1</v>
      </c>
      <c r="E1984" s="4" t="s">
        <v>237</v>
      </c>
      <c r="F1984" s="16" t="s">
        <v>5734</v>
      </c>
      <c r="G1984" s="5" t="s">
        <v>236</v>
      </c>
      <c r="H1984" s="5" t="s">
        <v>5739</v>
      </c>
      <c r="I1984" s="24" t="str">
        <f>HYPERLINK("https://www.bilibili.com/video/BV1FM4m1k7yC?p=1", "BV1FM4m1k7yC?p=1")</f>
        <v>BV1FM4m1k7yC?p=1</v>
      </c>
      <c r="J1984" s="4" t="str">
        <f ca="1">_xlfn.IFNA(VLOOKUP(INDIRECT("G"&amp;ROW()),minfo!$A:$M,COLUMN()-8,0),"")</f>
        <v>菩萨蛮</v>
      </c>
      <c r="K1984" s="4" t="str">
        <f ca="1">_xlfn.IFNA(VLOOKUP(INDIRECT("G"&amp;ROW()),minfo!$A:$M,COLUMN()-8,0),"")</f>
        <v>姚贝娜</v>
      </c>
      <c r="L1984" s="4">
        <f ca="1">_xlfn.IFNA(VLOOKUP(INDIRECT("G"&amp;ROW()),minfo!$A:$M,COLUMN()-8,0),"")</f>
        <v>0</v>
      </c>
      <c r="M1984" s="4">
        <f ca="1">_xlfn.IFNA(VLOOKUP(INDIRECT("G"&amp;ROW()),minfo!$A:$M,COLUMN()-8,0),"")</f>
        <v>0</v>
      </c>
      <c r="N1984" s="4">
        <f ca="1">_xlfn.IFNA(VLOOKUP(INDIRECT("G"&amp;ROW()),minfo!$A:$M,COLUMN()-8,0),"")</f>
        <v>0</v>
      </c>
      <c r="O1984" s="4" t="str">
        <f ca="1">_xlfn.IFNA(VLOOKUP(INDIRECT("G"&amp;ROW()),minfo!$A:$M,COLUMN()-8,0),"")</f>
        <v>https://i0.hdslb.com/bfs/station_src/music_metadata/af6a2e36820cd2387f0261a48e49c4ac.jpg</v>
      </c>
      <c r="P1984" s="4" t="str">
        <f ca="1">_xlfn.IFNA(VLOOKUP(INDIRECT("G"&amp;ROW()),minfo!$A:$M,COLUMN()-8,0),"")</f>
        <v>https://i0.hdslb.com/bfs/station_src/music_metadata/2ab2b1693f38d61941e813d3fb513a11.txt</v>
      </c>
      <c r="Q1984" s="4">
        <f ca="1">_xlfn.IFNA(VLOOKUP(INDIRECT("G"&amp;ROW()),minfo!$A:$M,COLUMN()-8,0),"")</f>
        <v>95</v>
      </c>
      <c r="R1984" s="4" t="str">
        <f ca="1">_xlfn.IFNA(VLOOKUP(INDIRECT("G"&amp;ROW()),minfo!$A:$M,COLUMN()-8,0),"")</f>
        <v>《甄嬛传》电视剧插曲</v>
      </c>
      <c r="S1984" s="4" t="str">
        <f ca="1">_xlfn.IFNA(VLOOKUP(INDIRECT("G"&amp;ROW()),minfo!$A:$M,COLUMN()-8,0),"")</f>
        <v>姚贝娜影视音乐精选辑</v>
      </c>
      <c r="T1984" s="4">
        <f ca="1">_xlfn.IFNA(VLOOKUP(INDIRECT("G"&amp;ROW()),minfo!$A:$M,COLUMN()-8,0),"")</f>
        <v>40070424</v>
      </c>
      <c r="U1984" s="4">
        <f ca="1">_xlfn.IFNA(VLOOKUP(INDIRECT("G"&amp;ROW()),minfo!$A:$M,COLUMN()-8,0),"")</f>
        <v>0</v>
      </c>
    </row>
    <row r="1985" spans="1:21" ht="15.75" customHeight="1">
      <c r="A1985" s="15">
        <v>1984</v>
      </c>
      <c r="B1985" s="4" t="s">
        <v>5740</v>
      </c>
      <c r="D1985" s="4">
        <v>1</v>
      </c>
      <c r="E1985" s="4" t="s">
        <v>65</v>
      </c>
      <c r="F1985" s="16" t="s">
        <v>5734</v>
      </c>
      <c r="G1985" s="5" t="s">
        <v>513</v>
      </c>
      <c r="H1985" s="5" t="s">
        <v>5741</v>
      </c>
      <c r="I1985" s="24" t="str">
        <f>HYPERLINK("https://www.bilibili.com/video/BV1Qt421K7wD?p=1", "BV1Qt421K7wD?p=1")</f>
        <v>BV1Qt421K7wD?p=1</v>
      </c>
      <c r="J1985" s="4" t="str">
        <f ca="1">_xlfn.IFNA(VLOOKUP(INDIRECT("G"&amp;ROW()),minfo!$A:$M,COLUMN()-8,0),"")</f>
        <v>天知河</v>
      </c>
      <c r="K1985" s="4" t="str">
        <f ca="1">_xlfn.IFNA(VLOOKUP(INDIRECT("G"&amp;ROW()),minfo!$A:$M,COLUMN()-8,0),"")</f>
        <v>说说Crystal</v>
      </c>
      <c r="L1985" s="4">
        <f ca="1">_xlfn.IFNA(VLOOKUP(INDIRECT("G"&amp;ROW()),minfo!$A:$M,COLUMN()-8,0),"")</f>
        <v>0</v>
      </c>
      <c r="M1985" s="4">
        <f ca="1">_xlfn.IFNA(VLOOKUP(INDIRECT("G"&amp;ROW()),minfo!$A:$M,COLUMN()-8,0),"")</f>
        <v>63471</v>
      </c>
      <c r="N1985" s="4">
        <f ca="1">_xlfn.IFNA(VLOOKUP(INDIRECT("G"&amp;ROW()),minfo!$A:$M,COLUMN()-8,0),"")</f>
        <v>19895</v>
      </c>
      <c r="O1985" s="4" t="str">
        <f ca="1">_xlfn.IFNA(VLOOKUP(INDIRECT("G"&amp;ROW()),minfo!$A:$M,COLUMN()-8,0),"")</f>
        <v>http://i0.hdslb.com/bfs/station_src/music_metadata/4ad5958a6b4bee52560f0cf175374bf7.jpg</v>
      </c>
      <c r="P1985" s="4">
        <f ca="1">_xlfn.IFNA(VLOOKUP(INDIRECT("G"&amp;ROW()),minfo!$A:$M,COLUMN()-8,0),"")</f>
        <v>0</v>
      </c>
      <c r="Q1985" s="4">
        <f ca="1">_xlfn.IFNA(VLOOKUP(INDIRECT("G"&amp;ROW()),minfo!$A:$M,COLUMN()-8,0),"")</f>
        <v>106</v>
      </c>
      <c r="R1985" s="4">
        <f ca="1">_xlfn.IFNA(VLOOKUP(INDIRECT("G"&amp;ROW()),minfo!$A:$M,COLUMN()-8,0),"")</f>
        <v>0</v>
      </c>
      <c r="S1985" s="4" t="str">
        <f ca="1">_xlfn.IFNA(VLOOKUP(INDIRECT("G"&amp;ROW()),minfo!$A:$M,COLUMN()-8,0),"")</f>
        <v>天知河</v>
      </c>
      <c r="T1985" s="4">
        <f ca="1">_xlfn.IFNA(VLOOKUP(INDIRECT("G"&amp;ROW()),minfo!$A:$M,COLUMN()-8,0),"")</f>
        <v>3294592</v>
      </c>
      <c r="U1985" s="4">
        <f ca="1">_xlfn.IFNA(VLOOKUP(INDIRECT("G"&amp;ROW()),minfo!$A:$M,COLUMN()-8,0),"")</f>
        <v>0</v>
      </c>
    </row>
    <row r="1986" spans="1:21" ht="15.75" customHeight="1">
      <c r="A1986" s="15">
        <v>1985</v>
      </c>
      <c r="B1986" s="4" t="s">
        <v>5742</v>
      </c>
      <c r="D1986" s="4">
        <v>1</v>
      </c>
      <c r="E1986" s="4" t="s">
        <v>95</v>
      </c>
      <c r="F1986" s="16" t="s">
        <v>5734</v>
      </c>
      <c r="G1986" s="5" t="s">
        <v>203</v>
      </c>
      <c r="H1986" s="5" t="s">
        <v>5743</v>
      </c>
      <c r="I1986" s="24" t="str">
        <f>HYPERLINK("https://www.bilibili.com/video/BV1AZ421x7zS?p=1", "BV1AZ421x7zS?p=1")</f>
        <v>BV1AZ421x7zS?p=1</v>
      </c>
      <c r="J1986" s="4" t="str">
        <f ca="1">_xlfn.IFNA(VLOOKUP(INDIRECT("G"&amp;ROW()),minfo!$A:$M,COLUMN()-8,0),"")</f>
        <v>不问天</v>
      </c>
      <c r="K1986" s="4" t="str">
        <f ca="1">_xlfn.IFNA(VLOOKUP(INDIRECT("G"&amp;ROW()),minfo!$A:$M,COLUMN()-8,0),"")</f>
        <v>说说Crystal</v>
      </c>
      <c r="L1986" s="4">
        <f ca="1">_xlfn.IFNA(VLOOKUP(INDIRECT("G"&amp;ROW()),minfo!$A:$M,COLUMN()-8,0),"")</f>
        <v>0</v>
      </c>
      <c r="M1986" s="4">
        <f ca="1">_xlfn.IFNA(VLOOKUP(INDIRECT("G"&amp;ROW()),minfo!$A:$M,COLUMN()-8,0),"")</f>
        <v>0</v>
      </c>
      <c r="N1986" s="4">
        <f ca="1">_xlfn.IFNA(VLOOKUP(INDIRECT("G"&amp;ROW()),minfo!$A:$M,COLUMN()-8,0),"")</f>
        <v>0</v>
      </c>
      <c r="O1986" s="4" t="str">
        <f ca="1">_xlfn.IFNA(VLOOKUP(INDIRECT("G"&amp;ROW()),minfo!$A:$M,COLUMN()-8,0),"")</f>
        <v>https://i0.hdslb.com/bfs/station_src/music_metadata/ce3a0da2a7e64a49fa42a6e3db521f57.jpg</v>
      </c>
      <c r="P1986" s="4" t="str">
        <f ca="1">_xlfn.IFNA(VLOOKUP(INDIRECT("G"&amp;ROW()),minfo!$A:$M,COLUMN()-8,0),"")</f>
        <v>https://i0.hdslb.com/bfs/station_src/music_metadata/02cd9198a33924449443fc704a92a25a.txt</v>
      </c>
      <c r="Q1986" s="4">
        <f ca="1">_xlfn.IFNA(VLOOKUP(INDIRECT("G"&amp;ROW()),minfo!$A:$M,COLUMN()-8,0),"")</f>
        <v>149</v>
      </c>
      <c r="R1986" s="4">
        <f ca="1">_xlfn.IFNA(VLOOKUP(INDIRECT("G"&amp;ROW()),minfo!$A:$M,COLUMN()-8,0),"")</f>
        <v>0</v>
      </c>
      <c r="S1986" s="4" t="str">
        <f ca="1">_xlfn.IFNA(VLOOKUP(INDIRECT("G"&amp;ROW()),minfo!$A:$M,COLUMN()-8,0),"")</f>
        <v>2021哔哩哔哩拜年纪</v>
      </c>
      <c r="T1986" s="4">
        <f ca="1">_xlfn.IFNA(VLOOKUP(INDIRECT("G"&amp;ROW()),minfo!$A:$M,COLUMN()-8,0),"")</f>
        <v>33137051</v>
      </c>
      <c r="U1986" s="4">
        <f ca="1">_xlfn.IFNA(VLOOKUP(INDIRECT("G"&amp;ROW()),minfo!$A:$M,COLUMN()-8,0),"")</f>
        <v>0</v>
      </c>
    </row>
    <row r="1987" spans="1:21" ht="15.75" customHeight="1">
      <c r="A1987" s="15">
        <v>1986</v>
      </c>
      <c r="B1987" s="4" t="s">
        <v>5744</v>
      </c>
      <c r="D1987" s="4">
        <v>1</v>
      </c>
      <c r="E1987" s="4" t="s">
        <v>259</v>
      </c>
      <c r="F1987" s="16" t="s">
        <v>5734</v>
      </c>
      <c r="G1987" s="5" t="s">
        <v>258</v>
      </c>
      <c r="H1987" s="5" t="s">
        <v>5745</v>
      </c>
      <c r="I1987" s="24" t="str">
        <f>HYPERLINK("https://www.bilibili.com/video/BV1rw4m1U7R7?p=1", "BV1rw4m1U7R7?p=1")</f>
        <v>BV1rw4m1U7R7?p=1</v>
      </c>
      <c r="J1987" s="4" t="str">
        <f ca="1">_xlfn.IFNA(VLOOKUP(INDIRECT("G"&amp;ROW()),minfo!$A:$M,COLUMN()-8,0),"")</f>
        <v>枫</v>
      </c>
      <c r="K1987" s="4" t="str">
        <f ca="1">_xlfn.IFNA(VLOOKUP(INDIRECT("G"&amp;ROW()),minfo!$A:$M,COLUMN()-8,0),"")</f>
        <v>周杰伦</v>
      </c>
      <c r="L1987" s="4">
        <f ca="1">_xlfn.IFNA(VLOOKUP(INDIRECT("G"&amp;ROW()),minfo!$A:$M,COLUMN()-8,0),"")</f>
        <v>0</v>
      </c>
      <c r="M1987" s="4">
        <f ca="1">_xlfn.IFNA(VLOOKUP(INDIRECT("G"&amp;ROW()),minfo!$A:$M,COLUMN()-8,0),"")</f>
        <v>0</v>
      </c>
      <c r="N1987" s="4">
        <f ca="1">_xlfn.IFNA(VLOOKUP(INDIRECT("G"&amp;ROW()),minfo!$A:$M,COLUMN()-8,0),"")</f>
        <v>0</v>
      </c>
      <c r="O1987" s="4" t="str">
        <f ca="1">_xlfn.IFNA(VLOOKUP(INDIRECT("G"&amp;ROW()),minfo!$A:$M,COLUMN()-8,0),"")</f>
        <v>https://i0.hdslb.com/bfs/station_src/music_metadata/fb82b0fb2908b09d88ba13ef0db91863.jpg</v>
      </c>
      <c r="P1987" s="4" t="str">
        <f ca="1">_xlfn.IFNA(VLOOKUP(INDIRECT("G"&amp;ROW()),minfo!$A:$M,COLUMN()-8,0),"")</f>
        <v>http://i0.hdslb.com/bfs/station_src/music_metadata/9b1e7a89ea3eead8b8c6b32cdb30abd9</v>
      </c>
      <c r="Q1987" s="4">
        <f ca="1">_xlfn.IFNA(VLOOKUP(INDIRECT("G"&amp;ROW()),minfo!$A:$M,COLUMN()-8,0),"")</f>
        <v>6002</v>
      </c>
      <c r="R1987" s="4">
        <f ca="1">_xlfn.IFNA(VLOOKUP(INDIRECT("G"&amp;ROW()),minfo!$A:$M,COLUMN()-8,0),"")</f>
        <v>0</v>
      </c>
      <c r="S1987" s="4" t="str">
        <f ca="1">_xlfn.IFNA(VLOOKUP(INDIRECT("G"&amp;ROW()),minfo!$A:$M,COLUMN()-8,0),"")</f>
        <v>十一月的萧邦</v>
      </c>
      <c r="T1987" s="4">
        <f ca="1">_xlfn.IFNA(VLOOKUP(INDIRECT("G"&amp;ROW()),minfo!$A:$M,COLUMN()-8,0),"")</f>
        <v>560749777</v>
      </c>
      <c r="U1987" s="4">
        <f ca="1">_xlfn.IFNA(VLOOKUP(INDIRECT("G"&amp;ROW()),minfo!$A:$M,COLUMN()-8,0),"")</f>
        <v>0</v>
      </c>
    </row>
    <row r="1988" spans="1:21" ht="15.75" customHeight="1">
      <c r="A1988" s="15">
        <v>1987</v>
      </c>
      <c r="B1988" s="4" t="s">
        <v>5746</v>
      </c>
      <c r="D1988" s="4">
        <v>1</v>
      </c>
      <c r="E1988" s="4" t="s">
        <v>1653</v>
      </c>
      <c r="F1988" s="16" t="s">
        <v>5734</v>
      </c>
      <c r="G1988" s="5" t="s">
        <v>1652</v>
      </c>
      <c r="H1988" s="5" t="s">
        <v>5747</v>
      </c>
      <c r="I1988" s="24" t="str">
        <f>HYPERLINK("https://www.bilibili.com/video/BV1kr42157pm?p=1", "BV1kr42157pm?p=1")</f>
        <v>BV1kr42157pm?p=1</v>
      </c>
      <c r="J1988" s="4" t="str">
        <f ca="1">_xlfn.IFNA(VLOOKUP(INDIRECT("G"&amp;ROW()),minfo!$A:$M,COLUMN()-8,0),"")</f>
        <v>不为谁而作的歌</v>
      </c>
      <c r="K1988" s="4" t="str">
        <f ca="1">_xlfn.IFNA(VLOOKUP(INDIRECT("G"&amp;ROW()),minfo!$A:$M,COLUMN()-8,0),"")</f>
        <v>林俊杰</v>
      </c>
      <c r="L1988" s="4">
        <f ca="1">_xlfn.IFNA(VLOOKUP(INDIRECT("G"&amp;ROW()),minfo!$A:$M,COLUMN()-8,0),"")</f>
        <v>0</v>
      </c>
      <c r="M1988" s="4">
        <f ca="1">_xlfn.IFNA(VLOOKUP(INDIRECT("G"&amp;ROW()),minfo!$A:$M,COLUMN()-8,0),"")</f>
        <v>0</v>
      </c>
      <c r="N1988" s="4">
        <f ca="1">_xlfn.IFNA(VLOOKUP(INDIRECT("G"&amp;ROW()),minfo!$A:$M,COLUMN()-8,0),"")</f>
        <v>0</v>
      </c>
      <c r="O1988" s="4" t="str">
        <f ca="1">_xlfn.IFNA(VLOOKUP(INDIRECT("G"&amp;ROW()),minfo!$A:$M,COLUMN()-8,0),"")</f>
        <v>https://i0.hdslb.com/bfs/station_src/music_metadata/ef02a89c1ac2118e61c5d6311110cfd8.jpg</v>
      </c>
      <c r="P1988" s="4" t="str">
        <f ca="1">_xlfn.IFNA(VLOOKUP(INDIRECT("G"&amp;ROW()),minfo!$A:$M,COLUMN()-8,0),"")</f>
        <v>https://i0.hdslb.com/bfs/station_src/music_metadata/12f5f595b70ca92e5cee389d2e4d9107.txt</v>
      </c>
      <c r="Q1988" s="4">
        <f ca="1">_xlfn.IFNA(VLOOKUP(INDIRECT("G"&amp;ROW()),minfo!$A:$M,COLUMN()-8,0),"")</f>
        <v>791</v>
      </c>
      <c r="R1988" s="4">
        <f ca="1">_xlfn.IFNA(VLOOKUP(INDIRECT("G"&amp;ROW()),minfo!$A:$M,COLUMN()-8,0),"")</f>
        <v>0</v>
      </c>
      <c r="S1988" s="4" t="str">
        <f ca="1">_xlfn.IFNA(VLOOKUP(INDIRECT("G"&amp;ROW()),minfo!$A:$M,COLUMN()-8,0),"")</f>
        <v>江苏卫视“2016幸福聚荔”跨年演唱会</v>
      </c>
      <c r="T1988" s="4">
        <f ca="1">_xlfn.IFNA(VLOOKUP(INDIRECT("G"&amp;ROW()),minfo!$A:$M,COLUMN()-8,0),"")</f>
        <v>312647783</v>
      </c>
      <c r="U1988" s="4">
        <f ca="1">_xlfn.IFNA(VLOOKUP(INDIRECT("G"&amp;ROW()),minfo!$A:$M,COLUMN()-8,0),"")</f>
        <v>0</v>
      </c>
    </row>
    <row r="1989" spans="1:21" ht="15.75" customHeight="1">
      <c r="A1989" s="15">
        <v>1988</v>
      </c>
      <c r="B1989" s="4" t="s">
        <v>5748</v>
      </c>
      <c r="D1989" s="4">
        <v>1</v>
      </c>
      <c r="E1989" s="4" t="s">
        <v>3209</v>
      </c>
      <c r="F1989" s="4" t="s">
        <v>5749</v>
      </c>
      <c r="G1989" s="4" t="s">
        <v>3208</v>
      </c>
      <c r="H1989" s="4" t="s">
        <v>5750</v>
      </c>
      <c r="I1989" s="24" t="str">
        <f>HYPERLINK("https://www.bilibili.com/video/BV19i421D77G?p=1","BV19i421D77G?p=1")</f>
        <v>BV19i421D77G?p=1</v>
      </c>
      <c r="J1989" s="4" t="str">
        <f ca="1">_xlfn.IFNA(VLOOKUP(INDIRECT("G"&amp;ROW()),minfo!$A:$M,COLUMN()-8,0),"")</f>
        <v>小美满</v>
      </c>
      <c r="K1989" s="4" t="str">
        <f ca="1">_xlfn.IFNA(VLOOKUP(INDIRECT("G"&amp;ROW()),minfo!$A:$M,COLUMN()-8,0),"")</f>
        <v>周深</v>
      </c>
      <c r="L1989" s="4">
        <f ca="1">_xlfn.IFNA(VLOOKUP(INDIRECT("G"&amp;ROW()),minfo!$A:$M,COLUMN()-8,0),"")</f>
        <v>1950384180</v>
      </c>
      <c r="M1989" s="4">
        <f ca="1">_xlfn.IFNA(VLOOKUP(INDIRECT("G"&amp;ROW()),minfo!$A:$M,COLUMN()-8,0),"")</f>
        <v>1431686049</v>
      </c>
      <c r="N1989" s="4" t="str">
        <f ca="1">_xlfn.IFNA(VLOOKUP(INDIRECT("G"&amp;ROW()),minfo!$A:$M,COLUMN()-8,0),"")</f>
        <v>BV1ZC411x7Ky</v>
      </c>
      <c r="O1989" s="4" t="str">
        <f ca="1">_xlfn.IFNA(VLOOKUP(INDIRECT("G"&amp;ROW()),minfo!$A:$M,COLUMN()-8,0),"")</f>
        <v>https://i0.hdslb.com/bfs/station_src/music_metadata/21b82b115506a9a9cea7aa1eb481c598.jpg</v>
      </c>
      <c r="P1989" s="4" t="str">
        <f ca="1">_xlfn.IFNA(VLOOKUP(INDIRECT("G"&amp;ROW()),minfo!$A:$M,COLUMN()-8,0),"")</f>
        <v>https://i0.hdslb.com/bfs/station_src/music_metadata/a9b34f18851621ce7c2a74133efa4171.txt</v>
      </c>
      <c r="Q1989" s="4">
        <f ca="1">_xlfn.IFNA(VLOOKUP(INDIRECT("G"&amp;ROW()),minfo!$A:$M,COLUMN()-8,0),"")</f>
        <v>733</v>
      </c>
      <c r="R1989" s="4" t="str">
        <f ca="1">_xlfn.IFNA(VLOOKUP(INDIRECT("G"&amp;ROW()),minfo!$A:$M,COLUMN()-8,0),"")</f>
        <v>《热辣滚烫》电影热辣陪伴曲</v>
      </c>
      <c r="S1989" s="4" t="str">
        <f ca="1">_xlfn.IFNA(VLOOKUP(INDIRECT("G"&amp;ROW()),minfo!$A:$M,COLUMN()-8,0),"")</f>
        <v>小美满</v>
      </c>
      <c r="T1989" s="4">
        <f ca="1">_xlfn.IFNA(VLOOKUP(INDIRECT("G"&amp;ROW()),minfo!$A:$M,COLUMN()-8,0),"")</f>
        <v>147169382</v>
      </c>
      <c r="U1989" s="4" t="str">
        <f ca="1">_xlfn.IFNA(VLOOKUP(INDIRECT("G"&amp;ROW()),minfo!$A:$M,COLUMN()-8,0),"")</f>
        <v>音乐榜最高NO.2</v>
      </c>
    </row>
    <row r="1990" spans="1:21" ht="15.75" customHeight="1">
      <c r="A1990" s="15">
        <v>1989</v>
      </c>
      <c r="B1990" s="4" t="s">
        <v>5751</v>
      </c>
      <c r="D1990" s="4">
        <v>1</v>
      </c>
      <c r="E1990" s="4" t="s">
        <v>3342</v>
      </c>
      <c r="F1990" s="4" t="s">
        <v>5749</v>
      </c>
      <c r="G1990" s="4" t="s">
        <v>3341</v>
      </c>
      <c r="H1990" s="4" t="s">
        <v>5752</v>
      </c>
      <c r="I1990" s="24" t="str">
        <f>HYPERLINK("https://www.bilibili.com/video/BV1bf421R7iZ?p=1","BV1bf421R7iZ?p=1")</f>
        <v>BV1bf421R7iZ?p=1</v>
      </c>
      <c r="J1990" s="4" t="str">
        <f ca="1">_xlfn.IFNA(VLOOKUP(INDIRECT("G"&amp;ROW()),minfo!$A:$M,COLUMN()-8,0),"")</f>
        <v>就是爱你</v>
      </c>
      <c r="K1990" s="4" t="str">
        <f ca="1">_xlfn.IFNA(VLOOKUP(INDIRECT("G"&amp;ROW()),minfo!$A:$M,COLUMN()-8,0),"")</f>
        <v>陶喆</v>
      </c>
      <c r="L1990" s="4">
        <f ca="1">_xlfn.IFNA(VLOOKUP(INDIRECT("G"&amp;ROW()),minfo!$A:$M,COLUMN()-8,0),"")</f>
        <v>0</v>
      </c>
      <c r="M1990" s="4">
        <f ca="1">_xlfn.IFNA(VLOOKUP(INDIRECT("G"&amp;ROW()),minfo!$A:$M,COLUMN()-8,0),"")</f>
        <v>0</v>
      </c>
      <c r="N1990" s="4">
        <f ca="1">_xlfn.IFNA(VLOOKUP(INDIRECT("G"&amp;ROW()),minfo!$A:$M,COLUMN()-8,0),"")</f>
        <v>0</v>
      </c>
      <c r="O1990" s="4" t="str">
        <f ca="1">_xlfn.IFNA(VLOOKUP(INDIRECT("G"&amp;ROW()),minfo!$A:$M,COLUMN()-8,0),"")</f>
        <v>https://i0.hdslb.com/bfs/station_src/music_metadata/89197a055fd805ebdfbd1edd0c3ae4d0.jpg</v>
      </c>
      <c r="P1990" s="4" t="str">
        <f ca="1">_xlfn.IFNA(VLOOKUP(INDIRECT("G"&amp;ROW()),minfo!$A:$M,COLUMN()-8,0),"")</f>
        <v>https://i0.hdslb.com/bfs/station_src/music_metadata/d4a422069a9168a5827ff3fcca02a58b.txt</v>
      </c>
      <c r="Q1990" s="4">
        <f ca="1">_xlfn.IFNA(VLOOKUP(INDIRECT("G"&amp;ROW()),minfo!$A:$M,COLUMN()-8,0),"")</f>
        <v>829</v>
      </c>
      <c r="R1990" s="4">
        <f ca="1">_xlfn.IFNA(VLOOKUP(INDIRECT("G"&amp;ROW()),minfo!$A:$M,COLUMN()-8,0),"")</f>
        <v>0</v>
      </c>
      <c r="S1990" s="4" t="str">
        <f ca="1">_xlfn.IFNA(VLOOKUP(INDIRECT("G"&amp;ROW()),minfo!$A:$M,COLUMN()-8,0),"")</f>
        <v>太平盛世</v>
      </c>
      <c r="T1990" s="4">
        <f ca="1">_xlfn.IFNA(VLOOKUP(INDIRECT("G"&amp;ROW()),minfo!$A:$M,COLUMN()-8,0),"")</f>
        <v>205069474</v>
      </c>
      <c r="U1990" s="4">
        <f ca="1">_xlfn.IFNA(VLOOKUP(INDIRECT("G"&amp;ROW()),minfo!$A:$M,COLUMN()-8,0),"")</f>
        <v>0</v>
      </c>
    </row>
    <row r="1991" spans="1:21" ht="15.75" customHeight="1">
      <c r="A1991" s="15">
        <v>1990</v>
      </c>
      <c r="B1991" s="4" t="s">
        <v>5753</v>
      </c>
      <c r="D1991" s="4">
        <v>1</v>
      </c>
      <c r="E1991" s="4" t="s">
        <v>55</v>
      </c>
      <c r="F1991" s="4" t="s">
        <v>5749</v>
      </c>
      <c r="G1991" s="4" t="s">
        <v>1549</v>
      </c>
      <c r="H1991" s="4" t="s">
        <v>5754</v>
      </c>
      <c r="I1991" s="24" t="str">
        <f>HYPERLINK("https://www.bilibili.com/video/BV1bw4m1D79Q?p=1","BV1bw4m1D79Q?p=1")</f>
        <v>BV1bw4m1D79Q?p=1</v>
      </c>
      <c r="J1991" s="4" t="str">
        <f ca="1">_xlfn.IFNA(VLOOKUP(INDIRECT("G"&amp;ROW()),minfo!$A:$M,COLUMN()-8,0),"")</f>
        <v>人间未满</v>
      </c>
      <c r="K1991" s="4" t="str">
        <f ca="1">_xlfn.IFNA(VLOOKUP(INDIRECT("G"&amp;ROW()),minfo!$A:$M,COLUMN()-8,0),"")</f>
        <v>妮莉安Lily,纱依shayi,说说Crystal</v>
      </c>
      <c r="L1991" s="4">
        <f ca="1">_xlfn.IFNA(VLOOKUP(INDIRECT("G"&amp;ROW()),minfo!$A:$M,COLUMN()-8,0),"")</f>
        <v>0</v>
      </c>
      <c r="M1991" s="4">
        <f ca="1">_xlfn.IFNA(VLOOKUP(INDIRECT("G"&amp;ROW()),minfo!$A:$M,COLUMN()-8,0),"")</f>
        <v>0</v>
      </c>
      <c r="N1991" s="4">
        <f ca="1">_xlfn.IFNA(VLOOKUP(INDIRECT("G"&amp;ROW()),minfo!$A:$M,COLUMN()-8,0),"")</f>
        <v>0</v>
      </c>
      <c r="O1991" s="4" t="str">
        <f ca="1">_xlfn.IFNA(VLOOKUP(INDIRECT("G"&amp;ROW()),minfo!$A:$M,COLUMN()-8,0),"")</f>
        <v>http://i0.hdslb.com/bfs/station_src/music_metadata/a9d9bd8d10828caa99479d3a5fd6f323.jpg</v>
      </c>
      <c r="P1991" s="4">
        <f ca="1">_xlfn.IFNA(VLOOKUP(INDIRECT("G"&amp;ROW()),minfo!$A:$M,COLUMN()-8,0),"")</f>
        <v>0</v>
      </c>
      <c r="Q1991" s="4">
        <f ca="1">_xlfn.IFNA(VLOOKUP(INDIRECT("G"&amp;ROW()),minfo!$A:$M,COLUMN()-8,0),"")</f>
        <v>16</v>
      </c>
      <c r="R1991" s="4">
        <f ca="1">_xlfn.IFNA(VLOOKUP(INDIRECT("G"&amp;ROW()),minfo!$A:$M,COLUMN()-8,0),"")</f>
        <v>0</v>
      </c>
      <c r="S1991" s="4" t="str">
        <f ca="1">_xlfn.IFNA(VLOOKUP(INDIRECT("G"&amp;ROW()),minfo!$A:$M,COLUMN()-8,0),"")</f>
        <v>人间未满</v>
      </c>
      <c r="T1991" s="4">
        <f ca="1">_xlfn.IFNA(VLOOKUP(INDIRECT("G"&amp;ROW()),minfo!$A:$M,COLUMN()-8,0),"")</f>
        <v>256261</v>
      </c>
      <c r="U1991" s="4">
        <f ca="1">_xlfn.IFNA(VLOOKUP(INDIRECT("G"&amp;ROW()),minfo!$A:$M,COLUMN()-8,0),"")</f>
        <v>0</v>
      </c>
    </row>
    <row r="1992" spans="1:21" ht="15.75" customHeight="1">
      <c r="A1992" s="15">
        <v>1991</v>
      </c>
      <c r="B1992" s="4" t="s">
        <v>5755</v>
      </c>
      <c r="D1992" s="4">
        <v>1</v>
      </c>
      <c r="E1992" s="4" t="s">
        <v>1098</v>
      </c>
      <c r="F1992" s="4" t="s">
        <v>5749</v>
      </c>
      <c r="G1992" s="4" t="s">
        <v>1097</v>
      </c>
      <c r="H1992" s="4" t="s">
        <v>5756</v>
      </c>
      <c r="I1992" s="24" t="str">
        <f>HYPERLINK("https://www.bilibili.com/video/BV1bD421V7tr?p=1","BV1bD421V7tr?p=1")</f>
        <v>BV1bD421V7tr?p=1</v>
      </c>
      <c r="J1992" s="4" t="str">
        <f ca="1">_xlfn.IFNA(VLOOKUP(INDIRECT("G"&amp;ROW()),minfo!$A:$M,COLUMN()-8,0),"")</f>
        <v>你听得到</v>
      </c>
      <c r="K1992" s="4" t="str">
        <f ca="1">_xlfn.IFNA(VLOOKUP(INDIRECT("G"&amp;ROW()),minfo!$A:$M,COLUMN()-8,0),"")</f>
        <v>周杰伦</v>
      </c>
      <c r="L1992" s="4">
        <f ca="1">_xlfn.IFNA(VLOOKUP(INDIRECT("G"&amp;ROW()),minfo!$A:$M,COLUMN()-8,0),"")</f>
        <v>0</v>
      </c>
      <c r="M1992" s="4">
        <f ca="1">_xlfn.IFNA(VLOOKUP(INDIRECT("G"&amp;ROW()),minfo!$A:$M,COLUMN()-8,0),"")</f>
        <v>0</v>
      </c>
      <c r="N1992" s="4">
        <f ca="1">_xlfn.IFNA(VLOOKUP(INDIRECT("G"&amp;ROW()),minfo!$A:$M,COLUMN()-8,0),"")</f>
        <v>0</v>
      </c>
      <c r="O1992" s="4" t="str">
        <f ca="1">_xlfn.IFNA(VLOOKUP(INDIRECT("G"&amp;ROW()),minfo!$A:$M,COLUMN()-8,0),"")</f>
        <v>https://i0.hdslb.com/bfs/station_src/music_metadata/29e28424e7d2a4c37f7b84cd0b8b18ba.jpg</v>
      </c>
      <c r="P1992" s="4" t="str">
        <f ca="1">_xlfn.IFNA(VLOOKUP(INDIRECT("G"&amp;ROW()),minfo!$A:$M,COLUMN()-8,0),"")</f>
        <v>copyright-crawler/music/task-lyric/62682789504b4c0665226751.txt</v>
      </c>
      <c r="Q1992" s="4">
        <f ca="1">_xlfn.IFNA(VLOOKUP(INDIRECT("G"&amp;ROW()),minfo!$A:$M,COLUMN()-8,0),"")</f>
        <v>2198</v>
      </c>
      <c r="R1992" s="4" t="str">
        <f ca="1">_xlfn.IFNA(VLOOKUP(INDIRECT("G"&amp;ROW()),minfo!$A:$M,COLUMN()-8,0),"")</f>
        <v>你听得到</v>
      </c>
      <c r="S1992" s="4" t="str">
        <f ca="1">_xlfn.IFNA(VLOOKUP(INDIRECT("G"&amp;ROW()),minfo!$A:$M,COLUMN()-8,0),"")</f>
        <v>叶惠美</v>
      </c>
      <c r="T1992" s="4">
        <f ca="1">_xlfn.IFNA(VLOOKUP(INDIRECT("G"&amp;ROW()),minfo!$A:$M,COLUMN()-8,0),"")</f>
        <v>280199234</v>
      </c>
      <c r="U1992" s="4">
        <f ca="1">_xlfn.IFNA(VLOOKUP(INDIRECT("G"&amp;ROW()),minfo!$A:$M,COLUMN()-8,0),"")</f>
        <v>0</v>
      </c>
    </row>
    <row r="1993" spans="1:21" ht="15.75" customHeight="1">
      <c r="A1993" s="15">
        <v>1992</v>
      </c>
      <c r="B1993" s="4" t="s">
        <v>5757</v>
      </c>
      <c r="D1993" s="4">
        <v>1</v>
      </c>
      <c r="E1993" s="4" t="s">
        <v>3347</v>
      </c>
      <c r="F1993" s="4" t="s">
        <v>5749</v>
      </c>
      <c r="G1993" s="4" t="s">
        <v>3346</v>
      </c>
      <c r="H1993" s="4" t="s">
        <v>5758</v>
      </c>
      <c r="I1993" s="24" t="str">
        <f>HYPERLINK("https://www.bilibili.com/video/BV1vm421M71L?p=1","BV1vm421M71L?p=1")</f>
        <v>BV1vm421M71L?p=1</v>
      </c>
      <c r="J1993" s="4" t="str">
        <f ca="1">_xlfn.IFNA(VLOOKUP(INDIRECT("G"&amp;ROW()),minfo!$A:$M,COLUMN()-8,0),"")</f>
        <v>今天你要嫁给我</v>
      </c>
      <c r="K1993" s="4" t="str">
        <f ca="1">_xlfn.IFNA(VLOOKUP(INDIRECT("G"&amp;ROW()),minfo!$A:$M,COLUMN()-8,0),"")</f>
        <v>蔡依林,陶喆</v>
      </c>
      <c r="L1993" s="4">
        <f ca="1">_xlfn.IFNA(VLOOKUP(INDIRECT("G"&amp;ROW()),minfo!$A:$M,COLUMN()-8,0),"")</f>
        <v>0</v>
      </c>
      <c r="M1993" s="4">
        <f ca="1">_xlfn.IFNA(VLOOKUP(INDIRECT("G"&amp;ROW()),minfo!$A:$M,COLUMN()-8,0),"")</f>
        <v>0</v>
      </c>
      <c r="N1993" s="4">
        <f ca="1">_xlfn.IFNA(VLOOKUP(INDIRECT("G"&amp;ROW()),minfo!$A:$M,COLUMN()-8,0),"")</f>
        <v>0</v>
      </c>
      <c r="O1993" s="4" t="str">
        <f ca="1">_xlfn.IFNA(VLOOKUP(INDIRECT("G"&amp;ROW()),minfo!$A:$M,COLUMN()-8,0),"")</f>
        <v>https://i0.hdslb.com/bfs/station_src/music_metadata/c641d3261d517a3b2b7fab0f82c6baa1.jpg</v>
      </c>
      <c r="P1993" s="4" t="str">
        <f ca="1">_xlfn.IFNA(VLOOKUP(INDIRECT("G"&amp;ROW()),minfo!$A:$M,COLUMN()-8,0),"")</f>
        <v>http://i0.hdslb.com/bfs/station_src/music_metadata/62a31f7e9d9aa05bb4aac50a638b9122</v>
      </c>
      <c r="Q1993" s="4">
        <f ca="1">_xlfn.IFNA(VLOOKUP(INDIRECT("G"&amp;ROW()),minfo!$A:$M,COLUMN()-8,0),"")</f>
        <v>1120</v>
      </c>
      <c r="R1993" s="4">
        <f ca="1">_xlfn.IFNA(VLOOKUP(INDIRECT("G"&amp;ROW()),minfo!$A:$M,COLUMN()-8,0),"")</f>
        <v>0</v>
      </c>
      <c r="S1993" s="4" t="str">
        <f ca="1">_xlfn.IFNA(VLOOKUP(INDIRECT("G"&amp;ROW()),minfo!$A:$M,COLUMN()-8,0),"")</f>
        <v>太美丽</v>
      </c>
      <c r="T1993" s="4">
        <f ca="1">_xlfn.IFNA(VLOOKUP(INDIRECT("G"&amp;ROW()),minfo!$A:$M,COLUMN()-8,0),"")</f>
        <v>360359966</v>
      </c>
      <c r="U1993" s="4">
        <f ca="1">_xlfn.IFNA(VLOOKUP(INDIRECT("G"&amp;ROW()),minfo!$A:$M,COLUMN()-8,0),"")</f>
        <v>0</v>
      </c>
    </row>
    <row r="1994" spans="1:21" ht="15.75" customHeight="1">
      <c r="A1994" s="15">
        <v>1993</v>
      </c>
      <c r="B1994" s="4" t="s">
        <v>5759</v>
      </c>
      <c r="D1994" s="4">
        <v>1</v>
      </c>
      <c r="E1994" s="4" t="s">
        <v>2404</v>
      </c>
      <c r="F1994" s="4" t="s">
        <v>5749</v>
      </c>
      <c r="G1994" s="4" t="s">
        <v>2403</v>
      </c>
      <c r="H1994" s="4" t="s">
        <v>5760</v>
      </c>
      <c r="I1994" s="24" t="str">
        <f>HYPERLINK("https://www.bilibili.com/video/BV15s421w7FY?p=1","BV15s421w7FY?p=1")</f>
        <v>BV15s421w7FY?p=1</v>
      </c>
      <c r="J1994" s="4" t="str">
        <f ca="1">_xlfn.IFNA(VLOOKUP(INDIRECT("G"&amp;ROW()),minfo!$A:$M,COLUMN()-8,0),"")</f>
        <v>有点甜</v>
      </c>
      <c r="K1994" s="4" t="str">
        <f ca="1">_xlfn.IFNA(VLOOKUP(INDIRECT("G"&amp;ROW()),minfo!$A:$M,COLUMN()-8,0),"")</f>
        <v>汪苏泷,BY2</v>
      </c>
      <c r="L1994" s="4">
        <f ca="1">_xlfn.IFNA(VLOOKUP(INDIRECT("G"&amp;ROW()),minfo!$A:$M,COLUMN()-8,0),"")</f>
        <v>0</v>
      </c>
      <c r="M1994" s="4">
        <f ca="1">_xlfn.IFNA(VLOOKUP(INDIRECT("G"&amp;ROW()),minfo!$A:$M,COLUMN()-8,0),"")</f>
        <v>0</v>
      </c>
      <c r="N1994" s="4">
        <f ca="1">_xlfn.IFNA(VLOOKUP(INDIRECT("G"&amp;ROW()),minfo!$A:$M,COLUMN()-8,0),"")</f>
        <v>0</v>
      </c>
      <c r="O1994" s="4" t="str">
        <f ca="1">_xlfn.IFNA(VLOOKUP(INDIRECT("G"&amp;ROW()),minfo!$A:$M,COLUMN()-8,0),"")</f>
        <v>http://i0.hdslb.com/bfs/station_src/music_metadata/2194a90bbd091797d22bf8bcef93bb96.jpg</v>
      </c>
      <c r="P1994" s="4" t="str">
        <f ca="1">_xlfn.IFNA(VLOOKUP(INDIRECT("G"&amp;ROW()),minfo!$A:$M,COLUMN()-8,0),"")</f>
        <v>http://i0.hdslb.com/bfs/station_src/music_metadata/3dd1e53a4b80ca0ea63ee399dcf0431a</v>
      </c>
      <c r="Q1994" s="4">
        <f ca="1">_xlfn.IFNA(VLOOKUP(INDIRECT("G"&amp;ROW()),minfo!$A:$M,COLUMN()-8,0),"")</f>
        <v>2629</v>
      </c>
      <c r="R1994" s="4" t="str">
        <f ca="1">_xlfn.IFNA(VLOOKUP(INDIRECT("G"&amp;ROW()),minfo!$A:$M,COLUMN()-8,0),"")</f>
        <v>《萌三国》网游主题曲|《微微一笑很倾城》电视剧插曲</v>
      </c>
      <c r="S1994" s="4" t="str">
        <f ca="1">_xlfn.IFNA(VLOOKUP(INDIRECT("G"&amp;ROW()),minfo!$A:$M,COLUMN()-8,0),"")</f>
        <v>万有引力</v>
      </c>
      <c r="T1994" s="4">
        <f ca="1">_xlfn.IFNA(VLOOKUP(INDIRECT("G"&amp;ROW()),minfo!$A:$M,COLUMN()-8,0),"")</f>
        <v>838584003</v>
      </c>
      <c r="U1994" s="4">
        <f ca="1">_xlfn.IFNA(VLOOKUP(INDIRECT("G"&amp;ROW()),minfo!$A:$M,COLUMN()-8,0),"")</f>
        <v>0</v>
      </c>
    </row>
    <row r="1995" spans="1:21" ht="15.75" customHeight="1">
      <c r="A1995" s="15">
        <v>1994</v>
      </c>
      <c r="B1995" s="4" t="s">
        <v>5761</v>
      </c>
      <c r="D1995" s="4">
        <v>1</v>
      </c>
      <c r="E1995" s="4" t="s">
        <v>1495</v>
      </c>
      <c r="F1995" s="4" t="s">
        <v>5749</v>
      </c>
      <c r="G1995" s="4" t="s">
        <v>1494</v>
      </c>
      <c r="H1995" s="4" t="s">
        <v>5762</v>
      </c>
      <c r="I1995" s="24" t="str">
        <f>HYPERLINK("https://www.bilibili.com/video/BV1Fm421T7pB?p=1","BV1Fm421T7pB?p=1")</f>
        <v>BV1Fm421T7pB?p=1</v>
      </c>
      <c r="J1995" s="4" t="str">
        <f ca="1">_xlfn.IFNA(VLOOKUP(INDIRECT("G"&amp;ROW()),minfo!$A:$M,COLUMN()-8,0),"")</f>
        <v>兜圈</v>
      </c>
      <c r="K1995" s="4" t="str">
        <f ca="1">_xlfn.IFNA(VLOOKUP(INDIRECT("G"&amp;ROW()),minfo!$A:$M,COLUMN()-8,0),"")</f>
        <v>林宥嘉</v>
      </c>
      <c r="L1995" s="4">
        <f ca="1">_xlfn.IFNA(VLOOKUP(INDIRECT("G"&amp;ROW()),minfo!$A:$M,COLUMN()-8,0),"")</f>
        <v>0</v>
      </c>
      <c r="M1995" s="4">
        <f ca="1">_xlfn.IFNA(VLOOKUP(INDIRECT("G"&amp;ROW()),minfo!$A:$M,COLUMN()-8,0),"")</f>
        <v>0</v>
      </c>
      <c r="N1995" s="4">
        <f ca="1">_xlfn.IFNA(VLOOKUP(INDIRECT("G"&amp;ROW()),minfo!$A:$M,COLUMN()-8,0),"")</f>
        <v>0</v>
      </c>
      <c r="O1995" s="4" t="str">
        <f ca="1">_xlfn.IFNA(VLOOKUP(INDIRECT("G"&amp;ROW()),minfo!$A:$M,COLUMN()-8,0),"")</f>
        <v>http://i0.hdslb.com/bfs/station_src/music_metadata/e4aaa8aab2c28fc2fde797d960647814.jpg</v>
      </c>
      <c r="P1995" s="4" t="str">
        <f ca="1">_xlfn.IFNA(VLOOKUP(INDIRECT("G"&amp;ROW()),minfo!$A:$M,COLUMN()-8,0),"")</f>
        <v>http://i0.hdslb.com/bfs/station_src/music_metadata/287cc610c4bd3e3ef13de5df8dde7c02</v>
      </c>
      <c r="Q1995" s="4">
        <f ca="1">_xlfn.IFNA(VLOOKUP(INDIRECT("G"&amp;ROW()),minfo!$A:$M,COLUMN()-8,0),"")</f>
        <v>421</v>
      </c>
      <c r="R1995" s="4">
        <f ca="1">_xlfn.IFNA(VLOOKUP(INDIRECT("G"&amp;ROW()),minfo!$A:$M,COLUMN()-8,0),"")</f>
        <v>0</v>
      </c>
      <c r="S1995" s="4">
        <f ca="1">_xlfn.IFNA(VLOOKUP(INDIRECT("G"&amp;ROW()),minfo!$A:$M,COLUMN()-8,0),"")</f>
        <v>0</v>
      </c>
      <c r="T1995" s="4">
        <f ca="1">_xlfn.IFNA(VLOOKUP(INDIRECT("G"&amp;ROW()),minfo!$A:$M,COLUMN()-8,0),"")</f>
        <v>29390728</v>
      </c>
      <c r="U1995" s="4">
        <f ca="1">_xlfn.IFNA(VLOOKUP(INDIRECT("G"&amp;ROW()),minfo!$A:$M,COLUMN()-8,0),"")</f>
        <v>0</v>
      </c>
    </row>
    <row r="1996" spans="1:21" ht="15.75" customHeight="1">
      <c r="A1996" s="15">
        <v>1995</v>
      </c>
      <c r="B1996" s="4" t="s">
        <v>5763</v>
      </c>
      <c r="D1996" s="4">
        <v>1</v>
      </c>
      <c r="E1996" s="4" t="s">
        <v>3059</v>
      </c>
      <c r="F1996" s="4" t="s">
        <v>5764</v>
      </c>
      <c r="G1996" s="4" t="s">
        <v>3058</v>
      </c>
      <c r="H1996" s="4" t="s">
        <v>5765</v>
      </c>
      <c r="I1996" s="24" t="str">
        <f>HYPERLINK("https://www.bilibili.com/video/BV1uJ4m1A75q?p=1","BV1uJ4m1A75q?p=1")</f>
        <v>BV1uJ4m1A75q?p=1</v>
      </c>
      <c r="J1996" s="4" t="str">
        <f ca="1">_xlfn.IFNA(VLOOKUP(INDIRECT("G"&amp;ROW()),minfo!$A:$M,COLUMN()-8,0),"")</f>
        <v>沙滩</v>
      </c>
      <c r="K1996" s="4" t="str">
        <f ca="1">_xlfn.IFNA(VLOOKUP(INDIRECT("G"&amp;ROW()),minfo!$A:$M,COLUMN()-8,0),"")</f>
        <v>陶喆</v>
      </c>
      <c r="L1996" s="4">
        <f ca="1">_xlfn.IFNA(VLOOKUP(INDIRECT("G"&amp;ROW()),minfo!$A:$M,COLUMN()-8,0),"")</f>
        <v>0</v>
      </c>
      <c r="M1996" s="4">
        <f ca="1">_xlfn.IFNA(VLOOKUP(INDIRECT("G"&amp;ROW()),minfo!$A:$M,COLUMN()-8,0),"")</f>
        <v>0</v>
      </c>
      <c r="N1996" s="4">
        <f ca="1">_xlfn.IFNA(VLOOKUP(INDIRECT("G"&amp;ROW()),minfo!$A:$M,COLUMN()-8,0),"")</f>
        <v>0</v>
      </c>
      <c r="O1996" s="4" t="str">
        <f ca="1">_xlfn.IFNA(VLOOKUP(INDIRECT("G"&amp;ROW()),minfo!$A:$M,COLUMN()-8,0),"")</f>
        <v>https://i0.hdslb.com/bfs/station_src/music_metadata/440274ee1a80226c82a45d51431b9c27.jpg</v>
      </c>
      <c r="P1996" s="4" t="str">
        <f ca="1">_xlfn.IFNA(VLOOKUP(INDIRECT("G"&amp;ROW()),minfo!$A:$M,COLUMN()-8,0),"")</f>
        <v>http://i0.hdslb.com/bfs/station_src/music_metadata/80071fead604c315d08e5a67145c0351</v>
      </c>
      <c r="Q1996" s="4">
        <f ca="1">_xlfn.IFNA(VLOOKUP(INDIRECT("G"&amp;ROW()),minfo!$A:$M,COLUMN()-8,0),"")</f>
        <v>190</v>
      </c>
      <c r="R1996" s="4">
        <f ca="1">_xlfn.IFNA(VLOOKUP(INDIRECT("G"&amp;ROW()),minfo!$A:$M,COLUMN()-8,0),"")</f>
        <v>0</v>
      </c>
      <c r="S1996" s="4" t="str">
        <f ca="1">_xlfn.IFNA(VLOOKUP(INDIRECT("G"&amp;ROW()),minfo!$A:$M,COLUMN()-8,0),"")</f>
        <v>陶喆同名专辑</v>
      </c>
      <c r="T1996" s="4">
        <f ca="1">_xlfn.IFNA(VLOOKUP(INDIRECT("G"&amp;ROW()),minfo!$A:$M,COLUMN()-8,0),"")</f>
        <v>25846315</v>
      </c>
      <c r="U1996" s="4">
        <f ca="1">_xlfn.IFNA(VLOOKUP(INDIRECT("G"&amp;ROW()),minfo!$A:$M,COLUMN()-8,0),"")</f>
        <v>0</v>
      </c>
    </row>
    <row r="1997" spans="1:21" ht="15.75" customHeight="1">
      <c r="A1997" s="15">
        <v>1996</v>
      </c>
      <c r="B1997" s="4" t="s">
        <v>5766</v>
      </c>
      <c r="D1997" s="4">
        <v>1</v>
      </c>
      <c r="E1997" s="4" t="s">
        <v>1330</v>
      </c>
      <c r="F1997" s="4" t="s">
        <v>5764</v>
      </c>
      <c r="G1997" s="4" t="s">
        <v>1329</v>
      </c>
      <c r="H1997" s="4" t="s">
        <v>5767</v>
      </c>
      <c r="I1997" s="24" t="str">
        <f>HYPERLINK("https://www.bilibili.com/video/BV1ET421q7NS?p=1","BV1ET421q7NS?p=1")</f>
        <v>BV1ET421q7NS?p=1</v>
      </c>
      <c r="J1997" s="4" t="str">
        <f ca="1">_xlfn.IFNA(VLOOKUP(INDIRECT("G"&amp;ROW()),minfo!$A:$M,COLUMN()-8,0),"")</f>
        <v>Melody</v>
      </c>
      <c r="K1997" s="4" t="str">
        <f ca="1">_xlfn.IFNA(VLOOKUP(INDIRECT("G"&amp;ROW()),minfo!$A:$M,COLUMN()-8,0),"")</f>
        <v>陶喆</v>
      </c>
      <c r="L1997" s="4">
        <f ca="1">_xlfn.IFNA(VLOOKUP(INDIRECT("G"&amp;ROW()),minfo!$A:$M,COLUMN()-8,0),"")</f>
        <v>0</v>
      </c>
      <c r="M1997" s="4">
        <f ca="1">_xlfn.IFNA(VLOOKUP(INDIRECT("G"&amp;ROW()),minfo!$A:$M,COLUMN()-8,0),"")</f>
        <v>0</v>
      </c>
      <c r="N1997" s="4">
        <f ca="1">_xlfn.IFNA(VLOOKUP(INDIRECT("G"&amp;ROW()),minfo!$A:$M,COLUMN()-8,0),"")</f>
        <v>0</v>
      </c>
      <c r="O1997" s="4" t="str">
        <f ca="1">_xlfn.IFNA(VLOOKUP(INDIRECT("G"&amp;ROW()),minfo!$A:$M,COLUMN()-8,0),"")</f>
        <v>https://i0.hdslb.com/bfs/station_src/music_metadata/4f85133845e2c8b25026a678708a9376.jpg</v>
      </c>
      <c r="P1997" s="4" t="str">
        <f ca="1">_xlfn.IFNA(VLOOKUP(INDIRECT("G"&amp;ROW()),minfo!$A:$M,COLUMN()-8,0),"")</f>
        <v>http://i0.hdslb.com/bfs/station_src/music_metadata/d18325416bca019d84b21a8b3f7bb651</v>
      </c>
      <c r="Q1997" s="4">
        <f ca="1">_xlfn.IFNA(VLOOKUP(INDIRECT("G"&amp;ROW()),minfo!$A:$M,COLUMN()-8,0),"")</f>
        <v>1120</v>
      </c>
      <c r="R1997" s="4">
        <f ca="1">_xlfn.IFNA(VLOOKUP(INDIRECT("G"&amp;ROW()),minfo!$A:$M,COLUMN()-8,0),"")</f>
        <v>0</v>
      </c>
      <c r="S1997" s="4" t="str">
        <f ca="1">_xlfn.IFNA(VLOOKUP(INDIRECT("G"&amp;ROW()),minfo!$A:$M,COLUMN()-8,0),"")</f>
        <v>黑色柳丁</v>
      </c>
      <c r="T1997" s="4">
        <f ca="1">_xlfn.IFNA(VLOOKUP(INDIRECT("G"&amp;ROW()),minfo!$A:$M,COLUMN()-8,0),"")</f>
        <v>113992875</v>
      </c>
      <c r="U1997" s="4">
        <f ca="1">_xlfn.IFNA(VLOOKUP(INDIRECT("G"&amp;ROW()),minfo!$A:$M,COLUMN()-8,0),"")</f>
        <v>0</v>
      </c>
    </row>
    <row r="1998" spans="1:21" ht="15.75" customHeight="1">
      <c r="A1998" s="15">
        <v>1997</v>
      </c>
      <c r="B1998" s="4" t="s">
        <v>5768</v>
      </c>
      <c r="D1998" s="4">
        <v>1</v>
      </c>
      <c r="E1998" s="4" t="s">
        <v>3352</v>
      </c>
      <c r="F1998" s="4" t="s">
        <v>5764</v>
      </c>
      <c r="G1998" s="4" t="s">
        <v>3351</v>
      </c>
      <c r="H1998" s="4" t="s">
        <v>5769</v>
      </c>
      <c r="I1998" s="24" t="str">
        <f>HYPERLINK("https://www.bilibili.com/video/BV1gm421N77V?p=1","BV1gm421N77V?p=1")</f>
        <v>BV1gm421N77V?p=1</v>
      </c>
      <c r="J1998" s="4" t="str">
        <f ca="1">_xlfn.IFNA(VLOOKUP(INDIRECT("G"&amp;ROW()),minfo!$A:$M,COLUMN()-8,0),"")</f>
        <v>寂寞的季节</v>
      </c>
      <c r="K1998" s="4" t="str">
        <f ca="1">_xlfn.IFNA(VLOOKUP(INDIRECT("G"&amp;ROW()),minfo!$A:$M,COLUMN()-8,0),"")</f>
        <v>陶喆</v>
      </c>
      <c r="L1998" s="4">
        <f ca="1">_xlfn.IFNA(VLOOKUP(INDIRECT("G"&amp;ROW()),minfo!$A:$M,COLUMN()-8,0),"")</f>
        <v>0</v>
      </c>
      <c r="M1998" s="4">
        <f ca="1">_xlfn.IFNA(VLOOKUP(INDIRECT("G"&amp;ROW()),minfo!$A:$M,COLUMN()-8,0),"")</f>
        <v>0</v>
      </c>
      <c r="N1998" s="4">
        <f ca="1">_xlfn.IFNA(VLOOKUP(INDIRECT("G"&amp;ROW()),minfo!$A:$M,COLUMN()-8,0),"")</f>
        <v>0</v>
      </c>
      <c r="O1998" s="4" t="str">
        <f ca="1">_xlfn.IFNA(VLOOKUP(INDIRECT("G"&amp;ROW()),minfo!$A:$M,COLUMN()-8,0),"")</f>
        <v>http://i0.hdslb.com/bfs/station_src/music_metadata/f71dc4018f8341963054d0bc5324785c.jpg</v>
      </c>
      <c r="P1998" s="4" t="str">
        <f ca="1">_xlfn.IFNA(VLOOKUP(INDIRECT("G"&amp;ROW()),minfo!$A:$M,COLUMN()-8,0),"")</f>
        <v>http://i0.hdslb.com/bfs/station_src/music_metadata/25b9ce90f0f0179405947a95466ff030</v>
      </c>
      <c r="Q1998" s="4">
        <f ca="1">_xlfn.IFNA(VLOOKUP(INDIRECT("G"&amp;ROW()),minfo!$A:$M,COLUMN()-8,0),"")</f>
        <v>134</v>
      </c>
      <c r="R1998" s="4">
        <f ca="1">_xlfn.IFNA(VLOOKUP(INDIRECT("G"&amp;ROW()),minfo!$A:$M,COLUMN()-8,0),"")</f>
        <v>0</v>
      </c>
      <c r="S1998" s="4" t="str">
        <f ca="1">_xlfn.IFNA(VLOOKUP(INDIRECT("G"&amp;ROW()),minfo!$A:$M,COLUMN()-8,0),"")</f>
        <v>寂寞的季节</v>
      </c>
      <c r="T1998" s="4">
        <f ca="1">_xlfn.IFNA(VLOOKUP(INDIRECT("G"&amp;ROW()),minfo!$A:$M,COLUMN()-8,0),"")</f>
        <v>60141031</v>
      </c>
      <c r="U1998" s="4">
        <f ca="1">_xlfn.IFNA(VLOOKUP(INDIRECT("G"&amp;ROW()),minfo!$A:$M,COLUMN()-8,0),"")</f>
        <v>0</v>
      </c>
    </row>
    <row r="1999" spans="1:21" ht="15.75" customHeight="1">
      <c r="A1999" s="15">
        <v>1998</v>
      </c>
      <c r="B1999" s="4" t="s">
        <v>5770</v>
      </c>
      <c r="D1999" s="4">
        <v>1</v>
      </c>
      <c r="E1999" s="4" t="s">
        <v>1010</v>
      </c>
      <c r="F1999" s="4" t="s">
        <v>5764</v>
      </c>
      <c r="G1999" s="4" t="s">
        <v>1009</v>
      </c>
      <c r="H1999" s="4" t="s">
        <v>5771</v>
      </c>
      <c r="I1999" s="24" t="str">
        <f>HYPERLINK("https://www.bilibili.com/video/BV1Rb421q7S5?p=1","BV1Rb421q7S5?p=1")</f>
        <v>BV1Rb421q7S5?p=1</v>
      </c>
      <c r="J1999" s="4" t="str">
        <f ca="1">_xlfn.IFNA(VLOOKUP(INDIRECT("G"&amp;ROW()),minfo!$A:$M,COLUMN()-8,0),"")</f>
        <v>黑色毛衣</v>
      </c>
      <c r="K1999" s="4" t="str">
        <f ca="1">_xlfn.IFNA(VLOOKUP(INDIRECT("G"&amp;ROW()),minfo!$A:$M,COLUMN()-8,0),"")</f>
        <v>周杰伦</v>
      </c>
      <c r="L1999" s="4">
        <f ca="1">_xlfn.IFNA(VLOOKUP(INDIRECT("G"&amp;ROW()),minfo!$A:$M,COLUMN()-8,0),"")</f>
        <v>0</v>
      </c>
      <c r="M1999" s="4">
        <f ca="1">_xlfn.IFNA(VLOOKUP(INDIRECT("G"&amp;ROW()),minfo!$A:$M,COLUMN()-8,0),"")</f>
        <v>0</v>
      </c>
      <c r="N1999" s="4">
        <f ca="1">_xlfn.IFNA(VLOOKUP(INDIRECT("G"&amp;ROW()),minfo!$A:$M,COLUMN()-8,0),"")</f>
        <v>0</v>
      </c>
      <c r="O1999" s="4" t="str">
        <f ca="1">_xlfn.IFNA(VLOOKUP(INDIRECT("G"&amp;ROW()),minfo!$A:$M,COLUMN()-8,0),"")</f>
        <v>https://i0.hdslb.com/bfs/station_src/music_metadata/d177abbc80cfe554a91bcd9e69d8da51.jpg</v>
      </c>
      <c r="P1999" s="4" t="str">
        <f ca="1">_xlfn.IFNA(VLOOKUP(INDIRECT("G"&amp;ROW()),minfo!$A:$M,COLUMN()-8,0),"")</f>
        <v>http://i0.hdslb.com/bfs/station_src/music_metadata/87ffce3db53d0d821f19079333c6109c</v>
      </c>
      <c r="Q1999" s="4">
        <f ca="1">_xlfn.IFNA(VLOOKUP(INDIRECT("G"&amp;ROW()),minfo!$A:$M,COLUMN()-8,0),"")</f>
        <v>900</v>
      </c>
      <c r="R1999" s="4">
        <f ca="1">_xlfn.IFNA(VLOOKUP(INDIRECT("G"&amp;ROW()),minfo!$A:$M,COLUMN()-8,0),"")</f>
        <v>0</v>
      </c>
      <c r="S1999" s="4" t="str">
        <f ca="1">_xlfn.IFNA(VLOOKUP(INDIRECT("G"&amp;ROW()),minfo!$A:$M,COLUMN()-8,0),"")</f>
        <v>十一月的萧邦</v>
      </c>
      <c r="T1999" s="4">
        <f ca="1">_xlfn.IFNA(VLOOKUP(INDIRECT("G"&amp;ROW()),minfo!$A:$M,COLUMN()-8,0),"")</f>
        <v>294942325</v>
      </c>
      <c r="U1999" s="4">
        <f ca="1">_xlfn.IFNA(VLOOKUP(INDIRECT("G"&amp;ROW()),minfo!$A:$M,COLUMN()-8,0),"")</f>
        <v>0</v>
      </c>
    </row>
    <row r="2000" spans="1:21" ht="15.75" customHeight="1">
      <c r="A2000" s="15">
        <v>1999</v>
      </c>
      <c r="B2000" s="4" t="s">
        <v>5772</v>
      </c>
      <c r="D2000" s="4">
        <v>1</v>
      </c>
      <c r="E2000" s="4" t="s">
        <v>5773</v>
      </c>
      <c r="F2000" s="4" t="s">
        <v>5764</v>
      </c>
      <c r="G2000" s="4" t="s">
        <v>3355</v>
      </c>
      <c r="H2000" s="4" t="s">
        <v>5774</v>
      </c>
      <c r="I2000" s="24" t="str">
        <f>HYPERLINK("https://www.bilibili.com/video/BV1Ny411h7N2?p=1","BV1Ny411h7N2?p=1")</f>
        <v>BV1Ny411h7N2?p=1</v>
      </c>
      <c r="J2000" s="4" t="str">
        <f ca="1">_xlfn.IFNA(VLOOKUP(INDIRECT("G"&amp;ROW()),minfo!$A:$M,COLUMN()-8,0),"")</f>
        <v>爱在西元前</v>
      </c>
      <c r="K2000" s="4" t="str">
        <f ca="1">_xlfn.IFNA(VLOOKUP(INDIRECT("G"&amp;ROW()),minfo!$A:$M,COLUMN()-8,0),"")</f>
        <v>周杰伦</v>
      </c>
      <c r="L2000" s="4">
        <f ca="1">_xlfn.IFNA(VLOOKUP(INDIRECT("G"&amp;ROW()),minfo!$A:$M,COLUMN()-8,0),"")</f>
        <v>0</v>
      </c>
      <c r="M2000" s="4">
        <f ca="1">_xlfn.IFNA(VLOOKUP(INDIRECT("G"&amp;ROW()),minfo!$A:$M,COLUMN()-8,0),"")</f>
        <v>0</v>
      </c>
      <c r="N2000" s="4">
        <f ca="1">_xlfn.IFNA(VLOOKUP(INDIRECT("G"&amp;ROW()),minfo!$A:$M,COLUMN()-8,0),"")</f>
        <v>0</v>
      </c>
      <c r="O2000" s="4" t="str">
        <f ca="1">_xlfn.IFNA(VLOOKUP(INDIRECT("G"&amp;ROW()),minfo!$A:$M,COLUMN()-8,0),"")</f>
        <v>http://i0.hdslb.com/bfs/station_src/music_metadata/bcdd9d26bee20c24c423e347b838d170.jpg</v>
      </c>
      <c r="P2000" s="4" t="str">
        <f ca="1">_xlfn.IFNA(VLOOKUP(INDIRECT("G"&amp;ROW()),minfo!$A:$M,COLUMN()-8,0),"")</f>
        <v>http://i0.hdslb.com/bfs/station_src/music_metadata/cd87bd6f404c0b565b0e29f133fb6ee6</v>
      </c>
      <c r="Q2000" s="4">
        <f ca="1">_xlfn.IFNA(VLOOKUP(INDIRECT("G"&amp;ROW()),minfo!$A:$M,COLUMN()-8,0),"")</f>
        <v>8968</v>
      </c>
      <c r="R2000" s="4">
        <f ca="1">_xlfn.IFNA(VLOOKUP(INDIRECT("G"&amp;ROW()),minfo!$A:$M,COLUMN()-8,0),"")</f>
        <v>0</v>
      </c>
      <c r="S2000" s="4" t="str">
        <f ca="1">_xlfn.IFNA(VLOOKUP(INDIRECT("G"&amp;ROW()),minfo!$A:$M,COLUMN()-8,0),"")</f>
        <v>范特西</v>
      </c>
      <c r="T2000" s="4">
        <f ca="1">_xlfn.IFNA(VLOOKUP(INDIRECT("G"&amp;ROW()),minfo!$A:$M,COLUMN()-8,0),"")</f>
        <v>639985095</v>
      </c>
      <c r="U2000" s="4">
        <f ca="1">_xlfn.IFNA(VLOOKUP(INDIRECT("G"&amp;ROW()),minfo!$A:$M,COLUMN()-8,0),"")</f>
        <v>0</v>
      </c>
    </row>
    <row r="2001" spans="1:21" ht="15.75" customHeight="1">
      <c r="A2001" s="15">
        <v>2000</v>
      </c>
      <c r="B2001" s="4" t="s">
        <v>5775</v>
      </c>
      <c r="D2001" s="4">
        <v>1</v>
      </c>
      <c r="E2001" s="4" t="s">
        <v>1499</v>
      </c>
      <c r="F2001" s="4" t="s">
        <v>5764</v>
      </c>
      <c r="G2001" s="4" t="s">
        <v>1498</v>
      </c>
      <c r="H2001" s="4" t="s">
        <v>5776</v>
      </c>
      <c r="I2001" s="24" t="str">
        <f>HYPERLINK("https://www.bilibili.com/video/BV1s7421Z7DY?p=1","BV1s7421Z7DY?p=1")</f>
        <v>BV1s7421Z7DY?p=1</v>
      </c>
      <c r="J2001" s="4" t="str">
        <f ca="1">_xlfn.IFNA(VLOOKUP(INDIRECT("G"&amp;ROW()),minfo!$A:$M,COLUMN()-8,0),"")</f>
        <v>想自由</v>
      </c>
      <c r="K2001" s="4" t="str">
        <f ca="1">_xlfn.IFNA(VLOOKUP(INDIRECT("G"&amp;ROW()),minfo!$A:$M,COLUMN()-8,0),"")</f>
        <v>林宥嘉</v>
      </c>
      <c r="L2001" s="4">
        <f ca="1">_xlfn.IFNA(VLOOKUP(INDIRECT("G"&amp;ROW()),minfo!$A:$M,COLUMN()-8,0),"")</f>
        <v>0</v>
      </c>
      <c r="M2001" s="4">
        <f ca="1">_xlfn.IFNA(VLOOKUP(INDIRECT("G"&amp;ROW()),minfo!$A:$M,COLUMN()-8,0),"")</f>
        <v>0</v>
      </c>
      <c r="N2001" s="4">
        <f ca="1">_xlfn.IFNA(VLOOKUP(INDIRECT("G"&amp;ROW()),minfo!$A:$M,COLUMN()-8,0),"")</f>
        <v>0</v>
      </c>
      <c r="O2001" s="4" t="str">
        <f ca="1">_xlfn.IFNA(VLOOKUP(INDIRECT("G"&amp;ROW()),minfo!$A:$M,COLUMN()-8,0),"")</f>
        <v>https://i0.hdslb.com/bfs/station_src/music_metadata/80c48cde65ddbc496d663ac30e1ea657.jpg</v>
      </c>
      <c r="P2001" s="4" t="str">
        <f ca="1">_xlfn.IFNA(VLOOKUP(INDIRECT("G"&amp;ROW()),minfo!$A:$M,COLUMN()-8,0),"")</f>
        <v>http://i0.hdslb.com/bfs/station_src/music_metadata/cea95dbba745359d59323685a1866bce</v>
      </c>
      <c r="Q2001" s="4">
        <f ca="1">_xlfn.IFNA(VLOOKUP(INDIRECT("G"&amp;ROW()),minfo!$A:$M,COLUMN()-8,0),"")</f>
        <v>729</v>
      </c>
      <c r="R2001" s="4">
        <f ca="1">_xlfn.IFNA(VLOOKUP(INDIRECT("G"&amp;ROW()),minfo!$A:$M,COLUMN()-8,0),"")</f>
        <v>0</v>
      </c>
      <c r="S2001" s="4" t="str">
        <f ca="1">_xlfn.IFNA(VLOOKUP(INDIRECT("G"&amp;ROW()),minfo!$A:$M,COLUMN()-8,0),"")</f>
        <v>美妙生活</v>
      </c>
      <c r="T2001" s="4">
        <f ca="1">_xlfn.IFNA(VLOOKUP(INDIRECT("G"&amp;ROW()),minfo!$A:$M,COLUMN()-8,0),"")</f>
        <v>114457691</v>
      </c>
      <c r="U2001" s="4">
        <f ca="1">_xlfn.IFNA(VLOOKUP(INDIRECT("G"&amp;ROW()),minfo!$A:$M,COLUMN()-8,0),"")</f>
        <v>0</v>
      </c>
    </row>
    <row r="2002" spans="1:21" ht="15.75" customHeight="1">
      <c r="A2002" s="15">
        <v>2001</v>
      </c>
      <c r="B2002" s="4" t="s">
        <v>5777</v>
      </c>
      <c r="D2002" s="4">
        <v>1</v>
      </c>
      <c r="E2002" s="4" t="s">
        <v>4581</v>
      </c>
      <c r="F2002" s="4" t="s">
        <v>5764</v>
      </c>
      <c r="G2002" s="4" t="s">
        <v>393</v>
      </c>
      <c r="H2002" s="4" t="s">
        <v>5778</v>
      </c>
      <c r="I2002" s="24" t="str">
        <f>HYPERLINK("https://www.bilibili.com/video/BV1tz421e7NQ?p=1","BV1tz421e7NQ?p=1")</f>
        <v>BV1tz421e7NQ?p=1</v>
      </c>
      <c r="J2002" s="4" t="str">
        <f ca="1">_xlfn.IFNA(VLOOKUP(INDIRECT("G"&amp;ROW()),minfo!$A:$M,COLUMN()-8,0),"")</f>
        <v>RingRingRing</v>
      </c>
      <c r="K2002" s="4" t="str">
        <f ca="1">_xlfn.IFNA(VLOOKUP(INDIRECT("G"&amp;ROW()),minfo!$A:$M,COLUMN()-8,0),"")</f>
        <v>S.H.E</v>
      </c>
      <c r="L2002" s="4">
        <f ca="1">_xlfn.IFNA(VLOOKUP(INDIRECT("G"&amp;ROW()),minfo!$A:$M,COLUMN()-8,0),"")</f>
        <v>0</v>
      </c>
      <c r="M2002" s="4">
        <f ca="1">_xlfn.IFNA(VLOOKUP(INDIRECT("G"&amp;ROW()),minfo!$A:$M,COLUMN()-8,0),"")</f>
        <v>0</v>
      </c>
      <c r="N2002" s="4">
        <f ca="1">_xlfn.IFNA(VLOOKUP(INDIRECT("G"&amp;ROW()),minfo!$A:$M,COLUMN()-8,0),"")</f>
        <v>0</v>
      </c>
      <c r="O2002" s="4" t="str">
        <f ca="1">_xlfn.IFNA(VLOOKUP(INDIRECT("G"&amp;ROW()),minfo!$A:$M,COLUMN()-8,0),"")</f>
        <v>http://i0.hdslb.com/bfs/station_src/music_metadata/118b3cbdbc9aeb5dc89685ab0f853a01.jpg</v>
      </c>
      <c r="P2002" s="4">
        <f ca="1">_xlfn.IFNA(VLOOKUP(INDIRECT("G"&amp;ROW()),minfo!$A:$M,COLUMN()-8,0),"")</f>
        <v>0</v>
      </c>
      <c r="Q2002" s="4">
        <f ca="1">_xlfn.IFNA(VLOOKUP(INDIRECT("G"&amp;ROW()),minfo!$A:$M,COLUMN()-8,0),"")</f>
        <v>2174</v>
      </c>
      <c r="R2002" s="4">
        <f ca="1">_xlfn.IFNA(VLOOKUP(INDIRECT("G"&amp;ROW()),minfo!$A:$M,COLUMN()-8,0),"")</f>
        <v>0</v>
      </c>
      <c r="S2002" s="4" t="str">
        <f ca="1">_xlfn.IFNA(VLOOKUP(INDIRECT("G"&amp;ROW()),minfo!$A:$M,COLUMN()-8,0),"")</f>
        <v>Forever 新歌+精选</v>
      </c>
      <c r="T2002" s="4">
        <f ca="1">_xlfn.IFNA(VLOOKUP(INDIRECT("G"&amp;ROW()),minfo!$A:$M,COLUMN()-8,0),"")</f>
        <v>383197673</v>
      </c>
      <c r="U2002" s="4" t="str">
        <f ca="1">_xlfn.IFNA(VLOOKUP(INDIRECT("G"&amp;ROW()),minfo!$A:$M,COLUMN()-8,0),"")</f>
        <v>音乐榜最高NO.18</v>
      </c>
    </row>
    <row r="2003" spans="1:21" ht="15.75" customHeight="1">
      <c r="A2003" s="15">
        <v>2002</v>
      </c>
      <c r="B2003" s="4" t="s">
        <v>5779</v>
      </c>
      <c r="D2003" s="4">
        <v>1</v>
      </c>
      <c r="E2003" s="4" t="s">
        <v>123</v>
      </c>
      <c r="F2003" s="4" t="s">
        <v>5764</v>
      </c>
      <c r="G2003" s="4" t="s">
        <v>123</v>
      </c>
      <c r="H2003" s="4" t="s">
        <v>5780</v>
      </c>
      <c r="I2003" s="24" t="str">
        <f>HYPERLINK("https://www.bilibili.com/video/BV1bz421a7KJ?p=1","BV1bz421a7KJ?p=1")</f>
        <v>BV1bz421a7KJ?p=1</v>
      </c>
      <c r="J2003" s="4" t="str">
        <f ca="1">_xlfn.IFNA(VLOOKUP(INDIRECT("G"&amp;ROW()),minfo!$A:$M,COLUMN()-8,0),"")</f>
        <v>解忧曲</v>
      </c>
      <c r="K2003" s="4" t="str">
        <f ca="1">_xlfn.IFNA(VLOOKUP(INDIRECT("G"&amp;ROW()),minfo!$A:$M,COLUMN()-8,0),"")</f>
        <v>咻咻满</v>
      </c>
      <c r="L2003" s="4" t="str">
        <f ca="1">_xlfn.IFNA(VLOOKUP(INDIRECT("G"&amp;ROW()),minfo!$A:$M,COLUMN()-8,0),"")</f>
        <v>BV1LK42117Vd</v>
      </c>
      <c r="M2003" s="4">
        <f ca="1">_xlfn.IFNA(VLOOKUP(INDIRECT("G"&amp;ROW()),minfo!$A:$M,COLUMN()-8,0),"")</f>
        <v>0</v>
      </c>
      <c r="N2003" s="4">
        <f ca="1">_xlfn.IFNA(VLOOKUP(INDIRECT("G"&amp;ROW()),minfo!$A:$M,COLUMN()-8,0),"")</f>
        <v>0</v>
      </c>
      <c r="O2003" s="4">
        <f ca="1">_xlfn.IFNA(VLOOKUP(INDIRECT("G"&amp;ROW()),minfo!$A:$M,COLUMN()-8,0),"")</f>
        <v>0</v>
      </c>
      <c r="P2003" s="4">
        <f ca="1">_xlfn.IFNA(VLOOKUP(INDIRECT("G"&amp;ROW()),minfo!$A:$M,COLUMN()-8,0),"")</f>
        <v>0</v>
      </c>
      <c r="Q2003" s="4">
        <f ca="1">_xlfn.IFNA(VLOOKUP(INDIRECT("G"&amp;ROW()),minfo!$A:$M,COLUMN()-8,0),"")</f>
        <v>0</v>
      </c>
      <c r="R2003" s="4">
        <f ca="1">_xlfn.IFNA(VLOOKUP(INDIRECT("G"&amp;ROW()),minfo!$A:$M,COLUMN()-8,0),"")</f>
        <v>0</v>
      </c>
      <c r="S2003" s="4">
        <f ca="1">_xlfn.IFNA(VLOOKUP(INDIRECT("G"&amp;ROW()),minfo!$A:$M,COLUMN()-8,0),"")</f>
        <v>0</v>
      </c>
      <c r="T2003" s="4">
        <f ca="1">_xlfn.IFNA(VLOOKUP(INDIRECT("G"&amp;ROW()),minfo!$A:$M,COLUMN()-8,0),"")</f>
        <v>0</v>
      </c>
      <c r="U2003" s="4">
        <f ca="1">_xlfn.IFNA(VLOOKUP(INDIRECT("G"&amp;ROW()),minfo!$A:$M,COLUMN()-8,0),"")</f>
        <v>0</v>
      </c>
    </row>
    <row r="2004" spans="1:21" ht="15.75" customHeight="1">
      <c r="A2004" s="15">
        <v>2003</v>
      </c>
      <c r="B2004" s="4" t="s">
        <v>5781</v>
      </c>
      <c r="D2004" s="4">
        <v>1</v>
      </c>
      <c r="E2004" s="4" t="s">
        <v>3267</v>
      </c>
      <c r="F2004" s="4" t="s">
        <v>5782</v>
      </c>
      <c r="G2004" s="4" t="s">
        <v>3266</v>
      </c>
      <c r="H2004" s="4" t="s">
        <v>5783</v>
      </c>
      <c r="I2004" s="24" t="str">
        <f>HYPERLINK("https://www.bilibili.com/video/BV1Tn4y197vZ?p=1","BV1Tn4y197vZ?p=1")</f>
        <v>BV1Tn4y197vZ?p=1</v>
      </c>
      <c r="J2004" s="4" t="str">
        <f ca="1">_xlfn.IFNA(VLOOKUP(INDIRECT("G"&amp;ROW()),minfo!$A:$M,COLUMN()-8,0),"")</f>
        <v>不枉</v>
      </c>
      <c r="K2004" s="4" t="str">
        <f ca="1">_xlfn.IFNA(VLOOKUP(INDIRECT("G"&amp;ROW()),minfo!$A:$M,COLUMN()-8,0),"")</f>
        <v>汪小敏</v>
      </c>
      <c r="L2004" s="4">
        <f ca="1">_xlfn.IFNA(VLOOKUP(INDIRECT("G"&amp;ROW()),minfo!$A:$M,COLUMN()-8,0),"")</f>
        <v>0</v>
      </c>
      <c r="M2004" s="4">
        <f ca="1">_xlfn.IFNA(VLOOKUP(INDIRECT("G"&amp;ROW()),minfo!$A:$M,COLUMN()-8,0),"")</f>
        <v>0</v>
      </c>
      <c r="N2004" s="4">
        <f ca="1">_xlfn.IFNA(VLOOKUP(INDIRECT("G"&amp;ROW()),minfo!$A:$M,COLUMN()-8,0),"")</f>
        <v>0</v>
      </c>
      <c r="O2004" s="4" t="str">
        <f ca="1">_xlfn.IFNA(VLOOKUP(INDIRECT("G"&amp;ROW()),minfo!$A:$M,COLUMN()-8,0),"")</f>
        <v>https://i0.hdslb.com/bfs/station_src/music_metadata/1233569afa400d8a6333bb974bba7447.jpg</v>
      </c>
      <c r="P2004" s="4">
        <f ca="1">_xlfn.IFNA(VLOOKUP(INDIRECT("G"&amp;ROW()),minfo!$A:$M,COLUMN()-8,0),"")</f>
        <v>0</v>
      </c>
      <c r="Q2004" s="4">
        <f ca="1">_xlfn.IFNA(VLOOKUP(INDIRECT("G"&amp;ROW()),minfo!$A:$M,COLUMN()-8,0),"")</f>
        <v>75</v>
      </c>
      <c r="R2004" s="4">
        <f ca="1">_xlfn.IFNA(VLOOKUP(INDIRECT("G"&amp;ROW()),minfo!$A:$M,COLUMN()-8,0),"")</f>
        <v>0</v>
      </c>
      <c r="S2004" s="4" t="str">
        <f ca="1">_xlfn.IFNA(VLOOKUP(INDIRECT("G"&amp;ROW()),minfo!$A:$M,COLUMN()-8,0),"")</f>
        <v>空</v>
      </c>
      <c r="T2004" s="4">
        <f ca="1">_xlfn.IFNA(VLOOKUP(INDIRECT("G"&amp;ROW()),minfo!$A:$M,COLUMN()-8,0),"")</f>
        <v>5523557</v>
      </c>
      <c r="U2004" s="4" t="str">
        <f ca="1">_xlfn.IFNA(VLOOKUP(INDIRECT("G"&amp;ROW()),minfo!$A:$M,COLUMN()-8,0),"")</f>
        <v>音乐榜最高NO.18</v>
      </c>
    </row>
    <row r="2005" spans="1:21" ht="15.75" customHeight="1">
      <c r="A2005" s="15">
        <v>2004</v>
      </c>
      <c r="B2005" s="4" t="s">
        <v>5784</v>
      </c>
      <c r="D2005" s="4">
        <v>1</v>
      </c>
      <c r="E2005" s="4" t="s">
        <v>1719</v>
      </c>
      <c r="F2005" s="4" t="s">
        <v>5782</v>
      </c>
      <c r="G2005" s="4" t="s">
        <v>1718</v>
      </c>
      <c r="H2005" s="4" t="s">
        <v>5785</v>
      </c>
      <c r="I2005" s="24" t="str">
        <f>HYPERLINK("https://www.bilibili.com/video/BV1Kr421A7yW?p=1","BV1Kr421A7yW?p=1")</f>
        <v>BV1Kr421A7yW?p=1</v>
      </c>
      <c r="J2005" s="4" t="str">
        <f ca="1">_xlfn.IFNA(VLOOKUP(INDIRECT("G"&amp;ROW()),minfo!$A:$M,COLUMN()-8,0),"")</f>
        <v>达尔文</v>
      </c>
      <c r="K2005" s="4" t="str">
        <f ca="1">_xlfn.IFNA(VLOOKUP(INDIRECT("G"&amp;ROW()),minfo!$A:$M,COLUMN()-8,0),"")</f>
        <v>蔡健雅</v>
      </c>
      <c r="L2005" s="4">
        <f ca="1">_xlfn.IFNA(VLOOKUP(INDIRECT("G"&amp;ROW()),minfo!$A:$M,COLUMN()-8,0),"")</f>
        <v>0</v>
      </c>
      <c r="M2005" s="4">
        <f ca="1">_xlfn.IFNA(VLOOKUP(INDIRECT("G"&amp;ROW()),minfo!$A:$M,COLUMN()-8,0),"")</f>
        <v>61</v>
      </c>
      <c r="N2005" s="4">
        <f ca="1">_xlfn.IFNA(VLOOKUP(INDIRECT("G"&amp;ROW()),minfo!$A:$M,COLUMN()-8,0),"")</f>
        <v>23</v>
      </c>
      <c r="O2005" s="4" t="str">
        <f ca="1">_xlfn.IFNA(VLOOKUP(INDIRECT("G"&amp;ROW()),minfo!$A:$M,COLUMN()-8,0),"")</f>
        <v>http://i2.hdslb.com/bfs/archive/0d88147503c1678b5c14f01bf912438f0e18189c.jpg</v>
      </c>
      <c r="P2005" s="4">
        <f ca="1">_xlfn.IFNA(VLOOKUP(INDIRECT("G"&amp;ROW()),minfo!$A:$M,COLUMN()-8,0),"")</f>
        <v>0</v>
      </c>
      <c r="Q2005" s="4">
        <f ca="1">_xlfn.IFNA(VLOOKUP(INDIRECT("G"&amp;ROW()),minfo!$A:$M,COLUMN()-8,0),"")</f>
        <v>275</v>
      </c>
      <c r="R2005" s="4" t="str">
        <f ca="1">_xlfn.IFNA(VLOOKUP(INDIRECT("G"&amp;ROW()),minfo!$A:$M,COLUMN()-8,0),"")</f>
        <v>达尔文</v>
      </c>
      <c r="S2005" s="4" t="str">
        <f ca="1">_xlfn.IFNA(VLOOKUP(INDIRECT("G"&amp;ROW()),minfo!$A:$M,COLUMN()-8,0),"")</f>
        <v>达尔文</v>
      </c>
      <c r="T2005" s="4">
        <f ca="1">_xlfn.IFNA(VLOOKUP(INDIRECT("G"&amp;ROW()),minfo!$A:$M,COLUMN()-8,0),"")</f>
        <v>108423038</v>
      </c>
      <c r="U2005" s="4">
        <f ca="1">_xlfn.IFNA(VLOOKUP(INDIRECT("G"&amp;ROW()),minfo!$A:$M,COLUMN()-8,0),"")</f>
        <v>0</v>
      </c>
    </row>
    <row r="2006" spans="1:21" ht="15.75" customHeight="1">
      <c r="A2006" s="15">
        <v>2005</v>
      </c>
      <c r="B2006" s="4" t="s">
        <v>5786</v>
      </c>
      <c r="D2006" s="4">
        <v>1</v>
      </c>
      <c r="E2006" s="4" t="s">
        <v>994</v>
      </c>
      <c r="F2006" s="4" t="s">
        <v>5782</v>
      </c>
      <c r="G2006" s="4" t="s">
        <v>993</v>
      </c>
      <c r="H2006" s="4" t="s">
        <v>5787</v>
      </c>
      <c r="I2006" s="24" t="str">
        <f>HYPERLINK("https://www.bilibili.com/video/BV1rs421g7y2?p=1","BV1rs421g7y2?p=1")</f>
        <v>BV1rs421g7y2?p=1</v>
      </c>
      <c r="J2006" s="4" t="str">
        <f ca="1">_xlfn.IFNA(VLOOKUP(INDIRECT("G"&amp;ROW()),minfo!$A:$M,COLUMN()-8,0),"")</f>
        <v>千里之外</v>
      </c>
      <c r="K2006" s="4" t="str">
        <f ca="1">_xlfn.IFNA(VLOOKUP(INDIRECT("G"&amp;ROW()),minfo!$A:$M,COLUMN()-8,0),"")</f>
        <v>周杰伦,费玉清</v>
      </c>
      <c r="L2006" s="4">
        <f ca="1">_xlfn.IFNA(VLOOKUP(INDIRECT("G"&amp;ROW()),minfo!$A:$M,COLUMN()-8,0),"")</f>
        <v>0</v>
      </c>
      <c r="M2006" s="4">
        <f ca="1">_xlfn.IFNA(VLOOKUP(INDIRECT("G"&amp;ROW()),minfo!$A:$M,COLUMN()-8,0),"")</f>
        <v>0</v>
      </c>
      <c r="N2006" s="4">
        <f ca="1">_xlfn.IFNA(VLOOKUP(INDIRECT("G"&amp;ROW()),minfo!$A:$M,COLUMN()-8,0),"")</f>
        <v>0</v>
      </c>
      <c r="O2006" s="4" t="str">
        <f ca="1">_xlfn.IFNA(VLOOKUP(INDIRECT("G"&amp;ROW()),minfo!$A:$M,COLUMN()-8,0),"")</f>
        <v>https://i0.hdslb.com/bfs/station_src/music_metadata/93cc2943c40bbf6990bd9e0adeabafe2.jpg</v>
      </c>
      <c r="P2006" s="4" t="str">
        <f ca="1">_xlfn.IFNA(VLOOKUP(INDIRECT("G"&amp;ROW()),minfo!$A:$M,COLUMN()-8,0),"")</f>
        <v>http://i0.hdslb.com/bfs/station_src/music_metadata/e8ad99f703c7b523f52b890a4f1946c1</v>
      </c>
      <c r="Q2006" s="4">
        <f ca="1">_xlfn.IFNA(VLOOKUP(INDIRECT("G"&amp;ROW()),minfo!$A:$M,COLUMN()-8,0),"")</f>
        <v>1217</v>
      </c>
      <c r="R2006" s="4">
        <f ca="1">_xlfn.IFNA(VLOOKUP(INDIRECT("G"&amp;ROW()),minfo!$A:$M,COLUMN()-8,0),"")</f>
        <v>0</v>
      </c>
      <c r="S2006" s="4" t="str">
        <f ca="1">_xlfn.IFNA(VLOOKUP(INDIRECT("G"&amp;ROW()),minfo!$A:$M,COLUMN()-8,0),"")</f>
        <v>依然范特西</v>
      </c>
      <c r="T2006" s="4">
        <f ca="1">_xlfn.IFNA(VLOOKUP(INDIRECT("G"&amp;ROW()),minfo!$A:$M,COLUMN()-8,0),"")</f>
        <v>391200362</v>
      </c>
      <c r="U2006" s="4">
        <f ca="1">_xlfn.IFNA(VLOOKUP(INDIRECT("G"&amp;ROW()),minfo!$A:$M,COLUMN()-8,0),"")</f>
        <v>0</v>
      </c>
    </row>
    <row r="2007" spans="1:21" ht="15.75" customHeight="1">
      <c r="A2007" s="15">
        <v>2006</v>
      </c>
      <c r="B2007" s="4" t="s">
        <v>5788</v>
      </c>
      <c r="D2007" s="4">
        <v>1</v>
      </c>
      <c r="E2007" s="4" t="s">
        <v>50</v>
      </c>
      <c r="F2007" s="4" t="s">
        <v>5782</v>
      </c>
      <c r="G2007" s="4" t="s">
        <v>50</v>
      </c>
      <c r="H2007" s="4" t="s">
        <v>5789</v>
      </c>
      <c r="I2007" s="24" t="str">
        <f>HYPERLINK("https://www.bilibili.com/video/BV1Hb421i7x6?p=1","BV1Hb421i7x6?p=1")</f>
        <v>BV1Hb421i7x6?p=1</v>
      </c>
      <c r="J2007" s="4" t="str">
        <f ca="1">_xlfn.IFNA(VLOOKUP(INDIRECT("G"&amp;ROW()),minfo!$A:$M,COLUMN()-8,0),"")</f>
        <v>岁岁朝朝</v>
      </c>
      <c r="K2007" s="4" t="str">
        <f ca="1">_xlfn.IFNA(VLOOKUP(INDIRECT("G"&amp;ROW()),minfo!$A:$M,COLUMN()-8,0),"")</f>
        <v>说说Crystal</v>
      </c>
      <c r="L2007" s="4" t="str">
        <f ca="1">_xlfn.IFNA(VLOOKUP(INDIRECT("G"&amp;ROW()),minfo!$A:$M,COLUMN()-8,0),"")</f>
        <v>BV1Su4m1N7QS</v>
      </c>
      <c r="M2007" s="4">
        <f ca="1">_xlfn.IFNA(VLOOKUP(INDIRECT("G"&amp;ROW()),minfo!$A:$M,COLUMN()-8,0),"")</f>
        <v>0</v>
      </c>
      <c r="N2007" s="4">
        <f ca="1">_xlfn.IFNA(VLOOKUP(INDIRECT("G"&amp;ROW()),minfo!$A:$M,COLUMN()-8,0),"")</f>
        <v>0</v>
      </c>
      <c r="O2007" s="4">
        <f ca="1">_xlfn.IFNA(VLOOKUP(INDIRECT("G"&amp;ROW()),minfo!$A:$M,COLUMN()-8,0),"")</f>
        <v>0</v>
      </c>
      <c r="P2007" s="4">
        <f ca="1">_xlfn.IFNA(VLOOKUP(INDIRECT("G"&amp;ROW()),minfo!$A:$M,COLUMN()-8,0),"")</f>
        <v>0</v>
      </c>
      <c r="Q2007" s="4">
        <f ca="1">_xlfn.IFNA(VLOOKUP(INDIRECT("G"&amp;ROW()),minfo!$A:$M,COLUMN()-8,0),"")</f>
        <v>0</v>
      </c>
      <c r="R2007" s="4">
        <f ca="1">_xlfn.IFNA(VLOOKUP(INDIRECT("G"&amp;ROW()),minfo!$A:$M,COLUMN()-8,0),"")</f>
        <v>0</v>
      </c>
      <c r="S2007" s="4">
        <f ca="1">_xlfn.IFNA(VLOOKUP(INDIRECT("G"&amp;ROW()),minfo!$A:$M,COLUMN()-8,0),"")</f>
        <v>0</v>
      </c>
      <c r="T2007" s="4">
        <f ca="1">_xlfn.IFNA(VLOOKUP(INDIRECT("G"&amp;ROW()),minfo!$A:$M,COLUMN()-8,0),"")</f>
        <v>0</v>
      </c>
      <c r="U2007" s="4">
        <f ca="1">_xlfn.IFNA(VLOOKUP(INDIRECT("G"&amp;ROW()),minfo!$A:$M,COLUMN()-8,0),"")</f>
        <v>0</v>
      </c>
    </row>
    <row r="2008" spans="1:21" ht="15.75" customHeight="1">
      <c r="A2008" s="15">
        <v>2007</v>
      </c>
      <c r="B2008" s="4" t="s">
        <v>5790</v>
      </c>
      <c r="D2008" s="4">
        <v>1</v>
      </c>
      <c r="E2008" s="4" t="s">
        <v>638</v>
      </c>
      <c r="F2008" s="4" t="s">
        <v>5782</v>
      </c>
      <c r="G2008" s="4" t="s">
        <v>637</v>
      </c>
      <c r="H2008" s="4" t="s">
        <v>5791</v>
      </c>
      <c r="I2008" s="24" t="str">
        <f>HYPERLINK("https://www.bilibili.com/video/BV1b4421X7Gb?p=1","BV1b4421X7Gb?p=1")</f>
        <v>BV1b4421X7Gb?p=1</v>
      </c>
      <c r="J2008" s="4" t="str">
        <f ca="1">_xlfn.IFNA(VLOOKUP(INDIRECT("G"&amp;ROW()),minfo!$A:$M,COLUMN()-8,0),"")</f>
        <v>搁浅</v>
      </c>
      <c r="K2008" s="4" t="str">
        <f ca="1">_xlfn.IFNA(VLOOKUP(INDIRECT("G"&amp;ROW()),minfo!$A:$M,COLUMN()-8,0),"")</f>
        <v>周杰伦</v>
      </c>
      <c r="L2008" s="4">
        <f ca="1">_xlfn.IFNA(VLOOKUP(INDIRECT("G"&amp;ROW()),minfo!$A:$M,COLUMN()-8,0),"")</f>
        <v>0</v>
      </c>
      <c r="M2008" s="4">
        <f ca="1">_xlfn.IFNA(VLOOKUP(INDIRECT("G"&amp;ROW()),minfo!$A:$M,COLUMN()-8,0),"")</f>
        <v>0</v>
      </c>
      <c r="N2008" s="4">
        <f ca="1">_xlfn.IFNA(VLOOKUP(INDIRECT("G"&amp;ROW()),minfo!$A:$M,COLUMN()-8,0),"")</f>
        <v>0</v>
      </c>
      <c r="O2008" s="4" t="str">
        <f ca="1">_xlfn.IFNA(VLOOKUP(INDIRECT("G"&amp;ROW()),minfo!$A:$M,COLUMN()-8,0),"")</f>
        <v>https://i0.hdslb.com/bfs/station_src/music_metadata/5ea93d49aa366e4340787bbc3d63de25.jpg</v>
      </c>
      <c r="P2008" s="4">
        <f ca="1">_xlfn.IFNA(VLOOKUP(INDIRECT("G"&amp;ROW()),minfo!$A:$M,COLUMN()-8,0),"")</f>
        <v>0</v>
      </c>
      <c r="Q2008" s="4">
        <f ca="1">_xlfn.IFNA(VLOOKUP(INDIRECT("G"&amp;ROW()),minfo!$A:$M,COLUMN()-8,0),"")</f>
        <v>4120</v>
      </c>
      <c r="R2008" s="4">
        <f ca="1">_xlfn.IFNA(VLOOKUP(INDIRECT("G"&amp;ROW()),minfo!$A:$M,COLUMN()-8,0),"")</f>
        <v>0</v>
      </c>
      <c r="S2008" s="4" t="str">
        <f ca="1">_xlfn.IFNA(VLOOKUP(INDIRECT("G"&amp;ROW()),minfo!$A:$M,COLUMN()-8,0),"")</f>
        <v>七里香</v>
      </c>
      <c r="T2008" s="4">
        <f ca="1">_xlfn.IFNA(VLOOKUP(INDIRECT("G"&amp;ROW()),minfo!$A:$M,COLUMN()-8,0),"")</f>
        <v>593603418</v>
      </c>
      <c r="U2008" s="4">
        <f ca="1">_xlfn.IFNA(VLOOKUP(INDIRECT("G"&amp;ROW()),minfo!$A:$M,COLUMN()-8,0),"")</f>
        <v>0</v>
      </c>
    </row>
    <row r="2009" spans="1:21" ht="15.75" customHeight="1">
      <c r="A2009" s="15">
        <v>2008</v>
      </c>
      <c r="B2009" s="4" t="s">
        <v>5792</v>
      </c>
      <c r="D2009" s="4">
        <v>1</v>
      </c>
      <c r="E2009" s="4" t="s">
        <v>3360</v>
      </c>
      <c r="F2009" s="4" t="s">
        <v>5782</v>
      </c>
      <c r="G2009" s="4" t="s">
        <v>3359</v>
      </c>
      <c r="H2009" s="4" t="s">
        <v>5793</v>
      </c>
      <c r="I2009" s="24" t="str">
        <f>HYPERLINK("https://www.bilibili.com/video/BV19D421u7aZ?p=1","BV19D421u7aZ?p=1")</f>
        <v>BV19D421u7aZ?p=1</v>
      </c>
      <c r="J2009" s="4" t="str">
        <f ca="1">_xlfn.IFNA(VLOOKUP(INDIRECT("G"&amp;ROW()),minfo!$A:$M,COLUMN()-8,0),"")</f>
        <v>I Believe</v>
      </c>
      <c r="K2009" s="4" t="str">
        <f ca="1">_xlfn.IFNA(VLOOKUP(INDIRECT("G"&amp;ROW()),minfo!$A:$M,COLUMN()-8,0),"")</f>
        <v>申升勋</v>
      </c>
      <c r="L2009" s="4">
        <f ca="1">_xlfn.IFNA(VLOOKUP(INDIRECT("G"&amp;ROW()),minfo!$A:$M,COLUMN()-8,0),"")</f>
        <v>0</v>
      </c>
      <c r="M2009" s="4">
        <f ca="1">_xlfn.IFNA(VLOOKUP(INDIRECT("G"&amp;ROW()),minfo!$A:$M,COLUMN()-8,0),"")</f>
        <v>0</v>
      </c>
      <c r="N2009" s="4">
        <f ca="1">_xlfn.IFNA(VLOOKUP(INDIRECT("G"&amp;ROW()),minfo!$A:$M,COLUMN()-8,0),"")</f>
        <v>0</v>
      </c>
      <c r="O2009" s="4" t="str">
        <f ca="1">_xlfn.IFNA(VLOOKUP(INDIRECT("G"&amp;ROW()),minfo!$A:$M,COLUMN()-8,0),"")</f>
        <v>https://i0.hdslb.com/bfs/station_src/music_metadata/968b03f4032fe6e7059ffb3dde7c472f.jpg</v>
      </c>
      <c r="P2009" s="4" t="str">
        <f ca="1">_xlfn.IFNA(VLOOKUP(INDIRECT("G"&amp;ROW()),minfo!$A:$M,COLUMN()-8,0),"")</f>
        <v>http://i0.hdslb.com/bfs/station_src/music_metadata/16ca8636d8c37687bacd845b31336420</v>
      </c>
      <c r="Q2009" s="4">
        <f ca="1">_xlfn.IFNA(VLOOKUP(INDIRECT("G"&amp;ROW()),minfo!$A:$M,COLUMN()-8,0),"")</f>
        <v>177</v>
      </c>
      <c r="R2009" s="4">
        <f ca="1">_xlfn.IFNA(VLOOKUP(INDIRECT("G"&amp;ROW()),minfo!$A:$M,COLUMN()-8,0),"")</f>
        <v>0</v>
      </c>
      <c r="S2009" s="4" t="str">
        <f ca="1">_xlfn.IFNA(VLOOKUP(INDIRECT("G"&amp;ROW()),minfo!$A:$M,COLUMN()-8,0),"")</f>
        <v>[8집] 8th</v>
      </c>
      <c r="T2009" s="4">
        <f ca="1">_xlfn.IFNA(VLOOKUP(INDIRECT("G"&amp;ROW()),minfo!$A:$M,COLUMN()-8,0),"")</f>
        <v>48129425</v>
      </c>
      <c r="U2009" s="4">
        <f ca="1">_xlfn.IFNA(VLOOKUP(INDIRECT("G"&amp;ROW()),minfo!$A:$M,COLUMN()-8,0),"")</f>
        <v>0</v>
      </c>
    </row>
    <row r="2010" spans="1:21" ht="15.75" customHeight="1">
      <c r="A2010" s="15">
        <v>2009</v>
      </c>
      <c r="B2010" s="4" t="s">
        <v>5794</v>
      </c>
      <c r="D2010" s="4">
        <v>2</v>
      </c>
      <c r="E2010" s="4" t="s">
        <v>5795</v>
      </c>
      <c r="F2010" s="4" t="s">
        <v>5796</v>
      </c>
      <c r="G2010" s="4" t="s">
        <v>3365</v>
      </c>
      <c r="H2010" s="4" t="s">
        <v>5797</v>
      </c>
      <c r="I2010" s="24" t="str">
        <f>HYPERLINK("https://www.bilibili.com/video/BV1MZ421p7jw?p=2","BV1MZ421p7jw?p=2")</f>
        <v>BV1MZ421p7jw?p=2</v>
      </c>
      <c r="J2010" s="4" t="str">
        <f ca="1">_xlfn.IFNA(VLOOKUP(INDIRECT("G"&amp;ROW()),minfo!$A:$M,COLUMN()-8,0),"")</f>
        <v>我和你</v>
      </c>
      <c r="K2010" s="4" t="str">
        <f ca="1">_xlfn.IFNA(VLOOKUP(INDIRECT("G"&amp;ROW()),minfo!$A:$M,COLUMN()-8,0),"")</f>
        <v>刘欢,Sarah Brightman</v>
      </c>
      <c r="L2010" s="4">
        <f ca="1">_xlfn.IFNA(VLOOKUP(INDIRECT("G"&amp;ROW()),minfo!$A:$M,COLUMN()-8,0),"")</f>
        <v>0</v>
      </c>
      <c r="M2010" s="4">
        <f ca="1">_xlfn.IFNA(VLOOKUP(INDIRECT("G"&amp;ROW()),minfo!$A:$M,COLUMN()-8,0),"")</f>
        <v>0</v>
      </c>
      <c r="N2010" s="4">
        <f ca="1">_xlfn.IFNA(VLOOKUP(INDIRECT("G"&amp;ROW()),minfo!$A:$M,COLUMN()-8,0),"")</f>
        <v>0</v>
      </c>
      <c r="O2010" s="4" t="str">
        <f ca="1">_xlfn.IFNA(VLOOKUP(INDIRECT("G"&amp;ROW()),minfo!$A:$M,COLUMN()-8,0),"")</f>
        <v>https://i0.hdslb.com/bfs/station_src/music_metadata/ca8efc9ae3da5a6bc95af326841337fa.jpg</v>
      </c>
      <c r="P2010" s="4" t="str">
        <f ca="1">_xlfn.IFNA(VLOOKUP(INDIRECT("G"&amp;ROW()),minfo!$A:$M,COLUMN()-8,0),"")</f>
        <v>https://i0.hdslb.com/bfs/station_src/music_metadata/ca235a57d5db796807a8d5a1fdcecd1b.txt</v>
      </c>
      <c r="Q2010" s="4">
        <f ca="1">_xlfn.IFNA(VLOOKUP(INDIRECT("G"&amp;ROW()),minfo!$A:$M,COLUMN()-8,0),"")</f>
        <v>43</v>
      </c>
      <c r="R2010" s="4" t="str">
        <f ca="1">_xlfn.IFNA(VLOOKUP(INDIRECT("G"&amp;ROW()),minfo!$A:$M,COLUMN()-8,0),"")</f>
        <v>2008年第29届北京奥运会主题曲</v>
      </c>
      <c r="S2010" s="4" t="str">
        <f ca="1">_xlfn.IFNA(VLOOKUP(INDIRECT("G"&amp;ROW()),minfo!$A:$M,COLUMN()-8,0),"")</f>
        <v>我和你 2008北京奥运会主题歌</v>
      </c>
      <c r="T2010" s="4">
        <f ca="1">_xlfn.IFNA(VLOOKUP(INDIRECT("G"&amp;ROW()),minfo!$A:$M,COLUMN()-8,0),"")</f>
        <v>21412730</v>
      </c>
      <c r="U2010" s="4">
        <f ca="1">_xlfn.IFNA(VLOOKUP(INDIRECT("G"&amp;ROW()),minfo!$A:$M,COLUMN()-8,0),"")</f>
        <v>0</v>
      </c>
    </row>
    <row r="2011" spans="1:21" ht="15.75" customHeight="1">
      <c r="A2011" s="15">
        <v>2010</v>
      </c>
      <c r="B2011" s="4" t="s">
        <v>5794</v>
      </c>
      <c r="D2011" s="4">
        <v>1</v>
      </c>
      <c r="E2011" s="4" t="s">
        <v>5798</v>
      </c>
      <c r="F2011" s="4" t="s">
        <v>5796</v>
      </c>
      <c r="G2011" s="4" t="s">
        <v>3365</v>
      </c>
      <c r="H2011" s="4" t="s">
        <v>5797</v>
      </c>
      <c r="I2011" s="24" t="str">
        <f>HYPERLINK("https://www.bilibili.com/video/BV1MZ421p7jw?p=1","BV1MZ421p7jw?p=1")</f>
        <v>BV1MZ421p7jw?p=1</v>
      </c>
      <c r="J2011" s="4" t="str">
        <f ca="1">_xlfn.IFNA(VLOOKUP(INDIRECT("G"&amp;ROW()),minfo!$A:$M,COLUMN()-8,0),"")</f>
        <v>我和你</v>
      </c>
      <c r="K2011" s="4" t="str">
        <f ca="1">_xlfn.IFNA(VLOOKUP(INDIRECT("G"&amp;ROW()),minfo!$A:$M,COLUMN()-8,0),"")</f>
        <v>刘欢,Sarah Brightman</v>
      </c>
      <c r="L2011" s="4">
        <f ca="1">_xlfn.IFNA(VLOOKUP(INDIRECT("G"&amp;ROW()),minfo!$A:$M,COLUMN()-8,0),"")</f>
        <v>0</v>
      </c>
      <c r="M2011" s="4">
        <f ca="1">_xlfn.IFNA(VLOOKUP(INDIRECT("G"&amp;ROW()),minfo!$A:$M,COLUMN()-8,0),"")</f>
        <v>0</v>
      </c>
      <c r="N2011" s="4">
        <f ca="1">_xlfn.IFNA(VLOOKUP(INDIRECT("G"&amp;ROW()),minfo!$A:$M,COLUMN()-8,0),"")</f>
        <v>0</v>
      </c>
      <c r="O2011" s="4" t="str">
        <f ca="1">_xlfn.IFNA(VLOOKUP(INDIRECT("G"&amp;ROW()),minfo!$A:$M,COLUMN()-8,0),"")</f>
        <v>https://i0.hdslb.com/bfs/station_src/music_metadata/ca8efc9ae3da5a6bc95af326841337fa.jpg</v>
      </c>
      <c r="P2011" s="4" t="str">
        <f ca="1">_xlfn.IFNA(VLOOKUP(INDIRECT("G"&amp;ROW()),minfo!$A:$M,COLUMN()-8,0),"")</f>
        <v>https://i0.hdslb.com/bfs/station_src/music_metadata/ca235a57d5db796807a8d5a1fdcecd1b.txt</v>
      </c>
      <c r="Q2011" s="4">
        <f ca="1">_xlfn.IFNA(VLOOKUP(INDIRECT("G"&amp;ROW()),minfo!$A:$M,COLUMN()-8,0),"")</f>
        <v>43</v>
      </c>
      <c r="R2011" s="4" t="str">
        <f ca="1">_xlfn.IFNA(VLOOKUP(INDIRECT("G"&amp;ROW()),minfo!$A:$M,COLUMN()-8,0),"")</f>
        <v>2008年第29届北京奥运会主题曲</v>
      </c>
      <c r="S2011" s="4" t="str">
        <f ca="1">_xlfn.IFNA(VLOOKUP(INDIRECT("G"&amp;ROW()),minfo!$A:$M,COLUMN()-8,0),"")</f>
        <v>我和你 2008北京奥运会主题歌</v>
      </c>
      <c r="T2011" s="4">
        <f ca="1">_xlfn.IFNA(VLOOKUP(INDIRECT("G"&amp;ROW()),minfo!$A:$M,COLUMN()-8,0),"")</f>
        <v>21412730</v>
      </c>
      <c r="U2011" s="4">
        <f ca="1">_xlfn.IFNA(VLOOKUP(INDIRECT("G"&amp;ROW()),minfo!$A:$M,COLUMN()-8,0),"")</f>
        <v>0</v>
      </c>
    </row>
    <row r="2012" spans="1:21" ht="15.75" customHeight="1">
      <c r="A2012" s="15">
        <v>2011</v>
      </c>
      <c r="B2012" s="4" t="s">
        <v>5799</v>
      </c>
      <c r="D2012" s="4">
        <v>1</v>
      </c>
      <c r="E2012" s="4" t="s">
        <v>3373</v>
      </c>
      <c r="F2012" s="4" t="s">
        <v>5796</v>
      </c>
      <c r="G2012" s="4" t="s">
        <v>3372</v>
      </c>
      <c r="H2012" s="4" t="s">
        <v>5800</v>
      </c>
      <c r="I2012" s="24" t="str">
        <f>HYPERLINK("https://www.bilibili.com/video/BV144421X7ms?p=1","BV144421X7ms?p=1")</f>
        <v>BV144421X7ms?p=1</v>
      </c>
      <c r="J2012" s="4" t="str">
        <f ca="1">_xlfn.IFNA(VLOOKUP(INDIRECT("G"&amp;ROW()),minfo!$A:$M,COLUMN()-8,0),"")</f>
        <v>好汉歌</v>
      </c>
      <c r="K2012" s="4" t="str">
        <f ca="1">_xlfn.IFNA(VLOOKUP(INDIRECT("G"&amp;ROW()),minfo!$A:$M,COLUMN()-8,0),"")</f>
        <v>刘欢</v>
      </c>
      <c r="L2012" s="4">
        <f ca="1">_xlfn.IFNA(VLOOKUP(INDIRECT("G"&amp;ROW()),minfo!$A:$M,COLUMN()-8,0),"")</f>
        <v>0</v>
      </c>
      <c r="M2012" s="4">
        <f ca="1">_xlfn.IFNA(VLOOKUP(INDIRECT("G"&amp;ROW()),minfo!$A:$M,COLUMN()-8,0),"")</f>
        <v>0</v>
      </c>
      <c r="N2012" s="4">
        <f ca="1">_xlfn.IFNA(VLOOKUP(INDIRECT("G"&amp;ROW()),minfo!$A:$M,COLUMN()-8,0),"")</f>
        <v>0</v>
      </c>
      <c r="O2012" s="4" t="str">
        <f ca="1">_xlfn.IFNA(VLOOKUP(INDIRECT("G"&amp;ROW()),minfo!$A:$M,COLUMN()-8,0),"")</f>
        <v>https://i0.hdslb.com/bfs/station_src/music_metadata/85bb025d13d51c5e3f23701e1a5ba342.jpg</v>
      </c>
      <c r="P2012" s="4" t="str">
        <f ca="1">_xlfn.IFNA(VLOOKUP(INDIRECT("G"&amp;ROW()),minfo!$A:$M,COLUMN()-8,0),"")</f>
        <v>http://i0.hdslb.com/bfs/station_src/music_metadata/5f6e0227d9052847fb03a740425da92b</v>
      </c>
      <c r="Q2012" s="4">
        <f ca="1">_xlfn.IFNA(VLOOKUP(INDIRECT("G"&amp;ROW()),minfo!$A:$M,COLUMN()-8,0),"")</f>
        <v>1074</v>
      </c>
      <c r="R2012" s="4">
        <f ca="1">_xlfn.IFNA(VLOOKUP(INDIRECT("G"&amp;ROW()),minfo!$A:$M,COLUMN()-8,0),"")</f>
        <v>0</v>
      </c>
      <c r="S2012" s="4" t="str">
        <f ca="1">_xlfn.IFNA(VLOOKUP(INDIRECT("G"&amp;ROW()),minfo!$A:$M,COLUMN()-8,0),"")</f>
        <v>歌声流淌十四年</v>
      </c>
      <c r="T2012" s="4">
        <f ca="1">_xlfn.IFNA(VLOOKUP(INDIRECT("G"&amp;ROW()),minfo!$A:$M,COLUMN()-8,0),"")</f>
        <v>349860283</v>
      </c>
      <c r="U2012" s="4">
        <f ca="1">_xlfn.IFNA(VLOOKUP(INDIRECT("G"&amp;ROW()),minfo!$A:$M,COLUMN()-8,0),"")</f>
        <v>0</v>
      </c>
    </row>
    <row r="2013" spans="1:21" ht="15.75" customHeight="1">
      <c r="A2013" s="15">
        <v>2012</v>
      </c>
      <c r="B2013" s="4" t="s">
        <v>5801</v>
      </c>
      <c r="D2013" s="4">
        <v>1</v>
      </c>
      <c r="E2013" s="4" t="s">
        <v>3378</v>
      </c>
      <c r="F2013" s="4" t="s">
        <v>5796</v>
      </c>
      <c r="G2013" s="4" t="s">
        <v>3377</v>
      </c>
      <c r="H2013" s="4" t="s">
        <v>5802</v>
      </c>
      <c r="I2013" s="24" t="str">
        <f>HYPERLINK("https://www.bilibili.com/video/BV18i421v7XY?p=1","BV18i421v7XY?p=1")</f>
        <v>BV18i421v7XY?p=1</v>
      </c>
      <c r="J2013" s="4" t="str">
        <f ca="1">_xlfn.IFNA(VLOOKUP(INDIRECT("G"&amp;ROW()),minfo!$A:$M,COLUMN()-8,0),"")</f>
        <v>童年</v>
      </c>
      <c r="K2013" s="4" t="str">
        <f ca="1">_xlfn.IFNA(VLOOKUP(INDIRECT("G"&amp;ROW()),minfo!$A:$M,COLUMN()-8,0),"")</f>
        <v>罗大佑</v>
      </c>
      <c r="L2013" s="4">
        <f ca="1">_xlfn.IFNA(VLOOKUP(INDIRECT("G"&amp;ROW()),minfo!$A:$M,COLUMN()-8,0),"")</f>
        <v>0</v>
      </c>
      <c r="M2013" s="4">
        <f ca="1">_xlfn.IFNA(VLOOKUP(INDIRECT("G"&amp;ROW()),minfo!$A:$M,COLUMN()-8,0),"")</f>
        <v>0</v>
      </c>
      <c r="N2013" s="4">
        <f ca="1">_xlfn.IFNA(VLOOKUP(INDIRECT("G"&amp;ROW()),minfo!$A:$M,COLUMN()-8,0),"")</f>
        <v>0</v>
      </c>
      <c r="O2013" s="4" t="str">
        <f ca="1">_xlfn.IFNA(VLOOKUP(INDIRECT("G"&amp;ROW()),minfo!$A:$M,COLUMN()-8,0),"")</f>
        <v>https://i0.hdslb.com/bfs/station_src/music_metadata/d80f34a7d7b890ce9c590224ed187d9c.jpg</v>
      </c>
      <c r="P2013" s="4" t="str">
        <f ca="1">_xlfn.IFNA(VLOOKUP(INDIRECT("G"&amp;ROW()),minfo!$A:$M,COLUMN()-8,0),"")</f>
        <v>http://i0.hdslb.com/bfs/station_src/music_metadata/21705de501fba4846719595cf3ef8088</v>
      </c>
      <c r="Q2013" s="4">
        <f ca="1">_xlfn.IFNA(VLOOKUP(INDIRECT("G"&amp;ROW()),minfo!$A:$M,COLUMN()-8,0),"")</f>
        <v>830</v>
      </c>
      <c r="R2013" s="4" t="str">
        <f ca="1">_xlfn.IFNA(VLOOKUP(INDIRECT("G"&amp;ROW()),minfo!$A:$M,COLUMN()-8,0),"")</f>
        <v>《夏至未至》电视剧插曲</v>
      </c>
      <c r="S2013" s="4" t="str">
        <f ca="1">_xlfn.IFNA(VLOOKUP(INDIRECT("G"&amp;ROW()),minfo!$A:$M,COLUMN()-8,0),"")</f>
        <v>之乎者也</v>
      </c>
      <c r="T2013" s="4">
        <f ca="1">_xlfn.IFNA(VLOOKUP(INDIRECT("G"&amp;ROW()),minfo!$A:$M,COLUMN()-8,0),"")</f>
        <v>698873134</v>
      </c>
      <c r="U2013" s="4">
        <f ca="1">_xlfn.IFNA(VLOOKUP(INDIRECT("G"&amp;ROW()),minfo!$A:$M,COLUMN()-8,0),"")</f>
        <v>0</v>
      </c>
    </row>
    <row r="2014" spans="1:21" ht="15.75" customHeight="1">
      <c r="A2014" s="15">
        <v>2013</v>
      </c>
      <c r="B2014" s="4" t="s">
        <v>5803</v>
      </c>
      <c r="D2014" s="4">
        <v>1</v>
      </c>
      <c r="E2014" s="4" t="s">
        <v>1896</v>
      </c>
      <c r="F2014" s="4" t="s">
        <v>5796</v>
      </c>
      <c r="G2014" s="4" t="s">
        <v>3384</v>
      </c>
      <c r="H2014" s="4" t="s">
        <v>5804</v>
      </c>
      <c r="I2014" s="24" t="str">
        <f>HYPERLINK("https://www.bilibili.com/video/BV1WT421v78U?p=1","BV1WT421v78U?p=1")</f>
        <v>BV1WT421v78U?p=1</v>
      </c>
      <c r="J2014" s="4" t="str">
        <f ca="1">_xlfn.IFNA(VLOOKUP(INDIRECT("G"&amp;ROW()),minfo!$A:$M,COLUMN()-8,0),"")</f>
        <v>弯弯的月亮</v>
      </c>
      <c r="K2014" s="4" t="str">
        <f ca="1">_xlfn.IFNA(VLOOKUP(INDIRECT("G"&amp;ROW()),minfo!$A:$M,COLUMN()-8,0),"")</f>
        <v>陈汝佳</v>
      </c>
      <c r="L2014" s="4">
        <f ca="1">_xlfn.IFNA(VLOOKUP(INDIRECT("G"&amp;ROW()),minfo!$A:$M,COLUMN()-8,0),"")</f>
        <v>0</v>
      </c>
      <c r="M2014" s="4">
        <f ca="1">_xlfn.IFNA(VLOOKUP(INDIRECT("G"&amp;ROW()),minfo!$A:$M,COLUMN()-8,0),"")</f>
        <v>0</v>
      </c>
      <c r="N2014" s="4">
        <f ca="1">_xlfn.IFNA(VLOOKUP(INDIRECT("G"&amp;ROW()),minfo!$A:$M,COLUMN()-8,0),"")</f>
        <v>0</v>
      </c>
      <c r="O2014" s="4" t="str">
        <f ca="1">_xlfn.IFNA(VLOOKUP(INDIRECT("G"&amp;ROW()),minfo!$A:$M,COLUMN()-8,0),"")</f>
        <v>https://i0.hdslb.com/bfs/station_src/music_metadata/2cb8f0e572ebaae5be54e9d6d7b93e58.jpg</v>
      </c>
      <c r="P2014" s="4">
        <f ca="1">_xlfn.IFNA(VLOOKUP(INDIRECT("G"&amp;ROW()),minfo!$A:$M,COLUMN()-8,0),"")</f>
        <v>0</v>
      </c>
      <c r="Q2014" s="4">
        <f ca="1">_xlfn.IFNA(VLOOKUP(INDIRECT("G"&amp;ROW()),minfo!$A:$M,COLUMN()-8,0),"")</f>
        <v>79</v>
      </c>
      <c r="R2014" s="4">
        <f ca="1">_xlfn.IFNA(VLOOKUP(INDIRECT("G"&amp;ROW()),minfo!$A:$M,COLUMN()-8,0),"")</f>
        <v>0</v>
      </c>
      <c r="S2014" s="4" t="str">
        <f ca="1">_xlfn.IFNA(VLOOKUP(INDIRECT("G"&amp;ROW()),minfo!$A:$M,COLUMN()-8,0),"")</f>
        <v>新歌+成名金曲</v>
      </c>
      <c r="T2014" s="4">
        <f ca="1">_xlfn.IFNA(VLOOKUP(INDIRECT("G"&amp;ROW()),minfo!$A:$M,COLUMN()-8,0),"")</f>
        <v>17451675</v>
      </c>
      <c r="U2014" s="4">
        <f ca="1">_xlfn.IFNA(VLOOKUP(INDIRECT("G"&amp;ROW()),minfo!$A:$M,COLUMN()-8,0),"")</f>
        <v>0</v>
      </c>
    </row>
    <row r="2015" spans="1:21" ht="15.75" customHeight="1">
      <c r="A2015" s="15">
        <v>2014</v>
      </c>
      <c r="B2015" s="4" t="s">
        <v>5805</v>
      </c>
      <c r="D2015" s="4">
        <v>1</v>
      </c>
      <c r="E2015" s="4" t="s">
        <v>174</v>
      </c>
      <c r="F2015" s="4" t="s">
        <v>5796</v>
      </c>
      <c r="G2015" s="4" t="s">
        <v>173</v>
      </c>
      <c r="H2015" s="4" t="s">
        <v>5806</v>
      </c>
      <c r="I2015" s="24" t="str">
        <f>HYPERLINK("https://www.bilibili.com/video/BV17f421X7FK?p=1","BV17f421X7FK?p=1")</f>
        <v>BV17f421X7FK?p=1</v>
      </c>
      <c r="J2015" s="4" t="str">
        <f ca="1">_xlfn.IFNA(VLOOKUP(INDIRECT("G"&amp;ROW()),minfo!$A:$M,COLUMN()-8,0),"")</f>
        <v>凤凰于飞</v>
      </c>
      <c r="K2015" s="4" t="str">
        <f ca="1">_xlfn.IFNA(VLOOKUP(INDIRECT("G"&amp;ROW()),minfo!$A:$M,COLUMN()-8,0),"")</f>
        <v>刘欢</v>
      </c>
      <c r="L2015" s="4">
        <f ca="1">_xlfn.IFNA(VLOOKUP(INDIRECT("G"&amp;ROW()),minfo!$A:$M,COLUMN()-8,0),"")</f>
        <v>0</v>
      </c>
      <c r="M2015" s="4">
        <f ca="1">_xlfn.IFNA(VLOOKUP(INDIRECT("G"&amp;ROW()),minfo!$A:$M,COLUMN()-8,0),"")</f>
        <v>0</v>
      </c>
      <c r="N2015" s="4">
        <f ca="1">_xlfn.IFNA(VLOOKUP(INDIRECT("G"&amp;ROW()),minfo!$A:$M,COLUMN()-8,0),"")</f>
        <v>0</v>
      </c>
      <c r="O2015" s="4" t="str">
        <f ca="1">_xlfn.IFNA(VLOOKUP(INDIRECT("G"&amp;ROW()),minfo!$A:$M,COLUMN()-8,0),"")</f>
        <v>http://i0.hdslb.com/bfs/station_src/music_metadata/e79a9de01b54f31e1325f08d027df491.jpg</v>
      </c>
      <c r="P2015" s="4" t="str">
        <f ca="1">_xlfn.IFNA(VLOOKUP(INDIRECT("G"&amp;ROW()),minfo!$A:$M,COLUMN()-8,0),"")</f>
        <v>https://i0.hdslb.com/bfs/station_src/music_metadata/8acc1e725a603aac9fd6af9048ff08df.txt</v>
      </c>
      <c r="Q2015" s="4">
        <f ca="1">_xlfn.IFNA(VLOOKUP(INDIRECT("G"&amp;ROW()),minfo!$A:$M,COLUMN()-8,0),"")</f>
        <v>379</v>
      </c>
      <c r="R2015" s="4">
        <f ca="1">_xlfn.IFNA(VLOOKUP(INDIRECT("G"&amp;ROW()),minfo!$A:$M,COLUMN()-8,0),"")</f>
        <v>0</v>
      </c>
      <c r="S2015" s="4" t="str">
        <f ca="1">_xlfn.IFNA(VLOOKUP(INDIRECT("G"&amp;ROW()),minfo!$A:$M,COLUMN()-8,0),"")</f>
        <v>甄嬛传主题曲</v>
      </c>
      <c r="T2015" s="4">
        <f ca="1">_xlfn.IFNA(VLOOKUP(INDIRECT("G"&amp;ROW()),minfo!$A:$M,COLUMN()-8,0),"")</f>
        <v>64254104</v>
      </c>
      <c r="U2015" s="4">
        <f ca="1">_xlfn.IFNA(VLOOKUP(INDIRECT("G"&amp;ROW()),minfo!$A:$M,COLUMN()-8,0),"")</f>
        <v>0</v>
      </c>
    </row>
    <row r="2016" spans="1:21" ht="15.75" customHeight="1">
      <c r="A2016" s="15">
        <v>2015</v>
      </c>
      <c r="B2016" s="4" t="s">
        <v>5807</v>
      </c>
      <c r="D2016" s="4">
        <v>1</v>
      </c>
      <c r="E2016" s="4" t="s">
        <v>2395</v>
      </c>
      <c r="F2016" s="4" t="s">
        <v>5808</v>
      </c>
      <c r="G2016" s="4" t="s">
        <v>2651</v>
      </c>
      <c r="H2016" s="4" t="s">
        <v>5809</v>
      </c>
      <c r="I2016" s="24" t="str">
        <f>HYPERLINK("https://www.bilibili.com/video/BV1Jf421X7CN?p=1","BV1Jf421X7CN?p=1")</f>
        <v>BV1Jf421X7CN?p=1</v>
      </c>
      <c r="J2016" s="4" t="str">
        <f ca="1">_xlfn.IFNA(VLOOKUP(INDIRECT("G"&amp;ROW()),minfo!$A:$M,COLUMN()-8,0),"")</f>
        <v>美人鱼</v>
      </c>
      <c r="K2016" s="4" t="str">
        <f ca="1">_xlfn.IFNA(VLOOKUP(INDIRECT("G"&amp;ROW()),minfo!$A:$M,COLUMN()-8,0),"")</f>
        <v>林俊杰</v>
      </c>
      <c r="L2016" s="4">
        <f ca="1">_xlfn.IFNA(VLOOKUP(INDIRECT("G"&amp;ROW()),minfo!$A:$M,COLUMN()-8,0),"")</f>
        <v>0</v>
      </c>
      <c r="M2016" s="4">
        <f ca="1">_xlfn.IFNA(VLOOKUP(INDIRECT("G"&amp;ROW()),minfo!$A:$M,COLUMN()-8,0),"")</f>
        <v>0</v>
      </c>
      <c r="N2016" s="4">
        <f ca="1">_xlfn.IFNA(VLOOKUP(INDIRECT("G"&amp;ROW()),minfo!$A:$M,COLUMN()-8,0),"")</f>
        <v>0</v>
      </c>
      <c r="O2016" s="4" t="str">
        <f ca="1">_xlfn.IFNA(VLOOKUP(INDIRECT("G"&amp;ROW()),minfo!$A:$M,COLUMN()-8,0),"")</f>
        <v>http://i0.hdslb.com/bfs/station_src/music_metadata/61b7d61c87f86c10302a9e1f92e7a8a0.jpg</v>
      </c>
      <c r="P2016" s="4" t="str">
        <f ca="1">_xlfn.IFNA(VLOOKUP(INDIRECT("G"&amp;ROW()),minfo!$A:$M,COLUMN()-8,0),"")</f>
        <v>http://i0.hdslb.com/bfs/station_src/music_metadata/5babee9edc31491ab09d95b959e1fccc</v>
      </c>
      <c r="Q2016" s="4">
        <f ca="1">_xlfn.IFNA(VLOOKUP(INDIRECT("G"&amp;ROW()),minfo!$A:$M,COLUMN()-8,0),"")</f>
        <v>1634</v>
      </c>
      <c r="R2016" s="4" t="str">
        <f ca="1">_xlfn.IFNA(VLOOKUP(INDIRECT("G"&amp;ROW()),minfo!$A:$M,COLUMN()-8,0),"")</f>
        <v>2004-06-04</v>
      </c>
      <c r="S2016" s="4" t="str">
        <f ca="1">_xlfn.IFNA(VLOOKUP(INDIRECT("G"&amp;ROW()),minfo!$A:$M,COLUMN()-8,0),"")</f>
        <v xml:space="preserve"> 第二天堂</v>
      </c>
      <c r="T2016" s="4">
        <f ca="1">_xlfn.IFNA(VLOOKUP(INDIRECT("G"&amp;ROW()),minfo!$A:$M,COLUMN()-8,0),"")</f>
        <v>276969386</v>
      </c>
      <c r="U2016" s="4">
        <f ca="1">_xlfn.IFNA(VLOOKUP(INDIRECT("G"&amp;ROW()),minfo!$A:$M,COLUMN()-8,0),"")</f>
        <v>0</v>
      </c>
    </row>
    <row r="2017" spans="1:21" ht="15.75" customHeight="1">
      <c r="A2017" s="15">
        <v>2016</v>
      </c>
      <c r="B2017" s="4" t="s">
        <v>5810</v>
      </c>
      <c r="D2017" s="4">
        <v>1</v>
      </c>
      <c r="E2017" s="4" t="s">
        <v>1816</v>
      </c>
      <c r="F2017" s="4" t="s">
        <v>5808</v>
      </c>
      <c r="G2017" s="4" t="s">
        <v>1815</v>
      </c>
      <c r="H2017" s="4" t="s">
        <v>5811</v>
      </c>
      <c r="I2017" s="24" t="str">
        <f>HYPERLINK("https://www.bilibili.com/video/BV1Jw4m1q7Nu?p=1","BV1Jw4m1q7Nu?p=1")</f>
        <v>BV1Jw4m1q7Nu?p=1</v>
      </c>
      <c r="J2017" s="4" t="str">
        <f ca="1">_xlfn.IFNA(VLOOKUP(INDIRECT("G"&amp;ROW()),minfo!$A:$M,COLUMN()-8,0),"")</f>
        <v>裹着心的光</v>
      </c>
      <c r="K2017" s="4" t="str">
        <f ca="1">_xlfn.IFNA(VLOOKUP(INDIRECT("G"&amp;ROW()),minfo!$A:$M,COLUMN()-8,0),"")</f>
        <v>林俊杰</v>
      </c>
      <c r="L2017" s="4">
        <f ca="1">_xlfn.IFNA(VLOOKUP(INDIRECT("G"&amp;ROW()),minfo!$A:$M,COLUMN()-8,0),"")</f>
        <v>0</v>
      </c>
      <c r="M2017" s="4">
        <f ca="1">_xlfn.IFNA(VLOOKUP(INDIRECT("G"&amp;ROW()),minfo!$A:$M,COLUMN()-8,0),"")</f>
        <v>0</v>
      </c>
      <c r="N2017" s="4">
        <f ca="1">_xlfn.IFNA(VLOOKUP(INDIRECT("G"&amp;ROW()),minfo!$A:$M,COLUMN()-8,0),"")</f>
        <v>0</v>
      </c>
      <c r="O2017" s="4" t="str">
        <f ca="1">_xlfn.IFNA(VLOOKUP(INDIRECT("G"&amp;ROW()),minfo!$A:$M,COLUMN()-8,0),"")</f>
        <v>http://i0.hdslb.com/bfs/station_src/music_metadata/10bf9b49b80f7afe1ff063563124ad4a.jpg</v>
      </c>
      <c r="P2017" s="4" t="str">
        <f ca="1">_xlfn.IFNA(VLOOKUP(INDIRECT("G"&amp;ROW()),minfo!$A:$M,COLUMN()-8,0),"")</f>
        <v>http://i0.hdslb.com/bfs/station_src/music_metadata/ead39c3359edda377926c13012b5e11d</v>
      </c>
      <c r="Q2017" s="4">
        <f ca="1">_xlfn.IFNA(VLOOKUP(INDIRECT("G"&amp;ROW()),minfo!$A:$M,COLUMN()-8,0),"")</f>
        <v>2620</v>
      </c>
      <c r="R2017" s="4">
        <f ca="1">_xlfn.IFNA(VLOOKUP(INDIRECT("G"&amp;ROW()),minfo!$A:$M,COLUMN()-8,0),"")</f>
        <v>0</v>
      </c>
      <c r="S2017" s="4" t="str">
        <f ca="1">_xlfn.IFNA(VLOOKUP(INDIRECT("G"&amp;ROW()),minfo!$A:$M,COLUMN()-8,0),"")</f>
        <v>裹着心的光</v>
      </c>
      <c r="T2017" s="4">
        <f ca="1">_xlfn.IFNA(VLOOKUP(INDIRECT("G"&amp;ROW()),minfo!$A:$M,COLUMN()-8,0),"")</f>
        <v>618344312</v>
      </c>
      <c r="U2017" s="4">
        <f ca="1">_xlfn.IFNA(VLOOKUP(INDIRECT("G"&amp;ROW()),minfo!$A:$M,COLUMN()-8,0),"")</f>
        <v>0</v>
      </c>
    </row>
    <row r="2018" spans="1:21" ht="15.75" customHeight="1">
      <c r="A2018" s="15">
        <v>2017</v>
      </c>
      <c r="B2018" s="4" t="s">
        <v>5812</v>
      </c>
      <c r="D2018" s="4">
        <v>1</v>
      </c>
      <c r="E2018" s="4" t="s">
        <v>1289</v>
      </c>
      <c r="F2018" s="4" t="s">
        <v>5808</v>
      </c>
      <c r="G2018" s="4" t="s">
        <v>1288</v>
      </c>
      <c r="H2018" s="4" t="s">
        <v>5813</v>
      </c>
      <c r="I2018" s="24" t="str">
        <f>HYPERLINK("https://www.bilibili.com/video/BV1Zx4y1E7U2?p=1","BV1Zx4y1E7U2?p=1")</f>
        <v>BV1Zx4y1E7U2?p=1</v>
      </c>
      <c r="J2018" s="4" t="str">
        <f ca="1">_xlfn.IFNA(VLOOKUP(INDIRECT("G"&amp;ROW()),minfo!$A:$M,COLUMN()-8,0),"")</f>
        <v>孤独娱乐</v>
      </c>
      <c r="K2018" s="4" t="str">
        <f ca="1">_xlfn.IFNA(VLOOKUP(INDIRECT("G"&amp;ROW()),minfo!$A:$M,COLUMN()-8,0),"")</f>
        <v>林俊杰</v>
      </c>
      <c r="L2018" s="4">
        <f ca="1">_xlfn.IFNA(VLOOKUP(INDIRECT("G"&amp;ROW()),minfo!$A:$M,COLUMN()-8,0),"")</f>
        <v>0</v>
      </c>
      <c r="M2018" s="4">
        <f ca="1">_xlfn.IFNA(VLOOKUP(INDIRECT("G"&amp;ROW()),minfo!$A:$M,COLUMN()-8,0),"")</f>
        <v>0</v>
      </c>
      <c r="N2018" s="4">
        <f ca="1">_xlfn.IFNA(VLOOKUP(INDIRECT("G"&amp;ROW()),minfo!$A:$M,COLUMN()-8,0),"")</f>
        <v>0</v>
      </c>
      <c r="O2018" s="4" t="str">
        <f ca="1">_xlfn.IFNA(VLOOKUP(INDIRECT("G"&amp;ROW()),minfo!$A:$M,COLUMN()-8,0),"")</f>
        <v>http://i0.hdslb.com/bfs/station_src/music_metadata/84561b5e1d6e1dfa852adcf51e34eb8f.jpg</v>
      </c>
      <c r="P2018" s="4">
        <f ca="1">_xlfn.IFNA(VLOOKUP(INDIRECT("G"&amp;ROW()),minfo!$A:$M,COLUMN()-8,0),"")</f>
        <v>0</v>
      </c>
      <c r="Q2018" s="4">
        <f ca="1">_xlfn.IFNA(VLOOKUP(INDIRECT("G"&amp;ROW()),minfo!$A:$M,COLUMN()-8,0),"")</f>
        <v>79</v>
      </c>
      <c r="R2018" s="4">
        <f ca="1">_xlfn.IFNA(VLOOKUP(INDIRECT("G"&amp;ROW()),minfo!$A:$M,COLUMN()-8,0),"")</f>
        <v>0</v>
      </c>
      <c r="S2018" s="4" t="str">
        <f ca="1">_xlfn.IFNA(VLOOKUP(INDIRECT("G"&amp;ROW()),minfo!$A:$M,COLUMN()-8,0),"")</f>
        <v>重拾_快乐</v>
      </c>
      <c r="T2018" s="4">
        <f ca="1">_xlfn.IFNA(VLOOKUP(INDIRECT("G"&amp;ROW()),minfo!$A:$M,COLUMN()-8,0),"")</f>
        <v>19753956</v>
      </c>
      <c r="U2018" s="4">
        <f ca="1">_xlfn.IFNA(VLOOKUP(INDIRECT("G"&amp;ROW()),minfo!$A:$M,COLUMN()-8,0),"")</f>
        <v>0</v>
      </c>
    </row>
    <row r="2019" spans="1:21" ht="15.75" customHeight="1">
      <c r="A2019" s="15">
        <v>2018</v>
      </c>
      <c r="B2019" s="4" t="s">
        <v>5814</v>
      </c>
      <c r="D2019" s="4">
        <v>1</v>
      </c>
      <c r="E2019" s="4" t="s">
        <v>3107</v>
      </c>
      <c r="F2019" s="4" t="s">
        <v>5808</v>
      </c>
      <c r="G2019" s="4" t="s">
        <v>3106</v>
      </c>
      <c r="H2019" s="4" t="s">
        <v>5815</v>
      </c>
      <c r="I2019" s="24" t="str">
        <f>HYPERLINK("https://www.bilibili.com/video/BV1k4421X7Vq?p=1","BV1k4421X7Vq?p=1")</f>
        <v>BV1k4421X7Vq?p=1</v>
      </c>
      <c r="J2019" s="4" t="str">
        <f ca="1">_xlfn.IFNA(VLOOKUP(INDIRECT("G"&amp;ROW()),minfo!$A:$M,COLUMN()-8,0),"")</f>
        <v>交换余生</v>
      </c>
      <c r="K2019" s="4" t="str">
        <f ca="1">_xlfn.IFNA(VLOOKUP(INDIRECT("G"&amp;ROW()),minfo!$A:$M,COLUMN()-8,0),"")</f>
        <v>林俊杰</v>
      </c>
      <c r="L2019" s="4" t="str">
        <f ca="1">_xlfn.IFNA(VLOOKUP(INDIRECT("G"&amp;ROW()),minfo!$A:$M,COLUMN()-8,0),"")</f>
        <v>BV1s5411P7uA</v>
      </c>
      <c r="M2019" s="4">
        <f ca="1">_xlfn.IFNA(VLOOKUP(INDIRECT("G"&amp;ROW()),minfo!$A:$M,COLUMN()-8,0),"")</f>
        <v>285</v>
      </c>
      <c r="N2019" s="4">
        <f ca="1">_xlfn.IFNA(VLOOKUP(INDIRECT("G"&amp;ROW()),minfo!$A:$M,COLUMN()-8,0),"")</f>
        <v>40</v>
      </c>
      <c r="O2019" s="4" t="str">
        <f ca="1">_xlfn.IFNA(VLOOKUP(INDIRECT("G"&amp;ROW()),minfo!$A:$M,COLUMN()-8,0),"")</f>
        <v>https://i0.hdslb.com/bfs/station_src/music_metadata/1bd7ba45ae53c9c5b38bea79ba0477e1.jpg</v>
      </c>
      <c r="P2019" s="4" t="str">
        <f ca="1">_xlfn.IFNA(VLOOKUP(INDIRECT("G"&amp;ROW()),minfo!$A:$M,COLUMN()-8,0),"")</f>
        <v>http://i0.hdslb.com/bfs/station_src/music_metadata/f1583c4593a309d1c410fa650e14752b</v>
      </c>
      <c r="Q2019" s="4">
        <f ca="1">_xlfn.IFNA(VLOOKUP(INDIRECT("G"&amp;ROW()),minfo!$A:$M,COLUMN()-8,0),"")</f>
        <v>1022</v>
      </c>
      <c r="R2019" s="4">
        <f ca="1">_xlfn.IFNA(VLOOKUP(INDIRECT("G"&amp;ROW()),minfo!$A:$M,COLUMN()-8,0),"")</f>
        <v>0</v>
      </c>
      <c r="S2019" s="4" t="str">
        <f ca="1">_xlfn.IFNA(VLOOKUP(INDIRECT("G"&amp;ROW()),minfo!$A:$M,COLUMN()-8,0),"")</f>
        <v>交换余生</v>
      </c>
      <c r="T2019" s="4">
        <f ca="1">_xlfn.IFNA(VLOOKUP(INDIRECT("G"&amp;ROW()),minfo!$A:$M,COLUMN()-8,0),"")</f>
        <v>491095581</v>
      </c>
      <c r="U2019" s="4" t="str">
        <f ca="1">_xlfn.IFNA(VLOOKUP(INDIRECT("G"&amp;ROW()),minfo!$A:$M,COLUMN()-8,0),"")</f>
        <v>音乐榜最高NO.12</v>
      </c>
    </row>
    <row r="2020" spans="1:21" ht="15.75" customHeight="1">
      <c r="A2020" s="15">
        <v>2019</v>
      </c>
      <c r="B2020" s="4" t="s">
        <v>5816</v>
      </c>
      <c r="D2020" s="4">
        <v>1</v>
      </c>
      <c r="E2020" s="4" t="s">
        <v>1107</v>
      </c>
      <c r="F2020" s="4" t="s">
        <v>5808</v>
      </c>
      <c r="G2020" s="4" t="s">
        <v>1106</v>
      </c>
      <c r="H2020" s="4" t="s">
        <v>5817</v>
      </c>
      <c r="I2020" s="24" t="str">
        <f>HYPERLINK("https://www.bilibili.com/video/BV1or421w7TN?p=1","BV1or421w7TN?p=1")</f>
        <v>BV1or421w7TN?p=1</v>
      </c>
      <c r="J2020" s="4" t="str">
        <f ca="1">_xlfn.IFNA(VLOOKUP(INDIRECT("G"&amp;ROW()),minfo!$A:$M,COLUMN()-8,0),"")</f>
        <v>那些你很冒险的梦</v>
      </c>
      <c r="K2020" s="4" t="str">
        <f ca="1">_xlfn.IFNA(VLOOKUP(INDIRECT("G"&amp;ROW()),minfo!$A:$M,COLUMN()-8,0),"")</f>
        <v>林俊杰</v>
      </c>
      <c r="L2020" s="4">
        <f ca="1">_xlfn.IFNA(VLOOKUP(INDIRECT("G"&amp;ROW()),minfo!$A:$M,COLUMN()-8,0),"")</f>
        <v>0</v>
      </c>
      <c r="M2020" s="4">
        <f ca="1">_xlfn.IFNA(VLOOKUP(INDIRECT("G"&amp;ROW()),minfo!$A:$M,COLUMN()-8,0),"")</f>
        <v>0</v>
      </c>
      <c r="N2020" s="4">
        <f ca="1">_xlfn.IFNA(VLOOKUP(INDIRECT("G"&amp;ROW()),minfo!$A:$M,COLUMN()-8,0),"")</f>
        <v>0</v>
      </c>
      <c r="O2020" s="4" t="str">
        <f ca="1">_xlfn.IFNA(VLOOKUP(INDIRECT("G"&amp;ROW()),minfo!$A:$M,COLUMN()-8,0),"")</f>
        <v>https://i0.hdslb.com/bfs/station_src/music_metadata/06f970ae00e00f724e3ce8b49b192dcc.jpg</v>
      </c>
      <c r="P2020" s="4" t="str">
        <f ca="1">_xlfn.IFNA(VLOOKUP(INDIRECT("G"&amp;ROW()),minfo!$A:$M,COLUMN()-8,0),"")</f>
        <v>http://i0.hdslb.com/bfs/station_src/music_metadata/7d9fd351995e1af5aa9ec35eed740caa</v>
      </c>
      <c r="Q2020" s="4">
        <f ca="1">_xlfn.IFNA(VLOOKUP(INDIRECT("G"&amp;ROW()),minfo!$A:$M,COLUMN()-8,0),"")</f>
        <v>412</v>
      </c>
      <c r="R2020" s="4">
        <f ca="1">_xlfn.IFNA(VLOOKUP(INDIRECT("G"&amp;ROW()),minfo!$A:$M,COLUMN()-8,0),"")</f>
        <v>0</v>
      </c>
      <c r="S2020" s="4" t="str">
        <f ca="1">_xlfn.IFNA(VLOOKUP(INDIRECT("G"&amp;ROW()),minfo!$A:$M,COLUMN()-8,0),"")</f>
        <v>学不会</v>
      </c>
      <c r="T2020" s="4">
        <f ca="1">_xlfn.IFNA(VLOOKUP(INDIRECT("G"&amp;ROW()),minfo!$A:$M,COLUMN()-8,0),"")</f>
        <v>192890831</v>
      </c>
      <c r="U2020" s="4">
        <f ca="1">_xlfn.IFNA(VLOOKUP(INDIRECT("G"&amp;ROW()),minfo!$A:$M,COLUMN()-8,0),"")</f>
        <v>0</v>
      </c>
    </row>
    <row r="2021" spans="1:21" ht="15.75" customHeight="1">
      <c r="A2021" s="15">
        <v>2020</v>
      </c>
      <c r="B2021" s="4" t="s">
        <v>5818</v>
      </c>
      <c r="D2021" s="4">
        <v>1</v>
      </c>
      <c r="E2021" s="4" t="s">
        <v>1159</v>
      </c>
      <c r="F2021" s="4" t="s">
        <v>5808</v>
      </c>
      <c r="G2021" s="4" t="s">
        <v>1158</v>
      </c>
      <c r="H2021" s="4" t="s">
        <v>5819</v>
      </c>
      <c r="I2021" s="24" t="str">
        <f>HYPERLINK("https://www.bilibili.com/video/BV1ei421v7G4?p=1","BV1ei421v7G4?p=1")</f>
        <v>BV1ei421v7G4?p=1</v>
      </c>
      <c r="J2021" s="4" t="str">
        <f ca="1">_xlfn.IFNA(VLOOKUP(INDIRECT("G"&amp;ROW()),minfo!$A:$M,COLUMN()-8,0),"")</f>
        <v>霞光</v>
      </c>
      <c r="K2021" s="4" t="str">
        <f ca="1">_xlfn.IFNA(VLOOKUP(INDIRECT("G"&amp;ROW()),minfo!$A:$M,COLUMN()-8,0),"")</f>
        <v>曲锦楠</v>
      </c>
      <c r="L2021" s="4">
        <f ca="1">_xlfn.IFNA(VLOOKUP(INDIRECT("G"&amp;ROW()),minfo!$A:$M,COLUMN()-8,0),"")</f>
        <v>0</v>
      </c>
      <c r="M2021" s="4">
        <f ca="1">_xlfn.IFNA(VLOOKUP(INDIRECT("G"&amp;ROW()),minfo!$A:$M,COLUMN()-8,0),"")</f>
        <v>0</v>
      </c>
      <c r="N2021" s="4">
        <f ca="1">_xlfn.IFNA(VLOOKUP(INDIRECT("G"&amp;ROW()),minfo!$A:$M,COLUMN()-8,0),"")</f>
        <v>0</v>
      </c>
      <c r="O2021" s="4" t="str">
        <f ca="1">_xlfn.IFNA(VLOOKUP(INDIRECT("G"&amp;ROW()),minfo!$A:$M,COLUMN()-8,0),"")</f>
        <v>https://i0.hdslb.com/bfs/station_src/music_metadata/a077572f8ee7b3c83f38ffcf4a94acb4.jpg</v>
      </c>
      <c r="P2021" s="4" t="str">
        <f ca="1">_xlfn.IFNA(VLOOKUP(INDIRECT("G"&amp;ROW()),minfo!$A:$M,COLUMN()-8,0),"")</f>
        <v>http://i0.hdslb.com/bfs/station_src/music_metadata/6b6d83bcd7a80305c8bae4ed3500a2af</v>
      </c>
      <c r="Q2021" s="4">
        <f ca="1">_xlfn.IFNA(VLOOKUP(INDIRECT("G"&amp;ROW()),minfo!$A:$M,COLUMN()-8,0),"")</f>
        <v>642</v>
      </c>
      <c r="R2021" s="4" t="str">
        <f ca="1">_xlfn.IFNA(VLOOKUP(INDIRECT("G"&amp;ROW()),minfo!$A:$M,COLUMN()-8,0),"")</f>
        <v>动画片《精灵世纪》片尾曲</v>
      </c>
      <c r="S2021" s="4" t="str">
        <f ca="1">_xlfn.IFNA(VLOOKUP(INDIRECT("G"&amp;ROW()),minfo!$A:$M,COLUMN()-8,0),"")</f>
        <v>霞光</v>
      </c>
      <c r="T2021" s="4">
        <f ca="1">_xlfn.IFNA(VLOOKUP(INDIRECT("G"&amp;ROW()),minfo!$A:$M,COLUMN()-8,0),"")</f>
        <v>87672374</v>
      </c>
      <c r="U2021" s="4">
        <f ca="1">_xlfn.IFNA(VLOOKUP(INDIRECT("G"&amp;ROW()),minfo!$A:$M,COLUMN()-8,0),"")</f>
        <v>0</v>
      </c>
    </row>
    <row r="2022" spans="1:21" ht="15.75" customHeight="1">
      <c r="A2022" s="15">
        <v>2021</v>
      </c>
      <c r="B2022" s="4" t="s">
        <v>5820</v>
      </c>
      <c r="D2022" s="4">
        <v>1</v>
      </c>
      <c r="E2022" s="4" t="s">
        <v>1088</v>
      </c>
      <c r="F2022" s="4" t="s">
        <v>5808</v>
      </c>
      <c r="G2022" s="4" t="s">
        <v>1087</v>
      </c>
      <c r="H2022" s="4" t="s">
        <v>5821</v>
      </c>
      <c r="I2022" s="24" t="str">
        <f>HYPERLINK("https://www.bilibili.com/video/BV1Nx4y1H7vo?p=1","BV1Nx4y1H7vo?p=1")</f>
        <v>BV1Nx4y1H7vo?p=1</v>
      </c>
      <c r="J2022" s="4" t="str">
        <f ca="1">_xlfn.IFNA(VLOOKUP(INDIRECT("G"&amp;ROW()),minfo!$A:$M,COLUMN()-8,0),"")</f>
        <v>落在胸口的星星</v>
      </c>
      <c r="K2022" s="4" t="str">
        <f ca="1">_xlfn.IFNA(VLOOKUP(INDIRECT("G"&amp;ROW()),minfo!$A:$M,COLUMN()-8,0),"")</f>
        <v>郁可唯</v>
      </c>
      <c r="L2022" s="4">
        <f ca="1">_xlfn.IFNA(VLOOKUP(INDIRECT("G"&amp;ROW()),minfo!$A:$M,COLUMN()-8,0),"")</f>
        <v>0</v>
      </c>
      <c r="M2022" s="4">
        <f ca="1">_xlfn.IFNA(VLOOKUP(INDIRECT("G"&amp;ROW()),minfo!$A:$M,COLUMN()-8,0),"")</f>
        <v>0</v>
      </c>
      <c r="N2022" s="4">
        <f ca="1">_xlfn.IFNA(VLOOKUP(INDIRECT("G"&amp;ROW()),minfo!$A:$M,COLUMN()-8,0),"")</f>
        <v>0</v>
      </c>
      <c r="O2022" s="4" t="str">
        <f ca="1">_xlfn.IFNA(VLOOKUP(INDIRECT("G"&amp;ROW()),minfo!$A:$M,COLUMN()-8,0),"")</f>
        <v>https://i0.hdslb.com/bfs/station_src/music_metadata/50c77e28db4c8227c00d9a071a65db1e.jpg</v>
      </c>
      <c r="P2022" s="4" t="str">
        <f ca="1">_xlfn.IFNA(VLOOKUP(INDIRECT("G"&amp;ROW()),minfo!$A:$M,COLUMN()-8,0),"")</f>
        <v>https://i0.hdslb.com/bfs/station_src/music_metadata/709099508f630786ca5d062cce060acd.txt</v>
      </c>
      <c r="Q2022" s="4">
        <f ca="1">_xlfn.IFNA(VLOOKUP(INDIRECT("G"&amp;ROW()),minfo!$A:$M,COLUMN()-8,0),"")</f>
        <v>0</v>
      </c>
      <c r="R2022" s="4" t="str">
        <f ca="1">_xlfn.IFNA(VLOOKUP(INDIRECT("G"&amp;ROW()),minfo!$A:$M,COLUMN()-8,0),"")</f>
        <v>《美容针》电影主题曲</v>
      </c>
      <c r="S2022" s="4" t="str">
        <f ca="1">_xlfn.IFNA(VLOOKUP(INDIRECT("G"&amp;ROW()),minfo!$A:$M,COLUMN()-8,0),"")</f>
        <v>落在胸口的星星</v>
      </c>
      <c r="T2022" s="4">
        <f ca="1">_xlfn.IFNA(VLOOKUP(INDIRECT("G"&amp;ROW()),minfo!$A:$M,COLUMN()-8,0),"")</f>
        <v>2086840</v>
      </c>
      <c r="U2022" s="4">
        <f ca="1">_xlfn.IFNA(VLOOKUP(INDIRECT("G"&amp;ROW()),minfo!$A:$M,COLUMN()-8,0),"")</f>
        <v>0</v>
      </c>
    </row>
    <row r="2023" spans="1:21" ht="15.75" customHeight="1">
      <c r="A2023" s="15">
        <v>2022</v>
      </c>
      <c r="B2023" s="4" t="s">
        <v>5822</v>
      </c>
      <c r="D2023" s="4">
        <v>1</v>
      </c>
      <c r="E2023" s="4" t="s">
        <v>3388</v>
      </c>
      <c r="F2023" s="4" t="s">
        <v>5808</v>
      </c>
      <c r="G2023" s="4" t="s">
        <v>3387</v>
      </c>
      <c r="H2023" s="4" t="s">
        <v>5823</v>
      </c>
      <c r="I2023" s="24" t="str">
        <f>HYPERLINK("https://www.bilibili.com/video/BV1nS411K7uP?p=1","BV1nS411K7uP?p=1")</f>
        <v>BV1nS411K7uP?p=1</v>
      </c>
      <c r="J2023" s="4" t="str">
        <f ca="1">_xlfn.IFNA(VLOOKUP(INDIRECT("G"&amp;ROW()),minfo!$A:$M,COLUMN()-8,0),"")</f>
        <v>手写的从前</v>
      </c>
      <c r="K2023" s="4" t="str">
        <f ca="1">_xlfn.IFNA(VLOOKUP(INDIRECT("G"&amp;ROW()),minfo!$A:$M,COLUMN()-8,0),"")</f>
        <v>周杰伦</v>
      </c>
      <c r="L2023" s="4" t="str">
        <f ca="1">_xlfn.IFNA(VLOOKUP(INDIRECT("G"&amp;ROW()),minfo!$A:$M,COLUMN()-8,0),"")</f>
        <v>BV1VG4y1A7gz</v>
      </c>
      <c r="M2023" s="4">
        <f ca="1">_xlfn.IFNA(VLOOKUP(INDIRECT("G"&amp;ROW()),minfo!$A:$M,COLUMN()-8,0),"")</f>
        <v>5028</v>
      </c>
      <c r="N2023" s="4">
        <f ca="1">_xlfn.IFNA(VLOOKUP(INDIRECT("G"&amp;ROW()),minfo!$A:$M,COLUMN()-8,0),"")</f>
        <v>155</v>
      </c>
      <c r="O2023" s="4" t="str">
        <f ca="1">_xlfn.IFNA(VLOOKUP(INDIRECT("G"&amp;ROW()),minfo!$A:$M,COLUMN()-8,0),"")</f>
        <v>http://i0.hdslb.com/bfs/station_src/music_metadata/75ab835cb6c1f590d301438708ba7300.jpg</v>
      </c>
      <c r="P2023" s="4" t="str">
        <f ca="1">_xlfn.IFNA(VLOOKUP(INDIRECT("G"&amp;ROW()),minfo!$A:$M,COLUMN()-8,0),"")</f>
        <v>http://i0.hdslb.com/bfs/station_src/music_metadata/db2ac3a886890c348bc05059b3bf14d7</v>
      </c>
      <c r="Q2023" s="4">
        <f ca="1">_xlfn.IFNA(VLOOKUP(INDIRECT("G"&amp;ROW()),minfo!$A:$M,COLUMN()-8,0),"")</f>
        <v>5420</v>
      </c>
      <c r="R2023" s="4">
        <f ca="1">_xlfn.IFNA(VLOOKUP(INDIRECT("G"&amp;ROW()),minfo!$A:$M,COLUMN()-8,0),"")</f>
        <v>0</v>
      </c>
      <c r="S2023" s="4" t="str">
        <f ca="1">_xlfn.IFNA(VLOOKUP(INDIRECT("G"&amp;ROW()),minfo!$A:$M,COLUMN()-8,0),"")</f>
        <v>哎呦，不错哦</v>
      </c>
      <c r="T2023" s="4">
        <f ca="1">_xlfn.IFNA(VLOOKUP(INDIRECT("G"&amp;ROW()),minfo!$A:$M,COLUMN()-8,0),"")</f>
        <v>382573562</v>
      </c>
      <c r="U2023" s="4">
        <f ca="1">_xlfn.IFNA(VLOOKUP(INDIRECT("G"&amp;ROW()),minfo!$A:$M,COLUMN()-8,0),"")</f>
        <v>0</v>
      </c>
    </row>
    <row r="2024" spans="1:21" ht="15.75" customHeight="1">
      <c r="A2024" s="15">
        <v>2023</v>
      </c>
      <c r="B2024" s="4" t="s">
        <v>5824</v>
      </c>
      <c r="D2024" s="4">
        <v>1</v>
      </c>
      <c r="E2024" s="4" t="s">
        <v>1284</v>
      </c>
      <c r="F2024" s="4" t="s">
        <v>5825</v>
      </c>
      <c r="G2024" s="4" t="s">
        <v>1283</v>
      </c>
      <c r="H2024" s="4" t="s">
        <v>5826</v>
      </c>
      <c r="I2024" s="24" t="str">
        <f>HYPERLINK("https://www.bilibili.com/video/BV1Yw4m1q7Ss?p=1","BV1Yw4m1q7Ss?p=1")</f>
        <v>BV1Yw4m1q7Ss?p=1</v>
      </c>
      <c r="J2024" s="4" t="str">
        <f ca="1">_xlfn.IFNA(VLOOKUP(INDIRECT("G"&amp;ROW()),minfo!$A:$M,COLUMN()-8,0),"")</f>
        <v>醉赤壁</v>
      </c>
      <c r="K2024" s="4" t="str">
        <f ca="1">_xlfn.IFNA(VLOOKUP(INDIRECT("G"&amp;ROW()),minfo!$A:$M,COLUMN()-8,0),"")</f>
        <v>林俊杰</v>
      </c>
      <c r="L2024" s="4">
        <f ca="1">_xlfn.IFNA(VLOOKUP(INDIRECT("G"&amp;ROW()),minfo!$A:$M,COLUMN()-8,0),"")</f>
        <v>0</v>
      </c>
      <c r="M2024" s="4">
        <f ca="1">_xlfn.IFNA(VLOOKUP(INDIRECT("G"&amp;ROW()),minfo!$A:$M,COLUMN()-8,0),"")</f>
        <v>0</v>
      </c>
      <c r="N2024" s="4">
        <f ca="1">_xlfn.IFNA(VLOOKUP(INDIRECT("G"&amp;ROW()),minfo!$A:$M,COLUMN()-8,0),"")</f>
        <v>0</v>
      </c>
      <c r="O2024" s="4" t="str">
        <f ca="1">_xlfn.IFNA(VLOOKUP(INDIRECT("G"&amp;ROW()),minfo!$A:$M,COLUMN()-8,0),"")</f>
        <v>https://i0.hdslb.com/bfs/station_src/music_metadata/7fba77ac6c1e2b9c4ee3c5edfb8fb4fe.jpg</v>
      </c>
      <c r="P2024" s="4" t="str">
        <f ca="1">_xlfn.IFNA(VLOOKUP(INDIRECT("G"&amp;ROW()),minfo!$A:$M,COLUMN()-8,0),"")</f>
        <v>https://i0.hdslb.com/bfs/station_src/music_metadata/f6d8d115284de5ecdf96d995274c5783.txt</v>
      </c>
      <c r="Q2024" s="4">
        <f ca="1">_xlfn.IFNA(VLOOKUP(INDIRECT("G"&amp;ROW()),minfo!$A:$M,COLUMN()-8,0),"")</f>
        <v>240</v>
      </c>
      <c r="R2024" s="4">
        <f ca="1">_xlfn.IFNA(VLOOKUP(INDIRECT("G"&amp;ROW()),minfo!$A:$M,COLUMN()-8,0),"")</f>
        <v>0</v>
      </c>
      <c r="S2024" s="4" t="str">
        <f ca="1">_xlfn.IFNA(VLOOKUP(INDIRECT("G"&amp;ROW()),minfo!$A:$M,COLUMN()-8,0),"")</f>
        <v>JJ陆</v>
      </c>
      <c r="T2024" s="4">
        <f ca="1">_xlfn.IFNA(VLOOKUP(INDIRECT("G"&amp;ROW()),minfo!$A:$M,COLUMN()-8,0),"")</f>
        <v>177898408</v>
      </c>
      <c r="U2024" s="4">
        <f ca="1">_xlfn.IFNA(VLOOKUP(INDIRECT("G"&amp;ROW()),minfo!$A:$M,COLUMN()-8,0),"")</f>
        <v>0</v>
      </c>
    </row>
    <row r="2025" spans="1:21" ht="15.75" customHeight="1">
      <c r="A2025" s="15">
        <v>2024</v>
      </c>
      <c r="B2025" s="4" t="s">
        <v>5827</v>
      </c>
      <c r="D2025" s="4">
        <v>1</v>
      </c>
      <c r="E2025" s="4" t="s">
        <v>1048</v>
      </c>
      <c r="F2025" s="4" t="s">
        <v>5825</v>
      </c>
      <c r="G2025" s="4" t="s">
        <v>1047</v>
      </c>
      <c r="H2025" s="4" t="s">
        <v>5828</v>
      </c>
      <c r="I2025" s="24" t="str">
        <f>HYPERLINK("https://www.bilibili.com/video/BV15s421g7Dz?p=1","BV15s421g7Dz?p=1")</f>
        <v>BV15s421g7Dz?p=1</v>
      </c>
      <c r="J2025" s="4" t="str">
        <f ca="1">_xlfn.IFNA(VLOOKUP(INDIRECT("G"&amp;ROW()),minfo!$A:$M,COLUMN()-8,0),"")</f>
        <v>雨下一整晚</v>
      </c>
      <c r="K2025" s="4" t="str">
        <f ca="1">_xlfn.IFNA(VLOOKUP(INDIRECT("G"&amp;ROW()),minfo!$A:$M,COLUMN()-8,0),"")</f>
        <v>周杰伦</v>
      </c>
      <c r="L2025" s="4">
        <f ca="1">_xlfn.IFNA(VLOOKUP(INDIRECT("G"&amp;ROW()),minfo!$A:$M,COLUMN()-8,0),"")</f>
        <v>0</v>
      </c>
      <c r="M2025" s="4">
        <f ca="1">_xlfn.IFNA(VLOOKUP(INDIRECT("G"&amp;ROW()),minfo!$A:$M,COLUMN()-8,0),"")</f>
        <v>0</v>
      </c>
      <c r="N2025" s="4">
        <f ca="1">_xlfn.IFNA(VLOOKUP(INDIRECT("G"&amp;ROW()),minfo!$A:$M,COLUMN()-8,0),"")</f>
        <v>0</v>
      </c>
      <c r="O2025" s="4" t="str">
        <f ca="1">_xlfn.IFNA(VLOOKUP(INDIRECT("G"&amp;ROW()),minfo!$A:$M,COLUMN()-8,0),"")</f>
        <v>https://i0.hdslb.com/bfs/station_src/music_metadata/740bcd3058e7aa98df27f1f0a32b0f4b.jpg</v>
      </c>
      <c r="P2025" s="4" t="str">
        <f ca="1">_xlfn.IFNA(VLOOKUP(INDIRECT("G"&amp;ROW()),minfo!$A:$M,COLUMN()-8,0),"")</f>
        <v>copyright-crawler/music/task-lyric/654daafbfad724c0d03b496f.txt</v>
      </c>
      <c r="Q2025" s="4">
        <f ca="1">_xlfn.IFNA(VLOOKUP(INDIRECT("G"&amp;ROW()),minfo!$A:$M,COLUMN()-8,0),"")</f>
        <v>2220</v>
      </c>
      <c r="R2025" s="4" t="str">
        <f ca="1">_xlfn.IFNA(VLOOKUP(INDIRECT("G"&amp;ROW()),minfo!$A:$M,COLUMN()-8,0),"")</f>
        <v>雨下一整晚</v>
      </c>
      <c r="S2025" s="4" t="str">
        <f ca="1">_xlfn.IFNA(VLOOKUP(INDIRECT("G"&amp;ROW()),minfo!$A:$M,COLUMN()-8,0),"")</f>
        <v>跨时代</v>
      </c>
      <c r="T2025" s="4">
        <f ca="1">_xlfn.IFNA(VLOOKUP(INDIRECT("G"&amp;ROW()),minfo!$A:$M,COLUMN()-8,0),"")</f>
        <v>288931916</v>
      </c>
      <c r="U2025" s="4">
        <f ca="1">_xlfn.IFNA(VLOOKUP(INDIRECT("G"&amp;ROW()),minfo!$A:$M,COLUMN()-8,0),"")</f>
        <v>0</v>
      </c>
    </row>
    <row r="2026" spans="1:21" ht="15.75" customHeight="1">
      <c r="A2026" s="15">
        <v>2025</v>
      </c>
      <c r="B2026" s="4" t="s">
        <v>5829</v>
      </c>
      <c r="D2026" s="4">
        <v>1</v>
      </c>
      <c r="E2026" s="4" t="s">
        <v>5830</v>
      </c>
      <c r="F2026" s="4" t="s">
        <v>5825</v>
      </c>
      <c r="G2026" s="4" t="s">
        <v>1819</v>
      </c>
      <c r="H2026" s="4" t="s">
        <v>5831</v>
      </c>
      <c r="I2026" s="24" t="str">
        <f>HYPERLINK("https://www.bilibili.com/video/BV1D4421X7AC?p=1","BV1D4421X7AC?p=1")</f>
        <v>BV1D4421X7AC?p=1</v>
      </c>
      <c r="J2026" s="4" t="str">
        <f ca="1">_xlfn.IFNA(VLOOKUP(INDIRECT("G"&amp;ROW()),minfo!$A:$M,COLUMN()-8,0),"")</f>
        <v>愿与愁</v>
      </c>
      <c r="K2026" s="4" t="str">
        <f ca="1">_xlfn.IFNA(VLOOKUP(INDIRECT("G"&amp;ROW()),minfo!$A:$M,COLUMN()-8,0),"")</f>
        <v>林俊杰</v>
      </c>
      <c r="L2026" s="4">
        <f ca="1">_xlfn.IFNA(VLOOKUP(INDIRECT("G"&amp;ROW()),minfo!$A:$M,COLUMN()-8,0),"")</f>
        <v>0</v>
      </c>
      <c r="M2026" s="4">
        <f ca="1">_xlfn.IFNA(VLOOKUP(INDIRECT("G"&amp;ROW()),minfo!$A:$M,COLUMN()-8,0),"")</f>
        <v>0</v>
      </c>
      <c r="N2026" s="4">
        <f ca="1">_xlfn.IFNA(VLOOKUP(INDIRECT("G"&amp;ROW()),minfo!$A:$M,COLUMN()-8,0),"")</f>
        <v>0</v>
      </c>
      <c r="O2026" s="4" t="str">
        <f ca="1">_xlfn.IFNA(VLOOKUP(INDIRECT("G"&amp;ROW()),minfo!$A:$M,COLUMN()-8,0),"")</f>
        <v>http://i0.hdslb.com/bfs/station_src/music_metadata/31e1ef9935ac8acbe46418fc5f53f699.jpg</v>
      </c>
      <c r="P2026" s="4" t="str">
        <f ca="1">_xlfn.IFNA(VLOOKUP(INDIRECT("G"&amp;ROW()),minfo!$A:$M,COLUMN()-8,0),"")</f>
        <v>lyric/2023-04-29_2023-04-29_愿与愁.txt</v>
      </c>
      <c r="Q2026" s="4">
        <f ca="1">_xlfn.IFNA(VLOOKUP(INDIRECT("G"&amp;ROW()),minfo!$A:$M,COLUMN()-8,0),"")</f>
        <v>2</v>
      </c>
      <c r="R2026" s="4">
        <f ca="1">_xlfn.IFNA(VLOOKUP(INDIRECT("G"&amp;ROW()),minfo!$A:$M,COLUMN()-8,0),"")</f>
        <v>0</v>
      </c>
      <c r="S2026" s="4" t="str">
        <f ca="1">_xlfn.IFNA(VLOOKUP(INDIRECT("G"&amp;ROW()),minfo!$A:$M,COLUMN()-8,0),"")</f>
        <v>重拾_快乐</v>
      </c>
      <c r="T2026" s="4">
        <f ca="1">_xlfn.IFNA(VLOOKUP(INDIRECT("G"&amp;ROW()),minfo!$A:$M,COLUMN()-8,0),"")</f>
        <v>3053937</v>
      </c>
      <c r="U2026" s="4">
        <f ca="1">_xlfn.IFNA(VLOOKUP(INDIRECT("G"&amp;ROW()),minfo!$A:$M,COLUMN()-8,0),"")</f>
        <v>0</v>
      </c>
    </row>
    <row r="2027" spans="1:21" ht="15.75" customHeight="1">
      <c r="A2027" s="15">
        <v>2026</v>
      </c>
      <c r="B2027" s="4" t="s">
        <v>5832</v>
      </c>
      <c r="D2027" s="4">
        <v>1</v>
      </c>
      <c r="E2027" s="4" t="s">
        <v>1061</v>
      </c>
      <c r="F2027" s="4" t="s">
        <v>5825</v>
      </c>
      <c r="G2027" s="4" t="s">
        <v>1060</v>
      </c>
      <c r="H2027" s="4" t="s">
        <v>5833</v>
      </c>
      <c r="I2027" s="24" t="str">
        <f>HYPERLINK("https://www.bilibili.com/video/BV1Tn4y1d7GL?p=1","BV1Tn4y1d7GL?p=1")</f>
        <v>BV1Tn4y1d7GL?p=1</v>
      </c>
      <c r="J2027" s="4" t="str">
        <f ca="1">_xlfn.IFNA(VLOOKUP(INDIRECT("G"&amp;ROW()),minfo!$A:$M,COLUMN()-8,0),"")</f>
        <v>少年不凡</v>
      </c>
      <c r="K2027" s="4" t="str">
        <f ca="1">_xlfn.IFNA(VLOOKUP(INDIRECT("G"&amp;ROW()),minfo!$A:$M,COLUMN()-8,0),"")</f>
        <v>刘美麟</v>
      </c>
      <c r="L2027" s="4">
        <f ca="1">_xlfn.IFNA(VLOOKUP(INDIRECT("G"&amp;ROW()),minfo!$A:$M,COLUMN()-8,0),"")</f>
        <v>0</v>
      </c>
      <c r="M2027" s="4">
        <f ca="1">_xlfn.IFNA(VLOOKUP(INDIRECT("G"&amp;ROW()),minfo!$A:$M,COLUMN()-8,0),"")</f>
        <v>0</v>
      </c>
      <c r="N2027" s="4">
        <f ca="1">_xlfn.IFNA(VLOOKUP(INDIRECT("G"&amp;ROW()),minfo!$A:$M,COLUMN()-8,0),"")</f>
        <v>0</v>
      </c>
      <c r="O2027" s="4" t="str">
        <f ca="1">_xlfn.IFNA(VLOOKUP(INDIRECT("G"&amp;ROW()),minfo!$A:$M,COLUMN()-8,0),"")</f>
        <v>https://i0.hdslb.com/bfs/station_src/music_metadata/4f95d266f510854cbf419ca1f4e99a33.jpg</v>
      </c>
      <c r="P2027" s="4" t="str">
        <f ca="1">_xlfn.IFNA(VLOOKUP(INDIRECT("G"&amp;ROW()),minfo!$A:$M,COLUMN()-8,0),"")</f>
        <v>https://i0.hdslb.com/bfs/station_src/music_metadata/510fa3ca64bddc52f89c218209dc89b5.txt</v>
      </c>
      <c r="Q2027" s="4">
        <f ca="1">_xlfn.IFNA(VLOOKUP(INDIRECT("G"&amp;ROW()),minfo!$A:$M,COLUMN()-8,0),"")</f>
        <v>200</v>
      </c>
      <c r="R2027" s="4">
        <f ca="1">_xlfn.IFNA(VLOOKUP(INDIRECT("G"&amp;ROW()),minfo!$A:$M,COLUMN()-8,0),"")</f>
        <v>0</v>
      </c>
      <c r="S2027" s="4" t="str">
        <f ca="1">_xlfn.IFNA(VLOOKUP(INDIRECT("G"&amp;ROW()),minfo!$A:$M,COLUMN()-8,0),"")</f>
        <v>凡人修仙传 第一季  动画剧原声带</v>
      </c>
      <c r="T2027" s="4">
        <f ca="1">_xlfn.IFNA(VLOOKUP(INDIRECT("G"&amp;ROW()),minfo!$A:$M,COLUMN()-8,0),"")</f>
        <v>12824406</v>
      </c>
      <c r="U2027" s="4">
        <f ca="1">_xlfn.IFNA(VLOOKUP(INDIRECT("G"&amp;ROW()),minfo!$A:$M,COLUMN()-8,0),"")</f>
        <v>0</v>
      </c>
    </row>
    <row r="2028" spans="1:21" ht="15.75" customHeight="1">
      <c r="A2028" s="15">
        <v>2027</v>
      </c>
      <c r="B2028" s="4" t="s">
        <v>5834</v>
      </c>
      <c r="D2028" s="4">
        <v>1</v>
      </c>
      <c r="E2028" s="4" t="s">
        <v>1229</v>
      </c>
      <c r="F2028" s="4" t="s">
        <v>5825</v>
      </c>
      <c r="G2028" s="4" t="s">
        <v>1228</v>
      </c>
      <c r="H2028" s="4" t="s">
        <v>5835</v>
      </c>
      <c r="I2028" s="24" t="str">
        <f>HYPERLINK("https://www.bilibili.com/video/BV1sJ4m1G7s4?p=1","BV1sJ4m1G7s4?p=1")</f>
        <v>BV1sJ4m1G7s4?p=1</v>
      </c>
      <c r="J2028" s="4" t="str">
        <f ca="1">_xlfn.IFNA(VLOOKUP(INDIRECT("G"&amp;ROW()),minfo!$A:$M,COLUMN()-8,0),"")</f>
        <v>昨日青空</v>
      </c>
      <c r="K2028" s="4" t="str">
        <f ca="1">_xlfn.IFNA(VLOOKUP(INDIRECT("G"&amp;ROW()),minfo!$A:$M,COLUMN()-8,0),"")</f>
        <v>尤长靖</v>
      </c>
      <c r="L2028" s="4">
        <f ca="1">_xlfn.IFNA(VLOOKUP(INDIRECT("G"&amp;ROW()),minfo!$A:$M,COLUMN()-8,0),"")</f>
        <v>0</v>
      </c>
      <c r="M2028" s="4">
        <f ca="1">_xlfn.IFNA(VLOOKUP(INDIRECT("G"&amp;ROW()),minfo!$A:$M,COLUMN()-8,0),"")</f>
        <v>0</v>
      </c>
      <c r="N2028" s="4">
        <f ca="1">_xlfn.IFNA(VLOOKUP(INDIRECT("G"&amp;ROW()),minfo!$A:$M,COLUMN()-8,0),"")</f>
        <v>0</v>
      </c>
      <c r="O2028" s="4" t="str">
        <f ca="1">_xlfn.IFNA(VLOOKUP(INDIRECT("G"&amp;ROW()),minfo!$A:$M,COLUMN()-8,0),"")</f>
        <v>https://i0.hdslb.com/bfs/station_src/music_metadata/abc73110210c595e7074ddc5a01dd754.jpg</v>
      </c>
      <c r="P2028" s="4" t="str">
        <f ca="1">_xlfn.IFNA(VLOOKUP(INDIRECT("G"&amp;ROW()),minfo!$A:$M,COLUMN()-8,0),"")</f>
        <v>http://i0.hdslb.com/bfs/station_src/music_metadata/042fb26c880b233a48dc106af6e82bca</v>
      </c>
      <c r="Q2028" s="4">
        <f ca="1">_xlfn.IFNA(VLOOKUP(INDIRECT("G"&amp;ROW()),minfo!$A:$M,COLUMN()-8,0),"")</f>
        <v>558</v>
      </c>
      <c r="R2028" s="4" t="str">
        <f ca="1">_xlfn.IFNA(VLOOKUP(INDIRECT("G"&amp;ROW()),minfo!$A:$M,COLUMN()-8,0),"")</f>
        <v>《昨日青空》电影同名青春主题曲</v>
      </c>
      <c r="S2028" s="4" t="str">
        <f ca="1">_xlfn.IFNA(VLOOKUP(INDIRECT("G"&amp;ROW()),minfo!$A:$M,COLUMN()-8,0),"")</f>
        <v>昨日青空</v>
      </c>
      <c r="T2028" s="4">
        <f ca="1">_xlfn.IFNA(VLOOKUP(INDIRECT("G"&amp;ROW()),minfo!$A:$M,COLUMN()-8,0),"")</f>
        <v>70470580</v>
      </c>
      <c r="U2028" s="4">
        <f ca="1">_xlfn.IFNA(VLOOKUP(INDIRECT("G"&amp;ROW()),minfo!$A:$M,COLUMN()-8,0),"")</f>
        <v>0</v>
      </c>
    </row>
    <row r="2029" spans="1:21" ht="15.75" customHeight="1">
      <c r="A2029" s="15">
        <v>2028</v>
      </c>
      <c r="B2029" s="4" t="s">
        <v>5836</v>
      </c>
      <c r="D2029" s="4">
        <v>1</v>
      </c>
      <c r="E2029" s="4" t="s">
        <v>105</v>
      </c>
      <c r="F2029" s="4" t="s">
        <v>5837</v>
      </c>
      <c r="G2029" s="4" t="s">
        <v>1827</v>
      </c>
      <c r="H2029" s="4" t="s">
        <v>5838</v>
      </c>
      <c r="I2029" s="24" t="str">
        <f>HYPERLINK("https://www.bilibili.com/video/BV1sD421M7mw?p=1","BV1sD421M7mw?p=1")</f>
        <v>BV1sD421M7mw?p=1</v>
      </c>
      <c r="J2029" s="4" t="str">
        <f ca="1">_xlfn.IFNA(VLOOKUP(INDIRECT("G"&amp;ROW()),minfo!$A:$M,COLUMN()-8,0),"")</f>
        <v>花月妖</v>
      </c>
      <c r="K2029" s="4" t="str">
        <f ca="1">_xlfn.IFNA(VLOOKUP(INDIRECT("G"&amp;ROW()),minfo!$A:$M,COLUMN()-8,0),"")</f>
        <v>说说Crystal</v>
      </c>
      <c r="L2029" s="4">
        <f ca="1">_xlfn.IFNA(VLOOKUP(INDIRECT("G"&amp;ROW()),minfo!$A:$M,COLUMN()-8,0),"")</f>
        <v>0</v>
      </c>
      <c r="M2029" s="4">
        <f ca="1">_xlfn.IFNA(VLOOKUP(INDIRECT("G"&amp;ROW()),minfo!$A:$M,COLUMN()-8,0),"")</f>
        <v>0</v>
      </c>
      <c r="N2029" s="4">
        <f ca="1">_xlfn.IFNA(VLOOKUP(INDIRECT("G"&amp;ROW()),minfo!$A:$M,COLUMN()-8,0),"")</f>
        <v>0</v>
      </c>
      <c r="O2029" s="4" t="str">
        <f ca="1">_xlfn.IFNA(VLOOKUP(INDIRECT("G"&amp;ROW()),minfo!$A:$M,COLUMN()-8,0),"")</f>
        <v>https://i0.hdslb.com/bfs/station_src/music_metadata/55cdb41a446e5a3e7e554b5961143bc7.jpg</v>
      </c>
      <c r="P2029" s="4" t="str">
        <f ca="1">_xlfn.IFNA(VLOOKUP(INDIRECT("G"&amp;ROW()),minfo!$A:$M,COLUMN()-8,0),"")</f>
        <v>https://i0.hdslb.com/bfs/station_src/music_metadata/0c97bbbbf51bc8b21fe5875c0bf27b57.txt</v>
      </c>
      <c r="Q2029" s="4">
        <f ca="1">_xlfn.IFNA(VLOOKUP(INDIRECT("G"&amp;ROW()),minfo!$A:$M,COLUMN()-8,0),"")</f>
        <v>8</v>
      </c>
      <c r="R2029" s="4">
        <f ca="1">_xlfn.IFNA(VLOOKUP(INDIRECT("G"&amp;ROW()),minfo!$A:$M,COLUMN()-8,0),"")</f>
        <v>0</v>
      </c>
      <c r="S2029" s="4" t="str">
        <f ca="1">_xlfn.IFNA(VLOOKUP(INDIRECT("G"&amp;ROW()),minfo!$A:$M,COLUMN()-8,0),"")</f>
        <v>花月妖</v>
      </c>
      <c r="T2029" s="4">
        <f ca="1">_xlfn.IFNA(VLOOKUP(INDIRECT("G"&amp;ROW()),minfo!$A:$M,COLUMN()-8,0),"")</f>
        <v>1163456</v>
      </c>
      <c r="U2029" s="4">
        <f ca="1">_xlfn.IFNA(VLOOKUP(INDIRECT("G"&amp;ROW()),minfo!$A:$M,COLUMN()-8,0),"")</f>
        <v>0</v>
      </c>
    </row>
    <row r="2030" spans="1:21" ht="15.75" customHeight="1">
      <c r="A2030" s="15">
        <v>2029</v>
      </c>
      <c r="B2030" s="4" t="s">
        <v>5839</v>
      </c>
      <c r="D2030" s="4">
        <v>1</v>
      </c>
      <c r="E2030" s="4" t="s">
        <v>81</v>
      </c>
      <c r="F2030" s="4" t="s">
        <v>5837</v>
      </c>
      <c r="G2030" s="4" t="s">
        <v>1690</v>
      </c>
      <c r="H2030" s="4" t="s">
        <v>5840</v>
      </c>
      <c r="I2030" s="24" t="str">
        <f>HYPERLINK("https://www.bilibili.com/video/BV164421Q7WH?p=1","BV164421Q7WH?p=1")</f>
        <v>BV164421Q7WH?p=1</v>
      </c>
      <c r="J2030" s="4" t="str">
        <f ca="1">_xlfn.IFNA(VLOOKUP(INDIRECT("G"&amp;ROW()),minfo!$A:$M,COLUMN()-8,0),"")</f>
        <v>从前的月光</v>
      </c>
      <c r="K2030" s="4" t="str">
        <f ca="1">_xlfn.IFNA(VLOOKUP(INDIRECT("G"&amp;ROW()),minfo!$A:$M,COLUMN()-8,0),"")</f>
        <v>说说Crystal</v>
      </c>
      <c r="L2030" s="4">
        <f ca="1">_xlfn.IFNA(VLOOKUP(INDIRECT("G"&amp;ROW()),minfo!$A:$M,COLUMN()-8,0),"")</f>
        <v>0</v>
      </c>
      <c r="M2030" s="4">
        <f ca="1">_xlfn.IFNA(VLOOKUP(INDIRECT("G"&amp;ROW()),minfo!$A:$M,COLUMN()-8,0),"")</f>
        <v>0</v>
      </c>
      <c r="N2030" s="4">
        <f ca="1">_xlfn.IFNA(VLOOKUP(INDIRECT("G"&amp;ROW()),minfo!$A:$M,COLUMN()-8,0),"")</f>
        <v>0</v>
      </c>
      <c r="O2030" s="4" t="str">
        <f ca="1">_xlfn.IFNA(VLOOKUP(INDIRECT("G"&amp;ROW()),minfo!$A:$M,COLUMN()-8,0),"")</f>
        <v>https://i0.hdslb.com/bfs/station_src/music_metadata/d3381c4f9efa75a9a131a7c91b7a4a4a.jpg</v>
      </c>
      <c r="P2030" s="4">
        <f ca="1">_xlfn.IFNA(VLOOKUP(INDIRECT("G"&amp;ROW()),minfo!$A:$M,COLUMN()-8,0),"")</f>
        <v>0</v>
      </c>
      <c r="Q2030" s="4">
        <f ca="1">_xlfn.IFNA(VLOOKUP(INDIRECT("G"&amp;ROW()),minfo!$A:$M,COLUMN()-8,0),"")</f>
        <v>0</v>
      </c>
      <c r="R2030" s="4">
        <f ca="1">_xlfn.IFNA(VLOOKUP(INDIRECT("G"&amp;ROW()),minfo!$A:$M,COLUMN()-8,0),"")</f>
        <v>0</v>
      </c>
      <c r="S2030" s="4" t="str">
        <f ca="1">_xlfn.IFNA(VLOOKUP(INDIRECT("G"&amp;ROW()),minfo!$A:$M,COLUMN()-8,0),"")</f>
        <v>从前的月光</v>
      </c>
      <c r="T2030" s="4">
        <f ca="1">_xlfn.IFNA(VLOOKUP(INDIRECT("G"&amp;ROW()),minfo!$A:$M,COLUMN()-8,0),"")</f>
        <v>152535</v>
      </c>
      <c r="U2030" s="4">
        <f ca="1">_xlfn.IFNA(VLOOKUP(INDIRECT("G"&amp;ROW()),minfo!$A:$M,COLUMN()-8,0),"")</f>
        <v>0</v>
      </c>
    </row>
    <row r="2031" spans="1:21" ht="15.75" customHeight="1">
      <c r="A2031" s="15">
        <v>2030</v>
      </c>
      <c r="B2031" s="4" t="s">
        <v>5841</v>
      </c>
      <c r="D2031" s="4">
        <v>1</v>
      </c>
      <c r="E2031" s="4" t="s">
        <v>232</v>
      </c>
      <c r="F2031" s="4" t="s">
        <v>5837</v>
      </c>
      <c r="G2031" s="4" t="s">
        <v>231</v>
      </c>
      <c r="H2031" s="4" t="s">
        <v>5842</v>
      </c>
      <c r="I2031" s="24" t="str">
        <f>HYPERLINK("https://www.bilibili.com/video/BV1oT421Y7JB?p=1","BV1oT421Y7JB?p=1")</f>
        <v>BV1oT421Y7JB?p=1</v>
      </c>
      <c r="J2031" s="4" t="str">
        <f ca="1">_xlfn.IFNA(VLOOKUP(INDIRECT("G"&amp;ROW()),minfo!$A:$M,COLUMN()-8,0),"")</f>
        <v>若把你</v>
      </c>
      <c r="K2031" s="4" t="str">
        <f ca="1">_xlfn.IFNA(VLOOKUP(INDIRECT("G"&amp;ROW()),minfo!$A:$M,COLUMN()-8,0),"")</f>
        <v>Kirsty刘瑾睿</v>
      </c>
      <c r="L2031" s="4">
        <f ca="1">_xlfn.IFNA(VLOOKUP(INDIRECT("G"&amp;ROW()),minfo!$A:$M,COLUMN()-8,0),"")</f>
        <v>0</v>
      </c>
      <c r="M2031" s="4">
        <f ca="1">_xlfn.IFNA(VLOOKUP(INDIRECT("G"&amp;ROW()),minfo!$A:$M,COLUMN()-8,0),"")</f>
        <v>43546</v>
      </c>
      <c r="N2031" s="4">
        <f ca="1">_xlfn.IFNA(VLOOKUP(INDIRECT("G"&amp;ROW()),minfo!$A:$M,COLUMN()-8,0),"")</f>
        <v>6440</v>
      </c>
      <c r="O2031" s="4" t="str">
        <f ca="1">_xlfn.IFNA(VLOOKUP(INDIRECT("G"&amp;ROW()),minfo!$A:$M,COLUMN()-8,0),"")</f>
        <v>http://i0.hdslb.com/bfs/station_src/music_metadata/e535448192dd1b72f950d8bf47d14597.jpg</v>
      </c>
      <c r="P2031" s="4">
        <f ca="1">_xlfn.IFNA(VLOOKUP(INDIRECT("G"&amp;ROW()),minfo!$A:$M,COLUMN()-8,0),"")</f>
        <v>0</v>
      </c>
      <c r="Q2031" s="4">
        <f ca="1">_xlfn.IFNA(VLOOKUP(INDIRECT("G"&amp;ROW()),minfo!$A:$M,COLUMN()-8,0),"")</f>
        <v>2370</v>
      </c>
      <c r="R2031" s="4">
        <f ca="1">_xlfn.IFNA(VLOOKUP(INDIRECT("G"&amp;ROW()),minfo!$A:$M,COLUMN()-8,0),"")</f>
        <v>0</v>
      </c>
      <c r="S2031" s="4" t="str">
        <f ca="1">_xlfn.IFNA(VLOOKUP(INDIRECT("G"&amp;ROW()),minfo!$A:$M,COLUMN()-8,0),"")</f>
        <v>若把你</v>
      </c>
      <c r="T2031" s="4">
        <f ca="1">_xlfn.IFNA(VLOOKUP(INDIRECT("G"&amp;ROW()),minfo!$A:$M,COLUMN()-8,0),"")</f>
        <v>316650487</v>
      </c>
      <c r="U2031" s="4" t="str">
        <f ca="1">_xlfn.IFNA(VLOOKUP(INDIRECT("G"&amp;ROW()),minfo!$A:$M,COLUMN()-8,0),"")</f>
        <v>音乐榜最高NO.7</v>
      </c>
    </row>
    <row r="2032" spans="1:21" ht="15.75" customHeight="1">
      <c r="A2032" s="15">
        <v>2031</v>
      </c>
      <c r="B2032" s="4" t="s">
        <v>5843</v>
      </c>
      <c r="D2032" s="4">
        <v>1</v>
      </c>
      <c r="E2032" s="4" t="s">
        <v>67</v>
      </c>
      <c r="F2032" s="4" t="s">
        <v>5837</v>
      </c>
      <c r="G2032" s="4" t="s">
        <v>67</v>
      </c>
      <c r="H2032" s="4" t="s">
        <v>5844</v>
      </c>
      <c r="I2032" s="24" t="str">
        <f>HYPERLINK("https://www.bilibili.com/video/BV1pb421v7FK?p=1","BV1pb421v7FK?p=1")</f>
        <v>BV1pb421v7FK?p=1</v>
      </c>
      <c r="J2032" s="4" t="str">
        <f ca="1">_xlfn.IFNA(VLOOKUP(INDIRECT("G"&amp;ROW()),minfo!$A:$M,COLUMN()-8,0),"")</f>
        <v>回乡偶书</v>
      </c>
      <c r="K2032" s="4" t="str">
        <f ca="1">_xlfn.IFNA(VLOOKUP(INDIRECT("G"&amp;ROW()),minfo!$A:$M,COLUMN()-8,0),"")</f>
        <v>说说Crystal</v>
      </c>
      <c r="L2032" s="4" t="str">
        <f ca="1">_xlfn.IFNA(VLOOKUP(INDIRECT("G"&amp;ROW()),minfo!$A:$M,COLUMN()-8,0),"")</f>
        <v>BV1dv4y197cw</v>
      </c>
      <c r="M2032" s="4">
        <f ca="1">_xlfn.IFNA(VLOOKUP(INDIRECT("G"&amp;ROW()),minfo!$A:$M,COLUMN()-8,0),"")</f>
        <v>0</v>
      </c>
      <c r="N2032" s="4">
        <f ca="1">_xlfn.IFNA(VLOOKUP(INDIRECT("G"&amp;ROW()),minfo!$A:$M,COLUMN()-8,0),"")</f>
        <v>0</v>
      </c>
      <c r="O2032" s="4">
        <f ca="1">_xlfn.IFNA(VLOOKUP(INDIRECT("G"&amp;ROW()),minfo!$A:$M,COLUMN()-8,0),"")</f>
        <v>0</v>
      </c>
      <c r="P2032" s="4">
        <f ca="1">_xlfn.IFNA(VLOOKUP(INDIRECT("G"&amp;ROW()),minfo!$A:$M,COLUMN()-8,0),"")</f>
        <v>0</v>
      </c>
      <c r="Q2032" s="4">
        <f ca="1">_xlfn.IFNA(VLOOKUP(INDIRECT("G"&amp;ROW()),minfo!$A:$M,COLUMN()-8,0),"")</f>
        <v>0</v>
      </c>
      <c r="R2032" s="4">
        <f ca="1">_xlfn.IFNA(VLOOKUP(INDIRECT("G"&amp;ROW()),minfo!$A:$M,COLUMN()-8,0),"")</f>
        <v>0</v>
      </c>
      <c r="S2032" s="4">
        <f ca="1">_xlfn.IFNA(VLOOKUP(INDIRECT("G"&amp;ROW()),minfo!$A:$M,COLUMN()-8,0),"")</f>
        <v>0</v>
      </c>
      <c r="T2032" s="4">
        <f ca="1">_xlfn.IFNA(VLOOKUP(INDIRECT("G"&amp;ROW()),minfo!$A:$M,COLUMN()-8,0),"")</f>
        <v>0</v>
      </c>
      <c r="U2032" s="4">
        <f ca="1">_xlfn.IFNA(VLOOKUP(INDIRECT("G"&amp;ROW()),minfo!$A:$M,COLUMN()-8,0),"")</f>
        <v>0</v>
      </c>
    </row>
    <row r="2033" spans="1:21" ht="15.75" customHeight="1">
      <c r="A2033" s="15">
        <v>2032</v>
      </c>
      <c r="B2033" s="4" t="s">
        <v>5845</v>
      </c>
      <c r="D2033" s="4">
        <v>1</v>
      </c>
      <c r="E2033" s="4" t="s">
        <v>93</v>
      </c>
      <c r="F2033" s="4" t="s">
        <v>5837</v>
      </c>
      <c r="G2033" s="4" t="s">
        <v>273</v>
      </c>
      <c r="H2033" s="4" t="s">
        <v>5846</v>
      </c>
      <c r="I2033" s="24" t="str">
        <f>HYPERLINK("https://www.bilibili.com/video/BV1Cf421D7HV?p=1","BV1Cf421D7HV?p=1")</f>
        <v>BV1Cf421D7HV?p=1</v>
      </c>
      <c r="J2033" s="4" t="str">
        <f ca="1">_xlfn.IFNA(VLOOKUP(INDIRECT("G"&amp;ROW()),minfo!$A:$M,COLUMN()-8,0),"")</f>
        <v>罗敷</v>
      </c>
      <c r="K2033" s="4" t="str">
        <f ca="1">_xlfn.IFNA(VLOOKUP(INDIRECT("G"&amp;ROW()),minfo!$A:$M,COLUMN()-8,0),"")</f>
        <v>说说Crystal</v>
      </c>
      <c r="L2033" s="4">
        <f ca="1">_xlfn.IFNA(VLOOKUP(INDIRECT("G"&amp;ROW()),minfo!$A:$M,COLUMN()-8,0),"")</f>
        <v>0</v>
      </c>
      <c r="M2033" s="4">
        <f ca="1">_xlfn.IFNA(VLOOKUP(INDIRECT("G"&amp;ROW()),minfo!$A:$M,COLUMN()-8,0),"")</f>
        <v>0</v>
      </c>
      <c r="N2033" s="4">
        <f ca="1">_xlfn.IFNA(VLOOKUP(INDIRECT("G"&amp;ROW()),minfo!$A:$M,COLUMN()-8,0),"")</f>
        <v>0</v>
      </c>
      <c r="O2033" s="4" t="str">
        <f ca="1">_xlfn.IFNA(VLOOKUP(INDIRECT("G"&amp;ROW()),minfo!$A:$M,COLUMN()-8,0),"")</f>
        <v>https://i0.hdslb.com/bfs/station_src/music_metadata/1b7b9e3e2c4c793577a84986cdadb2cc.jpg</v>
      </c>
      <c r="P2033" s="4">
        <f ca="1">_xlfn.IFNA(VLOOKUP(INDIRECT("G"&amp;ROW()),minfo!$A:$M,COLUMN()-8,0),"")</f>
        <v>0</v>
      </c>
      <c r="Q2033" s="4">
        <f ca="1">_xlfn.IFNA(VLOOKUP(INDIRECT("G"&amp;ROW()),minfo!$A:$M,COLUMN()-8,0),"")</f>
        <v>0</v>
      </c>
      <c r="R2033" s="4">
        <f ca="1">_xlfn.IFNA(VLOOKUP(INDIRECT("G"&amp;ROW()),minfo!$A:$M,COLUMN()-8,0),"")</f>
        <v>0</v>
      </c>
      <c r="S2033" s="4" t="str">
        <f ca="1">_xlfn.IFNA(VLOOKUP(INDIRECT("G"&amp;ROW()),minfo!$A:$M,COLUMN()-8,0),"")</f>
        <v>【说说·原创】这一曲只倾心于你 |《罗敷》</v>
      </c>
      <c r="T2033" s="4">
        <f ca="1">_xlfn.IFNA(VLOOKUP(INDIRECT("G"&amp;ROW()),minfo!$A:$M,COLUMN()-8,0),"")</f>
        <v>323164</v>
      </c>
      <c r="U2033" s="4">
        <f ca="1">_xlfn.IFNA(VLOOKUP(INDIRECT("G"&amp;ROW()),minfo!$A:$M,COLUMN()-8,0),"")</f>
        <v>0</v>
      </c>
    </row>
    <row r="2034" spans="1:21" ht="15.75" customHeight="1">
      <c r="A2034" s="15">
        <v>2033</v>
      </c>
      <c r="B2034" s="4" t="s">
        <v>5847</v>
      </c>
      <c r="D2034" s="4">
        <v>1</v>
      </c>
      <c r="E2034" s="4" t="s">
        <v>1216</v>
      </c>
      <c r="F2034" s="4" t="s">
        <v>5837</v>
      </c>
      <c r="G2034" s="4" t="s">
        <v>2543</v>
      </c>
      <c r="H2034" s="4" t="s">
        <v>5848</v>
      </c>
      <c r="I2034" s="24" t="str">
        <f>HYPERLINK("https://www.bilibili.com/video/BV1vz421b79w?p=1","BV1vz421b79w?p=1")</f>
        <v>BV1vz421b79w?p=1</v>
      </c>
      <c r="J2034" s="4" t="str">
        <f ca="1">_xlfn.IFNA(VLOOKUP(INDIRECT("G"&amp;ROW()),minfo!$A:$M,COLUMN()-8,0),"")</f>
        <v>记念</v>
      </c>
      <c r="K2034" s="4" t="str">
        <f ca="1">_xlfn.IFNA(VLOOKUP(INDIRECT("G"&amp;ROW()),minfo!$A:$M,COLUMN()-8,0),"")</f>
        <v>雷雨心</v>
      </c>
      <c r="L2034" s="4">
        <f ca="1">_xlfn.IFNA(VLOOKUP(INDIRECT("G"&amp;ROW()),minfo!$A:$M,COLUMN()-8,0),"")</f>
        <v>0</v>
      </c>
      <c r="M2034" s="4">
        <f ca="1">_xlfn.IFNA(VLOOKUP(INDIRECT("G"&amp;ROW()),minfo!$A:$M,COLUMN()-8,0),"")</f>
        <v>0</v>
      </c>
      <c r="N2034" s="4">
        <f ca="1">_xlfn.IFNA(VLOOKUP(INDIRECT("G"&amp;ROW()),minfo!$A:$M,COLUMN()-8,0),"")</f>
        <v>0</v>
      </c>
      <c r="O2034" s="4" t="str">
        <f ca="1">_xlfn.IFNA(VLOOKUP(INDIRECT("G"&amp;ROW()),minfo!$A:$M,COLUMN()-8,0),"")</f>
        <v>https://i0.hdslb.com/bfs/station_src/music_metadata/df461555388d556675705b1e413e876d.jpg</v>
      </c>
      <c r="P2034" s="4" t="str">
        <f ca="1">_xlfn.IFNA(VLOOKUP(INDIRECT("G"&amp;ROW()),minfo!$A:$M,COLUMN()-8,0),"")</f>
        <v>http://i0.hdslb.com/bfs/station_src/music_metadata/aad0c256d8916e3d3a7c730320b46445</v>
      </c>
      <c r="Q2034" s="4">
        <f ca="1">_xlfn.IFNA(VLOOKUP(INDIRECT("G"&amp;ROW()),minfo!$A:$M,COLUMN()-8,0),"")</f>
        <v>2133</v>
      </c>
      <c r="R2034" s="4">
        <f ca="1">_xlfn.IFNA(VLOOKUP(INDIRECT("G"&amp;ROW()),minfo!$A:$M,COLUMN()-8,0),"")</f>
        <v>0</v>
      </c>
      <c r="S2034" s="4" t="str">
        <f ca="1">_xlfn.IFNA(VLOOKUP(INDIRECT("G"&amp;ROW()),minfo!$A:$M,COLUMN()-8,0),"")</f>
        <v>记念</v>
      </c>
      <c r="T2034" s="4">
        <f ca="1">_xlfn.IFNA(VLOOKUP(INDIRECT("G"&amp;ROW()),minfo!$A:$M,COLUMN()-8,0),"")</f>
        <v>182047718</v>
      </c>
      <c r="U2034" s="4">
        <f ca="1">_xlfn.IFNA(VLOOKUP(INDIRECT("G"&amp;ROW()),minfo!$A:$M,COLUMN()-8,0),"")</f>
        <v>0</v>
      </c>
    </row>
    <row r="2035" spans="1:21" ht="15.75" customHeight="1">
      <c r="A2035" s="15">
        <v>2034</v>
      </c>
      <c r="B2035" s="4" t="s">
        <v>5834</v>
      </c>
      <c r="D2035" s="4">
        <v>1</v>
      </c>
      <c r="E2035" s="4" t="s">
        <v>1229</v>
      </c>
      <c r="F2035" s="4" t="s">
        <v>5837</v>
      </c>
      <c r="G2035" s="4" t="s">
        <v>1228</v>
      </c>
      <c r="H2035" s="4" t="s">
        <v>5849</v>
      </c>
      <c r="I2035" s="24" t="str">
        <f>HYPERLINK("https://www.bilibili.com/video/BV1xb421v7Zz?p=1","BV1xb421v7Zz?p=1")</f>
        <v>BV1xb421v7Zz?p=1</v>
      </c>
      <c r="J2035" s="4" t="str">
        <f ca="1">_xlfn.IFNA(VLOOKUP(INDIRECT("G"&amp;ROW()),minfo!$A:$M,COLUMN()-8,0),"")</f>
        <v>昨日青空</v>
      </c>
      <c r="K2035" s="4" t="str">
        <f ca="1">_xlfn.IFNA(VLOOKUP(INDIRECT("G"&amp;ROW()),minfo!$A:$M,COLUMN()-8,0),"")</f>
        <v>尤长靖</v>
      </c>
      <c r="L2035" s="4">
        <f ca="1">_xlfn.IFNA(VLOOKUP(INDIRECT("G"&amp;ROW()),minfo!$A:$M,COLUMN()-8,0),"")</f>
        <v>0</v>
      </c>
      <c r="M2035" s="4">
        <f ca="1">_xlfn.IFNA(VLOOKUP(INDIRECT("G"&amp;ROW()),minfo!$A:$M,COLUMN()-8,0),"")</f>
        <v>0</v>
      </c>
      <c r="N2035" s="4">
        <f ca="1">_xlfn.IFNA(VLOOKUP(INDIRECT("G"&amp;ROW()),minfo!$A:$M,COLUMN()-8,0),"")</f>
        <v>0</v>
      </c>
      <c r="O2035" s="4" t="str">
        <f ca="1">_xlfn.IFNA(VLOOKUP(INDIRECT("G"&amp;ROW()),minfo!$A:$M,COLUMN()-8,0),"")</f>
        <v>https://i0.hdslb.com/bfs/station_src/music_metadata/abc73110210c595e7074ddc5a01dd754.jpg</v>
      </c>
      <c r="P2035" s="4" t="str">
        <f ca="1">_xlfn.IFNA(VLOOKUP(INDIRECT("G"&amp;ROW()),minfo!$A:$M,COLUMN()-8,0),"")</f>
        <v>http://i0.hdslb.com/bfs/station_src/music_metadata/042fb26c880b233a48dc106af6e82bca</v>
      </c>
      <c r="Q2035" s="4">
        <f ca="1">_xlfn.IFNA(VLOOKUP(INDIRECT("G"&amp;ROW()),minfo!$A:$M,COLUMN()-8,0),"")</f>
        <v>558</v>
      </c>
      <c r="R2035" s="4" t="str">
        <f ca="1">_xlfn.IFNA(VLOOKUP(INDIRECT("G"&amp;ROW()),minfo!$A:$M,COLUMN()-8,0),"")</f>
        <v>《昨日青空》电影同名青春主题曲</v>
      </c>
      <c r="S2035" s="4" t="str">
        <f ca="1">_xlfn.IFNA(VLOOKUP(INDIRECT("G"&amp;ROW()),minfo!$A:$M,COLUMN()-8,0),"")</f>
        <v>昨日青空</v>
      </c>
      <c r="T2035" s="4">
        <f ca="1">_xlfn.IFNA(VLOOKUP(INDIRECT("G"&amp;ROW()),minfo!$A:$M,COLUMN()-8,0),"")</f>
        <v>70470580</v>
      </c>
      <c r="U2035" s="4">
        <f ca="1">_xlfn.IFNA(VLOOKUP(INDIRECT("G"&amp;ROW()),minfo!$A:$M,COLUMN()-8,0),"")</f>
        <v>0</v>
      </c>
    </row>
    <row r="2036" spans="1:21" ht="15.75" customHeight="1">
      <c r="A2036" s="15">
        <v>2035</v>
      </c>
      <c r="B2036" s="4" t="s">
        <v>5788</v>
      </c>
      <c r="D2036" s="4">
        <v>1</v>
      </c>
      <c r="E2036" s="4" t="s">
        <v>50</v>
      </c>
      <c r="F2036" s="4" t="s">
        <v>5837</v>
      </c>
      <c r="G2036" s="4" t="s">
        <v>50</v>
      </c>
      <c r="H2036" s="4" t="s">
        <v>5850</v>
      </c>
      <c r="I2036" s="24" t="str">
        <f>HYPERLINK("https://www.bilibili.com/video/BV12J4m1g7k7?p=1","BV12J4m1g7k7?p=1")</f>
        <v>BV12J4m1g7k7?p=1</v>
      </c>
      <c r="J2036" s="4" t="str">
        <f ca="1">_xlfn.IFNA(VLOOKUP(INDIRECT("G"&amp;ROW()),minfo!$A:$M,COLUMN()-8,0),"")</f>
        <v>岁岁朝朝</v>
      </c>
      <c r="K2036" s="4" t="str">
        <f ca="1">_xlfn.IFNA(VLOOKUP(INDIRECT("G"&amp;ROW()),minfo!$A:$M,COLUMN()-8,0),"")</f>
        <v>说说Crystal</v>
      </c>
      <c r="L2036" s="4" t="str">
        <f ca="1">_xlfn.IFNA(VLOOKUP(INDIRECT("G"&amp;ROW()),minfo!$A:$M,COLUMN()-8,0),"")</f>
        <v>BV1Su4m1N7QS</v>
      </c>
      <c r="M2036" s="4">
        <f ca="1">_xlfn.IFNA(VLOOKUP(INDIRECT("G"&amp;ROW()),minfo!$A:$M,COLUMN()-8,0),"")</f>
        <v>0</v>
      </c>
      <c r="N2036" s="4">
        <f ca="1">_xlfn.IFNA(VLOOKUP(INDIRECT("G"&amp;ROW()),minfo!$A:$M,COLUMN()-8,0),"")</f>
        <v>0</v>
      </c>
      <c r="O2036" s="4">
        <f ca="1">_xlfn.IFNA(VLOOKUP(INDIRECT("G"&amp;ROW()),minfo!$A:$M,COLUMN()-8,0),"")</f>
        <v>0</v>
      </c>
      <c r="P2036" s="4">
        <f ca="1">_xlfn.IFNA(VLOOKUP(INDIRECT("G"&amp;ROW()),minfo!$A:$M,COLUMN()-8,0),"")</f>
        <v>0</v>
      </c>
      <c r="Q2036" s="4">
        <f ca="1">_xlfn.IFNA(VLOOKUP(INDIRECT("G"&amp;ROW()),minfo!$A:$M,COLUMN()-8,0),"")</f>
        <v>0</v>
      </c>
      <c r="R2036" s="4">
        <f ca="1">_xlfn.IFNA(VLOOKUP(INDIRECT("G"&amp;ROW()),minfo!$A:$M,COLUMN()-8,0),"")</f>
        <v>0</v>
      </c>
      <c r="S2036" s="4">
        <f ca="1">_xlfn.IFNA(VLOOKUP(INDIRECT("G"&amp;ROW()),minfo!$A:$M,COLUMN()-8,0),"")</f>
        <v>0</v>
      </c>
      <c r="T2036" s="4">
        <f ca="1">_xlfn.IFNA(VLOOKUP(INDIRECT("G"&amp;ROW()),minfo!$A:$M,COLUMN()-8,0),"")</f>
        <v>0</v>
      </c>
      <c r="U2036" s="4">
        <f ca="1">_xlfn.IFNA(VLOOKUP(INDIRECT("G"&amp;ROW()),minfo!$A:$M,COLUMN()-8,0),"")</f>
        <v>0</v>
      </c>
    </row>
    <row r="2037" spans="1:21" ht="15.75" customHeight="1">
      <c r="A2037" s="15">
        <v>2036</v>
      </c>
      <c r="B2037" s="4" t="s">
        <v>5851</v>
      </c>
      <c r="D2037" s="4">
        <v>1</v>
      </c>
      <c r="E2037" s="4" t="s">
        <v>2599</v>
      </c>
      <c r="F2037" s="4" t="s">
        <v>5837</v>
      </c>
      <c r="G2037" s="4" t="s">
        <v>2598</v>
      </c>
      <c r="H2037" s="4" t="s">
        <v>5852</v>
      </c>
      <c r="I2037" s="24" t="str">
        <f>HYPERLINK("https://www.bilibili.com/video/BV1Js421T7qW?p=1","BV1Js421T7qW?p=1")</f>
        <v>BV1Js421T7qW?p=1</v>
      </c>
      <c r="J2037" s="4" t="str">
        <f ca="1">_xlfn.IFNA(VLOOKUP(INDIRECT("G"&amp;ROW()),minfo!$A:$M,COLUMN()-8,0),"")</f>
        <v>小时候</v>
      </c>
      <c r="K2037" s="4" t="str">
        <f ca="1">_xlfn.IFNA(VLOOKUP(INDIRECT("G"&amp;ROW()),minfo!$A:$M,COLUMN()-8,0),"")</f>
        <v>黄晓明</v>
      </c>
      <c r="L2037" s="4">
        <f ca="1">_xlfn.IFNA(VLOOKUP(INDIRECT("G"&amp;ROW()),minfo!$A:$M,COLUMN()-8,0),"")</f>
        <v>0</v>
      </c>
      <c r="M2037" s="4">
        <f ca="1">_xlfn.IFNA(VLOOKUP(INDIRECT("G"&amp;ROW()),minfo!$A:$M,COLUMN()-8,0),"")</f>
        <v>0</v>
      </c>
      <c r="N2037" s="4">
        <f ca="1">_xlfn.IFNA(VLOOKUP(INDIRECT("G"&amp;ROW()),minfo!$A:$M,COLUMN()-8,0),"")</f>
        <v>0</v>
      </c>
      <c r="O2037" s="4" t="str">
        <f ca="1">_xlfn.IFNA(VLOOKUP(INDIRECT("G"&amp;ROW()),minfo!$A:$M,COLUMN()-8,0),"")</f>
        <v>https://i0.hdslb.com/bfs/station_src/music_metadata/f689066d83e1cfa3c0fca83925d4aa23.jpg</v>
      </c>
      <c r="P2037" s="4" t="str">
        <f ca="1">_xlfn.IFNA(VLOOKUP(INDIRECT("G"&amp;ROW()),minfo!$A:$M,COLUMN()-8,0),"")</f>
        <v>https://i0.hdslb.com/bfs/station_src/music_metadata/3d81746cb471a4e6f324aa92573fa356.txt</v>
      </c>
      <c r="Q2037" s="4">
        <f ca="1">_xlfn.IFNA(VLOOKUP(INDIRECT("G"&amp;ROW()),minfo!$A:$M,COLUMN()-8,0),"")</f>
        <v>1</v>
      </c>
      <c r="R2037" s="4">
        <f ca="1">_xlfn.IFNA(VLOOKUP(INDIRECT("G"&amp;ROW()),minfo!$A:$M,COLUMN()-8,0),"")</f>
        <v>0</v>
      </c>
      <c r="S2037" s="4" t="str">
        <f ca="1">_xlfn.IFNA(VLOOKUP(INDIRECT("G"&amp;ROW()),minfo!$A:$M,COLUMN()-8,0),"")</f>
        <v>2016湖南卫视小年夜春晚</v>
      </c>
      <c r="T2037" s="4">
        <f ca="1">_xlfn.IFNA(VLOOKUP(INDIRECT("G"&amp;ROW()),minfo!$A:$M,COLUMN()-8,0),"")</f>
        <v>1921450</v>
      </c>
      <c r="U2037" s="4">
        <f ca="1">_xlfn.IFNA(VLOOKUP(INDIRECT("G"&amp;ROW()),minfo!$A:$M,COLUMN()-8,0),"")</f>
        <v>0</v>
      </c>
    </row>
    <row r="2038" spans="1:21" ht="15.75" customHeight="1">
      <c r="A2038" s="15">
        <v>2037</v>
      </c>
      <c r="B2038" s="4" t="s">
        <v>5816</v>
      </c>
      <c r="D2038" s="4">
        <v>1</v>
      </c>
      <c r="E2038" s="4" t="s">
        <v>1107</v>
      </c>
      <c r="F2038" s="4" t="s">
        <v>5837</v>
      </c>
      <c r="G2038" s="4" t="s">
        <v>1106</v>
      </c>
      <c r="H2038" s="4" t="s">
        <v>5853</v>
      </c>
      <c r="I2038" s="24" t="str">
        <f>HYPERLINK("https://www.bilibili.com/video/BV1im421L73s?p=1","BV1im421L73s?p=1")</f>
        <v>BV1im421L73s?p=1</v>
      </c>
      <c r="J2038" s="4" t="str">
        <f ca="1">_xlfn.IFNA(VLOOKUP(INDIRECT("G"&amp;ROW()),minfo!$A:$M,COLUMN()-8,0),"")</f>
        <v>那些你很冒险的梦</v>
      </c>
      <c r="K2038" s="4" t="str">
        <f ca="1">_xlfn.IFNA(VLOOKUP(INDIRECT("G"&amp;ROW()),minfo!$A:$M,COLUMN()-8,0),"")</f>
        <v>林俊杰</v>
      </c>
      <c r="L2038" s="4">
        <f ca="1">_xlfn.IFNA(VLOOKUP(INDIRECT("G"&amp;ROW()),minfo!$A:$M,COLUMN()-8,0),"")</f>
        <v>0</v>
      </c>
      <c r="M2038" s="4">
        <f ca="1">_xlfn.IFNA(VLOOKUP(INDIRECT("G"&amp;ROW()),minfo!$A:$M,COLUMN()-8,0),"")</f>
        <v>0</v>
      </c>
      <c r="N2038" s="4">
        <f ca="1">_xlfn.IFNA(VLOOKUP(INDIRECT("G"&amp;ROW()),minfo!$A:$M,COLUMN()-8,0),"")</f>
        <v>0</v>
      </c>
      <c r="O2038" s="4" t="str">
        <f ca="1">_xlfn.IFNA(VLOOKUP(INDIRECT("G"&amp;ROW()),minfo!$A:$M,COLUMN()-8,0),"")</f>
        <v>https://i0.hdslb.com/bfs/station_src/music_metadata/06f970ae00e00f724e3ce8b49b192dcc.jpg</v>
      </c>
      <c r="P2038" s="4" t="str">
        <f ca="1">_xlfn.IFNA(VLOOKUP(INDIRECT("G"&amp;ROW()),minfo!$A:$M,COLUMN()-8,0),"")</f>
        <v>http://i0.hdslb.com/bfs/station_src/music_metadata/7d9fd351995e1af5aa9ec35eed740caa</v>
      </c>
      <c r="Q2038" s="4">
        <f ca="1">_xlfn.IFNA(VLOOKUP(INDIRECT("G"&amp;ROW()),minfo!$A:$M,COLUMN()-8,0),"")</f>
        <v>412</v>
      </c>
      <c r="R2038" s="4">
        <f ca="1">_xlfn.IFNA(VLOOKUP(INDIRECT("G"&amp;ROW()),minfo!$A:$M,COLUMN()-8,0),"")</f>
        <v>0</v>
      </c>
      <c r="S2038" s="4" t="str">
        <f ca="1">_xlfn.IFNA(VLOOKUP(INDIRECT("G"&amp;ROW()),minfo!$A:$M,COLUMN()-8,0),"")</f>
        <v>学不会</v>
      </c>
      <c r="T2038" s="4">
        <f ca="1">_xlfn.IFNA(VLOOKUP(INDIRECT("G"&amp;ROW()),minfo!$A:$M,COLUMN()-8,0),"")</f>
        <v>192890831</v>
      </c>
      <c r="U2038" s="4">
        <f ca="1">_xlfn.IFNA(VLOOKUP(INDIRECT("G"&amp;ROW()),minfo!$A:$M,COLUMN()-8,0),"")</f>
        <v>0</v>
      </c>
    </row>
    <row r="2039" spans="1:21" ht="15.75" customHeight="1">
      <c r="A2039" s="15">
        <v>2038</v>
      </c>
      <c r="B2039" s="4" t="s">
        <v>5854</v>
      </c>
      <c r="D2039" s="4">
        <v>1</v>
      </c>
      <c r="E2039" s="4" t="s">
        <v>625</v>
      </c>
      <c r="F2039" s="4" t="s">
        <v>5837</v>
      </c>
      <c r="G2039" s="4" t="s">
        <v>624</v>
      </c>
      <c r="H2039" s="4" t="s">
        <v>5855</v>
      </c>
      <c r="I2039" s="24" t="str">
        <f>HYPERLINK("https://www.bilibili.com/video/BV1Vz421b7EG?p=1","BV1Vz421b7EG?p=1")</f>
        <v>BV1Vz421b7EG?p=1</v>
      </c>
      <c r="J2039" s="4" t="str">
        <f ca="1">_xlfn.IFNA(VLOOKUP(INDIRECT("G"&amp;ROW()),minfo!$A:$M,COLUMN()-8,0),"")</f>
        <v>起风了</v>
      </c>
      <c r="K2039" s="4" t="str">
        <f ca="1">_xlfn.IFNA(VLOOKUP(INDIRECT("G"&amp;ROW()),minfo!$A:$M,COLUMN()-8,0),"")</f>
        <v>买辣椒也用券</v>
      </c>
      <c r="L2039" s="4">
        <f ca="1">_xlfn.IFNA(VLOOKUP(INDIRECT("G"&amp;ROW()),minfo!$A:$M,COLUMN()-8,0),"")</f>
        <v>0</v>
      </c>
      <c r="M2039" s="4">
        <f ca="1">_xlfn.IFNA(VLOOKUP(INDIRECT("G"&amp;ROW()),minfo!$A:$M,COLUMN()-8,0),"")</f>
        <v>0</v>
      </c>
      <c r="N2039" s="4">
        <f ca="1">_xlfn.IFNA(VLOOKUP(INDIRECT("G"&amp;ROW()),minfo!$A:$M,COLUMN()-8,0),"")</f>
        <v>0</v>
      </c>
      <c r="O2039" s="4" t="str">
        <f ca="1">_xlfn.IFNA(VLOOKUP(INDIRECT("G"&amp;ROW()),minfo!$A:$M,COLUMN()-8,0),"")</f>
        <v>http://i0.hdslb.com/bfs/station_src/music_metadata/4341df7b05060da3fa257852d02fd62e.jpg</v>
      </c>
      <c r="P2039" s="4" t="str">
        <f ca="1">_xlfn.IFNA(VLOOKUP(INDIRECT("G"&amp;ROW()),minfo!$A:$M,COLUMN()-8,0),"")</f>
        <v>http://i0.hdslb.com/bfs/station_src/music_metadata/1575d5c9be369d87a8c2c118c3176b49</v>
      </c>
      <c r="Q2039" s="4">
        <f ca="1">_xlfn.IFNA(VLOOKUP(INDIRECT("G"&amp;ROW()),minfo!$A:$M,COLUMN()-8,0),"")</f>
        <v>24523</v>
      </c>
      <c r="R2039" s="4" t="str">
        <f ca="1">_xlfn.IFNA(VLOOKUP(INDIRECT("G"&amp;ROW()),minfo!$A:$M,COLUMN()-8,0),"")</f>
        <v>原曲：《ヤキモチ》—高桥优</v>
      </c>
      <c r="S2039" s="4" t="str">
        <f ca="1">_xlfn.IFNA(VLOOKUP(INDIRECT("G"&amp;ROW()),minfo!$A:$M,COLUMN()-8,0),"")</f>
        <v xml:space="preserve"> 起风了 (旧版)</v>
      </c>
      <c r="T2039" s="4">
        <f ca="1">_xlfn.IFNA(VLOOKUP(INDIRECT("G"&amp;ROW()),minfo!$A:$M,COLUMN()-8,0),"")</f>
        <v>7050600351</v>
      </c>
      <c r="U2039" s="4" t="str">
        <f ca="1">_xlfn.IFNA(VLOOKUP(INDIRECT("G"&amp;ROW()),minfo!$A:$M,COLUMN()-8,0),"")</f>
        <v>音乐榜最高NO.6</v>
      </c>
    </row>
    <row r="2040" spans="1:21" ht="15.75" customHeight="1">
      <c r="A2040" s="15">
        <v>2039</v>
      </c>
      <c r="B2040" s="4" t="s">
        <v>5856</v>
      </c>
      <c r="D2040" s="4">
        <v>1</v>
      </c>
      <c r="E2040" s="4" t="s">
        <v>1239</v>
      </c>
      <c r="F2040" s="4" t="s">
        <v>5837</v>
      </c>
      <c r="G2040" s="4" t="s">
        <v>1238</v>
      </c>
      <c r="H2040" s="4" t="s">
        <v>5857</v>
      </c>
      <c r="I2040" s="24" t="str">
        <f>HYPERLINK("https://www.bilibili.com/video/BV13f421Q7Nr?p=1","BV13f421Q7Nr?p=1")</f>
        <v>BV13f421Q7Nr?p=1</v>
      </c>
      <c r="J2040" s="4" t="str">
        <f ca="1">_xlfn.IFNA(VLOOKUP(INDIRECT("G"&amp;ROW()),minfo!$A:$M,COLUMN()-8,0),"")</f>
        <v>送别</v>
      </c>
      <c r="K2040" s="4" t="str">
        <f ca="1">_xlfn.IFNA(VLOOKUP(INDIRECT("G"&amp;ROW()),minfo!$A:$M,COLUMN()-8,0),"")</f>
        <v>朴树</v>
      </c>
      <c r="L2040" s="4">
        <f ca="1">_xlfn.IFNA(VLOOKUP(INDIRECT("G"&amp;ROW()),minfo!$A:$M,COLUMN()-8,0),"")</f>
        <v>0</v>
      </c>
      <c r="M2040" s="4">
        <f ca="1">_xlfn.IFNA(VLOOKUP(INDIRECT("G"&amp;ROW()),minfo!$A:$M,COLUMN()-8,0),"")</f>
        <v>0</v>
      </c>
      <c r="N2040" s="4">
        <f ca="1">_xlfn.IFNA(VLOOKUP(INDIRECT("G"&amp;ROW()),minfo!$A:$M,COLUMN()-8,0),"")</f>
        <v>0</v>
      </c>
      <c r="O2040" s="4" t="str">
        <f ca="1">_xlfn.IFNA(VLOOKUP(INDIRECT("G"&amp;ROW()),minfo!$A:$M,COLUMN()-8,0),"")</f>
        <v>http://i0.hdslb.com/bfs/station_src/music_metadata/c59827a603bb0fb5d6d4fed3e2015a67.jpg</v>
      </c>
      <c r="P2040" s="4" t="str">
        <f ca="1">_xlfn.IFNA(VLOOKUP(INDIRECT("G"&amp;ROW()),minfo!$A:$M,COLUMN()-8,0),"")</f>
        <v>http://i0.hdslb.com/bfs/station_src/music_metadata/b6ba15c1261164c0727a4cb1519182ad</v>
      </c>
      <c r="Q2040" s="4">
        <f ca="1">_xlfn.IFNA(VLOOKUP(INDIRECT("G"&amp;ROW()),minfo!$A:$M,COLUMN()-8,0),"")</f>
        <v>1014</v>
      </c>
      <c r="R2040" s="4" t="str">
        <f ca="1">_xlfn.IFNA(VLOOKUP(INDIRECT("G"&amp;ROW()),minfo!$A:$M,COLUMN()-8,0),"")</f>
        <v>《厨子戏子痞子》电影片尾曲</v>
      </c>
      <c r="S2040" s="4" t="str">
        <f ca="1">_xlfn.IFNA(VLOOKUP(INDIRECT("G"&amp;ROW()),minfo!$A:$M,COLUMN()-8,0),"")</f>
        <v>送别</v>
      </c>
      <c r="T2040" s="4">
        <f ca="1">_xlfn.IFNA(VLOOKUP(INDIRECT("G"&amp;ROW()),minfo!$A:$M,COLUMN()-8,0),"")</f>
        <v>263295360</v>
      </c>
      <c r="U2040" s="4">
        <f ca="1">_xlfn.IFNA(VLOOKUP(INDIRECT("G"&amp;ROW()),minfo!$A:$M,COLUMN()-8,0),"")</f>
        <v>0</v>
      </c>
    </row>
    <row r="2041" spans="1:21" ht="15.75" customHeight="1">
      <c r="A2041" s="15">
        <v>2040</v>
      </c>
      <c r="B2041" s="4" t="s">
        <v>5748</v>
      </c>
      <c r="D2041" s="4">
        <v>1</v>
      </c>
      <c r="E2041" s="4" t="s">
        <v>3209</v>
      </c>
      <c r="F2041" s="4" t="s">
        <v>5858</v>
      </c>
      <c r="G2041" s="4" t="s">
        <v>3208</v>
      </c>
      <c r="H2041" s="4" t="s">
        <v>5859</v>
      </c>
      <c r="I2041" s="24" t="str">
        <f>HYPERLINK("https://www.bilibili.com/video/BV1GM4m1S72g?p=1","BV1GM4m1S72g?p=1")</f>
        <v>BV1GM4m1S72g?p=1</v>
      </c>
      <c r="J2041" s="4" t="str">
        <f ca="1">_xlfn.IFNA(VLOOKUP(INDIRECT("G"&amp;ROW()),minfo!$A:$M,COLUMN()-8,0),"")</f>
        <v>小美满</v>
      </c>
      <c r="K2041" s="4" t="str">
        <f ca="1">_xlfn.IFNA(VLOOKUP(INDIRECT("G"&amp;ROW()),minfo!$A:$M,COLUMN()-8,0),"")</f>
        <v>周深</v>
      </c>
      <c r="L2041" s="4">
        <f ca="1">_xlfn.IFNA(VLOOKUP(INDIRECT("G"&amp;ROW()),minfo!$A:$M,COLUMN()-8,0),"")</f>
        <v>1950384180</v>
      </c>
      <c r="M2041" s="4">
        <f ca="1">_xlfn.IFNA(VLOOKUP(INDIRECT("G"&amp;ROW()),minfo!$A:$M,COLUMN()-8,0),"")</f>
        <v>1431686049</v>
      </c>
      <c r="N2041" s="4" t="str">
        <f ca="1">_xlfn.IFNA(VLOOKUP(INDIRECT("G"&amp;ROW()),minfo!$A:$M,COLUMN()-8,0),"")</f>
        <v>BV1ZC411x7Ky</v>
      </c>
      <c r="O2041" s="4" t="str">
        <f ca="1">_xlfn.IFNA(VLOOKUP(INDIRECT("G"&amp;ROW()),minfo!$A:$M,COLUMN()-8,0),"")</f>
        <v>https://i0.hdslb.com/bfs/station_src/music_metadata/21b82b115506a9a9cea7aa1eb481c598.jpg</v>
      </c>
      <c r="P2041" s="4" t="str">
        <f ca="1">_xlfn.IFNA(VLOOKUP(INDIRECT("G"&amp;ROW()),minfo!$A:$M,COLUMN()-8,0),"")</f>
        <v>https://i0.hdslb.com/bfs/station_src/music_metadata/a9b34f18851621ce7c2a74133efa4171.txt</v>
      </c>
      <c r="Q2041" s="4">
        <f ca="1">_xlfn.IFNA(VLOOKUP(INDIRECT("G"&amp;ROW()),minfo!$A:$M,COLUMN()-8,0),"")</f>
        <v>733</v>
      </c>
      <c r="R2041" s="4" t="str">
        <f ca="1">_xlfn.IFNA(VLOOKUP(INDIRECT("G"&amp;ROW()),minfo!$A:$M,COLUMN()-8,0),"")</f>
        <v>《热辣滚烫》电影热辣陪伴曲</v>
      </c>
      <c r="S2041" s="4" t="str">
        <f ca="1">_xlfn.IFNA(VLOOKUP(INDIRECT("G"&amp;ROW()),minfo!$A:$M,COLUMN()-8,0),"")</f>
        <v>小美满</v>
      </c>
      <c r="T2041" s="4">
        <f ca="1">_xlfn.IFNA(VLOOKUP(INDIRECT("G"&amp;ROW()),minfo!$A:$M,COLUMN()-8,0),"")</f>
        <v>147169382</v>
      </c>
      <c r="U2041" s="4" t="str">
        <f ca="1">_xlfn.IFNA(VLOOKUP(INDIRECT("G"&amp;ROW()),minfo!$A:$M,COLUMN()-8,0),"")</f>
        <v>音乐榜最高NO.2</v>
      </c>
    </row>
    <row r="2042" spans="1:21" ht="15.75" customHeight="1">
      <c r="A2042" s="15">
        <v>2041</v>
      </c>
      <c r="B2042" s="4" t="s">
        <v>5860</v>
      </c>
      <c r="D2042" s="4">
        <v>1</v>
      </c>
      <c r="E2042" s="4" t="s">
        <v>1143</v>
      </c>
      <c r="F2042" s="4" t="s">
        <v>5858</v>
      </c>
      <c r="G2042" s="4" t="s">
        <v>1142</v>
      </c>
      <c r="H2042" s="4" t="s">
        <v>5861</v>
      </c>
      <c r="I2042" s="24" t="str">
        <f>HYPERLINK("https://www.bilibili.com/video/BV1gf421Q7Qi?p=1","BV1gf421Q7Qi?p=1")</f>
        <v>BV1gf421Q7Qi?p=1</v>
      </c>
      <c r="J2042" s="4" t="str">
        <f ca="1">_xlfn.IFNA(VLOOKUP(INDIRECT("G"&amp;ROW()),minfo!$A:$M,COLUMN()-8,0),"")</f>
        <v>稻香</v>
      </c>
      <c r="K2042" s="4" t="str">
        <f ca="1">_xlfn.IFNA(VLOOKUP(INDIRECT("G"&amp;ROW()),minfo!$A:$M,COLUMN()-8,0),"")</f>
        <v>周杰伦</v>
      </c>
      <c r="L2042" s="4">
        <f ca="1">_xlfn.IFNA(VLOOKUP(INDIRECT("G"&amp;ROW()),minfo!$A:$M,COLUMN()-8,0),"")</f>
        <v>0</v>
      </c>
      <c r="M2042" s="4">
        <f ca="1">_xlfn.IFNA(VLOOKUP(INDIRECT("G"&amp;ROW()),minfo!$A:$M,COLUMN()-8,0),"")</f>
        <v>82980</v>
      </c>
      <c r="N2042" s="4">
        <f ca="1">_xlfn.IFNA(VLOOKUP(INDIRECT("G"&amp;ROW()),minfo!$A:$M,COLUMN()-8,0),"")</f>
        <v>5843</v>
      </c>
      <c r="O2042" s="4" t="str">
        <f ca="1">_xlfn.IFNA(VLOOKUP(INDIRECT("G"&amp;ROW()),minfo!$A:$M,COLUMN()-8,0),"")</f>
        <v>https://i0.hdslb.com/bfs/station_src/music_metadata/957f8ba4e202e519f64cdd61268ee24d.jpg</v>
      </c>
      <c r="P2042" s="4">
        <f ca="1">_xlfn.IFNA(VLOOKUP(INDIRECT("G"&amp;ROW()),minfo!$A:$M,COLUMN()-8,0),"")</f>
        <v>0</v>
      </c>
      <c r="Q2042" s="4">
        <f ca="1">_xlfn.IFNA(VLOOKUP(INDIRECT("G"&amp;ROW()),minfo!$A:$M,COLUMN()-8,0),"")</f>
        <v>7881</v>
      </c>
      <c r="R2042" s="4">
        <f ca="1">_xlfn.IFNA(VLOOKUP(INDIRECT("G"&amp;ROW()),minfo!$A:$M,COLUMN()-8,0),"")</f>
        <v>0</v>
      </c>
      <c r="S2042" s="4" t="str">
        <f ca="1">_xlfn.IFNA(VLOOKUP(INDIRECT("G"&amp;ROW()),minfo!$A:$M,COLUMN()-8,0),"")</f>
        <v>魔杰座</v>
      </c>
      <c r="T2042" s="4">
        <f ca="1">_xlfn.IFNA(VLOOKUP(INDIRECT("G"&amp;ROW()),minfo!$A:$M,COLUMN()-8,0),"")</f>
        <v>2525440964</v>
      </c>
      <c r="U2042" s="4" t="str">
        <f ca="1">_xlfn.IFNA(VLOOKUP(INDIRECT("G"&amp;ROW()),minfo!$A:$M,COLUMN()-8,0),"")</f>
        <v>音乐榜最高NO.6</v>
      </c>
    </row>
    <row r="2043" spans="1:21" ht="15.75" customHeight="1">
      <c r="A2043" s="15">
        <v>2042</v>
      </c>
      <c r="B2043" s="4" t="s">
        <v>5862</v>
      </c>
      <c r="D2043" s="4">
        <v>1</v>
      </c>
      <c r="E2043" s="4" t="s">
        <v>1415</v>
      </c>
      <c r="F2043" s="4" t="s">
        <v>5858</v>
      </c>
      <c r="G2043" s="4" t="s">
        <v>1414</v>
      </c>
      <c r="H2043" s="4" t="s">
        <v>5863</v>
      </c>
      <c r="I2043" s="24" t="str">
        <f>HYPERLINK("https://www.bilibili.com/video/BV1Gx4y1b7cb?p=1","BV1Gx4y1b7cb?p=1")</f>
        <v>BV1Gx4y1b7cb?p=1</v>
      </c>
      <c r="J2043" s="4" t="str">
        <f ca="1">_xlfn.IFNA(VLOOKUP(INDIRECT("G"&amp;ROW()),minfo!$A:$M,COLUMN()-8,0),"")</f>
        <v>二十二</v>
      </c>
      <c r="K2043" s="4" t="str">
        <f ca="1">_xlfn.IFNA(VLOOKUP(INDIRECT("G"&amp;ROW()),minfo!$A:$M,COLUMN()-8,0),"")</f>
        <v>陶喆</v>
      </c>
      <c r="L2043" s="4">
        <f ca="1">_xlfn.IFNA(VLOOKUP(INDIRECT("G"&amp;ROW()),minfo!$A:$M,COLUMN()-8,0),"")</f>
        <v>0</v>
      </c>
      <c r="M2043" s="4">
        <f ca="1">_xlfn.IFNA(VLOOKUP(INDIRECT("G"&amp;ROW()),minfo!$A:$M,COLUMN()-8,0),"")</f>
        <v>0</v>
      </c>
      <c r="N2043" s="4">
        <f ca="1">_xlfn.IFNA(VLOOKUP(INDIRECT("G"&amp;ROW()),minfo!$A:$M,COLUMN()-8,0),"")</f>
        <v>0</v>
      </c>
      <c r="O2043" s="4" t="str">
        <f ca="1">_xlfn.IFNA(VLOOKUP(INDIRECT("G"&amp;ROW()),minfo!$A:$M,COLUMN()-8,0),"")</f>
        <v>http://i0.hdslb.com/bfs/station_src/music_metadata/e89d0b6bb51b52049a17aa607ecd7e8d.jpg</v>
      </c>
      <c r="P2043" s="4" t="str">
        <f ca="1">_xlfn.IFNA(VLOOKUP(INDIRECT("G"&amp;ROW()),minfo!$A:$M,COLUMN()-8,0),"")</f>
        <v>http://i0.hdslb.com/bfs/station_src/music_metadata/47f341ee2acc202b90520bd34837ebc4</v>
      </c>
      <c r="Q2043" s="4">
        <f ca="1">_xlfn.IFNA(VLOOKUP(INDIRECT("G"&amp;ROW()),minfo!$A:$M,COLUMN()-8,0),"")</f>
        <v>343</v>
      </c>
      <c r="R2043" s="4">
        <f ca="1">_xlfn.IFNA(VLOOKUP(INDIRECT("G"&amp;ROW()),minfo!$A:$M,COLUMN()-8,0),"")</f>
        <v>0</v>
      </c>
      <c r="S2043" s="4" t="str">
        <f ca="1">_xlfn.IFNA(VLOOKUP(INDIRECT("G"&amp;ROW()),minfo!$A:$M,COLUMN()-8,0),"")</f>
        <v>黑色柳丁</v>
      </c>
      <c r="T2043" s="4">
        <f ca="1">_xlfn.IFNA(VLOOKUP(INDIRECT("G"&amp;ROW()),minfo!$A:$M,COLUMN()-8,0),"")</f>
        <v>50077794</v>
      </c>
      <c r="U2043" s="4">
        <f ca="1">_xlfn.IFNA(VLOOKUP(INDIRECT("G"&amp;ROW()),minfo!$A:$M,COLUMN()-8,0),"")</f>
        <v>0</v>
      </c>
    </row>
    <row r="2044" spans="1:21" ht="15.75" customHeight="1">
      <c r="A2044" s="15">
        <v>2043</v>
      </c>
      <c r="B2044" s="4" t="s">
        <v>5864</v>
      </c>
      <c r="D2044" s="4">
        <v>1</v>
      </c>
      <c r="E2044" s="4" t="s">
        <v>909</v>
      </c>
      <c r="F2044" s="4" t="s">
        <v>5858</v>
      </c>
      <c r="G2044" s="4" t="s">
        <v>908</v>
      </c>
      <c r="H2044" s="4" t="s">
        <v>5865</v>
      </c>
      <c r="I2044" s="24" t="str">
        <f>HYPERLINK("https://www.bilibili.com/video/BV1ix4y1J7X5?p=1","BV1ix4y1J7X5?p=1")</f>
        <v>BV1ix4y1J7X5?p=1</v>
      </c>
      <c r="J2044" s="4" t="str">
        <f ca="1">_xlfn.IFNA(VLOOKUP(INDIRECT("G"&amp;ROW()),minfo!$A:$M,COLUMN()-8,0),"")</f>
        <v>再见深海</v>
      </c>
      <c r="K2044" s="4" t="str">
        <f ca="1">_xlfn.IFNA(VLOOKUP(INDIRECT("G"&amp;ROW()),minfo!$A:$M,COLUMN()-8,0),"")</f>
        <v>唐汉霄</v>
      </c>
      <c r="L2044" s="4">
        <f ca="1">_xlfn.IFNA(VLOOKUP(INDIRECT("G"&amp;ROW()),minfo!$A:$M,COLUMN()-8,0),"")</f>
        <v>0</v>
      </c>
      <c r="M2044" s="4">
        <f ca="1">_xlfn.IFNA(VLOOKUP(INDIRECT("G"&amp;ROW()),minfo!$A:$M,COLUMN()-8,0),"")</f>
        <v>36024</v>
      </c>
      <c r="N2044" s="4">
        <f ca="1">_xlfn.IFNA(VLOOKUP(INDIRECT("G"&amp;ROW()),minfo!$A:$M,COLUMN()-8,0),"")</f>
        <v>5360</v>
      </c>
      <c r="O2044" s="4" t="str">
        <f ca="1">_xlfn.IFNA(VLOOKUP(INDIRECT("G"&amp;ROW()),minfo!$A:$M,COLUMN()-8,0),"")</f>
        <v>http://i0.hdslb.com/bfs/station_src/music_metadata/125614d52d7873a21f10529ee87cc3dd.jpg</v>
      </c>
      <c r="P2044" s="4">
        <f ca="1">_xlfn.IFNA(VLOOKUP(INDIRECT("G"&amp;ROW()),minfo!$A:$M,COLUMN()-8,0),"")</f>
        <v>0</v>
      </c>
      <c r="Q2044" s="4">
        <f ca="1">_xlfn.IFNA(VLOOKUP(INDIRECT("G"&amp;ROW()),minfo!$A:$M,COLUMN()-8,0),"")</f>
        <v>1337</v>
      </c>
      <c r="R2044" s="4">
        <f ca="1">_xlfn.IFNA(VLOOKUP(INDIRECT("G"&amp;ROW()),minfo!$A:$M,COLUMN()-8,0),"")</f>
        <v>0</v>
      </c>
      <c r="S2044" s="4" t="str">
        <f ca="1">_xlfn.IFNA(VLOOKUP(INDIRECT("G"&amp;ROW()),minfo!$A:$M,COLUMN()-8,0),"")</f>
        <v>再见深海(微亮的瞬间)</v>
      </c>
      <c r="T2044" s="4">
        <f ca="1">_xlfn.IFNA(VLOOKUP(INDIRECT("G"&amp;ROW()),minfo!$A:$M,COLUMN()-8,0),"")</f>
        <v>106771637</v>
      </c>
      <c r="U2044" s="4" t="str">
        <f ca="1">_xlfn.IFNA(VLOOKUP(INDIRECT("G"&amp;ROW()),minfo!$A:$M,COLUMN()-8,0),"")</f>
        <v>音乐榜最高NO.18</v>
      </c>
    </row>
    <row r="2045" spans="1:21" ht="15.75" customHeight="1">
      <c r="A2045" s="15">
        <v>2044</v>
      </c>
      <c r="B2045" s="4" t="s">
        <v>5847</v>
      </c>
      <c r="D2045" s="4">
        <v>1</v>
      </c>
      <c r="E2045" s="4" t="s">
        <v>1216</v>
      </c>
      <c r="F2045" s="4" t="s">
        <v>5866</v>
      </c>
      <c r="G2045" s="4" t="s">
        <v>2543</v>
      </c>
      <c r="H2045" s="4" t="s">
        <v>5867</v>
      </c>
      <c r="I2045" s="24" t="str">
        <f>HYPERLINK("https://www.bilibili.com/video/BV1CZ421p7ES?p=1","BV1CZ421p7ES?p=1")</f>
        <v>BV1CZ421p7ES?p=1</v>
      </c>
      <c r="J2045" s="4" t="str">
        <f ca="1">_xlfn.IFNA(VLOOKUP(INDIRECT("G"&amp;ROW()),minfo!$A:$M,COLUMN()-8,0),"")</f>
        <v>记念</v>
      </c>
      <c r="K2045" s="4" t="str">
        <f ca="1">_xlfn.IFNA(VLOOKUP(INDIRECT("G"&amp;ROW()),minfo!$A:$M,COLUMN()-8,0),"")</f>
        <v>雷雨心</v>
      </c>
      <c r="L2045" s="4">
        <f ca="1">_xlfn.IFNA(VLOOKUP(INDIRECT("G"&amp;ROW()),minfo!$A:$M,COLUMN()-8,0),"")</f>
        <v>0</v>
      </c>
      <c r="M2045" s="4">
        <f ca="1">_xlfn.IFNA(VLOOKUP(INDIRECT("G"&amp;ROW()),minfo!$A:$M,COLUMN()-8,0),"")</f>
        <v>0</v>
      </c>
      <c r="N2045" s="4">
        <f ca="1">_xlfn.IFNA(VLOOKUP(INDIRECT("G"&amp;ROW()),minfo!$A:$M,COLUMN()-8,0),"")</f>
        <v>0</v>
      </c>
      <c r="O2045" s="4" t="str">
        <f ca="1">_xlfn.IFNA(VLOOKUP(INDIRECT("G"&amp;ROW()),minfo!$A:$M,COLUMN()-8,0),"")</f>
        <v>https://i0.hdslb.com/bfs/station_src/music_metadata/df461555388d556675705b1e413e876d.jpg</v>
      </c>
      <c r="P2045" s="4" t="str">
        <f ca="1">_xlfn.IFNA(VLOOKUP(INDIRECT("G"&amp;ROW()),minfo!$A:$M,COLUMN()-8,0),"")</f>
        <v>http://i0.hdslb.com/bfs/station_src/music_metadata/aad0c256d8916e3d3a7c730320b46445</v>
      </c>
      <c r="Q2045" s="4">
        <f ca="1">_xlfn.IFNA(VLOOKUP(INDIRECT("G"&amp;ROW()),minfo!$A:$M,COLUMN()-8,0),"")</f>
        <v>2133</v>
      </c>
      <c r="R2045" s="4">
        <f ca="1">_xlfn.IFNA(VLOOKUP(INDIRECT("G"&amp;ROW()),minfo!$A:$M,COLUMN()-8,0),"")</f>
        <v>0</v>
      </c>
      <c r="S2045" s="4" t="str">
        <f ca="1">_xlfn.IFNA(VLOOKUP(INDIRECT("G"&amp;ROW()),minfo!$A:$M,COLUMN()-8,0),"")</f>
        <v>记念</v>
      </c>
      <c r="T2045" s="4">
        <f ca="1">_xlfn.IFNA(VLOOKUP(INDIRECT("G"&amp;ROW()),minfo!$A:$M,COLUMN()-8,0),"")</f>
        <v>182047718</v>
      </c>
      <c r="U2045" s="4">
        <f ca="1">_xlfn.IFNA(VLOOKUP(INDIRECT("G"&amp;ROW()),minfo!$A:$M,COLUMN()-8,0),"")</f>
        <v>0</v>
      </c>
    </row>
    <row r="2046" spans="1:21" ht="15.75" customHeight="1">
      <c r="A2046" s="15">
        <v>2045</v>
      </c>
      <c r="B2046" s="4" t="s">
        <v>5868</v>
      </c>
      <c r="D2046" s="4">
        <v>1</v>
      </c>
      <c r="E2046" s="4" t="s">
        <v>816</v>
      </c>
      <c r="F2046" s="4" t="s">
        <v>5866</v>
      </c>
      <c r="G2046" s="4" t="s">
        <v>815</v>
      </c>
      <c r="H2046" s="4" t="s">
        <v>5869</v>
      </c>
      <c r="I2046" s="24" t="str">
        <f>HYPERLINK("https://www.bilibili.com/video/BV1f1421y7vG?p=1","BV1f1421y7vG?p=1")</f>
        <v>BV1f1421y7vG?p=1</v>
      </c>
      <c r="J2046" s="4" t="str">
        <f ca="1">_xlfn.IFNA(VLOOKUP(INDIRECT("G"&amp;ROW()),minfo!$A:$M,COLUMN()-8,0),"")</f>
        <v>开不了口</v>
      </c>
      <c r="K2046" s="4" t="str">
        <f ca="1">_xlfn.IFNA(VLOOKUP(INDIRECT("G"&amp;ROW()),minfo!$A:$M,COLUMN()-8,0),"")</f>
        <v>周杰伦</v>
      </c>
      <c r="L2046" s="4">
        <f ca="1">_xlfn.IFNA(VLOOKUP(INDIRECT("G"&amp;ROW()),minfo!$A:$M,COLUMN()-8,0),"")</f>
        <v>0</v>
      </c>
      <c r="M2046" s="4">
        <f ca="1">_xlfn.IFNA(VLOOKUP(INDIRECT("G"&amp;ROW()),minfo!$A:$M,COLUMN()-8,0),"")</f>
        <v>0</v>
      </c>
      <c r="N2046" s="4">
        <f ca="1">_xlfn.IFNA(VLOOKUP(INDIRECT("G"&amp;ROW()),minfo!$A:$M,COLUMN()-8,0),"")</f>
        <v>0</v>
      </c>
      <c r="O2046" s="4" t="str">
        <f ca="1">_xlfn.IFNA(VLOOKUP(INDIRECT("G"&amp;ROW()),minfo!$A:$M,COLUMN()-8,0),"")</f>
        <v>http://i0.hdslb.com/bfs/station_src/music_metadata/d0f745972711cd41b07e10e96dd6512a.jpg</v>
      </c>
      <c r="P2046" s="4" t="str">
        <f ca="1">_xlfn.IFNA(VLOOKUP(INDIRECT("G"&amp;ROW()),minfo!$A:$M,COLUMN()-8,0),"")</f>
        <v>http://i0.hdslb.com/bfs/station_src/music_metadata/9e21bb6bd3e9e6c6a099ea6fe790a7e4</v>
      </c>
      <c r="Q2046" s="4">
        <f ca="1">_xlfn.IFNA(VLOOKUP(INDIRECT("G"&amp;ROW()),minfo!$A:$M,COLUMN()-8,0),"")</f>
        <v>1670</v>
      </c>
      <c r="R2046" s="4">
        <f ca="1">_xlfn.IFNA(VLOOKUP(INDIRECT("G"&amp;ROW()),minfo!$A:$M,COLUMN()-8,0),"")</f>
        <v>0</v>
      </c>
      <c r="S2046" s="4" t="str">
        <f ca="1">_xlfn.IFNA(VLOOKUP(INDIRECT("G"&amp;ROW()),minfo!$A:$M,COLUMN()-8,0),"")</f>
        <v>范特西</v>
      </c>
      <c r="T2046" s="4">
        <f ca="1">_xlfn.IFNA(VLOOKUP(INDIRECT("G"&amp;ROW()),minfo!$A:$M,COLUMN()-8,0),"")</f>
        <v>374265212</v>
      </c>
      <c r="U2046" s="4">
        <f ca="1">_xlfn.IFNA(VLOOKUP(INDIRECT("G"&amp;ROW()),minfo!$A:$M,COLUMN()-8,0),"")</f>
        <v>0</v>
      </c>
    </row>
    <row r="2047" spans="1:21" ht="15.75" customHeight="1">
      <c r="A2047" s="15">
        <v>2046</v>
      </c>
      <c r="B2047" s="4" t="s">
        <v>5870</v>
      </c>
      <c r="D2047" s="4">
        <v>1</v>
      </c>
      <c r="E2047" s="4" t="s">
        <v>2056</v>
      </c>
      <c r="F2047" s="4" t="s">
        <v>5866</v>
      </c>
      <c r="G2047" s="4" t="s">
        <v>2055</v>
      </c>
      <c r="H2047" s="4" t="s">
        <v>5871</v>
      </c>
      <c r="I2047" s="24" t="str">
        <f>HYPERLINK("https://www.bilibili.com/video/BV1bx4y1b76A?p=1","BV1bx4y1b76A?p=1")</f>
        <v>BV1bx4y1b76A?p=1</v>
      </c>
      <c r="J2047" s="4" t="str">
        <f ca="1">_xlfn.IFNA(VLOOKUP(INDIRECT("G"&amp;ROW()),minfo!$A:$M,COLUMN()-8,0),"")</f>
        <v>泼墨漓江</v>
      </c>
      <c r="K2047" s="4" t="str">
        <f ca="1">_xlfn.IFNA(VLOOKUP(INDIRECT("G"&amp;ROW()),minfo!$A:$M,COLUMN()-8,0),"")</f>
        <v>泠鸢yousa</v>
      </c>
      <c r="L2047" s="4">
        <f ca="1">_xlfn.IFNA(VLOOKUP(INDIRECT("G"&amp;ROW()),minfo!$A:$M,COLUMN()-8,0),"")</f>
        <v>0</v>
      </c>
      <c r="M2047" s="4">
        <f ca="1">_xlfn.IFNA(VLOOKUP(INDIRECT("G"&amp;ROW()),minfo!$A:$M,COLUMN()-8,0),"")</f>
        <v>0</v>
      </c>
      <c r="N2047" s="4">
        <f ca="1">_xlfn.IFNA(VLOOKUP(INDIRECT("G"&amp;ROW()),minfo!$A:$M,COLUMN()-8,0),"")</f>
        <v>0</v>
      </c>
      <c r="O2047" s="4" t="str">
        <f ca="1">_xlfn.IFNA(VLOOKUP(INDIRECT("G"&amp;ROW()),minfo!$A:$M,COLUMN()-8,0),"")</f>
        <v>https://i0.hdslb.com/bfs/station_src/music_metadata/d66f5d91942551f93ea268afb3f1707d.jpg</v>
      </c>
      <c r="P2047" s="4" t="str">
        <f ca="1">_xlfn.IFNA(VLOOKUP(INDIRECT("G"&amp;ROW()),minfo!$A:$M,COLUMN()-8,0),"")</f>
        <v>https://i0.hdslb.com/bfs/station_src/music_metadata/fe2794c42c8d1fad9b590390dca312e5.txt</v>
      </c>
      <c r="Q2047" s="4">
        <f ca="1">_xlfn.IFNA(VLOOKUP(INDIRECT("G"&amp;ROW()),minfo!$A:$M,COLUMN()-8,0),"")</f>
        <v>24</v>
      </c>
      <c r="R2047" s="4">
        <f ca="1">_xlfn.IFNA(VLOOKUP(INDIRECT("G"&amp;ROW()),minfo!$A:$M,COLUMN()-8,0),"")</f>
        <v>0</v>
      </c>
      <c r="S2047" s="4" t="str">
        <f ca="1">_xlfn.IFNA(VLOOKUP(INDIRECT("G"&amp;ROW()),minfo!$A:$M,COLUMN()-8,0),"")</f>
        <v>创世之音 bilibili虚拟主播演唱会节目音频</v>
      </c>
      <c r="T2047" s="4">
        <f ca="1">_xlfn.IFNA(VLOOKUP(INDIRECT("G"&amp;ROW()),minfo!$A:$M,COLUMN()-8,0),"")</f>
        <v>6915969</v>
      </c>
      <c r="U2047" s="4">
        <f ca="1">_xlfn.IFNA(VLOOKUP(INDIRECT("G"&amp;ROW()),minfo!$A:$M,COLUMN()-8,0),"")</f>
        <v>0</v>
      </c>
    </row>
    <row r="2048" spans="1:21" ht="15.75" customHeight="1">
      <c r="A2048" s="15">
        <v>2047</v>
      </c>
      <c r="B2048" s="4" t="s">
        <v>5872</v>
      </c>
      <c r="D2048" s="4">
        <v>1</v>
      </c>
      <c r="E2048" s="4" t="s">
        <v>3257</v>
      </c>
      <c r="F2048" s="4" t="s">
        <v>5866</v>
      </c>
      <c r="G2048" s="4" t="s">
        <v>3256</v>
      </c>
      <c r="H2048" s="4" t="s">
        <v>5873</v>
      </c>
      <c r="I2048" s="24" t="str">
        <f>HYPERLINK("https://www.bilibili.com/video/BV1qy411B7jD?p=1","BV1qy411B7jD?p=1")</f>
        <v>BV1qy411B7jD?p=1</v>
      </c>
      <c r="J2048" s="4" t="str">
        <f ca="1">_xlfn.IFNA(VLOOKUP(INDIRECT("G"&amp;ROW()),minfo!$A:$M,COLUMN()-8,0),"")</f>
        <v>眼泪成诗</v>
      </c>
      <c r="K2048" s="4" t="str">
        <f ca="1">_xlfn.IFNA(VLOOKUP(INDIRECT("G"&amp;ROW()),minfo!$A:$M,COLUMN()-8,0),"")</f>
        <v>孙燕姿</v>
      </c>
      <c r="L2048" s="4">
        <f ca="1">_xlfn.IFNA(VLOOKUP(INDIRECT("G"&amp;ROW()),minfo!$A:$M,COLUMN()-8,0),"")</f>
        <v>0</v>
      </c>
      <c r="M2048" s="4">
        <f ca="1">_xlfn.IFNA(VLOOKUP(INDIRECT("G"&amp;ROW()),minfo!$A:$M,COLUMN()-8,0),"")</f>
        <v>0</v>
      </c>
      <c r="N2048" s="4">
        <f ca="1">_xlfn.IFNA(VLOOKUP(INDIRECT("G"&amp;ROW()),minfo!$A:$M,COLUMN()-8,0),"")</f>
        <v>0</v>
      </c>
      <c r="O2048" s="4" t="str">
        <f ca="1">_xlfn.IFNA(VLOOKUP(INDIRECT("G"&amp;ROW()),minfo!$A:$M,COLUMN()-8,0),"")</f>
        <v>http://i0.hdslb.com/bfs/station_src/music_metadata/9f36b6c91db5e064802dcd6b7e3a4490.jpg</v>
      </c>
      <c r="P2048" s="4" t="str">
        <f ca="1">_xlfn.IFNA(VLOOKUP(INDIRECT("G"&amp;ROW()),minfo!$A:$M,COLUMN()-8,0),"")</f>
        <v>http://i0.hdslb.com/bfs/station_src/music_metadata/20ff409dba580102aa01112537942a19</v>
      </c>
      <c r="Q2048" s="4">
        <f ca="1">_xlfn.IFNA(VLOOKUP(INDIRECT("G"&amp;ROW()),minfo!$A:$M,COLUMN()-8,0),"")</f>
        <v>71</v>
      </c>
      <c r="R2048" s="4">
        <f ca="1">_xlfn.IFNA(VLOOKUP(INDIRECT("G"&amp;ROW()),minfo!$A:$M,COLUMN()-8,0),"")</f>
        <v>0</v>
      </c>
      <c r="S2048" s="4" t="str">
        <f ca="1">_xlfn.IFNA(VLOOKUP(INDIRECT("G"&amp;ROW()),minfo!$A:$M,COLUMN()-8,0),"")</f>
        <v>完美的一天</v>
      </c>
      <c r="T2048" s="4">
        <f ca="1">_xlfn.IFNA(VLOOKUP(INDIRECT("G"&amp;ROW()),minfo!$A:$M,COLUMN()-8,0),"")</f>
        <v>28168358</v>
      </c>
      <c r="U2048" s="4">
        <f ca="1">_xlfn.IFNA(VLOOKUP(INDIRECT("G"&amp;ROW()),minfo!$A:$M,COLUMN()-8,0),"")</f>
        <v>0</v>
      </c>
    </row>
    <row r="2049" spans="1:21" ht="15.75" customHeight="1">
      <c r="A2049" s="15">
        <v>2048</v>
      </c>
      <c r="B2049" s="4" t="s">
        <v>5874</v>
      </c>
      <c r="D2049" s="4">
        <v>1</v>
      </c>
      <c r="E2049" s="4" t="s">
        <v>693</v>
      </c>
      <c r="F2049" s="4" t="s">
        <v>5866</v>
      </c>
      <c r="G2049" s="4" t="s">
        <v>692</v>
      </c>
      <c r="H2049" s="4" t="s">
        <v>5875</v>
      </c>
      <c r="I2049" s="24" t="str">
        <f>HYPERLINK("https://www.bilibili.com/video/BV1Gb421H7s8?p=1","BV1Gb421H7s8?p=1")</f>
        <v>BV1Gb421H7s8?p=1</v>
      </c>
      <c r="J2049" s="4" t="str">
        <f ca="1">_xlfn.IFNA(VLOOKUP(INDIRECT("G"&amp;ROW()),minfo!$A:$M,COLUMN()-8,0),"")</f>
        <v>爱情悬崖</v>
      </c>
      <c r="K2049" s="4" t="str">
        <f ca="1">_xlfn.IFNA(VLOOKUP(INDIRECT("G"&amp;ROW()),minfo!$A:$M,COLUMN()-8,0),"")</f>
        <v>周杰伦</v>
      </c>
      <c r="L2049" s="4">
        <f ca="1">_xlfn.IFNA(VLOOKUP(INDIRECT("G"&amp;ROW()),minfo!$A:$M,COLUMN()-8,0),"")</f>
        <v>0</v>
      </c>
      <c r="M2049" s="4">
        <f ca="1">_xlfn.IFNA(VLOOKUP(INDIRECT("G"&amp;ROW()),minfo!$A:$M,COLUMN()-8,0),"")</f>
        <v>0</v>
      </c>
      <c r="N2049" s="4">
        <f ca="1">_xlfn.IFNA(VLOOKUP(INDIRECT("G"&amp;ROW()),minfo!$A:$M,COLUMN()-8,0),"")</f>
        <v>0</v>
      </c>
      <c r="O2049" s="4" t="str">
        <f ca="1">_xlfn.IFNA(VLOOKUP(INDIRECT("G"&amp;ROW()),minfo!$A:$M,COLUMN()-8,0),"")</f>
        <v>https://i0.hdslb.com/bfs/station_src/music_metadata/09deb9d4f4775eb43172424de93829e1.jpg</v>
      </c>
      <c r="P2049" s="4">
        <f ca="1">_xlfn.IFNA(VLOOKUP(INDIRECT("G"&amp;ROW()),minfo!$A:$M,COLUMN()-8,0),"")</f>
        <v>0</v>
      </c>
      <c r="Q2049" s="4">
        <f ca="1">_xlfn.IFNA(VLOOKUP(INDIRECT("G"&amp;ROW()),minfo!$A:$M,COLUMN()-8,0),"")</f>
        <v>265</v>
      </c>
      <c r="R2049" s="4">
        <f ca="1">_xlfn.IFNA(VLOOKUP(INDIRECT("G"&amp;ROW()),minfo!$A:$M,COLUMN()-8,0),"")</f>
        <v>0</v>
      </c>
      <c r="S2049" s="4" t="str">
        <f ca="1">_xlfn.IFNA(VLOOKUP(INDIRECT("G"&amp;ROW()),minfo!$A:$M,COLUMN()-8,0),"")</f>
        <v>叶惠美</v>
      </c>
      <c r="T2049" s="4">
        <f ca="1">_xlfn.IFNA(VLOOKUP(INDIRECT("G"&amp;ROW()),minfo!$A:$M,COLUMN()-8,0),"")</f>
        <v>186750231</v>
      </c>
      <c r="U2049" s="4">
        <f ca="1">_xlfn.IFNA(VLOOKUP(INDIRECT("G"&amp;ROW()),minfo!$A:$M,COLUMN()-8,0),"")</f>
        <v>0</v>
      </c>
    </row>
    <row r="2050" spans="1:21" ht="15.75" customHeight="1">
      <c r="A2050" s="15">
        <v>2049</v>
      </c>
      <c r="B2050" s="4" t="s">
        <v>5876</v>
      </c>
      <c r="D2050" s="4">
        <v>1</v>
      </c>
      <c r="E2050" s="4" t="s">
        <v>1326</v>
      </c>
      <c r="F2050" s="4" t="s">
        <v>5866</v>
      </c>
      <c r="G2050" s="4" t="s">
        <v>1325</v>
      </c>
      <c r="H2050" s="4" t="s">
        <v>5877</v>
      </c>
      <c r="I2050" s="24" t="str">
        <f>HYPERLINK("https://www.bilibili.com/video/BV1N1421C7H5?p=1","BV1N1421C7H5?p=1")</f>
        <v>BV1N1421C7H5?p=1</v>
      </c>
      <c r="J2050" s="4" t="str">
        <f ca="1">_xlfn.IFNA(VLOOKUP(INDIRECT("G"&amp;ROW()),minfo!$A:$M,COLUMN()-8,0),"")</f>
        <v>东风破</v>
      </c>
      <c r="K2050" s="4" t="str">
        <f ca="1">_xlfn.IFNA(VLOOKUP(INDIRECT("G"&amp;ROW()),minfo!$A:$M,COLUMN()-8,0),"")</f>
        <v>周杰伦</v>
      </c>
      <c r="L2050" s="4">
        <f ca="1">_xlfn.IFNA(VLOOKUP(INDIRECT("G"&amp;ROW()),minfo!$A:$M,COLUMN()-8,0),"")</f>
        <v>0</v>
      </c>
      <c r="M2050" s="4">
        <f ca="1">_xlfn.IFNA(VLOOKUP(INDIRECT("G"&amp;ROW()),minfo!$A:$M,COLUMN()-8,0),"")</f>
        <v>0</v>
      </c>
      <c r="N2050" s="4">
        <f ca="1">_xlfn.IFNA(VLOOKUP(INDIRECT("G"&amp;ROW()),minfo!$A:$M,COLUMN()-8,0),"")</f>
        <v>0</v>
      </c>
      <c r="O2050" s="4" t="str">
        <f ca="1">_xlfn.IFNA(VLOOKUP(INDIRECT("G"&amp;ROW()),minfo!$A:$M,COLUMN()-8,0),"")</f>
        <v>https://i0.hdslb.com/bfs/station_src/music_metadata/8480d5b9cca7b1a7e5af2101531478e9.jpg</v>
      </c>
      <c r="P2050" s="4" t="str">
        <f ca="1">_xlfn.IFNA(VLOOKUP(INDIRECT("G"&amp;ROW()),minfo!$A:$M,COLUMN()-8,0),"")</f>
        <v>copyright-crawler/music/task-lyric/650e6317fad724c0d0113e31.txt</v>
      </c>
      <c r="Q2050" s="4">
        <f ca="1">_xlfn.IFNA(VLOOKUP(INDIRECT("G"&amp;ROW()),minfo!$A:$M,COLUMN()-8,0),"")</f>
        <v>1661</v>
      </c>
      <c r="R2050" s="4" t="str">
        <f ca="1">_xlfn.IFNA(VLOOKUP(INDIRECT("G"&amp;ROW()),minfo!$A:$M,COLUMN()-8,0),"")</f>
        <v>东风破</v>
      </c>
      <c r="S2050" s="4" t="str">
        <f ca="1">_xlfn.IFNA(VLOOKUP(INDIRECT("G"&amp;ROW()),minfo!$A:$M,COLUMN()-8,0),"")</f>
        <v>叶惠美</v>
      </c>
      <c r="T2050" s="4">
        <f ca="1">_xlfn.IFNA(VLOOKUP(INDIRECT("G"&amp;ROW()),minfo!$A:$M,COLUMN()-8,0),"")</f>
        <v>406111219</v>
      </c>
      <c r="U2050" s="4">
        <f ca="1">_xlfn.IFNA(VLOOKUP(INDIRECT("G"&amp;ROW()),minfo!$A:$M,COLUMN()-8,0),"")</f>
        <v>0</v>
      </c>
    </row>
    <row r="2051" spans="1:21" ht="15.75" customHeight="1">
      <c r="A2051" s="15">
        <v>2050</v>
      </c>
      <c r="B2051" s="4" t="s">
        <v>5878</v>
      </c>
      <c r="D2051" s="4">
        <v>1</v>
      </c>
      <c r="E2051" s="4" t="s">
        <v>1206</v>
      </c>
      <c r="F2051" s="4" t="s">
        <v>5866</v>
      </c>
      <c r="G2051" s="4" t="s">
        <v>1205</v>
      </c>
      <c r="H2051" s="4" t="s">
        <v>5879</v>
      </c>
      <c r="I2051" s="24" t="str">
        <f>HYPERLINK("https://www.bilibili.com/video/BV1er421c7L2?p=1","BV1er421c7L2?p=1")</f>
        <v>BV1er421c7L2?p=1</v>
      </c>
      <c r="J2051" s="4" t="str">
        <f ca="1">_xlfn.IFNA(VLOOKUP(INDIRECT("G"&amp;ROW()),minfo!$A:$M,COLUMN()-8,0),"")</f>
        <v>给我一个理由忘记</v>
      </c>
      <c r="K2051" s="4" t="str">
        <f ca="1">_xlfn.IFNA(VLOOKUP(INDIRECT("G"&amp;ROW()),minfo!$A:$M,COLUMN()-8,0),"")</f>
        <v>A-Lin</v>
      </c>
      <c r="L2051" s="4">
        <f ca="1">_xlfn.IFNA(VLOOKUP(INDIRECT("G"&amp;ROW()),minfo!$A:$M,COLUMN()-8,0),"")</f>
        <v>0</v>
      </c>
      <c r="M2051" s="4">
        <f ca="1">_xlfn.IFNA(VLOOKUP(INDIRECT("G"&amp;ROW()),minfo!$A:$M,COLUMN()-8,0),"")</f>
        <v>0</v>
      </c>
      <c r="N2051" s="4">
        <f ca="1">_xlfn.IFNA(VLOOKUP(INDIRECT("G"&amp;ROW()),minfo!$A:$M,COLUMN()-8,0),"")</f>
        <v>0</v>
      </c>
      <c r="O2051" s="4" t="str">
        <f ca="1">_xlfn.IFNA(VLOOKUP(INDIRECT("G"&amp;ROW()),minfo!$A:$M,COLUMN()-8,0),"")</f>
        <v>http://i0.hdslb.com/bfs/station_src/music_metadata/bd76bf11fc6f5c6df48b11ced3d8af44.jpg</v>
      </c>
      <c r="P2051" s="4" t="str">
        <f ca="1">_xlfn.IFNA(VLOOKUP(INDIRECT("G"&amp;ROW()),minfo!$A:$M,COLUMN()-8,0),"")</f>
        <v>http://i0.hdslb.com/bfs/station_src/music_metadata/36b0dd2ce9b34c735a4eceb168e31c57</v>
      </c>
      <c r="Q2051" s="4">
        <f ca="1">_xlfn.IFNA(VLOOKUP(INDIRECT("G"&amp;ROW()),minfo!$A:$M,COLUMN()-8,0),"")</f>
        <v>388</v>
      </c>
      <c r="R2051" s="4">
        <f ca="1">_xlfn.IFNA(VLOOKUP(INDIRECT("G"&amp;ROW()),minfo!$A:$M,COLUMN()-8,0),"")</f>
        <v>0</v>
      </c>
      <c r="S2051" s="4" t="str">
        <f ca="1">_xlfn.IFNA(VLOOKUP(INDIRECT("G"&amp;ROW()),minfo!$A:$M,COLUMN()-8,0),"")</f>
        <v>寂寞不痛</v>
      </c>
      <c r="T2051" s="4">
        <f ca="1">_xlfn.IFNA(VLOOKUP(INDIRECT("G"&amp;ROW()),minfo!$A:$M,COLUMN()-8,0),"")</f>
        <v>75022447</v>
      </c>
      <c r="U2051" s="4">
        <f ca="1">_xlfn.IFNA(VLOOKUP(INDIRECT("G"&amp;ROW()),minfo!$A:$M,COLUMN()-8,0),"")</f>
        <v>0</v>
      </c>
    </row>
    <row r="2052" spans="1:21" ht="15.75" customHeight="1">
      <c r="A2052" s="15">
        <v>2051</v>
      </c>
      <c r="B2052" s="4" t="s">
        <v>5880</v>
      </c>
      <c r="D2052" s="4">
        <v>1</v>
      </c>
      <c r="E2052" s="4" t="s">
        <v>1620</v>
      </c>
      <c r="F2052" s="4" t="s">
        <v>5866</v>
      </c>
      <c r="G2052" s="4" t="s">
        <v>1619</v>
      </c>
      <c r="H2052" s="4" t="s">
        <v>5881</v>
      </c>
      <c r="I2052" s="24" t="str">
        <f>HYPERLINK("https://www.bilibili.com/video/BV1T4421Q7aJ?p=1","BV1T4421Q7aJ?p=1")</f>
        <v>BV1T4421Q7aJ?p=1</v>
      </c>
      <c r="J2052" s="4" t="str">
        <f ca="1">_xlfn.IFNA(VLOOKUP(INDIRECT("G"&amp;ROW()),minfo!$A:$M,COLUMN()-8,0),"")</f>
        <v>一路向北</v>
      </c>
      <c r="K2052" s="4" t="str">
        <f ca="1">_xlfn.IFNA(VLOOKUP(INDIRECT("G"&amp;ROW()),minfo!$A:$M,COLUMN()-8,0),"")</f>
        <v>周杰伦</v>
      </c>
      <c r="L2052" s="4">
        <f ca="1">_xlfn.IFNA(VLOOKUP(INDIRECT("G"&amp;ROW()),minfo!$A:$M,COLUMN()-8,0),"")</f>
        <v>0</v>
      </c>
      <c r="M2052" s="4">
        <f ca="1">_xlfn.IFNA(VLOOKUP(INDIRECT("G"&amp;ROW()),minfo!$A:$M,COLUMN()-8,0),"")</f>
        <v>0</v>
      </c>
      <c r="N2052" s="4">
        <f ca="1">_xlfn.IFNA(VLOOKUP(INDIRECT("G"&amp;ROW()),minfo!$A:$M,COLUMN()-8,0),"")</f>
        <v>0</v>
      </c>
      <c r="O2052" s="4" t="str">
        <f ca="1">_xlfn.IFNA(VLOOKUP(INDIRECT("G"&amp;ROW()),minfo!$A:$M,COLUMN()-8,0),"")</f>
        <v>http://i0.hdslb.com/bfs/station_src/music_metadata/30a9548e104c69c0a6e0747f590b41a2.jpg</v>
      </c>
      <c r="P2052" s="4" t="str">
        <f ca="1">_xlfn.IFNA(VLOOKUP(INDIRECT("G"&amp;ROW()),minfo!$A:$M,COLUMN()-8,0),"")</f>
        <v>http://i0.hdslb.com/bfs/station_src/music_metadata/3d9312fb4b7cde3cd376d37c031dfe74</v>
      </c>
      <c r="Q2052" s="4">
        <f ca="1">_xlfn.IFNA(VLOOKUP(INDIRECT("G"&amp;ROW()),minfo!$A:$M,COLUMN()-8,0),"")</f>
        <v>9903</v>
      </c>
      <c r="R2052" s="4" t="str">
        <f ca="1">_xlfn.IFNA(VLOOKUP(INDIRECT("G"&amp;ROW()),minfo!$A:$M,COLUMN()-8,0),"")</f>
        <v>《头文字D》电影插曲</v>
      </c>
      <c r="S2052" s="4" t="str">
        <f ca="1">_xlfn.IFNA(VLOOKUP(INDIRECT("G"&amp;ROW()),minfo!$A:$M,COLUMN()-8,0),"")</f>
        <v>J III MP3 Player</v>
      </c>
      <c r="T2052" s="4">
        <f ca="1">_xlfn.IFNA(VLOOKUP(INDIRECT("G"&amp;ROW()),minfo!$A:$M,COLUMN()-8,0),"")</f>
        <v>948949344</v>
      </c>
      <c r="U2052" s="4" t="str">
        <f ca="1">_xlfn.IFNA(VLOOKUP(INDIRECT("G"&amp;ROW()),minfo!$A:$M,COLUMN()-8,0),"")</f>
        <v>音乐榜最高NO.16</v>
      </c>
    </row>
    <row r="2053" spans="1:21" ht="15.75" customHeight="1">
      <c r="A2053" s="15">
        <v>2052</v>
      </c>
      <c r="B2053" s="4" t="s">
        <v>5882</v>
      </c>
      <c r="D2053" s="4">
        <v>1</v>
      </c>
      <c r="E2053" s="4" t="s">
        <v>1478</v>
      </c>
      <c r="F2053" s="4" t="s">
        <v>5883</v>
      </c>
      <c r="G2053" s="4" t="s">
        <v>1477</v>
      </c>
      <c r="H2053" s="4" t="s">
        <v>5884</v>
      </c>
      <c r="I2053" s="24" t="str">
        <f>HYPERLINK("https://www.bilibili.com/video/BV1TZ421g7Uk?p=1","BV1TZ421g7Uk?p=1")</f>
        <v>BV1TZ421g7Uk?p=1</v>
      </c>
      <c r="J2053" s="4" t="str">
        <f ca="1">_xlfn.IFNA(VLOOKUP(INDIRECT("G"&amp;ROW()),minfo!$A:$M,COLUMN()-8,0),"")</f>
        <v>想你时风起</v>
      </c>
      <c r="K2053" s="4" t="str">
        <f ca="1">_xlfn.IFNA(VLOOKUP(INDIRECT("G"&amp;ROW()),minfo!$A:$M,COLUMN()-8,0),"")</f>
        <v>单依纯</v>
      </c>
      <c r="L2053" s="4">
        <f ca="1">_xlfn.IFNA(VLOOKUP(INDIRECT("G"&amp;ROW()),minfo!$A:$M,COLUMN()-8,0),"")</f>
        <v>0</v>
      </c>
      <c r="M2053" s="4">
        <f ca="1">_xlfn.IFNA(VLOOKUP(INDIRECT("G"&amp;ROW()),minfo!$A:$M,COLUMN()-8,0),"")</f>
        <v>0</v>
      </c>
      <c r="N2053" s="4">
        <f ca="1">_xlfn.IFNA(VLOOKUP(INDIRECT("G"&amp;ROW()),minfo!$A:$M,COLUMN()-8,0),"")</f>
        <v>0</v>
      </c>
      <c r="O2053" s="4" t="str">
        <f ca="1">_xlfn.IFNA(VLOOKUP(INDIRECT("G"&amp;ROW()),minfo!$A:$M,COLUMN()-8,0),"")</f>
        <v>http://i0.hdslb.com/bfs/station_src/music_metadata/690d5f026cf42acdf74154d42a9e4aec.jpg</v>
      </c>
      <c r="P2053" s="4">
        <f ca="1">_xlfn.IFNA(VLOOKUP(INDIRECT("G"&amp;ROW()),minfo!$A:$M,COLUMN()-8,0),"")</f>
        <v>0</v>
      </c>
      <c r="Q2053" s="4">
        <f ca="1">_xlfn.IFNA(VLOOKUP(INDIRECT("G"&amp;ROW()),minfo!$A:$M,COLUMN()-8,0),"")</f>
        <v>710</v>
      </c>
      <c r="R2053" s="4">
        <f ca="1">_xlfn.IFNA(VLOOKUP(INDIRECT("G"&amp;ROW()),minfo!$A:$M,COLUMN()-8,0),"")</f>
        <v>0</v>
      </c>
      <c r="S2053" s="4" t="str">
        <f ca="1">_xlfn.IFNA(VLOOKUP(INDIRECT("G"&amp;ROW()),minfo!$A:$M,COLUMN()-8,0),"")</f>
        <v>想你时风起</v>
      </c>
      <c r="T2053" s="4">
        <f ca="1">_xlfn.IFNA(VLOOKUP(INDIRECT("G"&amp;ROW()),minfo!$A:$M,COLUMN()-8,0),"")</f>
        <v>48566163</v>
      </c>
      <c r="U2053" s="4">
        <f ca="1">_xlfn.IFNA(VLOOKUP(INDIRECT("G"&amp;ROW()),minfo!$A:$M,COLUMN()-8,0),"")</f>
        <v>0</v>
      </c>
    </row>
    <row r="2054" spans="1:21" ht="15.75" customHeight="1">
      <c r="A2054" s="15">
        <v>2053</v>
      </c>
      <c r="B2054" s="4" t="s">
        <v>5885</v>
      </c>
      <c r="D2054" s="4">
        <v>1</v>
      </c>
      <c r="E2054" s="4" t="s">
        <v>5886</v>
      </c>
      <c r="F2054" s="4" t="s">
        <v>5883</v>
      </c>
      <c r="G2054" s="4" t="s">
        <v>3392</v>
      </c>
      <c r="H2054" s="4" t="s">
        <v>5887</v>
      </c>
      <c r="I2054" s="24" t="str">
        <f>HYPERLINK("https://www.bilibili.com/video/BV1QZ421u7qY?p=1","BV1QZ421u7qY?p=1")</f>
        <v>BV1QZ421u7qY?p=1</v>
      </c>
      <c r="J2054" s="4" t="str">
        <f ca="1">_xlfn.IFNA(VLOOKUP(INDIRECT("G"&amp;ROW()),minfo!$A:$M,COLUMN()-8,0),"")</f>
        <v>爱, 很简单</v>
      </c>
      <c r="K2054" s="4" t="str">
        <f ca="1">_xlfn.IFNA(VLOOKUP(INDIRECT("G"&amp;ROW()),minfo!$A:$M,COLUMN()-8,0),"")</f>
        <v>陶喆</v>
      </c>
      <c r="L2054" s="4">
        <f ca="1">_xlfn.IFNA(VLOOKUP(INDIRECT("G"&amp;ROW()),minfo!$A:$M,COLUMN()-8,0),"")</f>
        <v>0</v>
      </c>
      <c r="M2054" s="4">
        <f ca="1">_xlfn.IFNA(VLOOKUP(INDIRECT("G"&amp;ROW()),minfo!$A:$M,COLUMN()-8,0),"")</f>
        <v>0</v>
      </c>
      <c r="N2054" s="4">
        <f ca="1">_xlfn.IFNA(VLOOKUP(INDIRECT("G"&amp;ROW()),minfo!$A:$M,COLUMN()-8,0),"")</f>
        <v>0</v>
      </c>
      <c r="O2054" s="4" t="str">
        <f ca="1">_xlfn.IFNA(VLOOKUP(INDIRECT("G"&amp;ROW()),minfo!$A:$M,COLUMN()-8,0),"")</f>
        <v>https://i0.hdslb.com/bfs/station_src/music_metadata/96c179aea47ab42fa8550920c454193d.jpg</v>
      </c>
      <c r="P2054" s="4" t="str">
        <f ca="1">_xlfn.IFNA(VLOOKUP(INDIRECT("G"&amp;ROW()),minfo!$A:$M,COLUMN()-8,0),"")</f>
        <v>http://i0.hdslb.com/bfs/station_src/music_metadata/08eed7cded32332d1c9d23c2890819fa</v>
      </c>
      <c r="Q2054" s="4">
        <f ca="1">_xlfn.IFNA(VLOOKUP(INDIRECT("G"&amp;ROW()),minfo!$A:$M,COLUMN()-8,0),"")</f>
        <v>269</v>
      </c>
      <c r="R2054" s="4" t="str">
        <f ca="1">_xlfn.IFNA(VLOOKUP(INDIRECT("G"&amp;ROW()),minfo!$A:$M,COLUMN()-8,0),"")</f>
        <v>《单身男女》电影插曲|《单身男女2》电影主题曲</v>
      </c>
      <c r="S2054" s="4" t="str">
        <f ca="1">_xlfn.IFNA(VLOOKUP(INDIRECT("G"&amp;ROW()),minfo!$A:$M,COLUMN()-8,0),"")</f>
        <v>Ultrasound 乐之路 1997-2003</v>
      </c>
      <c r="T2054" s="4">
        <f ca="1">_xlfn.IFNA(VLOOKUP(INDIRECT("G"&amp;ROW()),minfo!$A:$M,COLUMN()-8,0),"")</f>
        <v>162536625</v>
      </c>
      <c r="U2054" s="4">
        <f ca="1">_xlfn.IFNA(VLOOKUP(INDIRECT("G"&amp;ROW()),minfo!$A:$M,COLUMN()-8,0),"")</f>
        <v>0</v>
      </c>
    </row>
    <row r="2055" spans="1:21" ht="15.75" customHeight="1">
      <c r="A2055" s="15">
        <v>2054</v>
      </c>
      <c r="B2055" s="4" t="s">
        <v>5888</v>
      </c>
      <c r="D2055" s="4">
        <v>1</v>
      </c>
      <c r="E2055" s="4" t="s">
        <v>1606</v>
      </c>
      <c r="F2055" s="4" t="s">
        <v>5883</v>
      </c>
      <c r="G2055" s="4" t="s">
        <v>1605</v>
      </c>
      <c r="H2055" s="4" t="s">
        <v>5889</v>
      </c>
      <c r="I2055" s="24" t="str">
        <f>HYPERLINK("https://www.bilibili.com/video/BV14f421D7SD?p=1","BV14f421D7SD?p=1")</f>
        <v>BV14f421D7SD?p=1</v>
      </c>
      <c r="J2055" s="4" t="str">
        <f ca="1">_xlfn.IFNA(VLOOKUP(INDIRECT("G"&amp;ROW()),minfo!$A:$M,COLUMN()-8,0),"")</f>
        <v>不流泪的机场</v>
      </c>
      <c r="K2055" s="4" t="str">
        <f ca="1">_xlfn.IFNA(VLOOKUP(INDIRECT("G"&amp;ROW()),minfo!$A:$M,COLUMN()-8,0),"")</f>
        <v>林俊杰</v>
      </c>
      <c r="L2055" s="4">
        <f ca="1">_xlfn.IFNA(VLOOKUP(INDIRECT("G"&amp;ROW()),minfo!$A:$M,COLUMN()-8,0),"")</f>
        <v>0</v>
      </c>
      <c r="M2055" s="4">
        <f ca="1">_xlfn.IFNA(VLOOKUP(INDIRECT("G"&amp;ROW()),minfo!$A:$M,COLUMN()-8,0),"")</f>
        <v>0</v>
      </c>
      <c r="N2055" s="4">
        <f ca="1">_xlfn.IFNA(VLOOKUP(INDIRECT("G"&amp;ROW()),minfo!$A:$M,COLUMN()-8,0),"")</f>
        <v>0</v>
      </c>
      <c r="O2055" s="4" t="str">
        <f ca="1">_xlfn.IFNA(VLOOKUP(INDIRECT("G"&amp;ROW()),minfo!$A:$M,COLUMN()-8,0),"")</f>
        <v>https://i0.hdslb.com/bfs/station_src/music_metadata/121f852527e28e197f6b87efaf113c46.jpg</v>
      </c>
      <c r="P2055" s="4" t="str">
        <f ca="1">_xlfn.IFNA(VLOOKUP(INDIRECT("G"&amp;ROW()),minfo!$A:$M,COLUMN()-8,0),"")</f>
        <v>https://i0.hdslb.com/bfs/station_src/music_metadata/4a4685475601415a638d5cdd5d58cb40.txt</v>
      </c>
      <c r="Q2055" s="4">
        <f ca="1">_xlfn.IFNA(VLOOKUP(INDIRECT("G"&amp;ROW()),minfo!$A:$M,COLUMN()-8,0),"")</f>
        <v>28</v>
      </c>
      <c r="R2055" s="4">
        <f ca="1">_xlfn.IFNA(VLOOKUP(INDIRECT("G"&amp;ROW()),minfo!$A:$M,COLUMN()-8,0),"")</f>
        <v>0</v>
      </c>
      <c r="S2055" s="4" t="str">
        <f ca="1">_xlfn.IFNA(VLOOKUP(INDIRECT("G"&amp;ROW()),minfo!$A:$M,COLUMN()-8,0),"")</f>
        <v>西界</v>
      </c>
      <c r="T2055" s="4">
        <f ca="1">_xlfn.IFNA(VLOOKUP(INDIRECT("G"&amp;ROW()),minfo!$A:$M,COLUMN()-8,0),"")</f>
        <v>28452133</v>
      </c>
      <c r="U2055" s="4">
        <f ca="1">_xlfn.IFNA(VLOOKUP(INDIRECT("G"&amp;ROW()),minfo!$A:$M,COLUMN()-8,0),"")</f>
        <v>0</v>
      </c>
    </row>
    <row r="2056" spans="1:21" ht="15.75" customHeight="1">
      <c r="A2056" s="15">
        <v>2055</v>
      </c>
      <c r="B2056" s="4" t="s">
        <v>5784</v>
      </c>
      <c r="D2056" s="4">
        <v>1</v>
      </c>
      <c r="E2056" s="4" t="s">
        <v>1719</v>
      </c>
      <c r="F2056" s="4" t="s">
        <v>5883</v>
      </c>
      <c r="G2056" s="4" t="s">
        <v>1718</v>
      </c>
      <c r="H2056" s="4" t="s">
        <v>5890</v>
      </c>
      <c r="I2056" s="24" t="str">
        <f>HYPERLINK("https://www.bilibili.com/video/BV167421R7jM?p=1","BV167421R7jM?p=1")</f>
        <v>BV167421R7jM?p=1</v>
      </c>
      <c r="J2056" s="4" t="str">
        <f ca="1">_xlfn.IFNA(VLOOKUP(INDIRECT("G"&amp;ROW()),minfo!$A:$M,COLUMN()-8,0),"")</f>
        <v>达尔文</v>
      </c>
      <c r="K2056" s="4" t="str">
        <f ca="1">_xlfn.IFNA(VLOOKUP(INDIRECT("G"&amp;ROW()),minfo!$A:$M,COLUMN()-8,0),"")</f>
        <v>蔡健雅</v>
      </c>
      <c r="L2056" s="4">
        <f ca="1">_xlfn.IFNA(VLOOKUP(INDIRECT("G"&amp;ROW()),minfo!$A:$M,COLUMN()-8,0),"")</f>
        <v>0</v>
      </c>
      <c r="M2056" s="4">
        <f ca="1">_xlfn.IFNA(VLOOKUP(INDIRECT("G"&amp;ROW()),minfo!$A:$M,COLUMN()-8,0),"")</f>
        <v>61</v>
      </c>
      <c r="N2056" s="4">
        <f ca="1">_xlfn.IFNA(VLOOKUP(INDIRECT("G"&amp;ROW()),minfo!$A:$M,COLUMN()-8,0),"")</f>
        <v>23</v>
      </c>
      <c r="O2056" s="4" t="str">
        <f ca="1">_xlfn.IFNA(VLOOKUP(INDIRECT("G"&amp;ROW()),minfo!$A:$M,COLUMN()-8,0),"")</f>
        <v>http://i2.hdslb.com/bfs/archive/0d88147503c1678b5c14f01bf912438f0e18189c.jpg</v>
      </c>
      <c r="P2056" s="4">
        <f ca="1">_xlfn.IFNA(VLOOKUP(INDIRECT("G"&amp;ROW()),minfo!$A:$M,COLUMN()-8,0),"")</f>
        <v>0</v>
      </c>
      <c r="Q2056" s="4">
        <f ca="1">_xlfn.IFNA(VLOOKUP(INDIRECT("G"&amp;ROW()),minfo!$A:$M,COLUMN()-8,0),"")</f>
        <v>275</v>
      </c>
      <c r="R2056" s="4" t="str">
        <f ca="1">_xlfn.IFNA(VLOOKUP(INDIRECT("G"&amp;ROW()),minfo!$A:$M,COLUMN()-8,0),"")</f>
        <v>达尔文</v>
      </c>
      <c r="S2056" s="4" t="str">
        <f ca="1">_xlfn.IFNA(VLOOKUP(INDIRECT("G"&amp;ROW()),minfo!$A:$M,COLUMN()-8,0),"")</f>
        <v>达尔文</v>
      </c>
      <c r="T2056" s="4">
        <f ca="1">_xlfn.IFNA(VLOOKUP(INDIRECT("G"&amp;ROW()),minfo!$A:$M,COLUMN()-8,0),"")</f>
        <v>108423038</v>
      </c>
      <c r="U2056" s="4">
        <f ca="1">_xlfn.IFNA(VLOOKUP(INDIRECT("G"&amp;ROW()),minfo!$A:$M,COLUMN()-8,0),"")</f>
        <v>0</v>
      </c>
    </row>
    <row r="2057" spans="1:21" ht="15.75" customHeight="1">
      <c r="A2057" s="15">
        <v>2056</v>
      </c>
      <c r="B2057" s="4" t="s">
        <v>5891</v>
      </c>
      <c r="D2057" s="4">
        <v>1</v>
      </c>
      <c r="E2057" s="4" t="s">
        <v>5892</v>
      </c>
      <c r="F2057" s="4" t="s">
        <v>5883</v>
      </c>
      <c r="G2057" s="4" t="s">
        <v>1880</v>
      </c>
      <c r="H2057" s="4" t="s">
        <v>5893</v>
      </c>
      <c r="I2057" s="24" t="str">
        <f>HYPERLINK("https://www.bilibili.com/video/BV1ew4m1v7Zt?p=1","BV1ew4m1v7Zt?p=1")</f>
        <v>BV1ew4m1v7Zt?p=1</v>
      </c>
      <c r="J2057" s="4" t="str">
        <f ca="1">_xlfn.IFNA(VLOOKUP(INDIRECT("G"&amp;ROW()),minfo!$A:$M,COLUMN()-8,0),"")</f>
        <v>idontwannabeyouanymore</v>
      </c>
      <c r="K2057" s="4" t="str">
        <f ca="1">_xlfn.IFNA(VLOOKUP(INDIRECT("G"&amp;ROW()),minfo!$A:$M,COLUMN()-8,0),"")</f>
        <v>Billie Eilish</v>
      </c>
      <c r="L2057" s="4">
        <f ca="1">_xlfn.IFNA(VLOOKUP(INDIRECT("G"&amp;ROW()),minfo!$A:$M,COLUMN()-8,0),"")</f>
        <v>0</v>
      </c>
      <c r="M2057" s="4">
        <f ca="1">_xlfn.IFNA(VLOOKUP(INDIRECT("G"&amp;ROW()),minfo!$A:$M,COLUMN()-8,0),"")</f>
        <v>0</v>
      </c>
      <c r="N2057" s="4">
        <f ca="1">_xlfn.IFNA(VLOOKUP(INDIRECT("G"&amp;ROW()),minfo!$A:$M,COLUMN()-8,0),"")</f>
        <v>0</v>
      </c>
      <c r="O2057" s="4" t="str">
        <f ca="1">_xlfn.IFNA(VLOOKUP(INDIRECT("G"&amp;ROW()),minfo!$A:$M,COLUMN()-8,0),"")</f>
        <v>https://i0.hdslb.com/bfs/station_src/music_metadata/b7afec42da0b86523386b90af444ea79.jpg</v>
      </c>
      <c r="P2057" s="4" t="str">
        <f ca="1">_xlfn.IFNA(VLOOKUP(INDIRECT("G"&amp;ROW()),minfo!$A:$M,COLUMN()-8,0),"")</f>
        <v>http://i0.hdslb.com/bfs/station_src/music_metadata/d9cf90a716c883e4addfbed5b3fb35ec</v>
      </c>
      <c r="Q2057" s="4">
        <f ca="1">_xlfn.IFNA(VLOOKUP(INDIRECT("G"&amp;ROW()),minfo!$A:$M,COLUMN()-8,0),"")</f>
        <v>1281</v>
      </c>
      <c r="R2057" s="4">
        <f ca="1">_xlfn.IFNA(VLOOKUP(INDIRECT("G"&amp;ROW()),minfo!$A:$M,COLUMN()-8,0),"")</f>
        <v>0</v>
      </c>
      <c r="S2057" s="4" t="str">
        <f ca="1">_xlfn.IFNA(VLOOKUP(INDIRECT("G"&amp;ROW()),minfo!$A:$M,COLUMN()-8,0),"")</f>
        <v>dont smile at me</v>
      </c>
      <c r="T2057" s="4">
        <f ca="1">_xlfn.IFNA(VLOOKUP(INDIRECT("G"&amp;ROW()),minfo!$A:$M,COLUMN()-8,0),"")</f>
        <v>53235047</v>
      </c>
      <c r="U2057" s="4">
        <f ca="1">_xlfn.IFNA(VLOOKUP(INDIRECT("G"&amp;ROW()),minfo!$A:$M,COLUMN()-8,0),"")</f>
        <v>0</v>
      </c>
    </row>
    <row r="2058" spans="1:21" ht="15.75" customHeight="1">
      <c r="A2058" s="15">
        <v>2057</v>
      </c>
      <c r="B2058" s="4" t="s">
        <v>5868</v>
      </c>
      <c r="D2058" s="4">
        <v>1</v>
      </c>
      <c r="E2058" s="4" t="s">
        <v>816</v>
      </c>
      <c r="F2058" s="4" t="s">
        <v>5883</v>
      </c>
      <c r="G2058" s="4" t="s">
        <v>815</v>
      </c>
      <c r="H2058" s="4" t="s">
        <v>5894</v>
      </c>
      <c r="I2058" s="24" t="str">
        <f>HYPERLINK("https://www.bilibili.com/video/BV1KS411N7hH?p=1","BV1KS411N7hH?p=1")</f>
        <v>BV1KS411N7hH?p=1</v>
      </c>
      <c r="J2058" s="4" t="str">
        <f ca="1">_xlfn.IFNA(VLOOKUP(INDIRECT("G"&amp;ROW()),minfo!$A:$M,COLUMN()-8,0),"")</f>
        <v>开不了口</v>
      </c>
      <c r="K2058" s="4" t="str">
        <f ca="1">_xlfn.IFNA(VLOOKUP(INDIRECT("G"&amp;ROW()),minfo!$A:$M,COLUMN()-8,0),"")</f>
        <v>周杰伦</v>
      </c>
      <c r="L2058" s="4">
        <f ca="1">_xlfn.IFNA(VLOOKUP(INDIRECT("G"&amp;ROW()),minfo!$A:$M,COLUMN()-8,0),"")</f>
        <v>0</v>
      </c>
      <c r="M2058" s="4">
        <f ca="1">_xlfn.IFNA(VLOOKUP(INDIRECT("G"&amp;ROW()),minfo!$A:$M,COLUMN()-8,0),"")</f>
        <v>0</v>
      </c>
      <c r="N2058" s="4">
        <f ca="1">_xlfn.IFNA(VLOOKUP(INDIRECT("G"&amp;ROW()),minfo!$A:$M,COLUMN()-8,0),"")</f>
        <v>0</v>
      </c>
      <c r="O2058" s="4" t="str">
        <f ca="1">_xlfn.IFNA(VLOOKUP(INDIRECT("G"&amp;ROW()),minfo!$A:$M,COLUMN()-8,0),"")</f>
        <v>http://i0.hdslb.com/bfs/station_src/music_metadata/d0f745972711cd41b07e10e96dd6512a.jpg</v>
      </c>
      <c r="P2058" s="4" t="str">
        <f ca="1">_xlfn.IFNA(VLOOKUP(INDIRECT("G"&amp;ROW()),minfo!$A:$M,COLUMN()-8,0),"")</f>
        <v>http://i0.hdslb.com/bfs/station_src/music_metadata/9e21bb6bd3e9e6c6a099ea6fe790a7e4</v>
      </c>
      <c r="Q2058" s="4">
        <f ca="1">_xlfn.IFNA(VLOOKUP(INDIRECT("G"&amp;ROW()),minfo!$A:$M,COLUMN()-8,0),"")</f>
        <v>1670</v>
      </c>
      <c r="R2058" s="4">
        <f ca="1">_xlfn.IFNA(VLOOKUP(INDIRECT("G"&amp;ROW()),minfo!$A:$M,COLUMN()-8,0),"")</f>
        <v>0</v>
      </c>
      <c r="S2058" s="4" t="str">
        <f ca="1">_xlfn.IFNA(VLOOKUP(INDIRECT("G"&amp;ROW()),minfo!$A:$M,COLUMN()-8,0),"")</f>
        <v>范特西</v>
      </c>
      <c r="T2058" s="4">
        <f ca="1">_xlfn.IFNA(VLOOKUP(INDIRECT("G"&amp;ROW()),minfo!$A:$M,COLUMN()-8,0),"")</f>
        <v>374265212</v>
      </c>
      <c r="U2058" s="4">
        <f ca="1">_xlfn.IFNA(VLOOKUP(INDIRECT("G"&amp;ROW()),minfo!$A:$M,COLUMN()-8,0),"")</f>
        <v>0</v>
      </c>
    </row>
    <row r="2059" spans="1:21" ht="15.75" customHeight="1">
      <c r="A2059" s="15">
        <v>2058</v>
      </c>
      <c r="B2059" s="4" t="s">
        <v>5895</v>
      </c>
      <c r="D2059" s="4">
        <v>1</v>
      </c>
      <c r="E2059" s="4" t="s">
        <v>1350</v>
      </c>
      <c r="F2059" s="4" t="s">
        <v>5896</v>
      </c>
      <c r="G2059" s="4" t="s">
        <v>1349</v>
      </c>
      <c r="H2059" s="4" t="s">
        <v>5897</v>
      </c>
      <c r="I2059" s="24" t="str">
        <f>HYPERLINK("https://www.bilibili.com/video/BV1J1421r7da?p=1","BV1J1421r7da?p=1")</f>
        <v>BV1J1421r7da?p=1</v>
      </c>
      <c r="J2059" s="4" t="str">
        <f ca="1">_xlfn.IFNA(VLOOKUP(INDIRECT("G"&amp;ROW()),minfo!$A:$M,COLUMN()-8,0),"")</f>
        <v>我要你</v>
      </c>
      <c r="K2059" s="4" t="str">
        <f ca="1">_xlfn.IFNA(VLOOKUP(INDIRECT("G"&amp;ROW()),minfo!$A:$M,COLUMN()-8,0),"")</f>
        <v>任素汐</v>
      </c>
      <c r="L2059" s="4">
        <f ca="1">_xlfn.IFNA(VLOOKUP(INDIRECT("G"&amp;ROW()),minfo!$A:$M,COLUMN()-8,0),"")</f>
        <v>0</v>
      </c>
      <c r="M2059" s="4">
        <f ca="1">_xlfn.IFNA(VLOOKUP(INDIRECT("G"&amp;ROW()),minfo!$A:$M,COLUMN()-8,0),"")</f>
        <v>0</v>
      </c>
      <c r="N2059" s="4">
        <f ca="1">_xlfn.IFNA(VLOOKUP(INDIRECT("G"&amp;ROW()),minfo!$A:$M,COLUMN()-8,0),"")</f>
        <v>0</v>
      </c>
      <c r="O2059" s="4" t="str">
        <f ca="1">_xlfn.IFNA(VLOOKUP(INDIRECT("G"&amp;ROW()),minfo!$A:$M,COLUMN()-8,0),"")</f>
        <v>https://i0.hdslb.com/bfs/station_src/music_metadata/4197804876b3e8b55ed60f8cd7778bf5.jpg</v>
      </c>
      <c r="P2059" s="4" t="str">
        <f ca="1">_xlfn.IFNA(VLOOKUP(INDIRECT("G"&amp;ROW()),minfo!$A:$M,COLUMN()-8,0),"")</f>
        <v>http://i0.hdslb.com/bfs/station_src/music_metadata/28b442d4a42e2442ddfd968f07fe7b09</v>
      </c>
      <c r="Q2059" s="4">
        <f ca="1">_xlfn.IFNA(VLOOKUP(INDIRECT("G"&amp;ROW()),minfo!$A:$M,COLUMN()-8,0),"")</f>
        <v>232</v>
      </c>
      <c r="R2059" s="4" t="str">
        <f ca="1">_xlfn.IFNA(VLOOKUP(INDIRECT("G"&amp;ROW()),minfo!$A:$M,COLUMN()-8,0),"")</f>
        <v>《驴得水》电影主题曲</v>
      </c>
      <c r="S2059" s="4">
        <f ca="1">_xlfn.IFNA(VLOOKUP(INDIRECT("G"&amp;ROW()),minfo!$A:$M,COLUMN()-8,0),"")</f>
        <v>0</v>
      </c>
      <c r="T2059" s="4">
        <f ca="1">_xlfn.IFNA(VLOOKUP(INDIRECT("G"&amp;ROW()),minfo!$A:$M,COLUMN()-8,0),"")</f>
        <v>114183476</v>
      </c>
      <c r="U2059" s="4">
        <f ca="1">_xlfn.IFNA(VLOOKUP(INDIRECT("G"&amp;ROW()),minfo!$A:$M,COLUMN()-8,0),"")</f>
        <v>0</v>
      </c>
    </row>
    <row r="2060" spans="1:21" ht="15.75" customHeight="1">
      <c r="A2060" s="15">
        <v>2059</v>
      </c>
      <c r="B2060" s="4" t="s">
        <v>5898</v>
      </c>
      <c r="D2060" s="4">
        <v>1</v>
      </c>
      <c r="E2060" s="4" t="s">
        <v>2628</v>
      </c>
      <c r="F2060" s="4" t="s">
        <v>5896</v>
      </c>
      <c r="G2060" s="4" t="s">
        <v>2627</v>
      </c>
      <c r="H2060" s="4" t="s">
        <v>5899</v>
      </c>
      <c r="I2060" s="24" t="str">
        <f>HYPERLINK("https://www.bilibili.com/video/BV1iy411z7o3?p=1","BV1iy411z7o3?p=1")</f>
        <v>BV1iy411z7o3?p=1</v>
      </c>
      <c r="J2060" s="4" t="str">
        <f ca="1">_xlfn.IFNA(VLOOKUP(INDIRECT("G"&amp;ROW()),minfo!$A:$M,COLUMN()-8,0),"")</f>
        <v>星辰大海</v>
      </c>
      <c r="K2060" s="4" t="str">
        <f ca="1">_xlfn.IFNA(VLOOKUP(INDIRECT("G"&amp;ROW()),minfo!$A:$M,COLUMN()-8,0),"")</f>
        <v>黄霄雲</v>
      </c>
      <c r="L2060" s="4">
        <f ca="1">_xlfn.IFNA(VLOOKUP(INDIRECT("G"&amp;ROW()),minfo!$A:$M,COLUMN()-8,0),"")</f>
        <v>0</v>
      </c>
      <c r="M2060" s="4">
        <f ca="1">_xlfn.IFNA(VLOOKUP(INDIRECT("G"&amp;ROW()),minfo!$A:$M,COLUMN()-8,0),"")</f>
        <v>0</v>
      </c>
      <c r="N2060" s="4">
        <f ca="1">_xlfn.IFNA(VLOOKUP(INDIRECT("G"&amp;ROW()),minfo!$A:$M,COLUMN()-8,0),"")</f>
        <v>0</v>
      </c>
      <c r="O2060" s="4" t="str">
        <f ca="1">_xlfn.IFNA(VLOOKUP(INDIRECT("G"&amp;ROW()),minfo!$A:$M,COLUMN()-8,0),"")</f>
        <v>http://i0.hdslb.com/bfs/station_src/music_metadata/ca24fafb684d7c01cd5d36d80d309e9b.jpg</v>
      </c>
      <c r="P2060" s="4" t="str">
        <f ca="1">_xlfn.IFNA(VLOOKUP(INDIRECT("G"&amp;ROW()),minfo!$A:$M,COLUMN()-8,0),"")</f>
        <v>http://i0.hdslb.com/bfs/station_src/music_metadata/c2c80feecca32d72661cd9d636cb1470</v>
      </c>
      <c r="Q2060" s="4">
        <f ca="1">_xlfn.IFNA(VLOOKUP(INDIRECT("G"&amp;ROW()),minfo!$A:$M,COLUMN()-8,0),"")</f>
        <v>1782</v>
      </c>
      <c r="R2060" s="4">
        <f ca="1">_xlfn.IFNA(VLOOKUP(INDIRECT("G"&amp;ROW()),minfo!$A:$M,COLUMN()-8,0),"")</f>
        <v>0</v>
      </c>
      <c r="S2060" s="4" t="str">
        <f ca="1">_xlfn.IFNA(VLOOKUP(INDIRECT("G"&amp;ROW()),minfo!$A:$M,COLUMN()-8,0),"")</f>
        <v>星辰大海</v>
      </c>
      <c r="T2060" s="4">
        <f ca="1">_xlfn.IFNA(VLOOKUP(INDIRECT("G"&amp;ROW()),minfo!$A:$M,COLUMN()-8,0),"")</f>
        <v>468038910</v>
      </c>
      <c r="U2060" s="4">
        <f ca="1">_xlfn.IFNA(VLOOKUP(INDIRECT("G"&amp;ROW()),minfo!$A:$M,COLUMN()-8,0),"")</f>
        <v>0</v>
      </c>
    </row>
    <row r="2061" spans="1:21" ht="15.75" customHeight="1">
      <c r="A2061" s="15">
        <v>2060</v>
      </c>
      <c r="B2061" s="4" t="s">
        <v>5900</v>
      </c>
      <c r="D2061" s="4">
        <v>1</v>
      </c>
      <c r="E2061" s="4" t="s">
        <v>741</v>
      </c>
      <c r="F2061" s="4" t="s">
        <v>5896</v>
      </c>
      <c r="G2061" s="4" t="s">
        <v>740</v>
      </c>
      <c r="H2061" s="4" t="s">
        <v>5901</v>
      </c>
      <c r="I2061" s="24" t="str">
        <f>HYPERLINK("https://www.bilibili.com/video/BV134421D7SX?p=1","BV134421D7SX?p=1")</f>
        <v>BV134421D7SX?p=1</v>
      </c>
      <c r="J2061" s="4" t="str">
        <f ca="1">_xlfn.IFNA(VLOOKUP(INDIRECT("G"&amp;ROW()),minfo!$A:$M,COLUMN()-8,0),"")</f>
        <v>遇见</v>
      </c>
      <c r="K2061" s="4" t="str">
        <f ca="1">_xlfn.IFNA(VLOOKUP(INDIRECT("G"&amp;ROW()),minfo!$A:$M,COLUMN()-8,0),"")</f>
        <v>孙燕姿</v>
      </c>
      <c r="L2061" s="4">
        <f ca="1">_xlfn.IFNA(VLOOKUP(INDIRECT("G"&amp;ROW()),minfo!$A:$M,COLUMN()-8,0),"")</f>
        <v>0</v>
      </c>
      <c r="M2061" s="4">
        <f ca="1">_xlfn.IFNA(VLOOKUP(INDIRECT("G"&amp;ROW()),minfo!$A:$M,COLUMN()-8,0),"")</f>
        <v>0</v>
      </c>
      <c r="N2061" s="4">
        <f ca="1">_xlfn.IFNA(VLOOKUP(INDIRECT("G"&amp;ROW()),minfo!$A:$M,COLUMN()-8,0),"")</f>
        <v>0</v>
      </c>
      <c r="O2061" s="4" t="str">
        <f ca="1">_xlfn.IFNA(VLOOKUP(INDIRECT("G"&amp;ROW()),minfo!$A:$M,COLUMN()-8,0),"")</f>
        <v>https://i0.hdslb.com/bfs/station_src/music_metadata/5bbf2ce1843bc60f9c57b02a09acd1ef.jpg</v>
      </c>
      <c r="P2061" s="4" t="str">
        <f ca="1">_xlfn.IFNA(VLOOKUP(INDIRECT("G"&amp;ROW()),minfo!$A:$M,COLUMN()-8,0),"")</f>
        <v>http://i0.hdslb.com/bfs/station_src/music_metadata/2523f48e1475d1352ae5e229ebdb0384</v>
      </c>
      <c r="Q2061" s="4">
        <f ca="1">_xlfn.IFNA(VLOOKUP(INDIRECT("G"&amp;ROW()),minfo!$A:$M,COLUMN()-8,0),"")</f>
        <v>1290</v>
      </c>
      <c r="R2061" s="4" t="str">
        <f ca="1">_xlfn.IFNA(VLOOKUP(INDIRECT("G"&amp;ROW()),minfo!$A:$M,COLUMN()-8,0),"")</f>
        <v>《向左走，向右走》电影主题曲</v>
      </c>
      <c r="S2061" s="4" t="str">
        <f ca="1">_xlfn.IFNA(VLOOKUP(INDIRECT("G"&amp;ROW()),minfo!$A:$M,COLUMN()-8,0),"")</f>
        <v>The Moment</v>
      </c>
      <c r="T2061" s="4">
        <f ca="1">_xlfn.IFNA(VLOOKUP(INDIRECT("G"&amp;ROW()),minfo!$A:$M,COLUMN()-8,0),"")</f>
        <v>486888927</v>
      </c>
      <c r="U2061" s="4" t="str">
        <f ca="1">_xlfn.IFNA(VLOOKUP(INDIRECT("G"&amp;ROW()),minfo!$A:$M,COLUMN()-8,0),"")</f>
        <v>音乐榜最高NO.15</v>
      </c>
    </row>
    <row r="2062" spans="1:21" ht="15.75" customHeight="1">
      <c r="A2062" s="15">
        <v>2061</v>
      </c>
      <c r="B2062" s="4" t="s">
        <v>5902</v>
      </c>
      <c r="D2062" s="4">
        <v>1</v>
      </c>
      <c r="E2062" s="4" t="s">
        <v>2224</v>
      </c>
      <c r="F2062" s="4" t="s">
        <v>5896</v>
      </c>
      <c r="G2062" s="4" t="s">
        <v>2223</v>
      </c>
      <c r="H2062" s="4" t="s">
        <v>5903</v>
      </c>
      <c r="I2062" s="24" t="str">
        <f>HYPERLINK("https://www.bilibili.com/video/BV1hf421Q73V?p=1","BV1hf421Q73V?p=1")</f>
        <v>BV1hf421Q73V?p=1</v>
      </c>
      <c r="J2062" s="4" t="str">
        <f ca="1">_xlfn.IFNA(VLOOKUP(INDIRECT("G"&amp;ROW()),minfo!$A:$M,COLUMN()-8,0),"")</f>
        <v>最美的期待</v>
      </c>
      <c r="K2062" s="4" t="str">
        <f ca="1">_xlfn.IFNA(VLOOKUP(INDIRECT("G"&amp;ROW()),minfo!$A:$M,COLUMN()-8,0),"")</f>
        <v>周笔畅</v>
      </c>
      <c r="L2062" s="4">
        <f ca="1">_xlfn.IFNA(VLOOKUP(INDIRECT("G"&amp;ROW()),minfo!$A:$M,COLUMN()-8,0),"")</f>
        <v>0</v>
      </c>
      <c r="M2062" s="4">
        <f ca="1">_xlfn.IFNA(VLOOKUP(INDIRECT("G"&amp;ROW()),minfo!$A:$M,COLUMN()-8,0),"")</f>
        <v>0</v>
      </c>
      <c r="N2062" s="4">
        <f ca="1">_xlfn.IFNA(VLOOKUP(INDIRECT("G"&amp;ROW()),minfo!$A:$M,COLUMN()-8,0),"")</f>
        <v>0</v>
      </c>
      <c r="O2062" s="4" t="str">
        <f ca="1">_xlfn.IFNA(VLOOKUP(INDIRECT("G"&amp;ROW()),minfo!$A:$M,COLUMN()-8,0),"")</f>
        <v>https://i0.hdslb.com/bfs/station_src/music_metadata/f2a2a8c93cd09a6682d0a39064813d69.jpg</v>
      </c>
      <c r="P2062" s="4" t="str">
        <f ca="1">_xlfn.IFNA(VLOOKUP(INDIRECT("G"&amp;ROW()),minfo!$A:$M,COLUMN()-8,0),"")</f>
        <v>http://i0.hdslb.com/bfs/station_src/music_metadata/76dd4b0f588d1a3ad4d799d610379778</v>
      </c>
      <c r="Q2062" s="4">
        <f ca="1">_xlfn.IFNA(VLOOKUP(INDIRECT("G"&amp;ROW()),minfo!$A:$M,COLUMN()-8,0),"")</f>
        <v>635</v>
      </c>
      <c r="R2062" s="4" t="str">
        <f ca="1">_xlfn.IFNA(VLOOKUP(INDIRECT("G"&amp;ROW()),minfo!$A:$M,COLUMN()-8,0),"")</f>
        <v>《茧镇奇缘》电视剧片头曲</v>
      </c>
      <c r="S2062" s="4" t="str">
        <f ca="1">_xlfn.IFNA(VLOOKUP(INDIRECT("G"&amp;ROW()),minfo!$A:$M,COLUMN()-8,0),"")</f>
        <v>最美的期待</v>
      </c>
      <c r="T2062" s="4">
        <f ca="1">_xlfn.IFNA(VLOOKUP(INDIRECT("G"&amp;ROW()),minfo!$A:$M,COLUMN()-8,0),"")</f>
        <v>333836783</v>
      </c>
      <c r="U2062" s="4">
        <f ca="1">_xlfn.IFNA(VLOOKUP(INDIRECT("G"&amp;ROW()),minfo!$A:$M,COLUMN()-8,0),"")</f>
        <v>0</v>
      </c>
    </row>
    <row r="2063" spans="1:21" ht="15.75" customHeight="1">
      <c r="A2063" s="15">
        <v>2062</v>
      </c>
      <c r="B2063" s="4" t="s">
        <v>5904</v>
      </c>
      <c r="D2063" s="4">
        <v>1</v>
      </c>
      <c r="E2063" s="4" t="s">
        <v>5905</v>
      </c>
      <c r="F2063" s="4" t="s">
        <v>5896</v>
      </c>
      <c r="G2063" s="4" t="s">
        <v>3398</v>
      </c>
      <c r="H2063" s="4" t="s">
        <v>5906</v>
      </c>
      <c r="I2063" s="24" t="str">
        <f>HYPERLINK("https://www.bilibili.com/video/BV1Ei421e7dK?p=1","BV1Ei421e7dK?p=1")</f>
        <v>BV1Ei421e7dK?p=1</v>
      </c>
      <c r="J2063" s="4" t="str">
        <f ca="1">_xlfn.IFNA(VLOOKUP(INDIRECT("G"&amp;ROW()),minfo!$A:$M,COLUMN()-8,0),"")</f>
        <v>追光者</v>
      </c>
      <c r="K2063" s="4" t="str">
        <f ca="1">_xlfn.IFNA(VLOOKUP(INDIRECT("G"&amp;ROW()),minfo!$A:$M,COLUMN()-8,0),"")</f>
        <v>岑宁儿</v>
      </c>
      <c r="L2063" s="4">
        <f ca="1">_xlfn.IFNA(VLOOKUP(INDIRECT("G"&amp;ROW()),minfo!$A:$M,COLUMN()-8,0),"")</f>
        <v>0</v>
      </c>
      <c r="M2063" s="4">
        <f ca="1">_xlfn.IFNA(VLOOKUP(INDIRECT("G"&amp;ROW()),minfo!$A:$M,COLUMN()-8,0),"")</f>
        <v>0</v>
      </c>
      <c r="N2063" s="4">
        <f ca="1">_xlfn.IFNA(VLOOKUP(INDIRECT("G"&amp;ROW()),minfo!$A:$M,COLUMN()-8,0),"")</f>
        <v>0</v>
      </c>
      <c r="O2063" s="4" t="str">
        <f ca="1">_xlfn.IFNA(VLOOKUP(INDIRECT("G"&amp;ROW()),minfo!$A:$M,COLUMN()-8,0),"")</f>
        <v>http://i0.hdslb.com/bfs/station_src/music_metadata/5af493ba1956e85b6eb523c1bdb0eea5.jpg</v>
      </c>
      <c r="P2063" s="4" t="str">
        <f ca="1">_xlfn.IFNA(VLOOKUP(INDIRECT("G"&amp;ROW()),minfo!$A:$M,COLUMN()-8,0),"")</f>
        <v>http://i0.hdslb.com/bfs/station_src/music_metadata/487899f2d84fc00f88fcef7028a9e800</v>
      </c>
      <c r="Q2063" s="4">
        <f ca="1">_xlfn.IFNA(VLOOKUP(INDIRECT("G"&amp;ROW()),minfo!$A:$M,COLUMN()-8,0),"")</f>
        <v>1339</v>
      </c>
      <c r="R2063" s="4">
        <f ca="1">_xlfn.IFNA(VLOOKUP(INDIRECT("G"&amp;ROW()),minfo!$A:$M,COLUMN()-8,0),"")</f>
        <v>0</v>
      </c>
      <c r="S2063" s="4" t="str">
        <f ca="1">_xlfn.IFNA(VLOOKUP(INDIRECT("G"&amp;ROW()),minfo!$A:$M,COLUMN()-8,0),"")</f>
        <v>夏至未至 电视剧原声带</v>
      </c>
      <c r="T2063" s="4">
        <f ca="1">_xlfn.IFNA(VLOOKUP(INDIRECT("G"&amp;ROW()),minfo!$A:$M,COLUMN()-8,0),"")</f>
        <v>570127969</v>
      </c>
      <c r="U2063" s="4">
        <f ca="1">_xlfn.IFNA(VLOOKUP(INDIRECT("G"&amp;ROW()),minfo!$A:$M,COLUMN()-8,0),"")</f>
        <v>0</v>
      </c>
    </row>
    <row r="2064" spans="1:21" ht="15.75" customHeight="1">
      <c r="A2064" s="15">
        <v>2063</v>
      </c>
      <c r="B2064" s="4" t="s">
        <v>5868</v>
      </c>
      <c r="D2064" s="4">
        <v>1</v>
      </c>
      <c r="E2064" s="4" t="s">
        <v>816</v>
      </c>
      <c r="F2064" s="4" t="s">
        <v>5907</v>
      </c>
      <c r="G2064" s="4" t="s">
        <v>815</v>
      </c>
      <c r="H2064" s="4" t="s">
        <v>5908</v>
      </c>
      <c r="I2064" s="24" t="str">
        <f>HYPERLINK("https://www.bilibili.com/video/BV1qM4m1m7Cr?p=1","BV1qM4m1m7Cr?p=1")</f>
        <v>BV1qM4m1m7Cr?p=1</v>
      </c>
      <c r="J2064" s="4" t="str">
        <f ca="1">_xlfn.IFNA(VLOOKUP(INDIRECT("G"&amp;ROW()),minfo!$A:$M,COLUMN()-8,0),"")</f>
        <v>开不了口</v>
      </c>
      <c r="K2064" s="4" t="str">
        <f ca="1">_xlfn.IFNA(VLOOKUP(INDIRECT("G"&amp;ROW()),minfo!$A:$M,COLUMN()-8,0),"")</f>
        <v>周杰伦</v>
      </c>
      <c r="L2064" s="4">
        <f ca="1">_xlfn.IFNA(VLOOKUP(INDIRECT("G"&amp;ROW()),minfo!$A:$M,COLUMN()-8,0),"")</f>
        <v>0</v>
      </c>
      <c r="M2064" s="4">
        <f ca="1">_xlfn.IFNA(VLOOKUP(INDIRECT("G"&amp;ROW()),minfo!$A:$M,COLUMN()-8,0),"")</f>
        <v>0</v>
      </c>
      <c r="N2064" s="4">
        <f ca="1">_xlfn.IFNA(VLOOKUP(INDIRECT("G"&amp;ROW()),minfo!$A:$M,COLUMN()-8,0),"")</f>
        <v>0</v>
      </c>
      <c r="O2064" s="4" t="str">
        <f ca="1">_xlfn.IFNA(VLOOKUP(INDIRECT("G"&amp;ROW()),minfo!$A:$M,COLUMN()-8,0),"")</f>
        <v>http://i0.hdslb.com/bfs/station_src/music_metadata/d0f745972711cd41b07e10e96dd6512a.jpg</v>
      </c>
      <c r="P2064" s="4" t="str">
        <f ca="1">_xlfn.IFNA(VLOOKUP(INDIRECT("G"&amp;ROW()),minfo!$A:$M,COLUMN()-8,0),"")</f>
        <v>http://i0.hdslb.com/bfs/station_src/music_metadata/9e21bb6bd3e9e6c6a099ea6fe790a7e4</v>
      </c>
      <c r="Q2064" s="4">
        <f ca="1">_xlfn.IFNA(VLOOKUP(INDIRECT("G"&amp;ROW()),minfo!$A:$M,COLUMN()-8,0),"")</f>
        <v>1670</v>
      </c>
      <c r="R2064" s="4">
        <f ca="1">_xlfn.IFNA(VLOOKUP(INDIRECT("G"&amp;ROW()),minfo!$A:$M,COLUMN()-8,0),"")</f>
        <v>0</v>
      </c>
      <c r="S2064" s="4" t="str">
        <f ca="1">_xlfn.IFNA(VLOOKUP(INDIRECT("G"&amp;ROW()),minfo!$A:$M,COLUMN()-8,0),"")</f>
        <v>范特西</v>
      </c>
      <c r="T2064" s="4">
        <f ca="1">_xlfn.IFNA(VLOOKUP(INDIRECT("G"&amp;ROW()),minfo!$A:$M,COLUMN()-8,0),"")</f>
        <v>374265212</v>
      </c>
      <c r="U2064" s="4">
        <f ca="1">_xlfn.IFNA(VLOOKUP(INDIRECT("G"&amp;ROW()),minfo!$A:$M,COLUMN()-8,0),"")</f>
        <v>0</v>
      </c>
    </row>
    <row r="2065" spans="1:21" ht="15.75" customHeight="1">
      <c r="A2065" s="15">
        <v>2064</v>
      </c>
      <c r="B2065" s="4" t="s">
        <v>5909</v>
      </c>
      <c r="D2065" s="4">
        <v>1</v>
      </c>
      <c r="E2065" s="4" t="s">
        <v>1824</v>
      </c>
      <c r="F2065" s="4" t="s">
        <v>5907</v>
      </c>
      <c r="G2065" s="4" t="s">
        <v>1823</v>
      </c>
      <c r="H2065" s="4" t="s">
        <v>5910</v>
      </c>
      <c r="I2065" s="24" t="str">
        <f>HYPERLINK("https://www.bilibili.com/video/BV1mm421V7Fi?p=1","BV1mm421V7Fi?p=1")</f>
        <v>BV1mm421V7Fi?p=1</v>
      </c>
      <c r="J2065" s="4" t="str">
        <f ca="1">_xlfn.IFNA(VLOOKUP(INDIRECT("G"&amp;ROW()),minfo!$A:$M,COLUMN()-8,0),"")</f>
        <v>月</v>
      </c>
      <c r="K2065" s="4" t="str">
        <f ca="1">_xlfn.IFNA(VLOOKUP(INDIRECT("G"&amp;ROW()),minfo!$A:$M,COLUMN()-8,0),"")</f>
        <v>郁可唯</v>
      </c>
      <c r="L2065" s="4">
        <f ca="1">_xlfn.IFNA(VLOOKUP(INDIRECT("G"&amp;ROW()),minfo!$A:$M,COLUMN()-8,0),"")</f>
        <v>0</v>
      </c>
      <c r="M2065" s="4">
        <f ca="1">_xlfn.IFNA(VLOOKUP(INDIRECT("G"&amp;ROW()),minfo!$A:$M,COLUMN()-8,0),"")</f>
        <v>0</v>
      </c>
      <c r="N2065" s="4">
        <f ca="1">_xlfn.IFNA(VLOOKUP(INDIRECT("G"&amp;ROW()),minfo!$A:$M,COLUMN()-8,0),"")</f>
        <v>0</v>
      </c>
      <c r="O2065" s="4" t="str">
        <f ca="1">_xlfn.IFNA(VLOOKUP(INDIRECT("G"&amp;ROW()),minfo!$A:$M,COLUMN()-8,0),"")</f>
        <v>https://i0.hdslb.com/bfs/station_src/music_metadata/18366082543cccb9ea83dadd477d221d.jpg</v>
      </c>
      <c r="P2065" s="4" t="str">
        <f ca="1">_xlfn.IFNA(VLOOKUP(INDIRECT("G"&amp;ROW()),minfo!$A:$M,COLUMN()-8,0),"")</f>
        <v>https://i0.hdslb.com/bfs/station_src/music_metadata/31530dd411904e556b2dcad90552b3b7.txt</v>
      </c>
      <c r="Q2065" s="4">
        <f ca="1">_xlfn.IFNA(VLOOKUP(INDIRECT("G"&amp;ROW()),minfo!$A:$M,COLUMN()-8,0),"")</f>
        <v>159</v>
      </c>
      <c r="R2065" s="4">
        <f ca="1">_xlfn.IFNA(VLOOKUP(INDIRECT("G"&amp;ROW()),minfo!$A:$M,COLUMN()-8,0),"")</f>
        <v>0</v>
      </c>
      <c r="S2065" s="4" t="str">
        <f ca="1">_xlfn.IFNA(VLOOKUP(INDIRECT("G"&amp;ROW()),minfo!$A:$M,COLUMN()-8,0),"")</f>
        <v>月</v>
      </c>
      <c r="T2065" s="4">
        <f ca="1">_xlfn.IFNA(VLOOKUP(INDIRECT("G"&amp;ROW()),minfo!$A:$M,COLUMN()-8,0),"")</f>
        <v>38638268</v>
      </c>
      <c r="U2065" s="4">
        <f ca="1">_xlfn.IFNA(VLOOKUP(INDIRECT("G"&amp;ROW()),minfo!$A:$M,COLUMN()-8,0),"")</f>
        <v>0</v>
      </c>
    </row>
    <row r="2066" spans="1:21" ht="15.75" customHeight="1">
      <c r="A2066" s="15">
        <v>2065</v>
      </c>
      <c r="B2066" s="4" t="s">
        <v>5911</v>
      </c>
      <c r="D2066" s="4">
        <v>1</v>
      </c>
      <c r="E2066" s="4" t="s">
        <v>399</v>
      </c>
      <c r="F2066" s="4" t="s">
        <v>5907</v>
      </c>
      <c r="G2066" s="4" t="s">
        <v>398</v>
      </c>
      <c r="H2066" s="4" t="s">
        <v>5912</v>
      </c>
      <c r="I2066" s="24" t="str">
        <f>HYPERLINK("https://www.bilibili.com/video/BV1ZS421d7Tx?p=1","BV1ZS421d7Tx?p=1")</f>
        <v>BV1ZS421d7Tx?p=1</v>
      </c>
      <c r="J2066" s="4" t="str">
        <f ca="1">_xlfn.IFNA(VLOOKUP(INDIRECT("G"&amp;ROW()),minfo!$A:$M,COLUMN()-8,0),"")</f>
        <v>Paper Hearts</v>
      </c>
      <c r="K2066" s="4" t="str">
        <f ca="1">_xlfn.IFNA(VLOOKUP(INDIRECT("G"&amp;ROW()),minfo!$A:$M,COLUMN()-8,0),"")</f>
        <v>Tori Kelly</v>
      </c>
      <c r="L2066" s="4">
        <f ca="1">_xlfn.IFNA(VLOOKUP(INDIRECT("G"&amp;ROW()),minfo!$A:$M,COLUMN()-8,0),"")</f>
        <v>0</v>
      </c>
      <c r="M2066" s="4">
        <f ca="1">_xlfn.IFNA(VLOOKUP(INDIRECT("G"&amp;ROW()),minfo!$A:$M,COLUMN()-8,0),"")</f>
        <v>0</v>
      </c>
      <c r="N2066" s="4">
        <f ca="1">_xlfn.IFNA(VLOOKUP(INDIRECT("G"&amp;ROW()),minfo!$A:$M,COLUMN()-8,0),"")</f>
        <v>0</v>
      </c>
      <c r="O2066" s="4" t="str">
        <f ca="1">_xlfn.IFNA(VLOOKUP(INDIRECT("G"&amp;ROW()),minfo!$A:$M,COLUMN()-8,0),"")</f>
        <v>https://i0.hdslb.com/bfs/station_src/music_metadata/d163890fde7ff71487a0619f16a06100.jpg</v>
      </c>
      <c r="P2066" s="4">
        <f ca="1">_xlfn.IFNA(VLOOKUP(INDIRECT("G"&amp;ROW()),minfo!$A:$M,COLUMN()-8,0),"")</f>
        <v>0</v>
      </c>
      <c r="Q2066" s="4">
        <f ca="1">_xlfn.IFNA(VLOOKUP(INDIRECT("G"&amp;ROW()),minfo!$A:$M,COLUMN()-8,0),"")</f>
        <v>65</v>
      </c>
      <c r="R2066" s="4">
        <f ca="1">_xlfn.IFNA(VLOOKUP(INDIRECT("G"&amp;ROW()),minfo!$A:$M,COLUMN()-8,0),"")</f>
        <v>0</v>
      </c>
      <c r="S2066" s="4" t="str">
        <f ca="1">_xlfn.IFNA(VLOOKUP(INDIRECT("G"&amp;ROW()),minfo!$A:$M,COLUMN()-8,0),"")</f>
        <v>Foreword</v>
      </c>
      <c r="T2066" s="4">
        <f ca="1">_xlfn.IFNA(VLOOKUP(INDIRECT("G"&amp;ROW()),minfo!$A:$M,COLUMN()-8,0),"")</f>
        <v>14743388</v>
      </c>
      <c r="U2066" s="4">
        <f ca="1">_xlfn.IFNA(VLOOKUP(INDIRECT("G"&amp;ROW()),minfo!$A:$M,COLUMN()-8,0),"")</f>
        <v>0</v>
      </c>
    </row>
    <row r="2067" spans="1:21" ht="15.75" customHeight="1">
      <c r="A2067" s="15">
        <v>2066</v>
      </c>
      <c r="B2067" s="4" t="s">
        <v>5913</v>
      </c>
      <c r="D2067" s="4">
        <v>1</v>
      </c>
      <c r="E2067" s="4" t="s">
        <v>3405</v>
      </c>
      <c r="F2067" s="4" t="s">
        <v>5907</v>
      </c>
      <c r="G2067" s="4" t="s">
        <v>3404</v>
      </c>
      <c r="H2067" s="4" t="s">
        <v>5914</v>
      </c>
      <c r="I2067" s="24" t="str">
        <f>HYPERLINK("https://www.bilibili.com/video/BV1sJ4m1u7Lz?p=1","BV1sJ4m1u7Lz?p=1")</f>
        <v>BV1sJ4m1u7Lz?p=1</v>
      </c>
      <c r="J2067" s="4" t="str">
        <f ca="1">_xlfn.IFNA(VLOOKUP(INDIRECT("G"&amp;ROW()),minfo!$A:$M,COLUMN()-8,0),"")</f>
        <v>珊瑚海</v>
      </c>
      <c r="K2067" s="4" t="str">
        <f ca="1">_xlfn.IFNA(VLOOKUP(INDIRECT("G"&amp;ROW()),minfo!$A:$M,COLUMN()-8,0),"")</f>
        <v>周杰伦,梁心颐</v>
      </c>
      <c r="L2067" s="4">
        <f ca="1">_xlfn.IFNA(VLOOKUP(INDIRECT("G"&amp;ROW()),minfo!$A:$M,COLUMN()-8,0),"")</f>
        <v>0</v>
      </c>
      <c r="M2067" s="4">
        <f ca="1">_xlfn.IFNA(VLOOKUP(INDIRECT("G"&amp;ROW()),minfo!$A:$M,COLUMN()-8,0),"")</f>
        <v>0</v>
      </c>
      <c r="N2067" s="4">
        <f ca="1">_xlfn.IFNA(VLOOKUP(INDIRECT("G"&amp;ROW()),minfo!$A:$M,COLUMN()-8,0),"")</f>
        <v>0</v>
      </c>
      <c r="O2067" s="4" t="str">
        <f ca="1">_xlfn.IFNA(VLOOKUP(INDIRECT("G"&amp;ROW()),minfo!$A:$M,COLUMN()-8,0),"")</f>
        <v>https://i0.hdslb.com/bfs/station_src/music_metadata/a6ca1c1db07c9fa82ccc92a199f0d2a5.jpg</v>
      </c>
      <c r="P2067" s="4" t="str">
        <f ca="1">_xlfn.IFNA(VLOOKUP(INDIRECT("G"&amp;ROW()),minfo!$A:$M,COLUMN()-8,0),"")</f>
        <v>http://i0.hdslb.com/bfs/station_src/music_metadata/55faa794cdfd02e72c76d2008b95b6e1</v>
      </c>
      <c r="Q2067" s="4">
        <f ca="1">_xlfn.IFNA(VLOOKUP(INDIRECT("G"&amp;ROW()),minfo!$A:$M,COLUMN()-8,0),"")</f>
        <v>1976</v>
      </c>
      <c r="R2067" s="4">
        <f ca="1">_xlfn.IFNA(VLOOKUP(INDIRECT("G"&amp;ROW()),minfo!$A:$M,COLUMN()-8,0),"")</f>
        <v>0</v>
      </c>
      <c r="S2067" s="4" t="str">
        <f ca="1">_xlfn.IFNA(VLOOKUP(INDIRECT("G"&amp;ROW()),minfo!$A:$M,COLUMN()-8,0),"")</f>
        <v>十一月的萧邦</v>
      </c>
      <c r="T2067" s="4">
        <f ca="1">_xlfn.IFNA(VLOOKUP(INDIRECT("G"&amp;ROW()),minfo!$A:$M,COLUMN()-8,0),"")</f>
        <v>451667350</v>
      </c>
      <c r="U2067" s="4" t="str">
        <f ca="1">_xlfn.IFNA(VLOOKUP(INDIRECT("G"&amp;ROW()),minfo!$A:$M,COLUMN()-8,0),"")</f>
        <v>音乐榜最高NO.8</v>
      </c>
    </row>
    <row r="2068" spans="1:21" ht="15.75" customHeight="1">
      <c r="A2068" s="15">
        <v>2067</v>
      </c>
      <c r="B2068" s="4" t="s">
        <v>5915</v>
      </c>
      <c r="D2068" s="4">
        <v>1</v>
      </c>
      <c r="E2068" s="4" t="s">
        <v>975</v>
      </c>
      <c r="F2068" s="4" t="s">
        <v>5907</v>
      </c>
      <c r="G2068" s="4" t="s">
        <v>974</v>
      </c>
      <c r="H2068" s="4" t="s">
        <v>5916</v>
      </c>
      <c r="I2068" s="24" t="str">
        <f>HYPERLINK("https://www.bilibili.com/video/BV1Ts421M7hk?p=1","BV1Ts421M7hk?p=1")</f>
        <v>BV1Ts421M7hk?p=1</v>
      </c>
      <c r="J2068" s="4" t="str">
        <f ca="1">_xlfn.IFNA(VLOOKUP(INDIRECT("G"&amp;ROW()),minfo!$A:$M,COLUMN()-8,0),"")</f>
        <v>如果云知道</v>
      </c>
      <c r="K2068" s="4" t="str">
        <f ca="1">_xlfn.IFNA(VLOOKUP(INDIRECT("G"&amp;ROW()),minfo!$A:$M,COLUMN()-8,0),"")</f>
        <v>许茹芸</v>
      </c>
      <c r="L2068" s="4">
        <f ca="1">_xlfn.IFNA(VLOOKUP(INDIRECT("G"&amp;ROW()),minfo!$A:$M,COLUMN()-8,0),"")</f>
        <v>0</v>
      </c>
      <c r="M2068" s="4">
        <f ca="1">_xlfn.IFNA(VLOOKUP(INDIRECT("G"&amp;ROW()),minfo!$A:$M,COLUMN()-8,0),"")</f>
        <v>0</v>
      </c>
      <c r="N2068" s="4">
        <f ca="1">_xlfn.IFNA(VLOOKUP(INDIRECT("G"&amp;ROW()),minfo!$A:$M,COLUMN()-8,0),"")</f>
        <v>0</v>
      </c>
      <c r="O2068" s="4" t="str">
        <f ca="1">_xlfn.IFNA(VLOOKUP(INDIRECT("G"&amp;ROW()),minfo!$A:$M,COLUMN()-8,0),"")</f>
        <v>http://i0.hdslb.com/bfs/station_src/music_metadata/9da38631e2dd6f94986ba234facf8fe4.jpg</v>
      </c>
      <c r="P2068" s="4" t="str">
        <f ca="1">_xlfn.IFNA(VLOOKUP(INDIRECT("G"&amp;ROW()),minfo!$A:$M,COLUMN()-8,0),"")</f>
        <v>http://i0.hdslb.com/bfs/station_src/music_metadata/e8ddd3d5fe50c8872f21315e1a0b2309</v>
      </c>
      <c r="Q2068" s="4">
        <f ca="1">_xlfn.IFNA(VLOOKUP(INDIRECT("G"&amp;ROW()),minfo!$A:$M,COLUMN()-8,0),"")</f>
        <v>35</v>
      </c>
      <c r="R2068" s="4">
        <f ca="1">_xlfn.IFNA(VLOOKUP(INDIRECT("G"&amp;ROW()),minfo!$A:$M,COLUMN()-8,0),"")</f>
        <v>0</v>
      </c>
      <c r="S2068" s="4" t="str">
        <f ca="1">_xlfn.IFNA(VLOOKUP(INDIRECT("G"&amp;ROW()),minfo!$A:$M,COLUMN()-8,0),"")</f>
        <v>如果云知道</v>
      </c>
      <c r="T2068" s="4">
        <f ca="1">_xlfn.IFNA(VLOOKUP(INDIRECT("G"&amp;ROW()),minfo!$A:$M,COLUMN()-8,0),"")</f>
        <v>16660903</v>
      </c>
      <c r="U2068" s="4">
        <f ca="1">_xlfn.IFNA(VLOOKUP(INDIRECT("G"&amp;ROW()),minfo!$A:$M,COLUMN()-8,0),"")</f>
        <v>0</v>
      </c>
    </row>
    <row r="2069" spans="1:21" ht="15.75" customHeight="1">
      <c r="A2069" s="15">
        <v>2068</v>
      </c>
      <c r="B2069" s="4" t="s">
        <v>5917</v>
      </c>
      <c r="D2069" s="4">
        <v>1</v>
      </c>
      <c r="E2069" s="4" t="s">
        <v>83</v>
      </c>
      <c r="F2069" s="4" t="s">
        <v>5907</v>
      </c>
      <c r="G2069" s="4" t="s">
        <v>1692</v>
      </c>
      <c r="H2069" s="4" t="s">
        <v>5918</v>
      </c>
      <c r="I2069" s="24" t="str">
        <f>HYPERLINK("https://www.bilibili.com/video/BV1GS421o7kC?p=1","BV1GS421o7kC?p=1")</f>
        <v>BV1GS421o7kC?p=1</v>
      </c>
      <c r="J2069" s="4" t="str">
        <f ca="1">_xlfn.IFNA(VLOOKUP(INDIRECT("G"&amp;ROW()),minfo!$A:$M,COLUMN()-8,0),"")</f>
        <v>蜃楼之下</v>
      </c>
      <c r="K2069" s="4" t="str">
        <f ca="1">_xlfn.IFNA(VLOOKUP(INDIRECT("G"&amp;ROW()),minfo!$A:$M,COLUMN()-8,0),"")</f>
        <v>说说Crystal</v>
      </c>
      <c r="L2069" s="4">
        <f ca="1">_xlfn.IFNA(VLOOKUP(INDIRECT("G"&amp;ROW()),minfo!$A:$M,COLUMN()-8,0),"")</f>
        <v>0</v>
      </c>
      <c r="M2069" s="4">
        <f ca="1">_xlfn.IFNA(VLOOKUP(INDIRECT("G"&amp;ROW()),minfo!$A:$M,COLUMN()-8,0),"")</f>
        <v>0</v>
      </c>
      <c r="N2069" s="4">
        <f ca="1">_xlfn.IFNA(VLOOKUP(INDIRECT("G"&amp;ROW()),minfo!$A:$M,COLUMN()-8,0),"")</f>
        <v>0</v>
      </c>
      <c r="O2069" s="4" t="str">
        <f ca="1">_xlfn.IFNA(VLOOKUP(INDIRECT("G"&amp;ROW()),minfo!$A:$M,COLUMN()-8,0),"")</f>
        <v>https://i0.hdslb.com/bfs/station_src/music_metadata/4e2fa6c3be188c96f2fcbacdcd7c32b9.jpg</v>
      </c>
      <c r="P2069" s="4" t="str">
        <f ca="1">_xlfn.IFNA(VLOOKUP(INDIRECT("G"&amp;ROW()),minfo!$A:$M,COLUMN()-8,0),"")</f>
        <v>https://i0.hdslb.com/bfs/station_src/music_metadata/5fb02cb51d8da687f91eef8353e8054f.txt</v>
      </c>
      <c r="Q2069" s="4">
        <f ca="1">_xlfn.IFNA(VLOOKUP(INDIRECT("G"&amp;ROW()),minfo!$A:$M,COLUMN()-8,0),"")</f>
        <v>0</v>
      </c>
      <c r="R2069" s="4" t="str">
        <f ca="1">_xlfn.IFNA(VLOOKUP(INDIRECT("G"&amp;ROW()),minfo!$A:$M,COLUMN()-8,0),"")</f>
        <v>《红荒》片头曲</v>
      </c>
      <c r="S2069" s="4" t="str">
        <f ca="1">_xlfn.IFNA(VLOOKUP(INDIRECT("G"&amp;ROW()),minfo!$A:$M,COLUMN()-8,0),"")</f>
        <v>红荒 动画原声带</v>
      </c>
      <c r="T2069" s="4">
        <f ca="1">_xlfn.IFNA(VLOOKUP(INDIRECT("G"&amp;ROW()),minfo!$A:$M,COLUMN()-8,0),"")</f>
        <v>403200</v>
      </c>
      <c r="U2069" s="4">
        <f ca="1">_xlfn.IFNA(VLOOKUP(INDIRECT("G"&amp;ROW()),minfo!$A:$M,COLUMN()-8,0),"")</f>
        <v>0</v>
      </c>
    </row>
    <row r="2070" spans="1:21" ht="15.75" customHeight="1">
      <c r="A2070" s="15">
        <v>2069</v>
      </c>
      <c r="B2070" s="4" t="s">
        <v>5919</v>
      </c>
      <c r="D2070" s="4">
        <v>1</v>
      </c>
      <c r="E2070" s="4" t="s">
        <v>3410</v>
      </c>
      <c r="F2070" s="4" t="s">
        <v>5907</v>
      </c>
      <c r="G2070" s="4" t="s">
        <v>3409</v>
      </c>
      <c r="H2070" s="4" t="s">
        <v>5920</v>
      </c>
      <c r="I2070" s="24" t="str">
        <f>HYPERLINK("https://www.bilibili.com/video/BV1kw4m1e7yK?p=1","BV1kw4m1e7yK?p=1")</f>
        <v>BV1kw4m1e7yK?p=1</v>
      </c>
      <c r="J2070" s="4" t="str">
        <f ca="1">_xlfn.IFNA(VLOOKUP(INDIRECT("G"&amp;ROW()),minfo!$A:$M,COLUMN()-8,0),"")</f>
        <v>迷宫</v>
      </c>
      <c r="K2070" s="4" t="str">
        <f ca="1">_xlfn.IFNA(VLOOKUP(INDIRECT("G"&amp;ROW()),minfo!$A:$M,COLUMN()-8,0),"")</f>
        <v>step.jad依加</v>
      </c>
      <c r="L2070" s="4">
        <f ca="1">_xlfn.IFNA(VLOOKUP(INDIRECT("G"&amp;ROW()),minfo!$A:$M,COLUMN()-8,0),"")</f>
        <v>0</v>
      </c>
      <c r="M2070" s="4">
        <f ca="1">_xlfn.IFNA(VLOOKUP(INDIRECT("G"&amp;ROW()),minfo!$A:$M,COLUMN()-8,0),"")</f>
        <v>0</v>
      </c>
      <c r="N2070" s="4">
        <f ca="1">_xlfn.IFNA(VLOOKUP(INDIRECT("G"&amp;ROW()),minfo!$A:$M,COLUMN()-8,0),"")</f>
        <v>0</v>
      </c>
      <c r="O2070" s="4" t="str">
        <f ca="1">_xlfn.IFNA(VLOOKUP(INDIRECT("G"&amp;ROW()),minfo!$A:$M,COLUMN()-8,0),"")</f>
        <v>https://i0.hdslb.com/bfs/station_src/music_metadata/4ab9788d5332aa662c40e6622ea53190.jpg</v>
      </c>
      <c r="P2070" s="4" t="str">
        <f ca="1">_xlfn.IFNA(VLOOKUP(INDIRECT("G"&amp;ROW()),minfo!$A:$M,COLUMN()-8,0),"")</f>
        <v>https://i0.hdslb.com/bfs/station_src/music_metadata/b3519269dabfa969cd60116ca7a2b9dd.txt</v>
      </c>
      <c r="Q2070" s="4">
        <f ca="1">_xlfn.IFNA(VLOOKUP(INDIRECT("G"&amp;ROW()),minfo!$A:$M,COLUMN()-8,0),"")</f>
        <v>16</v>
      </c>
      <c r="R2070" s="4">
        <f ca="1">_xlfn.IFNA(VLOOKUP(INDIRECT("G"&amp;ROW()),minfo!$A:$M,COLUMN()-8,0),"")</f>
        <v>0</v>
      </c>
      <c r="S2070" s="4" t="str">
        <f ca="1">_xlfn.IFNA(VLOOKUP(INDIRECT("G"&amp;ROW()),minfo!$A:$M,COLUMN()-8,0),"")</f>
        <v>迷宫</v>
      </c>
      <c r="T2070" s="4">
        <f ca="1">_xlfn.IFNA(VLOOKUP(INDIRECT("G"&amp;ROW()),minfo!$A:$M,COLUMN()-8,0),"")</f>
        <v>13443964</v>
      </c>
      <c r="U2070" s="4">
        <f ca="1">_xlfn.IFNA(VLOOKUP(INDIRECT("G"&amp;ROW()),minfo!$A:$M,COLUMN()-8,0),"")</f>
        <v>0</v>
      </c>
    </row>
    <row r="2071" spans="1:21" ht="15.75" customHeight="1">
      <c r="A2071" s="15">
        <v>2070</v>
      </c>
      <c r="B2071" s="4" t="s">
        <v>5921</v>
      </c>
      <c r="D2071" s="4">
        <v>1</v>
      </c>
      <c r="E2071" s="4" t="s">
        <v>904</v>
      </c>
      <c r="F2071" s="4" t="s">
        <v>5907</v>
      </c>
      <c r="G2071" s="4" t="s">
        <v>903</v>
      </c>
      <c r="H2071" s="4" t="s">
        <v>5922</v>
      </c>
      <c r="I2071" s="24" t="str">
        <f>HYPERLINK("https://www.bilibili.com/video/BV18J4m1T79K?p=1","BV18J4m1T79K?p=1")</f>
        <v>BV18J4m1T79K?p=1</v>
      </c>
      <c r="J2071" s="4" t="str">
        <f ca="1">_xlfn.IFNA(VLOOKUP(INDIRECT("G"&amp;ROW()),minfo!$A:$M,COLUMN()-8,0),"")</f>
        <v>轨迹</v>
      </c>
      <c r="K2071" s="4" t="str">
        <f ca="1">_xlfn.IFNA(VLOOKUP(INDIRECT("G"&amp;ROW()),minfo!$A:$M,COLUMN()-8,0),"")</f>
        <v>周杰伦</v>
      </c>
      <c r="L2071" s="4">
        <f ca="1">_xlfn.IFNA(VLOOKUP(INDIRECT("G"&amp;ROW()),minfo!$A:$M,COLUMN()-8,0),"")</f>
        <v>0</v>
      </c>
      <c r="M2071" s="4">
        <f ca="1">_xlfn.IFNA(VLOOKUP(INDIRECT("G"&amp;ROW()),minfo!$A:$M,COLUMN()-8,0),"")</f>
        <v>0</v>
      </c>
      <c r="N2071" s="4">
        <f ca="1">_xlfn.IFNA(VLOOKUP(INDIRECT("G"&amp;ROW()),minfo!$A:$M,COLUMN()-8,0),"")</f>
        <v>0</v>
      </c>
      <c r="O2071" s="4" t="str">
        <f ca="1">_xlfn.IFNA(VLOOKUP(INDIRECT("G"&amp;ROW()),minfo!$A:$M,COLUMN()-8,0),"")</f>
        <v>https://i0.hdslb.com/bfs/station_src/music_metadata/439418765b962c30a2db33196128f32b.jpg</v>
      </c>
      <c r="P2071" s="4" t="str">
        <f ca="1">_xlfn.IFNA(VLOOKUP(INDIRECT("G"&amp;ROW()),minfo!$A:$M,COLUMN()-8,0),"")</f>
        <v>copyright-crawler/music/task-lyric/6267f46a504b4c0665fd7bfd.txt</v>
      </c>
      <c r="Q2071" s="4">
        <f ca="1">_xlfn.IFNA(VLOOKUP(INDIRECT("G"&amp;ROW()),minfo!$A:$M,COLUMN()-8,0),"")</f>
        <v>2850</v>
      </c>
      <c r="R2071" s="4" t="str">
        <f ca="1">_xlfn.IFNA(VLOOKUP(INDIRECT("G"&amp;ROW()),minfo!$A:$M,COLUMN()-8,0),"")</f>
        <v>轨迹</v>
      </c>
      <c r="S2071" s="4" t="str">
        <f ca="1">_xlfn.IFNA(VLOOKUP(INDIRECT("G"&amp;ROW()),minfo!$A:$M,COLUMN()-8,0),"")</f>
        <v>寻找周杰伦</v>
      </c>
      <c r="T2071" s="4">
        <f ca="1">_xlfn.IFNA(VLOOKUP(INDIRECT("G"&amp;ROW()),minfo!$A:$M,COLUMN()-8,0),"")</f>
        <v>416774055</v>
      </c>
      <c r="U2071" s="4">
        <f ca="1">_xlfn.IFNA(VLOOKUP(INDIRECT("G"&amp;ROW()),minfo!$A:$M,COLUMN()-8,0),"")</f>
        <v>0</v>
      </c>
    </row>
    <row r="2072" spans="1:21" ht="15.75" customHeight="1">
      <c r="A2072" s="15">
        <v>2071</v>
      </c>
      <c r="B2072" s="4" t="s">
        <v>5923</v>
      </c>
      <c r="D2072" s="4">
        <v>1</v>
      </c>
      <c r="E2072" s="4" t="s">
        <v>3181</v>
      </c>
      <c r="F2072" s="4" t="s">
        <v>5924</v>
      </c>
      <c r="G2072" s="4" t="s">
        <v>3180</v>
      </c>
      <c r="H2072" s="4" t="s">
        <v>5925</v>
      </c>
      <c r="I2072" s="24" t="str">
        <f>HYPERLINK("https://www.bilibili.com/video/BV1qs421T7Sg?p=1","BV1qs421T7Sg?p=1")</f>
        <v>BV1qs421T7Sg?p=1</v>
      </c>
      <c r="J2072" s="4" t="str">
        <f ca="1">_xlfn.IFNA(VLOOKUP(INDIRECT("G"&amp;ROW()),minfo!$A:$M,COLUMN()-8,0),"")</f>
        <v>如果可以</v>
      </c>
      <c r="K2072" s="4" t="str">
        <f ca="1">_xlfn.IFNA(VLOOKUP(INDIRECT("G"&amp;ROW()),minfo!$A:$M,COLUMN()-8,0),"")</f>
        <v>韦礼安</v>
      </c>
      <c r="L2072" s="4">
        <f ca="1">_xlfn.IFNA(VLOOKUP(INDIRECT("G"&amp;ROW()),minfo!$A:$M,COLUMN()-8,0),"")</f>
        <v>0</v>
      </c>
      <c r="M2072" s="4">
        <f ca="1">_xlfn.IFNA(VLOOKUP(INDIRECT("G"&amp;ROW()),minfo!$A:$M,COLUMN()-8,0),"")</f>
        <v>0</v>
      </c>
      <c r="N2072" s="4">
        <f ca="1">_xlfn.IFNA(VLOOKUP(INDIRECT("G"&amp;ROW()),minfo!$A:$M,COLUMN()-8,0),"")</f>
        <v>0</v>
      </c>
      <c r="O2072" s="4" t="str">
        <f ca="1">_xlfn.IFNA(VLOOKUP(INDIRECT("G"&amp;ROW()),minfo!$A:$M,COLUMN()-8,0),"")</f>
        <v>https://i0.hdslb.com/bfs/station_src/music_metadata/3d52e1d9e9d668310f6fb22c7c34650c.jpg</v>
      </c>
      <c r="P2072" s="4" t="str">
        <f ca="1">_xlfn.IFNA(VLOOKUP(INDIRECT("G"&amp;ROW()),minfo!$A:$M,COLUMN()-8,0),"")</f>
        <v>http://i0.hdslb.com/bfs/station_src/music_metadata/0d57c85e1991b51c43332c9b6cb6c1d4</v>
      </c>
      <c r="Q2072" s="4">
        <f ca="1">_xlfn.IFNA(VLOOKUP(INDIRECT("G"&amp;ROW()),minfo!$A:$M,COLUMN()-8,0),"")</f>
        <v>1735</v>
      </c>
      <c r="R2072" s="4" t="str">
        <f ca="1">_xlfn.IFNA(VLOOKUP(INDIRECT("G"&amp;ROW()),minfo!$A:$M,COLUMN()-8,0),"")</f>
        <v>《月老》电影主题曲</v>
      </c>
      <c r="S2072" s="4" t="str">
        <f ca="1">_xlfn.IFNA(VLOOKUP(INDIRECT("G"&amp;ROW()),minfo!$A:$M,COLUMN()-8,0),"")</f>
        <v>如果可以</v>
      </c>
      <c r="T2072" s="4">
        <f ca="1">_xlfn.IFNA(VLOOKUP(INDIRECT("G"&amp;ROW()),minfo!$A:$M,COLUMN()-8,0),"")</f>
        <v>123868678</v>
      </c>
      <c r="U2072" s="4">
        <f ca="1">_xlfn.IFNA(VLOOKUP(INDIRECT("G"&amp;ROW()),minfo!$A:$M,COLUMN()-8,0),"")</f>
        <v>0</v>
      </c>
    </row>
    <row r="2073" spans="1:21" ht="15.75" customHeight="1">
      <c r="A2073" s="15">
        <v>2072</v>
      </c>
      <c r="B2073" s="4" t="s">
        <v>5926</v>
      </c>
      <c r="D2073" s="4">
        <v>1</v>
      </c>
      <c r="E2073" s="4" t="s">
        <v>946</v>
      </c>
      <c r="F2073" s="4" t="s">
        <v>5924</v>
      </c>
      <c r="G2073" s="4" t="s">
        <v>945</v>
      </c>
      <c r="H2073" s="4" t="s">
        <v>5927</v>
      </c>
      <c r="I2073" s="24" t="str">
        <f>HYPERLINK("https://www.bilibili.com/video/BV1WS421d7dj?p=1","BV1WS421d7dj?p=1")</f>
        <v>BV1WS421d7dj?p=1</v>
      </c>
      <c r="J2073" s="4" t="str">
        <f ca="1">_xlfn.IFNA(VLOOKUP(INDIRECT("G"&amp;ROW()),minfo!$A:$M,COLUMN()-8,0),"")</f>
        <v>半岛铁盒</v>
      </c>
      <c r="K2073" s="4" t="str">
        <f ca="1">_xlfn.IFNA(VLOOKUP(INDIRECT("G"&amp;ROW()),minfo!$A:$M,COLUMN()-8,0),"")</f>
        <v>周杰伦</v>
      </c>
      <c r="L2073" s="4">
        <f ca="1">_xlfn.IFNA(VLOOKUP(INDIRECT("G"&amp;ROW()),minfo!$A:$M,COLUMN()-8,0),"")</f>
        <v>0</v>
      </c>
      <c r="M2073" s="4">
        <f ca="1">_xlfn.IFNA(VLOOKUP(INDIRECT("G"&amp;ROW()),minfo!$A:$M,COLUMN()-8,0),"")</f>
        <v>0</v>
      </c>
      <c r="N2073" s="4">
        <f ca="1">_xlfn.IFNA(VLOOKUP(INDIRECT("G"&amp;ROW()),minfo!$A:$M,COLUMN()-8,0),"")</f>
        <v>0</v>
      </c>
      <c r="O2073" s="4" t="str">
        <f ca="1">_xlfn.IFNA(VLOOKUP(INDIRECT("G"&amp;ROW()),minfo!$A:$M,COLUMN()-8,0),"")</f>
        <v>https://i0.hdslb.com/bfs/station_src/music_metadata/969db89b7df27aa5580e7e0a53957368.jpg</v>
      </c>
      <c r="P2073" s="4">
        <f ca="1">_xlfn.IFNA(VLOOKUP(INDIRECT("G"&amp;ROW()),minfo!$A:$M,COLUMN()-8,0),"")</f>
        <v>0</v>
      </c>
      <c r="Q2073" s="4">
        <f ca="1">_xlfn.IFNA(VLOOKUP(INDIRECT("G"&amp;ROW()),minfo!$A:$M,COLUMN()-8,0),"")</f>
        <v>6537</v>
      </c>
      <c r="R2073" s="4">
        <f ca="1">_xlfn.IFNA(VLOOKUP(INDIRECT("G"&amp;ROW()),minfo!$A:$M,COLUMN()-8,0),"")</f>
        <v>0</v>
      </c>
      <c r="S2073" s="4" t="str">
        <f ca="1">_xlfn.IFNA(VLOOKUP(INDIRECT("G"&amp;ROW()),minfo!$A:$M,COLUMN()-8,0),"")</f>
        <v>八度空间</v>
      </c>
      <c r="T2073" s="4">
        <f ca="1">_xlfn.IFNA(VLOOKUP(INDIRECT("G"&amp;ROW()),minfo!$A:$M,COLUMN()-8,0),"")</f>
        <v>569248560</v>
      </c>
      <c r="U2073" s="4">
        <f ca="1">_xlfn.IFNA(VLOOKUP(INDIRECT("G"&amp;ROW()),minfo!$A:$M,COLUMN()-8,0),"")</f>
        <v>0</v>
      </c>
    </row>
    <row r="2074" spans="1:21" ht="15.75" customHeight="1">
      <c r="A2074" s="15">
        <v>2073</v>
      </c>
      <c r="B2074" s="4" t="s">
        <v>5928</v>
      </c>
      <c r="D2074" s="4">
        <v>1</v>
      </c>
      <c r="E2074" s="4" t="s">
        <v>295</v>
      </c>
      <c r="F2074" s="4" t="s">
        <v>5924</v>
      </c>
      <c r="G2074" s="4" t="s">
        <v>294</v>
      </c>
      <c r="H2074" s="4" t="s">
        <v>5929</v>
      </c>
      <c r="I2074" s="24" t="str">
        <f>HYPERLINK("https://www.bilibili.com/video/BV15b421p7MJ?p=1","BV15b421p7MJ?p=1")</f>
        <v>BV15b421p7MJ?p=1</v>
      </c>
      <c r="J2074" s="4" t="str">
        <f ca="1">_xlfn.IFNA(VLOOKUP(INDIRECT("G"&amp;ROW()),minfo!$A:$M,COLUMN()-8,0),"")</f>
        <v>不能说的秘密</v>
      </c>
      <c r="K2074" s="4" t="str">
        <f ca="1">_xlfn.IFNA(VLOOKUP(INDIRECT("G"&amp;ROW()),minfo!$A:$M,COLUMN()-8,0),"")</f>
        <v>周杰伦</v>
      </c>
      <c r="L2074" s="4">
        <f ca="1">_xlfn.IFNA(VLOOKUP(INDIRECT("G"&amp;ROW()),minfo!$A:$M,COLUMN()-8,0),"")</f>
        <v>0</v>
      </c>
      <c r="M2074" s="4">
        <f ca="1">_xlfn.IFNA(VLOOKUP(INDIRECT("G"&amp;ROW()),minfo!$A:$M,COLUMN()-8,0),"")</f>
        <v>10838</v>
      </c>
      <c r="N2074" s="4">
        <f ca="1">_xlfn.IFNA(VLOOKUP(INDIRECT("G"&amp;ROW()),minfo!$A:$M,COLUMN()-8,0),"")</f>
        <v>384</v>
      </c>
      <c r="O2074" s="4" t="str">
        <f ca="1">_xlfn.IFNA(VLOOKUP(INDIRECT("G"&amp;ROW()),minfo!$A:$M,COLUMN()-8,0),"")</f>
        <v>https://i0.hdslb.com/bfs/station_src/music_metadata/c30e3ade8fa2d678a4fc3f717036ab49.jpg</v>
      </c>
      <c r="P2074" s="4" t="str">
        <f ca="1">_xlfn.IFNA(VLOOKUP(INDIRECT("G"&amp;ROW()),minfo!$A:$M,COLUMN()-8,0),"")</f>
        <v>http://i0.hdslb.com/bfs/station_src/music_metadata/b68ac496d2ba38e3bf8908441abecf91</v>
      </c>
      <c r="Q2074" s="4">
        <f ca="1">_xlfn.IFNA(VLOOKUP(INDIRECT("G"&amp;ROW()),minfo!$A:$M,COLUMN()-8,0),"")</f>
        <v>2938</v>
      </c>
      <c r="R2074" s="4" t="str">
        <f ca="1">_xlfn.IFNA(VLOOKUP(INDIRECT("G"&amp;ROW()),minfo!$A:$M,COLUMN()-8,0),"")</f>
        <v>《不能说的秘密》电影主题曲</v>
      </c>
      <c r="S2074" s="4" t="str">
        <f ca="1">_xlfn.IFNA(VLOOKUP(INDIRECT("G"&amp;ROW()),minfo!$A:$M,COLUMN()-8,0),"")</f>
        <v>不能说的秘密 电影原声带</v>
      </c>
      <c r="T2074" s="4">
        <f ca="1">_xlfn.IFNA(VLOOKUP(INDIRECT("G"&amp;ROW()),minfo!$A:$M,COLUMN()-8,0),"")</f>
        <v>525140241</v>
      </c>
      <c r="U2074" s="4">
        <f ca="1">_xlfn.IFNA(VLOOKUP(INDIRECT("G"&amp;ROW()),minfo!$A:$M,COLUMN()-8,0),"")</f>
        <v>0</v>
      </c>
    </row>
    <row r="2075" spans="1:21" ht="15.75" customHeight="1">
      <c r="A2075" s="15">
        <v>2074</v>
      </c>
      <c r="B2075" s="4" t="s">
        <v>5930</v>
      </c>
      <c r="D2075" s="4">
        <v>1</v>
      </c>
      <c r="E2075" s="4" t="s">
        <v>3415</v>
      </c>
      <c r="F2075" s="4" t="s">
        <v>5924</v>
      </c>
      <c r="G2075" s="4" t="s">
        <v>3414</v>
      </c>
      <c r="H2075" s="4" t="s">
        <v>5931</v>
      </c>
      <c r="I2075" s="24" t="str">
        <f>HYPERLINK("https://www.bilibili.com/video/BV1o1421r77A?p=1","BV1o1421r77A?p=1")</f>
        <v>BV1o1421r77A?p=1</v>
      </c>
      <c r="J2075" s="4" t="str">
        <f ca="1">_xlfn.IFNA(VLOOKUP(INDIRECT("G"&amp;ROW()),minfo!$A:$M,COLUMN()-8,0),"")</f>
        <v>尚好的青春</v>
      </c>
      <c r="K2075" s="4" t="str">
        <f ca="1">_xlfn.IFNA(VLOOKUP(INDIRECT("G"&amp;ROW()),minfo!$A:$M,COLUMN()-8,0),"")</f>
        <v>孙燕姿</v>
      </c>
      <c r="L2075" s="4">
        <f ca="1">_xlfn.IFNA(VLOOKUP(INDIRECT("G"&amp;ROW()),minfo!$A:$M,COLUMN()-8,0),"")</f>
        <v>0</v>
      </c>
      <c r="M2075" s="4">
        <f ca="1">_xlfn.IFNA(VLOOKUP(INDIRECT("G"&amp;ROW()),minfo!$A:$M,COLUMN()-8,0),"")</f>
        <v>0</v>
      </c>
      <c r="N2075" s="4">
        <f ca="1">_xlfn.IFNA(VLOOKUP(INDIRECT("G"&amp;ROW()),minfo!$A:$M,COLUMN()-8,0),"")</f>
        <v>0</v>
      </c>
      <c r="O2075" s="4" t="str">
        <f ca="1">_xlfn.IFNA(VLOOKUP(INDIRECT("G"&amp;ROW()),minfo!$A:$M,COLUMN()-8,0),"")</f>
        <v>http://i0.hdslb.com/bfs/station_src/music_metadata/6c7ca7c1f0c7306e22d435440cce9aa4.jpg</v>
      </c>
      <c r="P2075" s="4" t="str">
        <f ca="1">_xlfn.IFNA(VLOOKUP(INDIRECT("G"&amp;ROW()),minfo!$A:$M,COLUMN()-8,0),"")</f>
        <v>http://i0.hdslb.com/bfs/station_src/music_metadata/087c5ffcafe72ed0cac39356f9bde1bd</v>
      </c>
      <c r="Q2075" s="4">
        <f ca="1">_xlfn.IFNA(VLOOKUP(INDIRECT("G"&amp;ROW()),minfo!$A:$M,COLUMN()-8,0),"")</f>
        <v>36</v>
      </c>
      <c r="R2075" s="4">
        <f ca="1">_xlfn.IFNA(VLOOKUP(INDIRECT("G"&amp;ROW()),minfo!$A:$M,COLUMN()-8,0),"")</f>
        <v>0</v>
      </c>
      <c r="S2075" s="4">
        <f ca="1">_xlfn.IFNA(VLOOKUP(INDIRECT("G"&amp;ROW()),minfo!$A:$M,COLUMN()-8,0),"")</f>
        <v>0</v>
      </c>
      <c r="T2075" s="4">
        <f ca="1">_xlfn.IFNA(VLOOKUP(INDIRECT("G"&amp;ROW()),minfo!$A:$M,COLUMN()-8,0),"")</f>
        <v>29643037</v>
      </c>
      <c r="U2075" s="4">
        <f ca="1">_xlfn.IFNA(VLOOKUP(INDIRECT("G"&amp;ROW()),minfo!$A:$M,COLUMN()-8,0),"")</f>
        <v>0</v>
      </c>
    </row>
    <row r="2076" spans="1:21" ht="15.75" customHeight="1">
      <c r="A2076" s="15">
        <v>2075</v>
      </c>
      <c r="B2076" s="4" t="s">
        <v>5932</v>
      </c>
      <c r="D2076" s="4">
        <v>1</v>
      </c>
      <c r="E2076" s="4" t="s">
        <v>2235</v>
      </c>
      <c r="F2076" s="4" t="s">
        <v>5924</v>
      </c>
      <c r="G2076" s="4" t="s">
        <v>2234</v>
      </c>
      <c r="H2076" s="4" t="s">
        <v>5933</v>
      </c>
      <c r="I2076" s="24" t="str">
        <f>HYPERLINK("https://www.bilibili.com/video/BV1Hw4m1a7aw?p=1","BV1Hw4m1a7aw?p=1")</f>
        <v>BV1Hw4m1a7aw?p=1</v>
      </c>
      <c r="J2076" s="4" t="str">
        <f ca="1">_xlfn.IFNA(VLOOKUP(INDIRECT("G"&amp;ROW()),minfo!$A:$M,COLUMN()-8,0),"")</f>
        <v>你要的爱</v>
      </c>
      <c r="K2076" s="4" t="str">
        <f ca="1">_xlfn.IFNA(VLOOKUP(INDIRECT("G"&amp;ROW()),minfo!$A:$M,COLUMN()-8,0),"")</f>
        <v>戴佩妮</v>
      </c>
      <c r="L2076" s="4">
        <f ca="1">_xlfn.IFNA(VLOOKUP(INDIRECT("G"&amp;ROW()),minfo!$A:$M,COLUMN()-8,0),"")</f>
        <v>0</v>
      </c>
      <c r="M2076" s="4">
        <f ca="1">_xlfn.IFNA(VLOOKUP(INDIRECT("G"&amp;ROW()),minfo!$A:$M,COLUMN()-8,0),"")</f>
        <v>0</v>
      </c>
      <c r="N2076" s="4">
        <f ca="1">_xlfn.IFNA(VLOOKUP(INDIRECT("G"&amp;ROW()),minfo!$A:$M,COLUMN()-8,0),"")</f>
        <v>0</v>
      </c>
      <c r="O2076" s="4" t="str">
        <f ca="1">_xlfn.IFNA(VLOOKUP(INDIRECT("G"&amp;ROW()),minfo!$A:$M,COLUMN()-8,0),"")</f>
        <v>http://i0.hdslb.com/bfs/station_src/music_metadata/1b21e82d07af85053c48dcadc2d3f812.jpg</v>
      </c>
      <c r="P2076" s="4">
        <f ca="1">_xlfn.IFNA(VLOOKUP(INDIRECT("G"&amp;ROW()),minfo!$A:$M,COLUMN()-8,0),"")</f>
        <v>0</v>
      </c>
      <c r="Q2076" s="4">
        <f ca="1">_xlfn.IFNA(VLOOKUP(INDIRECT("G"&amp;ROW()),minfo!$A:$M,COLUMN()-8,0),"")</f>
        <v>74</v>
      </c>
      <c r="R2076" s="4">
        <f ca="1">_xlfn.IFNA(VLOOKUP(INDIRECT("G"&amp;ROW()),minfo!$A:$M,COLUMN()-8,0),"")</f>
        <v>0</v>
      </c>
      <c r="S2076" s="4" t="str">
        <f ca="1">_xlfn.IFNA(VLOOKUP(INDIRECT("G"&amp;ROW()),minfo!$A:$M,COLUMN()-8,0),"")</f>
        <v>怎样</v>
      </c>
      <c r="T2076" s="4">
        <f ca="1">_xlfn.IFNA(VLOOKUP(INDIRECT("G"&amp;ROW()),minfo!$A:$M,COLUMN()-8,0),"")</f>
        <v>49986800</v>
      </c>
      <c r="U2076" s="4">
        <f ca="1">_xlfn.IFNA(VLOOKUP(INDIRECT("G"&amp;ROW()),minfo!$A:$M,COLUMN()-8,0),"")</f>
        <v>0</v>
      </c>
    </row>
    <row r="2077" spans="1:21" ht="15.75" customHeight="1">
      <c r="A2077" s="15">
        <v>2076</v>
      </c>
      <c r="B2077" s="4" t="s">
        <v>5934</v>
      </c>
      <c r="D2077" s="4">
        <v>1</v>
      </c>
      <c r="E2077" s="4" t="s">
        <v>3419</v>
      </c>
      <c r="F2077" s="4" t="s">
        <v>5924</v>
      </c>
      <c r="G2077" s="4" t="s">
        <v>3418</v>
      </c>
      <c r="H2077" s="4" t="s">
        <v>5935</v>
      </c>
      <c r="I2077" s="24" t="str">
        <f>HYPERLINK("https://www.bilibili.com/video/BV1rw4m1Y7Vn?p=1","BV1rw4m1Y7Vn?p=1")</f>
        <v>BV1rw4m1Y7Vn?p=1</v>
      </c>
      <c r="J2077" s="4" t="str">
        <f ca="1">_xlfn.IFNA(VLOOKUP(INDIRECT("G"&amp;ROW()),minfo!$A:$M,COLUMN()-8,0),"")</f>
        <v>如果爱忘了</v>
      </c>
      <c r="K2077" s="4" t="str">
        <f ca="1">_xlfn.IFNA(VLOOKUP(INDIRECT("G"&amp;ROW()),minfo!$A:$M,COLUMN()-8,0),"")</f>
        <v>戚薇</v>
      </c>
      <c r="L2077" s="4">
        <f ca="1">_xlfn.IFNA(VLOOKUP(INDIRECT("G"&amp;ROW()),minfo!$A:$M,COLUMN()-8,0),"")</f>
        <v>0</v>
      </c>
      <c r="M2077" s="4">
        <f ca="1">_xlfn.IFNA(VLOOKUP(INDIRECT("G"&amp;ROW()),minfo!$A:$M,COLUMN()-8,0),"")</f>
        <v>0</v>
      </c>
      <c r="N2077" s="4">
        <f ca="1">_xlfn.IFNA(VLOOKUP(INDIRECT("G"&amp;ROW()),minfo!$A:$M,COLUMN()-8,0),"")</f>
        <v>0</v>
      </c>
      <c r="O2077" s="4" t="str">
        <f ca="1">_xlfn.IFNA(VLOOKUP(INDIRECT("G"&amp;ROW()),minfo!$A:$M,COLUMN()-8,0),"")</f>
        <v>http://i0.hdslb.com/bfs/station_src/music_metadata/e46799a339c1e00728f7410097aeed8f.jpg</v>
      </c>
      <c r="P2077" s="4" t="str">
        <f ca="1">_xlfn.IFNA(VLOOKUP(INDIRECT("G"&amp;ROW()),minfo!$A:$M,COLUMN()-8,0),"")</f>
        <v>http://i0.hdslb.com/bfs/station_src/music_metadata/ba782a892259e41bccc954c96c33d8ca</v>
      </c>
      <c r="Q2077" s="4">
        <f ca="1">_xlfn.IFNA(VLOOKUP(INDIRECT("G"&amp;ROW()),minfo!$A:$M,COLUMN()-8,0),"")</f>
        <v>5317</v>
      </c>
      <c r="R2077" s="4" t="str">
        <f ca="1">_xlfn.IFNA(VLOOKUP(INDIRECT("G"&amp;ROW()),minfo!$A:$M,COLUMN()-8,0),"")</f>
        <v>《爱情睡醒了》电视剧片尾曲</v>
      </c>
      <c r="S2077" s="4" t="str">
        <f ca="1">_xlfn.IFNA(VLOOKUP(INDIRECT("G"&amp;ROW()),minfo!$A:$M,COLUMN()-8,0),"")</f>
        <v>如果爱忘了</v>
      </c>
      <c r="T2077" s="4">
        <f ca="1">_xlfn.IFNA(VLOOKUP(INDIRECT("G"&amp;ROW()),minfo!$A:$M,COLUMN()-8,0),"")</f>
        <v>843572009</v>
      </c>
      <c r="U2077" s="4" t="str">
        <f ca="1">_xlfn.IFNA(VLOOKUP(INDIRECT("G"&amp;ROW()),minfo!$A:$M,COLUMN()-8,0),"")</f>
        <v>音乐榜最高NO.5</v>
      </c>
    </row>
    <row r="2078" spans="1:21" ht="15.75" customHeight="1">
      <c r="A2078" s="15">
        <v>2077</v>
      </c>
      <c r="B2078" s="4" t="s">
        <v>5936</v>
      </c>
      <c r="D2078" s="4">
        <v>1</v>
      </c>
      <c r="E2078" s="4" t="s">
        <v>1553</v>
      </c>
      <c r="F2078" s="4" t="s">
        <v>5924</v>
      </c>
      <c r="G2078" s="4" t="s">
        <v>1552</v>
      </c>
      <c r="H2078" s="4" t="s">
        <v>5937</v>
      </c>
      <c r="I2078" s="24" t="str">
        <f>HYPERLINK("https://www.bilibili.com/video/BV1iS411A7v8?p=1","BV1iS411A7v8?p=1")</f>
        <v>BV1iS411A7v8?p=1</v>
      </c>
      <c r="J2078" s="4" t="str">
        <f ca="1">_xlfn.IFNA(VLOOKUP(INDIRECT("G"&amp;ROW()),minfo!$A:$M,COLUMN()-8,0),"")</f>
        <v>光亮</v>
      </c>
      <c r="K2078" s="4" t="str">
        <f ca="1">_xlfn.IFNA(VLOOKUP(INDIRECT("G"&amp;ROW()),minfo!$A:$M,COLUMN()-8,0),"")</f>
        <v>周深</v>
      </c>
      <c r="L2078" s="4">
        <f ca="1">_xlfn.IFNA(VLOOKUP(INDIRECT("G"&amp;ROW()),minfo!$A:$M,COLUMN()-8,0),"")</f>
        <v>0</v>
      </c>
      <c r="M2078" s="4">
        <f ca="1">_xlfn.IFNA(VLOOKUP(INDIRECT("G"&amp;ROW()),minfo!$A:$M,COLUMN()-8,0),"")</f>
        <v>50129</v>
      </c>
      <c r="N2078" s="4">
        <f ca="1">_xlfn.IFNA(VLOOKUP(INDIRECT("G"&amp;ROW()),minfo!$A:$M,COLUMN()-8,0),"")</f>
        <v>14164</v>
      </c>
      <c r="O2078" s="4" t="str">
        <f ca="1">_xlfn.IFNA(VLOOKUP(INDIRECT("G"&amp;ROW()),minfo!$A:$M,COLUMN()-8,0),"")</f>
        <v>https://i0.hdslb.com/bfs/station_src/music_metadata/432327254cfcfcbb06e70cd8958eec15.jpg</v>
      </c>
      <c r="P2078" s="4" t="str">
        <f ca="1">_xlfn.IFNA(VLOOKUP(INDIRECT("G"&amp;ROW()),minfo!$A:$M,COLUMN()-8,0),"")</f>
        <v>https://i0.hdslb.com/bfs/station_src/music_metadata/bc80794f31f422159366c112e2245a93.txt</v>
      </c>
      <c r="Q2078" s="4">
        <f ca="1">_xlfn.IFNA(VLOOKUP(INDIRECT("G"&amp;ROW()),minfo!$A:$M,COLUMN()-8,0),"")</f>
        <v>637</v>
      </c>
      <c r="R2078" s="4" t="str">
        <f ca="1">_xlfn.IFNA(VLOOKUP(INDIRECT("G"&amp;ROW()),minfo!$A:$M,COLUMN()-8,0),"")</f>
        <v>《紫禁城》大型纪录片主题歌</v>
      </c>
      <c r="S2078" s="4" t="str">
        <f ca="1">_xlfn.IFNA(VLOOKUP(INDIRECT("G"&amp;ROW()),minfo!$A:$M,COLUMN()-8,0),"")</f>
        <v>大型纪录片《紫禁城》主题歌音乐专辑</v>
      </c>
      <c r="T2078" s="4">
        <f ca="1">_xlfn.IFNA(VLOOKUP(INDIRECT("G"&amp;ROW()),minfo!$A:$M,COLUMN()-8,0),"")</f>
        <v>165524997</v>
      </c>
      <c r="U2078" s="4" t="str">
        <f ca="1">_xlfn.IFNA(VLOOKUP(INDIRECT("G"&amp;ROW()),minfo!$A:$M,COLUMN()-8,0),"")</f>
        <v>音乐榜最高NO.9</v>
      </c>
    </row>
    <row r="2079" spans="1:21" ht="15.75" customHeight="1">
      <c r="A2079" s="15">
        <v>2078</v>
      </c>
      <c r="B2079" s="4" t="s">
        <v>5938</v>
      </c>
      <c r="D2079" s="4">
        <v>1</v>
      </c>
      <c r="E2079" s="4" t="s">
        <v>683</v>
      </c>
      <c r="F2079" s="4" t="s">
        <v>5939</v>
      </c>
      <c r="G2079" s="4" t="s">
        <v>682</v>
      </c>
      <c r="H2079" s="4" t="s">
        <v>5940</v>
      </c>
      <c r="I2079" s="24" t="str">
        <f>HYPERLINK("https://www.bilibili.com/video/BV1U1421r7b7?p=1","BV1U1421r7b7?p=1")</f>
        <v>BV1U1421r7b7?p=1</v>
      </c>
      <c r="J2079" s="4" t="str">
        <f ca="1">_xlfn.IFNA(VLOOKUP(INDIRECT("G"&amp;ROW()),minfo!$A:$M,COLUMN()-8,0),"")</f>
        <v>翅膀</v>
      </c>
      <c r="K2079" s="4" t="str">
        <f ca="1">_xlfn.IFNA(VLOOKUP(INDIRECT("G"&amp;ROW()),minfo!$A:$M,COLUMN()-8,0),"")</f>
        <v>林俊杰</v>
      </c>
      <c r="L2079" s="4">
        <f ca="1">_xlfn.IFNA(VLOOKUP(INDIRECT("G"&amp;ROW()),minfo!$A:$M,COLUMN()-8,0),"")</f>
        <v>0</v>
      </c>
      <c r="M2079" s="4">
        <f ca="1">_xlfn.IFNA(VLOOKUP(INDIRECT("G"&amp;ROW()),minfo!$A:$M,COLUMN()-8,0),"")</f>
        <v>0</v>
      </c>
      <c r="N2079" s="4">
        <f ca="1">_xlfn.IFNA(VLOOKUP(INDIRECT("G"&amp;ROW()),minfo!$A:$M,COLUMN()-8,0),"")</f>
        <v>0</v>
      </c>
      <c r="O2079" s="4" t="str">
        <f ca="1">_xlfn.IFNA(VLOOKUP(INDIRECT("G"&amp;ROW()),minfo!$A:$M,COLUMN()-8,0),"")</f>
        <v>https://i0.hdslb.com/bfs/station_src/music_metadata/21d90da3561f5ecc4b0febfb44a261f8.jpg</v>
      </c>
      <c r="P2079" s="4" t="str">
        <f ca="1">_xlfn.IFNA(VLOOKUP(INDIRECT("G"&amp;ROW()),minfo!$A:$M,COLUMN()-8,0),"")</f>
        <v>https://i0.hdslb.com/bfs/station_src/music_metadata/73f8a18239ae15d29ce08c084ba9ba98.txt</v>
      </c>
      <c r="Q2079" s="4">
        <f ca="1">_xlfn.IFNA(VLOOKUP(INDIRECT("G"&amp;ROW()),minfo!$A:$M,COLUMN()-8,0),"")</f>
        <v>17</v>
      </c>
      <c r="R2079" s="4">
        <f ca="1">_xlfn.IFNA(VLOOKUP(INDIRECT("G"&amp;ROW()),minfo!$A:$M,COLUMN()-8,0),"")</f>
        <v>0</v>
      </c>
      <c r="S2079" s="4" t="str">
        <f ca="1">_xlfn.IFNA(VLOOKUP(INDIRECT("G"&amp;ROW()),minfo!$A:$M,COLUMN()-8,0),"")</f>
        <v>乐行者</v>
      </c>
      <c r="T2079" s="4">
        <f ca="1">_xlfn.IFNA(VLOOKUP(INDIRECT("G"&amp;ROW()),minfo!$A:$M,COLUMN()-8,0),"")</f>
        <v>30870161</v>
      </c>
      <c r="U2079" s="4">
        <f ca="1">_xlfn.IFNA(VLOOKUP(INDIRECT("G"&amp;ROW()),minfo!$A:$M,COLUMN()-8,0),"")</f>
        <v>0</v>
      </c>
    </row>
    <row r="2080" spans="1:21" ht="15.75" customHeight="1">
      <c r="A2080" s="15">
        <v>2079</v>
      </c>
      <c r="B2080" s="4" t="s">
        <v>5941</v>
      </c>
      <c r="D2080" s="4">
        <v>1</v>
      </c>
      <c r="E2080" s="4" t="s">
        <v>1474</v>
      </c>
      <c r="F2080" s="4" t="s">
        <v>5939</v>
      </c>
      <c r="G2080" s="4" t="s">
        <v>1473</v>
      </c>
      <c r="H2080" s="4" t="s">
        <v>5942</v>
      </c>
      <c r="I2080" s="24" t="str">
        <f>HYPERLINK("https://www.bilibili.com/video/BV1Bi421e7jJ?p=1","BV1Bi421e7jJ?p=1")</f>
        <v>BV1Bi421e7jJ?p=1</v>
      </c>
      <c r="J2080" s="4" t="str">
        <f ca="1">_xlfn.IFNA(VLOOKUP(INDIRECT("G"&amp;ROW()),minfo!$A:$M,COLUMN()-8,0),"")</f>
        <v>Love U U</v>
      </c>
      <c r="K2080" s="4" t="str">
        <f ca="1">_xlfn.IFNA(VLOOKUP(INDIRECT("G"&amp;ROW()),minfo!$A:$M,COLUMN()-8,0),"")</f>
        <v>林俊杰</v>
      </c>
      <c r="L2080" s="4">
        <f ca="1">_xlfn.IFNA(VLOOKUP(INDIRECT("G"&amp;ROW()),minfo!$A:$M,COLUMN()-8,0),"")</f>
        <v>0</v>
      </c>
      <c r="M2080" s="4">
        <f ca="1">_xlfn.IFNA(VLOOKUP(INDIRECT("G"&amp;ROW()),minfo!$A:$M,COLUMN()-8,0),"")</f>
        <v>0</v>
      </c>
      <c r="N2080" s="4">
        <f ca="1">_xlfn.IFNA(VLOOKUP(INDIRECT("G"&amp;ROW()),minfo!$A:$M,COLUMN()-8,0),"")</f>
        <v>0</v>
      </c>
      <c r="O2080" s="4" t="str">
        <f ca="1">_xlfn.IFNA(VLOOKUP(INDIRECT("G"&amp;ROW()),minfo!$A:$M,COLUMN()-8,0),"")</f>
        <v>https://i0.hdslb.com/bfs/station_src/music_metadata/683874c8b50e8963e73219e464a05a2f.jpg</v>
      </c>
      <c r="P2080" s="4" t="str">
        <f ca="1">_xlfn.IFNA(VLOOKUP(INDIRECT("G"&amp;ROW()),minfo!$A:$M,COLUMN()-8,0),"")</f>
        <v>https://i0.hdslb.com/bfs/station_src/music_metadata/b121a6651c2b3ba2042afd8f79c17ee5.txt</v>
      </c>
      <c r="Q2080" s="4">
        <f ca="1">_xlfn.IFNA(VLOOKUP(INDIRECT("G"&amp;ROW()),minfo!$A:$M,COLUMN()-8,0),"")</f>
        <v>25</v>
      </c>
      <c r="R2080" s="4">
        <f ca="1">_xlfn.IFNA(VLOOKUP(INDIRECT("G"&amp;ROW()),minfo!$A:$M,COLUMN()-8,0),"")</f>
        <v>0</v>
      </c>
      <c r="S2080" s="4" t="str">
        <f ca="1">_xlfn.IFNA(VLOOKUP(INDIRECT("G"&amp;ROW()),minfo!$A:$M,COLUMN()-8,0),"")</f>
        <v>学不会</v>
      </c>
      <c r="T2080" s="4">
        <f ca="1">_xlfn.IFNA(VLOOKUP(INDIRECT("G"&amp;ROW()),minfo!$A:$M,COLUMN()-8,0),"")</f>
        <v>18991884</v>
      </c>
      <c r="U2080" s="4">
        <f ca="1">_xlfn.IFNA(VLOOKUP(INDIRECT("G"&amp;ROW()),minfo!$A:$M,COLUMN()-8,0),"")</f>
        <v>0</v>
      </c>
    </row>
    <row r="2081" spans="1:21" ht="15.75" customHeight="1">
      <c r="A2081" s="15">
        <v>2080</v>
      </c>
      <c r="B2081" s="4" t="s">
        <v>5943</v>
      </c>
      <c r="D2081" s="4">
        <v>1</v>
      </c>
      <c r="E2081" s="4" t="s">
        <v>1525</v>
      </c>
      <c r="F2081" s="4" t="s">
        <v>5939</v>
      </c>
      <c r="G2081" s="4" t="s">
        <v>1524</v>
      </c>
      <c r="H2081" s="4" t="s">
        <v>5944</v>
      </c>
      <c r="I2081" s="24" t="str">
        <f>HYPERLINK("https://www.bilibili.com/video/BV14f421Q7Vd?p=1","BV14f421Q7Vd?p=1")</f>
        <v>BV14f421Q7Vd?p=1</v>
      </c>
      <c r="J2081" s="4" t="str">
        <f ca="1">_xlfn.IFNA(VLOOKUP(INDIRECT("G"&amp;ROW()),minfo!$A:$M,COLUMN()-8,0),"")</f>
        <v>说了再见</v>
      </c>
      <c r="K2081" s="4" t="str">
        <f ca="1">_xlfn.IFNA(VLOOKUP(INDIRECT("G"&amp;ROW()),minfo!$A:$M,COLUMN()-8,0),"")</f>
        <v>周杰伦</v>
      </c>
      <c r="L2081" s="4">
        <f ca="1">_xlfn.IFNA(VLOOKUP(INDIRECT("G"&amp;ROW()),minfo!$A:$M,COLUMN()-8,0),"")</f>
        <v>0</v>
      </c>
      <c r="M2081" s="4">
        <f ca="1">_xlfn.IFNA(VLOOKUP(INDIRECT("G"&amp;ROW()),minfo!$A:$M,COLUMN()-8,0),"")</f>
        <v>0</v>
      </c>
      <c r="N2081" s="4">
        <f ca="1">_xlfn.IFNA(VLOOKUP(INDIRECT("G"&amp;ROW()),minfo!$A:$M,COLUMN()-8,0),"")</f>
        <v>0</v>
      </c>
      <c r="O2081" s="4" t="str">
        <f ca="1">_xlfn.IFNA(VLOOKUP(INDIRECT("G"&amp;ROW()),minfo!$A:$M,COLUMN()-8,0),"")</f>
        <v>https://i0.hdslb.com/bfs/station_src/music_metadata/41ab18757ca0611eb7d09587f90195ce.jpg</v>
      </c>
      <c r="P2081" s="4">
        <f ca="1">_xlfn.IFNA(VLOOKUP(INDIRECT("G"&amp;ROW()),minfo!$A:$M,COLUMN()-8,0),"")</f>
        <v>0</v>
      </c>
      <c r="Q2081" s="4">
        <f ca="1">_xlfn.IFNA(VLOOKUP(INDIRECT("G"&amp;ROW()),minfo!$A:$M,COLUMN()-8,0),"")</f>
        <v>1923</v>
      </c>
      <c r="R2081" s="4" t="str">
        <f ca="1">_xlfn.IFNA(VLOOKUP(INDIRECT("G"&amp;ROW()),minfo!$A:$M,COLUMN()-8,0),"")</f>
        <v>《海洋天堂》电影主题曲</v>
      </c>
      <c r="S2081" s="4" t="str">
        <f ca="1">_xlfn.IFNA(VLOOKUP(INDIRECT("G"&amp;ROW()),minfo!$A:$M,COLUMN()-8,0),"")</f>
        <v>跨时代</v>
      </c>
      <c r="T2081" s="4">
        <f ca="1">_xlfn.IFNA(VLOOKUP(INDIRECT("G"&amp;ROW()),minfo!$A:$M,COLUMN()-8,0),"")</f>
        <v>325204982</v>
      </c>
      <c r="U2081" s="4">
        <f ca="1">_xlfn.IFNA(VLOOKUP(INDIRECT("G"&amp;ROW()),minfo!$A:$M,COLUMN()-8,0),"")</f>
        <v>0</v>
      </c>
    </row>
    <row r="2082" spans="1:21" ht="15.75" customHeight="1">
      <c r="A2082" s="15">
        <v>2081</v>
      </c>
      <c r="B2082" s="4" t="s">
        <v>5945</v>
      </c>
      <c r="D2082" s="4">
        <v>1</v>
      </c>
      <c r="E2082" s="4" t="s">
        <v>2605</v>
      </c>
      <c r="F2082" s="4" t="s">
        <v>5946</v>
      </c>
      <c r="G2082" s="4" t="s">
        <v>2604</v>
      </c>
      <c r="H2082" s="4" t="s">
        <v>5947</v>
      </c>
      <c r="I2082" s="24" t="str">
        <f>HYPERLINK("https://www.bilibili.com/video/BV14J4m1T7nR?p=1","BV14J4m1T7nR?p=1")</f>
        <v>BV14J4m1T7nR?p=1</v>
      </c>
      <c r="J2082" s="4" t="str">
        <f ca="1">_xlfn.IFNA(VLOOKUP(INDIRECT("G"&amp;ROW()),minfo!$A:$M,COLUMN()-8,0),"")</f>
        <v>记得</v>
      </c>
      <c r="K2082" s="4" t="str">
        <f ca="1">_xlfn.IFNA(VLOOKUP(INDIRECT("G"&amp;ROW()),minfo!$A:$M,COLUMN()-8,0),"")</f>
        <v>张惠妹</v>
      </c>
      <c r="L2082" s="4">
        <f ca="1">_xlfn.IFNA(VLOOKUP(INDIRECT("G"&amp;ROW()),minfo!$A:$M,COLUMN()-8,0),"")</f>
        <v>0</v>
      </c>
      <c r="M2082" s="4">
        <f ca="1">_xlfn.IFNA(VLOOKUP(INDIRECT("G"&amp;ROW()),minfo!$A:$M,COLUMN()-8,0),"")</f>
        <v>0</v>
      </c>
      <c r="N2082" s="4">
        <f ca="1">_xlfn.IFNA(VLOOKUP(INDIRECT("G"&amp;ROW()),minfo!$A:$M,COLUMN()-8,0),"")</f>
        <v>0</v>
      </c>
      <c r="O2082" s="4" t="str">
        <f ca="1">_xlfn.IFNA(VLOOKUP(INDIRECT("G"&amp;ROW()),minfo!$A:$M,COLUMN()-8,0),"")</f>
        <v>https://i0.hdslb.com/bfs/station_src/music_metadata/a4563c3ebf865d156819a10b3fece14a.jpg</v>
      </c>
      <c r="P2082" s="4" t="str">
        <f ca="1">_xlfn.IFNA(VLOOKUP(INDIRECT("G"&amp;ROW()),minfo!$A:$M,COLUMN()-8,0),"")</f>
        <v>http://i0.hdslb.com/bfs/station_src/music_metadata/a32e863c3e9a91d1533e4b2dd67c41ab</v>
      </c>
      <c r="Q2082" s="4">
        <f ca="1">_xlfn.IFNA(VLOOKUP(INDIRECT("G"&amp;ROW()),minfo!$A:$M,COLUMN()-8,0),"")</f>
        <v>225</v>
      </c>
      <c r="R2082" s="4">
        <f ca="1">_xlfn.IFNA(VLOOKUP(INDIRECT("G"&amp;ROW()),minfo!$A:$M,COLUMN()-8,0),"")</f>
        <v>0</v>
      </c>
      <c r="S2082" s="4" t="str">
        <f ca="1">_xlfn.IFNA(VLOOKUP(INDIRECT("G"&amp;ROW()),minfo!$A:$M,COLUMN()-8,0),"")</f>
        <v>爱的力量 10年情歌最精选</v>
      </c>
      <c r="T2082" s="4">
        <f ca="1">_xlfn.IFNA(VLOOKUP(INDIRECT("G"&amp;ROW()),minfo!$A:$M,COLUMN()-8,0),"")</f>
        <v>93174881</v>
      </c>
      <c r="U2082" s="4">
        <f ca="1">_xlfn.IFNA(VLOOKUP(INDIRECT("G"&amp;ROW()),minfo!$A:$M,COLUMN()-8,0),"")</f>
        <v>0</v>
      </c>
    </row>
    <row r="2083" spans="1:21" ht="15.75" customHeight="1">
      <c r="A2083" s="15">
        <v>2082</v>
      </c>
      <c r="B2083" s="4" t="s">
        <v>5919</v>
      </c>
      <c r="D2083" s="4">
        <v>1</v>
      </c>
      <c r="E2083" s="4" t="s">
        <v>3410</v>
      </c>
      <c r="F2083" s="4" t="s">
        <v>5946</v>
      </c>
      <c r="G2083" s="4" t="s">
        <v>3409</v>
      </c>
      <c r="H2083" s="4" t="s">
        <v>5948</v>
      </c>
      <c r="I2083" s="24" t="str">
        <f>HYPERLINK("https://www.bilibili.com/video/BV15m42157DK?p=1","BV15m42157DK?p=1")</f>
        <v>BV15m42157DK?p=1</v>
      </c>
      <c r="J2083" s="4" t="str">
        <f ca="1">_xlfn.IFNA(VLOOKUP(INDIRECT("G"&amp;ROW()),minfo!$A:$M,COLUMN()-8,0),"")</f>
        <v>迷宫</v>
      </c>
      <c r="K2083" s="4" t="str">
        <f ca="1">_xlfn.IFNA(VLOOKUP(INDIRECT("G"&amp;ROW()),minfo!$A:$M,COLUMN()-8,0),"")</f>
        <v>step.jad依加</v>
      </c>
      <c r="L2083" s="4">
        <f ca="1">_xlfn.IFNA(VLOOKUP(INDIRECT("G"&amp;ROW()),minfo!$A:$M,COLUMN()-8,0),"")</f>
        <v>0</v>
      </c>
      <c r="M2083" s="4">
        <f ca="1">_xlfn.IFNA(VLOOKUP(INDIRECT("G"&amp;ROW()),minfo!$A:$M,COLUMN()-8,0),"")</f>
        <v>0</v>
      </c>
      <c r="N2083" s="4">
        <f ca="1">_xlfn.IFNA(VLOOKUP(INDIRECT("G"&amp;ROW()),minfo!$A:$M,COLUMN()-8,0),"")</f>
        <v>0</v>
      </c>
      <c r="O2083" s="4" t="str">
        <f ca="1">_xlfn.IFNA(VLOOKUP(INDIRECT("G"&amp;ROW()),minfo!$A:$M,COLUMN()-8,0),"")</f>
        <v>https://i0.hdslb.com/bfs/station_src/music_metadata/4ab9788d5332aa662c40e6622ea53190.jpg</v>
      </c>
      <c r="P2083" s="4" t="str">
        <f ca="1">_xlfn.IFNA(VLOOKUP(INDIRECT("G"&amp;ROW()),minfo!$A:$M,COLUMN()-8,0),"")</f>
        <v>https://i0.hdslb.com/bfs/station_src/music_metadata/b3519269dabfa969cd60116ca7a2b9dd.txt</v>
      </c>
      <c r="Q2083" s="4">
        <f ca="1">_xlfn.IFNA(VLOOKUP(INDIRECT("G"&amp;ROW()),minfo!$A:$M,COLUMN()-8,0),"")</f>
        <v>16</v>
      </c>
      <c r="R2083" s="4">
        <f ca="1">_xlfn.IFNA(VLOOKUP(INDIRECT("G"&amp;ROW()),minfo!$A:$M,COLUMN()-8,0),"")</f>
        <v>0</v>
      </c>
      <c r="S2083" s="4" t="str">
        <f ca="1">_xlfn.IFNA(VLOOKUP(INDIRECT("G"&amp;ROW()),minfo!$A:$M,COLUMN()-8,0),"")</f>
        <v>迷宫</v>
      </c>
      <c r="T2083" s="4">
        <f ca="1">_xlfn.IFNA(VLOOKUP(INDIRECT("G"&amp;ROW()),minfo!$A:$M,COLUMN()-8,0),"")</f>
        <v>13443964</v>
      </c>
      <c r="U2083" s="4">
        <f ca="1">_xlfn.IFNA(VLOOKUP(INDIRECT("G"&amp;ROW()),minfo!$A:$M,COLUMN()-8,0),"")</f>
        <v>0</v>
      </c>
    </row>
    <row r="2084" spans="1:21" ht="15.75" customHeight="1">
      <c r="A2084" s="15">
        <v>2083</v>
      </c>
      <c r="B2084" s="4" t="s">
        <v>5768</v>
      </c>
      <c r="D2084" s="4">
        <v>1</v>
      </c>
      <c r="E2084" s="4" t="s">
        <v>3352</v>
      </c>
      <c r="F2084" s="4" t="s">
        <v>5946</v>
      </c>
      <c r="G2084" s="4" t="s">
        <v>3351</v>
      </c>
      <c r="H2084" s="4" t="s">
        <v>5949</v>
      </c>
      <c r="I2084" s="24" t="str">
        <f>HYPERLINK("https://www.bilibili.com/video/BV18s421T73S?p=1","BV18s421T73S?p=1")</f>
        <v>BV18s421T73S?p=1</v>
      </c>
      <c r="J2084" s="4" t="str">
        <f ca="1">_xlfn.IFNA(VLOOKUP(INDIRECT("G"&amp;ROW()),minfo!$A:$M,COLUMN()-8,0),"")</f>
        <v>寂寞的季节</v>
      </c>
      <c r="K2084" s="4" t="str">
        <f ca="1">_xlfn.IFNA(VLOOKUP(INDIRECT("G"&amp;ROW()),minfo!$A:$M,COLUMN()-8,0),"")</f>
        <v>陶喆</v>
      </c>
      <c r="L2084" s="4">
        <f ca="1">_xlfn.IFNA(VLOOKUP(INDIRECT("G"&amp;ROW()),minfo!$A:$M,COLUMN()-8,0),"")</f>
        <v>0</v>
      </c>
      <c r="M2084" s="4">
        <f ca="1">_xlfn.IFNA(VLOOKUP(INDIRECT("G"&amp;ROW()),minfo!$A:$M,COLUMN()-8,0),"")</f>
        <v>0</v>
      </c>
      <c r="N2084" s="4">
        <f ca="1">_xlfn.IFNA(VLOOKUP(INDIRECT("G"&amp;ROW()),minfo!$A:$M,COLUMN()-8,0),"")</f>
        <v>0</v>
      </c>
      <c r="O2084" s="4" t="str">
        <f ca="1">_xlfn.IFNA(VLOOKUP(INDIRECT("G"&amp;ROW()),minfo!$A:$M,COLUMN()-8,0),"")</f>
        <v>http://i0.hdslb.com/bfs/station_src/music_metadata/f71dc4018f8341963054d0bc5324785c.jpg</v>
      </c>
      <c r="P2084" s="4" t="str">
        <f ca="1">_xlfn.IFNA(VLOOKUP(INDIRECT("G"&amp;ROW()),minfo!$A:$M,COLUMN()-8,0),"")</f>
        <v>http://i0.hdslb.com/bfs/station_src/music_metadata/25b9ce90f0f0179405947a95466ff030</v>
      </c>
      <c r="Q2084" s="4">
        <f ca="1">_xlfn.IFNA(VLOOKUP(INDIRECT("G"&amp;ROW()),minfo!$A:$M,COLUMN()-8,0),"")</f>
        <v>134</v>
      </c>
      <c r="R2084" s="4">
        <f ca="1">_xlfn.IFNA(VLOOKUP(INDIRECT("G"&amp;ROW()),minfo!$A:$M,COLUMN()-8,0),"")</f>
        <v>0</v>
      </c>
      <c r="S2084" s="4" t="str">
        <f ca="1">_xlfn.IFNA(VLOOKUP(INDIRECT("G"&amp;ROW()),minfo!$A:$M,COLUMN()-8,0),"")</f>
        <v>寂寞的季节</v>
      </c>
      <c r="T2084" s="4">
        <f ca="1">_xlfn.IFNA(VLOOKUP(INDIRECT("G"&amp;ROW()),minfo!$A:$M,COLUMN()-8,0),"")</f>
        <v>60141031</v>
      </c>
      <c r="U2084" s="4">
        <f ca="1">_xlfn.IFNA(VLOOKUP(INDIRECT("G"&amp;ROW()),minfo!$A:$M,COLUMN()-8,0),"")</f>
        <v>0</v>
      </c>
    </row>
    <row r="2085" spans="1:21" ht="15.75" customHeight="1">
      <c r="A2085" s="15">
        <v>2084</v>
      </c>
      <c r="B2085" s="4" t="s">
        <v>5950</v>
      </c>
      <c r="D2085" s="4">
        <v>1</v>
      </c>
      <c r="E2085" s="4" t="s">
        <v>530</v>
      </c>
      <c r="F2085" s="4" t="s">
        <v>5946</v>
      </c>
      <c r="G2085" s="4" t="s">
        <v>529</v>
      </c>
      <c r="H2085" s="4" t="s">
        <v>5951</v>
      </c>
      <c r="I2085" s="24" t="str">
        <f>HYPERLINK("https://www.bilibili.com/video/BV1Nz421z7K3?p=1","BV1Nz421z7K3?p=1")</f>
        <v>BV1Nz421z7K3?p=1</v>
      </c>
      <c r="J2085" s="4" t="str">
        <f ca="1">_xlfn.IFNA(VLOOKUP(INDIRECT("G"&amp;ROW()),minfo!$A:$M,COLUMN()-8,0),"")</f>
        <v>身骑白马</v>
      </c>
      <c r="K2085" s="4" t="str">
        <f ca="1">_xlfn.IFNA(VLOOKUP(INDIRECT("G"&amp;ROW()),minfo!$A:$M,COLUMN()-8,0),"")</f>
        <v>徐佳莹</v>
      </c>
      <c r="L2085" s="4">
        <f ca="1">_xlfn.IFNA(VLOOKUP(INDIRECT("G"&amp;ROW()),minfo!$A:$M,COLUMN()-8,0),"")</f>
        <v>0</v>
      </c>
      <c r="M2085" s="4">
        <f ca="1">_xlfn.IFNA(VLOOKUP(INDIRECT("G"&amp;ROW()),minfo!$A:$M,COLUMN()-8,0),"")</f>
        <v>0</v>
      </c>
      <c r="N2085" s="4">
        <f ca="1">_xlfn.IFNA(VLOOKUP(INDIRECT("G"&amp;ROW()),minfo!$A:$M,COLUMN()-8,0),"")</f>
        <v>0</v>
      </c>
      <c r="O2085" s="4" t="str">
        <f ca="1">_xlfn.IFNA(VLOOKUP(INDIRECT("G"&amp;ROW()),minfo!$A:$M,COLUMN()-8,0),"")</f>
        <v>http://i0.hdslb.com/bfs/station_src/music_metadata/5309866334d8550fdb4abccc389a5193.jpg</v>
      </c>
      <c r="P2085" s="4" t="str">
        <f ca="1">_xlfn.IFNA(VLOOKUP(INDIRECT("G"&amp;ROW()),minfo!$A:$M,COLUMN()-8,0),"")</f>
        <v>http://i0.hdslb.com/bfs/station_src/music_metadata/54d4cd6cf66cfb9eadbebde296a31478</v>
      </c>
      <c r="Q2085" s="4">
        <f ca="1">_xlfn.IFNA(VLOOKUP(INDIRECT("G"&amp;ROW()),minfo!$A:$M,COLUMN()-8,0),"")</f>
        <v>1245</v>
      </c>
      <c r="R2085" s="4">
        <f ca="1">_xlfn.IFNA(VLOOKUP(INDIRECT("G"&amp;ROW()),minfo!$A:$M,COLUMN()-8,0),"")</f>
        <v>0</v>
      </c>
      <c r="S2085" s="4" t="str">
        <f ca="1">_xlfn.IFNA(VLOOKUP(INDIRECT("G"&amp;ROW()),minfo!$A:$M,COLUMN()-8,0),"")</f>
        <v>LaLa首张创作专辑</v>
      </c>
      <c r="T2085" s="4">
        <f ca="1">_xlfn.IFNA(VLOOKUP(INDIRECT("G"&amp;ROW()),minfo!$A:$M,COLUMN()-8,0),"")</f>
        <v>198103765</v>
      </c>
      <c r="U2085" s="4" t="str">
        <f ca="1">_xlfn.IFNA(VLOOKUP(INDIRECT("G"&amp;ROW()),minfo!$A:$M,COLUMN()-8,0),"")</f>
        <v>音乐榜最高NO.10</v>
      </c>
    </row>
    <row r="2086" spans="1:21" ht="15.75" customHeight="1">
      <c r="A2086" s="15">
        <v>2085</v>
      </c>
      <c r="B2086" s="4" t="s">
        <v>5952</v>
      </c>
      <c r="D2086" s="4">
        <v>1</v>
      </c>
      <c r="E2086" s="4" t="s">
        <v>3155</v>
      </c>
      <c r="F2086" s="4" t="s">
        <v>5946</v>
      </c>
      <c r="G2086" s="4" t="s">
        <v>3154</v>
      </c>
      <c r="H2086" s="4" t="s">
        <v>5953</v>
      </c>
      <c r="I2086" s="24" t="str">
        <f>HYPERLINK("https://www.bilibili.com/video/BV1kr421F7Wo?p=1","BV1kr421F7Wo?p=1")</f>
        <v>BV1kr421F7Wo?p=1</v>
      </c>
      <c r="J2086" s="4" t="str">
        <f ca="1">_xlfn.IFNA(VLOOKUP(INDIRECT("G"&amp;ROW()),minfo!$A:$M,COLUMN()-8,0),"")</f>
        <v>别问很可怕</v>
      </c>
      <c r="K2086" s="4" t="str">
        <f ca="1">_xlfn.IFNA(VLOOKUP(INDIRECT("G"&amp;ROW()),minfo!$A:$M,COLUMN()-8,0),"")</f>
        <v>J. Sheon</v>
      </c>
      <c r="L2086" s="4">
        <f ca="1">_xlfn.IFNA(VLOOKUP(INDIRECT("G"&amp;ROW()),minfo!$A:$M,COLUMN()-8,0),"")</f>
        <v>0</v>
      </c>
      <c r="M2086" s="4">
        <f ca="1">_xlfn.IFNA(VLOOKUP(INDIRECT("G"&amp;ROW()),minfo!$A:$M,COLUMN()-8,0),"")</f>
        <v>0</v>
      </c>
      <c r="N2086" s="4">
        <f ca="1">_xlfn.IFNA(VLOOKUP(INDIRECT("G"&amp;ROW()),minfo!$A:$M,COLUMN()-8,0),"")</f>
        <v>0</v>
      </c>
      <c r="O2086" s="4" t="str">
        <f ca="1">_xlfn.IFNA(VLOOKUP(INDIRECT("G"&amp;ROW()),minfo!$A:$M,COLUMN()-8,0),"")</f>
        <v>https://i0.hdslb.com/bfs/station_src/music_metadata/819c4c8454369e66aef5440b77c022d6.jpg</v>
      </c>
      <c r="P2086" s="4" t="str">
        <f ca="1">_xlfn.IFNA(VLOOKUP(INDIRECT("G"&amp;ROW()),minfo!$A:$M,COLUMN()-8,0),"")</f>
        <v>https://i0.hdslb.com/bfs/station_src/music_metadata/370f73f612b9ae76757dc1ff55d8091a.txt</v>
      </c>
      <c r="Q2086" s="4">
        <f ca="1">_xlfn.IFNA(VLOOKUP(INDIRECT("G"&amp;ROW()),minfo!$A:$M,COLUMN()-8,0),"")</f>
        <v>431</v>
      </c>
      <c r="R2086" s="4">
        <f ca="1">_xlfn.IFNA(VLOOKUP(INDIRECT("G"&amp;ROW()),minfo!$A:$M,COLUMN()-8,0),"")</f>
        <v>0</v>
      </c>
      <c r="S2086" s="4" t="str">
        <f ca="1">_xlfn.IFNA(VLOOKUP(INDIRECT("G"&amp;ROW()),minfo!$A:$M,COLUMN()-8,0),"")</f>
        <v>You'll Never Know / 别问很可怕</v>
      </c>
      <c r="T2086" s="4">
        <f ca="1">_xlfn.IFNA(VLOOKUP(INDIRECT("G"&amp;ROW()),minfo!$A:$M,COLUMN()-8,0),"")</f>
        <v>54579824</v>
      </c>
      <c r="U2086" s="4">
        <f ca="1">_xlfn.IFNA(VLOOKUP(INDIRECT("G"&amp;ROW()),minfo!$A:$M,COLUMN()-8,0),"")</f>
        <v>0</v>
      </c>
    </row>
    <row r="2087" spans="1:21" ht="15.75" customHeight="1">
      <c r="A2087" s="15">
        <v>2086</v>
      </c>
      <c r="B2087" s="4" t="s">
        <v>5862</v>
      </c>
      <c r="D2087" s="4">
        <v>1</v>
      </c>
      <c r="E2087" s="4" t="s">
        <v>1415</v>
      </c>
      <c r="F2087" s="4" t="s">
        <v>5946</v>
      </c>
      <c r="G2087" s="4" t="s">
        <v>1414</v>
      </c>
      <c r="H2087" s="4" t="s">
        <v>5954</v>
      </c>
      <c r="I2087" s="24" t="str">
        <f>HYPERLINK("https://www.bilibili.com/video/BV1nr421F79X?p=1","BV1nr421F79X?p=1")</f>
        <v>BV1nr421F79X?p=1</v>
      </c>
      <c r="J2087" s="4" t="str">
        <f ca="1">_xlfn.IFNA(VLOOKUP(INDIRECT("G"&amp;ROW()),minfo!$A:$M,COLUMN()-8,0),"")</f>
        <v>二十二</v>
      </c>
      <c r="K2087" s="4" t="str">
        <f ca="1">_xlfn.IFNA(VLOOKUP(INDIRECT("G"&amp;ROW()),minfo!$A:$M,COLUMN()-8,0),"")</f>
        <v>陶喆</v>
      </c>
      <c r="L2087" s="4">
        <f ca="1">_xlfn.IFNA(VLOOKUP(INDIRECT("G"&amp;ROW()),minfo!$A:$M,COLUMN()-8,0),"")</f>
        <v>0</v>
      </c>
      <c r="M2087" s="4">
        <f ca="1">_xlfn.IFNA(VLOOKUP(INDIRECT("G"&amp;ROW()),minfo!$A:$M,COLUMN()-8,0),"")</f>
        <v>0</v>
      </c>
      <c r="N2087" s="4">
        <f ca="1">_xlfn.IFNA(VLOOKUP(INDIRECT("G"&amp;ROW()),minfo!$A:$M,COLUMN()-8,0),"")</f>
        <v>0</v>
      </c>
      <c r="O2087" s="4" t="str">
        <f ca="1">_xlfn.IFNA(VLOOKUP(INDIRECT("G"&amp;ROW()),minfo!$A:$M,COLUMN()-8,0),"")</f>
        <v>http://i0.hdslb.com/bfs/station_src/music_metadata/e89d0b6bb51b52049a17aa607ecd7e8d.jpg</v>
      </c>
      <c r="P2087" s="4" t="str">
        <f ca="1">_xlfn.IFNA(VLOOKUP(INDIRECT("G"&amp;ROW()),minfo!$A:$M,COLUMN()-8,0),"")</f>
        <v>http://i0.hdslb.com/bfs/station_src/music_metadata/47f341ee2acc202b90520bd34837ebc4</v>
      </c>
      <c r="Q2087" s="4">
        <f ca="1">_xlfn.IFNA(VLOOKUP(INDIRECT("G"&amp;ROW()),minfo!$A:$M,COLUMN()-8,0),"")</f>
        <v>343</v>
      </c>
      <c r="R2087" s="4">
        <f ca="1">_xlfn.IFNA(VLOOKUP(INDIRECT("G"&amp;ROW()),minfo!$A:$M,COLUMN()-8,0),"")</f>
        <v>0</v>
      </c>
      <c r="S2087" s="4" t="str">
        <f ca="1">_xlfn.IFNA(VLOOKUP(INDIRECT("G"&amp;ROW()),minfo!$A:$M,COLUMN()-8,0),"")</f>
        <v>黑色柳丁</v>
      </c>
      <c r="T2087" s="4">
        <f ca="1">_xlfn.IFNA(VLOOKUP(INDIRECT("G"&amp;ROW()),minfo!$A:$M,COLUMN()-8,0),"")</f>
        <v>50077794</v>
      </c>
      <c r="U2087" s="4">
        <f ca="1">_xlfn.IFNA(VLOOKUP(INDIRECT("G"&amp;ROW()),minfo!$A:$M,COLUMN()-8,0),"")</f>
        <v>0</v>
      </c>
    </row>
    <row r="2088" spans="1:21" ht="15.75" customHeight="1">
      <c r="A2088" s="15">
        <v>2087</v>
      </c>
      <c r="B2088" s="4" t="s">
        <v>5955</v>
      </c>
      <c r="D2088" s="4">
        <v>1</v>
      </c>
      <c r="E2088" s="4" t="s">
        <v>1820</v>
      </c>
      <c r="F2088" s="4" t="s">
        <v>5946</v>
      </c>
      <c r="G2088" s="4" t="s">
        <v>1819</v>
      </c>
      <c r="H2088" s="4" t="s">
        <v>5956</v>
      </c>
      <c r="I2088" s="24" t="str">
        <f>HYPERLINK("https://www.bilibili.com/video/BV1wi421v7re?p=1","BV1wi421v7re?p=1")</f>
        <v>BV1wi421v7re?p=1</v>
      </c>
      <c r="J2088" s="4" t="str">
        <f ca="1">_xlfn.IFNA(VLOOKUP(INDIRECT("G"&amp;ROW()),minfo!$A:$M,COLUMN()-8,0),"")</f>
        <v>愿与愁</v>
      </c>
      <c r="K2088" s="4" t="str">
        <f ca="1">_xlfn.IFNA(VLOOKUP(INDIRECT("G"&amp;ROW()),minfo!$A:$M,COLUMN()-8,0),"")</f>
        <v>林俊杰</v>
      </c>
      <c r="L2088" s="4">
        <f ca="1">_xlfn.IFNA(VLOOKUP(INDIRECT("G"&amp;ROW()),minfo!$A:$M,COLUMN()-8,0),"")</f>
        <v>0</v>
      </c>
      <c r="M2088" s="4">
        <f ca="1">_xlfn.IFNA(VLOOKUP(INDIRECT("G"&amp;ROW()),minfo!$A:$M,COLUMN()-8,0),"")</f>
        <v>0</v>
      </c>
      <c r="N2088" s="4">
        <f ca="1">_xlfn.IFNA(VLOOKUP(INDIRECT("G"&amp;ROW()),minfo!$A:$M,COLUMN()-8,0),"")</f>
        <v>0</v>
      </c>
      <c r="O2088" s="4" t="str">
        <f ca="1">_xlfn.IFNA(VLOOKUP(INDIRECT("G"&amp;ROW()),minfo!$A:$M,COLUMN()-8,0),"")</f>
        <v>http://i0.hdslb.com/bfs/station_src/music_metadata/31e1ef9935ac8acbe46418fc5f53f699.jpg</v>
      </c>
      <c r="P2088" s="4" t="str">
        <f ca="1">_xlfn.IFNA(VLOOKUP(INDIRECT("G"&amp;ROW()),minfo!$A:$M,COLUMN()-8,0),"")</f>
        <v>lyric/2023-04-29_2023-04-29_愿与愁.txt</v>
      </c>
      <c r="Q2088" s="4">
        <f ca="1">_xlfn.IFNA(VLOOKUP(INDIRECT("G"&amp;ROW()),minfo!$A:$M,COLUMN()-8,0),"")</f>
        <v>2</v>
      </c>
      <c r="R2088" s="4">
        <f ca="1">_xlfn.IFNA(VLOOKUP(INDIRECT("G"&amp;ROW()),minfo!$A:$M,COLUMN()-8,0),"")</f>
        <v>0</v>
      </c>
      <c r="S2088" s="4" t="str">
        <f ca="1">_xlfn.IFNA(VLOOKUP(INDIRECT("G"&amp;ROW()),minfo!$A:$M,COLUMN()-8,0),"")</f>
        <v>重拾_快乐</v>
      </c>
      <c r="T2088" s="4">
        <f ca="1">_xlfn.IFNA(VLOOKUP(INDIRECT("G"&amp;ROW()),minfo!$A:$M,COLUMN()-8,0),"")</f>
        <v>3053937</v>
      </c>
      <c r="U2088" s="4">
        <f ca="1">_xlfn.IFNA(VLOOKUP(INDIRECT("G"&amp;ROW()),minfo!$A:$M,COLUMN()-8,0),"")</f>
        <v>0</v>
      </c>
    </row>
    <row r="2089" spans="1:21" ht="15.75" customHeight="1">
      <c r="A2089" s="15">
        <v>2088</v>
      </c>
      <c r="B2089" s="4" t="s">
        <v>5957</v>
      </c>
      <c r="D2089" s="4">
        <v>1</v>
      </c>
      <c r="E2089" s="4" t="s">
        <v>153</v>
      </c>
      <c r="F2089" s="4" t="s">
        <v>5946</v>
      </c>
      <c r="G2089" s="4" t="s">
        <v>152</v>
      </c>
      <c r="H2089" s="4" t="s">
        <v>5958</v>
      </c>
      <c r="I2089" s="24" t="str">
        <f>HYPERLINK("https://www.bilibili.com/video/BV1ym42137gS?p=1","BV1ym42137gS?p=1")</f>
        <v>BV1ym42137gS?p=1</v>
      </c>
      <c r="J2089" s="4" t="str">
        <f ca="1">_xlfn.IFNA(VLOOKUP(INDIRECT("G"&amp;ROW()),minfo!$A:$M,COLUMN()-8,0),"")</f>
        <v>听见下雨的声音</v>
      </c>
      <c r="K2089" s="4" t="str">
        <f ca="1">_xlfn.IFNA(VLOOKUP(INDIRECT("G"&amp;ROW()),minfo!$A:$M,COLUMN()-8,0),"")</f>
        <v>周杰伦</v>
      </c>
      <c r="L2089" s="4">
        <f ca="1">_xlfn.IFNA(VLOOKUP(INDIRECT("G"&amp;ROW()),minfo!$A:$M,COLUMN()-8,0),"")</f>
        <v>0</v>
      </c>
      <c r="M2089" s="4">
        <f ca="1">_xlfn.IFNA(VLOOKUP(INDIRECT("G"&amp;ROW()),minfo!$A:$M,COLUMN()-8,0),"")</f>
        <v>0</v>
      </c>
      <c r="N2089" s="4">
        <f ca="1">_xlfn.IFNA(VLOOKUP(INDIRECT("G"&amp;ROW()),minfo!$A:$M,COLUMN()-8,0),"")</f>
        <v>0</v>
      </c>
      <c r="O2089" s="4" t="str">
        <f ca="1">_xlfn.IFNA(VLOOKUP(INDIRECT("G"&amp;ROW()),minfo!$A:$M,COLUMN()-8,0),"")</f>
        <v>http://i0.hdslb.com/bfs/station_src/music_metadata/f190c7459496ee7ff2a9ebb250df5398.jpg</v>
      </c>
      <c r="P2089" s="4" t="str">
        <f ca="1">_xlfn.IFNA(VLOOKUP(INDIRECT("G"&amp;ROW()),minfo!$A:$M,COLUMN()-8,0),"")</f>
        <v>http://i0.hdslb.com/bfs/station_src/music_metadata/0d0869a8c2bb7470dd66d7fec7591c32</v>
      </c>
      <c r="Q2089" s="4">
        <f ca="1">_xlfn.IFNA(VLOOKUP(INDIRECT("G"&amp;ROW()),minfo!$A:$M,COLUMN()-8,0),"")</f>
        <v>689</v>
      </c>
      <c r="R2089" s="4" t="str">
        <f ca="1">_xlfn.IFNA(VLOOKUP(INDIRECT("G"&amp;ROW()),minfo!$A:$M,COLUMN()-8,0),"")</f>
        <v>《听见下雨声音》电影主题曲</v>
      </c>
      <c r="S2089" s="4" t="str">
        <f ca="1">_xlfn.IFNA(VLOOKUP(INDIRECT("G"&amp;ROW()),minfo!$A:$M,COLUMN()-8,0),"")</f>
        <v>哎呦，不错哦</v>
      </c>
      <c r="T2089" s="4">
        <f ca="1">_xlfn.IFNA(VLOOKUP(INDIRECT("G"&amp;ROW()),minfo!$A:$M,COLUMN()-8,0),"")</f>
        <v>220057953</v>
      </c>
      <c r="U2089" s="4">
        <f ca="1">_xlfn.IFNA(VLOOKUP(INDIRECT("G"&amp;ROW()),minfo!$A:$M,COLUMN()-8,0),"")</f>
        <v>0</v>
      </c>
    </row>
    <row r="2090" spans="1:21" ht="15.75" customHeight="1">
      <c r="A2090" s="15">
        <v>2089</v>
      </c>
      <c r="B2090" s="4" t="s">
        <v>5959</v>
      </c>
      <c r="D2090" s="4">
        <v>1</v>
      </c>
      <c r="E2090" s="4" t="s">
        <v>2012</v>
      </c>
      <c r="F2090" s="4" t="s">
        <v>5960</v>
      </c>
      <c r="G2090" s="4" t="s">
        <v>2011</v>
      </c>
      <c r="H2090" s="4" t="s">
        <v>5961</v>
      </c>
      <c r="I2090" s="24" t="str">
        <f>HYPERLINK("https://www.bilibili.com/video/BV1kz421z78f?p=1","BV1kz421z78f?p=1")</f>
        <v>BV1kz421z78f?p=1</v>
      </c>
      <c r="J2090" s="4" t="str">
        <f ca="1">_xlfn.IFNA(VLOOKUP(INDIRECT("G"&amp;ROW()),minfo!$A:$M,COLUMN()-8,0),"")</f>
        <v>知否知否</v>
      </c>
      <c r="K2090" s="4" t="str">
        <f ca="1">_xlfn.IFNA(VLOOKUP(INDIRECT("G"&amp;ROW()),minfo!$A:$M,COLUMN()-8,0),"")</f>
        <v>胡夏,郁可唯</v>
      </c>
      <c r="L2090" s="4">
        <f ca="1">_xlfn.IFNA(VLOOKUP(INDIRECT("G"&amp;ROW()),minfo!$A:$M,COLUMN()-8,0),"")</f>
        <v>0</v>
      </c>
      <c r="M2090" s="4">
        <f ca="1">_xlfn.IFNA(VLOOKUP(INDIRECT("G"&amp;ROW()),minfo!$A:$M,COLUMN()-8,0),"")</f>
        <v>0</v>
      </c>
      <c r="N2090" s="4">
        <f ca="1">_xlfn.IFNA(VLOOKUP(INDIRECT("G"&amp;ROW()),minfo!$A:$M,COLUMN()-8,0),"")</f>
        <v>0</v>
      </c>
      <c r="O2090" s="4" t="str">
        <f ca="1">_xlfn.IFNA(VLOOKUP(INDIRECT("G"&amp;ROW()),minfo!$A:$M,COLUMN()-8,0),"")</f>
        <v>http://i0.hdslb.com/bfs/station_src/music_metadata/95894e72087c08133adecbe31e755eed.jpg</v>
      </c>
      <c r="P2090" s="4" t="str">
        <f ca="1">_xlfn.IFNA(VLOOKUP(INDIRECT("G"&amp;ROW()),minfo!$A:$M,COLUMN()-8,0),"")</f>
        <v>http://i0.hdslb.com/bfs/station_src/music_metadata/d76c10f10df8c8eb0080ea2ccc5426f7</v>
      </c>
      <c r="Q2090" s="4">
        <f ca="1">_xlfn.IFNA(VLOOKUP(INDIRECT("G"&amp;ROW()),minfo!$A:$M,COLUMN()-8,0),"")</f>
        <v>1499</v>
      </c>
      <c r="R2090" s="4" t="str">
        <f ca="1">_xlfn.IFNA(VLOOKUP(INDIRECT("G"&amp;ROW()),minfo!$A:$M,COLUMN()-8,0),"")</f>
        <v>《知否知否应是绿肥红瘦》电视剧主题曲</v>
      </c>
      <c r="S2090" s="4" t="str">
        <f ca="1">_xlfn.IFNA(VLOOKUP(INDIRECT("G"&amp;ROW()),minfo!$A:$M,COLUMN()-8,0),"")</f>
        <v>知否知否应是绿肥红瘦 电视剧原声带</v>
      </c>
      <c r="T2090" s="4">
        <f ca="1">_xlfn.IFNA(VLOOKUP(INDIRECT("G"&amp;ROW()),minfo!$A:$M,COLUMN()-8,0),"")</f>
        <v>316782479</v>
      </c>
      <c r="U2090" s="4">
        <f ca="1">_xlfn.IFNA(VLOOKUP(INDIRECT("G"&amp;ROW()),minfo!$A:$M,COLUMN()-8,0),"")</f>
        <v>0</v>
      </c>
    </row>
    <row r="2091" spans="1:21" ht="15.75" customHeight="1">
      <c r="A2091" s="15">
        <v>2090</v>
      </c>
      <c r="B2091" s="4" t="s">
        <v>5962</v>
      </c>
      <c r="D2091" s="4">
        <v>1</v>
      </c>
      <c r="E2091" s="4" t="s">
        <v>536</v>
      </c>
      <c r="F2091" s="4" t="s">
        <v>5960</v>
      </c>
      <c r="G2091" s="4" t="s">
        <v>535</v>
      </c>
      <c r="H2091" s="4" t="s">
        <v>5963</v>
      </c>
      <c r="I2091" s="24" t="str">
        <f>HYPERLINK("https://www.bilibili.com/video/BV1rW421R79c?p=1","BV1rW421R79c?p=1")</f>
        <v>BV1rW421R79c?p=1</v>
      </c>
      <c r="J2091" s="4" t="str">
        <f ca="1">_xlfn.IFNA(VLOOKUP(INDIRECT("G"&amp;ROW()),minfo!$A:$M,COLUMN()-8,0),"")</f>
        <v>红颜如霜</v>
      </c>
      <c r="K2091" s="4" t="str">
        <f ca="1">_xlfn.IFNA(VLOOKUP(INDIRECT("G"&amp;ROW()),minfo!$A:$M,COLUMN()-8,0),"")</f>
        <v>周杰伦</v>
      </c>
      <c r="L2091" s="4">
        <f ca="1">_xlfn.IFNA(VLOOKUP(INDIRECT("G"&amp;ROW()),minfo!$A:$M,COLUMN()-8,0),"")</f>
        <v>0</v>
      </c>
      <c r="M2091" s="4">
        <f ca="1">_xlfn.IFNA(VLOOKUP(INDIRECT("G"&amp;ROW()),minfo!$A:$M,COLUMN()-8,0),"")</f>
        <v>179425</v>
      </c>
      <c r="N2091" s="4">
        <f ca="1">_xlfn.IFNA(VLOOKUP(INDIRECT("G"&amp;ROW()),minfo!$A:$M,COLUMN()-8,0),"")</f>
        <v>61254</v>
      </c>
      <c r="O2091" s="4" t="str">
        <f ca="1">_xlfn.IFNA(VLOOKUP(INDIRECT("G"&amp;ROW()),minfo!$A:$M,COLUMN()-8,0),"")</f>
        <v>https://i0.hdslb.com/bfs/station_src/music_metadata/b0bbef33041121e4c8107f9d82ff0e60.jpg</v>
      </c>
      <c r="P2091" s="4">
        <f ca="1">_xlfn.IFNA(VLOOKUP(INDIRECT("G"&amp;ROW()),minfo!$A:$M,COLUMN()-8,0),"")</f>
        <v>0</v>
      </c>
      <c r="Q2091" s="4">
        <f ca="1">_xlfn.IFNA(VLOOKUP(INDIRECT("G"&amp;ROW()),minfo!$A:$M,COLUMN()-8,0),"")</f>
        <v>17510</v>
      </c>
      <c r="R2091" s="4">
        <f ca="1">_xlfn.IFNA(VLOOKUP(INDIRECT("G"&amp;ROW()),minfo!$A:$M,COLUMN()-8,0),"")</f>
        <v>0</v>
      </c>
      <c r="S2091" s="4" t="str">
        <f ca="1">_xlfn.IFNA(VLOOKUP(INDIRECT("G"&amp;ROW()),minfo!$A:$M,COLUMN()-8,0),"")</f>
        <v>最伟大的作品</v>
      </c>
      <c r="T2091" s="4">
        <f ca="1">_xlfn.IFNA(VLOOKUP(INDIRECT("G"&amp;ROW()),minfo!$A:$M,COLUMN()-8,0),"")</f>
        <v>237302125</v>
      </c>
      <c r="U2091" s="4" t="str">
        <f ca="1">_xlfn.IFNA(VLOOKUP(INDIRECT("G"&amp;ROW()),minfo!$A:$M,COLUMN()-8,0),"")</f>
        <v>音乐榜最高NO.2</v>
      </c>
    </row>
    <row r="2092" spans="1:21" ht="15.75" customHeight="1">
      <c r="A2092" s="15">
        <v>2091</v>
      </c>
      <c r="B2092" s="4" t="s">
        <v>5964</v>
      </c>
      <c r="D2092" s="4">
        <v>1</v>
      </c>
      <c r="E2092" s="4" t="s">
        <v>2777</v>
      </c>
      <c r="F2092" s="4" t="s">
        <v>5960</v>
      </c>
      <c r="G2092" s="4" t="s">
        <v>2776</v>
      </c>
      <c r="H2092" s="4" t="s">
        <v>5965</v>
      </c>
      <c r="I2092" s="24" t="str">
        <f>HYPERLINK("https://www.bilibili.com/video/BV1JE421P7hS?p=1","BV1JE421P7hS?p=1")</f>
        <v>BV1JE421P7hS?p=1</v>
      </c>
      <c r="J2092" s="4" t="str">
        <f ca="1">_xlfn.IFNA(VLOOKUP(INDIRECT("G"&amp;ROW()),minfo!$A:$M,COLUMN()-8,0),"")</f>
        <v>妥协</v>
      </c>
      <c r="K2092" s="4" t="str">
        <f ca="1">_xlfn.IFNA(VLOOKUP(INDIRECT("G"&amp;ROW()),minfo!$A:$M,COLUMN()-8,0),"")</f>
        <v>蔡依林</v>
      </c>
      <c r="L2092" s="4">
        <f ca="1">_xlfn.IFNA(VLOOKUP(INDIRECT("G"&amp;ROW()),minfo!$A:$M,COLUMN()-8,0),"")</f>
        <v>0</v>
      </c>
      <c r="M2092" s="4">
        <f ca="1">_xlfn.IFNA(VLOOKUP(INDIRECT("G"&amp;ROW()),minfo!$A:$M,COLUMN()-8,0),"")</f>
        <v>0</v>
      </c>
      <c r="N2092" s="4">
        <f ca="1">_xlfn.IFNA(VLOOKUP(INDIRECT("G"&amp;ROW()),minfo!$A:$M,COLUMN()-8,0),"")</f>
        <v>0</v>
      </c>
      <c r="O2092" s="4" t="str">
        <f ca="1">_xlfn.IFNA(VLOOKUP(INDIRECT("G"&amp;ROW()),minfo!$A:$M,COLUMN()-8,0),"")</f>
        <v>http://i0.hdslb.com/bfs/station_src/music_metadata/3d66ea7591714d2b93a06ffc3b01a887.jpg</v>
      </c>
      <c r="P2092" s="4" t="str">
        <f ca="1">_xlfn.IFNA(VLOOKUP(INDIRECT("G"&amp;ROW()),minfo!$A:$M,COLUMN()-8,0),"")</f>
        <v>http://i0.hdslb.com/bfs/station_src/music_metadata/83d0afa45c7ff3186081cd92a653700c</v>
      </c>
      <c r="Q2092" s="4">
        <f ca="1">_xlfn.IFNA(VLOOKUP(INDIRECT("G"&amp;ROW()),minfo!$A:$M,COLUMN()-8,0),"")</f>
        <v>9</v>
      </c>
      <c r="R2092" s="4">
        <f ca="1">_xlfn.IFNA(VLOOKUP(INDIRECT("G"&amp;ROW()),minfo!$A:$M,COLUMN()-8,0),"")</f>
        <v>0</v>
      </c>
      <c r="S2092" s="4">
        <f ca="1">_xlfn.IFNA(VLOOKUP(INDIRECT("G"&amp;ROW()),minfo!$A:$M,COLUMN()-8,0),"")</f>
        <v>0</v>
      </c>
      <c r="T2092" s="4">
        <f ca="1">_xlfn.IFNA(VLOOKUP(INDIRECT("G"&amp;ROW()),minfo!$A:$M,COLUMN()-8,0),"")</f>
        <v>5379194</v>
      </c>
      <c r="U2092" s="4">
        <f ca="1">_xlfn.IFNA(VLOOKUP(INDIRECT("G"&amp;ROW()),minfo!$A:$M,COLUMN()-8,0),"")</f>
        <v>0</v>
      </c>
    </row>
    <row r="2093" spans="1:21" ht="15.75" customHeight="1">
      <c r="A2093" s="15">
        <v>2092</v>
      </c>
      <c r="B2093" s="4" t="s">
        <v>5966</v>
      </c>
      <c r="D2093" s="4">
        <v>1</v>
      </c>
      <c r="E2093" s="4" t="s">
        <v>3298</v>
      </c>
      <c r="F2093" s="4" t="s">
        <v>5960</v>
      </c>
      <c r="G2093" s="4" t="s">
        <v>3297</v>
      </c>
      <c r="H2093" s="4" t="s">
        <v>5967</v>
      </c>
      <c r="I2093" s="24" t="str">
        <f>HYPERLINK("https://www.bilibili.com/video/BV1a4421D72q?p=1","BV1a4421D72q?p=1")</f>
        <v>BV1a4421D72q?p=1</v>
      </c>
      <c r="J2093" s="4" t="str">
        <f ca="1">_xlfn.IFNA(VLOOKUP(INDIRECT("G"&amp;ROW()),minfo!$A:$M,COLUMN()-8,0),"")</f>
        <v>很久以后</v>
      </c>
      <c r="K2093" s="4" t="str">
        <f ca="1">_xlfn.IFNA(VLOOKUP(INDIRECT("G"&amp;ROW()),minfo!$A:$M,COLUMN()-8,0),"")</f>
        <v>G.E.M. 邓紫棋</v>
      </c>
      <c r="L2093" s="4">
        <f ca="1">_xlfn.IFNA(VLOOKUP(INDIRECT("G"&amp;ROW()),minfo!$A:$M,COLUMN()-8,0),"")</f>
        <v>752741189</v>
      </c>
      <c r="M2093" s="4">
        <f ca="1">_xlfn.IFNA(VLOOKUP(INDIRECT("G"&amp;ROW()),minfo!$A:$M,COLUMN()-8,0),"")</f>
        <v>174687794</v>
      </c>
      <c r="N2093" s="4" t="str">
        <f ca="1">_xlfn.IFNA(VLOOKUP(INDIRECT("G"&amp;ROW()),minfo!$A:$M,COLUMN()-8,0),"")</f>
        <v>BV1Nk4y1R7AP</v>
      </c>
      <c r="O2093" s="4" t="str">
        <f ca="1">_xlfn.IFNA(VLOOKUP(INDIRECT("G"&amp;ROW()),minfo!$A:$M,COLUMN()-8,0),"")</f>
        <v>https://i0.hdslb.com/bfs/station_src/music_metadata/f592645ec4c396c49a6f648533cf9d1b.jpg</v>
      </c>
      <c r="P2093" s="4" t="str">
        <f ca="1">_xlfn.IFNA(VLOOKUP(INDIRECT("G"&amp;ROW()),minfo!$A:$M,COLUMN()-8,0),"")</f>
        <v>http://i0.hdslb.com/bfs/station_src/music_metadata/40f0da937c16edd869592dab99096d7f</v>
      </c>
      <c r="Q2093" s="4">
        <f ca="1">_xlfn.IFNA(VLOOKUP(INDIRECT("G"&amp;ROW()),minfo!$A:$M,COLUMN()-8,0),"")</f>
        <v>97</v>
      </c>
      <c r="R2093" s="4" t="str">
        <f ca="1">_xlfn.IFNA(VLOOKUP(INDIRECT("G"&amp;ROW()),minfo!$A:$M,COLUMN()-8,0),"")</f>
        <v>《可不可以，你也刚好喜欢我》电影主题曲</v>
      </c>
      <c r="S2093" s="4" t="str">
        <f ca="1">_xlfn.IFNA(VLOOKUP(INDIRECT("G"&amp;ROW()),minfo!$A:$M,COLUMN()-8,0),"")</f>
        <v>摩天动物园</v>
      </c>
      <c r="T2093" s="4">
        <f ca="1">_xlfn.IFNA(VLOOKUP(INDIRECT("G"&amp;ROW()),minfo!$A:$M,COLUMN()-8,0),"")</f>
        <v>22243726</v>
      </c>
      <c r="U2093" s="4">
        <f ca="1">_xlfn.IFNA(VLOOKUP(INDIRECT("G"&amp;ROW()),minfo!$A:$M,COLUMN()-8,0),"")</f>
        <v>0</v>
      </c>
    </row>
    <row r="2094" spans="1:21" ht="15.75" customHeight="1">
      <c r="A2094" s="15">
        <v>2093</v>
      </c>
      <c r="B2094" s="4" t="s">
        <v>5968</v>
      </c>
      <c r="D2094" s="4">
        <v>1</v>
      </c>
      <c r="E2094" s="4" t="s">
        <v>1245</v>
      </c>
      <c r="F2094" s="4" t="s">
        <v>5960</v>
      </c>
      <c r="G2094" s="4" t="s">
        <v>1244</v>
      </c>
      <c r="H2094" s="4" t="s">
        <v>5969</v>
      </c>
      <c r="I2094" s="24" t="str">
        <f>HYPERLINK("https://www.bilibili.com/video/BV1qE421A7Gu?p=1","BV1qE421A7Gu?p=1")</f>
        <v>BV1qE421A7Gu?p=1</v>
      </c>
      <c r="J2094" s="4" t="str">
        <f ca="1">_xlfn.IFNA(VLOOKUP(INDIRECT("G"&amp;ROW()),minfo!$A:$M,COLUMN()-8,0),"")</f>
        <v>迷迭香</v>
      </c>
      <c r="K2094" s="4" t="str">
        <f ca="1">_xlfn.IFNA(VLOOKUP(INDIRECT("G"&amp;ROW()),minfo!$A:$M,COLUMN()-8,0),"")</f>
        <v>周杰伦</v>
      </c>
      <c r="L2094" s="4">
        <f ca="1">_xlfn.IFNA(VLOOKUP(INDIRECT("G"&amp;ROW()),minfo!$A:$M,COLUMN()-8,0),"")</f>
        <v>0</v>
      </c>
      <c r="M2094" s="4">
        <f ca="1">_xlfn.IFNA(VLOOKUP(INDIRECT("G"&amp;ROW()),minfo!$A:$M,COLUMN()-8,0),"")</f>
        <v>0</v>
      </c>
      <c r="N2094" s="4">
        <f ca="1">_xlfn.IFNA(VLOOKUP(INDIRECT("G"&amp;ROW()),minfo!$A:$M,COLUMN()-8,0),"")</f>
        <v>0</v>
      </c>
      <c r="O2094" s="4" t="str">
        <f ca="1">_xlfn.IFNA(VLOOKUP(INDIRECT("G"&amp;ROW()),minfo!$A:$M,COLUMN()-8,0),"")</f>
        <v>http://i0.hdslb.com/bfs/station_src/music_metadata/0926861efce67153beddcc1bf5676937.jpg</v>
      </c>
      <c r="P2094" s="4" t="str">
        <f ca="1">_xlfn.IFNA(VLOOKUP(INDIRECT("G"&amp;ROW()),minfo!$A:$M,COLUMN()-8,0),"")</f>
        <v>http://i0.hdslb.com/bfs/station_src/music_metadata/fd3c3fade748fdd9e948719c9ad02b33</v>
      </c>
      <c r="Q2094" s="4">
        <f ca="1">_xlfn.IFNA(VLOOKUP(INDIRECT("G"&amp;ROW()),minfo!$A:$M,COLUMN()-8,0),"")</f>
        <v>566</v>
      </c>
      <c r="R2094" s="4">
        <f ca="1">_xlfn.IFNA(VLOOKUP(INDIRECT("G"&amp;ROW()),minfo!$A:$M,COLUMN()-8,0),"")</f>
        <v>0</v>
      </c>
      <c r="S2094" s="4" t="str">
        <f ca="1">_xlfn.IFNA(VLOOKUP(INDIRECT("G"&amp;ROW()),minfo!$A:$M,COLUMN()-8,0),"")</f>
        <v>依然范特西</v>
      </c>
      <c r="T2094" s="4">
        <f ca="1">_xlfn.IFNA(VLOOKUP(INDIRECT("G"&amp;ROW()),minfo!$A:$M,COLUMN()-8,0),"")</f>
        <v>295581552</v>
      </c>
      <c r="U2094" s="4">
        <f ca="1">_xlfn.IFNA(VLOOKUP(INDIRECT("G"&amp;ROW()),minfo!$A:$M,COLUMN()-8,0),"")</f>
        <v>0</v>
      </c>
    </row>
    <row r="2095" spans="1:21" ht="15.75" customHeight="1">
      <c r="A2095" s="15">
        <v>2094</v>
      </c>
      <c r="B2095" s="4" t="s">
        <v>5876</v>
      </c>
      <c r="D2095" s="4">
        <v>1</v>
      </c>
      <c r="E2095" s="4" t="s">
        <v>1326</v>
      </c>
      <c r="F2095" s="4" t="s">
        <v>5960</v>
      </c>
      <c r="G2095" s="4" t="s">
        <v>1325</v>
      </c>
      <c r="H2095" s="4" t="s">
        <v>5970</v>
      </c>
      <c r="I2095" s="24" t="str">
        <f>HYPERLINK("https://www.bilibili.com/video/BV1Lf421z75H?p=1","BV1Lf421z75H?p=1")</f>
        <v>BV1Lf421z75H?p=1</v>
      </c>
      <c r="J2095" s="4" t="str">
        <f ca="1">_xlfn.IFNA(VLOOKUP(INDIRECT("G"&amp;ROW()),minfo!$A:$M,COLUMN()-8,0),"")</f>
        <v>东风破</v>
      </c>
      <c r="K2095" s="4" t="str">
        <f ca="1">_xlfn.IFNA(VLOOKUP(INDIRECT("G"&amp;ROW()),minfo!$A:$M,COLUMN()-8,0),"")</f>
        <v>周杰伦</v>
      </c>
      <c r="L2095" s="4">
        <f ca="1">_xlfn.IFNA(VLOOKUP(INDIRECT("G"&amp;ROW()),minfo!$A:$M,COLUMN()-8,0),"")</f>
        <v>0</v>
      </c>
      <c r="M2095" s="4">
        <f ca="1">_xlfn.IFNA(VLOOKUP(INDIRECT("G"&amp;ROW()),minfo!$A:$M,COLUMN()-8,0),"")</f>
        <v>0</v>
      </c>
      <c r="N2095" s="4">
        <f ca="1">_xlfn.IFNA(VLOOKUP(INDIRECT("G"&amp;ROW()),minfo!$A:$M,COLUMN()-8,0),"")</f>
        <v>0</v>
      </c>
      <c r="O2095" s="4" t="str">
        <f ca="1">_xlfn.IFNA(VLOOKUP(INDIRECT("G"&amp;ROW()),minfo!$A:$M,COLUMN()-8,0),"")</f>
        <v>https://i0.hdslb.com/bfs/station_src/music_metadata/8480d5b9cca7b1a7e5af2101531478e9.jpg</v>
      </c>
      <c r="P2095" s="4" t="str">
        <f ca="1">_xlfn.IFNA(VLOOKUP(INDIRECT("G"&amp;ROW()),minfo!$A:$M,COLUMN()-8,0),"")</f>
        <v>copyright-crawler/music/task-lyric/650e6317fad724c0d0113e31.txt</v>
      </c>
      <c r="Q2095" s="4">
        <f ca="1">_xlfn.IFNA(VLOOKUP(INDIRECT("G"&amp;ROW()),minfo!$A:$M,COLUMN()-8,0),"")</f>
        <v>1661</v>
      </c>
      <c r="R2095" s="4" t="str">
        <f ca="1">_xlfn.IFNA(VLOOKUP(INDIRECT("G"&amp;ROW()),minfo!$A:$M,COLUMN()-8,0),"")</f>
        <v>东风破</v>
      </c>
      <c r="S2095" s="4" t="str">
        <f ca="1">_xlfn.IFNA(VLOOKUP(INDIRECT("G"&amp;ROW()),minfo!$A:$M,COLUMN()-8,0),"")</f>
        <v>叶惠美</v>
      </c>
      <c r="T2095" s="4">
        <f ca="1">_xlfn.IFNA(VLOOKUP(INDIRECT("G"&amp;ROW()),minfo!$A:$M,COLUMN()-8,0),"")</f>
        <v>406111219</v>
      </c>
      <c r="U2095" s="4">
        <f ca="1">_xlfn.IFNA(VLOOKUP(INDIRECT("G"&amp;ROW()),minfo!$A:$M,COLUMN()-8,0),"")</f>
        <v>0</v>
      </c>
    </row>
    <row r="2096" spans="1:21" ht="15.75" customHeight="1">
      <c r="A2096" s="15">
        <v>2095</v>
      </c>
      <c r="B2096" s="4" t="s">
        <v>5971</v>
      </c>
      <c r="D2096" s="4">
        <v>1</v>
      </c>
      <c r="E2096" s="4" t="s">
        <v>967</v>
      </c>
      <c r="F2096" s="4" t="s">
        <v>5960</v>
      </c>
      <c r="G2096" s="4" t="s">
        <v>966</v>
      </c>
      <c r="H2096" s="4" t="s">
        <v>5972</v>
      </c>
      <c r="I2096" s="24" t="str">
        <f>HYPERLINK("https://www.bilibili.com/video/BV1zf421z7CK?p=1","BV1zf421z7CK?p=1")</f>
        <v>BV1zf421z7CK?p=1</v>
      </c>
      <c r="J2096" s="4" t="str">
        <f ca="1">_xlfn.IFNA(VLOOKUP(INDIRECT("G"&amp;ROW()),minfo!$A:$M,COLUMN()-8,0),"")</f>
        <v>小雨</v>
      </c>
      <c r="K2096" s="4" t="str">
        <f ca="1">_xlfn.IFNA(VLOOKUP(INDIRECT("G"&amp;ROW()),minfo!$A:$M,COLUMN()-8,0),"")</f>
        <v>黄龄</v>
      </c>
      <c r="L2096" s="4">
        <f ca="1">_xlfn.IFNA(VLOOKUP(INDIRECT("G"&amp;ROW()),minfo!$A:$M,COLUMN()-8,0),"")</f>
        <v>0</v>
      </c>
      <c r="M2096" s="4">
        <f ca="1">_xlfn.IFNA(VLOOKUP(INDIRECT("G"&amp;ROW()),minfo!$A:$M,COLUMN()-8,0),"")</f>
        <v>0</v>
      </c>
      <c r="N2096" s="4">
        <f ca="1">_xlfn.IFNA(VLOOKUP(INDIRECT("G"&amp;ROW()),minfo!$A:$M,COLUMN()-8,0),"")</f>
        <v>0</v>
      </c>
      <c r="O2096" s="4" t="str">
        <f ca="1">_xlfn.IFNA(VLOOKUP(INDIRECT("G"&amp;ROW()),minfo!$A:$M,COLUMN()-8,0),"")</f>
        <v>https://i0.hdslb.com/bfs/station_src/music_metadata/607346922702f1ba7302d87db0ecdbf1.jpg</v>
      </c>
      <c r="P2096" s="4" t="str">
        <f ca="1">_xlfn.IFNA(VLOOKUP(INDIRECT("G"&amp;ROW()),minfo!$A:$M,COLUMN()-8,0),"")</f>
        <v>https://i0.hdslb.com/bfs/station_src/music_metadata/245fdd0b68a8f71caa554e8f05ea1b6c.txt</v>
      </c>
      <c r="Q2096" s="4">
        <f ca="1">_xlfn.IFNA(VLOOKUP(INDIRECT("G"&amp;ROW()),minfo!$A:$M,COLUMN()-8,0),"")</f>
        <v>2250</v>
      </c>
      <c r="R2096" s="4">
        <f ca="1">_xlfn.IFNA(VLOOKUP(INDIRECT("G"&amp;ROW()),minfo!$A:$M,COLUMN()-8,0),"")</f>
        <v>0</v>
      </c>
      <c r="S2096" s="4" t="str">
        <f ca="1">_xlfn.IFNA(VLOOKUP(INDIRECT("G"&amp;ROW()),minfo!$A:$M,COLUMN()-8,0),"")</f>
        <v>小雨</v>
      </c>
      <c r="T2096" s="4">
        <f ca="1">_xlfn.IFNA(VLOOKUP(INDIRECT("G"&amp;ROW()),minfo!$A:$M,COLUMN()-8,0),"")</f>
        <v>63947645</v>
      </c>
      <c r="U2096" s="4">
        <f ca="1">_xlfn.IFNA(VLOOKUP(INDIRECT("G"&amp;ROW()),minfo!$A:$M,COLUMN()-8,0),"")</f>
        <v>0</v>
      </c>
    </row>
    <row r="2097" spans="1:21" ht="15.75" customHeight="1">
      <c r="A2097" s="15">
        <v>2096</v>
      </c>
      <c r="B2097" s="4" t="s">
        <v>5973</v>
      </c>
      <c r="D2097" s="4">
        <v>1</v>
      </c>
      <c r="E2097" s="4" t="s">
        <v>384</v>
      </c>
      <c r="F2097" s="4" t="s">
        <v>5960</v>
      </c>
      <c r="G2097" s="4" t="s">
        <v>383</v>
      </c>
      <c r="H2097" s="4" t="s">
        <v>5974</v>
      </c>
      <c r="I2097" s="24" t="str">
        <f>HYPERLINK("https://www.bilibili.com/video/BV1x4421D7T9?p=1","BV1x4421D7T9?p=1")</f>
        <v>BV1x4421D7T9?p=1</v>
      </c>
      <c r="J2097" s="4" t="str">
        <f ca="1">_xlfn.IFNA(VLOOKUP(INDIRECT("G"&amp;ROW()),minfo!$A:$M,COLUMN()-8,0),"")</f>
        <v>恰好</v>
      </c>
      <c r="K2097" s="4" t="str">
        <f ca="1">_xlfn.IFNA(VLOOKUP(INDIRECT("G"&amp;ROW()),minfo!$A:$M,COLUMN()-8,0),"")</f>
        <v>黄龄,李鑫一</v>
      </c>
      <c r="L2097" s="4">
        <f ca="1">_xlfn.IFNA(VLOOKUP(INDIRECT("G"&amp;ROW()),minfo!$A:$M,COLUMN()-8,0),"")</f>
        <v>0</v>
      </c>
      <c r="M2097" s="4">
        <f ca="1">_xlfn.IFNA(VLOOKUP(INDIRECT("G"&amp;ROW()),minfo!$A:$M,COLUMN()-8,0),"")</f>
        <v>0</v>
      </c>
      <c r="N2097" s="4">
        <f ca="1">_xlfn.IFNA(VLOOKUP(INDIRECT("G"&amp;ROW()),minfo!$A:$M,COLUMN()-8,0),"")</f>
        <v>0</v>
      </c>
      <c r="O2097" s="4" t="str">
        <f ca="1">_xlfn.IFNA(VLOOKUP(INDIRECT("G"&amp;ROW()),minfo!$A:$M,COLUMN()-8,0),"")</f>
        <v>https://i0.hdslb.com/bfs/station_src/music_metadata/4114b5dce4dc2e8fa6d696106a6624eb.jpg</v>
      </c>
      <c r="P2097" s="4" t="str">
        <f ca="1">_xlfn.IFNA(VLOOKUP(INDIRECT("G"&amp;ROW()),minfo!$A:$M,COLUMN()-8,0),"")</f>
        <v>https://i0.hdslb.com/bfs/station_src/music_metadata/7105373054bbacbd0af01ee959bcd5e2.txt</v>
      </c>
      <c r="Q2097" s="4">
        <f ca="1">_xlfn.IFNA(VLOOKUP(INDIRECT("G"&amp;ROW()),minfo!$A:$M,COLUMN()-8,0),"")</f>
        <v>0</v>
      </c>
      <c r="R2097" s="4">
        <f ca="1">_xlfn.IFNA(VLOOKUP(INDIRECT("G"&amp;ROW()),minfo!$A:$M,COLUMN()-8,0),"")</f>
        <v>0</v>
      </c>
      <c r="S2097" s="4" t="str">
        <f ca="1">_xlfn.IFNA(VLOOKUP(INDIRECT("G"&amp;ROW()),minfo!$A:$M,COLUMN()-8,0),"")</f>
        <v>天赐的声音第二季 第9期</v>
      </c>
      <c r="T2097" s="4">
        <f ca="1">_xlfn.IFNA(VLOOKUP(INDIRECT("G"&amp;ROW()),minfo!$A:$M,COLUMN()-8,0),"")</f>
        <v>436159</v>
      </c>
      <c r="U2097" s="4">
        <f ca="1">_xlfn.IFNA(VLOOKUP(INDIRECT("G"&amp;ROW()),minfo!$A:$M,COLUMN()-8,0),"")</f>
        <v>0</v>
      </c>
    </row>
    <row r="2098" spans="1:21" ht="15.75" customHeight="1">
      <c r="A2098" s="15">
        <v>2097</v>
      </c>
      <c r="B2098" s="4" t="s">
        <v>5975</v>
      </c>
      <c r="D2098" s="4">
        <v>1</v>
      </c>
      <c r="E2098" s="4" t="s">
        <v>980</v>
      </c>
      <c r="F2098" s="4" t="s">
        <v>5960</v>
      </c>
      <c r="G2098" s="4" t="s">
        <v>979</v>
      </c>
      <c r="H2098" s="4" t="s">
        <v>5976</v>
      </c>
      <c r="I2098" s="24" t="str">
        <f>HYPERLINK("https://www.bilibili.com/video/BV1Af421q7TR?p=1","BV1Af421q7TR?p=1")</f>
        <v>BV1Af421q7TR?p=1</v>
      </c>
      <c r="J2098" s="4" t="str">
        <f ca="1">_xlfn.IFNA(VLOOKUP(INDIRECT("G"&amp;ROW()),minfo!$A:$M,COLUMN()-8,0),"")</f>
        <v>寻一个天荒地老的地方</v>
      </c>
      <c r="K2098" s="4" t="str">
        <f ca="1">_xlfn.IFNA(VLOOKUP(INDIRECT("G"&amp;ROW()),minfo!$A:$M,COLUMN()-8,0),"")</f>
        <v>单依纯</v>
      </c>
      <c r="L2098" s="4">
        <f ca="1">_xlfn.IFNA(VLOOKUP(INDIRECT("G"&amp;ROW()),minfo!$A:$M,COLUMN()-8,0),"")</f>
        <v>0</v>
      </c>
      <c r="M2098" s="4">
        <f ca="1">_xlfn.IFNA(VLOOKUP(INDIRECT("G"&amp;ROW()),minfo!$A:$M,COLUMN()-8,0),"")</f>
        <v>0</v>
      </c>
      <c r="N2098" s="4">
        <f ca="1">_xlfn.IFNA(VLOOKUP(INDIRECT("G"&amp;ROW()),minfo!$A:$M,COLUMN()-8,0),"")</f>
        <v>0</v>
      </c>
      <c r="O2098" s="4" t="str">
        <f ca="1">_xlfn.IFNA(VLOOKUP(INDIRECT("G"&amp;ROW()),minfo!$A:$M,COLUMN()-8,0),"")</f>
        <v>https://i0.hdslb.com/bfs/station_src/music_metadata/1baf91b2d2f204c468162a37d5dc6011.jpg</v>
      </c>
      <c r="P2098" s="4" t="str">
        <f ca="1">_xlfn.IFNA(VLOOKUP(INDIRECT("G"&amp;ROW()),minfo!$A:$M,COLUMN()-8,0),"")</f>
        <v>https://i0.hdslb.com/bfs/station_src/music_metadata/e080f50db39ef189fa94151d5b77dc5d.txt</v>
      </c>
      <c r="Q2098" s="4">
        <f ca="1">_xlfn.IFNA(VLOOKUP(INDIRECT("G"&amp;ROW()),minfo!$A:$M,COLUMN()-8,0),"")</f>
        <v>3</v>
      </c>
      <c r="R2098" s="4">
        <f ca="1">_xlfn.IFNA(VLOOKUP(INDIRECT("G"&amp;ROW()),minfo!$A:$M,COLUMN()-8,0),"")</f>
        <v>0</v>
      </c>
      <c r="S2098" s="4" t="str">
        <f ca="1">_xlfn.IFNA(VLOOKUP(INDIRECT("G"&amp;ROW()),minfo!$A:$M,COLUMN()-8,0),"")</f>
        <v>2020中国好声音 第8期</v>
      </c>
      <c r="T2098" s="4">
        <f ca="1">_xlfn.IFNA(VLOOKUP(INDIRECT("G"&amp;ROW()),minfo!$A:$M,COLUMN()-8,0),"")</f>
        <v>1875423</v>
      </c>
      <c r="U2098" s="4">
        <f ca="1">_xlfn.IFNA(VLOOKUP(INDIRECT("G"&amp;ROW()),minfo!$A:$M,COLUMN()-8,0),"")</f>
        <v>0</v>
      </c>
    </row>
    <row r="2099" spans="1:21" ht="15.75" customHeight="1">
      <c r="A2099" s="15">
        <v>2098</v>
      </c>
      <c r="B2099" s="4" t="s">
        <v>5977</v>
      </c>
      <c r="D2099" s="4">
        <v>1</v>
      </c>
      <c r="E2099" s="4" t="s">
        <v>497</v>
      </c>
      <c r="F2099" s="4" t="s">
        <v>5960</v>
      </c>
      <c r="G2099" s="4" t="s">
        <v>496</v>
      </c>
      <c r="H2099" s="4" t="s">
        <v>5978</v>
      </c>
      <c r="I2099" s="24" t="str">
        <f>HYPERLINK("https://www.bilibili.com/video/BV1uf421q7rW?p=1","BV1uf421q7rW?p=1")</f>
        <v>BV1uf421q7rW?p=1</v>
      </c>
      <c r="J2099" s="4" t="str">
        <f ca="1">_xlfn.IFNA(VLOOKUP(INDIRECT("G"&amp;ROW()),minfo!$A:$M,COLUMN()-8,0),"")</f>
        <v>给电影人的情书</v>
      </c>
      <c r="K2099" s="4" t="str">
        <f ca="1">_xlfn.IFNA(VLOOKUP(INDIRECT("G"&amp;ROW()),minfo!$A:$M,COLUMN()-8,0),"")</f>
        <v>蔡琴</v>
      </c>
      <c r="L2099" s="4">
        <f ca="1">_xlfn.IFNA(VLOOKUP(INDIRECT("G"&amp;ROW()),minfo!$A:$M,COLUMN()-8,0),"")</f>
        <v>0</v>
      </c>
      <c r="M2099" s="4">
        <f ca="1">_xlfn.IFNA(VLOOKUP(INDIRECT("G"&amp;ROW()),minfo!$A:$M,COLUMN()-8,0),"")</f>
        <v>0</v>
      </c>
      <c r="N2099" s="4">
        <f ca="1">_xlfn.IFNA(VLOOKUP(INDIRECT("G"&amp;ROW()),minfo!$A:$M,COLUMN()-8,0),"")</f>
        <v>0</v>
      </c>
      <c r="O2099" s="4" t="str">
        <f ca="1">_xlfn.IFNA(VLOOKUP(INDIRECT("G"&amp;ROW()),minfo!$A:$M,COLUMN()-8,0),"")</f>
        <v>https://i0.hdslb.com/bfs/station_src/music_metadata/5a642b125d5c75496a65d82a8b356a5f.jpg</v>
      </c>
      <c r="P2099" s="4" t="str">
        <f ca="1">_xlfn.IFNA(VLOOKUP(INDIRECT("G"&amp;ROW()),minfo!$A:$M,COLUMN()-8,0),"")</f>
        <v>http://i0.hdslb.com/bfs/station_src/music_metadata/b70311934da8d72b044401d31b44294e</v>
      </c>
      <c r="Q2099" s="4">
        <f ca="1">_xlfn.IFNA(VLOOKUP(INDIRECT("G"&amp;ROW()),minfo!$A:$M,COLUMN()-8,0),"")</f>
        <v>192</v>
      </c>
      <c r="R2099" s="4">
        <f ca="1">_xlfn.IFNA(VLOOKUP(INDIRECT("G"&amp;ROW()),minfo!$A:$M,COLUMN()-8,0),"")</f>
        <v>0</v>
      </c>
      <c r="S2099" s="4" t="str">
        <f ca="1">_xlfn.IFNA(VLOOKUP(INDIRECT("G"&amp;ROW()),minfo!$A:$M,COLUMN()-8,0),"")</f>
        <v>不悔</v>
      </c>
      <c r="T2099" s="4">
        <f ca="1">_xlfn.IFNA(VLOOKUP(INDIRECT("G"&amp;ROW()),minfo!$A:$M,COLUMN()-8,0),"")</f>
        <v>47527216</v>
      </c>
      <c r="U2099" s="4">
        <f ca="1">_xlfn.IFNA(VLOOKUP(INDIRECT("G"&amp;ROW()),minfo!$A:$M,COLUMN()-8,0),"")</f>
        <v>0</v>
      </c>
    </row>
    <row r="2100" spans="1:21" ht="15.75" customHeight="1">
      <c r="A2100" s="15">
        <v>2099</v>
      </c>
      <c r="B2100" s="4" t="s">
        <v>5919</v>
      </c>
      <c r="D2100" s="4">
        <v>1</v>
      </c>
      <c r="E2100" s="4" t="s">
        <v>3410</v>
      </c>
      <c r="F2100" s="4" t="s">
        <v>5960</v>
      </c>
      <c r="G2100" s="4" t="s">
        <v>3409</v>
      </c>
      <c r="H2100" s="4" t="s">
        <v>5979</v>
      </c>
      <c r="I2100" s="24" t="str">
        <f>HYPERLINK("https://www.bilibili.com/video/BV1Qx4y1x7JL?p=1","BV1Qx4y1x7JL?p=1")</f>
        <v>BV1Qx4y1x7JL?p=1</v>
      </c>
      <c r="J2100" s="4" t="str">
        <f ca="1">_xlfn.IFNA(VLOOKUP(INDIRECT("G"&amp;ROW()),minfo!$A:$M,COLUMN()-8,0),"")</f>
        <v>迷宫</v>
      </c>
      <c r="K2100" s="4" t="str">
        <f ca="1">_xlfn.IFNA(VLOOKUP(INDIRECT("G"&amp;ROW()),minfo!$A:$M,COLUMN()-8,0),"")</f>
        <v>step.jad依加</v>
      </c>
      <c r="L2100" s="4">
        <f ca="1">_xlfn.IFNA(VLOOKUP(INDIRECT("G"&amp;ROW()),minfo!$A:$M,COLUMN()-8,0),"")</f>
        <v>0</v>
      </c>
      <c r="M2100" s="4">
        <f ca="1">_xlfn.IFNA(VLOOKUP(INDIRECT("G"&amp;ROW()),minfo!$A:$M,COLUMN()-8,0),"")</f>
        <v>0</v>
      </c>
      <c r="N2100" s="4">
        <f ca="1">_xlfn.IFNA(VLOOKUP(INDIRECT("G"&amp;ROW()),minfo!$A:$M,COLUMN()-8,0),"")</f>
        <v>0</v>
      </c>
      <c r="O2100" s="4" t="str">
        <f ca="1">_xlfn.IFNA(VLOOKUP(INDIRECT("G"&amp;ROW()),minfo!$A:$M,COLUMN()-8,0),"")</f>
        <v>https://i0.hdslb.com/bfs/station_src/music_metadata/4ab9788d5332aa662c40e6622ea53190.jpg</v>
      </c>
      <c r="P2100" s="4" t="str">
        <f ca="1">_xlfn.IFNA(VLOOKUP(INDIRECT("G"&amp;ROW()),minfo!$A:$M,COLUMN()-8,0),"")</f>
        <v>https://i0.hdslb.com/bfs/station_src/music_metadata/b3519269dabfa969cd60116ca7a2b9dd.txt</v>
      </c>
      <c r="Q2100" s="4">
        <f ca="1">_xlfn.IFNA(VLOOKUP(INDIRECT("G"&amp;ROW()),minfo!$A:$M,COLUMN()-8,0),"")</f>
        <v>16</v>
      </c>
      <c r="R2100" s="4">
        <f ca="1">_xlfn.IFNA(VLOOKUP(INDIRECT("G"&amp;ROW()),minfo!$A:$M,COLUMN()-8,0),"")</f>
        <v>0</v>
      </c>
      <c r="S2100" s="4" t="str">
        <f ca="1">_xlfn.IFNA(VLOOKUP(INDIRECT("G"&amp;ROW()),minfo!$A:$M,COLUMN()-8,0),"")</f>
        <v>迷宫</v>
      </c>
      <c r="T2100" s="4">
        <f ca="1">_xlfn.IFNA(VLOOKUP(INDIRECT("G"&amp;ROW()),minfo!$A:$M,COLUMN()-8,0),"")</f>
        <v>13443964</v>
      </c>
      <c r="U2100" s="4">
        <f ca="1">_xlfn.IFNA(VLOOKUP(INDIRECT("G"&amp;ROW()),minfo!$A:$M,COLUMN()-8,0),"")</f>
        <v>0</v>
      </c>
    </row>
    <row r="2101" spans="1:21" ht="15.75" customHeight="1">
      <c r="A2101" s="15">
        <v>2100</v>
      </c>
      <c r="B2101" s="4" t="s">
        <v>5980</v>
      </c>
      <c r="D2101" s="4">
        <v>1</v>
      </c>
      <c r="E2101" s="4" t="s">
        <v>3425</v>
      </c>
      <c r="F2101" s="4" t="s">
        <v>5981</v>
      </c>
      <c r="G2101" s="4" t="s">
        <v>3424</v>
      </c>
      <c r="H2101" s="4" t="s">
        <v>5982</v>
      </c>
      <c r="I2101" s="24" t="str">
        <f>HYPERLINK("https://www.bilibili.com/video/BV1mgawedEho?p=1","BV1mgawedEho?p=1")</f>
        <v>BV1mgawedEho?p=1</v>
      </c>
      <c r="J2101" s="4" t="str">
        <f ca="1">_xlfn.IFNA(VLOOKUP(INDIRECT("G"&amp;ROW()),minfo!$A:$M,COLUMN()-8,0),"")</f>
        <v>十七岁</v>
      </c>
      <c r="K2101" s="4" t="str">
        <f ca="1">_xlfn.IFNA(VLOOKUP(INDIRECT("G"&amp;ROW()),minfo!$A:$M,COLUMN()-8,0),"")</f>
        <v>陶喆</v>
      </c>
      <c r="L2101" s="4">
        <f ca="1">_xlfn.IFNA(VLOOKUP(INDIRECT("G"&amp;ROW()),minfo!$A:$M,COLUMN()-8,0),"")</f>
        <v>0</v>
      </c>
      <c r="M2101" s="4">
        <f ca="1">_xlfn.IFNA(VLOOKUP(INDIRECT("G"&amp;ROW()),minfo!$A:$M,COLUMN()-8,0),"")</f>
        <v>0</v>
      </c>
      <c r="N2101" s="4">
        <f ca="1">_xlfn.IFNA(VLOOKUP(INDIRECT("G"&amp;ROW()),minfo!$A:$M,COLUMN()-8,0),"")</f>
        <v>0</v>
      </c>
      <c r="O2101" s="4" t="str">
        <f ca="1">_xlfn.IFNA(VLOOKUP(INDIRECT("G"&amp;ROW()),minfo!$A:$M,COLUMN()-8,0),"")</f>
        <v>https://i0.hdslb.com/bfs/station_src/music_metadata/cd8e2064aa39afd7b879ef1d7a1cfd87.jpg</v>
      </c>
      <c r="P2101" s="4" t="str">
        <f ca="1">_xlfn.IFNA(VLOOKUP(INDIRECT("G"&amp;ROW()),minfo!$A:$M,COLUMN()-8,0),"")</f>
        <v>https://i0.hdslb.com/bfs/station_src/music_metadata/4984db17d2f54a8250031beb01534b24.txt</v>
      </c>
      <c r="Q2101" s="4">
        <f ca="1">_xlfn.IFNA(VLOOKUP(INDIRECT("G"&amp;ROW()),minfo!$A:$M,COLUMN()-8,0),"")</f>
        <v>64</v>
      </c>
      <c r="R2101" s="4">
        <f ca="1">_xlfn.IFNA(VLOOKUP(INDIRECT("G"&amp;ROW()),minfo!$A:$M,COLUMN()-8,0),"")</f>
        <v>0</v>
      </c>
      <c r="S2101" s="4" t="str">
        <f ca="1">_xlfn.IFNA(VLOOKUP(INDIRECT("G"&amp;ROW()),minfo!$A:$M,COLUMN()-8,0),"")</f>
        <v>陶喆同名专辑</v>
      </c>
      <c r="T2101" s="4">
        <f ca="1">_xlfn.IFNA(VLOOKUP(INDIRECT("G"&amp;ROW()),minfo!$A:$M,COLUMN()-8,0),"")</f>
        <v>15363963</v>
      </c>
      <c r="U2101" s="4">
        <f ca="1">_xlfn.IFNA(VLOOKUP(INDIRECT("G"&amp;ROW()),minfo!$A:$M,COLUMN()-8,0),"")</f>
        <v>0</v>
      </c>
    </row>
    <row r="2102" spans="1:21" ht="15.75" customHeight="1">
      <c r="A2102" s="15">
        <v>2101</v>
      </c>
      <c r="B2102" s="4" t="s">
        <v>5983</v>
      </c>
      <c r="D2102" s="4">
        <v>1</v>
      </c>
      <c r="E2102" s="4" t="s">
        <v>3222</v>
      </c>
      <c r="F2102" s="4" t="s">
        <v>5981</v>
      </c>
      <c r="G2102" s="4" t="s">
        <v>3221</v>
      </c>
      <c r="H2102" s="4" t="s">
        <v>5984</v>
      </c>
      <c r="I2102" s="24" t="str">
        <f>HYPERLINK("https://www.bilibili.com/video/BV1MuawetERB?p=1","BV1MuawetERB?p=1")</f>
        <v>BV1MuawetERB?p=1</v>
      </c>
      <c r="J2102" s="4" t="str">
        <f ca="1">_xlfn.IFNA(VLOOKUP(INDIRECT("G"&amp;ROW()),minfo!$A:$M,COLUMN()-8,0),"")</f>
        <v>借口</v>
      </c>
      <c r="K2102" s="4" t="str">
        <f ca="1">_xlfn.IFNA(VLOOKUP(INDIRECT("G"&amp;ROW()),minfo!$A:$M,COLUMN()-8,0),"")</f>
        <v>周杰伦</v>
      </c>
      <c r="L2102" s="4">
        <f ca="1">_xlfn.IFNA(VLOOKUP(INDIRECT("G"&amp;ROW()),minfo!$A:$M,COLUMN()-8,0),"")</f>
        <v>0</v>
      </c>
      <c r="M2102" s="4">
        <f ca="1">_xlfn.IFNA(VLOOKUP(INDIRECT("G"&amp;ROW()),minfo!$A:$M,COLUMN()-8,0),"")</f>
        <v>0</v>
      </c>
      <c r="N2102" s="4">
        <f ca="1">_xlfn.IFNA(VLOOKUP(INDIRECT("G"&amp;ROW()),minfo!$A:$M,COLUMN()-8,0),"")</f>
        <v>0</v>
      </c>
      <c r="O2102" s="4" t="str">
        <f ca="1">_xlfn.IFNA(VLOOKUP(INDIRECT("G"&amp;ROW()),minfo!$A:$M,COLUMN()-8,0),"")</f>
        <v>https://i0.hdslb.com/bfs/station_src/music_metadata/52ac34423a448bcd0bb77827494a6874.jpg</v>
      </c>
      <c r="P2102" s="4" t="str">
        <f ca="1">_xlfn.IFNA(VLOOKUP(INDIRECT("G"&amp;ROW()),minfo!$A:$M,COLUMN()-8,0),"")</f>
        <v>copyright-crawler/music/task-lyric/650e62eafad724c0d011364f.txt</v>
      </c>
      <c r="Q2102" s="4">
        <f ca="1">_xlfn.IFNA(VLOOKUP(INDIRECT("G"&amp;ROW()),minfo!$A:$M,COLUMN()-8,0),"")</f>
        <v>1401</v>
      </c>
      <c r="R2102" s="4" t="str">
        <f ca="1">_xlfn.IFNA(VLOOKUP(INDIRECT("G"&amp;ROW()),minfo!$A:$M,COLUMN()-8,0),"")</f>
        <v>借口</v>
      </c>
      <c r="S2102" s="4" t="str">
        <f ca="1">_xlfn.IFNA(VLOOKUP(INDIRECT("G"&amp;ROW()),minfo!$A:$M,COLUMN()-8,0),"")</f>
        <v>七里香</v>
      </c>
      <c r="T2102" s="4">
        <f ca="1">_xlfn.IFNA(VLOOKUP(INDIRECT("G"&amp;ROW()),minfo!$A:$M,COLUMN()-8,0),"")</f>
        <v>299369424</v>
      </c>
      <c r="U2102" s="4">
        <f ca="1">_xlfn.IFNA(VLOOKUP(INDIRECT("G"&amp;ROW()),minfo!$A:$M,COLUMN()-8,0),"")</f>
        <v>0</v>
      </c>
    </row>
    <row r="2103" spans="1:21" ht="15.75" customHeight="1">
      <c r="A2103" s="15">
        <v>2102</v>
      </c>
      <c r="B2103" s="4" t="s">
        <v>5985</v>
      </c>
      <c r="D2103" s="4">
        <v>1</v>
      </c>
      <c r="E2103" s="4" t="s">
        <v>754</v>
      </c>
      <c r="F2103" s="4" t="s">
        <v>5981</v>
      </c>
      <c r="G2103" s="4" t="s">
        <v>753</v>
      </c>
      <c r="H2103" s="4" t="s">
        <v>5986</v>
      </c>
      <c r="I2103" s="24" t="str">
        <f>HYPERLINK("https://www.bilibili.com/video/BV1Uuawe4EbW?p=1","BV1Uuawe4EbW?p=1")</f>
        <v>BV1Uuawe4EbW?p=1</v>
      </c>
      <c r="J2103" s="4" t="str">
        <f ca="1">_xlfn.IFNA(VLOOKUP(INDIRECT("G"&amp;ROW()),minfo!$A:$M,COLUMN()-8,0),"")</f>
        <v>台风</v>
      </c>
      <c r="K2103" s="4" t="str">
        <f ca="1">_xlfn.IFNA(VLOOKUP(INDIRECT("G"&amp;ROW()),minfo!$A:$M,COLUMN()-8,0),"")</f>
        <v>郁一凡</v>
      </c>
      <c r="L2103" s="4">
        <f ca="1">_xlfn.IFNA(VLOOKUP(INDIRECT("G"&amp;ROW()),minfo!$A:$M,COLUMN()-8,0),"")</f>
        <v>0</v>
      </c>
      <c r="M2103" s="4">
        <f ca="1">_xlfn.IFNA(VLOOKUP(INDIRECT("G"&amp;ROW()),minfo!$A:$M,COLUMN()-8,0),"")</f>
        <v>0</v>
      </c>
      <c r="N2103" s="4">
        <f ca="1">_xlfn.IFNA(VLOOKUP(INDIRECT("G"&amp;ROW()),minfo!$A:$M,COLUMN()-8,0),"")</f>
        <v>0</v>
      </c>
      <c r="O2103" s="4" t="str">
        <f ca="1">_xlfn.IFNA(VLOOKUP(INDIRECT("G"&amp;ROW()),minfo!$A:$M,COLUMN()-8,0),"")</f>
        <v>https://i0.hdslb.com/bfs/station_src/music_metadata/e62e120e862336e6b171c835ae52b792.jpg</v>
      </c>
      <c r="P2103" s="4" t="str">
        <f ca="1">_xlfn.IFNA(VLOOKUP(INDIRECT("G"&amp;ROW()),minfo!$A:$M,COLUMN()-8,0),"")</f>
        <v>https://i0.hdslb.com/bfs/station_src/music_metadata/4025503f8f2dced9cfa0f785fcbd250a.txt</v>
      </c>
      <c r="Q2103" s="4">
        <f ca="1">_xlfn.IFNA(VLOOKUP(INDIRECT("G"&amp;ROW()),minfo!$A:$M,COLUMN()-8,0),"")</f>
        <v>18</v>
      </c>
      <c r="R2103" s="4">
        <f ca="1">_xlfn.IFNA(VLOOKUP(INDIRECT("G"&amp;ROW()),minfo!$A:$M,COLUMN()-8,0),"")</f>
        <v>0</v>
      </c>
      <c r="S2103" s="4" t="str">
        <f ca="1">_xlfn.IFNA(VLOOKUP(INDIRECT("G"&amp;ROW()),minfo!$A:$M,COLUMN()-8,0),"")</f>
        <v>我的音乐你听吗 第2期</v>
      </c>
      <c r="T2103" s="4">
        <f ca="1">_xlfn.IFNA(VLOOKUP(INDIRECT("G"&amp;ROW()),minfo!$A:$M,COLUMN()-8,0),"")</f>
        <v>11454087</v>
      </c>
      <c r="U2103" s="4">
        <f ca="1">_xlfn.IFNA(VLOOKUP(INDIRECT("G"&amp;ROW()),minfo!$A:$M,COLUMN()-8,0),"")</f>
        <v>0</v>
      </c>
    </row>
    <row r="2104" spans="1:21" ht="15.75" customHeight="1">
      <c r="A2104" s="15">
        <v>2103</v>
      </c>
      <c r="B2104" s="4" t="s">
        <v>5987</v>
      </c>
      <c r="D2104" s="4">
        <v>1</v>
      </c>
      <c r="E2104" s="4" t="s">
        <v>1296</v>
      </c>
      <c r="F2104" s="4" t="s">
        <v>5981</v>
      </c>
      <c r="G2104" s="4" t="s">
        <v>1295</v>
      </c>
      <c r="H2104" s="4" t="s">
        <v>5988</v>
      </c>
      <c r="I2104" s="24" t="str">
        <f>HYPERLINK("https://www.bilibili.com/video/BV1KVaweRErm?p=1","BV1KVaweRErm?p=1")</f>
        <v>BV1KVaweRErm?p=1</v>
      </c>
      <c r="J2104" s="4" t="str">
        <f ca="1">_xlfn.IFNA(VLOOKUP(INDIRECT("G"&amp;ROW()),minfo!$A:$M,COLUMN()-8,0),"")</f>
        <v>卷珠帘</v>
      </c>
      <c r="K2104" s="4" t="str">
        <f ca="1">_xlfn.IFNA(VLOOKUP(INDIRECT("G"&amp;ROW()),minfo!$A:$M,COLUMN()-8,0),"")</f>
        <v>周深</v>
      </c>
      <c r="L2104" s="4">
        <f ca="1">_xlfn.IFNA(VLOOKUP(INDIRECT("G"&amp;ROW()),minfo!$A:$M,COLUMN()-8,0),"")</f>
        <v>0</v>
      </c>
      <c r="M2104" s="4">
        <f ca="1">_xlfn.IFNA(VLOOKUP(INDIRECT("G"&amp;ROW()),minfo!$A:$M,COLUMN()-8,0),"")</f>
        <v>0</v>
      </c>
      <c r="N2104" s="4">
        <f ca="1">_xlfn.IFNA(VLOOKUP(INDIRECT("G"&amp;ROW()),minfo!$A:$M,COLUMN()-8,0),"")</f>
        <v>0</v>
      </c>
      <c r="O2104" s="4" t="str">
        <f ca="1">_xlfn.IFNA(VLOOKUP(INDIRECT("G"&amp;ROW()),minfo!$A:$M,COLUMN()-8,0),"")</f>
        <v>http://i0.hdslb.com/bfs/station_src/music_metadata/f42e0343b7c418d43f2be69b16badbb5.jpg</v>
      </c>
      <c r="P2104" s="4">
        <f ca="1">_xlfn.IFNA(VLOOKUP(INDIRECT("G"&amp;ROW()),minfo!$A:$M,COLUMN()-8,0),"")</f>
        <v>0</v>
      </c>
      <c r="Q2104" s="4">
        <f ca="1">_xlfn.IFNA(VLOOKUP(INDIRECT("G"&amp;ROW()),minfo!$A:$M,COLUMN()-8,0),"")</f>
        <v>179</v>
      </c>
      <c r="R2104" s="4">
        <f ca="1">_xlfn.IFNA(VLOOKUP(INDIRECT("G"&amp;ROW()),minfo!$A:$M,COLUMN()-8,0),"")</f>
        <v>0</v>
      </c>
      <c r="S2104" s="4" t="str">
        <f ca="1">_xlfn.IFNA(VLOOKUP(INDIRECT("G"&amp;ROW()),minfo!$A:$M,COLUMN()-8,0),"")</f>
        <v>化身孤岛的鲸 周深翻唱精选Vol. 1</v>
      </c>
      <c r="T2104" s="4">
        <f ca="1">_xlfn.IFNA(VLOOKUP(INDIRECT("G"&amp;ROW()),minfo!$A:$M,COLUMN()-8,0),"")</f>
        <v>61503981</v>
      </c>
      <c r="U2104" s="4">
        <f ca="1">_xlfn.IFNA(VLOOKUP(INDIRECT("G"&amp;ROW()),minfo!$A:$M,COLUMN()-8,0),"")</f>
        <v>0</v>
      </c>
    </row>
    <row r="2105" spans="1:21" ht="15.75" customHeight="1">
      <c r="A2105" s="15">
        <v>2104</v>
      </c>
      <c r="B2105" s="4" t="s">
        <v>5989</v>
      </c>
      <c r="D2105" s="4">
        <v>1</v>
      </c>
      <c r="E2105" s="4" t="s">
        <v>2230</v>
      </c>
      <c r="F2105" s="4" t="s">
        <v>5981</v>
      </c>
      <c r="G2105" s="4" t="s">
        <v>2229</v>
      </c>
      <c r="H2105" s="4" t="s">
        <v>5990</v>
      </c>
      <c r="I2105" s="24" t="str">
        <f>HYPERLINK("https://www.bilibili.com/video/BV12GawesEQm?p=1","BV12GawesEQm?p=1")</f>
        <v>BV12GawesEQm?p=1</v>
      </c>
      <c r="J2105" s="4" t="str">
        <f ca="1">_xlfn.IFNA(VLOOKUP(INDIRECT("G"&amp;ROW()),minfo!$A:$M,COLUMN()-8,0),"")</f>
        <v>匆匆那年</v>
      </c>
      <c r="K2105" s="4" t="str">
        <f ca="1">_xlfn.IFNA(VLOOKUP(INDIRECT("G"&amp;ROW()),minfo!$A:$M,COLUMN()-8,0),"")</f>
        <v>王菲</v>
      </c>
      <c r="L2105" s="4">
        <f ca="1">_xlfn.IFNA(VLOOKUP(INDIRECT("G"&amp;ROW()),minfo!$A:$M,COLUMN()-8,0),"")</f>
        <v>0</v>
      </c>
      <c r="M2105" s="4">
        <f ca="1">_xlfn.IFNA(VLOOKUP(INDIRECT("G"&amp;ROW()),minfo!$A:$M,COLUMN()-8,0),"")</f>
        <v>0</v>
      </c>
      <c r="N2105" s="4">
        <f ca="1">_xlfn.IFNA(VLOOKUP(INDIRECT("G"&amp;ROW()),minfo!$A:$M,COLUMN()-8,0),"")</f>
        <v>0</v>
      </c>
      <c r="O2105" s="4" t="str">
        <f ca="1">_xlfn.IFNA(VLOOKUP(INDIRECT("G"&amp;ROW()),minfo!$A:$M,COLUMN()-8,0),"")</f>
        <v>https://i0.hdslb.com/bfs/station_src/music_metadata/cab45a20ca2d7c220522553551bea5b0.jpg</v>
      </c>
      <c r="P2105" s="4" t="str">
        <f ca="1">_xlfn.IFNA(VLOOKUP(INDIRECT("G"&amp;ROW()),minfo!$A:$M,COLUMN()-8,0),"")</f>
        <v>http://i0.hdslb.com/bfs/station_src/music_metadata/a8de399662b8d3e4904e3d3bc5933073</v>
      </c>
      <c r="Q2105" s="4">
        <f ca="1">_xlfn.IFNA(VLOOKUP(INDIRECT("G"&amp;ROW()),minfo!$A:$M,COLUMN()-8,0),"")</f>
        <v>2705</v>
      </c>
      <c r="R2105" s="4" t="str">
        <f ca="1">_xlfn.IFNA(VLOOKUP(INDIRECT("G"&amp;ROW()),minfo!$A:$M,COLUMN()-8,0),"")</f>
        <v>《匆匆那年》电影同名主题曲</v>
      </c>
      <c r="S2105" s="4" t="str">
        <f ca="1">_xlfn.IFNA(VLOOKUP(INDIRECT("G"&amp;ROW()),minfo!$A:$M,COLUMN()-8,0),"")</f>
        <v>匆匆那年</v>
      </c>
      <c r="T2105" s="4">
        <f ca="1">_xlfn.IFNA(VLOOKUP(INDIRECT("G"&amp;ROW()),minfo!$A:$M,COLUMN()-8,0),"")</f>
        <v>420865010</v>
      </c>
      <c r="U2105" s="4" t="str">
        <f ca="1">_xlfn.IFNA(VLOOKUP(INDIRECT("G"&amp;ROW()),minfo!$A:$M,COLUMN()-8,0),"")</f>
        <v>音乐榜最高NO.3</v>
      </c>
    </row>
    <row r="2106" spans="1:21" ht="15.75" customHeight="1">
      <c r="A2106" s="15">
        <v>2105</v>
      </c>
      <c r="B2106" s="4" t="s">
        <v>5991</v>
      </c>
      <c r="D2106" s="4">
        <v>1</v>
      </c>
      <c r="E2106" s="4" t="s">
        <v>3399</v>
      </c>
      <c r="F2106" s="4" t="s">
        <v>5981</v>
      </c>
      <c r="G2106" s="4" t="s">
        <v>3398</v>
      </c>
      <c r="H2106" s="4" t="s">
        <v>5992</v>
      </c>
      <c r="I2106" s="24" t="str">
        <f>HYPERLINK("https://www.bilibili.com/video/BV1mGawesE7u?p=1","BV1mGawesE7u?p=1")</f>
        <v>BV1mGawesE7u?p=1</v>
      </c>
      <c r="J2106" s="4" t="str">
        <f ca="1">_xlfn.IFNA(VLOOKUP(INDIRECT("G"&amp;ROW()),minfo!$A:$M,COLUMN()-8,0),"")</f>
        <v>追光者</v>
      </c>
      <c r="K2106" s="4" t="str">
        <f ca="1">_xlfn.IFNA(VLOOKUP(INDIRECT("G"&amp;ROW()),minfo!$A:$M,COLUMN()-8,0),"")</f>
        <v>岑宁儿</v>
      </c>
      <c r="L2106" s="4">
        <f ca="1">_xlfn.IFNA(VLOOKUP(INDIRECT("G"&amp;ROW()),minfo!$A:$M,COLUMN()-8,0),"")</f>
        <v>0</v>
      </c>
      <c r="M2106" s="4">
        <f ca="1">_xlfn.IFNA(VLOOKUP(INDIRECT("G"&amp;ROW()),minfo!$A:$M,COLUMN()-8,0),"")</f>
        <v>0</v>
      </c>
      <c r="N2106" s="4">
        <f ca="1">_xlfn.IFNA(VLOOKUP(INDIRECT("G"&amp;ROW()),minfo!$A:$M,COLUMN()-8,0),"")</f>
        <v>0</v>
      </c>
      <c r="O2106" s="4" t="str">
        <f ca="1">_xlfn.IFNA(VLOOKUP(INDIRECT("G"&amp;ROW()),minfo!$A:$M,COLUMN()-8,0),"")</f>
        <v>http://i0.hdslb.com/bfs/station_src/music_metadata/5af493ba1956e85b6eb523c1bdb0eea5.jpg</v>
      </c>
      <c r="P2106" s="4" t="str">
        <f ca="1">_xlfn.IFNA(VLOOKUP(INDIRECT("G"&amp;ROW()),minfo!$A:$M,COLUMN()-8,0),"")</f>
        <v>http://i0.hdslb.com/bfs/station_src/music_metadata/487899f2d84fc00f88fcef7028a9e800</v>
      </c>
      <c r="Q2106" s="4">
        <f ca="1">_xlfn.IFNA(VLOOKUP(INDIRECT("G"&amp;ROW()),minfo!$A:$M,COLUMN()-8,0),"")</f>
        <v>1339</v>
      </c>
      <c r="R2106" s="4">
        <f ca="1">_xlfn.IFNA(VLOOKUP(INDIRECT("G"&amp;ROW()),minfo!$A:$M,COLUMN()-8,0),"")</f>
        <v>0</v>
      </c>
      <c r="S2106" s="4" t="str">
        <f ca="1">_xlfn.IFNA(VLOOKUP(INDIRECT("G"&amp;ROW()),minfo!$A:$M,COLUMN()-8,0),"")</f>
        <v>夏至未至 电视剧原声带</v>
      </c>
      <c r="T2106" s="4">
        <f ca="1">_xlfn.IFNA(VLOOKUP(INDIRECT("G"&amp;ROW()),minfo!$A:$M,COLUMN()-8,0),"")</f>
        <v>570127969</v>
      </c>
      <c r="U2106" s="4">
        <f ca="1">_xlfn.IFNA(VLOOKUP(INDIRECT("G"&amp;ROW()),minfo!$A:$M,COLUMN()-8,0),"")</f>
        <v>0</v>
      </c>
    </row>
    <row r="2107" spans="1:21" ht="15.75" customHeight="1">
      <c r="A2107" s="15">
        <v>2106</v>
      </c>
      <c r="B2107" s="4" t="s">
        <v>5993</v>
      </c>
      <c r="D2107" s="4">
        <v>1</v>
      </c>
      <c r="E2107" s="4" t="s">
        <v>1419</v>
      </c>
      <c r="F2107" s="4" t="s">
        <v>5981</v>
      </c>
      <c r="G2107" s="4" t="s">
        <v>1418</v>
      </c>
      <c r="H2107" s="4" t="s">
        <v>5994</v>
      </c>
      <c r="I2107" s="24" t="str">
        <f>HYPERLINK("https://www.bilibili.com/video/BV1fbaweCE4n?p=1","BV1fbaweCE4n?p=1")</f>
        <v>BV1fbaweCE4n?p=1</v>
      </c>
      <c r="J2107" s="4" t="str">
        <f ca="1">_xlfn.IFNA(VLOOKUP(INDIRECT("G"&amp;ROW()),minfo!$A:$M,COLUMN()-8,0),"")</f>
        <v>普通朋友</v>
      </c>
      <c r="K2107" s="4" t="str">
        <f ca="1">_xlfn.IFNA(VLOOKUP(INDIRECT("G"&amp;ROW()),minfo!$A:$M,COLUMN()-8,0),"")</f>
        <v>娃娃,陶喆</v>
      </c>
      <c r="L2107" s="4">
        <f ca="1">_xlfn.IFNA(VLOOKUP(INDIRECT("G"&amp;ROW()),minfo!$A:$M,COLUMN()-8,0),"")</f>
        <v>0</v>
      </c>
      <c r="M2107" s="4">
        <f ca="1">_xlfn.IFNA(VLOOKUP(INDIRECT("G"&amp;ROW()),minfo!$A:$M,COLUMN()-8,0),"")</f>
        <v>0</v>
      </c>
      <c r="N2107" s="4">
        <f ca="1">_xlfn.IFNA(VLOOKUP(INDIRECT("G"&amp;ROW()),minfo!$A:$M,COLUMN()-8,0),"")</f>
        <v>0</v>
      </c>
      <c r="O2107" s="4" t="str">
        <f ca="1">_xlfn.IFNA(VLOOKUP(INDIRECT("G"&amp;ROW()),minfo!$A:$M,COLUMN()-8,0),"")</f>
        <v>http://i0.hdslb.com/bfs/station_src/music_metadata/b4de12b50832ba1f1ca69812232e19ce.jpg</v>
      </c>
      <c r="P2107" s="4">
        <f ca="1">_xlfn.IFNA(VLOOKUP(INDIRECT("G"&amp;ROW()),minfo!$A:$M,COLUMN()-8,0),"")</f>
        <v>0</v>
      </c>
      <c r="Q2107" s="4">
        <f ca="1">_xlfn.IFNA(VLOOKUP(INDIRECT("G"&amp;ROW()),minfo!$A:$M,COLUMN()-8,0),"")</f>
        <v>828</v>
      </c>
      <c r="R2107" s="4">
        <f ca="1">_xlfn.IFNA(VLOOKUP(INDIRECT("G"&amp;ROW()),minfo!$A:$M,COLUMN()-8,0),"")</f>
        <v>0</v>
      </c>
      <c r="S2107" s="4" t="str">
        <f ca="1">_xlfn.IFNA(VLOOKUP(INDIRECT("G"&amp;ROW()),minfo!$A:$M,COLUMN()-8,0),"")</f>
        <v>I'm OK</v>
      </c>
      <c r="T2107" s="4">
        <f ca="1">_xlfn.IFNA(VLOOKUP(INDIRECT("G"&amp;ROW()),minfo!$A:$M,COLUMN()-8,0),"")</f>
        <v>137417227</v>
      </c>
      <c r="U2107" s="4">
        <f ca="1">_xlfn.IFNA(VLOOKUP(INDIRECT("G"&amp;ROW()),minfo!$A:$M,COLUMN()-8,0),"")</f>
        <v>0</v>
      </c>
    </row>
    <row r="2108" spans="1:21" ht="15.75" customHeight="1">
      <c r="A2108" s="15">
        <v>2107</v>
      </c>
      <c r="B2108" s="4" t="s">
        <v>5766</v>
      </c>
      <c r="D2108" s="4">
        <v>1</v>
      </c>
      <c r="E2108" s="4" t="s">
        <v>1330</v>
      </c>
      <c r="F2108" s="4" t="s">
        <v>5981</v>
      </c>
      <c r="G2108" s="4" t="s">
        <v>1329</v>
      </c>
      <c r="H2108" s="4" t="s">
        <v>5995</v>
      </c>
      <c r="I2108" s="24" t="str">
        <f>HYPERLINK("https://www.bilibili.com/video/BV1zbaweCEFx?p=1","BV1zbaweCEFx?p=1")</f>
        <v>BV1zbaweCEFx?p=1</v>
      </c>
      <c r="J2108" s="4" t="str">
        <f ca="1">_xlfn.IFNA(VLOOKUP(INDIRECT("G"&amp;ROW()),minfo!$A:$M,COLUMN()-8,0),"")</f>
        <v>Melody</v>
      </c>
      <c r="K2108" s="4" t="str">
        <f ca="1">_xlfn.IFNA(VLOOKUP(INDIRECT("G"&amp;ROW()),minfo!$A:$M,COLUMN()-8,0),"")</f>
        <v>陶喆</v>
      </c>
      <c r="L2108" s="4">
        <f ca="1">_xlfn.IFNA(VLOOKUP(INDIRECT("G"&amp;ROW()),minfo!$A:$M,COLUMN()-8,0),"")</f>
        <v>0</v>
      </c>
      <c r="M2108" s="4">
        <f ca="1">_xlfn.IFNA(VLOOKUP(INDIRECT("G"&amp;ROW()),minfo!$A:$M,COLUMN()-8,0),"")</f>
        <v>0</v>
      </c>
      <c r="N2108" s="4">
        <f ca="1">_xlfn.IFNA(VLOOKUP(INDIRECT("G"&amp;ROW()),minfo!$A:$M,COLUMN()-8,0),"")</f>
        <v>0</v>
      </c>
      <c r="O2108" s="4" t="str">
        <f ca="1">_xlfn.IFNA(VLOOKUP(INDIRECT("G"&amp;ROW()),minfo!$A:$M,COLUMN()-8,0),"")</f>
        <v>https://i0.hdslb.com/bfs/station_src/music_metadata/4f85133845e2c8b25026a678708a9376.jpg</v>
      </c>
      <c r="P2108" s="4" t="str">
        <f ca="1">_xlfn.IFNA(VLOOKUP(INDIRECT("G"&amp;ROW()),minfo!$A:$M,COLUMN()-8,0),"")</f>
        <v>http://i0.hdslb.com/bfs/station_src/music_metadata/d18325416bca019d84b21a8b3f7bb651</v>
      </c>
      <c r="Q2108" s="4">
        <f ca="1">_xlfn.IFNA(VLOOKUP(INDIRECT("G"&amp;ROW()),minfo!$A:$M,COLUMN()-8,0),"")</f>
        <v>1120</v>
      </c>
      <c r="R2108" s="4">
        <f ca="1">_xlfn.IFNA(VLOOKUP(INDIRECT("G"&amp;ROW()),minfo!$A:$M,COLUMN()-8,0),"")</f>
        <v>0</v>
      </c>
      <c r="S2108" s="4" t="str">
        <f ca="1">_xlfn.IFNA(VLOOKUP(INDIRECT("G"&amp;ROW()),minfo!$A:$M,COLUMN()-8,0),"")</f>
        <v>黑色柳丁</v>
      </c>
      <c r="T2108" s="4">
        <f ca="1">_xlfn.IFNA(VLOOKUP(INDIRECT("G"&amp;ROW()),minfo!$A:$M,COLUMN()-8,0),"")</f>
        <v>113992875</v>
      </c>
      <c r="U2108" s="4">
        <f ca="1">_xlfn.IFNA(VLOOKUP(INDIRECT("G"&amp;ROW()),minfo!$A:$M,COLUMN()-8,0),"")</f>
        <v>0</v>
      </c>
    </row>
    <row r="2109" spans="1:21" ht="15.75" customHeight="1">
      <c r="A2109" s="15">
        <v>2108</v>
      </c>
      <c r="B2109" s="4" t="s">
        <v>5996</v>
      </c>
      <c r="D2109" s="4">
        <v>1</v>
      </c>
      <c r="E2109" s="4" t="s">
        <v>642</v>
      </c>
      <c r="F2109" s="4" t="s">
        <v>5997</v>
      </c>
      <c r="G2109" s="4" t="s">
        <v>641</v>
      </c>
      <c r="H2109" s="4" t="s">
        <v>5998</v>
      </c>
      <c r="I2109" s="24" t="str">
        <f>HYPERLINK("https://www.bilibili.com/video/BV1aqaueHEAP?p=1","BV1aqaueHEAP?p=1")</f>
        <v>BV1aqaueHEAP?p=1</v>
      </c>
      <c r="J2109" s="4" t="str">
        <f ca="1">_xlfn.IFNA(VLOOKUP(INDIRECT("G"&amp;ROW()),minfo!$A:$M,COLUMN()-8,0),"")</f>
        <v>左边</v>
      </c>
      <c r="K2109" s="4" t="str">
        <f ca="1">_xlfn.IFNA(VLOOKUP(INDIRECT("G"&amp;ROW()),minfo!$A:$M,COLUMN()-8,0),"")</f>
        <v>杨丞琳</v>
      </c>
      <c r="L2109" s="4">
        <f ca="1">_xlfn.IFNA(VLOOKUP(INDIRECT("G"&amp;ROW()),minfo!$A:$M,COLUMN()-8,0),"")</f>
        <v>0</v>
      </c>
      <c r="M2109" s="4">
        <f ca="1">_xlfn.IFNA(VLOOKUP(INDIRECT("G"&amp;ROW()),minfo!$A:$M,COLUMN()-8,0),"")</f>
        <v>0</v>
      </c>
      <c r="N2109" s="4">
        <f ca="1">_xlfn.IFNA(VLOOKUP(INDIRECT("G"&amp;ROW()),minfo!$A:$M,COLUMN()-8,0),"")</f>
        <v>0</v>
      </c>
      <c r="O2109" s="4" t="str">
        <f ca="1">_xlfn.IFNA(VLOOKUP(INDIRECT("G"&amp;ROW()),minfo!$A:$M,COLUMN()-8,0),"")</f>
        <v>https://i0.hdslb.com/bfs/station_src/music_metadata/0606c553b019d6955e7932dfd839f28c.jpg</v>
      </c>
      <c r="P2109" s="4" t="str">
        <f ca="1">_xlfn.IFNA(VLOOKUP(INDIRECT("G"&amp;ROW()),minfo!$A:$M,COLUMN()-8,0),"")</f>
        <v>http://i0.hdslb.com/bfs/station_src/music_metadata/b2bbd1cc5e237296e0cf70a277cd471c</v>
      </c>
      <c r="Q2109" s="4">
        <f ca="1">_xlfn.IFNA(VLOOKUP(INDIRECT("G"&amp;ROW()),minfo!$A:$M,COLUMN()-8,0),"")</f>
        <v>44</v>
      </c>
      <c r="R2109" s="4" t="str">
        <f ca="1">_xlfn.IFNA(VLOOKUP(INDIRECT("G"&amp;ROW()),minfo!$A:$M,COLUMN()-8,0),"")</f>
        <v>电视剧《奋斗》插曲</v>
      </c>
      <c r="S2109" s="4" t="str">
        <f ca="1">_xlfn.IFNA(VLOOKUP(INDIRECT("G"&amp;ROW()),minfo!$A:$M,COLUMN()-8,0),"")</f>
        <v>遇上爱</v>
      </c>
      <c r="T2109" s="4">
        <f ca="1">_xlfn.IFNA(VLOOKUP(INDIRECT("G"&amp;ROW()),minfo!$A:$M,COLUMN()-8,0),"")</f>
        <v>28182657</v>
      </c>
      <c r="U2109" s="4">
        <f ca="1">_xlfn.IFNA(VLOOKUP(INDIRECT("G"&amp;ROW()),minfo!$A:$M,COLUMN()-8,0),"")</f>
        <v>0</v>
      </c>
    </row>
    <row r="2110" spans="1:21" ht="15.75" customHeight="1">
      <c r="A2110" s="15">
        <v>2109</v>
      </c>
      <c r="B2110" s="4" t="s">
        <v>5999</v>
      </c>
      <c r="D2110" s="4">
        <v>1</v>
      </c>
      <c r="E2110" s="4" t="s">
        <v>47</v>
      </c>
      <c r="F2110" s="4" t="s">
        <v>5997</v>
      </c>
      <c r="G2110" s="4" t="s">
        <v>46</v>
      </c>
      <c r="H2110" s="4" t="s">
        <v>6000</v>
      </c>
      <c r="I2110" s="24" t="str">
        <f>HYPERLINK("https://www.bilibili.com/video/BV1braueUEfd?p=1","BV1braueUEfd?p=1")</f>
        <v>BV1braueUEfd?p=1</v>
      </c>
      <c r="J2110" s="4" t="str">
        <f ca="1">_xlfn.IFNA(VLOOKUP(INDIRECT("G"&amp;ROW()),minfo!$A:$M,COLUMN()-8,0),"")</f>
        <v>在夜里跳舞</v>
      </c>
      <c r="K2110" s="4" t="str">
        <f ca="1">_xlfn.IFNA(VLOOKUP(INDIRECT("G"&amp;ROW()),minfo!$A:$M,COLUMN()-8,0),"")</f>
        <v>单依纯</v>
      </c>
      <c r="L2110" s="4">
        <f ca="1">_xlfn.IFNA(VLOOKUP(INDIRECT("G"&amp;ROW()),minfo!$A:$M,COLUMN()-8,0),"")</f>
        <v>0</v>
      </c>
      <c r="M2110" s="4">
        <f ca="1">_xlfn.IFNA(VLOOKUP(INDIRECT("G"&amp;ROW()),minfo!$A:$M,COLUMN()-8,0),"")</f>
        <v>0</v>
      </c>
      <c r="N2110" s="4">
        <f ca="1">_xlfn.IFNA(VLOOKUP(INDIRECT("G"&amp;ROW()),minfo!$A:$M,COLUMN()-8,0),"")</f>
        <v>0</v>
      </c>
      <c r="O2110" s="4" t="str">
        <f ca="1">_xlfn.IFNA(VLOOKUP(INDIRECT("G"&amp;ROW()),minfo!$A:$M,COLUMN()-8,0),"")</f>
        <v>https://i0.hdslb.com/bfs/station_src/music_metadata/8290748e31edb0e5ad1e0965087b2aab.jpg</v>
      </c>
      <c r="P2110" s="4" t="str">
        <f ca="1">_xlfn.IFNA(VLOOKUP(INDIRECT("G"&amp;ROW()),minfo!$A:$M,COLUMN()-8,0),"")</f>
        <v>http://i0.hdslb.com/bfs/station_src/music_metadata/29d5595276e7ec7758df19c35809517b</v>
      </c>
      <c r="Q2110" s="4">
        <f ca="1">_xlfn.IFNA(VLOOKUP(INDIRECT("G"&amp;ROW()),minfo!$A:$M,COLUMN()-8,0),"")</f>
        <v>298</v>
      </c>
      <c r="R2110" s="4">
        <f ca="1">_xlfn.IFNA(VLOOKUP(INDIRECT("G"&amp;ROW()),minfo!$A:$M,COLUMN()-8,0),"")</f>
        <v>0</v>
      </c>
      <c r="S2110" s="4" t="str">
        <f ca="1">_xlfn.IFNA(VLOOKUP(INDIRECT("G"&amp;ROW()),minfo!$A:$M,COLUMN()-8,0),"")</f>
        <v>在夜里跳舞</v>
      </c>
      <c r="T2110" s="4">
        <f ca="1">_xlfn.IFNA(VLOOKUP(INDIRECT("G"&amp;ROW()),minfo!$A:$M,COLUMN()-8,0),"")</f>
        <v>21106106</v>
      </c>
      <c r="U2110" s="4">
        <f ca="1">_xlfn.IFNA(VLOOKUP(INDIRECT("G"&amp;ROW()),minfo!$A:$M,COLUMN()-8,0),"")</f>
        <v>0</v>
      </c>
    </row>
    <row r="2111" spans="1:21" ht="15.75" customHeight="1">
      <c r="A2111" s="15">
        <v>2110</v>
      </c>
      <c r="B2111" s="4" t="s">
        <v>6001</v>
      </c>
      <c r="D2111" s="4">
        <v>1</v>
      </c>
      <c r="E2111" s="4" t="s">
        <v>187</v>
      </c>
      <c r="F2111" s="4" t="s">
        <v>5997</v>
      </c>
      <c r="G2111" s="4" t="s">
        <v>186</v>
      </c>
      <c r="H2111" s="4" t="s">
        <v>6002</v>
      </c>
      <c r="I2111" s="24" t="str">
        <f>HYPERLINK("https://www.bilibili.com/video/BV1g6aueJEVm?p=1","BV1g6aueJEVm?p=1")</f>
        <v>BV1g6aueJEVm?p=1</v>
      </c>
      <c r="J2111" s="4" t="str">
        <f ca="1">_xlfn.IFNA(VLOOKUP(INDIRECT("G"&amp;ROW()),minfo!$A:$M,COLUMN()-8,0),"")</f>
        <v>Rubia</v>
      </c>
      <c r="K2111" s="4" t="str">
        <f ca="1">_xlfn.IFNA(VLOOKUP(INDIRECT("G"&amp;ROW()),minfo!$A:$M,COLUMN()-8,0),"")</f>
        <v>周深</v>
      </c>
      <c r="L2111" s="4">
        <f ca="1">_xlfn.IFNA(VLOOKUP(INDIRECT("G"&amp;ROW()),minfo!$A:$M,COLUMN()-8,0),"")</f>
        <v>0</v>
      </c>
      <c r="M2111" s="4">
        <f ca="1">_xlfn.IFNA(VLOOKUP(INDIRECT("G"&amp;ROW()),minfo!$A:$M,COLUMN()-8,0),"")</f>
        <v>516030</v>
      </c>
      <c r="N2111" s="4">
        <f ca="1">_xlfn.IFNA(VLOOKUP(INDIRECT("G"&amp;ROW()),minfo!$A:$M,COLUMN()-8,0),"")</f>
        <v>96155</v>
      </c>
      <c r="O2111" s="4" t="str">
        <f ca="1">_xlfn.IFNA(VLOOKUP(INDIRECT("G"&amp;ROW()),minfo!$A:$M,COLUMN()-8,0),"")</f>
        <v>https://i0.hdslb.com/bfs/station_src/music_metadata/58bc0047ef309717106ab37f9f0eaaef.jpg</v>
      </c>
      <c r="P2111" s="4" t="str">
        <f ca="1">_xlfn.IFNA(VLOOKUP(INDIRECT("G"&amp;ROW()),minfo!$A:$M,COLUMN()-8,0),"")</f>
        <v>http://i0.hdslb.com/bfs/station_src/music_metadata/004573c098a52ded7995aead78b01386</v>
      </c>
      <c r="Q2111" s="4">
        <f ca="1">_xlfn.IFNA(VLOOKUP(INDIRECT("G"&amp;ROW()),minfo!$A:$M,COLUMN()-8,0),"")</f>
        <v>4410</v>
      </c>
      <c r="R2111" s="4">
        <f ca="1">_xlfn.IFNA(VLOOKUP(INDIRECT("G"&amp;ROW()),minfo!$A:$M,COLUMN()-8,0),"")</f>
        <v>0</v>
      </c>
      <c r="S2111" s="4" t="str">
        <f ca="1">_xlfn.IFNA(VLOOKUP(INDIRECT("G"&amp;ROW()),minfo!$A:$M,COLUMN()-8,0),"")</f>
        <v>Rubia</v>
      </c>
      <c r="T2111" s="4">
        <f ca="1">_xlfn.IFNA(VLOOKUP(INDIRECT("G"&amp;ROW()),minfo!$A:$M,COLUMN()-8,0),"")</f>
        <v>217211932</v>
      </c>
      <c r="U2111" s="4">
        <f ca="1">_xlfn.IFNA(VLOOKUP(INDIRECT("G"&amp;ROW()),minfo!$A:$M,COLUMN()-8,0),"")</f>
        <v>0</v>
      </c>
    </row>
    <row r="2112" spans="1:21" ht="15.75" customHeight="1">
      <c r="A2112" s="15">
        <v>2111</v>
      </c>
      <c r="B2112" s="4" t="s">
        <v>6003</v>
      </c>
      <c r="D2112" s="4">
        <v>1</v>
      </c>
      <c r="E2112" s="4" t="s">
        <v>659</v>
      </c>
      <c r="F2112" s="4" t="s">
        <v>5997</v>
      </c>
      <c r="G2112" s="4" t="s">
        <v>658</v>
      </c>
      <c r="H2112" s="4" t="s">
        <v>6004</v>
      </c>
      <c r="I2112" s="24" t="str">
        <f>HYPERLINK("https://www.bilibili.com/video/BV1g6aueJEY4?p=1","BV1g6aueJEY4?p=1")</f>
        <v>BV1g6aueJEY4?p=1</v>
      </c>
      <c r="J2112" s="4" t="str">
        <f ca="1">_xlfn.IFNA(VLOOKUP(INDIRECT("G"&amp;ROW()),minfo!$A:$M,COLUMN()-8,0),"")</f>
        <v>爱就一个字</v>
      </c>
      <c r="K2112" s="4" t="str">
        <f ca="1">_xlfn.IFNA(VLOOKUP(INDIRECT("G"&amp;ROW()),minfo!$A:$M,COLUMN()-8,0),"")</f>
        <v>张信哲</v>
      </c>
      <c r="L2112" s="4">
        <f ca="1">_xlfn.IFNA(VLOOKUP(INDIRECT("G"&amp;ROW()),minfo!$A:$M,COLUMN()-8,0),"")</f>
        <v>0</v>
      </c>
      <c r="M2112" s="4">
        <f ca="1">_xlfn.IFNA(VLOOKUP(INDIRECT("G"&amp;ROW()),minfo!$A:$M,COLUMN()-8,0),"")</f>
        <v>0</v>
      </c>
      <c r="N2112" s="4">
        <f ca="1">_xlfn.IFNA(VLOOKUP(INDIRECT("G"&amp;ROW()),minfo!$A:$M,COLUMN()-8,0),"")</f>
        <v>0</v>
      </c>
      <c r="O2112" s="4" t="str">
        <f ca="1">_xlfn.IFNA(VLOOKUP(INDIRECT("G"&amp;ROW()),minfo!$A:$M,COLUMN()-8,0),"")</f>
        <v>https://i0.hdslb.com/bfs/station_src/music_metadata/eedf3625069b7bc0f7e914af5059ac37.jpg</v>
      </c>
      <c r="P2112" s="4" t="str">
        <f ca="1">_xlfn.IFNA(VLOOKUP(INDIRECT("G"&amp;ROW()),minfo!$A:$M,COLUMN()-8,0),"")</f>
        <v>https://i0.hdslb.com/bfs/station_src/music_metadata/e9904da2f3f323dfba2f266736dcfd88.txt</v>
      </c>
      <c r="Q2112" s="4">
        <f ca="1">_xlfn.IFNA(VLOOKUP(INDIRECT("G"&amp;ROW()),minfo!$A:$M,COLUMN()-8,0),"")</f>
        <v>737</v>
      </c>
      <c r="R2112" s="4">
        <f ca="1">_xlfn.IFNA(VLOOKUP(INDIRECT("G"&amp;ROW()),minfo!$A:$M,COLUMN()-8,0),"")</f>
        <v>0</v>
      </c>
      <c r="S2112" s="4" t="str">
        <f ca="1">_xlfn.IFNA(VLOOKUP(INDIRECT("G"&amp;ROW()),minfo!$A:$M,COLUMN()-8,0),"")</f>
        <v>我好想</v>
      </c>
      <c r="T2112" s="4">
        <f ca="1">_xlfn.IFNA(VLOOKUP(INDIRECT("G"&amp;ROW()),minfo!$A:$M,COLUMN()-8,0),"")</f>
        <v>223366660</v>
      </c>
      <c r="U2112" s="4">
        <f ca="1">_xlfn.IFNA(VLOOKUP(INDIRECT("G"&amp;ROW()),minfo!$A:$M,COLUMN()-8,0),"")</f>
        <v>0</v>
      </c>
    </row>
    <row r="2113" spans="1:21" ht="15.75" customHeight="1">
      <c r="A2113" s="15">
        <v>2112</v>
      </c>
      <c r="B2113" s="4" t="s">
        <v>6005</v>
      </c>
      <c r="D2113" s="4">
        <v>1</v>
      </c>
      <c r="E2113" s="4" t="s">
        <v>134</v>
      </c>
      <c r="F2113" s="4" t="s">
        <v>5997</v>
      </c>
      <c r="G2113" s="4" t="s">
        <v>3428</v>
      </c>
      <c r="H2113" s="4" t="s">
        <v>6006</v>
      </c>
      <c r="I2113" s="24" t="str">
        <f>HYPERLINK("https://www.bilibili.com/video/BV1VaaueREsU?p=1","BV1VaaueREsU?p=1")</f>
        <v>BV1VaaueREsU?p=1</v>
      </c>
      <c r="J2113" s="4" t="str">
        <f ca="1">_xlfn.IFNA(VLOOKUP(INDIRECT("G"&amp;ROW()),minfo!$A:$M,COLUMN()-8,0),"")</f>
        <v>雨蝶</v>
      </c>
      <c r="K2113" s="4" t="str">
        <f ca="1">_xlfn.IFNA(VLOOKUP(INDIRECT("G"&amp;ROW()),minfo!$A:$M,COLUMN()-8,0),"")</f>
        <v>李翊君</v>
      </c>
      <c r="L2113" s="4">
        <f ca="1">_xlfn.IFNA(VLOOKUP(INDIRECT("G"&amp;ROW()),minfo!$A:$M,COLUMN()-8,0),"")</f>
        <v>0</v>
      </c>
      <c r="M2113" s="4">
        <f ca="1">_xlfn.IFNA(VLOOKUP(INDIRECT("G"&amp;ROW()),minfo!$A:$M,COLUMN()-8,0),"")</f>
        <v>0</v>
      </c>
      <c r="N2113" s="4">
        <f ca="1">_xlfn.IFNA(VLOOKUP(INDIRECT("G"&amp;ROW()),minfo!$A:$M,COLUMN()-8,0),"")</f>
        <v>0</v>
      </c>
      <c r="O2113" s="4" t="str">
        <f ca="1">_xlfn.IFNA(VLOOKUP(INDIRECT("G"&amp;ROW()),minfo!$A:$M,COLUMN()-8,0),"")</f>
        <v>http://i0.hdslb.com/bfs/station_src/music_metadata/0d6e4aa1fb3a0c539b8e4054b4b04365.jpg</v>
      </c>
      <c r="P2113" s="4" t="str">
        <f ca="1">_xlfn.IFNA(VLOOKUP(INDIRECT("G"&amp;ROW()),minfo!$A:$M,COLUMN()-8,0),"")</f>
        <v>http://i0.hdslb.com/bfs/station_src/music_metadata/d57fb59ff8f2087eda54ce94407e2698</v>
      </c>
      <c r="Q2113" s="4">
        <f ca="1">_xlfn.IFNA(VLOOKUP(INDIRECT("G"&amp;ROW()),minfo!$A:$M,COLUMN()-8,0),"")</f>
        <v>369</v>
      </c>
      <c r="R2113" s="4">
        <f ca="1">_xlfn.IFNA(VLOOKUP(INDIRECT("G"&amp;ROW()),minfo!$A:$M,COLUMN()-8,0),"")</f>
        <v>0</v>
      </c>
      <c r="S2113" s="4" t="str">
        <f ca="1">_xlfn.IFNA(VLOOKUP(INDIRECT("G"&amp;ROW()),minfo!$A:$M,COLUMN()-8,0),"")</f>
        <v>誓言谎言</v>
      </c>
      <c r="T2113" s="4">
        <f ca="1">_xlfn.IFNA(VLOOKUP(INDIRECT("G"&amp;ROW()),minfo!$A:$M,COLUMN()-8,0),"")</f>
        <v>29391170</v>
      </c>
      <c r="U2113" s="4">
        <f ca="1">_xlfn.IFNA(VLOOKUP(INDIRECT("G"&amp;ROW()),minfo!$A:$M,COLUMN()-8,0),"")</f>
        <v>0</v>
      </c>
    </row>
    <row r="2114" spans="1:21" ht="15.75" customHeight="1">
      <c r="A2114" s="15">
        <v>2113</v>
      </c>
      <c r="B2114" s="4" t="s">
        <v>6007</v>
      </c>
      <c r="D2114" s="4">
        <v>1</v>
      </c>
      <c r="E2114" s="4" t="s">
        <v>4362</v>
      </c>
      <c r="F2114" s="4" t="s">
        <v>5997</v>
      </c>
      <c r="G2114" s="4" t="s">
        <v>1886</v>
      </c>
      <c r="H2114" s="4" t="s">
        <v>6008</v>
      </c>
      <c r="I2114" s="24" t="str">
        <f>HYPERLINK("https://www.bilibili.com/video/BV1g6aueJEVj?p=1","BV1g6aueJEVj?p=1")</f>
        <v>BV1g6aueJEVj?p=1</v>
      </c>
      <c r="J2114" s="4" t="str">
        <f ca="1">_xlfn.IFNA(VLOOKUP(INDIRECT("G"&amp;ROW()),minfo!$A:$M,COLUMN()-8,0),"")</f>
        <v>快乐手账</v>
      </c>
      <c r="K2114" s="4" t="str">
        <f ca="1">_xlfn.IFNA(VLOOKUP(INDIRECT("G"&amp;ROW()),minfo!$A:$M,COLUMN()-8,0),"")</f>
        <v>初音未来</v>
      </c>
      <c r="L2114" s="4">
        <f ca="1">_xlfn.IFNA(VLOOKUP(INDIRECT("G"&amp;ROW()),minfo!$A:$M,COLUMN()-8,0),"")</f>
        <v>0</v>
      </c>
      <c r="M2114" s="4">
        <f ca="1">_xlfn.IFNA(VLOOKUP(INDIRECT("G"&amp;ROW()),minfo!$A:$M,COLUMN()-8,0),"")</f>
        <v>0</v>
      </c>
      <c r="N2114" s="4">
        <f ca="1">_xlfn.IFNA(VLOOKUP(INDIRECT("G"&amp;ROW()),minfo!$A:$M,COLUMN()-8,0),"")</f>
        <v>0</v>
      </c>
      <c r="O2114" s="4" t="str">
        <f ca="1">_xlfn.IFNA(VLOOKUP(INDIRECT("G"&amp;ROW()),minfo!$A:$M,COLUMN()-8,0),"")</f>
        <v>http://i0.hdslb.com/bfs/station_src/music_metadata/6d0fe4d5c4dc61f5d1d037d0e6855532.jpg</v>
      </c>
      <c r="P2114" s="4">
        <f ca="1">_xlfn.IFNA(VLOOKUP(INDIRECT("G"&amp;ROW()),minfo!$A:$M,COLUMN()-8,0),"")</f>
        <v>0</v>
      </c>
      <c r="Q2114" s="4">
        <f ca="1">_xlfn.IFNA(VLOOKUP(INDIRECT("G"&amp;ROW()),minfo!$A:$M,COLUMN()-8,0),"")</f>
        <v>42</v>
      </c>
      <c r="R2114" s="4">
        <f ca="1">_xlfn.IFNA(VLOOKUP(INDIRECT("G"&amp;ROW()),minfo!$A:$M,COLUMN()-8,0),"")</f>
        <v>0</v>
      </c>
      <c r="S2114" s="4" t="str">
        <f ca="1">_xlfn.IFNA(VLOOKUP(INDIRECT("G"&amp;ROW()),minfo!$A:$M,COLUMN()-8,0),"")</f>
        <v>快乐手账</v>
      </c>
      <c r="T2114" s="4">
        <f ca="1">_xlfn.IFNA(VLOOKUP(INDIRECT("G"&amp;ROW()),minfo!$A:$M,COLUMN()-8,0),"")</f>
        <v>6085354</v>
      </c>
      <c r="U2114" s="4">
        <f ca="1">_xlfn.IFNA(VLOOKUP(INDIRECT("G"&amp;ROW()),minfo!$A:$M,COLUMN()-8,0),"")</f>
        <v>0</v>
      </c>
    </row>
    <row r="2115" spans="1:21" ht="15.75" customHeight="1">
      <c r="A2115" s="15">
        <v>2114</v>
      </c>
      <c r="B2115" s="4" t="s">
        <v>6009</v>
      </c>
      <c r="D2115" s="4">
        <v>1</v>
      </c>
      <c r="E2115" s="4" t="s">
        <v>6010</v>
      </c>
      <c r="F2115" s="4" t="s">
        <v>5997</v>
      </c>
      <c r="G2115" s="4" t="s">
        <v>3130</v>
      </c>
      <c r="H2115" s="4" t="s">
        <v>6011</v>
      </c>
      <c r="I2115" s="24" t="str">
        <f>HYPERLINK("https://www.bilibili.com/video/BV1VaaueREDg?p=1","BV1VaaueREDg?p=1")</f>
        <v>BV1VaaueREDg?p=1</v>
      </c>
      <c r="J2115" s="4" t="str">
        <f ca="1">_xlfn.IFNA(VLOOKUP(INDIRECT("G"&amp;ROW()),minfo!$A:$M,COLUMN()-8,0),"")</f>
        <v>想把哥哥追</v>
      </c>
      <c r="K2115" s="4" t="str">
        <f ca="1">_xlfn.IFNA(VLOOKUP(INDIRECT("G"&amp;ROW()),minfo!$A:$M,COLUMN()-8,0),"")</f>
        <v>6a会魔法</v>
      </c>
      <c r="L2115" s="4">
        <f ca="1">_xlfn.IFNA(VLOOKUP(INDIRECT("G"&amp;ROW()),minfo!$A:$M,COLUMN()-8,0),"")</f>
        <v>0</v>
      </c>
      <c r="M2115" s="4">
        <f ca="1">_xlfn.IFNA(VLOOKUP(INDIRECT("G"&amp;ROW()),minfo!$A:$M,COLUMN()-8,0),"")</f>
        <v>0</v>
      </c>
      <c r="N2115" s="4">
        <f ca="1">_xlfn.IFNA(VLOOKUP(INDIRECT("G"&amp;ROW()),minfo!$A:$M,COLUMN()-8,0),"")</f>
        <v>0</v>
      </c>
      <c r="O2115" s="4" t="str">
        <f ca="1">_xlfn.IFNA(VLOOKUP(INDIRECT("G"&amp;ROW()),minfo!$A:$M,COLUMN()-8,0),"")</f>
        <v>https://i0.hdslb.com/bfs/station_src/music_metadata/5a796e31f4703d0b8dc745487432b038.jpg</v>
      </c>
      <c r="P2115" s="4" t="str">
        <f ca="1">_xlfn.IFNA(VLOOKUP(INDIRECT("G"&amp;ROW()),minfo!$A:$M,COLUMN()-8,0),"")</f>
        <v>https://i0.hdslb.com/bfs/station_src/music_metadata/2a6dda5a27efb1f0ac5a1a2202696ef3.txt</v>
      </c>
      <c r="Q2115" s="4">
        <f ca="1">_xlfn.IFNA(VLOOKUP(INDIRECT("G"&amp;ROW()),minfo!$A:$M,COLUMN()-8,0),"")</f>
        <v>98</v>
      </c>
      <c r="R2115" s="4">
        <f ca="1">_xlfn.IFNA(VLOOKUP(INDIRECT("G"&amp;ROW()),minfo!$A:$M,COLUMN()-8,0),"")</f>
        <v>0</v>
      </c>
      <c r="S2115" s="4" t="str">
        <f ca="1">_xlfn.IFNA(VLOOKUP(INDIRECT("G"&amp;ROW()),minfo!$A:$M,COLUMN()-8,0),"")</f>
        <v>想把哥哥追</v>
      </c>
      <c r="T2115" s="4">
        <f ca="1">_xlfn.IFNA(VLOOKUP(INDIRECT("G"&amp;ROW()),minfo!$A:$M,COLUMN()-8,0),"")</f>
        <v>12394708</v>
      </c>
      <c r="U2115" s="4">
        <f ca="1">_xlfn.IFNA(VLOOKUP(INDIRECT("G"&amp;ROW()),minfo!$A:$M,COLUMN()-8,0),"")</f>
        <v>0</v>
      </c>
    </row>
    <row r="2116" spans="1:21" ht="15.75" customHeight="1">
      <c r="A2116" s="15">
        <v>2115</v>
      </c>
      <c r="B2116" s="4" t="s">
        <v>6012</v>
      </c>
      <c r="D2116" s="4">
        <v>1</v>
      </c>
      <c r="E2116" s="4" t="s">
        <v>696</v>
      </c>
      <c r="F2116" s="4" t="s">
        <v>5997</v>
      </c>
      <c r="G2116" s="4" t="s">
        <v>695</v>
      </c>
      <c r="H2116" s="4" t="s">
        <v>6013</v>
      </c>
      <c r="I2116" s="24" t="str">
        <f>HYPERLINK("https://www.bilibili.com/video/BV1braueUEvB?p=1","BV1braueUEvB?p=1")</f>
        <v>BV1braueUEvB?p=1</v>
      </c>
      <c r="J2116" s="4" t="str">
        <f ca="1">_xlfn.IFNA(VLOOKUP(INDIRECT("G"&amp;ROW()),minfo!$A:$M,COLUMN()-8,0),"")</f>
        <v>分身</v>
      </c>
      <c r="K2116" s="4" t="str">
        <f ca="1">_xlfn.IFNA(VLOOKUP(INDIRECT("G"&amp;ROW()),minfo!$A:$M,COLUMN()-8,0),"")</f>
        <v>单依纯</v>
      </c>
      <c r="L2116" s="4">
        <f ca="1">_xlfn.IFNA(VLOOKUP(INDIRECT("G"&amp;ROW()),minfo!$A:$M,COLUMN()-8,0),"")</f>
        <v>0</v>
      </c>
      <c r="M2116" s="4">
        <f ca="1">_xlfn.IFNA(VLOOKUP(INDIRECT("G"&amp;ROW()),minfo!$A:$M,COLUMN()-8,0),"")</f>
        <v>0</v>
      </c>
      <c r="N2116" s="4">
        <f ca="1">_xlfn.IFNA(VLOOKUP(INDIRECT("G"&amp;ROW()),minfo!$A:$M,COLUMN()-8,0),"")</f>
        <v>0</v>
      </c>
      <c r="O2116" s="4" t="str">
        <f ca="1">_xlfn.IFNA(VLOOKUP(INDIRECT("G"&amp;ROW()),minfo!$A:$M,COLUMN()-8,0),"")</f>
        <v>http://i0.hdslb.com/bfs/station_src/music_metadata/0fd80cf4360670d154b7c8c64ae7abde.jpg</v>
      </c>
      <c r="P2116" s="4">
        <f ca="1">_xlfn.IFNA(VLOOKUP(INDIRECT("G"&amp;ROW()),minfo!$A:$M,COLUMN()-8,0),"")</f>
        <v>0</v>
      </c>
      <c r="Q2116" s="4">
        <f ca="1">_xlfn.IFNA(VLOOKUP(INDIRECT("G"&amp;ROW()),minfo!$A:$M,COLUMN()-8,0),"")</f>
        <v>13</v>
      </c>
      <c r="R2116" s="4">
        <f ca="1">_xlfn.IFNA(VLOOKUP(INDIRECT("G"&amp;ROW()),minfo!$A:$M,COLUMN()-8,0),"")</f>
        <v>0</v>
      </c>
      <c r="S2116" s="4" t="str">
        <f ca="1">_xlfn.IFNA(VLOOKUP(INDIRECT("G"&amp;ROW()),minfo!$A:$M,COLUMN()-8,0),"")</f>
        <v>分身</v>
      </c>
      <c r="T2116" s="4">
        <f ca="1">_xlfn.IFNA(VLOOKUP(INDIRECT("G"&amp;ROW()),minfo!$A:$M,COLUMN()-8,0),"")</f>
        <v>3245965</v>
      </c>
      <c r="U2116" s="4">
        <f ca="1">_xlfn.IFNA(VLOOKUP(INDIRECT("G"&amp;ROW()),minfo!$A:$M,COLUMN()-8,0),"")</f>
        <v>0</v>
      </c>
    </row>
    <row r="2117" spans="1:21" ht="15.75" customHeight="1">
      <c r="A2117" s="15">
        <v>2116</v>
      </c>
      <c r="B2117" s="4" t="s">
        <v>6014</v>
      </c>
      <c r="D2117" s="4">
        <v>1</v>
      </c>
      <c r="E2117" s="4" t="s">
        <v>1797</v>
      </c>
      <c r="F2117" s="4" t="s">
        <v>5997</v>
      </c>
      <c r="G2117" s="4" t="s">
        <v>1796</v>
      </c>
      <c r="H2117" s="4" t="s">
        <v>6015</v>
      </c>
      <c r="I2117" s="24" t="str">
        <f>HYPERLINK("https://www.bilibili.com/video/BV1LhauexE5c?p=1","BV1LhauexE5c?p=1")</f>
        <v>BV1LhauexE5c?p=1</v>
      </c>
      <c r="J2117" s="4" t="str">
        <f ca="1">_xlfn.IFNA(VLOOKUP(INDIRECT("G"&amp;ROW()),minfo!$A:$M,COLUMN()-8,0),"")</f>
        <v>痒</v>
      </c>
      <c r="K2117" s="4" t="str">
        <f ca="1">_xlfn.IFNA(VLOOKUP(INDIRECT("G"&amp;ROW()),minfo!$A:$M,COLUMN()-8,0),"")</f>
        <v>黄龄</v>
      </c>
      <c r="L2117" s="4">
        <f ca="1">_xlfn.IFNA(VLOOKUP(INDIRECT("G"&amp;ROW()),minfo!$A:$M,COLUMN()-8,0),"")</f>
        <v>0</v>
      </c>
      <c r="M2117" s="4">
        <f ca="1">_xlfn.IFNA(VLOOKUP(INDIRECT("G"&amp;ROW()),minfo!$A:$M,COLUMN()-8,0),"")</f>
        <v>0</v>
      </c>
      <c r="N2117" s="4">
        <f ca="1">_xlfn.IFNA(VLOOKUP(INDIRECT("G"&amp;ROW()),minfo!$A:$M,COLUMN()-8,0),"")</f>
        <v>0</v>
      </c>
      <c r="O2117" s="4" t="str">
        <f ca="1">_xlfn.IFNA(VLOOKUP(INDIRECT("G"&amp;ROW()),minfo!$A:$M,COLUMN()-8,0),"")</f>
        <v>https://i0.hdslb.com/bfs/station_src/music_metadata/3de02305aa9c846673ac1eb2ad897de1.jpg</v>
      </c>
      <c r="P2117" s="4" t="str">
        <f ca="1">_xlfn.IFNA(VLOOKUP(INDIRECT("G"&amp;ROW()),minfo!$A:$M,COLUMN()-8,0),"")</f>
        <v>http://i0.hdslb.com/bfs/station_src/music_metadata/cb354aacda7abd2b861cd28e85743d55</v>
      </c>
      <c r="Q2117" s="4">
        <f ca="1">_xlfn.IFNA(VLOOKUP(INDIRECT("G"&amp;ROW()),minfo!$A:$M,COLUMN()-8,0),"")</f>
        <v>568</v>
      </c>
      <c r="R2117" s="4">
        <f ca="1">_xlfn.IFNA(VLOOKUP(INDIRECT("G"&amp;ROW()),minfo!$A:$M,COLUMN()-8,0),"")</f>
        <v>0</v>
      </c>
      <c r="S2117" s="4" t="str">
        <f ca="1">_xlfn.IFNA(VLOOKUP(INDIRECT("G"&amp;ROW()),minfo!$A:$M,COLUMN()-8,0),"")</f>
        <v>痒</v>
      </c>
      <c r="T2117" s="4">
        <f ca="1">_xlfn.IFNA(VLOOKUP(INDIRECT("G"&amp;ROW()),minfo!$A:$M,COLUMN()-8,0),"")</f>
        <v>367183468</v>
      </c>
      <c r="U2117" s="4" t="str">
        <f ca="1">_xlfn.IFNA(VLOOKUP(INDIRECT("G"&amp;ROW()),minfo!$A:$M,COLUMN()-8,0),"")</f>
        <v>音乐榜最高NO.9</v>
      </c>
    </row>
    <row r="2118" spans="1:21" ht="15.75" customHeight="1">
      <c r="A2118" s="15">
        <v>2117</v>
      </c>
      <c r="B2118" s="4" t="s">
        <v>5744</v>
      </c>
      <c r="D2118" s="4">
        <v>1</v>
      </c>
      <c r="E2118" s="4" t="s">
        <v>259</v>
      </c>
      <c r="F2118" s="4" t="s">
        <v>5997</v>
      </c>
      <c r="G2118" s="4" t="s">
        <v>258</v>
      </c>
      <c r="H2118" s="4" t="s">
        <v>6016</v>
      </c>
      <c r="I2118" s="24" t="str">
        <f>HYPERLINK("https://www.bilibili.com/video/BV15hauexEMW?p=1","BV15hauexEMW?p=1")</f>
        <v>BV15hauexEMW?p=1</v>
      </c>
      <c r="J2118" s="4" t="str">
        <f ca="1">_xlfn.IFNA(VLOOKUP(INDIRECT("G"&amp;ROW()),minfo!$A:$M,COLUMN()-8,0),"")</f>
        <v>枫</v>
      </c>
      <c r="K2118" s="4" t="str">
        <f ca="1">_xlfn.IFNA(VLOOKUP(INDIRECT("G"&amp;ROW()),minfo!$A:$M,COLUMN()-8,0),"")</f>
        <v>周杰伦</v>
      </c>
      <c r="L2118" s="4">
        <f ca="1">_xlfn.IFNA(VLOOKUP(INDIRECT("G"&amp;ROW()),minfo!$A:$M,COLUMN()-8,0),"")</f>
        <v>0</v>
      </c>
      <c r="M2118" s="4">
        <f ca="1">_xlfn.IFNA(VLOOKUP(INDIRECT("G"&amp;ROW()),minfo!$A:$M,COLUMN()-8,0),"")</f>
        <v>0</v>
      </c>
      <c r="N2118" s="4">
        <f ca="1">_xlfn.IFNA(VLOOKUP(INDIRECT("G"&amp;ROW()),minfo!$A:$M,COLUMN()-8,0),"")</f>
        <v>0</v>
      </c>
      <c r="O2118" s="4" t="str">
        <f ca="1">_xlfn.IFNA(VLOOKUP(INDIRECT("G"&amp;ROW()),minfo!$A:$M,COLUMN()-8,0),"")</f>
        <v>https://i0.hdslb.com/bfs/station_src/music_metadata/fb82b0fb2908b09d88ba13ef0db91863.jpg</v>
      </c>
      <c r="P2118" s="4" t="str">
        <f ca="1">_xlfn.IFNA(VLOOKUP(INDIRECT("G"&amp;ROW()),minfo!$A:$M,COLUMN()-8,0),"")</f>
        <v>http://i0.hdslb.com/bfs/station_src/music_metadata/9b1e7a89ea3eead8b8c6b32cdb30abd9</v>
      </c>
      <c r="Q2118" s="4">
        <f ca="1">_xlfn.IFNA(VLOOKUP(INDIRECT("G"&amp;ROW()),minfo!$A:$M,COLUMN()-8,0),"")</f>
        <v>6002</v>
      </c>
      <c r="R2118" s="4">
        <f ca="1">_xlfn.IFNA(VLOOKUP(INDIRECT("G"&amp;ROW()),minfo!$A:$M,COLUMN()-8,0),"")</f>
        <v>0</v>
      </c>
      <c r="S2118" s="4" t="str">
        <f ca="1">_xlfn.IFNA(VLOOKUP(INDIRECT("G"&amp;ROW()),minfo!$A:$M,COLUMN()-8,0),"")</f>
        <v>十一月的萧邦</v>
      </c>
      <c r="T2118" s="4">
        <f ca="1">_xlfn.IFNA(VLOOKUP(INDIRECT("G"&amp;ROW()),minfo!$A:$M,COLUMN()-8,0),"")</f>
        <v>560749777</v>
      </c>
      <c r="U2118" s="4">
        <f ca="1">_xlfn.IFNA(VLOOKUP(INDIRECT("G"&amp;ROW()),minfo!$A:$M,COLUMN()-8,0),"")</f>
        <v>0</v>
      </c>
    </row>
    <row r="2119" spans="1:21" ht="15.75" customHeight="1">
      <c r="A2119" s="15">
        <v>2118</v>
      </c>
      <c r="B2119" s="4" t="s">
        <v>6017</v>
      </c>
      <c r="D2119" s="4">
        <v>1</v>
      </c>
      <c r="E2119" s="4" t="s">
        <v>971</v>
      </c>
      <c r="F2119" s="4" t="s">
        <v>6018</v>
      </c>
      <c r="G2119" s="4" t="s">
        <v>970</v>
      </c>
      <c r="H2119" s="4" t="s">
        <v>6019</v>
      </c>
      <c r="I2119" s="24" t="str">
        <f>HYPERLINK("https://www.bilibili.com/video/BV1HmaqeEEin?p=1","BV1HmaqeEEin?p=1")</f>
        <v>BV1HmaqeEEin?p=1</v>
      </c>
      <c r="J2119" s="4" t="str">
        <f ca="1">_xlfn.IFNA(VLOOKUP(INDIRECT("G"&amp;ROW()),minfo!$A:$M,COLUMN()-8,0),"")</f>
        <v>心墙</v>
      </c>
      <c r="K2119" s="4" t="str">
        <f ca="1">_xlfn.IFNA(VLOOKUP(INDIRECT("G"&amp;ROW()),minfo!$A:$M,COLUMN()-8,0),"")</f>
        <v>郭静</v>
      </c>
      <c r="L2119" s="4">
        <f ca="1">_xlfn.IFNA(VLOOKUP(INDIRECT("G"&amp;ROW()),minfo!$A:$M,COLUMN()-8,0),"")</f>
        <v>0</v>
      </c>
      <c r="M2119" s="4">
        <f ca="1">_xlfn.IFNA(VLOOKUP(INDIRECT("G"&amp;ROW()),minfo!$A:$M,COLUMN()-8,0),"")</f>
        <v>0</v>
      </c>
      <c r="N2119" s="4">
        <f ca="1">_xlfn.IFNA(VLOOKUP(INDIRECT("G"&amp;ROW()),minfo!$A:$M,COLUMN()-8,0),"")</f>
        <v>0</v>
      </c>
      <c r="O2119" s="4" t="str">
        <f ca="1">_xlfn.IFNA(VLOOKUP(INDIRECT("G"&amp;ROW()),minfo!$A:$M,COLUMN()-8,0),"")</f>
        <v>http://i0.hdslb.com/bfs/station_src/music_metadata/ae2d1d9e9624bd7a94d939adb321569b.jpg</v>
      </c>
      <c r="P2119" s="4" t="str">
        <f ca="1">_xlfn.IFNA(VLOOKUP(INDIRECT("G"&amp;ROW()),minfo!$A:$M,COLUMN()-8,0),"")</f>
        <v>http://i0.hdslb.com/bfs/station_src/music_metadata/18702e32c3eb4e9c934de4b281e9f9cd</v>
      </c>
      <c r="Q2119" s="4">
        <f ca="1">_xlfn.IFNA(VLOOKUP(INDIRECT("G"&amp;ROW()),minfo!$A:$M,COLUMN()-8,0),"")</f>
        <v>4204</v>
      </c>
      <c r="R2119" s="4">
        <f ca="1">_xlfn.IFNA(VLOOKUP(INDIRECT("G"&amp;ROW()),minfo!$A:$M,COLUMN()-8,0),"")</f>
        <v>0</v>
      </c>
      <c r="S2119" s="4" t="str">
        <f ca="1">_xlfn.IFNA(VLOOKUP(INDIRECT("G"&amp;ROW()),minfo!$A:$M,COLUMN()-8,0),"")</f>
        <v>在树上唱歌</v>
      </c>
      <c r="T2119" s="4">
        <f ca="1">_xlfn.IFNA(VLOOKUP(INDIRECT("G"&amp;ROW()),minfo!$A:$M,COLUMN()-8,0),"")</f>
        <v>446507354</v>
      </c>
      <c r="U2119" s="4">
        <f ca="1">_xlfn.IFNA(VLOOKUP(INDIRECT("G"&amp;ROW()),minfo!$A:$M,COLUMN()-8,0),"")</f>
        <v>0</v>
      </c>
    </row>
    <row r="2120" spans="1:21" ht="15.75" customHeight="1">
      <c r="A2120" s="15">
        <v>2119</v>
      </c>
      <c r="B2120" s="4" t="s">
        <v>6020</v>
      </c>
      <c r="D2120" s="4">
        <v>1</v>
      </c>
      <c r="E2120" s="4" t="s">
        <v>786</v>
      </c>
      <c r="F2120" s="4" t="s">
        <v>6018</v>
      </c>
      <c r="G2120" s="4" t="s">
        <v>785</v>
      </c>
      <c r="H2120" s="4" t="s">
        <v>6021</v>
      </c>
      <c r="I2120" s="24" t="str">
        <f>HYPERLINK("https://www.bilibili.com/video/BV1wmaqeEEpj?p=1","BV1wmaqeEEpj?p=1")</f>
        <v>BV1wmaqeEEpj?p=1</v>
      </c>
      <c r="J2120" s="4" t="str">
        <f ca="1">_xlfn.IFNA(VLOOKUP(INDIRECT("G"&amp;ROW()),minfo!$A:$M,COLUMN()-8,0),"")</f>
        <v>浪漫血液</v>
      </c>
      <c r="K2120" s="4" t="str">
        <f ca="1">_xlfn.IFNA(VLOOKUP(INDIRECT("G"&amp;ROW()),minfo!$A:$M,COLUMN()-8,0),"")</f>
        <v>林俊杰</v>
      </c>
      <c r="L2120" s="4">
        <f ca="1">_xlfn.IFNA(VLOOKUP(INDIRECT("G"&amp;ROW()),minfo!$A:$M,COLUMN()-8,0),"")</f>
        <v>0</v>
      </c>
      <c r="M2120" s="4">
        <f ca="1">_xlfn.IFNA(VLOOKUP(INDIRECT("G"&amp;ROW()),minfo!$A:$M,COLUMN()-8,0),"")</f>
        <v>0</v>
      </c>
      <c r="N2120" s="4">
        <f ca="1">_xlfn.IFNA(VLOOKUP(INDIRECT("G"&amp;ROW()),minfo!$A:$M,COLUMN()-8,0),"")</f>
        <v>0</v>
      </c>
      <c r="O2120" s="4" t="str">
        <f ca="1">_xlfn.IFNA(VLOOKUP(INDIRECT("G"&amp;ROW()),minfo!$A:$M,COLUMN()-8,0),"")</f>
        <v>https://i0.hdslb.com/bfs/station_src/music_metadata/df4cb70c4afd251b03add35ca9a9908e.jpg</v>
      </c>
      <c r="P2120" s="4" t="str">
        <f ca="1">_xlfn.IFNA(VLOOKUP(INDIRECT("G"&amp;ROW()),minfo!$A:$M,COLUMN()-8,0),"")</f>
        <v>http://i0.hdslb.com/bfs/station_src/music_metadata/1681acdfafc8cdc08a44ca96f53471a4</v>
      </c>
      <c r="Q2120" s="4">
        <f ca="1">_xlfn.IFNA(VLOOKUP(INDIRECT("G"&amp;ROW()),minfo!$A:$M,COLUMN()-8,0),"")</f>
        <v>1583</v>
      </c>
      <c r="R2120" s="4">
        <f ca="1">_xlfn.IFNA(VLOOKUP(INDIRECT("G"&amp;ROW()),minfo!$A:$M,COLUMN()-8,0),"")</f>
        <v>0</v>
      </c>
      <c r="S2120" s="4" t="str">
        <f ca="1">_xlfn.IFNA(VLOOKUP(INDIRECT("G"&amp;ROW()),minfo!$A:$M,COLUMN()-8,0),"")</f>
        <v>新地球</v>
      </c>
      <c r="T2120" s="4">
        <f ca="1">_xlfn.IFNA(VLOOKUP(INDIRECT("G"&amp;ROW()),minfo!$A:$M,COLUMN()-8,0),"")</f>
        <v>140930479</v>
      </c>
      <c r="U2120" s="4">
        <f ca="1">_xlfn.IFNA(VLOOKUP(INDIRECT("G"&amp;ROW()),minfo!$A:$M,COLUMN()-8,0),"")</f>
        <v>0</v>
      </c>
    </row>
    <row r="2121" spans="1:21" ht="15.75" customHeight="1">
      <c r="A2121" s="15">
        <v>2120</v>
      </c>
      <c r="B2121" s="4" t="s">
        <v>6022</v>
      </c>
      <c r="D2121" s="4">
        <v>1</v>
      </c>
      <c r="E2121" s="4" t="s">
        <v>3095</v>
      </c>
      <c r="F2121" s="4" t="s">
        <v>6018</v>
      </c>
      <c r="G2121" s="4" t="s">
        <v>3094</v>
      </c>
      <c r="H2121" s="4" t="s">
        <v>6023</v>
      </c>
      <c r="I2121" s="24" t="str">
        <f>HYPERLINK("https://www.bilibili.com/video/BV1WkaqeQEyS?p=1","BV1WkaqeQEyS?p=1")</f>
        <v>BV1WkaqeQEyS?p=1</v>
      </c>
      <c r="J2121" s="4" t="str">
        <f ca="1">_xlfn.IFNA(VLOOKUP(INDIRECT("G"&amp;ROW()),minfo!$A:$M,COLUMN()-8,0),"")</f>
        <v>隐形的翅膀</v>
      </c>
      <c r="K2121" s="4" t="str">
        <f ca="1">_xlfn.IFNA(VLOOKUP(INDIRECT("G"&amp;ROW()),minfo!$A:$M,COLUMN()-8,0),"")</f>
        <v>张韶涵</v>
      </c>
      <c r="L2121" s="4">
        <f ca="1">_xlfn.IFNA(VLOOKUP(INDIRECT("G"&amp;ROW()),minfo!$A:$M,COLUMN()-8,0),"")</f>
        <v>0</v>
      </c>
      <c r="M2121" s="4">
        <f ca="1">_xlfn.IFNA(VLOOKUP(INDIRECT("G"&amp;ROW()),minfo!$A:$M,COLUMN()-8,0),"")</f>
        <v>0</v>
      </c>
      <c r="N2121" s="4">
        <f ca="1">_xlfn.IFNA(VLOOKUP(INDIRECT("G"&amp;ROW()),minfo!$A:$M,COLUMN()-8,0),"")</f>
        <v>0</v>
      </c>
      <c r="O2121" s="4" t="str">
        <f ca="1">_xlfn.IFNA(VLOOKUP(INDIRECT("G"&amp;ROW()),minfo!$A:$M,COLUMN()-8,0),"")</f>
        <v>http://i0.hdslb.com/bfs/station_src/music_metadata/aa953bf60b656ee83e04fc90c7875821.jpg</v>
      </c>
      <c r="P2121" s="4" t="str">
        <f ca="1">_xlfn.IFNA(VLOOKUP(INDIRECT("G"&amp;ROW()),minfo!$A:$M,COLUMN()-8,0),"")</f>
        <v>http://i0.hdslb.com/bfs/station_src/music_metadata/415fcea3d0f265e9b480bc3abb878e01</v>
      </c>
      <c r="Q2121" s="4">
        <f ca="1">_xlfn.IFNA(VLOOKUP(INDIRECT("G"&amp;ROW()),minfo!$A:$M,COLUMN()-8,0),"")</f>
        <v>834</v>
      </c>
      <c r="R2121" s="4">
        <f ca="1">_xlfn.IFNA(VLOOKUP(INDIRECT("G"&amp;ROW()),minfo!$A:$M,COLUMN()-8,0),"")</f>
        <v>0</v>
      </c>
      <c r="S2121" s="4" t="str">
        <f ca="1">_xlfn.IFNA(VLOOKUP(INDIRECT("G"&amp;ROW()),minfo!$A:$M,COLUMN()-8,0),"")</f>
        <v>潘朵拉</v>
      </c>
      <c r="T2121" s="4">
        <f ca="1">_xlfn.IFNA(VLOOKUP(INDIRECT("G"&amp;ROW()),minfo!$A:$M,COLUMN()-8,0),"")</f>
        <v>308693057</v>
      </c>
      <c r="U2121" s="4">
        <f ca="1">_xlfn.IFNA(VLOOKUP(INDIRECT("G"&amp;ROW()),minfo!$A:$M,COLUMN()-8,0),"")</f>
        <v>0</v>
      </c>
    </row>
    <row r="2122" spans="1:21" ht="15.75" customHeight="1">
      <c r="A2122" s="15">
        <v>2121</v>
      </c>
      <c r="B2122" s="4" t="s">
        <v>6024</v>
      </c>
      <c r="D2122" s="4">
        <v>1</v>
      </c>
      <c r="E2122" s="4" t="s">
        <v>1858</v>
      </c>
      <c r="F2122" s="4" t="s">
        <v>6018</v>
      </c>
      <c r="G2122" s="4" t="s">
        <v>1857</v>
      </c>
      <c r="H2122" s="4" t="s">
        <v>6025</v>
      </c>
      <c r="I2122" s="24" t="str">
        <f>HYPERLINK("https://www.bilibili.com/video/BV1w1aqeSED9?p=1","BV1w1aqeSED9?p=1")</f>
        <v>BV1w1aqeSED9?p=1</v>
      </c>
      <c r="J2122" s="4" t="str">
        <f ca="1">_xlfn.IFNA(VLOOKUP(INDIRECT("G"&amp;ROW()),minfo!$A:$M,COLUMN()-8,0),"")</f>
        <v>茉莉雨</v>
      </c>
      <c r="K2122" s="4" t="str">
        <f ca="1">_xlfn.IFNA(VLOOKUP(INDIRECT("G"&amp;ROW()),minfo!$A:$M,COLUMN()-8,0),"")</f>
        <v>林俊杰</v>
      </c>
      <c r="L2122" s="4">
        <f ca="1">_xlfn.IFNA(VLOOKUP(INDIRECT("G"&amp;ROW()),minfo!$A:$M,COLUMN()-8,0),"")</f>
        <v>0</v>
      </c>
      <c r="M2122" s="4">
        <f ca="1">_xlfn.IFNA(VLOOKUP(INDIRECT("G"&amp;ROW()),minfo!$A:$M,COLUMN()-8,0),"")</f>
        <v>0</v>
      </c>
      <c r="N2122" s="4">
        <f ca="1">_xlfn.IFNA(VLOOKUP(INDIRECT("G"&amp;ROW()),minfo!$A:$M,COLUMN()-8,0),"")</f>
        <v>0</v>
      </c>
      <c r="O2122" s="4" t="str">
        <f ca="1">_xlfn.IFNA(VLOOKUP(INDIRECT("G"&amp;ROW()),minfo!$A:$M,COLUMN()-8,0),"")</f>
        <v>https://i0.hdslb.com/bfs/station_src/music_metadata/c0c395d0757c371b76c37bb98d3c24e7.jpg</v>
      </c>
      <c r="P2122" s="4" t="str">
        <f ca="1">_xlfn.IFNA(VLOOKUP(INDIRECT("G"&amp;ROW()),minfo!$A:$M,COLUMN()-8,0),"")</f>
        <v>https://i0.hdslb.com/bfs/station_src/music_metadata/d45f6c1adb54696b8ea71a2b8e4f0c55.txt</v>
      </c>
      <c r="Q2122" s="4">
        <f ca="1">_xlfn.IFNA(VLOOKUP(INDIRECT("G"&amp;ROW()),minfo!$A:$M,COLUMN()-8,0),"")</f>
        <v>114</v>
      </c>
      <c r="R2122" s="4">
        <f ca="1">_xlfn.IFNA(VLOOKUP(INDIRECT("G"&amp;ROW()),minfo!$A:$M,COLUMN()-8,0),"")</f>
        <v>0</v>
      </c>
      <c r="S2122" s="4" t="str">
        <f ca="1">_xlfn.IFNA(VLOOKUP(INDIRECT("G"&amp;ROW()),minfo!$A:$M,COLUMN()-8,0),"")</f>
        <v>新地球</v>
      </c>
      <c r="T2122" s="4">
        <f ca="1">_xlfn.IFNA(VLOOKUP(INDIRECT("G"&amp;ROW()),minfo!$A:$M,COLUMN()-8,0),"")</f>
        <v>23763965</v>
      </c>
      <c r="U2122" s="4">
        <f ca="1">_xlfn.IFNA(VLOOKUP(INDIRECT("G"&amp;ROW()),minfo!$A:$M,COLUMN()-8,0),"")</f>
        <v>0</v>
      </c>
    </row>
    <row r="2123" spans="1:21" ht="15.75" customHeight="1">
      <c r="A2123" s="15">
        <v>2122</v>
      </c>
      <c r="B2123" s="4" t="s">
        <v>5845</v>
      </c>
      <c r="D2123" s="4">
        <v>1</v>
      </c>
      <c r="E2123" s="4" t="s">
        <v>93</v>
      </c>
      <c r="F2123" s="4" t="s">
        <v>6026</v>
      </c>
      <c r="G2123" s="4" t="s">
        <v>273</v>
      </c>
      <c r="H2123" s="4" t="s">
        <v>6027</v>
      </c>
      <c r="I2123" s="24" t="str">
        <f>HYPERLINK("https://www.bilibili.com/video/BV1opaEeQEgF?p=1","BV1opaEeQEgF?p=1")</f>
        <v>BV1opaEeQEgF?p=1</v>
      </c>
      <c r="J2123" s="4" t="str">
        <f ca="1">_xlfn.IFNA(VLOOKUP(INDIRECT("G"&amp;ROW()),minfo!$A:$M,COLUMN()-8,0),"")</f>
        <v>罗敷</v>
      </c>
      <c r="K2123" s="4" t="str">
        <f ca="1">_xlfn.IFNA(VLOOKUP(INDIRECT("G"&amp;ROW()),minfo!$A:$M,COLUMN()-8,0),"")</f>
        <v>说说Crystal</v>
      </c>
      <c r="L2123" s="4">
        <f ca="1">_xlfn.IFNA(VLOOKUP(INDIRECT("G"&amp;ROW()),minfo!$A:$M,COLUMN()-8,0),"")</f>
        <v>0</v>
      </c>
      <c r="M2123" s="4">
        <f ca="1">_xlfn.IFNA(VLOOKUP(INDIRECT("G"&amp;ROW()),minfo!$A:$M,COLUMN()-8,0),"")</f>
        <v>0</v>
      </c>
      <c r="N2123" s="4">
        <f ca="1">_xlfn.IFNA(VLOOKUP(INDIRECT("G"&amp;ROW()),minfo!$A:$M,COLUMN()-8,0),"")</f>
        <v>0</v>
      </c>
      <c r="O2123" s="4" t="str">
        <f ca="1">_xlfn.IFNA(VLOOKUP(INDIRECT("G"&amp;ROW()),minfo!$A:$M,COLUMN()-8,0),"")</f>
        <v>https://i0.hdslb.com/bfs/station_src/music_metadata/1b7b9e3e2c4c793577a84986cdadb2cc.jpg</v>
      </c>
      <c r="P2123" s="4">
        <f ca="1">_xlfn.IFNA(VLOOKUP(INDIRECT("G"&amp;ROW()),minfo!$A:$M,COLUMN()-8,0),"")</f>
        <v>0</v>
      </c>
      <c r="Q2123" s="4">
        <f ca="1">_xlfn.IFNA(VLOOKUP(INDIRECT("G"&amp;ROW()),minfo!$A:$M,COLUMN()-8,0),"")</f>
        <v>0</v>
      </c>
      <c r="R2123" s="4">
        <f ca="1">_xlfn.IFNA(VLOOKUP(INDIRECT("G"&amp;ROW()),minfo!$A:$M,COLUMN()-8,0),"")</f>
        <v>0</v>
      </c>
      <c r="S2123" s="4" t="str">
        <f ca="1">_xlfn.IFNA(VLOOKUP(INDIRECT("G"&amp;ROW()),minfo!$A:$M,COLUMN()-8,0),"")</f>
        <v>【说说·原创】这一曲只倾心于你 |《罗敷》</v>
      </c>
      <c r="T2123" s="4">
        <f ca="1">_xlfn.IFNA(VLOOKUP(INDIRECT("G"&amp;ROW()),minfo!$A:$M,COLUMN()-8,0),"")</f>
        <v>323164</v>
      </c>
      <c r="U2123" s="4">
        <f ca="1">_xlfn.IFNA(VLOOKUP(INDIRECT("G"&amp;ROW()),minfo!$A:$M,COLUMN()-8,0),"")</f>
        <v>0</v>
      </c>
    </row>
    <row r="2124" spans="1:21" ht="15.75" customHeight="1">
      <c r="A2124" s="15">
        <v>2123</v>
      </c>
      <c r="B2124" s="4" t="s">
        <v>6028</v>
      </c>
      <c r="D2124" s="4">
        <v>1</v>
      </c>
      <c r="E2124" s="4" t="s">
        <v>1752</v>
      </c>
      <c r="F2124" s="4" t="s">
        <v>6026</v>
      </c>
      <c r="G2124" s="4" t="s">
        <v>1751</v>
      </c>
      <c r="H2124" s="4" t="s">
        <v>6029</v>
      </c>
      <c r="I2124" s="24" t="str">
        <f>HYPERLINK("https://www.bilibili.com/video/BV1oHaEepEXu?p=1","BV1oHaEepEXu?p=1")</f>
        <v>BV1oHaEepEXu?p=1</v>
      </c>
      <c r="J2124" s="4" t="str">
        <f ca="1">_xlfn.IFNA(VLOOKUP(INDIRECT("G"&amp;ROW()),minfo!$A:$M,COLUMN()-8,0),"")</f>
        <v>第几个100天</v>
      </c>
      <c r="K2124" s="4" t="str">
        <f ca="1">_xlfn.IFNA(VLOOKUP(INDIRECT("G"&amp;ROW()),minfo!$A:$M,COLUMN()-8,0),"")</f>
        <v>林俊杰</v>
      </c>
      <c r="L2124" s="4">
        <f ca="1">_xlfn.IFNA(VLOOKUP(INDIRECT("G"&amp;ROW()),minfo!$A:$M,COLUMN()-8,0),"")</f>
        <v>0</v>
      </c>
      <c r="M2124" s="4">
        <f ca="1">_xlfn.IFNA(VLOOKUP(INDIRECT("G"&amp;ROW()),minfo!$A:$M,COLUMN()-8,0),"")</f>
        <v>15</v>
      </c>
      <c r="N2124" s="4">
        <f ca="1">_xlfn.IFNA(VLOOKUP(INDIRECT("G"&amp;ROW()),minfo!$A:$M,COLUMN()-8,0),"")</f>
        <v>5</v>
      </c>
      <c r="O2124" s="4" t="str">
        <f ca="1">_xlfn.IFNA(VLOOKUP(INDIRECT("G"&amp;ROW()),minfo!$A:$M,COLUMN()-8,0),"")</f>
        <v>https://i0.hdslb.com/bfs/station_src/music_metadata/2798c86ee0ded2184ee9d070fc22086d.jpg</v>
      </c>
      <c r="P2124" s="4" t="str">
        <f ca="1">_xlfn.IFNA(VLOOKUP(INDIRECT("G"&amp;ROW()),minfo!$A:$M,COLUMN()-8,0),"")</f>
        <v>https://i0.hdslb.com/bfs/station_src/music_metadata/3206fa19f3fe4bc1a2c626541809c9a8.txt</v>
      </c>
      <c r="Q2124" s="4">
        <f ca="1">_xlfn.IFNA(VLOOKUP(INDIRECT("G"&amp;ROW()),minfo!$A:$M,COLUMN()-8,0),"")</f>
        <v>17</v>
      </c>
      <c r="R2124" s="4">
        <f ca="1">_xlfn.IFNA(VLOOKUP(INDIRECT("G"&amp;ROW()),minfo!$A:$M,COLUMN()-8,0),"")</f>
        <v>0</v>
      </c>
      <c r="S2124" s="4" t="str">
        <f ca="1">_xlfn.IFNA(VLOOKUP(INDIRECT("G"&amp;ROW()),minfo!$A:$M,COLUMN()-8,0),"")</f>
        <v>JJ林俊杰_100天</v>
      </c>
      <c r="T2124" s="4">
        <f ca="1">_xlfn.IFNA(VLOOKUP(INDIRECT("G"&amp;ROW()),minfo!$A:$M,COLUMN()-8,0),"")</f>
        <v>34946039</v>
      </c>
      <c r="U2124" s="4">
        <f ca="1">_xlfn.IFNA(VLOOKUP(INDIRECT("G"&amp;ROW()),minfo!$A:$M,COLUMN()-8,0),"")</f>
        <v>0</v>
      </c>
    </row>
    <row r="2125" spans="1:21" ht="15.75" customHeight="1">
      <c r="A2125" s="15">
        <v>2124</v>
      </c>
      <c r="B2125" s="4" t="s">
        <v>5862</v>
      </c>
      <c r="D2125" s="4">
        <v>1</v>
      </c>
      <c r="E2125" s="4" t="s">
        <v>1415</v>
      </c>
      <c r="F2125" s="4" t="s">
        <v>6026</v>
      </c>
      <c r="G2125" s="4" t="s">
        <v>1414</v>
      </c>
      <c r="H2125" s="4" t="s">
        <v>6030</v>
      </c>
      <c r="I2125" s="24" t="str">
        <f>HYPERLINK("https://www.bilibili.com/video/BV1oHaEepER7?p=1","BV1oHaEepER7?p=1")</f>
        <v>BV1oHaEepER7?p=1</v>
      </c>
      <c r="J2125" s="4" t="str">
        <f ca="1">_xlfn.IFNA(VLOOKUP(INDIRECT("G"&amp;ROW()),minfo!$A:$M,COLUMN()-8,0),"")</f>
        <v>二十二</v>
      </c>
      <c r="K2125" s="4" t="str">
        <f ca="1">_xlfn.IFNA(VLOOKUP(INDIRECT("G"&amp;ROW()),minfo!$A:$M,COLUMN()-8,0),"")</f>
        <v>陶喆</v>
      </c>
      <c r="L2125" s="4">
        <f ca="1">_xlfn.IFNA(VLOOKUP(INDIRECT("G"&amp;ROW()),minfo!$A:$M,COLUMN()-8,0),"")</f>
        <v>0</v>
      </c>
      <c r="M2125" s="4">
        <f ca="1">_xlfn.IFNA(VLOOKUP(INDIRECT("G"&amp;ROW()),minfo!$A:$M,COLUMN()-8,0),"")</f>
        <v>0</v>
      </c>
      <c r="N2125" s="4">
        <f ca="1">_xlfn.IFNA(VLOOKUP(INDIRECT("G"&amp;ROW()),minfo!$A:$M,COLUMN()-8,0),"")</f>
        <v>0</v>
      </c>
      <c r="O2125" s="4" t="str">
        <f ca="1">_xlfn.IFNA(VLOOKUP(INDIRECT("G"&amp;ROW()),minfo!$A:$M,COLUMN()-8,0),"")</f>
        <v>http://i0.hdslb.com/bfs/station_src/music_metadata/e89d0b6bb51b52049a17aa607ecd7e8d.jpg</v>
      </c>
      <c r="P2125" s="4" t="str">
        <f ca="1">_xlfn.IFNA(VLOOKUP(INDIRECT("G"&amp;ROW()),minfo!$A:$M,COLUMN()-8,0),"")</f>
        <v>http://i0.hdslb.com/bfs/station_src/music_metadata/47f341ee2acc202b90520bd34837ebc4</v>
      </c>
      <c r="Q2125" s="4">
        <f ca="1">_xlfn.IFNA(VLOOKUP(INDIRECT("G"&amp;ROW()),minfo!$A:$M,COLUMN()-8,0),"")</f>
        <v>343</v>
      </c>
      <c r="R2125" s="4">
        <f ca="1">_xlfn.IFNA(VLOOKUP(INDIRECT("G"&amp;ROW()),minfo!$A:$M,COLUMN()-8,0),"")</f>
        <v>0</v>
      </c>
      <c r="S2125" s="4" t="str">
        <f ca="1">_xlfn.IFNA(VLOOKUP(INDIRECT("G"&amp;ROW()),minfo!$A:$M,COLUMN()-8,0),"")</f>
        <v>黑色柳丁</v>
      </c>
      <c r="T2125" s="4">
        <f ca="1">_xlfn.IFNA(VLOOKUP(INDIRECT("G"&amp;ROW()),minfo!$A:$M,COLUMN()-8,0),"")</f>
        <v>50077794</v>
      </c>
      <c r="U2125" s="4">
        <f ca="1">_xlfn.IFNA(VLOOKUP(INDIRECT("G"&amp;ROW()),minfo!$A:$M,COLUMN()-8,0),"")</f>
        <v>0</v>
      </c>
    </row>
    <row r="2126" spans="1:21" ht="15.75" customHeight="1">
      <c r="A2126" s="15">
        <v>2125</v>
      </c>
      <c r="B2126" s="4" t="s">
        <v>5841</v>
      </c>
      <c r="D2126" s="4">
        <v>1</v>
      </c>
      <c r="E2126" s="4" t="s">
        <v>232</v>
      </c>
      <c r="F2126" s="4" t="s">
        <v>6026</v>
      </c>
      <c r="G2126" s="4" t="s">
        <v>231</v>
      </c>
      <c r="H2126" s="4" t="s">
        <v>6031</v>
      </c>
      <c r="I2126" s="24" t="str">
        <f>HYPERLINK("https://www.bilibili.com/video/BV1ZHaEepEup?p=1","BV1ZHaEepEup?p=1")</f>
        <v>BV1ZHaEepEup?p=1</v>
      </c>
      <c r="J2126" s="4" t="str">
        <f ca="1">_xlfn.IFNA(VLOOKUP(INDIRECT("G"&amp;ROW()),minfo!$A:$M,COLUMN()-8,0),"")</f>
        <v>若把你</v>
      </c>
      <c r="K2126" s="4" t="str">
        <f ca="1">_xlfn.IFNA(VLOOKUP(INDIRECT("G"&amp;ROW()),minfo!$A:$M,COLUMN()-8,0),"")</f>
        <v>Kirsty刘瑾睿</v>
      </c>
      <c r="L2126" s="4">
        <f ca="1">_xlfn.IFNA(VLOOKUP(INDIRECT("G"&amp;ROW()),minfo!$A:$M,COLUMN()-8,0),"")</f>
        <v>0</v>
      </c>
      <c r="M2126" s="4">
        <f ca="1">_xlfn.IFNA(VLOOKUP(INDIRECT("G"&amp;ROW()),minfo!$A:$M,COLUMN()-8,0),"")</f>
        <v>43546</v>
      </c>
      <c r="N2126" s="4">
        <f ca="1">_xlfn.IFNA(VLOOKUP(INDIRECT("G"&amp;ROW()),minfo!$A:$M,COLUMN()-8,0),"")</f>
        <v>6440</v>
      </c>
      <c r="O2126" s="4" t="str">
        <f ca="1">_xlfn.IFNA(VLOOKUP(INDIRECT("G"&amp;ROW()),minfo!$A:$M,COLUMN()-8,0),"")</f>
        <v>http://i0.hdslb.com/bfs/station_src/music_metadata/e535448192dd1b72f950d8bf47d14597.jpg</v>
      </c>
      <c r="P2126" s="4">
        <f ca="1">_xlfn.IFNA(VLOOKUP(INDIRECT("G"&amp;ROW()),minfo!$A:$M,COLUMN()-8,0),"")</f>
        <v>0</v>
      </c>
      <c r="Q2126" s="4">
        <f ca="1">_xlfn.IFNA(VLOOKUP(INDIRECT("G"&amp;ROW()),minfo!$A:$M,COLUMN()-8,0),"")</f>
        <v>2370</v>
      </c>
      <c r="R2126" s="4">
        <f ca="1">_xlfn.IFNA(VLOOKUP(INDIRECT("G"&amp;ROW()),minfo!$A:$M,COLUMN()-8,0),"")</f>
        <v>0</v>
      </c>
      <c r="S2126" s="4" t="str">
        <f ca="1">_xlfn.IFNA(VLOOKUP(INDIRECT("G"&amp;ROW()),minfo!$A:$M,COLUMN()-8,0),"")</f>
        <v>若把你</v>
      </c>
      <c r="T2126" s="4">
        <f ca="1">_xlfn.IFNA(VLOOKUP(INDIRECT("G"&amp;ROW()),minfo!$A:$M,COLUMN()-8,0),"")</f>
        <v>316650487</v>
      </c>
      <c r="U2126" s="4" t="str">
        <f ca="1">_xlfn.IFNA(VLOOKUP(INDIRECT("G"&amp;ROW()),minfo!$A:$M,COLUMN()-8,0),"")</f>
        <v>音乐榜最高NO.7</v>
      </c>
    </row>
    <row r="2127" spans="1:21" ht="15.75" customHeight="1">
      <c r="A2127" s="15">
        <v>2126</v>
      </c>
      <c r="B2127" s="4" t="s">
        <v>6032</v>
      </c>
      <c r="D2127" s="4">
        <v>1</v>
      </c>
      <c r="E2127" s="4" t="s">
        <v>3238</v>
      </c>
      <c r="F2127" s="4" t="s">
        <v>6026</v>
      </c>
      <c r="G2127" s="4" t="s">
        <v>3237</v>
      </c>
      <c r="H2127" s="4" t="s">
        <v>6033</v>
      </c>
      <c r="I2127" s="24" t="str">
        <f>HYPERLINK("https://www.bilibili.com/video/BV1VSa7eLEmZ?p=1","BV1VSa7eLEmZ?p=1")</f>
        <v>BV1VSa7eLEmZ?p=1</v>
      </c>
      <c r="J2127" s="4" t="str">
        <f ca="1">_xlfn.IFNA(VLOOKUP(INDIRECT("G"&amp;ROW()),minfo!$A:$M,COLUMN()-8,0),"")</f>
        <v>小镇姑娘</v>
      </c>
      <c r="K2127" s="4" t="str">
        <f ca="1">_xlfn.IFNA(VLOOKUP(INDIRECT("G"&amp;ROW()),minfo!$A:$M,COLUMN()-8,0),"")</f>
        <v>陶喆</v>
      </c>
      <c r="L2127" s="4">
        <f ca="1">_xlfn.IFNA(VLOOKUP(INDIRECT("G"&amp;ROW()),minfo!$A:$M,COLUMN()-8,0),"")</f>
        <v>0</v>
      </c>
      <c r="M2127" s="4">
        <f ca="1">_xlfn.IFNA(VLOOKUP(INDIRECT("G"&amp;ROW()),minfo!$A:$M,COLUMN()-8,0),"")</f>
        <v>0</v>
      </c>
      <c r="N2127" s="4">
        <f ca="1">_xlfn.IFNA(VLOOKUP(INDIRECT("G"&amp;ROW()),minfo!$A:$M,COLUMN()-8,0),"")</f>
        <v>0</v>
      </c>
      <c r="O2127" s="4" t="str">
        <f ca="1">_xlfn.IFNA(VLOOKUP(INDIRECT("G"&amp;ROW()),minfo!$A:$M,COLUMN()-8,0),"")</f>
        <v>http://i0.hdslb.com/bfs/station_src/music_metadata/63c043637ab4b1dc2750652f87cf1705.jpg</v>
      </c>
      <c r="P2127" s="4" t="str">
        <f ca="1">_xlfn.IFNA(VLOOKUP(INDIRECT("G"&amp;ROW()),minfo!$A:$M,COLUMN()-8,0),"")</f>
        <v>http://i0.hdslb.com/bfs/station_src/music_metadata/fd97a101c493130f23c5e1c19e7a4637</v>
      </c>
      <c r="Q2127" s="4">
        <f ca="1">_xlfn.IFNA(VLOOKUP(INDIRECT("G"&amp;ROW()),minfo!$A:$M,COLUMN()-8,0),"")</f>
        <v>841</v>
      </c>
      <c r="R2127" s="4">
        <f ca="1">_xlfn.IFNA(VLOOKUP(INDIRECT("G"&amp;ROW()),minfo!$A:$M,COLUMN()-8,0),"")</f>
        <v>0</v>
      </c>
      <c r="S2127" s="4">
        <f ca="1">_xlfn.IFNA(VLOOKUP(INDIRECT("G"&amp;ROW()),minfo!$A:$M,COLUMN()-8,0),"")</f>
        <v>0</v>
      </c>
      <c r="T2127" s="4">
        <f ca="1">_xlfn.IFNA(VLOOKUP(INDIRECT("G"&amp;ROW()),minfo!$A:$M,COLUMN()-8,0),"")</f>
        <v>167213252</v>
      </c>
      <c r="U2127" s="4">
        <f ca="1">_xlfn.IFNA(VLOOKUP(INDIRECT("G"&amp;ROW()),minfo!$A:$M,COLUMN()-8,0),"")</f>
        <v>0</v>
      </c>
    </row>
    <row r="2128" spans="1:21" ht="15.75" customHeight="1">
      <c r="A2128" s="15">
        <v>2127</v>
      </c>
      <c r="B2128" s="4" t="s">
        <v>6034</v>
      </c>
      <c r="D2128" s="4">
        <v>1</v>
      </c>
      <c r="E2128" s="4" t="s">
        <v>1184</v>
      </c>
      <c r="F2128" s="4" t="s">
        <v>6026</v>
      </c>
      <c r="G2128" s="4" t="s">
        <v>1183</v>
      </c>
      <c r="H2128" s="4" t="s">
        <v>6035</v>
      </c>
      <c r="I2128" s="24" t="str">
        <f>HYPERLINK("https://www.bilibili.com/video/BV13Xa7eVEaa?p=1","BV13Xa7eVEaa?p=1")</f>
        <v>BV13Xa7eVEaa?p=1</v>
      </c>
      <c r="J2128" s="4" t="str">
        <f ca="1">_xlfn.IFNA(VLOOKUP(INDIRECT("G"&amp;ROW()),minfo!$A:$M,COLUMN()-8,0),"")</f>
        <v>喜欢寂寞</v>
      </c>
      <c r="K2128" s="4" t="str">
        <f ca="1">_xlfn.IFNA(VLOOKUP(INDIRECT("G"&amp;ROW()),minfo!$A:$M,COLUMN()-8,0),"")</f>
        <v>苏打绿</v>
      </c>
      <c r="L2128" s="4">
        <f ca="1">_xlfn.IFNA(VLOOKUP(INDIRECT("G"&amp;ROW()),minfo!$A:$M,COLUMN()-8,0),"")</f>
        <v>0</v>
      </c>
      <c r="M2128" s="4">
        <f ca="1">_xlfn.IFNA(VLOOKUP(INDIRECT("G"&amp;ROW()),minfo!$A:$M,COLUMN()-8,0),"")</f>
        <v>0</v>
      </c>
      <c r="N2128" s="4">
        <f ca="1">_xlfn.IFNA(VLOOKUP(INDIRECT("G"&amp;ROW()),minfo!$A:$M,COLUMN()-8,0),"")</f>
        <v>0</v>
      </c>
      <c r="O2128" s="4" t="str">
        <f ca="1">_xlfn.IFNA(VLOOKUP(INDIRECT("G"&amp;ROW()),minfo!$A:$M,COLUMN()-8,0),"")</f>
        <v>https://i0.hdslb.com/bfs/station_src/music_metadata/d121c3715408b7ed00de8d570a7c5b94.jpg</v>
      </c>
      <c r="P2128" s="4" t="str">
        <f ca="1">_xlfn.IFNA(VLOOKUP(INDIRECT("G"&amp;ROW()),minfo!$A:$M,COLUMN()-8,0),"")</f>
        <v>https://i0.hdslb.com/bfs/station_src/music_metadata/7751ffa790ea57dc1e90f19496ce8669.txt</v>
      </c>
      <c r="Q2128" s="4">
        <f ca="1">_xlfn.IFNA(VLOOKUP(INDIRECT("G"&amp;ROW()),minfo!$A:$M,COLUMN()-8,0),"")</f>
        <v>13</v>
      </c>
      <c r="R2128" s="4">
        <f ca="1">_xlfn.IFNA(VLOOKUP(INDIRECT("G"&amp;ROW()),minfo!$A:$M,COLUMN()-8,0),"")</f>
        <v>0</v>
      </c>
      <c r="S2128" s="4" t="str">
        <f ca="1">_xlfn.IFNA(VLOOKUP(INDIRECT("G"&amp;ROW()),minfo!$A:$M,COLUMN()-8,0),"")</f>
        <v>2011 Hit Fm 年度百首单曲</v>
      </c>
      <c r="T2128" s="4">
        <f ca="1">_xlfn.IFNA(VLOOKUP(INDIRECT("G"&amp;ROW()),minfo!$A:$M,COLUMN()-8,0),"")</f>
        <v>6139411</v>
      </c>
      <c r="U2128" s="4">
        <f ca="1">_xlfn.IFNA(VLOOKUP(INDIRECT("G"&amp;ROW()),minfo!$A:$M,COLUMN()-8,0),"")</f>
        <v>0</v>
      </c>
    </row>
    <row r="2129" spans="1:21" ht="15.75" customHeight="1">
      <c r="A2129" s="15">
        <v>2128</v>
      </c>
      <c r="B2129" s="4" t="s">
        <v>6036</v>
      </c>
      <c r="D2129" s="4">
        <v>1</v>
      </c>
      <c r="E2129" s="4" t="s">
        <v>1255</v>
      </c>
      <c r="F2129" s="4" t="s">
        <v>6026</v>
      </c>
      <c r="G2129" s="4" t="s">
        <v>1254</v>
      </c>
      <c r="H2129" s="4" t="s">
        <v>6037</v>
      </c>
      <c r="I2129" s="24" t="str">
        <f>HYPERLINK("https://www.bilibili.com/video/BV1ema7e2EWi?p=1","BV1ema7e2EWi?p=1")</f>
        <v>BV1ema7e2EWi?p=1</v>
      </c>
      <c r="J2129" s="4" t="str">
        <f ca="1">_xlfn.IFNA(VLOOKUP(INDIRECT("G"&amp;ROW()),minfo!$A:$M,COLUMN()-8,0),"")</f>
        <v>频率</v>
      </c>
      <c r="K2129" s="4" t="str">
        <f ca="1">_xlfn.IFNA(VLOOKUP(INDIRECT("G"&amp;ROW()),minfo!$A:$M,COLUMN()-8,0),"")</f>
        <v>苏打绿</v>
      </c>
      <c r="L2129" s="4">
        <f ca="1">_xlfn.IFNA(VLOOKUP(INDIRECT("G"&amp;ROW()),minfo!$A:$M,COLUMN()-8,0),"")</f>
        <v>0</v>
      </c>
      <c r="M2129" s="4">
        <f ca="1">_xlfn.IFNA(VLOOKUP(INDIRECT("G"&amp;ROW()),minfo!$A:$M,COLUMN()-8,0),"")</f>
        <v>0</v>
      </c>
      <c r="N2129" s="4">
        <f ca="1">_xlfn.IFNA(VLOOKUP(INDIRECT("G"&amp;ROW()),minfo!$A:$M,COLUMN()-8,0),"")</f>
        <v>0</v>
      </c>
      <c r="O2129" s="4" t="str">
        <f ca="1">_xlfn.IFNA(VLOOKUP(INDIRECT("G"&amp;ROW()),minfo!$A:$M,COLUMN()-8,0),"")</f>
        <v>http://i0.hdslb.com/bfs/station_src/music_metadata/d355dd715b57d78b55b55bafc618fa13.jpg</v>
      </c>
      <c r="P2129" s="4" t="str">
        <f ca="1">_xlfn.IFNA(VLOOKUP(INDIRECT("G"&amp;ROW()),minfo!$A:$M,COLUMN()-8,0),"")</f>
        <v>https://i0.hdslb.com/bfs/station_src/music_metadata/f0e4923aa68dd06d7470f9e57ad496f2.txt</v>
      </c>
      <c r="Q2129" s="4">
        <f ca="1">_xlfn.IFNA(VLOOKUP(INDIRECT("G"&amp;ROW()),minfo!$A:$M,COLUMN()-8,0),"")</f>
        <v>11</v>
      </c>
      <c r="R2129" s="4">
        <f ca="1">_xlfn.IFNA(VLOOKUP(INDIRECT("G"&amp;ROW()),minfo!$A:$M,COLUMN()-8,0),"")</f>
        <v>0</v>
      </c>
      <c r="S2129" s="4">
        <f ca="1">_xlfn.IFNA(VLOOKUP(INDIRECT("G"&amp;ROW()),minfo!$A:$M,COLUMN()-8,0),"")</f>
        <v>0</v>
      </c>
      <c r="T2129" s="4">
        <f ca="1">_xlfn.IFNA(VLOOKUP(INDIRECT("G"&amp;ROW()),minfo!$A:$M,COLUMN()-8,0),"")</f>
        <v>4994709</v>
      </c>
      <c r="U2129" s="4">
        <f ca="1">_xlfn.IFNA(VLOOKUP(INDIRECT("G"&amp;ROW()),minfo!$A:$M,COLUMN()-8,0),"")</f>
        <v>0</v>
      </c>
    </row>
    <row r="2130" spans="1:21" ht="15.75" customHeight="1">
      <c r="A2130" s="15">
        <v>2129</v>
      </c>
      <c r="B2130" s="4" t="s">
        <v>6038</v>
      </c>
      <c r="D2130" s="4">
        <v>1</v>
      </c>
      <c r="E2130" s="4" t="s">
        <v>3433</v>
      </c>
      <c r="F2130" s="4" t="s">
        <v>6026</v>
      </c>
      <c r="G2130" s="4" t="s">
        <v>3432</v>
      </c>
      <c r="H2130" s="4" t="s">
        <v>6039</v>
      </c>
      <c r="I2130" s="24" t="str">
        <f>HYPERLINK("https://www.bilibili.com/video/BV1YwasehELT?p=1","BV1YwasehELT?p=1")</f>
        <v>BV1YwasehELT?p=1</v>
      </c>
      <c r="J2130" s="4" t="str">
        <f ca="1">_xlfn.IFNA(VLOOKUP(INDIRECT("G"&amp;ROW()),minfo!$A:$M,COLUMN()-8,0),"")</f>
        <v>相信</v>
      </c>
      <c r="K2130" s="4" t="str">
        <f ca="1">_xlfn.IFNA(VLOOKUP(INDIRECT("G"&amp;ROW()),minfo!$A:$M,COLUMN()-8,0),"")</f>
        <v>苏打绿</v>
      </c>
      <c r="L2130" s="4">
        <f ca="1">_xlfn.IFNA(VLOOKUP(INDIRECT("G"&amp;ROW()),minfo!$A:$M,COLUMN()-8,0),"")</f>
        <v>0</v>
      </c>
      <c r="M2130" s="4">
        <f ca="1">_xlfn.IFNA(VLOOKUP(INDIRECT("G"&amp;ROW()),minfo!$A:$M,COLUMN()-8,0),"")</f>
        <v>0</v>
      </c>
      <c r="N2130" s="4">
        <f ca="1">_xlfn.IFNA(VLOOKUP(INDIRECT("G"&amp;ROW()),minfo!$A:$M,COLUMN()-8,0),"")</f>
        <v>0</v>
      </c>
      <c r="O2130" s="4" t="str">
        <f ca="1">_xlfn.IFNA(VLOOKUP(INDIRECT("G"&amp;ROW()),minfo!$A:$M,COLUMN()-8,0),"")</f>
        <v>https://i0.hdslb.com/bfs/station_src/music_metadata/8890a08c51ebe3022cc36fd04fd1ce04.jpg</v>
      </c>
      <c r="P2130" s="4" t="str">
        <f ca="1">_xlfn.IFNA(VLOOKUP(INDIRECT("G"&amp;ROW()),minfo!$A:$M,COLUMN()-8,0),"")</f>
        <v>https://i0.hdslb.com/bfs/station_src/music_metadata/de0e1295b88f2d22d508d55a94f6812e.txt</v>
      </c>
      <c r="Q2130" s="4">
        <f ca="1">_xlfn.IFNA(VLOOKUP(INDIRECT("G"&amp;ROW()),minfo!$A:$M,COLUMN()-8,0),"")</f>
        <v>28</v>
      </c>
      <c r="R2130" s="4">
        <f ca="1">_xlfn.IFNA(VLOOKUP(INDIRECT("G"&amp;ROW()),minfo!$A:$M,COLUMN()-8,0),"")</f>
        <v>0</v>
      </c>
      <c r="S2130" s="4" t="str">
        <f ca="1">_xlfn.IFNA(VLOOKUP(INDIRECT("G"&amp;ROW()),minfo!$A:$M,COLUMN()-8,0),"")</f>
        <v>无与伦比的美丽</v>
      </c>
      <c r="T2130" s="4">
        <f ca="1">_xlfn.IFNA(VLOOKUP(INDIRECT("G"&amp;ROW()),minfo!$A:$M,COLUMN()-8,0),"")</f>
        <v>14497038</v>
      </c>
      <c r="U2130" s="4">
        <f ca="1">_xlfn.IFNA(VLOOKUP(INDIRECT("G"&amp;ROW()),minfo!$A:$M,COLUMN()-8,0),"")</f>
        <v>0</v>
      </c>
    </row>
    <row r="2131" spans="1:21" ht="15.75" customHeight="1">
      <c r="A2131" s="15">
        <v>2130</v>
      </c>
      <c r="B2131" s="4" t="s">
        <v>6040</v>
      </c>
      <c r="D2131" s="4">
        <v>1</v>
      </c>
      <c r="E2131" s="4" t="s">
        <v>61</v>
      </c>
      <c r="F2131" s="4" t="s">
        <v>6026</v>
      </c>
      <c r="G2131" s="4" t="s">
        <v>61</v>
      </c>
      <c r="H2131" s="4" t="s">
        <v>6041</v>
      </c>
      <c r="I2131" s="24" t="str">
        <f>HYPERLINK("https://www.bilibili.com/video/BV1hNasebEYG?p=1","BV1hNasebEYG?p=1")</f>
        <v>BV1hNasebEYG?p=1</v>
      </c>
      <c r="J2131" s="4" t="str">
        <f ca="1">_xlfn.IFNA(VLOOKUP(INDIRECT("G"&amp;ROW()),minfo!$A:$M,COLUMN()-8,0),"")</f>
        <v>桃華</v>
      </c>
      <c r="K2131" s="4" t="str">
        <f ca="1">_xlfn.IFNA(VLOOKUP(INDIRECT("G"&amp;ROW()),minfo!$A:$M,COLUMN()-8,0),"")</f>
        <v>说说Crystal</v>
      </c>
      <c r="L2131" s="4" t="str">
        <f ca="1">_xlfn.IFNA(VLOOKUP(INDIRECT("G"&amp;ROW()),minfo!$A:$M,COLUMN()-8,0),"")</f>
        <v>BV14z4y1H7Jn</v>
      </c>
      <c r="M2131" s="4">
        <f ca="1">_xlfn.IFNA(VLOOKUP(INDIRECT("G"&amp;ROW()),minfo!$A:$M,COLUMN()-8,0),"")</f>
        <v>0</v>
      </c>
      <c r="N2131" s="4">
        <f ca="1">_xlfn.IFNA(VLOOKUP(INDIRECT("G"&amp;ROW()),minfo!$A:$M,COLUMN()-8,0),"")</f>
        <v>0</v>
      </c>
      <c r="O2131" s="4">
        <f ca="1">_xlfn.IFNA(VLOOKUP(INDIRECT("G"&amp;ROW()),minfo!$A:$M,COLUMN()-8,0),"")</f>
        <v>0</v>
      </c>
      <c r="P2131" s="4">
        <f ca="1">_xlfn.IFNA(VLOOKUP(INDIRECT("G"&amp;ROW()),minfo!$A:$M,COLUMN()-8,0),"")</f>
        <v>0</v>
      </c>
      <c r="Q2131" s="4">
        <f ca="1">_xlfn.IFNA(VLOOKUP(INDIRECT("G"&amp;ROW()),minfo!$A:$M,COLUMN()-8,0),"")</f>
        <v>0</v>
      </c>
      <c r="R2131" s="4">
        <f ca="1">_xlfn.IFNA(VLOOKUP(INDIRECT("G"&amp;ROW()),minfo!$A:$M,COLUMN()-8,0),"")</f>
        <v>0</v>
      </c>
      <c r="S2131" s="4">
        <f ca="1">_xlfn.IFNA(VLOOKUP(INDIRECT("G"&amp;ROW()),minfo!$A:$M,COLUMN()-8,0),"")</f>
        <v>0</v>
      </c>
      <c r="T2131" s="4">
        <f ca="1">_xlfn.IFNA(VLOOKUP(INDIRECT("G"&amp;ROW()),minfo!$A:$M,COLUMN()-8,0),"")</f>
        <v>0</v>
      </c>
      <c r="U2131" s="4">
        <f ca="1">_xlfn.IFNA(VLOOKUP(INDIRECT("G"&amp;ROW()),minfo!$A:$M,COLUMN()-8,0),"")</f>
        <v>0</v>
      </c>
    </row>
    <row r="2132" spans="1:21" ht="15.75" customHeight="1">
      <c r="A2132" s="15">
        <v>2131</v>
      </c>
      <c r="B2132" s="4" t="s">
        <v>6042</v>
      </c>
      <c r="D2132" s="4">
        <v>1</v>
      </c>
      <c r="E2132" s="4" t="s">
        <v>2751</v>
      </c>
      <c r="F2132" s="4" t="s">
        <v>6043</v>
      </c>
      <c r="G2132" s="4" t="s">
        <v>2750</v>
      </c>
      <c r="H2132" s="4" t="s">
        <v>6044</v>
      </c>
      <c r="I2132" s="24" t="str">
        <f>HYPERLINK("https://www.bilibili.com/video/BV1QsbtehExF?p=1","BV1QsbtehExF?p=1")</f>
        <v>BV1QsbtehExF?p=1</v>
      </c>
      <c r="J2132" s="4" t="str">
        <f ca="1">_xlfn.IFNA(VLOOKUP(INDIRECT("G"&amp;ROW()),minfo!$A:$M,COLUMN()-8,0),"")</f>
        <v>化身孤岛的鲸</v>
      </c>
      <c r="K2132" s="4" t="str">
        <f ca="1">_xlfn.IFNA(VLOOKUP(INDIRECT("G"&amp;ROW()),minfo!$A:$M,COLUMN()-8,0),"")</f>
        <v>李日朗</v>
      </c>
      <c r="L2132" s="4">
        <f ca="1">_xlfn.IFNA(VLOOKUP(INDIRECT("G"&amp;ROW()),minfo!$A:$M,COLUMN()-8,0),"")</f>
        <v>0</v>
      </c>
      <c r="M2132" s="4">
        <f ca="1">_xlfn.IFNA(VLOOKUP(INDIRECT("G"&amp;ROW()),minfo!$A:$M,COLUMN()-8,0),"")</f>
        <v>0</v>
      </c>
      <c r="N2132" s="4">
        <f ca="1">_xlfn.IFNA(VLOOKUP(INDIRECT("G"&amp;ROW()),minfo!$A:$M,COLUMN()-8,0),"")</f>
        <v>0</v>
      </c>
      <c r="O2132" s="4" t="str">
        <f ca="1">_xlfn.IFNA(VLOOKUP(INDIRECT("G"&amp;ROW()),minfo!$A:$M,COLUMN()-8,0),"")</f>
        <v>http://i0.hdslb.com/bfs/station_src/music_metadata/8c0df79b6a51661bd2f64147d4612fb1.jpg</v>
      </c>
      <c r="P2132" s="4" t="str">
        <f ca="1">_xlfn.IFNA(VLOOKUP(INDIRECT("G"&amp;ROW()),minfo!$A:$M,COLUMN()-8,0),"")</f>
        <v>http://i0.hdslb.com/bfs/station_src/music_metadata/bdc5a57e8bb59f455d05a3b4a3b302d8</v>
      </c>
      <c r="Q2132" s="4">
        <f ca="1">_xlfn.IFNA(VLOOKUP(INDIRECT("G"&amp;ROW()),minfo!$A:$M,COLUMN()-8,0),"")</f>
        <v>692</v>
      </c>
      <c r="R2132" s="4">
        <f ca="1">_xlfn.IFNA(VLOOKUP(INDIRECT("G"&amp;ROW()),minfo!$A:$M,COLUMN()-8,0),"")</f>
        <v>0</v>
      </c>
      <c r="S2132" s="4" t="str">
        <f ca="1">_xlfn.IFNA(VLOOKUP(INDIRECT("G"&amp;ROW()),minfo!$A:$M,COLUMN()-8,0),"")</f>
        <v>化身孤岛的鲸</v>
      </c>
      <c r="T2132" s="4">
        <f ca="1">_xlfn.IFNA(VLOOKUP(INDIRECT("G"&amp;ROW()),minfo!$A:$M,COLUMN()-8,0),"")</f>
        <v>156262941</v>
      </c>
      <c r="U2132" s="4">
        <f ca="1">_xlfn.IFNA(VLOOKUP(INDIRECT("G"&amp;ROW()),minfo!$A:$M,COLUMN()-8,0),"")</f>
        <v>0</v>
      </c>
    </row>
    <row r="2133" spans="1:21" ht="15.75" customHeight="1">
      <c r="A2133" s="15">
        <v>2132</v>
      </c>
      <c r="B2133" s="4" t="s">
        <v>6045</v>
      </c>
      <c r="D2133" s="4">
        <v>1</v>
      </c>
      <c r="E2133" s="4" t="s">
        <v>1340</v>
      </c>
      <c r="F2133" s="4" t="s">
        <v>6043</v>
      </c>
      <c r="G2133" s="4" t="s">
        <v>1339</v>
      </c>
      <c r="H2133" s="4" t="s">
        <v>6046</v>
      </c>
      <c r="I2133" s="24" t="str">
        <f>HYPERLINK("https://www.bilibili.com/video/BV1QsbtehEKQ?p=1","BV1QsbtehEKQ?p=1")</f>
        <v>BV1QsbtehEKQ?p=1</v>
      </c>
      <c r="J2133" s="4" t="str">
        <f ca="1">_xlfn.IFNA(VLOOKUP(INDIRECT("G"&amp;ROW()),minfo!$A:$M,COLUMN()-8,0),"")</f>
        <v>天天</v>
      </c>
      <c r="K2133" s="4" t="str">
        <f ca="1">_xlfn.IFNA(VLOOKUP(INDIRECT("G"&amp;ROW()),minfo!$A:$M,COLUMN()-8,0),"")</f>
        <v>陶喆</v>
      </c>
      <c r="L2133" s="4">
        <f ca="1">_xlfn.IFNA(VLOOKUP(INDIRECT("G"&amp;ROW()),minfo!$A:$M,COLUMN()-8,0),"")</f>
        <v>0</v>
      </c>
      <c r="M2133" s="4">
        <f ca="1">_xlfn.IFNA(VLOOKUP(INDIRECT("G"&amp;ROW()),minfo!$A:$M,COLUMN()-8,0),"")</f>
        <v>0</v>
      </c>
      <c r="N2133" s="4">
        <f ca="1">_xlfn.IFNA(VLOOKUP(INDIRECT("G"&amp;ROW()),minfo!$A:$M,COLUMN()-8,0),"")</f>
        <v>0</v>
      </c>
      <c r="O2133" s="4" t="str">
        <f ca="1">_xlfn.IFNA(VLOOKUP(INDIRECT("G"&amp;ROW()),minfo!$A:$M,COLUMN()-8,0),"")</f>
        <v>http://i0.hdslb.com/bfs/station_src/music_metadata/ff6417302beb4146f79dbd4e37c6d317.jpg</v>
      </c>
      <c r="P2133" s="4" t="str">
        <f ca="1">_xlfn.IFNA(VLOOKUP(INDIRECT("G"&amp;ROW()),minfo!$A:$M,COLUMN()-8,0),"")</f>
        <v>http://i0.hdslb.com/bfs/station_src/music_metadata/c93605bfcadefe74f0d5b1a5b6a8db05</v>
      </c>
      <c r="Q2133" s="4">
        <f ca="1">_xlfn.IFNA(VLOOKUP(INDIRECT("G"&amp;ROW()),minfo!$A:$M,COLUMN()-8,0),"")</f>
        <v>535</v>
      </c>
      <c r="R2133" s="4">
        <f ca="1">_xlfn.IFNA(VLOOKUP(INDIRECT("G"&amp;ROW()),minfo!$A:$M,COLUMN()-8,0),"")</f>
        <v>0</v>
      </c>
      <c r="S2133" s="4" t="str">
        <f ca="1">_xlfn.IFNA(VLOOKUP(INDIRECT("G"&amp;ROW()),minfo!$A:$M,COLUMN()-8,0),"")</f>
        <v>I'm OK</v>
      </c>
      <c r="T2133" s="4">
        <f ca="1">_xlfn.IFNA(VLOOKUP(INDIRECT("G"&amp;ROW()),minfo!$A:$M,COLUMN()-8,0),"")</f>
        <v>82012532</v>
      </c>
      <c r="U2133" s="4">
        <f ca="1">_xlfn.IFNA(VLOOKUP(INDIRECT("G"&amp;ROW()),minfo!$A:$M,COLUMN()-8,0),"")</f>
        <v>0</v>
      </c>
    </row>
    <row r="2134" spans="1:21" ht="15.75" customHeight="1">
      <c r="A2134" s="15">
        <v>2133</v>
      </c>
      <c r="B2134" s="4" t="s">
        <v>6047</v>
      </c>
      <c r="D2134" s="4">
        <v>1</v>
      </c>
      <c r="E2134" s="4" t="s">
        <v>462</v>
      </c>
      <c r="F2134" s="4" t="s">
        <v>6043</v>
      </c>
      <c r="G2134" s="4" t="s">
        <v>461</v>
      </c>
      <c r="H2134" s="4" t="s">
        <v>6048</v>
      </c>
      <c r="I2134" s="24" t="str">
        <f>HYPERLINK("https://www.bilibili.com/video/BV1YWbteAELt?p=1","BV1YWbteAELt?p=1")</f>
        <v>BV1YWbteAELt?p=1</v>
      </c>
      <c r="J2134" s="4" t="str">
        <f ca="1">_xlfn.IFNA(VLOOKUP(INDIRECT("G"&amp;ROW()),minfo!$A:$M,COLUMN()-8,0),"")</f>
        <v>人是_</v>
      </c>
      <c r="K2134" s="4" t="str">
        <f ca="1">_xlfn.IFNA(VLOOKUP(INDIRECT("G"&amp;ROW()),minfo!$A:$M,COLUMN()-8,0),"")</f>
        <v>周深</v>
      </c>
      <c r="L2134" s="4">
        <f ca="1">_xlfn.IFNA(VLOOKUP(INDIRECT("G"&amp;ROW()),minfo!$A:$M,COLUMN()-8,0),"")</f>
        <v>0</v>
      </c>
      <c r="M2134" s="4">
        <f ca="1">_xlfn.IFNA(VLOOKUP(INDIRECT("G"&amp;ROW()),minfo!$A:$M,COLUMN()-8,0),"")</f>
        <v>315938</v>
      </c>
      <c r="N2134" s="4">
        <f ca="1">_xlfn.IFNA(VLOOKUP(INDIRECT("G"&amp;ROW()),minfo!$A:$M,COLUMN()-8,0),"")</f>
        <v>67117</v>
      </c>
      <c r="O2134" s="4" t="str">
        <f ca="1">_xlfn.IFNA(VLOOKUP(INDIRECT("G"&amp;ROW()),minfo!$A:$M,COLUMN()-8,0),"")</f>
        <v>https://i0.hdslb.com/bfs/station_src/music_metadata/cbc6b9595b8d8ddf3be5a4600fe4ee1f.jpg</v>
      </c>
      <c r="P2134" s="4">
        <f ca="1">_xlfn.IFNA(VLOOKUP(INDIRECT("G"&amp;ROW()),minfo!$A:$M,COLUMN()-8,0),"")</f>
        <v>0</v>
      </c>
      <c r="Q2134" s="4">
        <f ca="1">_xlfn.IFNA(VLOOKUP(INDIRECT("G"&amp;ROW()),minfo!$A:$M,COLUMN()-8,0),"")</f>
        <v>831</v>
      </c>
      <c r="R2134" s="4">
        <f ca="1">_xlfn.IFNA(VLOOKUP(INDIRECT("G"&amp;ROW()),minfo!$A:$M,COLUMN()-8,0),"")</f>
        <v>0</v>
      </c>
      <c r="S2134" s="4" t="str">
        <f ca="1">_xlfn.IFNA(VLOOKUP(INDIRECT("G"&amp;ROW()),minfo!$A:$M,COLUMN()-8,0),"")</f>
        <v>人是_</v>
      </c>
      <c r="T2134" s="4">
        <f ca="1">_xlfn.IFNA(VLOOKUP(INDIRECT("G"&amp;ROW()),minfo!$A:$M,COLUMN()-8,0),"")</f>
        <v>80359568</v>
      </c>
      <c r="U2134" s="4" t="str">
        <f ca="1">_xlfn.IFNA(VLOOKUP(INDIRECT("G"&amp;ROW()),minfo!$A:$M,COLUMN()-8,0),"")</f>
        <v>音乐榜最高NO.8</v>
      </c>
    </row>
    <row r="2135" spans="1:21" ht="15.75" customHeight="1">
      <c r="A2135" s="15">
        <v>2134</v>
      </c>
      <c r="B2135" s="4" t="s">
        <v>6049</v>
      </c>
      <c r="D2135" s="4">
        <v>1</v>
      </c>
      <c r="E2135" s="4" t="s">
        <v>3973</v>
      </c>
      <c r="F2135" s="4" t="s">
        <v>6043</v>
      </c>
      <c r="G2135" s="4" t="s">
        <v>1265</v>
      </c>
      <c r="H2135" s="4" t="s">
        <v>6050</v>
      </c>
      <c r="I2135" s="24" t="str">
        <f>HYPERLINK("https://www.bilibili.com/video/BV1XWbtewEGF?p=1","BV1XWbtewEGF?p=1")</f>
        <v>BV1XWbtewEGF?p=1</v>
      </c>
      <c r="J2135" s="4" t="str">
        <f ca="1">_xlfn.IFNA(VLOOKUP(INDIRECT("G"&amp;ROW()),minfo!$A:$M,COLUMN()-8,0),"")</f>
        <v>Reflection</v>
      </c>
      <c r="K2135" s="4" t="str">
        <f ca="1">_xlfn.IFNA(VLOOKUP(INDIRECT("G"&amp;ROW()),minfo!$A:$M,COLUMN()-8,0),"")</f>
        <v>Christina Aguilera</v>
      </c>
      <c r="L2135" s="4">
        <f ca="1">_xlfn.IFNA(VLOOKUP(INDIRECT("G"&amp;ROW()),minfo!$A:$M,COLUMN()-8,0),"")</f>
        <v>0</v>
      </c>
      <c r="M2135" s="4">
        <f ca="1">_xlfn.IFNA(VLOOKUP(INDIRECT("G"&amp;ROW()),minfo!$A:$M,COLUMN()-8,0),"")</f>
        <v>0</v>
      </c>
      <c r="N2135" s="4">
        <f ca="1">_xlfn.IFNA(VLOOKUP(INDIRECT("G"&amp;ROW()),minfo!$A:$M,COLUMN()-8,0),"")</f>
        <v>0</v>
      </c>
      <c r="O2135" s="4" t="str">
        <f ca="1">_xlfn.IFNA(VLOOKUP(INDIRECT("G"&amp;ROW()),minfo!$A:$M,COLUMN()-8,0),"")</f>
        <v>https://i0.hdslb.com/bfs/station_src/music_metadata/0d7f271e6f2c08fc7ca8314568eac002.jpg</v>
      </c>
      <c r="P2135" s="4" t="str">
        <f ca="1">_xlfn.IFNA(VLOOKUP(INDIRECT("G"&amp;ROW()),minfo!$A:$M,COLUMN()-8,0),"")</f>
        <v>https://i0.hdslb.com/bfs/station_src/music_metadata/bd734f3bc162e7d8c76d4cf3e4b594c3.txt</v>
      </c>
      <c r="Q2135" s="4">
        <f ca="1">_xlfn.IFNA(VLOOKUP(INDIRECT("G"&amp;ROW()),minfo!$A:$M,COLUMN()-8,0),"")</f>
        <v>64</v>
      </c>
      <c r="R2135" s="4" t="str">
        <f ca="1">_xlfn.IFNA(VLOOKUP(INDIRECT("G"&amp;ROW()),minfo!$A:$M,COLUMN()-8,0),"")</f>
        <v>动画电影《花木兰》主题曲</v>
      </c>
      <c r="S2135" s="4" t="str">
        <f ca="1">_xlfn.IFNA(VLOOKUP(INDIRECT("G"&amp;ROW()),minfo!$A:$M,COLUMN()-8,0),"")</f>
        <v>Princess Disneymania</v>
      </c>
      <c r="T2135" s="4">
        <f ca="1">_xlfn.IFNA(VLOOKUP(INDIRECT("G"&amp;ROW()),minfo!$A:$M,COLUMN()-8,0),"")</f>
        <v>15785405</v>
      </c>
      <c r="U2135" s="4">
        <f ca="1">_xlfn.IFNA(VLOOKUP(INDIRECT("G"&amp;ROW()),minfo!$A:$M,COLUMN()-8,0),"")</f>
        <v>0</v>
      </c>
    </row>
    <row r="2136" spans="1:21" ht="15.75" customHeight="1">
      <c r="A2136" s="15">
        <v>2135</v>
      </c>
      <c r="B2136" s="4" t="s">
        <v>6051</v>
      </c>
      <c r="D2136" s="4">
        <v>1</v>
      </c>
      <c r="E2136" s="4" t="s">
        <v>1259</v>
      </c>
      <c r="F2136" s="4" t="s">
        <v>6043</v>
      </c>
      <c r="G2136" s="4" t="s">
        <v>1258</v>
      </c>
      <c r="H2136" s="4" t="s">
        <v>6052</v>
      </c>
      <c r="I2136" s="24" t="str">
        <f>HYPERLINK("https://www.bilibili.com/video/BV1gtbte8Eez?p=1","BV1gtbte8Eez?p=1")</f>
        <v>BV1gtbte8Eez?p=1</v>
      </c>
      <c r="J2136" s="4" t="str">
        <f ca="1">_xlfn.IFNA(VLOOKUP(INDIRECT("G"&amp;ROW()),minfo!$A:$M,COLUMN()-8,0),"")</f>
        <v>想你的365天</v>
      </c>
      <c r="K2136" s="4" t="str">
        <f ca="1">_xlfn.IFNA(VLOOKUP(INDIRECT("G"&amp;ROW()),minfo!$A:$M,COLUMN()-8,0),"")</f>
        <v>CoCo李玟</v>
      </c>
      <c r="L2136" s="4">
        <f ca="1">_xlfn.IFNA(VLOOKUP(INDIRECT("G"&amp;ROW()),minfo!$A:$M,COLUMN()-8,0),"")</f>
        <v>0</v>
      </c>
      <c r="M2136" s="4">
        <f ca="1">_xlfn.IFNA(VLOOKUP(INDIRECT("G"&amp;ROW()),minfo!$A:$M,COLUMN()-8,0),"")</f>
        <v>0</v>
      </c>
      <c r="N2136" s="4">
        <f ca="1">_xlfn.IFNA(VLOOKUP(INDIRECT("G"&amp;ROW()),minfo!$A:$M,COLUMN()-8,0),"")</f>
        <v>0</v>
      </c>
      <c r="O2136" s="4" t="str">
        <f ca="1">_xlfn.IFNA(VLOOKUP(INDIRECT("G"&amp;ROW()),minfo!$A:$M,COLUMN()-8,0),"")</f>
        <v>http://i0.hdslb.com/bfs/station_src/music_metadata/7e0fc3a65347dff7ca5325dcea0c423c.jpg</v>
      </c>
      <c r="P2136" s="4" t="str">
        <f ca="1">_xlfn.IFNA(VLOOKUP(INDIRECT("G"&amp;ROW()),minfo!$A:$M,COLUMN()-8,0),"")</f>
        <v>http://i0.hdslb.com/bfs/station_src/music_metadata/df04ab256bcc74775cd5bcfba9597cb4</v>
      </c>
      <c r="Q2136" s="4">
        <f ca="1">_xlfn.IFNA(VLOOKUP(INDIRECT("G"&amp;ROW()),minfo!$A:$M,COLUMN()-8,0),"")</f>
        <v>408</v>
      </c>
      <c r="R2136" s="4">
        <f ca="1">_xlfn.IFNA(VLOOKUP(INDIRECT("G"&amp;ROW()),minfo!$A:$M,COLUMN()-8,0),"")</f>
        <v>0</v>
      </c>
      <c r="S2136" s="4" t="str">
        <f ca="1">_xlfn.IFNA(VLOOKUP(INDIRECT("G"&amp;ROW()),minfo!$A:$M,COLUMN()-8,0),"")</f>
        <v>碰碰看爱情</v>
      </c>
      <c r="T2136" s="4">
        <f ca="1">_xlfn.IFNA(VLOOKUP(INDIRECT("G"&amp;ROW()),minfo!$A:$M,COLUMN()-8,0),"")</f>
        <v>82776763</v>
      </c>
      <c r="U2136" s="4" t="str">
        <f ca="1">_xlfn.IFNA(VLOOKUP(INDIRECT("G"&amp;ROW()),minfo!$A:$M,COLUMN()-8,0),"")</f>
        <v>音乐榜最高NO.9</v>
      </c>
    </row>
    <row r="2137" spans="1:21" ht="15.75" customHeight="1">
      <c r="A2137" s="15">
        <v>2136</v>
      </c>
      <c r="B2137" s="4" t="s">
        <v>6053</v>
      </c>
      <c r="D2137" s="4">
        <v>1</v>
      </c>
      <c r="E2137" s="4" t="s">
        <v>380</v>
      </c>
      <c r="F2137" s="4" t="s">
        <v>6054</v>
      </c>
      <c r="G2137" s="4" t="s">
        <v>379</v>
      </c>
      <c r="H2137" s="4" t="s">
        <v>6055</v>
      </c>
      <c r="I2137" s="24" t="str">
        <f>HYPERLINK("https://www.bilibili.com/video/BV1ZqbMeDEwg?p=1","BV1ZqbMeDEwg?p=1")</f>
        <v>BV1ZqbMeDEwg?p=1</v>
      </c>
      <c r="J2137" s="4" t="str">
        <f ca="1">_xlfn.IFNA(VLOOKUP(INDIRECT("G"&amp;ROW()),minfo!$A:$M,COLUMN()-8,0),"")</f>
        <v>等你下课</v>
      </c>
      <c r="K2137" s="4" t="str">
        <f ca="1">_xlfn.IFNA(VLOOKUP(INDIRECT("G"&amp;ROW()),minfo!$A:$M,COLUMN()-8,0),"")</f>
        <v>周杰伦</v>
      </c>
      <c r="L2137" s="4">
        <f ca="1">_xlfn.IFNA(VLOOKUP(INDIRECT("G"&amp;ROW()),minfo!$A:$M,COLUMN()-8,0),"")</f>
        <v>0</v>
      </c>
      <c r="M2137" s="4">
        <f ca="1">_xlfn.IFNA(VLOOKUP(INDIRECT("G"&amp;ROW()),minfo!$A:$M,COLUMN()-8,0),"")</f>
        <v>80914</v>
      </c>
      <c r="N2137" s="4">
        <f ca="1">_xlfn.IFNA(VLOOKUP(INDIRECT("G"&amp;ROW()),minfo!$A:$M,COLUMN()-8,0),"")</f>
        <v>13096</v>
      </c>
      <c r="O2137" s="4" t="str">
        <f ca="1">_xlfn.IFNA(VLOOKUP(INDIRECT("G"&amp;ROW()),minfo!$A:$M,COLUMN()-8,0),"")</f>
        <v>https://i0.hdslb.com/bfs/station_src/music_metadata/daceac43659e7f7f6326c1570b657381.jpg</v>
      </c>
      <c r="P2137" s="4" t="str">
        <f ca="1">_xlfn.IFNA(VLOOKUP(INDIRECT("G"&amp;ROW()),minfo!$A:$M,COLUMN()-8,0),"")</f>
        <v>http://i0.hdslb.com/bfs/station_src/music_metadata/1b827e689cae1db38482c44b47c8737a</v>
      </c>
      <c r="Q2137" s="4">
        <f ca="1">_xlfn.IFNA(VLOOKUP(INDIRECT("G"&amp;ROW()),minfo!$A:$M,COLUMN()-8,0),"")</f>
        <v>2038</v>
      </c>
      <c r="R2137" s="4">
        <f ca="1">_xlfn.IFNA(VLOOKUP(INDIRECT("G"&amp;ROW()),minfo!$A:$M,COLUMN()-8,0),"")</f>
        <v>0</v>
      </c>
      <c r="S2137" s="4" t="str">
        <f ca="1">_xlfn.IFNA(VLOOKUP(INDIRECT("G"&amp;ROW()),minfo!$A:$M,COLUMN()-8,0),"")</f>
        <v>等你下课</v>
      </c>
      <c r="T2137" s="4">
        <f ca="1">_xlfn.IFNA(VLOOKUP(INDIRECT("G"&amp;ROW()),minfo!$A:$M,COLUMN()-8,0),"")</f>
        <v>419569575</v>
      </c>
      <c r="U2137" s="4">
        <f ca="1">_xlfn.IFNA(VLOOKUP(INDIRECT("G"&amp;ROW()),minfo!$A:$M,COLUMN()-8,0),"")</f>
        <v>0</v>
      </c>
    </row>
    <row r="2138" spans="1:21" ht="15.75" customHeight="1">
      <c r="A2138" s="15">
        <v>2137</v>
      </c>
      <c r="B2138" s="4" t="s">
        <v>6056</v>
      </c>
      <c r="D2138" s="4">
        <v>1</v>
      </c>
      <c r="E2138" s="4" t="s">
        <v>640</v>
      </c>
      <c r="F2138" s="4" t="s">
        <v>6054</v>
      </c>
      <c r="G2138" s="4" t="s">
        <v>838</v>
      </c>
      <c r="H2138" s="4" t="s">
        <v>6057</v>
      </c>
      <c r="I2138" s="24" t="str">
        <f>HYPERLINK("https://www.bilibili.com/video/BV1EqbMeQEes?p=1","BV1EqbMeQEes?p=1")</f>
        <v>BV1EqbMeQEes?p=1</v>
      </c>
      <c r="J2138" s="4" t="str">
        <f ca="1">_xlfn.IFNA(VLOOKUP(INDIRECT("G"&amp;ROW()),minfo!$A:$M,COLUMN()-8,0),"")</f>
        <v>七里香</v>
      </c>
      <c r="K2138" s="4" t="str">
        <f ca="1">_xlfn.IFNA(VLOOKUP(INDIRECT("G"&amp;ROW()),minfo!$A:$M,COLUMN()-8,0),"")</f>
        <v>周杰伦</v>
      </c>
      <c r="L2138" s="4">
        <f ca="1">_xlfn.IFNA(VLOOKUP(INDIRECT("G"&amp;ROW()),minfo!$A:$M,COLUMN()-8,0),"")</f>
        <v>0</v>
      </c>
      <c r="M2138" s="4">
        <f ca="1">_xlfn.IFNA(VLOOKUP(INDIRECT("G"&amp;ROW()),minfo!$A:$M,COLUMN()-8,0),"")</f>
        <v>6714</v>
      </c>
      <c r="N2138" s="4">
        <f ca="1">_xlfn.IFNA(VLOOKUP(INDIRECT("G"&amp;ROW()),minfo!$A:$M,COLUMN()-8,0),"")</f>
        <v>200</v>
      </c>
      <c r="O2138" s="4" t="str">
        <f ca="1">_xlfn.IFNA(VLOOKUP(INDIRECT("G"&amp;ROW()),minfo!$A:$M,COLUMN()-8,0),"")</f>
        <v>https://i0.hdslb.com/bfs/station_src/music_metadata/cc542b9d467cfc48aecb420fa38f29a5.jpg</v>
      </c>
      <c r="P2138" s="4">
        <f ca="1">_xlfn.IFNA(VLOOKUP(INDIRECT("G"&amp;ROW()),minfo!$A:$M,COLUMN()-8,0),"")</f>
        <v>0</v>
      </c>
      <c r="Q2138" s="4">
        <f ca="1">_xlfn.IFNA(VLOOKUP(INDIRECT("G"&amp;ROW()),minfo!$A:$M,COLUMN()-8,0),"")</f>
        <v>13878</v>
      </c>
      <c r="R2138" s="4">
        <f ca="1">_xlfn.IFNA(VLOOKUP(INDIRECT("G"&amp;ROW()),minfo!$A:$M,COLUMN()-8,0),"")</f>
        <v>0</v>
      </c>
      <c r="S2138" s="4" t="str">
        <f ca="1">_xlfn.IFNA(VLOOKUP(INDIRECT("G"&amp;ROW()),minfo!$A:$M,COLUMN()-8,0),"")</f>
        <v>七里香</v>
      </c>
      <c r="T2138" s="4">
        <f ca="1">_xlfn.IFNA(VLOOKUP(INDIRECT("G"&amp;ROW()),minfo!$A:$M,COLUMN()-8,0),"")</f>
        <v>1124988076</v>
      </c>
      <c r="U2138" s="4" t="str">
        <f ca="1">_xlfn.IFNA(VLOOKUP(INDIRECT("G"&amp;ROW()),minfo!$A:$M,COLUMN()-8,0),"")</f>
        <v>音乐榜最高NO.17</v>
      </c>
    </row>
    <row r="2139" spans="1:21" ht="15.75" customHeight="1">
      <c r="A2139" s="15">
        <v>2138</v>
      </c>
      <c r="B2139" s="4" t="s">
        <v>6058</v>
      </c>
      <c r="D2139" s="4">
        <v>1</v>
      </c>
      <c r="E2139" s="4" t="s">
        <v>6059</v>
      </c>
      <c r="F2139" s="4" t="s">
        <v>6054</v>
      </c>
      <c r="G2139" s="4" t="s">
        <v>3436</v>
      </c>
      <c r="H2139" s="4" t="s">
        <v>6060</v>
      </c>
      <c r="I2139" s="24" t="str">
        <f>HYPERLINK("https://www.bilibili.com/video/BV1w8bMe4ErB?p=1","BV1w8bMe4ErB?p=1")</f>
        <v>BV1w8bMe4ErB?p=1</v>
      </c>
      <c r="J2139" s="4" t="str">
        <f ca="1">_xlfn.IFNA(VLOOKUP(INDIRECT("G"&amp;ROW()),minfo!$A:$M,COLUMN()-8,0),"")</f>
        <v>生生</v>
      </c>
      <c r="K2139" s="4" t="str">
        <f ca="1">_xlfn.IFNA(VLOOKUP(INDIRECT("G"&amp;ROW()),minfo!$A:$M,COLUMN()-8,0),"")</f>
        <v>林俊杰</v>
      </c>
      <c r="L2139" s="4">
        <f ca="1">_xlfn.IFNA(VLOOKUP(INDIRECT("G"&amp;ROW()),minfo!$A:$M,COLUMN()-8,0),"")</f>
        <v>0</v>
      </c>
      <c r="M2139" s="4">
        <f ca="1">_xlfn.IFNA(VLOOKUP(INDIRECT("G"&amp;ROW()),minfo!$A:$M,COLUMN()-8,0),"")</f>
        <v>0</v>
      </c>
      <c r="N2139" s="4">
        <f ca="1">_xlfn.IFNA(VLOOKUP(INDIRECT("G"&amp;ROW()),minfo!$A:$M,COLUMN()-8,0),"")</f>
        <v>0</v>
      </c>
      <c r="O2139" s="4" t="str">
        <f ca="1">_xlfn.IFNA(VLOOKUP(INDIRECT("G"&amp;ROW()),minfo!$A:$M,COLUMN()-8,0),"")</f>
        <v>https://i0.hdslb.com/bfs/station_src/music_metadata/d6610412bdf71b8895f0cf1fbd7aab05.jpg</v>
      </c>
      <c r="P2139" s="4" t="str">
        <f ca="1">_xlfn.IFNA(VLOOKUP(INDIRECT("G"&amp;ROW()),minfo!$A:$M,COLUMN()-8,0),"")</f>
        <v>http://i0.hdslb.com/bfs/station_src/music_metadata/6efc6eb61769eb7a7104263b1c3622f8</v>
      </c>
      <c r="Q2139" s="4">
        <f ca="1">_xlfn.IFNA(VLOOKUP(INDIRECT("G"&amp;ROW()),minfo!$A:$M,COLUMN()-8,0),"")</f>
        <v>145</v>
      </c>
      <c r="R2139" s="4">
        <f ca="1">_xlfn.IFNA(VLOOKUP(INDIRECT("G"&amp;ROW()),minfo!$A:$M,COLUMN()-8,0),"")</f>
        <v>0</v>
      </c>
      <c r="S2139" s="4" t="str">
        <f ca="1">_xlfn.IFNA(VLOOKUP(INDIRECT("G"&amp;ROW()),minfo!$A:$M,COLUMN()-8,0),"")</f>
        <v>新地球</v>
      </c>
      <c r="T2139" s="4">
        <f ca="1">_xlfn.IFNA(VLOOKUP(INDIRECT("G"&amp;ROW()),minfo!$A:$M,COLUMN()-8,0),"")</f>
        <v>57152134</v>
      </c>
      <c r="U2139" s="4">
        <f ca="1">_xlfn.IFNA(VLOOKUP(INDIRECT("G"&amp;ROW()),minfo!$A:$M,COLUMN()-8,0),"")</f>
        <v>0</v>
      </c>
    </row>
    <row r="2140" spans="1:21" ht="15.75" customHeight="1">
      <c r="A2140" s="15">
        <v>2139</v>
      </c>
      <c r="B2140" s="4" t="s">
        <v>5955</v>
      </c>
      <c r="D2140" s="4">
        <v>1</v>
      </c>
      <c r="E2140" s="4" t="s">
        <v>1820</v>
      </c>
      <c r="F2140" s="4" t="s">
        <v>6054</v>
      </c>
      <c r="G2140" s="4" t="s">
        <v>1819</v>
      </c>
      <c r="H2140" s="4" t="s">
        <v>6061</v>
      </c>
      <c r="I2140" s="24" t="str">
        <f>HYPERLINK("https://www.bilibili.com/video/BV1c8bMe4EqP?p=1","BV1c8bMe4EqP?p=1")</f>
        <v>BV1c8bMe4EqP?p=1</v>
      </c>
      <c r="J2140" s="4" t="str">
        <f ca="1">_xlfn.IFNA(VLOOKUP(INDIRECT("G"&amp;ROW()),minfo!$A:$M,COLUMN()-8,0),"")</f>
        <v>愿与愁</v>
      </c>
      <c r="K2140" s="4" t="str">
        <f ca="1">_xlfn.IFNA(VLOOKUP(INDIRECT("G"&amp;ROW()),minfo!$A:$M,COLUMN()-8,0),"")</f>
        <v>林俊杰</v>
      </c>
      <c r="L2140" s="4">
        <f ca="1">_xlfn.IFNA(VLOOKUP(INDIRECT("G"&amp;ROW()),minfo!$A:$M,COLUMN()-8,0),"")</f>
        <v>0</v>
      </c>
      <c r="M2140" s="4">
        <f ca="1">_xlfn.IFNA(VLOOKUP(INDIRECT("G"&amp;ROW()),minfo!$A:$M,COLUMN()-8,0),"")</f>
        <v>0</v>
      </c>
      <c r="N2140" s="4">
        <f ca="1">_xlfn.IFNA(VLOOKUP(INDIRECT("G"&amp;ROW()),minfo!$A:$M,COLUMN()-8,0),"")</f>
        <v>0</v>
      </c>
      <c r="O2140" s="4" t="str">
        <f ca="1">_xlfn.IFNA(VLOOKUP(INDIRECT("G"&amp;ROW()),minfo!$A:$M,COLUMN()-8,0),"")</f>
        <v>http://i0.hdslb.com/bfs/station_src/music_metadata/31e1ef9935ac8acbe46418fc5f53f699.jpg</v>
      </c>
      <c r="P2140" s="4" t="str">
        <f ca="1">_xlfn.IFNA(VLOOKUP(INDIRECT("G"&amp;ROW()),minfo!$A:$M,COLUMN()-8,0),"")</f>
        <v>lyric/2023-04-29_2023-04-29_愿与愁.txt</v>
      </c>
      <c r="Q2140" s="4">
        <f ca="1">_xlfn.IFNA(VLOOKUP(INDIRECT("G"&amp;ROW()),minfo!$A:$M,COLUMN()-8,0),"")</f>
        <v>2</v>
      </c>
      <c r="R2140" s="4">
        <f ca="1">_xlfn.IFNA(VLOOKUP(INDIRECT("G"&amp;ROW()),minfo!$A:$M,COLUMN()-8,0),"")</f>
        <v>0</v>
      </c>
      <c r="S2140" s="4" t="str">
        <f ca="1">_xlfn.IFNA(VLOOKUP(INDIRECT("G"&amp;ROW()),minfo!$A:$M,COLUMN()-8,0),"")</f>
        <v>重拾_快乐</v>
      </c>
      <c r="T2140" s="4">
        <f ca="1">_xlfn.IFNA(VLOOKUP(INDIRECT("G"&amp;ROW()),minfo!$A:$M,COLUMN()-8,0),"")</f>
        <v>3053937</v>
      </c>
      <c r="U2140" s="4">
        <f ca="1">_xlfn.IFNA(VLOOKUP(INDIRECT("G"&amp;ROW()),minfo!$A:$M,COLUMN()-8,0),"")</f>
        <v>0</v>
      </c>
    </row>
    <row r="2141" spans="1:21" ht="15.75" customHeight="1">
      <c r="A2141" s="15">
        <v>2140</v>
      </c>
      <c r="B2141" s="4" t="s">
        <v>6062</v>
      </c>
      <c r="D2141" s="4">
        <v>1</v>
      </c>
      <c r="E2141" s="4" t="s">
        <v>342</v>
      </c>
      <c r="F2141" s="4" t="s">
        <v>6054</v>
      </c>
      <c r="G2141" s="4" t="s">
        <v>341</v>
      </c>
      <c r="H2141" s="4" t="s">
        <v>6063</v>
      </c>
      <c r="I2141" s="24" t="str">
        <f>HYPERLINK("https://www.bilibili.com/video/BV1cYbMesEL5?p=1","BV1cYbMesEL5?p=1")</f>
        <v>BV1cYbMesEL5?p=1</v>
      </c>
      <c r="J2141" s="4" t="str">
        <f ca="1">_xlfn.IFNA(VLOOKUP(INDIRECT("G"&amp;ROW()),minfo!$A:$M,COLUMN()-8,0),"")</f>
        <v>灯火里的中国</v>
      </c>
      <c r="K2141" s="4" t="str">
        <f ca="1">_xlfn.IFNA(VLOOKUP(INDIRECT("G"&amp;ROW()),minfo!$A:$M,COLUMN()-8,0),"")</f>
        <v>张也 / 周深</v>
      </c>
      <c r="L2141" s="4">
        <f ca="1">_xlfn.IFNA(VLOOKUP(INDIRECT("G"&amp;ROW()),minfo!$A:$M,COLUMN()-8,0),"")</f>
        <v>0</v>
      </c>
      <c r="M2141" s="4">
        <f ca="1">_xlfn.IFNA(VLOOKUP(INDIRECT("G"&amp;ROW()),minfo!$A:$M,COLUMN()-8,0),"")</f>
        <v>0</v>
      </c>
      <c r="N2141" s="4">
        <f ca="1">_xlfn.IFNA(VLOOKUP(INDIRECT("G"&amp;ROW()),minfo!$A:$M,COLUMN()-8,0),"")</f>
        <v>0</v>
      </c>
      <c r="O2141" s="4" t="str">
        <f ca="1">_xlfn.IFNA(VLOOKUP(INDIRECT("G"&amp;ROW()),minfo!$A:$M,COLUMN()-8,0),"")</f>
        <v>http://i0.hdslb.com/bfs/station_src/music_metadata/0924bf85b82fa62dfcdce38ffb74da1a.jpg</v>
      </c>
      <c r="P2141" s="4" t="str">
        <f ca="1">_xlfn.IFNA(VLOOKUP(INDIRECT("G"&amp;ROW()),minfo!$A:$M,COLUMN()-8,0),"")</f>
        <v>http://i0.hdslb.com/bfs/station_src/music_metadata/6398db62f5d229235035926dbc914370</v>
      </c>
      <c r="Q2141" s="4">
        <f ca="1">_xlfn.IFNA(VLOOKUP(INDIRECT("G"&amp;ROW()),minfo!$A:$M,COLUMN()-8,0),"")</f>
        <v>620</v>
      </c>
      <c r="R2141" s="4">
        <f ca="1">_xlfn.IFNA(VLOOKUP(INDIRECT("G"&amp;ROW()),minfo!$A:$M,COLUMN()-8,0),"")</f>
        <v>0</v>
      </c>
      <c r="S2141" s="4">
        <f ca="1">_xlfn.IFNA(VLOOKUP(INDIRECT("G"&amp;ROW()),minfo!$A:$M,COLUMN()-8,0),"")</f>
        <v>0</v>
      </c>
      <c r="T2141" s="4">
        <f ca="1">_xlfn.IFNA(VLOOKUP(INDIRECT("G"&amp;ROW()),minfo!$A:$M,COLUMN()-8,0),"")</f>
        <v>86381272</v>
      </c>
      <c r="U2141" s="4">
        <f ca="1">_xlfn.IFNA(VLOOKUP(INDIRECT("G"&amp;ROW()),minfo!$A:$M,COLUMN()-8,0),"")</f>
        <v>0</v>
      </c>
    </row>
    <row r="2142" spans="1:21" ht="15.75" customHeight="1">
      <c r="A2142" s="15">
        <v>2141</v>
      </c>
      <c r="B2142" s="4" t="s">
        <v>6064</v>
      </c>
      <c r="D2142" s="4">
        <v>1</v>
      </c>
      <c r="E2142" s="4" t="s">
        <v>934</v>
      </c>
      <c r="F2142" s="4" t="s">
        <v>6054</v>
      </c>
      <c r="G2142" s="4" t="s">
        <v>933</v>
      </c>
      <c r="H2142" s="4" t="s">
        <v>6065</v>
      </c>
      <c r="I2142" s="24" t="str">
        <f>HYPERLINK("https://www.bilibili.com/video/BV1AtbMeZENJ?p=1","BV1AtbMeZENJ?p=1")</f>
        <v>BV1AtbMeZENJ?p=1</v>
      </c>
      <c r="J2142" s="4" t="str">
        <f ca="1">_xlfn.IFNA(VLOOKUP(INDIRECT("G"&amp;ROW()),minfo!$A:$M,COLUMN()-8,0),"")</f>
        <v>敕勒歌</v>
      </c>
      <c r="K2142" s="4" t="str">
        <f ca="1">_xlfn.IFNA(VLOOKUP(INDIRECT("G"&amp;ROW()),minfo!$A:$M,COLUMN()-8,0),"")</f>
        <v>谭维维</v>
      </c>
      <c r="L2142" s="4">
        <f ca="1">_xlfn.IFNA(VLOOKUP(INDIRECT("G"&amp;ROW()),minfo!$A:$M,COLUMN()-8,0),"")</f>
        <v>0</v>
      </c>
      <c r="M2142" s="4">
        <f ca="1">_xlfn.IFNA(VLOOKUP(INDIRECT("G"&amp;ROW()),minfo!$A:$M,COLUMN()-8,0),"")</f>
        <v>0</v>
      </c>
      <c r="N2142" s="4">
        <f ca="1">_xlfn.IFNA(VLOOKUP(INDIRECT("G"&amp;ROW()),minfo!$A:$M,COLUMN()-8,0),"")</f>
        <v>0</v>
      </c>
      <c r="O2142" s="4" t="str">
        <f ca="1">_xlfn.IFNA(VLOOKUP(INDIRECT("G"&amp;ROW()),minfo!$A:$M,COLUMN()-8,0),"")</f>
        <v>https://i0.hdslb.com/bfs/station_src/music_metadata/4633e67685206de0672cc528709e3e2f.jpg</v>
      </c>
      <c r="P2142" s="4" t="str">
        <f ca="1">_xlfn.IFNA(VLOOKUP(INDIRECT("G"&amp;ROW()),minfo!$A:$M,COLUMN()-8,0),"")</f>
        <v>https://i0.hdslb.com/bfs/station_src/music_metadata/dff7d3073b6cc36766c38942f1f4cf16.txt</v>
      </c>
      <c r="Q2142" s="4">
        <f ca="1">_xlfn.IFNA(VLOOKUP(INDIRECT("G"&amp;ROW()),minfo!$A:$M,COLUMN()-8,0),"")</f>
        <v>382</v>
      </c>
      <c r="R2142" s="4">
        <f ca="1">_xlfn.IFNA(VLOOKUP(INDIRECT("G"&amp;ROW()),minfo!$A:$M,COLUMN()-8,0),"")</f>
        <v>0</v>
      </c>
      <c r="S2142" s="4" t="str">
        <f ca="1">_xlfn.IFNA(VLOOKUP(INDIRECT("G"&amp;ROW()),minfo!$A:$M,COLUMN()-8,0),"")</f>
        <v>经典咏流传第二季 第六期</v>
      </c>
      <c r="T2142" s="4">
        <f ca="1">_xlfn.IFNA(VLOOKUP(INDIRECT("G"&amp;ROW()),minfo!$A:$M,COLUMN()-8,0),"")</f>
        <v>19549830</v>
      </c>
      <c r="U2142" s="4">
        <f ca="1">_xlfn.IFNA(VLOOKUP(INDIRECT("G"&amp;ROW()),minfo!$A:$M,COLUMN()-8,0),"")</f>
        <v>0</v>
      </c>
    </row>
    <row r="2143" spans="1:21" ht="15.75" customHeight="1">
      <c r="A2143" s="15">
        <v>2142</v>
      </c>
      <c r="B2143" s="4" t="s">
        <v>6066</v>
      </c>
      <c r="D2143" s="4">
        <v>1</v>
      </c>
      <c r="E2143" s="4" t="s">
        <v>3441</v>
      </c>
      <c r="F2143" s="4" t="s">
        <v>6054</v>
      </c>
      <c r="G2143" s="4" t="s">
        <v>3440</v>
      </c>
      <c r="H2143" s="4" t="s">
        <v>6067</v>
      </c>
      <c r="I2143" s="24" t="str">
        <f>HYPERLINK("https://www.bilibili.com/video/BV1chbMedEnV?p=1","BV1chbMedEnV?p=1")</f>
        <v>BV1chbMedEnV?p=1</v>
      </c>
      <c r="J2143" s="4" t="str">
        <f ca="1">_xlfn.IFNA(VLOOKUP(INDIRECT("G"&amp;ROW()),minfo!$A:$M,COLUMN()-8,0),"")</f>
        <v>冻结</v>
      </c>
      <c r="K2143" s="4" t="str">
        <f ca="1">_xlfn.IFNA(VLOOKUP(INDIRECT("G"&amp;ROW()),minfo!$A:$M,COLUMN()-8,0),"")</f>
        <v>林俊杰</v>
      </c>
      <c r="L2143" s="4" t="str">
        <f ca="1">_xlfn.IFNA(VLOOKUP(INDIRECT("G"&amp;ROW()),minfo!$A:$M,COLUMN()-8,0),"")</f>
        <v>BV1HZ4y1w7y9</v>
      </c>
      <c r="M2143" s="4">
        <f ca="1">_xlfn.IFNA(VLOOKUP(INDIRECT("G"&amp;ROW()),minfo!$A:$M,COLUMN()-8,0),"")</f>
        <v>28</v>
      </c>
      <c r="N2143" s="4">
        <f ca="1">_xlfn.IFNA(VLOOKUP(INDIRECT("G"&amp;ROW()),minfo!$A:$M,COLUMN()-8,0),"")</f>
        <v>4</v>
      </c>
      <c r="O2143" s="4" t="str">
        <f ca="1">_xlfn.IFNA(VLOOKUP(INDIRECT("G"&amp;ROW()),minfo!$A:$M,COLUMN()-8,0),"")</f>
        <v>http://i1.hdslb.com/bfs/archive/f4ad479e0ca7777004e495b82f8e77de4ee1b80c.jpg</v>
      </c>
      <c r="P2143" s="4">
        <f ca="1">_xlfn.IFNA(VLOOKUP(INDIRECT("G"&amp;ROW()),minfo!$A:$M,COLUMN()-8,0),"")</f>
        <v>0</v>
      </c>
      <c r="Q2143" s="4">
        <f ca="1">_xlfn.IFNA(VLOOKUP(INDIRECT("G"&amp;ROW()),minfo!$A:$M,COLUMN()-8,0),"")</f>
        <v>170</v>
      </c>
      <c r="R2143" s="4" t="str">
        <f ca="1">_xlfn.IFNA(VLOOKUP(INDIRECT("G"&amp;ROW()),minfo!$A:$M,COLUMN()-8,0),"")</f>
        <v>冻结</v>
      </c>
      <c r="S2143" s="4" t="str">
        <f ca="1">_xlfn.IFNA(VLOOKUP(INDIRECT("G"&amp;ROW()),minfo!$A:$M,COLUMN()-8,0),"")</f>
        <v>冻结</v>
      </c>
      <c r="T2143" s="4">
        <f ca="1">_xlfn.IFNA(VLOOKUP(INDIRECT("G"&amp;ROW()),minfo!$A:$M,COLUMN()-8,0),"")</f>
        <v>59072110</v>
      </c>
      <c r="U2143" s="4">
        <f ca="1">_xlfn.IFNA(VLOOKUP(INDIRECT("G"&amp;ROW()),minfo!$A:$M,COLUMN()-8,0),"")</f>
        <v>0</v>
      </c>
    </row>
    <row r="2144" spans="1:21" ht="15.75" customHeight="1">
      <c r="A2144" s="15">
        <v>2143</v>
      </c>
      <c r="B2144" s="4" t="s">
        <v>6068</v>
      </c>
      <c r="D2144" s="4">
        <v>1</v>
      </c>
      <c r="E2144" s="4" t="s">
        <v>1093</v>
      </c>
      <c r="F2144" s="4" t="s">
        <v>6054</v>
      </c>
      <c r="G2144" s="4" t="s">
        <v>1092</v>
      </c>
      <c r="H2144" s="4" t="s">
        <v>6069</v>
      </c>
      <c r="I2144" s="24" t="str">
        <f>HYPERLINK("https://www.bilibili.com/video/BV192bMeyEyp?p=1","BV192bMeyEyp?p=1")</f>
        <v>BV192bMeyEyp?p=1</v>
      </c>
      <c r="J2144" s="4" t="str">
        <f ca="1">_xlfn.IFNA(VLOOKUP(INDIRECT("G"&amp;ROW()),minfo!$A:$M,COLUMN()-8,0),"")</f>
        <v>彩云之南</v>
      </c>
      <c r="K2144" s="4" t="str">
        <f ca="1">_xlfn.IFNA(VLOOKUP(INDIRECT("G"&amp;ROW()),minfo!$A:$M,COLUMN()-8,0),"")</f>
        <v>徐千雅</v>
      </c>
      <c r="L2144" s="4">
        <f ca="1">_xlfn.IFNA(VLOOKUP(INDIRECT("G"&amp;ROW()),minfo!$A:$M,COLUMN()-8,0),"")</f>
        <v>0</v>
      </c>
      <c r="M2144" s="4">
        <f ca="1">_xlfn.IFNA(VLOOKUP(INDIRECT("G"&amp;ROW()),minfo!$A:$M,COLUMN()-8,0),"")</f>
        <v>0</v>
      </c>
      <c r="N2144" s="4">
        <f ca="1">_xlfn.IFNA(VLOOKUP(INDIRECT("G"&amp;ROW()),minfo!$A:$M,COLUMN()-8,0),"")</f>
        <v>0</v>
      </c>
      <c r="O2144" s="4" t="str">
        <f ca="1">_xlfn.IFNA(VLOOKUP(INDIRECT("G"&amp;ROW()),minfo!$A:$M,COLUMN()-8,0),"")</f>
        <v>https://i0.hdslb.com/bfs/station_src/music_metadata/ec25a3c6f461a6f39992766a69b70f38.jpg</v>
      </c>
      <c r="P2144" s="4" t="str">
        <f ca="1">_xlfn.IFNA(VLOOKUP(INDIRECT("G"&amp;ROW()),minfo!$A:$M,COLUMN()-8,0),"")</f>
        <v>https://i0.hdslb.com/bfs/station_src/music_metadata/dd25918a2979b4b5717af8832b7f9199.txt</v>
      </c>
      <c r="Q2144" s="4">
        <f ca="1">_xlfn.IFNA(VLOOKUP(INDIRECT("G"&amp;ROW()),minfo!$A:$M,COLUMN()-8,0),"")</f>
        <v>565</v>
      </c>
      <c r="R2144" s="4">
        <f ca="1">_xlfn.IFNA(VLOOKUP(INDIRECT("G"&amp;ROW()),minfo!$A:$M,COLUMN()-8,0),"")</f>
        <v>0</v>
      </c>
      <c r="S2144" s="4" t="str">
        <f ca="1">_xlfn.IFNA(VLOOKUP(INDIRECT("G"&amp;ROW()),minfo!$A:$M,COLUMN()-8,0),"")</f>
        <v>彩云之南</v>
      </c>
      <c r="T2144" s="4">
        <f ca="1">_xlfn.IFNA(VLOOKUP(INDIRECT("G"&amp;ROW()),minfo!$A:$M,COLUMN()-8,0),"")</f>
        <v>52168799</v>
      </c>
      <c r="U2144" s="4">
        <f ca="1">_xlfn.IFNA(VLOOKUP(INDIRECT("G"&amp;ROW()),minfo!$A:$M,COLUMN()-8,0),"")</f>
        <v>0</v>
      </c>
    </row>
    <row r="2145" spans="1:21" ht="15.75" customHeight="1">
      <c r="A2145" s="15">
        <v>2144</v>
      </c>
      <c r="B2145" s="4" t="s">
        <v>5983</v>
      </c>
      <c r="D2145" s="4">
        <v>1</v>
      </c>
      <c r="E2145" s="4" t="s">
        <v>3222</v>
      </c>
      <c r="F2145" s="4" t="s">
        <v>6054</v>
      </c>
      <c r="G2145" s="4" t="s">
        <v>3221</v>
      </c>
      <c r="H2145" s="4" t="s">
        <v>6070</v>
      </c>
      <c r="I2145" s="24" t="str">
        <f>HYPERLINK("https://www.bilibili.com/video/BV1gJbGeSE6N?p=1","BV1gJbGeSE6N?p=1")</f>
        <v>BV1gJbGeSE6N?p=1</v>
      </c>
      <c r="J2145" s="4" t="str">
        <f ca="1">_xlfn.IFNA(VLOOKUP(INDIRECT("G"&amp;ROW()),minfo!$A:$M,COLUMN()-8,0),"")</f>
        <v>借口</v>
      </c>
      <c r="K2145" s="4" t="str">
        <f ca="1">_xlfn.IFNA(VLOOKUP(INDIRECT("G"&amp;ROW()),minfo!$A:$M,COLUMN()-8,0),"")</f>
        <v>周杰伦</v>
      </c>
      <c r="L2145" s="4">
        <f ca="1">_xlfn.IFNA(VLOOKUP(INDIRECT("G"&amp;ROW()),minfo!$A:$M,COLUMN()-8,0),"")</f>
        <v>0</v>
      </c>
      <c r="M2145" s="4">
        <f ca="1">_xlfn.IFNA(VLOOKUP(INDIRECT("G"&amp;ROW()),minfo!$A:$M,COLUMN()-8,0),"")</f>
        <v>0</v>
      </c>
      <c r="N2145" s="4">
        <f ca="1">_xlfn.IFNA(VLOOKUP(INDIRECT("G"&amp;ROW()),minfo!$A:$M,COLUMN()-8,0),"")</f>
        <v>0</v>
      </c>
      <c r="O2145" s="4" t="str">
        <f ca="1">_xlfn.IFNA(VLOOKUP(INDIRECT("G"&amp;ROW()),minfo!$A:$M,COLUMN()-8,0),"")</f>
        <v>https://i0.hdslb.com/bfs/station_src/music_metadata/52ac34423a448bcd0bb77827494a6874.jpg</v>
      </c>
      <c r="P2145" s="4" t="str">
        <f ca="1">_xlfn.IFNA(VLOOKUP(INDIRECT("G"&amp;ROW()),minfo!$A:$M,COLUMN()-8,0),"")</f>
        <v>copyright-crawler/music/task-lyric/650e62eafad724c0d011364f.txt</v>
      </c>
      <c r="Q2145" s="4">
        <f ca="1">_xlfn.IFNA(VLOOKUP(INDIRECT("G"&amp;ROW()),minfo!$A:$M,COLUMN()-8,0),"")</f>
        <v>1401</v>
      </c>
      <c r="R2145" s="4" t="str">
        <f ca="1">_xlfn.IFNA(VLOOKUP(INDIRECT("G"&amp;ROW()),minfo!$A:$M,COLUMN()-8,0),"")</f>
        <v>借口</v>
      </c>
      <c r="S2145" s="4" t="str">
        <f ca="1">_xlfn.IFNA(VLOOKUP(INDIRECT("G"&amp;ROW()),minfo!$A:$M,COLUMN()-8,0),"")</f>
        <v>七里香</v>
      </c>
      <c r="T2145" s="4">
        <f ca="1">_xlfn.IFNA(VLOOKUP(INDIRECT("G"&amp;ROW()),minfo!$A:$M,COLUMN()-8,0),"")</f>
        <v>299369424</v>
      </c>
      <c r="U2145" s="4">
        <f ca="1">_xlfn.IFNA(VLOOKUP(INDIRECT("G"&amp;ROW()),minfo!$A:$M,COLUMN()-8,0),"")</f>
        <v>0</v>
      </c>
    </row>
    <row r="2146" spans="1:21" ht="15.75" customHeight="1">
      <c r="A2146" s="15">
        <v>2145</v>
      </c>
      <c r="B2146" s="4" t="s">
        <v>5882</v>
      </c>
      <c r="D2146" s="4">
        <v>1</v>
      </c>
      <c r="E2146" s="4" t="s">
        <v>1478</v>
      </c>
      <c r="F2146" s="4" t="s">
        <v>6071</v>
      </c>
      <c r="G2146" s="4" t="s">
        <v>1477</v>
      </c>
      <c r="H2146" s="4" t="s">
        <v>6072</v>
      </c>
      <c r="I2146" s="24" t="str">
        <f>HYPERLINK("https://www.bilibili.com/video/BV1dr85eKEe5?p=1","BV1dr85eKEe5?p=1")</f>
        <v>BV1dr85eKEe5?p=1</v>
      </c>
      <c r="J2146" s="4" t="str">
        <f ca="1">_xlfn.IFNA(VLOOKUP(INDIRECT("G"&amp;ROW()),minfo!$A:$M,COLUMN()-8,0),"")</f>
        <v>想你时风起</v>
      </c>
      <c r="K2146" s="4" t="str">
        <f ca="1">_xlfn.IFNA(VLOOKUP(INDIRECT("G"&amp;ROW()),minfo!$A:$M,COLUMN()-8,0),"")</f>
        <v>单依纯</v>
      </c>
      <c r="L2146" s="4">
        <f ca="1">_xlfn.IFNA(VLOOKUP(INDIRECT("G"&amp;ROW()),minfo!$A:$M,COLUMN()-8,0),"")</f>
        <v>0</v>
      </c>
      <c r="M2146" s="4">
        <f ca="1">_xlfn.IFNA(VLOOKUP(INDIRECT("G"&amp;ROW()),minfo!$A:$M,COLUMN()-8,0),"")</f>
        <v>0</v>
      </c>
      <c r="N2146" s="4">
        <f ca="1">_xlfn.IFNA(VLOOKUP(INDIRECT("G"&amp;ROW()),minfo!$A:$M,COLUMN()-8,0),"")</f>
        <v>0</v>
      </c>
      <c r="O2146" s="4" t="str">
        <f ca="1">_xlfn.IFNA(VLOOKUP(INDIRECT("G"&amp;ROW()),minfo!$A:$M,COLUMN()-8,0),"")</f>
        <v>http://i0.hdslb.com/bfs/station_src/music_metadata/690d5f026cf42acdf74154d42a9e4aec.jpg</v>
      </c>
      <c r="P2146" s="4">
        <f ca="1">_xlfn.IFNA(VLOOKUP(INDIRECT("G"&amp;ROW()),minfo!$A:$M,COLUMN()-8,0),"")</f>
        <v>0</v>
      </c>
      <c r="Q2146" s="4">
        <f ca="1">_xlfn.IFNA(VLOOKUP(INDIRECT("G"&amp;ROW()),minfo!$A:$M,COLUMN()-8,0),"")</f>
        <v>710</v>
      </c>
      <c r="R2146" s="4">
        <f ca="1">_xlfn.IFNA(VLOOKUP(INDIRECT("G"&amp;ROW()),minfo!$A:$M,COLUMN()-8,0),"")</f>
        <v>0</v>
      </c>
      <c r="S2146" s="4" t="str">
        <f ca="1">_xlfn.IFNA(VLOOKUP(INDIRECT("G"&amp;ROW()),minfo!$A:$M,COLUMN()-8,0),"")</f>
        <v>想你时风起</v>
      </c>
      <c r="T2146" s="4">
        <f ca="1">_xlfn.IFNA(VLOOKUP(INDIRECT("G"&amp;ROW()),minfo!$A:$M,COLUMN()-8,0),"")</f>
        <v>48566163</v>
      </c>
      <c r="U2146" s="4">
        <f ca="1">_xlfn.IFNA(VLOOKUP(INDIRECT("G"&amp;ROW()),minfo!$A:$M,COLUMN()-8,0),"")</f>
        <v>0</v>
      </c>
    </row>
    <row r="2147" spans="1:21" ht="15.75" customHeight="1">
      <c r="A2147" s="15">
        <v>2146</v>
      </c>
      <c r="B2147" s="4" t="s">
        <v>6073</v>
      </c>
      <c r="D2147" s="4">
        <v>1</v>
      </c>
      <c r="E2147" s="4" t="s">
        <v>749</v>
      </c>
      <c r="F2147" s="4" t="s">
        <v>6071</v>
      </c>
      <c r="G2147" s="4" t="s">
        <v>748</v>
      </c>
      <c r="H2147" s="4" t="s">
        <v>6074</v>
      </c>
      <c r="I2147" s="24" t="str">
        <f>HYPERLINK("https://www.bilibili.com/video/BV1Rk85evEbn?p=1","BV1Rk85evEbn?p=1")</f>
        <v>BV1Rk85evEbn?p=1</v>
      </c>
      <c r="J2147" s="4" t="str">
        <f ca="1">_xlfn.IFNA(VLOOKUP(INDIRECT("G"&amp;ROW()),minfo!$A:$M,COLUMN()-8,0),"")</f>
        <v>我好想你</v>
      </c>
      <c r="K2147" s="4" t="str">
        <f ca="1">_xlfn.IFNA(VLOOKUP(INDIRECT("G"&amp;ROW()),minfo!$A:$M,COLUMN()-8,0),"")</f>
        <v>苏打绿</v>
      </c>
      <c r="L2147" s="4">
        <f ca="1">_xlfn.IFNA(VLOOKUP(INDIRECT("G"&amp;ROW()),minfo!$A:$M,COLUMN()-8,0),"")</f>
        <v>0</v>
      </c>
      <c r="M2147" s="4">
        <f ca="1">_xlfn.IFNA(VLOOKUP(INDIRECT("G"&amp;ROW()),minfo!$A:$M,COLUMN()-8,0),"")</f>
        <v>0</v>
      </c>
      <c r="N2147" s="4">
        <f ca="1">_xlfn.IFNA(VLOOKUP(INDIRECT("G"&amp;ROW()),minfo!$A:$M,COLUMN()-8,0),"")</f>
        <v>0</v>
      </c>
      <c r="O2147" s="4" t="str">
        <f ca="1">_xlfn.IFNA(VLOOKUP(INDIRECT("G"&amp;ROW()),minfo!$A:$M,COLUMN()-8,0),"")</f>
        <v>https://i0.hdslb.com/bfs/station_src/music_metadata/142298774c35c909c17cc46ed0028323.jpg</v>
      </c>
      <c r="P2147" s="4" t="str">
        <f ca="1">_xlfn.IFNA(VLOOKUP(INDIRECT("G"&amp;ROW()),minfo!$A:$M,COLUMN()-8,0),"")</f>
        <v>http://i0.hdslb.com/bfs/station_src/music_metadata/a561acc490d86e8b1eff97408e8b2033</v>
      </c>
      <c r="Q2147" s="4">
        <f ca="1">_xlfn.IFNA(VLOOKUP(INDIRECT("G"&amp;ROW()),minfo!$A:$M,COLUMN()-8,0),"")</f>
        <v>6140</v>
      </c>
      <c r="R2147" s="4">
        <f ca="1">_xlfn.IFNA(VLOOKUP(INDIRECT("G"&amp;ROW()),minfo!$A:$M,COLUMN()-8,0),"")</f>
        <v>0</v>
      </c>
      <c r="S2147" s="4" t="str">
        <f ca="1">_xlfn.IFNA(VLOOKUP(INDIRECT("G"&amp;ROW()),minfo!$A:$M,COLUMN()-8,0),"")</f>
        <v>MOOV Live 2013 苏打绿</v>
      </c>
      <c r="T2147" s="4">
        <f ca="1">_xlfn.IFNA(VLOOKUP(INDIRECT("G"&amp;ROW()),minfo!$A:$M,COLUMN()-8,0),"")</f>
        <v>400198699</v>
      </c>
      <c r="U2147" s="4" t="str">
        <f ca="1">_xlfn.IFNA(VLOOKUP(INDIRECT("G"&amp;ROW()),minfo!$A:$M,COLUMN()-8,0),"")</f>
        <v>音乐榜最高NO.7</v>
      </c>
    </row>
    <row r="2148" spans="1:21" ht="15.75" customHeight="1">
      <c r="A2148" s="15">
        <v>2147</v>
      </c>
      <c r="B2148" s="4" t="s">
        <v>5921</v>
      </c>
      <c r="D2148" s="4">
        <v>1</v>
      </c>
      <c r="E2148" s="4" t="s">
        <v>904</v>
      </c>
      <c r="F2148" s="4" t="s">
        <v>6071</v>
      </c>
      <c r="G2148" s="4" t="s">
        <v>903</v>
      </c>
      <c r="H2148" s="4" t="s">
        <v>6075</v>
      </c>
      <c r="I2148" s="24" t="str">
        <f>HYPERLINK("https://www.bilibili.com/video/BV19185eYEer?p=1","BV19185eYEer?p=1")</f>
        <v>BV19185eYEer?p=1</v>
      </c>
      <c r="J2148" s="4" t="str">
        <f ca="1">_xlfn.IFNA(VLOOKUP(INDIRECT("G"&amp;ROW()),minfo!$A:$M,COLUMN()-8,0),"")</f>
        <v>轨迹</v>
      </c>
      <c r="K2148" s="4" t="str">
        <f ca="1">_xlfn.IFNA(VLOOKUP(INDIRECT("G"&amp;ROW()),minfo!$A:$M,COLUMN()-8,0),"")</f>
        <v>周杰伦</v>
      </c>
      <c r="L2148" s="4">
        <f ca="1">_xlfn.IFNA(VLOOKUP(INDIRECT("G"&amp;ROW()),minfo!$A:$M,COLUMN()-8,0),"")</f>
        <v>0</v>
      </c>
      <c r="M2148" s="4">
        <f ca="1">_xlfn.IFNA(VLOOKUP(INDIRECT("G"&amp;ROW()),minfo!$A:$M,COLUMN()-8,0),"")</f>
        <v>0</v>
      </c>
      <c r="N2148" s="4">
        <f ca="1">_xlfn.IFNA(VLOOKUP(INDIRECT("G"&amp;ROW()),minfo!$A:$M,COLUMN()-8,0),"")</f>
        <v>0</v>
      </c>
      <c r="O2148" s="4" t="str">
        <f ca="1">_xlfn.IFNA(VLOOKUP(INDIRECT("G"&amp;ROW()),minfo!$A:$M,COLUMN()-8,0),"")</f>
        <v>https://i0.hdslb.com/bfs/station_src/music_metadata/439418765b962c30a2db33196128f32b.jpg</v>
      </c>
      <c r="P2148" s="4" t="str">
        <f ca="1">_xlfn.IFNA(VLOOKUP(INDIRECT("G"&amp;ROW()),minfo!$A:$M,COLUMN()-8,0),"")</f>
        <v>copyright-crawler/music/task-lyric/6267f46a504b4c0665fd7bfd.txt</v>
      </c>
      <c r="Q2148" s="4">
        <f ca="1">_xlfn.IFNA(VLOOKUP(INDIRECT("G"&amp;ROW()),minfo!$A:$M,COLUMN()-8,0),"")</f>
        <v>2850</v>
      </c>
      <c r="R2148" s="4" t="str">
        <f ca="1">_xlfn.IFNA(VLOOKUP(INDIRECT("G"&amp;ROW()),minfo!$A:$M,COLUMN()-8,0),"")</f>
        <v>轨迹</v>
      </c>
      <c r="S2148" s="4" t="str">
        <f ca="1">_xlfn.IFNA(VLOOKUP(INDIRECT("G"&amp;ROW()),minfo!$A:$M,COLUMN()-8,0),"")</f>
        <v>寻找周杰伦</v>
      </c>
      <c r="T2148" s="4">
        <f ca="1">_xlfn.IFNA(VLOOKUP(INDIRECT("G"&amp;ROW()),minfo!$A:$M,COLUMN()-8,0),"")</f>
        <v>416774055</v>
      </c>
      <c r="U2148" s="4">
        <f ca="1">_xlfn.IFNA(VLOOKUP(INDIRECT("G"&amp;ROW()),minfo!$A:$M,COLUMN()-8,0),"")</f>
        <v>0</v>
      </c>
    </row>
    <row r="2149" spans="1:21" ht="15.75" customHeight="1">
      <c r="A2149" s="15">
        <v>2148</v>
      </c>
      <c r="B2149" s="4" t="s">
        <v>6076</v>
      </c>
      <c r="D2149" s="4">
        <v>1</v>
      </c>
      <c r="E2149" s="4" t="s">
        <v>1680</v>
      </c>
      <c r="F2149" s="4" t="s">
        <v>6071</v>
      </c>
      <c r="G2149" s="4" t="s">
        <v>1679</v>
      </c>
      <c r="H2149" s="4" t="s">
        <v>6077</v>
      </c>
      <c r="I2149" s="24" t="str">
        <f>HYPERLINK("https://www.bilibili.com/video/BV1Ry85ePEDA?p=1","BV1Ry85ePEDA?p=1")</f>
        <v>BV1Ry85ePEDA?p=1</v>
      </c>
      <c r="J2149" s="4" t="str">
        <f ca="1">_xlfn.IFNA(VLOOKUP(INDIRECT("G"&amp;ROW()),minfo!$A:$M,COLUMN()-8,0),"")</f>
        <v>问花</v>
      </c>
      <c r="K2149" s="4" t="str">
        <f ca="1">_xlfn.IFNA(VLOOKUP(INDIRECT("G"&amp;ROW()),minfo!$A:$M,COLUMN()-8,0),"")</f>
        <v>周深</v>
      </c>
      <c r="L2149" s="4">
        <f ca="1">_xlfn.IFNA(VLOOKUP(INDIRECT("G"&amp;ROW()),minfo!$A:$M,COLUMN()-8,0),"")</f>
        <v>0</v>
      </c>
      <c r="M2149" s="4">
        <f ca="1">_xlfn.IFNA(VLOOKUP(INDIRECT("G"&amp;ROW()),minfo!$A:$M,COLUMN()-8,0),"")</f>
        <v>0</v>
      </c>
      <c r="N2149" s="4">
        <f ca="1">_xlfn.IFNA(VLOOKUP(INDIRECT("G"&amp;ROW()),minfo!$A:$M,COLUMN()-8,0),"")</f>
        <v>0</v>
      </c>
      <c r="O2149" s="4" t="str">
        <f ca="1">_xlfn.IFNA(VLOOKUP(INDIRECT("G"&amp;ROW()),minfo!$A:$M,COLUMN()-8,0),"")</f>
        <v>https://i0.hdslb.com/bfs/station_src/music_metadata/d938903a270ebcbf6ae98416465ff752.jpg</v>
      </c>
      <c r="P2149" s="4" t="str">
        <f ca="1">_xlfn.IFNA(VLOOKUP(INDIRECT("G"&amp;ROW()),minfo!$A:$M,COLUMN()-8,0),"")</f>
        <v>http://i0.hdslb.com/bfs/station_src/music_metadata/19399052b0da837868fe46152a610a13</v>
      </c>
      <c r="Q2149" s="4">
        <f ca="1">_xlfn.IFNA(VLOOKUP(INDIRECT("G"&amp;ROW()),minfo!$A:$M,COLUMN()-8,0),"")</f>
        <v>104</v>
      </c>
      <c r="R2149" s="4" t="str">
        <f ca="1">_xlfn.IFNA(VLOOKUP(INDIRECT("G"&amp;ROW()),minfo!$A:$M,COLUMN()-8,0),"")</f>
        <v>《白蛇2：青蛇劫起》电影主题曲</v>
      </c>
      <c r="S2149" s="4" t="str">
        <f ca="1">_xlfn.IFNA(VLOOKUP(INDIRECT("G"&amp;ROW()),minfo!$A:$M,COLUMN()-8,0),"")</f>
        <v>白蛇2：青蛇劫起 电影原声带</v>
      </c>
      <c r="T2149" s="4">
        <f ca="1">_xlfn.IFNA(VLOOKUP(INDIRECT("G"&amp;ROW()),minfo!$A:$M,COLUMN()-8,0),"")</f>
        <v>19283438</v>
      </c>
      <c r="U2149" s="4">
        <f ca="1">_xlfn.IFNA(VLOOKUP(INDIRECT("G"&amp;ROW()),minfo!$A:$M,COLUMN()-8,0),"")</f>
        <v>0</v>
      </c>
    </row>
    <row r="2150" spans="1:21" ht="15.75" customHeight="1">
      <c r="A2150" s="15">
        <v>2149</v>
      </c>
      <c r="B2150" s="4" t="s">
        <v>6078</v>
      </c>
      <c r="D2150" s="4">
        <v>1</v>
      </c>
      <c r="E2150" s="4" t="s">
        <v>879</v>
      </c>
      <c r="F2150" s="4" t="s">
        <v>6071</v>
      </c>
      <c r="G2150" s="4" t="s">
        <v>878</v>
      </c>
      <c r="H2150" s="4" t="s">
        <v>6079</v>
      </c>
      <c r="I2150" s="24" t="str">
        <f>HYPERLINK("https://www.bilibili.com/video/BV1mf85e9Ez7?p=1","BV1mf85e9Ez7?p=1")</f>
        <v>BV1mf85e9Ez7?p=1</v>
      </c>
      <c r="J2150" s="4" t="str">
        <f ca="1">_xlfn.IFNA(VLOOKUP(INDIRECT("G"&amp;ROW()),minfo!$A:$M,COLUMN()-8,0),"")</f>
        <v>发如雪</v>
      </c>
      <c r="K2150" s="4" t="str">
        <f ca="1">_xlfn.IFNA(VLOOKUP(INDIRECT("G"&amp;ROW()),minfo!$A:$M,COLUMN()-8,0),"")</f>
        <v>周杰伦</v>
      </c>
      <c r="L2150" s="4">
        <f ca="1">_xlfn.IFNA(VLOOKUP(INDIRECT("G"&amp;ROW()),minfo!$A:$M,COLUMN()-8,0),"")</f>
        <v>0</v>
      </c>
      <c r="M2150" s="4">
        <f ca="1">_xlfn.IFNA(VLOOKUP(INDIRECT("G"&amp;ROW()),minfo!$A:$M,COLUMN()-8,0),"")</f>
        <v>0</v>
      </c>
      <c r="N2150" s="4">
        <f ca="1">_xlfn.IFNA(VLOOKUP(INDIRECT("G"&amp;ROW()),minfo!$A:$M,COLUMN()-8,0),"")</f>
        <v>0</v>
      </c>
      <c r="O2150" s="4" t="str">
        <f ca="1">_xlfn.IFNA(VLOOKUP(INDIRECT("G"&amp;ROW()),minfo!$A:$M,COLUMN()-8,0),"")</f>
        <v>https://i0.hdslb.com/bfs/station_src/music_metadata/4f19787695e451c7ec6f082affe19c57.jpg</v>
      </c>
      <c r="P2150" s="4" t="str">
        <f ca="1">_xlfn.IFNA(VLOOKUP(INDIRECT("G"&amp;ROW()),minfo!$A:$M,COLUMN()-8,0),"")</f>
        <v>http://i0.hdslb.com/bfs/station_src/music_metadata/e48762ee9e6f3b4048f790c705f187cd</v>
      </c>
      <c r="Q2150" s="4">
        <f ca="1">_xlfn.IFNA(VLOOKUP(INDIRECT("G"&amp;ROW()),minfo!$A:$M,COLUMN()-8,0),"")</f>
        <v>5236</v>
      </c>
      <c r="R2150" s="4">
        <f ca="1">_xlfn.IFNA(VLOOKUP(INDIRECT("G"&amp;ROW()),minfo!$A:$M,COLUMN()-8,0),"")</f>
        <v>0</v>
      </c>
      <c r="S2150" s="4" t="str">
        <f ca="1">_xlfn.IFNA(VLOOKUP(INDIRECT("G"&amp;ROW()),minfo!$A:$M,COLUMN()-8,0),"")</f>
        <v>十一月的萧邦</v>
      </c>
      <c r="T2150" s="4">
        <f ca="1">_xlfn.IFNA(VLOOKUP(INDIRECT("G"&amp;ROW()),minfo!$A:$M,COLUMN()-8,0),"")</f>
        <v>561545897</v>
      </c>
      <c r="U2150" s="4">
        <f ca="1">_xlfn.IFNA(VLOOKUP(INDIRECT("G"&amp;ROW()),minfo!$A:$M,COLUMN()-8,0),"")</f>
        <v>0</v>
      </c>
    </row>
    <row r="2151" spans="1:21" ht="15.75" customHeight="1">
      <c r="A2151" s="15">
        <v>2150</v>
      </c>
      <c r="B2151" s="4" t="s">
        <v>6080</v>
      </c>
      <c r="D2151" s="4">
        <v>1</v>
      </c>
      <c r="E2151" s="4" t="s">
        <v>2985</v>
      </c>
      <c r="F2151" s="4" t="s">
        <v>6071</v>
      </c>
      <c r="G2151" s="4" t="s">
        <v>2984</v>
      </c>
      <c r="H2151" s="4" t="s">
        <v>6081</v>
      </c>
      <c r="I2151" s="24" t="str">
        <f>HYPERLINK("https://www.bilibili.com/video/BV1yP8LenExz?p=1","BV1yP8LenExz?p=1")</f>
        <v>BV1yP8LenExz?p=1</v>
      </c>
      <c r="J2151" s="4" t="str">
        <f ca="1">_xlfn.IFNA(VLOOKUP(INDIRECT("G"&amp;ROW()),minfo!$A:$M,COLUMN()-8,0),"")</f>
        <v>桃花谣</v>
      </c>
      <c r="K2151" s="4" t="str">
        <f ca="1">_xlfn.IFNA(VLOOKUP(INDIRECT("G"&amp;ROW()),minfo!$A:$M,COLUMN()-8,0),"")</f>
        <v>谭晶</v>
      </c>
      <c r="L2151" s="4">
        <f ca="1">_xlfn.IFNA(VLOOKUP(INDIRECT("G"&amp;ROW()),minfo!$A:$M,COLUMN()-8,0),"")</f>
        <v>0</v>
      </c>
      <c r="M2151" s="4">
        <f ca="1">_xlfn.IFNA(VLOOKUP(INDIRECT("G"&amp;ROW()),minfo!$A:$M,COLUMN()-8,0),"")</f>
        <v>0</v>
      </c>
      <c r="N2151" s="4">
        <f ca="1">_xlfn.IFNA(VLOOKUP(INDIRECT("G"&amp;ROW()),minfo!$A:$M,COLUMN()-8,0),"")</f>
        <v>0</v>
      </c>
      <c r="O2151" s="4" t="str">
        <f ca="1">_xlfn.IFNA(VLOOKUP(INDIRECT("G"&amp;ROW()),minfo!$A:$M,COLUMN()-8,0),"")</f>
        <v>https://i0.hdslb.com/bfs/station_src/music_metadata/0c92fbd0b0d4d2a8786e193c7e105c92.jpg</v>
      </c>
      <c r="P2151" s="4" t="str">
        <f ca="1">_xlfn.IFNA(VLOOKUP(INDIRECT("G"&amp;ROW()),minfo!$A:$M,COLUMN()-8,0),"")</f>
        <v>https://i0.hdslb.com/bfs/station_src/music_metadata/329a416e8a5c8b00daec20bb07f517be.txt</v>
      </c>
      <c r="Q2151" s="4">
        <f ca="1">_xlfn.IFNA(VLOOKUP(INDIRECT("G"&amp;ROW()),minfo!$A:$M,COLUMN()-8,0),"")</f>
        <v>3</v>
      </c>
      <c r="R2151" s="4" t="str">
        <f ca="1">_xlfn.IFNA(VLOOKUP(INDIRECT("G"&amp;ROW()),minfo!$A:$M,COLUMN()-8,0),"")</f>
        <v>《新四军》电视连续剧主题曲</v>
      </c>
      <c r="S2151" s="4" t="str">
        <f ca="1">_xlfn.IFNA(VLOOKUP(INDIRECT("G"&amp;ROW()),minfo!$A:$M,COLUMN()-8,0),"")</f>
        <v>影视精选</v>
      </c>
      <c r="T2151" s="4">
        <f ca="1">_xlfn.IFNA(VLOOKUP(INDIRECT("G"&amp;ROW()),minfo!$A:$M,COLUMN()-8,0),"")</f>
        <v>1052310</v>
      </c>
      <c r="U2151" s="4">
        <f ca="1">_xlfn.IFNA(VLOOKUP(INDIRECT("G"&amp;ROW()),minfo!$A:$M,COLUMN()-8,0),"")</f>
        <v>0</v>
      </c>
    </row>
    <row r="2152" spans="1:21" ht="15.75" customHeight="1">
      <c r="A2152" s="15">
        <v>2151</v>
      </c>
      <c r="B2152" s="4" t="s">
        <v>6082</v>
      </c>
      <c r="D2152" s="4">
        <v>1</v>
      </c>
      <c r="E2152" s="4" t="s">
        <v>2921</v>
      </c>
      <c r="F2152" s="4" t="s">
        <v>6083</v>
      </c>
      <c r="G2152" s="4" t="s">
        <v>2920</v>
      </c>
      <c r="H2152" s="4" t="s">
        <v>6084</v>
      </c>
      <c r="I2152" s="24" t="str">
        <f>HYPERLINK("https://www.bilibili.com/video/BV1KF8PesEmF?p=1","BV1KF8PesEmF?p=1")</f>
        <v>BV1KF8PesEmF?p=1</v>
      </c>
      <c r="J2152" s="4" t="str">
        <f ca="1">_xlfn.IFNA(VLOOKUP(INDIRECT("G"&amp;ROW()),minfo!$A:$M,COLUMN()-8,0),"")</f>
        <v>后会无期</v>
      </c>
      <c r="K2152" s="4" t="str">
        <f ca="1">_xlfn.IFNA(VLOOKUP(INDIRECT("G"&amp;ROW()),minfo!$A:$M,COLUMN()-8,0),"")</f>
        <v>G.E.M. 邓紫棋</v>
      </c>
      <c r="L2152" s="4">
        <f ca="1">_xlfn.IFNA(VLOOKUP(INDIRECT("G"&amp;ROW()),minfo!$A:$M,COLUMN()-8,0),"")</f>
        <v>0</v>
      </c>
      <c r="M2152" s="4">
        <f ca="1">_xlfn.IFNA(VLOOKUP(INDIRECT("G"&amp;ROW()),minfo!$A:$M,COLUMN()-8,0),"")</f>
        <v>0</v>
      </c>
      <c r="N2152" s="4">
        <f ca="1">_xlfn.IFNA(VLOOKUP(INDIRECT("G"&amp;ROW()),minfo!$A:$M,COLUMN()-8,0),"")</f>
        <v>0</v>
      </c>
      <c r="O2152" s="4" t="str">
        <f ca="1">_xlfn.IFNA(VLOOKUP(INDIRECT("G"&amp;ROW()),minfo!$A:$M,COLUMN()-8,0),"")</f>
        <v>https://i0.hdslb.com/bfs/station_src/music_metadata/59acc49ce3141fb40eb8085a23c465b5.jpg</v>
      </c>
      <c r="P2152" s="4" t="str">
        <f ca="1">_xlfn.IFNA(VLOOKUP(INDIRECT("G"&amp;ROW()),minfo!$A:$M,COLUMN()-8,0),"")</f>
        <v>https://i0.hdslb.com/bfs/station_src/music_metadata/c02c910c44a6e489b0c6dcf933624d23.txt</v>
      </c>
      <c r="Q2152" s="4">
        <f ca="1">_xlfn.IFNA(VLOOKUP(INDIRECT("G"&amp;ROW()),minfo!$A:$M,COLUMN()-8,0),"")</f>
        <v>97</v>
      </c>
      <c r="R2152" s="4" t="str">
        <f ca="1">_xlfn.IFNA(VLOOKUP(INDIRECT("G"&amp;ROW()),minfo!$A:$M,COLUMN()-8,0),"")</f>
        <v>《后会无期》电影同名主题歌</v>
      </c>
      <c r="S2152" s="4" t="str">
        <f ca="1">_xlfn.IFNA(VLOOKUP(INDIRECT("G"&amp;ROW()),minfo!$A:$M,COLUMN()-8,0),"")</f>
        <v>后会无期 电影原声带</v>
      </c>
      <c r="T2152" s="4">
        <f ca="1">_xlfn.IFNA(VLOOKUP(INDIRECT("G"&amp;ROW()),minfo!$A:$M,COLUMN()-8,0),"")</f>
        <v>69541837</v>
      </c>
      <c r="U2152" s="4">
        <f ca="1">_xlfn.IFNA(VLOOKUP(INDIRECT("G"&amp;ROW()),minfo!$A:$M,COLUMN()-8,0),"")</f>
        <v>0</v>
      </c>
    </row>
    <row r="2153" spans="1:21" ht="15.75" customHeight="1">
      <c r="A2153" s="15">
        <v>2152</v>
      </c>
      <c r="B2153" s="4" t="s">
        <v>6085</v>
      </c>
      <c r="D2153" s="4">
        <v>1</v>
      </c>
      <c r="E2153" s="4" t="s">
        <v>1749</v>
      </c>
      <c r="F2153" s="4" t="s">
        <v>6083</v>
      </c>
      <c r="G2153" s="4" t="s">
        <v>1748</v>
      </c>
      <c r="H2153" s="4" t="s">
        <v>6086</v>
      </c>
      <c r="I2153" s="24" t="str">
        <f>HYPERLINK("https://www.bilibili.com/video/BV1gX8AeFELR?p=1","BV1gX8AeFELR?p=1")</f>
        <v>BV1gX8AeFELR?p=1</v>
      </c>
      <c r="J2153" s="4" t="str">
        <f ca="1">_xlfn.IFNA(VLOOKUP(INDIRECT("G"&amp;ROW()),minfo!$A:$M,COLUMN()-8,0),"")</f>
        <v>自画像</v>
      </c>
      <c r="K2153" s="4" t="str">
        <f ca="1">_xlfn.IFNA(VLOOKUP(INDIRECT("G"&amp;ROW()),minfo!$A:$M,COLUMN()-8,0),"")</f>
        <v>林俊杰</v>
      </c>
      <c r="L2153" s="4">
        <f ca="1">_xlfn.IFNA(VLOOKUP(INDIRECT("G"&amp;ROW()),minfo!$A:$M,COLUMN()-8,0),"")</f>
        <v>0</v>
      </c>
      <c r="M2153" s="4">
        <f ca="1">_xlfn.IFNA(VLOOKUP(INDIRECT("G"&amp;ROW()),minfo!$A:$M,COLUMN()-8,0),"")</f>
        <v>0</v>
      </c>
      <c r="N2153" s="4">
        <f ca="1">_xlfn.IFNA(VLOOKUP(INDIRECT("G"&amp;ROW()),minfo!$A:$M,COLUMN()-8,0),"")</f>
        <v>0</v>
      </c>
      <c r="O2153" s="4" t="str">
        <f ca="1">_xlfn.IFNA(VLOOKUP(INDIRECT("G"&amp;ROW()),minfo!$A:$M,COLUMN()-8,0),"")</f>
        <v>https://i0.hdslb.com/bfs/station_src/music_metadata/565900e48fba7315d176b29e34d96be5.jpg</v>
      </c>
      <c r="P2153" s="4">
        <f ca="1">_xlfn.IFNA(VLOOKUP(INDIRECT("G"&amp;ROW()),minfo!$A:$M,COLUMN()-8,0),"")</f>
        <v>0</v>
      </c>
      <c r="Q2153" s="4">
        <f ca="1">_xlfn.IFNA(VLOOKUP(INDIRECT("G"&amp;ROW()),minfo!$A:$M,COLUMN()-8,0),"")</f>
        <v>9</v>
      </c>
      <c r="R2153" s="4">
        <f ca="1">_xlfn.IFNA(VLOOKUP(INDIRECT("G"&amp;ROW()),minfo!$A:$M,COLUMN()-8,0),"")</f>
        <v>0</v>
      </c>
      <c r="S2153" s="4" t="str">
        <f ca="1">_xlfn.IFNA(VLOOKUP(INDIRECT("G"&amp;ROW()),minfo!$A:$M,COLUMN()-8,0),"")</f>
        <v>重拾_快乐</v>
      </c>
      <c r="T2153" s="4">
        <f ca="1">_xlfn.IFNA(VLOOKUP(INDIRECT("G"&amp;ROW()),minfo!$A:$M,COLUMN()-8,0),"")</f>
        <v>687618</v>
      </c>
      <c r="U2153" s="4">
        <f ca="1">_xlfn.IFNA(VLOOKUP(INDIRECT("G"&amp;ROW()),minfo!$A:$M,COLUMN()-8,0),"")</f>
        <v>0</v>
      </c>
    </row>
    <row r="2154" spans="1:21" ht="15.75" customHeight="1">
      <c r="A2154" s="15">
        <v>2153</v>
      </c>
      <c r="B2154" s="4" t="s">
        <v>6087</v>
      </c>
      <c r="D2154" s="4">
        <v>1</v>
      </c>
      <c r="E2154" s="4" t="s">
        <v>2617</v>
      </c>
      <c r="F2154" s="4" t="s">
        <v>6083</v>
      </c>
      <c r="G2154" s="4" t="s">
        <v>2616</v>
      </c>
      <c r="H2154" s="4" t="s">
        <v>6088</v>
      </c>
      <c r="I2154" s="24" t="str">
        <f>HYPERLINK("https://www.bilibili.com/video/BV1gX8AeFEaq?p=1","BV1gX8AeFEaq?p=1")</f>
        <v>BV1gX8AeFEaq?p=1</v>
      </c>
      <c r="J2154" s="4" t="str">
        <f ca="1">_xlfn.IFNA(VLOOKUP(INDIRECT("G"&amp;ROW()),minfo!$A:$M,COLUMN()-8,0),"")</f>
        <v>你</v>
      </c>
      <c r="K2154" s="4" t="str">
        <f ca="1">_xlfn.IFNA(VLOOKUP(INDIRECT("G"&amp;ROW()),minfo!$A:$M,COLUMN()-8,0),"")</f>
        <v>低才生</v>
      </c>
      <c r="L2154" s="4">
        <f ca="1">_xlfn.IFNA(VLOOKUP(INDIRECT("G"&amp;ROW()),minfo!$A:$M,COLUMN()-8,0),"")</f>
        <v>0</v>
      </c>
      <c r="M2154" s="4">
        <f ca="1">_xlfn.IFNA(VLOOKUP(INDIRECT("G"&amp;ROW()),minfo!$A:$M,COLUMN()-8,0),"")</f>
        <v>0</v>
      </c>
      <c r="N2154" s="4">
        <f ca="1">_xlfn.IFNA(VLOOKUP(INDIRECT("G"&amp;ROW()),minfo!$A:$M,COLUMN()-8,0),"")</f>
        <v>0</v>
      </c>
      <c r="O2154" s="4" t="str">
        <f ca="1">_xlfn.IFNA(VLOOKUP(INDIRECT("G"&amp;ROW()),minfo!$A:$M,COLUMN()-8,0),"")</f>
        <v>https://i0.hdslb.com/bfs/station_src/music_metadata/e461d01c27eebdf680b9228d6dfda257.jpg</v>
      </c>
      <c r="P2154" s="4" t="str">
        <f ca="1">_xlfn.IFNA(VLOOKUP(INDIRECT("G"&amp;ROW()),minfo!$A:$M,COLUMN()-8,0),"")</f>
        <v>https://i0.hdslb.com/bfs/station_src/music_metadata/3892f4dbd4e598884747077ea7332c22.txt</v>
      </c>
      <c r="Q2154" s="4">
        <f ca="1">_xlfn.IFNA(VLOOKUP(INDIRECT("G"&amp;ROW()),minfo!$A:$M,COLUMN()-8,0),"")</f>
        <v>0</v>
      </c>
      <c r="R2154" s="4">
        <f ca="1">_xlfn.IFNA(VLOOKUP(INDIRECT("G"&amp;ROW()),minfo!$A:$M,COLUMN()-8,0),"")</f>
        <v>0</v>
      </c>
      <c r="S2154" s="4" t="str">
        <f ca="1">_xlfn.IFNA(VLOOKUP(INDIRECT("G"&amp;ROW()),minfo!$A:$M,COLUMN()-8,0),"")</f>
        <v>阿七</v>
      </c>
      <c r="T2154" s="4">
        <f ca="1">_xlfn.IFNA(VLOOKUP(INDIRECT("G"&amp;ROW()),minfo!$A:$M,COLUMN()-8,0),"")</f>
        <v>1282697</v>
      </c>
      <c r="U2154" s="4">
        <f ca="1">_xlfn.IFNA(VLOOKUP(INDIRECT("G"&amp;ROW()),minfo!$A:$M,COLUMN()-8,0),"")</f>
        <v>0</v>
      </c>
    </row>
    <row r="2155" spans="1:21" ht="15.75" customHeight="1">
      <c r="A2155" s="15">
        <v>2154</v>
      </c>
      <c r="B2155" s="4" t="s">
        <v>5748</v>
      </c>
      <c r="D2155" s="4">
        <v>1</v>
      </c>
      <c r="E2155" s="4" t="s">
        <v>3209</v>
      </c>
      <c r="F2155" s="4" t="s">
        <v>6083</v>
      </c>
      <c r="G2155" s="4" t="s">
        <v>3208</v>
      </c>
      <c r="H2155" s="4" t="s">
        <v>6089</v>
      </c>
      <c r="I2155" s="24" t="str">
        <f>HYPERLINK("https://www.bilibili.com/video/BV1aD8AehE7X?p=1","BV1aD8AehE7X?p=1")</f>
        <v>BV1aD8AehE7X?p=1</v>
      </c>
      <c r="J2155" s="4" t="str">
        <f ca="1">_xlfn.IFNA(VLOOKUP(INDIRECT("G"&amp;ROW()),minfo!$A:$M,COLUMN()-8,0),"")</f>
        <v>小美满</v>
      </c>
      <c r="K2155" s="4" t="str">
        <f ca="1">_xlfn.IFNA(VLOOKUP(INDIRECT("G"&amp;ROW()),minfo!$A:$M,COLUMN()-8,0),"")</f>
        <v>周深</v>
      </c>
      <c r="L2155" s="4">
        <f ca="1">_xlfn.IFNA(VLOOKUP(INDIRECT("G"&amp;ROW()),minfo!$A:$M,COLUMN()-8,0),"")</f>
        <v>1950384180</v>
      </c>
      <c r="M2155" s="4">
        <f ca="1">_xlfn.IFNA(VLOOKUP(INDIRECT("G"&amp;ROW()),minfo!$A:$M,COLUMN()-8,0),"")</f>
        <v>1431686049</v>
      </c>
      <c r="N2155" s="4" t="str">
        <f ca="1">_xlfn.IFNA(VLOOKUP(INDIRECT("G"&amp;ROW()),minfo!$A:$M,COLUMN()-8,0),"")</f>
        <v>BV1ZC411x7Ky</v>
      </c>
      <c r="O2155" s="4" t="str">
        <f ca="1">_xlfn.IFNA(VLOOKUP(INDIRECT("G"&amp;ROW()),minfo!$A:$M,COLUMN()-8,0),"")</f>
        <v>https://i0.hdslb.com/bfs/station_src/music_metadata/21b82b115506a9a9cea7aa1eb481c598.jpg</v>
      </c>
      <c r="P2155" s="4" t="str">
        <f ca="1">_xlfn.IFNA(VLOOKUP(INDIRECT("G"&amp;ROW()),minfo!$A:$M,COLUMN()-8,0),"")</f>
        <v>https://i0.hdslb.com/bfs/station_src/music_metadata/a9b34f18851621ce7c2a74133efa4171.txt</v>
      </c>
      <c r="Q2155" s="4">
        <f ca="1">_xlfn.IFNA(VLOOKUP(INDIRECT("G"&amp;ROW()),minfo!$A:$M,COLUMN()-8,0),"")</f>
        <v>733</v>
      </c>
      <c r="R2155" s="4" t="str">
        <f ca="1">_xlfn.IFNA(VLOOKUP(INDIRECT("G"&amp;ROW()),minfo!$A:$M,COLUMN()-8,0),"")</f>
        <v>《热辣滚烫》电影热辣陪伴曲</v>
      </c>
      <c r="S2155" s="4" t="str">
        <f ca="1">_xlfn.IFNA(VLOOKUP(INDIRECT("G"&amp;ROW()),minfo!$A:$M,COLUMN()-8,0),"")</f>
        <v>小美满</v>
      </c>
      <c r="T2155" s="4">
        <f ca="1">_xlfn.IFNA(VLOOKUP(INDIRECT("G"&amp;ROW()),minfo!$A:$M,COLUMN()-8,0),"")</f>
        <v>147169382</v>
      </c>
      <c r="U2155" s="4" t="str">
        <f ca="1">_xlfn.IFNA(VLOOKUP(INDIRECT("G"&amp;ROW()),minfo!$A:$M,COLUMN()-8,0),"")</f>
        <v>音乐榜最高NO.2</v>
      </c>
    </row>
    <row r="2156" spans="1:21" ht="15.75" customHeight="1">
      <c r="A2156" s="15">
        <v>2155</v>
      </c>
      <c r="B2156" s="4" t="s">
        <v>6090</v>
      </c>
      <c r="D2156" s="4">
        <v>1</v>
      </c>
      <c r="E2156" s="4" t="s">
        <v>2277</v>
      </c>
      <c r="F2156" s="4" t="s">
        <v>6083</v>
      </c>
      <c r="G2156" s="4" t="s">
        <v>2276</v>
      </c>
      <c r="H2156" s="4" t="s">
        <v>6091</v>
      </c>
      <c r="I2156" s="24" t="str">
        <f>HYPERLINK("https://www.bilibili.com/video/BV13D8AehEj2?p=1","BV13D8AehEj2?p=1")</f>
        <v>BV13D8AehEj2?p=1</v>
      </c>
      <c r="J2156" s="4" t="str">
        <f ca="1">_xlfn.IFNA(VLOOKUP(INDIRECT("G"&amp;ROW()),minfo!$A:$M,COLUMN()-8,0),"")</f>
        <v>小幸运</v>
      </c>
      <c r="K2156" s="4" t="str">
        <f ca="1">_xlfn.IFNA(VLOOKUP(INDIRECT("G"&amp;ROW()),minfo!$A:$M,COLUMN()-8,0),"")</f>
        <v>田馥甄</v>
      </c>
      <c r="L2156" s="4">
        <f ca="1">_xlfn.IFNA(VLOOKUP(INDIRECT("G"&amp;ROW()),minfo!$A:$M,COLUMN()-8,0),"")</f>
        <v>0</v>
      </c>
      <c r="M2156" s="4">
        <f ca="1">_xlfn.IFNA(VLOOKUP(INDIRECT("G"&amp;ROW()),minfo!$A:$M,COLUMN()-8,0),"")</f>
        <v>0</v>
      </c>
      <c r="N2156" s="4">
        <f ca="1">_xlfn.IFNA(VLOOKUP(INDIRECT("G"&amp;ROW()),minfo!$A:$M,COLUMN()-8,0),"")</f>
        <v>0</v>
      </c>
      <c r="O2156" s="4" t="str">
        <f ca="1">_xlfn.IFNA(VLOOKUP(INDIRECT("G"&amp;ROW()),minfo!$A:$M,COLUMN()-8,0),"")</f>
        <v>https://i0.hdslb.com/bfs/station_src/music_metadata/13edca66a772a4f7a1c29126277512a9.jpg</v>
      </c>
      <c r="P2156" s="4" t="str">
        <f ca="1">_xlfn.IFNA(VLOOKUP(INDIRECT("G"&amp;ROW()),minfo!$A:$M,COLUMN()-8,0),"")</f>
        <v>http://i0.hdslb.com/bfs/station_src/music_metadata/a41e14cb65ec5abbff57abef0f3736f9</v>
      </c>
      <c r="Q2156" s="4">
        <f ca="1">_xlfn.IFNA(VLOOKUP(INDIRECT("G"&amp;ROW()),minfo!$A:$M,COLUMN()-8,0),"")</f>
        <v>2605</v>
      </c>
      <c r="R2156" s="4" t="str">
        <f ca="1">_xlfn.IFNA(VLOOKUP(INDIRECT("G"&amp;ROW()),minfo!$A:$M,COLUMN()-8,0),"")</f>
        <v>《我的少女时代》电影主题曲</v>
      </c>
      <c r="S2156" s="4" t="str">
        <f ca="1">_xlfn.IFNA(VLOOKUP(INDIRECT("G"&amp;ROW()),minfo!$A:$M,COLUMN()-8,0),"")</f>
        <v>我的少女时代 电影原声带</v>
      </c>
      <c r="T2156" s="4">
        <f ca="1">_xlfn.IFNA(VLOOKUP(INDIRECT("G"&amp;ROW()),minfo!$A:$M,COLUMN()-8,0),"")</f>
        <v>366858722</v>
      </c>
      <c r="U2156" s="4">
        <f ca="1">_xlfn.IFNA(VLOOKUP(INDIRECT("G"&amp;ROW()),minfo!$A:$M,COLUMN()-8,0),"")</f>
        <v>0</v>
      </c>
    </row>
    <row r="2157" spans="1:21" ht="15.75" customHeight="1">
      <c r="A2157" s="15">
        <v>2156</v>
      </c>
      <c r="B2157" s="4" t="s">
        <v>5753</v>
      </c>
      <c r="D2157" s="4">
        <v>1</v>
      </c>
      <c r="E2157" s="4" t="s">
        <v>55</v>
      </c>
      <c r="F2157" s="4" t="s">
        <v>6092</v>
      </c>
      <c r="G2157" s="4" t="s">
        <v>1549</v>
      </c>
      <c r="H2157" s="4" t="s">
        <v>6093</v>
      </c>
      <c r="I2157" s="24" t="str">
        <f>HYPERLINK("https://www.bilibili.com/video/BV19y82eWEMn?p=1","BV19y82eWEMn?p=1")</f>
        <v>BV19y82eWEMn?p=1</v>
      </c>
      <c r="J2157" s="4" t="str">
        <f ca="1">_xlfn.IFNA(VLOOKUP(INDIRECT("G"&amp;ROW()),minfo!$A:$M,COLUMN()-8,0),"")</f>
        <v>人间未满</v>
      </c>
      <c r="K2157" s="4" t="str">
        <f ca="1">_xlfn.IFNA(VLOOKUP(INDIRECT("G"&amp;ROW()),minfo!$A:$M,COLUMN()-8,0),"")</f>
        <v>妮莉安Lily,纱依shayi,说说Crystal</v>
      </c>
      <c r="L2157" s="4">
        <f ca="1">_xlfn.IFNA(VLOOKUP(INDIRECT("G"&amp;ROW()),minfo!$A:$M,COLUMN()-8,0),"")</f>
        <v>0</v>
      </c>
      <c r="M2157" s="4">
        <f ca="1">_xlfn.IFNA(VLOOKUP(INDIRECT("G"&amp;ROW()),minfo!$A:$M,COLUMN()-8,0),"")</f>
        <v>0</v>
      </c>
      <c r="N2157" s="4">
        <f ca="1">_xlfn.IFNA(VLOOKUP(INDIRECT("G"&amp;ROW()),minfo!$A:$M,COLUMN()-8,0),"")</f>
        <v>0</v>
      </c>
      <c r="O2157" s="4" t="str">
        <f ca="1">_xlfn.IFNA(VLOOKUP(INDIRECT("G"&amp;ROW()),minfo!$A:$M,COLUMN()-8,0),"")</f>
        <v>http://i0.hdslb.com/bfs/station_src/music_metadata/a9d9bd8d10828caa99479d3a5fd6f323.jpg</v>
      </c>
      <c r="P2157" s="4">
        <f ca="1">_xlfn.IFNA(VLOOKUP(INDIRECT("G"&amp;ROW()),minfo!$A:$M,COLUMN()-8,0),"")</f>
        <v>0</v>
      </c>
      <c r="Q2157" s="4">
        <f ca="1">_xlfn.IFNA(VLOOKUP(INDIRECT("G"&amp;ROW()),minfo!$A:$M,COLUMN()-8,0),"")</f>
        <v>16</v>
      </c>
      <c r="R2157" s="4">
        <f ca="1">_xlfn.IFNA(VLOOKUP(INDIRECT("G"&amp;ROW()),minfo!$A:$M,COLUMN()-8,0),"")</f>
        <v>0</v>
      </c>
      <c r="S2157" s="4" t="str">
        <f ca="1">_xlfn.IFNA(VLOOKUP(INDIRECT("G"&amp;ROW()),minfo!$A:$M,COLUMN()-8,0),"")</f>
        <v>人间未满</v>
      </c>
      <c r="T2157" s="4">
        <f ca="1">_xlfn.IFNA(VLOOKUP(INDIRECT("G"&amp;ROW()),minfo!$A:$M,COLUMN()-8,0),"")</f>
        <v>256261</v>
      </c>
      <c r="U2157" s="4">
        <f ca="1">_xlfn.IFNA(VLOOKUP(INDIRECT("G"&amp;ROW()),minfo!$A:$M,COLUMN()-8,0),"")</f>
        <v>0</v>
      </c>
    </row>
    <row r="2158" spans="1:21" ht="15.75" customHeight="1">
      <c r="A2158" s="15">
        <v>2157</v>
      </c>
      <c r="B2158" s="4" t="s">
        <v>5971</v>
      </c>
      <c r="D2158" s="4">
        <v>1</v>
      </c>
      <c r="E2158" s="4" t="s">
        <v>967</v>
      </c>
      <c r="F2158" s="4" t="s">
        <v>6092</v>
      </c>
      <c r="G2158" s="4" t="s">
        <v>966</v>
      </c>
      <c r="H2158" s="4" t="s">
        <v>6094</v>
      </c>
      <c r="I2158" s="24" t="str">
        <f>HYPERLINK("https://www.bilibili.com/video/BV19y82eWEn7?p=1","BV19y82eWEn7?p=1")</f>
        <v>BV19y82eWEn7?p=1</v>
      </c>
      <c r="J2158" s="4" t="str">
        <f ca="1">_xlfn.IFNA(VLOOKUP(INDIRECT("G"&amp;ROW()),minfo!$A:$M,COLUMN()-8,0),"")</f>
        <v>小雨</v>
      </c>
      <c r="K2158" s="4" t="str">
        <f ca="1">_xlfn.IFNA(VLOOKUP(INDIRECT("G"&amp;ROW()),minfo!$A:$M,COLUMN()-8,0),"")</f>
        <v>黄龄</v>
      </c>
      <c r="L2158" s="4">
        <f ca="1">_xlfn.IFNA(VLOOKUP(INDIRECT("G"&amp;ROW()),minfo!$A:$M,COLUMN()-8,0),"")</f>
        <v>0</v>
      </c>
      <c r="M2158" s="4">
        <f ca="1">_xlfn.IFNA(VLOOKUP(INDIRECT("G"&amp;ROW()),minfo!$A:$M,COLUMN()-8,0),"")</f>
        <v>0</v>
      </c>
      <c r="N2158" s="4">
        <f ca="1">_xlfn.IFNA(VLOOKUP(INDIRECT("G"&amp;ROW()),minfo!$A:$M,COLUMN()-8,0),"")</f>
        <v>0</v>
      </c>
      <c r="O2158" s="4" t="str">
        <f ca="1">_xlfn.IFNA(VLOOKUP(INDIRECT("G"&amp;ROW()),minfo!$A:$M,COLUMN()-8,0),"")</f>
        <v>https://i0.hdslb.com/bfs/station_src/music_metadata/607346922702f1ba7302d87db0ecdbf1.jpg</v>
      </c>
      <c r="P2158" s="4" t="str">
        <f ca="1">_xlfn.IFNA(VLOOKUP(INDIRECT("G"&amp;ROW()),minfo!$A:$M,COLUMN()-8,0),"")</f>
        <v>https://i0.hdslb.com/bfs/station_src/music_metadata/245fdd0b68a8f71caa554e8f05ea1b6c.txt</v>
      </c>
      <c r="Q2158" s="4">
        <f ca="1">_xlfn.IFNA(VLOOKUP(INDIRECT("G"&amp;ROW()),minfo!$A:$M,COLUMN()-8,0),"")</f>
        <v>2250</v>
      </c>
      <c r="R2158" s="4">
        <f ca="1">_xlfn.IFNA(VLOOKUP(INDIRECT("G"&amp;ROW()),minfo!$A:$M,COLUMN()-8,0),"")</f>
        <v>0</v>
      </c>
      <c r="S2158" s="4" t="str">
        <f ca="1">_xlfn.IFNA(VLOOKUP(INDIRECT("G"&amp;ROW()),minfo!$A:$M,COLUMN()-8,0),"")</f>
        <v>小雨</v>
      </c>
      <c r="T2158" s="4">
        <f ca="1">_xlfn.IFNA(VLOOKUP(INDIRECT("G"&amp;ROW()),minfo!$A:$M,COLUMN()-8,0),"")</f>
        <v>63947645</v>
      </c>
      <c r="U2158" s="4">
        <f ca="1">_xlfn.IFNA(VLOOKUP(INDIRECT("G"&amp;ROW()),minfo!$A:$M,COLUMN()-8,0),"")</f>
        <v>0</v>
      </c>
    </row>
    <row r="2159" spans="1:21" ht="15.75" customHeight="1">
      <c r="A2159" s="15">
        <v>2158</v>
      </c>
      <c r="B2159" s="4" t="s">
        <v>5742</v>
      </c>
      <c r="D2159" s="4">
        <v>1</v>
      </c>
      <c r="E2159" s="4" t="s">
        <v>95</v>
      </c>
      <c r="F2159" s="4" t="s">
        <v>6092</v>
      </c>
      <c r="G2159" s="4" t="s">
        <v>203</v>
      </c>
      <c r="H2159" s="4" t="s">
        <v>6095</v>
      </c>
      <c r="I2159" s="24" t="str">
        <f>HYPERLINK("https://www.bilibili.com/video/BV1fv82e8EcC?p=1","BV1fv82e8EcC?p=1")</f>
        <v>BV1fv82e8EcC?p=1</v>
      </c>
      <c r="J2159" s="4" t="str">
        <f ca="1">_xlfn.IFNA(VLOOKUP(INDIRECT("G"&amp;ROW()),minfo!$A:$M,COLUMN()-8,0),"")</f>
        <v>不问天</v>
      </c>
      <c r="K2159" s="4" t="str">
        <f ca="1">_xlfn.IFNA(VLOOKUP(INDIRECT("G"&amp;ROW()),minfo!$A:$M,COLUMN()-8,0),"")</f>
        <v>说说Crystal</v>
      </c>
      <c r="L2159" s="4">
        <f ca="1">_xlfn.IFNA(VLOOKUP(INDIRECT("G"&amp;ROW()),minfo!$A:$M,COLUMN()-8,0),"")</f>
        <v>0</v>
      </c>
      <c r="M2159" s="4">
        <f ca="1">_xlfn.IFNA(VLOOKUP(INDIRECT("G"&amp;ROW()),minfo!$A:$M,COLUMN()-8,0),"")</f>
        <v>0</v>
      </c>
      <c r="N2159" s="4">
        <f ca="1">_xlfn.IFNA(VLOOKUP(INDIRECT("G"&amp;ROW()),minfo!$A:$M,COLUMN()-8,0),"")</f>
        <v>0</v>
      </c>
      <c r="O2159" s="4" t="str">
        <f ca="1">_xlfn.IFNA(VLOOKUP(INDIRECT("G"&amp;ROW()),minfo!$A:$M,COLUMN()-8,0),"")</f>
        <v>https://i0.hdslb.com/bfs/station_src/music_metadata/ce3a0da2a7e64a49fa42a6e3db521f57.jpg</v>
      </c>
      <c r="P2159" s="4" t="str">
        <f ca="1">_xlfn.IFNA(VLOOKUP(INDIRECT("G"&amp;ROW()),minfo!$A:$M,COLUMN()-8,0),"")</f>
        <v>https://i0.hdslb.com/bfs/station_src/music_metadata/02cd9198a33924449443fc704a92a25a.txt</v>
      </c>
      <c r="Q2159" s="4">
        <f ca="1">_xlfn.IFNA(VLOOKUP(INDIRECT("G"&amp;ROW()),minfo!$A:$M,COLUMN()-8,0),"")</f>
        <v>149</v>
      </c>
      <c r="R2159" s="4">
        <f ca="1">_xlfn.IFNA(VLOOKUP(INDIRECT("G"&amp;ROW()),minfo!$A:$M,COLUMN()-8,0),"")</f>
        <v>0</v>
      </c>
      <c r="S2159" s="4" t="str">
        <f ca="1">_xlfn.IFNA(VLOOKUP(INDIRECT("G"&amp;ROW()),minfo!$A:$M,COLUMN()-8,0),"")</f>
        <v>2021哔哩哔哩拜年纪</v>
      </c>
      <c r="T2159" s="4">
        <f ca="1">_xlfn.IFNA(VLOOKUP(INDIRECT("G"&amp;ROW()),minfo!$A:$M,COLUMN()-8,0),"")</f>
        <v>33137051</v>
      </c>
      <c r="U2159" s="4">
        <f ca="1">_xlfn.IFNA(VLOOKUP(INDIRECT("G"&amp;ROW()),minfo!$A:$M,COLUMN()-8,0),"")</f>
        <v>0</v>
      </c>
    </row>
    <row r="2160" spans="1:21" ht="15.75" customHeight="1">
      <c r="A2160" s="15">
        <v>2159</v>
      </c>
      <c r="B2160" s="4" t="s">
        <v>5936</v>
      </c>
      <c r="D2160" s="4">
        <v>1</v>
      </c>
      <c r="E2160" s="4" t="s">
        <v>1553</v>
      </c>
      <c r="F2160" s="4" t="s">
        <v>6092</v>
      </c>
      <c r="G2160" s="4" t="s">
        <v>1552</v>
      </c>
      <c r="H2160" s="4" t="s">
        <v>6096</v>
      </c>
      <c r="I2160" s="24" t="str">
        <f>HYPERLINK("https://www.bilibili.com/video/BV15k82edE7R?p=1","BV15k82edE7R?p=1")</f>
        <v>BV15k82edE7R?p=1</v>
      </c>
      <c r="J2160" s="4" t="str">
        <f ca="1">_xlfn.IFNA(VLOOKUP(INDIRECT("G"&amp;ROW()),minfo!$A:$M,COLUMN()-8,0),"")</f>
        <v>光亮</v>
      </c>
      <c r="K2160" s="4" t="str">
        <f ca="1">_xlfn.IFNA(VLOOKUP(INDIRECT("G"&amp;ROW()),minfo!$A:$M,COLUMN()-8,0),"")</f>
        <v>周深</v>
      </c>
      <c r="L2160" s="4">
        <f ca="1">_xlfn.IFNA(VLOOKUP(INDIRECT("G"&amp;ROW()),minfo!$A:$M,COLUMN()-8,0),"")</f>
        <v>0</v>
      </c>
      <c r="M2160" s="4">
        <f ca="1">_xlfn.IFNA(VLOOKUP(INDIRECT("G"&amp;ROW()),minfo!$A:$M,COLUMN()-8,0),"")</f>
        <v>50129</v>
      </c>
      <c r="N2160" s="4">
        <f ca="1">_xlfn.IFNA(VLOOKUP(INDIRECT("G"&amp;ROW()),minfo!$A:$M,COLUMN()-8,0),"")</f>
        <v>14164</v>
      </c>
      <c r="O2160" s="4" t="str">
        <f ca="1">_xlfn.IFNA(VLOOKUP(INDIRECT("G"&amp;ROW()),minfo!$A:$M,COLUMN()-8,0),"")</f>
        <v>https://i0.hdslb.com/bfs/station_src/music_metadata/432327254cfcfcbb06e70cd8958eec15.jpg</v>
      </c>
      <c r="P2160" s="4" t="str">
        <f ca="1">_xlfn.IFNA(VLOOKUP(INDIRECT("G"&amp;ROW()),minfo!$A:$M,COLUMN()-8,0),"")</f>
        <v>https://i0.hdslb.com/bfs/station_src/music_metadata/bc80794f31f422159366c112e2245a93.txt</v>
      </c>
      <c r="Q2160" s="4">
        <f ca="1">_xlfn.IFNA(VLOOKUP(INDIRECT("G"&amp;ROW()),minfo!$A:$M,COLUMN()-8,0),"")</f>
        <v>637</v>
      </c>
      <c r="R2160" s="4" t="str">
        <f ca="1">_xlfn.IFNA(VLOOKUP(INDIRECT("G"&amp;ROW()),minfo!$A:$M,COLUMN()-8,0),"")</f>
        <v>《紫禁城》大型纪录片主题歌</v>
      </c>
      <c r="S2160" s="4" t="str">
        <f ca="1">_xlfn.IFNA(VLOOKUP(INDIRECT("G"&amp;ROW()),minfo!$A:$M,COLUMN()-8,0),"")</f>
        <v>大型纪录片《紫禁城》主题歌音乐专辑</v>
      </c>
      <c r="T2160" s="4">
        <f ca="1">_xlfn.IFNA(VLOOKUP(INDIRECT("G"&amp;ROW()),minfo!$A:$M,COLUMN()-8,0),"")</f>
        <v>165524997</v>
      </c>
      <c r="U2160" s="4" t="str">
        <f ca="1">_xlfn.IFNA(VLOOKUP(INDIRECT("G"&amp;ROW()),minfo!$A:$M,COLUMN()-8,0),"")</f>
        <v>音乐榜最高NO.9</v>
      </c>
    </row>
    <row r="2161" spans="1:21" ht="15.75" customHeight="1">
      <c r="A2161" s="15">
        <v>2160</v>
      </c>
      <c r="B2161" s="4" t="s">
        <v>6078</v>
      </c>
      <c r="D2161" s="4">
        <v>1</v>
      </c>
      <c r="E2161" s="4" t="s">
        <v>879</v>
      </c>
      <c r="F2161" s="4" t="s">
        <v>6092</v>
      </c>
      <c r="G2161" s="4" t="s">
        <v>878</v>
      </c>
      <c r="H2161" s="4" t="s">
        <v>6097</v>
      </c>
      <c r="I2161" s="24" t="str">
        <f>HYPERLINK("https://www.bilibili.com/video/BV19y82eWEgx?p=1","BV19y82eWEgx?p=1")</f>
        <v>BV19y82eWEgx?p=1</v>
      </c>
      <c r="J2161" s="4" t="str">
        <f ca="1">_xlfn.IFNA(VLOOKUP(INDIRECT("G"&amp;ROW()),minfo!$A:$M,COLUMN()-8,0),"")</f>
        <v>发如雪</v>
      </c>
      <c r="K2161" s="4" t="str">
        <f ca="1">_xlfn.IFNA(VLOOKUP(INDIRECT("G"&amp;ROW()),minfo!$A:$M,COLUMN()-8,0),"")</f>
        <v>周杰伦</v>
      </c>
      <c r="L2161" s="4">
        <f ca="1">_xlfn.IFNA(VLOOKUP(INDIRECT("G"&amp;ROW()),minfo!$A:$M,COLUMN()-8,0),"")</f>
        <v>0</v>
      </c>
      <c r="M2161" s="4">
        <f ca="1">_xlfn.IFNA(VLOOKUP(INDIRECT("G"&amp;ROW()),minfo!$A:$M,COLUMN()-8,0),"")</f>
        <v>0</v>
      </c>
      <c r="N2161" s="4">
        <f ca="1">_xlfn.IFNA(VLOOKUP(INDIRECT("G"&amp;ROW()),minfo!$A:$M,COLUMN()-8,0),"")</f>
        <v>0</v>
      </c>
      <c r="O2161" s="4" t="str">
        <f ca="1">_xlfn.IFNA(VLOOKUP(INDIRECT("G"&amp;ROW()),minfo!$A:$M,COLUMN()-8,0),"")</f>
        <v>https://i0.hdslb.com/bfs/station_src/music_metadata/4f19787695e451c7ec6f082affe19c57.jpg</v>
      </c>
      <c r="P2161" s="4" t="str">
        <f ca="1">_xlfn.IFNA(VLOOKUP(INDIRECT("G"&amp;ROW()),minfo!$A:$M,COLUMN()-8,0),"")</f>
        <v>http://i0.hdslb.com/bfs/station_src/music_metadata/e48762ee9e6f3b4048f790c705f187cd</v>
      </c>
      <c r="Q2161" s="4">
        <f ca="1">_xlfn.IFNA(VLOOKUP(INDIRECT("G"&amp;ROW()),minfo!$A:$M,COLUMN()-8,0),"")</f>
        <v>5236</v>
      </c>
      <c r="R2161" s="4">
        <f ca="1">_xlfn.IFNA(VLOOKUP(INDIRECT("G"&amp;ROW()),minfo!$A:$M,COLUMN()-8,0),"")</f>
        <v>0</v>
      </c>
      <c r="S2161" s="4" t="str">
        <f ca="1">_xlfn.IFNA(VLOOKUP(INDIRECT("G"&amp;ROW()),minfo!$A:$M,COLUMN()-8,0),"")</f>
        <v>十一月的萧邦</v>
      </c>
      <c r="T2161" s="4">
        <f ca="1">_xlfn.IFNA(VLOOKUP(INDIRECT("G"&amp;ROW()),minfo!$A:$M,COLUMN()-8,0),"")</f>
        <v>561545897</v>
      </c>
      <c r="U2161" s="4">
        <f ca="1">_xlfn.IFNA(VLOOKUP(INDIRECT("G"&amp;ROW()),minfo!$A:$M,COLUMN()-8,0),"")</f>
        <v>0</v>
      </c>
    </row>
    <row r="2162" spans="1:21" ht="15.75" customHeight="1">
      <c r="A2162" s="15">
        <v>2161</v>
      </c>
      <c r="B2162" s="4" t="s">
        <v>5909</v>
      </c>
      <c r="D2162" s="4">
        <v>1</v>
      </c>
      <c r="E2162" s="4" t="s">
        <v>1824</v>
      </c>
      <c r="F2162" s="4" t="s">
        <v>6092</v>
      </c>
      <c r="G2162" s="4" t="s">
        <v>1823</v>
      </c>
      <c r="H2162" s="4" t="s">
        <v>6098</v>
      </c>
      <c r="I2162" s="24" t="str">
        <f>HYPERLINK("https://www.bilibili.com/video/BV15k82edEEe?p=1","BV15k82edEEe?p=1")</f>
        <v>BV15k82edEEe?p=1</v>
      </c>
      <c r="J2162" s="4" t="str">
        <f ca="1">_xlfn.IFNA(VLOOKUP(INDIRECT("G"&amp;ROW()),minfo!$A:$M,COLUMN()-8,0),"")</f>
        <v>月</v>
      </c>
      <c r="K2162" s="4" t="str">
        <f ca="1">_xlfn.IFNA(VLOOKUP(INDIRECT("G"&amp;ROW()),minfo!$A:$M,COLUMN()-8,0),"")</f>
        <v>郁可唯</v>
      </c>
      <c r="L2162" s="4">
        <f ca="1">_xlfn.IFNA(VLOOKUP(INDIRECT("G"&amp;ROW()),minfo!$A:$M,COLUMN()-8,0),"")</f>
        <v>0</v>
      </c>
      <c r="M2162" s="4">
        <f ca="1">_xlfn.IFNA(VLOOKUP(INDIRECT("G"&amp;ROW()),minfo!$A:$M,COLUMN()-8,0),"")</f>
        <v>0</v>
      </c>
      <c r="N2162" s="4">
        <f ca="1">_xlfn.IFNA(VLOOKUP(INDIRECT("G"&amp;ROW()),minfo!$A:$M,COLUMN()-8,0),"")</f>
        <v>0</v>
      </c>
      <c r="O2162" s="4" t="str">
        <f ca="1">_xlfn.IFNA(VLOOKUP(INDIRECT("G"&amp;ROW()),minfo!$A:$M,COLUMN()-8,0),"")</f>
        <v>https://i0.hdslb.com/bfs/station_src/music_metadata/18366082543cccb9ea83dadd477d221d.jpg</v>
      </c>
      <c r="P2162" s="4" t="str">
        <f ca="1">_xlfn.IFNA(VLOOKUP(INDIRECT("G"&amp;ROW()),minfo!$A:$M,COLUMN()-8,0),"")</f>
        <v>https://i0.hdslb.com/bfs/station_src/music_metadata/31530dd411904e556b2dcad90552b3b7.txt</v>
      </c>
      <c r="Q2162" s="4">
        <f ca="1">_xlfn.IFNA(VLOOKUP(INDIRECT("G"&amp;ROW()),minfo!$A:$M,COLUMN()-8,0),"")</f>
        <v>159</v>
      </c>
      <c r="R2162" s="4">
        <f ca="1">_xlfn.IFNA(VLOOKUP(INDIRECT("G"&amp;ROW()),minfo!$A:$M,COLUMN()-8,0),"")</f>
        <v>0</v>
      </c>
      <c r="S2162" s="4" t="str">
        <f ca="1">_xlfn.IFNA(VLOOKUP(INDIRECT("G"&amp;ROW()),minfo!$A:$M,COLUMN()-8,0),"")</f>
        <v>月</v>
      </c>
      <c r="T2162" s="4">
        <f ca="1">_xlfn.IFNA(VLOOKUP(INDIRECT("G"&amp;ROW()),minfo!$A:$M,COLUMN()-8,0),"")</f>
        <v>38638268</v>
      </c>
      <c r="U2162" s="4">
        <f ca="1">_xlfn.IFNA(VLOOKUP(INDIRECT("G"&amp;ROW()),minfo!$A:$M,COLUMN()-8,0),"")</f>
        <v>0</v>
      </c>
    </row>
    <row r="2163" spans="1:21" ht="15.75" customHeight="1">
      <c r="A2163" s="15">
        <v>2162</v>
      </c>
      <c r="B2163" s="4" t="s">
        <v>6099</v>
      </c>
      <c r="D2163" s="4">
        <v>1</v>
      </c>
      <c r="E2163" s="4" t="s">
        <v>1434</v>
      </c>
      <c r="F2163" s="4" t="s">
        <v>6100</v>
      </c>
      <c r="G2163" s="4" t="s">
        <v>1433</v>
      </c>
      <c r="H2163" s="4" t="s">
        <v>6101</v>
      </c>
      <c r="I2163" s="24" t="str">
        <f>HYPERLINK("https://www.bilibili.com/video/BV1dL8eeRE8R?p=1","BV1dL8eeRE8R?p=1")</f>
        <v>BV1dL8eeRE8R?p=1</v>
      </c>
      <c r="J2163" s="4" t="str">
        <f ca="1">_xlfn.IFNA(VLOOKUP(INDIRECT("G"&amp;ROW()),minfo!$A:$M,COLUMN()-8,0),"")</f>
        <v>你啊你啊</v>
      </c>
      <c r="K2163" s="4" t="str">
        <f ca="1">_xlfn.IFNA(VLOOKUP(INDIRECT("G"&amp;ROW()),minfo!$A:$M,COLUMN()-8,0),"")</f>
        <v>魏如萱</v>
      </c>
      <c r="L2163" s="4">
        <f ca="1">_xlfn.IFNA(VLOOKUP(INDIRECT("G"&amp;ROW()),minfo!$A:$M,COLUMN()-8,0),"")</f>
        <v>0</v>
      </c>
      <c r="M2163" s="4">
        <f ca="1">_xlfn.IFNA(VLOOKUP(INDIRECT("G"&amp;ROW()),minfo!$A:$M,COLUMN()-8,0),"")</f>
        <v>0</v>
      </c>
      <c r="N2163" s="4">
        <f ca="1">_xlfn.IFNA(VLOOKUP(INDIRECT("G"&amp;ROW()),minfo!$A:$M,COLUMN()-8,0),"")</f>
        <v>0</v>
      </c>
      <c r="O2163" s="4" t="str">
        <f ca="1">_xlfn.IFNA(VLOOKUP(INDIRECT("G"&amp;ROW()),minfo!$A:$M,COLUMN()-8,0),"")</f>
        <v>https://i0.hdslb.com/bfs/station_src/music_metadata/9636f8642428f1f3347f6cc3b66a1b94.jpg</v>
      </c>
      <c r="P2163" s="4" t="str">
        <f ca="1">_xlfn.IFNA(VLOOKUP(INDIRECT("G"&amp;ROW()),minfo!$A:$M,COLUMN()-8,0),"")</f>
        <v>http://i0.hdslb.com/bfs/station_src/music_metadata/05ff6c9faa056ccafc6e20d96ce6e3f2</v>
      </c>
      <c r="Q2163" s="4">
        <f ca="1">_xlfn.IFNA(VLOOKUP(INDIRECT("G"&amp;ROW()),minfo!$A:$M,COLUMN()-8,0),"")</f>
        <v>576</v>
      </c>
      <c r="R2163" s="4" t="str">
        <f ca="1">_xlfn.IFNA(VLOOKUP(INDIRECT("G"&amp;ROW()),minfo!$A:$M,COLUMN()-8,0),"")</f>
        <v>《用九柑仔店》电视剧插曲</v>
      </c>
      <c r="S2163" s="4" t="str">
        <f ca="1">_xlfn.IFNA(VLOOKUP(INDIRECT("G"&amp;ROW()),minfo!$A:$M,COLUMN()-8,0),"")</f>
        <v>末路狂花</v>
      </c>
      <c r="T2163" s="4">
        <f ca="1">_xlfn.IFNA(VLOOKUP(INDIRECT("G"&amp;ROW()),minfo!$A:$M,COLUMN()-8,0),"")</f>
        <v>61646853</v>
      </c>
      <c r="U2163" s="4">
        <f ca="1">_xlfn.IFNA(VLOOKUP(INDIRECT("G"&amp;ROW()),minfo!$A:$M,COLUMN()-8,0),"")</f>
        <v>0</v>
      </c>
    </row>
    <row r="2164" spans="1:21" ht="15.75" customHeight="1">
      <c r="A2164" s="15">
        <v>2163</v>
      </c>
      <c r="B2164" s="4" t="s">
        <v>6102</v>
      </c>
      <c r="D2164" s="4">
        <v>1</v>
      </c>
      <c r="E2164" s="4" t="s">
        <v>3271</v>
      </c>
      <c r="F2164" s="4" t="s">
        <v>6100</v>
      </c>
      <c r="G2164" s="4" t="s">
        <v>3271</v>
      </c>
      <c r="H2164" s="4" t="s">
        <v>6103</v>
      </c>
      <c r="I2164" s="24" t="str">
        <f>HYPERLINK("https://www.bilibili.com/video/BV1Z38eetE4u?p=1","BV1Z38eetE4u?p=1")</f>
        <v>BV1Z38eetE4u?p=1</v>
      </c>
      <c r="J2164" s="4" t="str">
        <f ca="1">_xlfn.IFNA(VLOOKUP(INDIRECT("G"&amp;ROW()),minfo!$A:$M,COLUMN()-8,0),"")</f>
        <v>太空人</v>
      </c>
      <c r="K2164" s="4" t="str">
        <f ca="1">_xlfn.IFNA(VLOOKUP(INDIRECT("G"&amp;ROW()),minfo!$A:$M,COLUMN()-8,0),"")</f>
        <v>吴青峰</v>
      </c>
      <c r="L2164" s="4">
        <f ca="1">_xlfn.IFNA(VLOOKUP(INDIRECT("G"&amp;ROW()),minfo!$A:$M,COLUMN()-8,0),"")</f>
        <v>0</v>
      </c>
      <c r="M2164" s="4">
        <f ca="1">_xlfn.IFNA(VLOOKUP(INDIRECT("G"&amp;ROW()),minfo!$A:$M,COLUMN()-8,0),"")</f>
        <v>0</v>
      </c>
      <c r="N2164" s="4">
        <f ca="1">_xlfn.IFNA(VLOOKUP(INDIRECT("G"&amp;ROW()),minfo!$A:$M,COLUMN()-8,0),"")</f>
        <v>0</v>
      </c>
      <c r="O2164" s="4">
        <f ca="1">_xlfn.IFNA(VLOOKUP(INDIRECT("G"&amp;ROW()),minfo!$A:$M,COLUMN()-8,0),"")</f>
        <v>0</v>
      </c>
      <c r="P2164" s="4">
        <f ca="1">_xlfn.IFNA(VLOOKUP(INDIRECT("G"&amp;ROW()),minfo!$A:$M,COLUMN()-8,0),"")</f>
        <v>0</v>
      </c>
      <c r="Q2164" s="4">
        <f ca="1">_xlfn.IFNA(VLOOKUP(INDIRECT("G"&amp;ROW()),minfo!$A:$M,COLUMN()-8,0),"")</f>
        <v>0</v>
      </c>
      <c r="R2164" s="4">
        <f ca="1">_xlfn.IFNA(VLOOKUP(INDIRECT("G"&amp;ROW()),minfo!$A:$M,COLUMN()-8,0),"")</f>
        <v>0</v>
      </c>
      <c r="S2164" s="4">
        <f ca="1">_xlfn.IFNA(VLOOKUP(INDIRECT("G"&amp;ROW()),minfo!$A:$M,COLUMN()-8,0),"")</f>
        <v>0</v>
      </c>
      <c r="T2164" s="4">
        <f ca="1">_xlfn.IFNA(VLOOKUP(INDIRECT("G"&amp;ROW()),minfo!$A:$M,COLUMN()-8,0),"")</f>
        <v>0</v>
      </c>
      <c r="U2164" s="4">
        <f ca="1">_xlfn.IFNA(VLOOKUP(INDIRECT("G"&amp;ROW()),minfo!$A:$M,COLUMN()-8,0),"")</f>
        <v>0</v>
      </c>
    </row>
    <row r="2165" spans="1:21" ht="15.75" customHeight="1">
      <c r="A2165" s="15">
        <v>2164</v>
      </c>
      <c r="B2165" s="4" t="s">
        <v>6104</v>
      </c>
      <c r="D2165" s="4">
        <v>1</v>
      </c>
      <c r="E2165" s="4" t="s">
        <v>760</v>
      </c>
      <c r="F2165" s="4" t="s">
        <v>6100</v>
      </c>
      <c r="G2165" s="4" t="s">
        <v>759</v>
      </c>
      <c r="H2165" s="4" t="s">
        <v>6105</v>
      </c>
      <c r="I2165" s="24" t="str">
        <f>HYPERLINK("https://www.bilibili.com/video/BV1jL8eedE7U?p=1","BV1jL8eedE7U?p=1")</f>
        <v>BV1jL8eedE7U?p=1</v>
      </c>
      <c r="J2165" s="4" t="str">
        <f ca="1">_xlfn.IFNA(VLOOKUP(INDIRECT("G"&amp;ROW()),minfo!$A:$M,COLUMN()-8,0),"")</f>
        <v>大笨钟</v>
      </c>
      <c r="K2165" s="4" t="str">
        <f ca="1">_xlfn.IFNA(VLOOKUP(INDIRECT("G"&amp;ROW()),minfo!$A:$M,COLUMN()-8,0),"")</f>
        <v>周杰伦</v>
      </c>
      <c r="L2165" s="4">
        <f ca="1">_xlfn.IFNA(VLOOKUP(INDIRECT("G"&amp;ROW()),minfo!$A:$M,COLUMN()-8,0),"")</f>
        <v>0</v>
      </c>
      <c r="M2165" s="4">
        <f ca="1">_xlfn.IFNA(VLOOKUP(INDIRECT("G"&amp;ROW()),minfo!$A:$M,COLUMN()-8,0),"")</f>
        <v>0</v>
      </c>
      <c r="N2165" s="4">
        <f ca="1">_xlfn.IFNA(VLOOKUP(INDIRECT("G"&amp;ROW()),minfo!$A:$M,COLUMN()-8,0),"")</f>
        <v>0</v>
      </c>
      <c r="O2165" s="4" t="str">
        <f ca="1">_xlfn.IFNA(VLOOKUP(INDIRECT("G"&amp;ROW()),minfo!$A:$M,COLUMN()-8,0),"")</f>
        <v>https://i0.hdslb.com/bfs/station_src/music_metadata/ec4dd0b1aa0bba73b944620a9f015307.jpg</v>
      </c>
      <c r="P2165" s="4">
        <f ca="1">_xlfn.IFNA(VLOOKUP(INDIRECT("G"&amp;ROW()),minfo!$A:$M,COLUMN()-8,0),"")</f>
        <v>0</v>
      </c>
      <c r="Q2165" s="4">
        <f ca="1">_xlfn.IFNA(VLOOKUP(INDIRECT("G"&amp;ROW()),minfo!$A:$M,COLUMN()-8,0),"")</f>
        <v>724</v>
      </c>
      <c r="R2165" s="4">
        <f ca="1">_xlfn.IFNA(VLOOKUP(INDIRECT("G"&amp;ROW()),minfo!$A:$M,COLUMN()-8,0),"")</f>
        <v>0</v>
      </c>
      <c r="S2165" s="4" t="str">
        <f ca="1">_xlfn.IFNA(VLOOKUP(INDIRECT("G"&amp;ROW()),minfo!$A:$M,COLUMN()-8,0),"")</f>
        <v>十二新作</v>
      </c>
      <c r="T2165" s="4">
        <f ca="1">_xlfn.IFNA(VLOOKUP(INDIRECT("G"&amp;ROW()),minfo!$A:$M,COLUMN()-8,0),"")</f>
        <v>252697838</v>
      </c>
      <c r="U2165" s="4">
        <f ca="1">_xlfn.IFNA(VLOOKUP(INDIRECT("G"&amp;ROW()),minfo!$A:$M,COLUMN()-8,0),"")</f>
        <v>0</v>
      </c>
    </row>
    <row r="2166" spans="1:21" ht="15.75" customHeight="1">
      <c r="A2166" s="15">
        <v>2165</v>
      </c>
      <c r="B2166" s="4" t="s">
        <v>6106</v>
      </c>
      <c r="D2166" s="4">
        <v>1</v>
      </c>
      <c r="E2166" s="4" t="s">
        <v>1040</v>
      </c>
      <c r="F2166" s="4" t="s">
        <v>6100</v>
      </c>
      <c r="G2166" s="4" t="s">
        <v>1039</v>
      </c>
      <c r="H2166" s="4" t="s">
        <v>6107</v>
      </c>
      <c r="I2166" s="24" t="str">
        <f>HYPERLINK("https://www.bilibili.com/video/BV1o58eexERp?p=1","BV1o58eexERp?p=1")</f>
        <v>BV1o58eexERp?p=1</v>
      </c>
      <c r="J2166" s="4" t="str">
        <f ca="1">_xlfn.IFNA(VLOOKUP(INDIRECT("G"&amp;ROW()),minfo!$A:$M,COLUMN()-8,0),"")</f>
        <v>断了的弦</v>
      </c>
      <c r="K2166" s="4" t="str">
        <f ca="1">_xlfn.IFNA(VLOOKUP(INDIRECT("G"&amp;ROW()),minfo!$A:$M,COLUMN()-8,0),"")</f>
        <v>周杰伦</v>
      </c>
      <c r="L2166" s="4">
        <f ca="1">_xlfn.IFNA(VLOOKUP(INDIRECT("G"&amp;ROW()),minfo!$A:$M,COLUMN()-8,0),"")</f>
        <v>0</v>
      </c>
      <c r="M2166" s="4">
        <f ca="1">_xlfn.IFNA(VLOOKUP(INDIRECT("G"&amp;ROW()),minfo!$A:$M,COLUMN()-8,0),"")</f>
        <v>0</v>
      </c>
      <c r="N2166" s="4">
        <f ca="1">_xlfn.IFNA(VLOOKUP(INDIRECT("G"&amp;ROW()),minfo!$A:$M,COLUMN()-8,0),"")</f>
        <v>0</v>
      </c>
      <c r="O2166" s="4" t="str">
        <f ca="1">_xlfn.IFNA(VLOOKUP(INDIRECT("G"&amp;ROW()),minfo!$A:$M,COLUMN()-8,0),"")</f>
        <v>https://i0.hdslb.com/bfs/station_src/music_metadata/ebc5b74fc87de3b14aae385fe242095a.jpg</v>
      </c>
      <c r="P2166" s="4">
        <f ca="1">_xlfn.IFNA(VLOOKUP(INDIRECT("G"&amp;ROW()),minfo!$A:$M,COLUMN()-8,0),"")</f>
        <v>0</v>
      </c>
      <c r="Q2166" s="4">
        <f ca="1">_xlfn.IFNA(VLOOKUP(INDIRECT("G"&amp;ROW()),minfo!$A:$M,COLUMN()-8,0),"")</f>
        <v>1532</v>
      </c>
      <c r="R2166" s="4" t="str">
        <f ca="1">_xlfn.IFNA(VLOOKUP(INDIRECT("G"&amp;ROW()),minfo!$A:$M,COLUMN()-8,0),"")</f>
        <v>《寻找周杰伦》电影插曲</v>
      </c>
      <c r="S2166" s="4" t="str">
        <f ca="1">_xlfn.IFNA(VLOOKUP(INDIRECT("G"&amp;ROW()),minfo!$A:$M,COLUMN()-8,0),"")</f>
        <v>寻找周杰伦</v>
      </c>
      <c r="T2166" s="4">
        <f ca="1">_xlfn.IFNA(VLOOKUP(INDIRECT("G"&amp;ROW()),minfo!$A:$M,COLUMN()-8,0),"")</f>
        <v>336737849</v>
      </c>
      <c r="U2166" s="4">
        <f ca="1">_xlfn.IFNA(VLOOKUP(INDIRECT("G"&amp;ROW()),minfo!$A:$M,COLUMN()-8,0),"")</f>
        <v>0</v>
      </c>
    </row>
    <row r="2167" spans="1:21" ht="15.75" customHeight="1">
      <c r="A2167" s="15">
        <v>2166</v>
      </c>
      <c r="B2167" s="4" t="s">
        <v>5985</v>
      </c>
      <c r="D2167" s="4">
        <v>1</v>
      </c>
      <c r="E2167" s="4" t="s">
        <v>754</v>
      </c>
      <c r="F2167" s="4" t="s">
        <v>6108</v>
      </c>
      <c r="G2167" s="4" t="s">
        <v>753</v>
      </c>
      <c r="H2167" s="4" t="s">
        <v>6109</v>
      </c>
      <c r="I2167" s="24" t="str">
        <f>HYPERLINK("https://www.bilibili.com/video/BV1SdeDeTEPn?p=1","BV1SdeDeTEPn?p=1")</f>
        <v>BV1SdeDeTEPn?p=1</v>
      </c>
      <c r="J2167" s="4" t="str">
        <f ca="1">_xlfn.IFNA(VLOOKUP(INDIRECT("G"&amp;ROW()),minfo!$A:$M,COLUMN()-8,0),"")</f>
        <v>台风</v>
      </c>
      <c r="K2167" s="4" t="str">
        <f ca="1">_xlfn.IFNA(VLOOKUP(INDIRECT("G"&amp;ROW()),minfo!$A:$M,COLUMN()-8,0),"")</f>
        <v>郁一凡</v>
      </c>
      <c r="L2167" s="4">
        <f ca="1">_xlfn.IFNA(VLOOKUP(INDIRECT("G"&amp;ROW()),minfo!$A:$M,COLUMN()-8,0),"")</f>
        <v>0</v>
      </c>
      <c r="M2167" s="4">
        <f ca="1">_xlfn.IFNA(VLOOKUP(INDIRECT("G"&amp;ROW()),minfo!$A:$M,COLUMN()-8,0),"")</f>
        <v>0</v>
      </c>
      <c r="N2167" s="4">
        <f ca="1">_xlfn.IFNA(VLOOKUP(INDIRECT("G"&amp;ROW()),minfo!$A:$M,COLUMN()-8,0),"")</f>
        <v>0</v>
      </c>
      <c r="O2167" s="4" t="str">
        <f ca="1">_xlfn.IFNA(VLOOKUP(INDIRECT("G"&amp;ROW()),minfo!$A:$M,COLUMN()-8,0),"")</f>
        <v>https://i0.hdslb.com/bfs/station_src/music_metadata/e62e120e862336e6b171c835ae52b792.jpg</v>
      </c>
      <c r="P2167" s="4" t="str">
        <f ca="1">_xlfn.IFNA(VLOOKUP(INDIRECT("G"&amp;ROW()),minfo!$A:$M,COLUMN()-8,0),"")</f>
        <v>https://i0.hdslb.com/bfs/station_src/music_metadata/4025503f8f2dced9cfa0f785fcbd250a.txt</v>
      </c>
      <c r="Q2167" s="4">
        <f ca="1">_xlfn.IFNA(VLOOKUP(INDIRECT("G"&amp;ROW()),minfo!$A:$M,COLUMN()-8,0),"")</f>
        <v>18</v>
      </c>
      <c r="R2167" s="4">
        <f ca="1">_xlfn.IFNA(VLOOKUP(INDIRECT("G"&amp;ROW()),minfo!$A:$M,COLUMN()-8,0),"")</f>
        <v>0</v>
      </c>
      <c r="S2167" s="4" t="str">
        <f ca="1">_xlfn.IFNA(VLOOKUP(INDIRECT("G"&amp;ROW()),minfo!$A:$M,COLUMN()-8,0),"")</f>
        <v>我的音乐你听吗 第2期</v>
      </c>
      <c r="T2167" s="4">
        <f ca="1">_xlfn.IFNA(VLOOKUP(INDIRECT("G"&amp;ROW()),minfo!$A:$M,COLUMN()-8,0),"")</f>
        <v>11454087</v>
      </c>
      <c r="U2167" s="4">
        <f ca="1">_xlfn.IFNA(VLOOKUP(INDIRECT("G"&amp;ROW()),minfo!$A:$M,COLUMN()-8,0),"")</f>
        <v>0</v>
      </c>
    </row>
    <row r="2168" spans="1:21" ht="15.75" customHeight="1">
      <c r="A2168" s="15">
        <v>2167</v>
      </c>
      <c r="B2168" s="4" t="s">
        <v>6110</v>
      </c>
      <c r="D2168" s="4">
        <v>1</v>
      </c>
      <c r="E2168" s="4" t="s">
        <v>841</v>
      </c>
      <c r="F2168" s="4" t="s">
        <v>6108</v>
      </c>
      <c r="G2168" s="4" t="s">
        <v>840</v>
      </c>
      <c r="H2168" s="4" t="s">
        <v>6111</v>
      </c>
      <c r="I2168" s="24" t="str">
        <f>HYPERLINK("https://www.bilibili.com/video/BV1MdeDeMEyD?p=1","BV1MdeDeMEyD?p=1")</f>
        <v>BV1MdeDeMEyD?p=1</v>
      </c>
      <c r="J2168" s="4" t="str">
        <f ca="1">_xlfn.IFNA(VLOOKUP(INDIRECT("G"&amp;ROW()),minfo!$A:$M,COLUMN()-8,0),"")</f>
        <v>炫境</v>
      </c>
      <c r="K2168" s="4" t="str">
        <f ca="1">_xlfn.IFNA(VLOOKUP(INDIRECT("G"&amp;ROW()),minfo!$A:$M,COLUMN()-8,0),"")</f>
        <v>常思思</v>
      </c>
      <c r="L2168" s="4">
        <f ca="1">_xlfn.IFNA(VLOOKUP(INDIRECT("G"&amp;ROW()),minfo!$A:$M,COLUMN()-8,0),"")</f>
        <v>0</v>
      </c>
      <c r="M2168" s="4">
        <f ca="1">_xlfn.IFNA(VLOOKUP(INDIRECT("G"&amp;ROW()),minfo!$A:$M,COLUMN()-8,0),"")</f>
        <v>0</v>
      </c>
      <c r="N2168" s="4">
        <f ca="1">_xlfn.IFNA(VLOOKUP(INDIRECT("G"&amp;ROW()),minfo!$A:$M,COLUMN()-8,0),"")</f>
        <v>0</v>
      </c>
      <c r="O2168" s="4" t="str">
        <f ca="1">_xlfn.IFNA(VLOOKUP(INDIRECT("G"&amp;ROW()),minfo!$A:$M,COLUMN()-8,0),"")</f>
        <v>https://i0.hdslb.com/bfs/station_src/music_metadata/bb472fb5bb963e3196367a80a378cb42.jpg</v>
      </c>
      <c r="P2168" s="4" t="str">
        <f ca="1">_xlfn.IFNA(VLOOKUP(INDIRECT("G"&amp;ROW()),minfo!$A:$M,COLUMN()-8,0),"")</f>
        <v>https://i0.hdslb.com/bfs/station_src/music_metadata/d43ca0170afc09df9cd4618d3854ebce.txt</v>
      </c>
      <c r="Q2168" s="4">
        <f ca="1">_xlfn.IFNA(VLOOKUP(INDIRECT("G"&amp;ROW()),minfo!$A:$M,COLUMN()-8,0),"")</f>
        <v>10</v>
      </c>
      <c r="R2168" s="4">
        <f ca="1">_xlfn.IFNA(VLOOKUP(INDIRECT("G"&amp;ROW()),minfo!$A:$M,COLUMN()-8,0),"")</f>
        <v>0</v>
      </c>
      <c r="S2168" s="4" t="str">
        <f ca="1">_xlfn.IFNA(VLOOKUP(INDIRECT("G"&amp;ROW()),minfo!$A:$M,COLUMN()-8,0),"")</f>
        <v>常思思作品集</v>
      </c>
      <c r="T2168" s="4">
        <f ca="1">_xlfn.IFNA(VLOOKUP(INDIRECT("G"&amp;ROW()),minfo!$A:$M,COLUMN()-8,0),"")</f>
        <v>13953335</v>
      </c>
      <c r="U2168" s="4">
        <f ca="1">_xlfn.IFNA(VLOOKUP(INDIRECT("G"&amp;ROW()),minfo!$A:$M,COLUMN()-8,0),"")</f>
        <v>0</v>
      </c>
    </row>
    <row r="2169" spans="1:21" ht="15.75" customHeight="1">
      <c r="A2169" s="15">
        <v>2168</v>
      </c>
      <c r="B2169" s="4" t="s">
        <v>6112</v>
      </c>
      <c r="D2169" s="4">
        <v>1</v>
      </c>
      <c r="E2169" s="4" t="s">
        <v>483</v>
      </c>
      <c r="F2169" s="4" t="s">
        <v>6108</v>
      </c>
      <c r="G2169" s="4" t="s">
        <v>482</v>
      </c>
      <c r="H2169" s="4" t="s">
        <v>6113</v>
      </c>
      <c r="I2169" s="24" t="str">
        <f>HYPERLINK("https://www.bilibili.com/video/BV1u9eDeqExE?p=1","BV1u9eDeqExE?p=1")</f>
        <v>BV1u9eDeqExE?p=1</v>
      </c>
      <c r="J2169" s="4" t="str">
        <f ca="1">_xlfn.IFNA(VLOOKUP(INDIRECT("G"&amp;ROW()),minfo!$A:$M,COLUMN()-8,0),"")</f>
        <v>三月雨</v>
      </c>
      <c r="K2169" s="4" t="str">
        <f ca="1">_xlfn.IFNA(VLOOKUP(INDIRECT("G"&amp;ROW()),minfo!$A:$M,COLUMN()-8,0),"")</f>
        <v>洛天依</v>
      </c>
      <c r="L2169" s="4">
        <f ca="1">_xlfn.IFNA(VLOOKUP(INDIRECT("G"&amp;ROW()),minfo!$A:$M,COLUMN()-8,0),"")</f>
        <v>0</v>
      </c>
      <c r="M2169" s="4">
        <f ca="1">_xlfn.IFNA(VLOOKUP(INDIRECT("G"&amp;ROW()),minfo!$A:$M,COLUMN()-8,0),"")</f>
        <v>0</v>
      </c>
      <c r="N2169" s="4">
        <f ca="1">_xlfn.IFNA(VLOOKUP(INDIRECT("G"&amp;ROW()),minfo!$A:$M,COLUMN()-8,0),"")</f>
        <v>0</v>
      </c>
      <c r="O2169" s="4" t="str">
        <f ca="1">_xlfn.IFNA(VLOOKUP(INDIRECT("G"&amp;ROW()),minfo!$A:$M,COLUMN()-8,0),"")</f>
        <v>https://i0.hdslb.com/bfs/station_src/music_metadata/d9ec84386ae11b7d1479726beb84a9b0.jpg</v>
      </c>
      <c r="P2169" s="4">
        <f ca="1">_xlfn.IFNA(VLOOKUP(INDIRECT("G"&amp;ROW()),minfo!$A:$M,COLUMN()-8,0),"")</f>
        <v>0</v>
      </c>
      <c r="Q2169" s="4">
        <f ca="1">_xlfn.IFNA(VLOOKUP(INDIRECT("G"&amp;ROW()),minfo!$A:$M,COLUMN()-8,0),"")</f>
        <v>73</v>
      </c>
      <c r="R2169" s="4">
        <f ca="1">_xlfn.IFNA(VLOOKUP(INDIRECT("G"&amp;ROW()),minfo!$A:$M,COLUMN()-8,0),"")</f>
        <v>0</v>
      </c>
      <c r="S2169" s="4" t="str">
        <f ca="1">_xlfn.IFNA(VLOOKUP(INDIRECT("G"&amp;ROW()),minfo!$A:$M,COLUMN()-8,0),"")</f>
        <v>洛天依小鸡哔哔</v>
      </c>
      <c r="T2169" s="4">
        <f ca="1">_xlfn.IFNA(VLOOKUP(INDIRECT("G"&amp;ROW()),minfo!$A:$M,COLUMN()-8,0),"")</f>
        <v>22973704</v>
      </c>
      <c r="U2169" s="4">
        <f ca="1">_xlfn.IFNA(VLOOKUP(INDIRECT("G"&amp;ROW()),minfo!$A:$M,COLUMN()-8,0),"")</f>
        <v>0</v>
      </c>
    </row>
    <row r="2170" spans="1:21" ht="15.75" customHeight="1">
      <c r="A2170" s="15">
        <v>2169</v>
      </c>
      <c r="B2170" s="4" t="s">
        <v>6114</v>
      </c>
      <c r="D2170" s="4">
        <v>1</v>
      </c>
      <c r="E2170" s="4" t="s">
        <v>59</v>
      </c>
      <c r="F2170" s="4" t="s">
        <v>6108</v>
      </c>
      <c r="G2170" s="4" t="s">
        <v>59</v>
      </c>
      <c r="H2170" s="4" t="s">
        <v>6115</v>
      </c>
      <c r="I2170" s="24" t="str">
        <f>HYPERLINK("https://www.bilibili.com/video/BV1S9eDeBEJk?p=1","BV1S9eDeBEJk?p=1")</f>
        <v>BV1S9eDeBEJk?p=1</v>
      </c>
      <c r="J2170" s="4" t="str">
        <f ca="1">_xlfn.IFNA(VLOOKUP(INDIRECT("G"&amp;ROW()),minfo!$A:$M,COLUMN()-8,0),"")</f>
        <v>长夜杯空</v>
      </c>
      <c r="K2170" s="4" t="str">
        <f ca="1">_xlfn.IFNA(VLOOKUP(INDIRECT("G"&amp;ROW()),minfo!$A:$M,COLUMN()-8,0),"")</f>
        <v>说说Crystal</v>
      </c>
      <c r="L2170" s="4" t="str">
        <f ca="1">_xlfn.IFNA(VLOOKUP(INDIRECT("G"&amp;ROW()),minfo!$A:$M,COLUMN()-8,0),"")</f>
        <v>BV1KX4y1q7ea</v>
      </c>
      <c r="M2170" s="4">
        <f ca="1">_xlfn.IFNA(VLOOKUP(INDIRECT("G"&amp;ROW()),minfo!$A:$M,COLUMN()-8,0),"")</f>
        <v>0</v>
      </c>
      <c r="N2170" s="4">
        <f ca="1">_xlfn.IFNA(VLOOKUP(INDIRECT("G"&amp;ROW()),minfo!$A:$M,COLUMN()-8,0),"")</f>
        <v>0</v>
      </c>
      <c r="O2170" s="4">
        <f ca="1">_xlfn.IFNA(VLOOKUP(INDIRECT("G"&amp;ROW()),minfo!$A:$M,COLUMN()-8,0),"")</f>
        <v>0</v>
      </c>
      <c r="P2170" s="4">
        <f ca="1">_xlfn.IFNA(VLOOKUP(INDIRECT("G"&amp;ROW()),minfo!$A:$M,COLUMN()-8,0),"")</f>
        <v>0</v>
      </c>
      <c r="Q2170" s="4">
        <f ca="1">_xlfn.IFNA(VLOOKUP(INDIRECT("G"&amp;ROW()),minfo!$A:$M,COLUMN()-8,0),"")</f>
        <v>0</v>
      </c>
      <c r="R2170" s="4">
        <f ca="1">_xlfn.IFNA(VLOOKUP(INDIRECT("G"&amp;ROW()),minfo!$A:$M,COLUMN()-8,0),"")</f>
        <v>0</v>
      </c>
      <c r="S2170" s="4">
        <f ca="1">_xlfn.IFNA(VLOOKUP(INDIRECT("G"&amp;ROW()),minfo!$A:$M,COLUMN()-8,0),"")</f>
        <v>0</v>
      </c>
      <c r="T2170" s="4">
        <f ca="1">_xlfn.IFNA(VLOOKUP(INDIRECT("G"&amp;ROW()),minfo!$A:$M,COLUMN()-8,0),"")</f>
        <v>0</v>
      </c>
      <c r="U2170" s="4">
        <f ca="1">_xlfn.IFNA(VLOOKUP(INDIRECT("G"&amp;ROW()),minfo!$A:$M,COLUMN()-8,0),"")</f>
        <v>0</v>
      </c>
    </row>
    <row r="2171" spans="1:21" ht="15.75" customHeight="1">
      <c r="A2171" s="15">
        <v>2170</v>
      </c>
      <c r="B2171" s="4" t="s">
        <v>6116</v>
      </c>
      <c r="D2171" s="4">
        <v>1</v>
      </c>
      <c r="E2171" s="4" t="s">
        <v>820</v>
      </c>
      <c r="F2171" s="4" t="s">
        <v>6108</v>
      </c>
      <c r="G2171" s="4" t="s">
        <v>819</v>
      </c>
      <c r="H2171" s="4" t="s">
        <v>6117</v>
      </c>
      <c r="I2171" s="24" t="str">
        <f>HYPERLINK("https://www.bilibili.com/video/BV1u9eDezEq7?p=1","BV1u9eDezEq7?p=1")</f>
        <v>BV1u9eDezEq7?p=1</v>
      </c>
      <c r="J2171" s="4" t="str">
        <f ca="1">_xlfn.IFNA(VLOOKUP(INDIRECT("G"&amp;ROW()),minfo!$A:$M,COLUMN()-8,0),"")</f>
        <v>桃花诺</v>
      </c>
      <c r="K2171" s="4" t="str">
        <f ca="1">_xlfn.IFNA(VLOOKUP(INDIRECT("G"&amp;ROW()),minfo!$A:$M,COLUMN()-8,0),"")</f>
        <v>G.E.M.邓紫棋</v>
      </c>
      <c r="L2171" s="4">
        <f ca="1">_xlfn.IFNA(VLOOKUP(INDIRECT("G"&amp;ROW()),minfo!$A:$M,COLUMN()-8,0),"")</f>
        <v>0</v>
      </c>
      <c r="M2171" s="4">
        <f ca="1">_xlfn.IFNA(VLOOKUP(INDIRECT("G"&amp;ROW()),minfo!$A:$M,COLUMN()-8,0),"")</f>
        <v>0</v>
      </c>
      <c r="N2171" s="4">
        <f ca="1">_xlfn.IFNA(VLOOKUP(INDIRECT("G"&amp;ROW()),minfo!$A:$M,COLUMN()-8,0),"")</f>
        <v>0</v>
      </c>
      <c r="O2171" s="4" t="str">
        <f ca="1">_xlfn.IFNA(VLOOKUP(INDIRECT("G"&amp;ROW()),minfo!$A:$M,COLUMN()-8,0),"")</f>
        <v>https://i0.hdslb.com/bfs/station_src/music_metadata/6bae981f8da9ae3dbca588bcb85bcd39.jpg</v>
      </c>
      <c r="P2171" s="4" t="str">
        <f ca="1">_xlfn.IFNA(VLOOKUP(INDIRECT("G"&amp;ROW()),minfo!$A:$M,COLUMN()-8,0),"")</f>
        <v>http://i0.hdslb.com/bfs/station_src/music_metadata/6b3b9bf58de18a94decf4fedf7355d72</v>
      </c>
      <c r="Q2171" s="4">
        <f ca="1">_xlfn.IFNA(VLOOKUP(INDIRECT("G"&amp;ROW()),minfo!$A:$M,COLUMN()-8,0),"")</f>
        <v>3108</v>
      </c>
      <c r="R2171" s="4" t="str">
        <f ca="1">_xlfn.IFNA(VLOOKUP(INDIRECT("G"&amp;ROW()),minfo!$A:$M,COLUMN()-8,0),"")</f>
        <v>《上古情歌》电视剧片尾曲</v>
      </c>
      <c r="S2171" s="4" t="str">
        <f ca="1">_xlfn.IFNA(VLOOKUP(INDIRECT("G"&amp;ROW()),minfo!$A:$M,COLUMN()-8,0),"")</f>
        <v>上古情歌 电视剧原声带</v>
      </c>
      <c r="T2171" s="4">
        <f ca="1">_xlfn.IFNA(VLOOKUP(INDIRECT("G"&amp;ROW()),minfo!$A:$M,COLUMN()-8,0),"")</f>
        <v>860841206</v>
      </c>
      <c r="U2171" s="4" t="str">
        <f ca="1">_xlfn.IFNA(VLOOKUP(INDIRECT("G"&amp;ROW()),minfo!$A:$M,COLUMN()-8,0),"")</f>
        <v>音乐榜最高NO.12</v>
      </c>
    </row>
    <row r="2172" spans="1:21" ht="15.75" customHeight="1">
      <c r="A2172" s="15">
        <v>2171</v>
      </c>
      <c r="B2172" s="4" t="s">
        <v>6118</v>
      </c>
      <c r="D2172" s="4">
        <v>1</v>
      </c>
      <c r="E2172" s="4" t="s">
        <v>150</v>
      </c>
      <c r="F2172" s="4" t="s">
        <v>6119</v>
      </c>
      <c r="G2172" s="4" t="s">
        <v>149</v>
      </c>
      <c r="H2172" s="4" t="s">
        <v>6120</v>
      </c>
      <c r="I2172" s="24" t="str">
        <f>HYPERLINK("https://www.bilibili.com/video/BV1jPeCefEEi?p=1","BV1jPeCefEEi?p=1")</f>
        <v>BV1jPeCefEEi?p=1</v>
      </c>
      <c r="J2172" s="4" t="str">
        <f ca="1">_xlfn.IFNA(VLOOKUP(INDIRECT("G"&amp;ROW()),minfo!$A:$M,COLUMN()-8,0),"")</f>
        <v>繁华唱遍</v>
      </c>
      <c r="K2172" s="4" t="str">
        <f ca="1">_xlfn.IFNA(VLOOKUP(INDIRECT("G"&amp;ROW()),minfo!$A:$M,COLUMN()-8,0),"")</f>
        <v>乐正绫</v>
      </c>
      <c r="L2172" s="4">
        <f ca="1">_xlfn.IFNA(VLOOKUP(INDIRECT("G"&amp;ROW()),minfo!$A:$M,COLUMN()-8,0),"")</f>
        <v>0</v>
      </c>
      <c r="M2172" s="4">
        <f ca="1">_xlfn.IFNA(VLOOKUP(INDIRECT("G"&amp;ROW()),minfo!$A:$M,COLUMN()-8,0),"")</f>
        <v>277</v>
      </c>
      <c r="N2172" s="4">
        <f ca="1">_xlfn.IFNA(VLOOKUP(INDIRECT("G"&amp;ROW()),minfo!$A:$M,COLUMN()-8,0),"")</f>
        <v>2</v>
      </c>
      <c r="O2172" s="4">
        <f ca="1">_xlfn.IFNA(VLOOKUP(INDIRECT("G"&amp;ROW()),minfo!$A:$M,COLUMN()-8,0),"")</f>
        <v>0</v>
      </c>
      <c r="P2172" s="4">
        <f ca="1">_xlfn.IFNA(VLOOKUP(INDIRECT("G"&amp;ROW()),minfo!$A:$M,COLUMN()-8,0),"")</f>
        <v>0</v>
      </c>
      <c r="Q2172" s="4">
        <f ca="1">_xlfn.IFNA(VLOOKUP(INDIRECT("G"&amp;ROW()),minfo!$A:$M,COLUMN()-8,0),"")</f>
        <v>156</v>
      </c>
      <c r="R2172" s="4">
        <f ca="1">_xlfn.IFNA(VLOOKUP(INDIRECT("G"&amp;ROW()),minfo!$A:$M,COLUMN()-8,0),"")</f>
        <v>0</v>
      </c>
      <c r="S2172" s="4">
        <f ca="1">_xlfn.IFNA(VLOOKUP(INDIRECT("G"&amp;ROW()),minfo!$A:$M,COLUMN()-8,0),"")</f>
        <v>0</v>
      </c>
      <c r="T2172" s="4">
        <f ca="1">_xlfn.IFNA(VLOOKUP(INDIRECT("G"&amp;ROW()),minfo!$A:$M,COLUMN()-8,0),"")</f>
        <v>71832236</v>
      </c>
      <c r="U2172" s="4">
        <f ca="1">_xlfn.IFNA(VLOOKUP(INDIRECT("G"&amp;ROW()),minfo!$A:$M,COLUMN()-8,0),"")</f>
        <v>0</v>
      </c>
    </row>
    <row r="2173" spans="1:21" ht="15.75" customHeight="1">
      <c r="A2173" s="15">
        <v>2172</v>
      </c>
      <c r="B2173" s="4" t="s">
        <v>6121</v>
      </c>
      <c r="D2173" s="4">
        <v>1</v>
      </c>
      <c r="E2173" s="4" t="s">
        <v>313</v>
      </c>
      <c r="F2173" s="4" t="s">
        <v>6119</v>
      </c>
      <c r="G2173" s="4" t="s">
        <v>312</v>
      </c>
      <c r="H2173" s="4" t="s">
        <v>6122</v>
      </c>
      <c r="I2173" s="24" t="str">
        <f>HYPERLINK("https://www.bilibili.com/video/BV1jPeCefEGr?p=1","BV1jPeCefEGr?p=1")</f>
        <v>BV1jPeCefEGr?p=1</v>
      </c>
      <c r="J2173" s="4" t="str">
        <f ca="1">_xlfn.IFNA(VLOOKUP(INDIRECT("G"&amp;ROW()),minfo!$A:$M,COLUMN()-8,0),"")</f>
        <v>鸿雁</v>
      </c>
      <c r="K2173" s="4" t="str">
        <f ca="1">_xlfn.IFNA(VLOOKUP(INDIRECT("G"&amp;ROW()),minfo!$A:$M,COLUMN()-8,0),"")</f>
        <v>呼斯楞,柏菲音乐</v>
      </c>
      <c r="L2173" s="4">
        <f ca="1">_xlfn.IFNA(VLOOKUP(INDIRECT("G"&amp;ROW()),minfo!$A:$M,COLUMN()-8,0),"")</f>
        <v>0</v>
      </c>
      <c r="M2173" s="4">
        <f ca="1">_xlfn.IFNA(VLOOKUP(INDIRECT("G"&amp;ROW()),minfo!$A:$M,COLUMN()-8,0),"")</f>
        <v>0</v>
      </c>
      <c r="N2173" s="4">
        <f ca="1">_xlfn.IFNA(VLOOKUP(INDIRECT("G"&amp;ROW()),minfo!$A:$M,COLUMN()-8,0),"")</f>
        <v>0</v>
      </c>
      <c r="O2173" s="4" t="str">
        <f ca="1">_xlfn.IFNA(VLOOKUP(INDIRECT("G"&amp;ROW()),minfo!$A:$M,COLUMN()-8,0),"")</f>
        <v>https://i0.hdslb.com/bfs/station_src/music_metadata/757ef72664f713a69ffc3e10d1eaad5d.jpg</v>
      </c>
      <c r="P2173" s="4" t="str">
        <f ca="1">_xlfn.IFNA(VLOOKUP(INDIRECT("G"&amp;ROW()),minfo!$A:$M,COLUMN()-8,0),"")</f>
        <v>https://i0.hdslb.com/bfs/station_src/music_metadata/1cc81a2b8e82def7add1a73a9f9486fe.txt</v>
      </c>
      <c r="Q2173" s="4">
        <f ca="1">_xlfn.IFNA(VLOOKUP(INDIRECT("G"&amp;ROW()),minfo!$A:$M,COLUMN()-8,0),"")</f>
        <v>1717</v>
      </c>
      <c r="R2173" s="4">
        <f ca="1">_xlfn.IFNA(VLOOKUP(INDIRECT("G"&amp;ROW()),minfo!$A:$M,COLUMN()-8,0),"")</f>
        <v>0</v>
      </c>
      <c r="S2173" s="4" t="str">
        <f ca="1">_xlfn.IFNA(VLOOKUP(INDIRECT("G"&amp;ROW()),minfo!$A:$M,COLUMN()-8,0),"")</f>
        <v>非同凡响NO·3</v>
      </c>
      <c r="T2173" s="4">
        <f ca="1">_xlfn.IFNA(VLOOKUP(INDIRECT("G"&amp;ROW()),minfo!$A:$M,COLUMN()-8,0),"")</f>
        <v>79378829</v>
      </c>
      <c r="U2173" s="4">
        <f ca="1">_xlfn.IFNA(VLOOKUP(INDIRECT("G"&amp;ROW()),minfo!$A:$M,COLUMN()-8,0),"")</f>
        <v>0</v>
      </c>
    </row>
    <row r="2174" spans="1:21" ht="15.75" customHeight="1">
      <c r="A2174" s="15">
        <v>2173</v>
      </c>
      <c r="B2174" s="4" t="s">
        <v>6123</v>
      </c>
      <c r="D2174" s="4">
        <v>1</v>
      </c>
      <c r="E2174" s="4" t="s">
        <v>6124</v>
      </c>
      <c r="F2174" s="4" t="s">
        <v>6119</v>
      </c>
      <c r="G2174" s="4" t="s">
        <v>2569</v>
      </c>
      <c r="H2174" s="4" t="s">
        <v>6125</v>
      </c>
      <c r="I2174" s="24" t="str">
        <f>HYPERLINK("https://www.bilibili.com/video/BV1eueCexEdn?p=1","BV1eueCexEdn?p=1")</f>
        <v>BV1eueCexEdn?p=1</v>
      </c>
      <c r="J2174" s="4" t="str">
        <f ca="1">_xlfn.IFNA(VLOOKUP(INDIRECT("G"&amp;ROW()),minfo!$A:$M,COLUMN()-8,0),"")</f>
        <v>我和我的祖国</v>
      </c>
      <c r="K2174" s="4" t="str">
        <f ca="1">_xlfn.IFNA(VLOOKUP(INDIRECT("G"&amp;ROW()),minfo!$A:$M,COLUMN()-8,0),"")</f>
        <v>李谷一,少年合唱团</v>
      </c>
      <c r="L2174" s="4">
        <f ca="1">_xlfn.IFNA(VLOOKUP(INDIRECT("G"&amp;ROW()),minfo!$A:$M,COLUMN()-8,0),"")</f>
        <v>0</v>
      </c>
      <c r="M2174" s="4">
        <f ca="1">_xlfn.IFNA(VLOOKUP(INDIRECT("G"&amp;ROW()),minfo!$A:$M,COLUMN()-8,0),"")</f>
        <v>0</v>
      </c>
      <c r="N2174" s="4">
        <f ca="1">_xlfn.IFNA(VLOOKUP(INDIRECT("G"&amp;ROW()),minfo!$A:$M,COLUMN()-8,0),"")</f>
        <v>0</v>
      </c>
      <c r="O2174" s="4" t="str">
        <f ca="1">_xlfn.IFNA(VLOOKUP(INDIRECT("G"&amp;ROW()),minfo!$A:$M,COLUMN()-8,0),"")</f>
        <v>https://i0.hdslb.com/bfs/station_src/music_metadata/771b26d560f1fee8f4b8772d941687b2.jpg</v>
      </c>
      <c r="P2174" s="4" t="str">
        <f ca="1">_xlfn.IFNA(VLOOKUP(INDIRECT("G"&amp;ROW()),minfo!$A:$M,COLUMN()-8,0),"")</f>
        <v>http://i0.hdslb.com/bfs/station_src/music_metadata/3de622a3a168b53cc76ecc7cbc19b2de</v>
      </c>
      <c r="Q2174" s="4">
        <f ca="1">_xlfn.IFNA(VLOOKUP(INDIRECT("G"&amp;ROW()),minfo!$A:$M,COLUMN()-8,0),"")</f>
        <v>569</v>
      </c>
      <c r="R2174" s="4">
        <f ca="1">_xlfn.IFNA(VLOOKUP(INDIRECT("G"&amp;ROW()),minfo!$A:$M,COLUMN()-8,0),"")</f>
        <v>0</v>
      </c>
      <c r="S2174" s="4" t="str">
        <f ca="1">_xlfn.IFNA(VLOOKUP(INDIRECT("G"&amp;ROW()),minfo!$A:$M,COLUMN()-8,0),"")</f>
        <v>2016 开学第一课</v>
      </c>
      <c r="T2174" s="4">
        <f ca="1">_xlfn.IFNA(VLOOKUP(INDIRECT("G"&amp;ROW()),minfo!$A:$M,COLUMN()-8,0),"")</f>
        <v>274618058</v>
      </c>
      <c r="U2174" s="4">
        <f ca="1">_xlfn.IFNA(VLOOKUP(INDIRECT("G"&amp;ROW()),minfo!$A:$M,COLUMN()-8,0),"")</f>
        <v>0</v>
      </c>
    </row>
    <row r="2175" spans="1:21" ht="15.75" customHeight="1">
      <c r="A2175" s="15">
        <v>2174</v>
      </c>
      <c r="B2175" s="4" t="s">
        <v>6126</v>
      </c>
      <c r="D2175" s="4">
        <v>1</v>
      </c>
      <c r="E2175" s="4" t="s">
        <v>6127</v>
      </c>
      <c r="F2175" s="4" t="s">
        <v>6119</v>
      </c>
      <c r="G2175" s="4" t="s">
        <v>3023</v>
      </c>
      <c r="H2175" s="4" t="s">
        <v>6128</v>
      </c>
      <c r="I2175" s="24" t="str">
        <f>HYPERLINK("https://www.bilibili.com/video/BV1eueCexEQh?p=1","BV1eueCexEQh?p=1")</f>
        <v>BV1eueCexEQh?p=1</v>
      </c>
      <c r="J2175" s="4" t="str">
        <f ca="1">_xlfn.IFNA(VLOOKUP(INDIRECT("G"&amp;ROW()),minfo!$A:$M,COLUMN()-8,0),"")</f>
        <v>我的祖国</v>
      </c>
      <c r="K2175" s="4" t="str">
        <f ca="1">_xlfn.IFNA(VLOOKUP(INDIRECT("G"&amp;ROW()),minfo!$A:$M,COLUMN()-8,0),"")</f>
        <v>郭兰英</v>
      </c>
      <c r="L2175" s="4">
        <f ca="1">_xlfn.IFNA(VLOOKUP(INDIRECT("G"&amp;ROW()),minfo!$A:$M,COLUMN()-8,0),"")</f>
        <v>0</v>
      </c>
      <c r="M2175" s="4">
        <f ca="1">_xlfn.IFNA(VLOOKUP(INDIRECT("G"&amp;ROW()),minfo!$A:$M,COLUMN()-8,0),"")</f>
        <v>0</v>
      </c>
      <c r="N2175" s="4">
        <f ca="1">_xlfn.IFNA(VLOOKUP(INDIRECT("G"&amp;ROW()),minfo!$A:$M,COLUMN()-8,0),"")</f>
        <v>0</v>
      </c>
      <c r="O2175" s="4" t="str">
        <f ca="1">_xlfn.IFNA(VLOOKUP(INDIRECT("G"&amp;ROW()),minfo!$A:$M,COLUMN()-8,0),"")</f>
        <v>https://i0.hdslb.com/bfs/station_src/music_metadata/f1f0babcd6982acdd0de35063dea0c85.jpg</v>
      </c>
      <c r="P2175" s="4" t="str">
        <f ca="1">_xlfn.IFNA(VLOOKUP(INDIRECT("G"&amp;ROW()),minfo!$A:$M,COLUMN()-8,0),"")</f>
        <v>http://i0.hdslb.com/bfs/station_src/music_metadata/d60ead561af337ae57599b642db57734</v>
      </c>
      <c r="Q2175" s="4">
        <f ca="1">_xlfn.IFNA(VLOOKUP(INDIRECT("G"&amp;ROW()),minfo!$A:$M,COLUMN()-8,0),"")</f>
        <v>500</v>
      </c>
      <c r="R2175" s="4">
        <f ca="1">_xlfn.IFNA(VLOOKUP(INDIRECT("G"&amp;ROW()),minfo!$A:$M,COLUMN()-8,0),"")</f>
        <v>0</v>
      </c>
      <c r="S2175" s="4" t="str">
        <f ca="1">_xlfn.IFNA(VLOOKUP(INDIRECT("G"&amp;ROW()),minfo!$A:$M,COLUMN()-8,0),"")</f>
        <v>一人一首成名曲1</v>
      </c>
      <c r="T2175" s="4">
        <f ca="1">_xlfn.IFNA(VLOOKUP(INDIRECT("G"&amp;ROW()),minfo!$A:$M,COLUMN()-8,0),"")</f>
        <v>178826067</v>
      </c>
      <c r="U2175" s="4">
        <f ca="1">_xlfn.IFNA(VLOOKUP(INDIRECT("G"&amp;ROW()),minfo!$A:$M,COLUMN()-8,0),"")</f>
        <v>0</v>
      </c>
    </row>
    <row r="2176" spans="1:21" ht="15.75" customHeight="1">
      <c r="A2176" s="15">
        <v>2175</v>
      </c>
      <c r="B2176" s="4" t="s">
        <v>6129</v>
      </c>
      <c r="D2176" s="4">
        <v>1</v>
      </c>
      <c r="E2176" s="4" t="s">
        <v>6130</v>
      </c>
      <c r="F2176" s="4" t="s">
        <v>6119</v>
      </c>
      <c r="G2176" s="4" t="s">
        <v>3444</v>
      </c>
      <c r="H2176" s="4" t="s">
        <v>6131</v>
      </c>
      <c r="I2176" s="24" t="str">
        <f>HYPERLINK("https://www.bilibili.com/video/BV15TeCeoEdk?p=1","BV15TeCeoEdk?p=1")</f>
        <v>BV15TeCeoEdk?p=1</v>
      </c>
      <c r="J2176" s="4" t="str">
        <f ca="1">_xlfn.IFNA(VLOOKUP(INDIRECT("G"&amp;ROW()),minfo!$A:$M,COLUMN()-8,0),"")</f>
        <v>Love For the Republic (Gong He Guo Zhi Lian)</v>
      </c>
      <c r="K2176" s="4" t="str">
        <f ca="1">_xlfn.IFNA(VLOOKUP(INDIRECT("G"&amp;ROW()),minfo!$A:$M,COLUMN()-8,0),"")</f>
        <v>Classical Artists</v>
      </c>
      <c r="L2176" s="4">
        <f ca="1">_xlfn.IFNA(VLOOKUP(INDIRECT("G"&amp;ROW()),minfo!$A:$M,COLUMN()-8,0),"")</f>
        <v>0</v>
      </c>
      <c r="M2176" s="4">
        <f ca="1">_xlfn.IFNA(VLOOKUP(INDIRECT("G"&amp;ROW()),minfo!$A:$M,COLUMN()-8,0),"")</f>
        <v>0</v>
      </c>
      <c r="N2176" s="4">
        <f ca="1">_xlfn.IFNA(VLOOKUP(INDIRECT("G"&amp;ROW()),minfo!$A:$M,COLUMN()-8,0),"")</f>
        <v>0</v>
      </c>
      <c r="O2176" s="4" t="str">
        <f ca="1">_xlfn.IFNA(VLOOKUP(INDIRECT("G"&amp;ROW()),minfo!$A:$M,COLUMN()-8,0),"")</f>
        <v>https://i0.hdslb.com/bfs/station_src/music_metadata/78f2aa74d1014baff9c29afdce20239c.jpg</v>
      </c>
      <c r="P2176" s="4">
        <f ca="1">_xlfn.IFNA(VLOOKUP(INDIRECT("G"&amp;ROW()),minfo!$A:$M,COLUMN()-8,0),"")</f>
        <v>0</v>
      </c>
      <c r="Q2176" s="4">
        <f ca="1">_xlfn.IFNA(VLOOKUP(INDIRECT("G"&amp;ROW()),minfo!$A:$M,COLUMN()-8,0),"")</f>
        <v>0</v>
      </c>
      <c r="R2176" s="4">
        <f ca="1">_xlfn.IFNA(VLOOKUP(INDIRECT("G"&amp;ROW()),minfo!$A:$M,COLUMN()-8,0),"")</f>
        <v>0</v>
      </c>
      <c r="S2176" s="4" t="str">
        <f ca="1">_xlfn.IFNA(VLOOKUP(INDIRECT("G"&amp;ROW()),minfo!$A:$M,COLUMN()-8,0),"")</f>
        <v>Famous Chinese Military Singers: Vol. 3 (Zhong Hua Ge Tan Ming Ren: Jun Lv Ge Tan Ming Ren San)</v>
      </c>
      <c r="T2176" s="4">
        <f ca="1">_xlfn.IFNA(VLOOKUP(INDIRECT("G"&amp;ROW()),minfo!$A:$M,COLUMN()-8,0),"")</f>
        <v>597328</v>
      </c>
      <c r="U2176" s="4">
        <f ca="1">_xlfn.IFNA(VLOOKUP(INDIRECT("G"&amp;ROW()),minfo!$A:$M,COLUMN()-8,0),"")</f>
        <v>0</v>
      </c>
    </row>
    <row r="2177" spans="1:21" ht="15.75" customHeight="1">
      <c r="A2177" s="15">
        <v>2176</v>
      </c>
      <c r="B2177" s="4" t="s">
        <v>6132</v>
      </c>
      <c r="D2177" s="4">
        <v>1</v>
      </c>
      <c r="E2177" s="4" t="s">
        <v>113</v>
      </c>
      <c r="F2177" s="4" t="s">
        <v>6133</v>
      </c>
      <c r="G2177" s="4" t="s">
        <v>113</v>
      </c>
      <c r="H2177" s="4" t="s">
        <v>6134</v>
      </c>
      <c r="I2177" s="24" t="str">
        <f>HYPERLINK("https://www.bilibili.com/video/BV1wEvEeTEdb?p=1","BV1wEvEeTEdb?p=1")</f>
        <v>BV1wEvEeTEdb?p=1</v>
      </c>
      <c r="J2177" s="4" t="str">
        <f ca="1">_xlfn.IFNA(VLOOKUP(INDIRECT("G"&amp;ROW()),minfo!$A:$M,COLUMN()-8,0),"")</f>
        <v>牡丹亭畔</v>
      </c>
      <c r="K2177" s="4" t="str">
        <f ca="1">_xlfn.IFNA(VLOOKUP(INDIRECT("G"&amp;ROW()),minfo!$A:$M,COLUMN()-8,0),"")</f>
        <v>说说Crystal</v>
      </c>
      <c r="L2177" s="4" t="str">
        <f ca="1">_xlfn.IFNA(VLOOKUP(INDIRECT("G"&amp;ROW()),minfo!$A:$M,COLUMN()-8,0),"")</f>
        <v>BV1CP411M7tc</v>
      </c>
      <c r="M2177" s="4">
        <f ca="1">_xlfn.IFNA(VLOOKUP(INDIRECT("G"&amp;ROW()),minfo!$A:$M,COLUMN()-8,0),"")</f>
        <v>0</v>
      </c>
      <c r="N2177" s="4">
        <f ca="1">_xlfn.IFNA(VLOOKUP(INDIRECT("G"&amp;ROW()),minfo!$A:$M,COLUMN()-8,0),"")</f>
        <v>0</v>
      </c>
      <c r="O2177" s="4">
        <f ca="1">_xlfn.IFNA(VLOOKUP(INDIRECT("G"&amp;ROW()),minfo!$A:$M,COLUMN()-8,0),"")</f>
        <v>0</v>
      </c>
      <c r="P2177" s="4">
        <f ca="1">_xlfn.IFNA(VLOOKUP(INDIRECT("G"&amp;ROW()),minfo!$A:$M,COLUMN()-8,0),"")</f>
        <v>0</v>
      </c>
      <c r="Q2177" s="4">
        <f ca="1">_xlfn.IFNA(VLOOKUP(INDIRECT("G"&amp;ROW()),minfo!$A:$M,COLUMN()-8,0),"")</f>
        <v>0</v>
      </c>
      <c r="R2177" s="4">
        <f ca="1">_xlfn.IFNA(VLOOKUP(INDIRECT("G"&amp;ROW()),minfo!$A:$M,COLUMN()-8,0),"")</f>
        <v>0</v>
      </c>
      <c r="S2177" s="4">
        <f ca="1">_xlfn.IFNA(VLOOKUP(INDIRECT("G"&amp;ROW()),minfo!$A:$M,COLUMN()-8,0),"")</f>
        <v>0</v>
      </c>
      <c r="T2177" s="4">
        <f ca="1">_xlfn.IFNA(VLOOKUP(INDIRECT("G"&amp;ROW()),minfo!$A:$M,COLUMN()-8,0),"")</f>
        <v>0</v>
      </c>
      <c r="U2177" s="4">
        <f ca="1">_xlfn.IFNA(VLOOKUP(INDIRECT("G"&amp;ROW()),minfo!$A:$M,COLUMN()-8,0),"")</f>
        <v>0</v>
      </c>
    </row>
    <row r="2178" spans="1:21" ht="15.75" customHeight="1">
      <c r="A2178" s="15">
        <v>2177</v>
      </c>
      <c r="B2178" s="4" t="s">
        <v>6135</v>
      </c>
      <c r="D2178" s="4">
        <v>1</v>
      </c>
      <c r="E2178" s="4" t="s">
        <v>2797</v>
      </c>
      <c r="F2178" s="4" t="s">
        <v>6133</v>
      </c>
      <c r="G2178" s="4" t="s">
        <v>2796</v>
      </c>
      <c r="H2178" s="4" t="s">
        <v>6136</v>
      </c>
      <c r="I2178" s="24" t="str">
        <f>HYPERLINK("https://www.bilibili.com/video/BV1kjvEeqEqL?p=1","BV1kjvEeqEqL?p=1")</f>
        <v>BV1kjvEeqEqL?p=1</v>
      </c>
      <c r="J2178" s="4" t="str">
        <f ca="1">_xlfn.IFNA(VLOOKUP(INDIRECT("G"&amp;ROW()),minfo!$A:$M,COLUMN()-8,0),"")</f>
        <v>浏阳河</v>
      </c>
      <c r="K2178" s="4" t="str">
        <f ca="1">_xlfn.IFNA(VLOOKUP(INDIRECT("G"&amp;ROW()),minfo!$A:$M,COLUMN()-8,0),"")</f>
        <v>李谷一</v>
      </c>
      <c r="L2178" s="4">
        <f ca="1">_xlfn.IFNA(VLOOKUP(INDIRECT("G"&amp;ROW()),minfo!$A:$M,COLUMN()-8,0),"")</f>
        <v>0</v>
      </c>
      <c r="M2178" s="4">
        <f ca="1">_xlfn.IFNA(VLOOKUP(INDIRECT("G"&amp;ROW()),minfo!$A:$M,COLUMN()-8,0),"")</f>
        <v>0</v>
      </c>
      <c r="N2178" s="4">
        <f ca="1">_xlfn.IFNA(VLOOKUP(INDIRECT("G"&amp;ROW()),minfo!$A:$M,COLUMN()-8,0),"")</f>
        <v>0</v>
      </c>
      <c r="O2178" s="4" t="str">
        <f ca="1">_xlfn.IFNA(VLOOKUP(INDIRECT("G"&amp;ROW()),minfo!$A:$M,COLUMN()-8,0),"")</f>
        <v>https://i0.hdslb.com/bfs/station_src/music_metadata/8da95ecb0ac14b3afd37549bd8ccd36b.jpg</v>
      </c>
      <c r="P2178" s="4" t="str">
        <f ca="1">_xlfn.IFNA(VLOOKUP(INDIRECT("G"&amp;ROW()),minfo!$A:$M,COLUMN()-8,0),"")</f>
        <v>https://i0.hdslb.com/bfs/station_src/music_metadata/119c275854ad0cb9162eb161a9341c81.txt</v>
      </c>
      <c r="Q2178" s="4">
        <f ca="1">_xlfn.IFNA(VLOOKUP(INDIRECT("G"&amp;ROW()),minfo!$A:$M,COLUMN()-8,0),"")</f>
        <v>10</v>
      </c>
      <c r="R2178" s="4">
        <f ca="1">_xlfn.IFNA(VLOOKUP(INDIRECT("G"&amp;ROW()),minfo!$A:$M,COLUMN()-8,0),"")</f>
        <v>0</v>
      </c>
      <c r="S2178" s="4" t="str">
        <f ca="1">_xlfn.IFNA(VLOOKUP(INDIRECT("G"&amp;ROW()),minfo!$A:$M,COLUMN()-8,0),"")</f>
        <v>流淌不尽的中国民歌—在那遥远的地方</v>
      </c>
      <c r="T2178" s="4">
        <f ca="1">_xlfn.IFNA(VLOOKUP(INDIRECT("G"&amp;ROW()),minfo!$A:$M,COLUMN()-8,0),"")</f>
        <v>1731390</v>
      </c>
      <c r="U2178" s="4">
        <f ca="1">_xlfn.IFNA(VLOOKUP(INDIRECT("G"&amp;ROW()),minfo!$A:$M,COLUMN()-8,0),"")</f>
        <v>0</v>
      </c>
    </row>
    <row r="2179" spans="1:21" ht="15.75" customHeight="1">
      <c r="A2179" s="15">
        <v>2178</v>
      </c>
      <c r="B2179" s="4" t="s">
        <v>6137</v>
      </c>
      <c r="D2179" s="4">
        <v>1</v>
      </c>
      <c r="E2179" s="4" t="s">
        <v>6138</v>
      </c>
      <c r="F2179" s="4" t="s">
        <v>6119</v>
      </c>
      <c r="G2179" s="4" t="s">
        <v>3448</v>
      </c>
      <c r="H2179" s="4" t="s">
        <v>6139</v>
      </c>
      <c r="I2179" s="24" t="str">
        <f>HYPERLINK("https://www.bilibili.com/video/BV1F6v7eAECp?p=1","BV1F6v7eAECp?p=1")</f>
        <v>BV1F6v7eAECp?p=1</v>
      </c>
      <c r="J2179" s="4" t="str">
        <f ca="1">_xlfn.IFNA(VLOOKUP(INDIRECT("G"&amp;ROW()),minfo!$A:$M,COLUMN()-8,0),"")</f>
        <v>我会自己上厕所</v>
      </c>
      <c r="K2179" s="4" t="str">
        <f ca="1">_xlfn.IFNA(VLOOKUP(INDIRECT("G"&amp;ROW()),minfo!$A:$M,COLUMN()-8,0),"")</f>
        <v>宝宝巴士</v>
      </c>
      <c r="L2179" s="4">
        <f ca="1">_xlfn.IFNA(VLOOKUP(INDIRECT("G"&amp;ROW()),minfo!$A:$M,COLUMN()-8,0),"")</f>
        <v>0</v>
      </c>
      <c r="M2179" s="4">
        <f ca="1">_xlfn.IFNA(VLOOKUP(INDIRECT("G"&amp;ROW()),minfo!$A:$M,COLUMN()-8,0),"")</f>
        <v>0</v>
      </c>
      <c r="N2179" s="4">
        <f ca="1">_xlfn.IFNA(VLOOKUP(INDIRECT("G"&amp;ROW()),minfo!$A:$M,COLUMN()-8,0),"")</f>
        <v>0</v>
      </c>
      <c r="O2179" s="4" t="str">
        <f ca="1">_xlfn.IFNA(VLOOKUP(INDIRECT("G"&amp;ROW()),minfo!$A:$M,COLUMN()-8,0),"")</f>
        <v>https://i0.hdslb.com/bfs/station_src/music_metadata/7462160540d507daa8458f7586491af5.jpg</v>
      </c>
      <c r="P2179" s="4" t="str">
        <f ca="1">_xlfn.IFNA(VLOOKUP(INDIRECT("G"&amp;ROW()),minfo!$A:$M,COLUMN()-8,0),"")</f>
        <v>http://i0.hdslb.com/bfs/station_src/music_metadata/7bee3e974d1a4b73d94f67eb5600f5ed</v>
      </c>
      <c r="Q2179" s="4">
        <f ca="1">_xlfn.IFNA(VLOOKUP(INDIRECT("G"&amp;ROW()),minfo!$A:$M,COLUMN()-8,0),"")</f>
        <v>910</v>
      </c>
      <c r="R2179" s="4">
        <f ca="1">_xlfn.IFNA(VLOOKUP(INDIRECT("G"&amp;ROW()),minfo!$A:$M,COLUMN()-8,0),"")</f>
        <v>0</v>
      </c>
      <c r="S2179" s="4" t="str">
        <f ca="1">_xlfn.IFNA(VLOOKUP(INDIRECT("G"&amp;ROW()),minfo!$A:$M,COLUMN()-8,0),"")</f>
        <v>宝宝巴士益智儿歌</v>
      </c>
      <c r="T2179" s="4">
        <f ca="1">_xlfn.IFNA(VLOOKUP(INDIRECT("G"&amp;ROW()),minfo!$A:$M,COLUMN()-8,0),"")</f>
        <v>110160655</v>
      </c>
      <c r="U2179" s="4">
        <f ca="1">_xlfn.IFNA(VLOOKUP(INDIRECT("G"&amp;ROW()),minfo!$A:$M,COLUMN()-8,0),"")</f>
        <v>0</v>
      </c>
    </row>
    <row r="2180" spans="1:21" ht="15.75" customHeight="1">
      <c r="A2180" s="15">
        <v>2179</v>
      </c>
      <c r="B2180" s="4" t="s">
        <v>6140</v>
      </c>
      <c r="D2180" s="4">
        <v>1</v>
      </c>
      <c r="E2180" s="4" t="s">
        <v>1912</v>
      </c>
      <c r="F2180" s="4" t="s">
        <v>6141</v>
      </c>
      <c r="G2180" s="4" t="s">
        <v>1911</v>
      </c>
      <c r="H2180" s="4" t="s">
        <v>6142</v>
      </c>
      <c r="I2180" s="24" t="str">
        <f>HYPERLINK("https://www.bilibili.com/video/BV1XvvTeRESZ?p=1","BV1XvvTeRESZ?p=1")</f>
        <v>BV1XvvTeRESZ?p=1</v>
      </c>
      <c r="J2180" s="4" t="str">
        <f ca="1">_xlfn.IFNA(VLOOKUP(INDIRECT("G"&amp;ROW()),minfo!$A:$M,COLUMN()-8,0),"")</f>
        <v>贝加尔湖畔</v>
      </c>
      <c r="K2180" s="4" t="str">
        <f ca="1">_xlfn.IFNA(VLOOKUP(INDIRECT("G"&amp;ROW()),minfo!$A:$M,COLUMN()-8,0),"")</f>
        <v>李健</v>
      </c>
      <c r="L2180" s="4">
        <f ca="1">_xlfn.IFNA(VLOOKUP(INDIRECT("G"&amp;ROW()),minfo!$A:$M,COLUMN()-8,0),"")</f>
        <v>0</v>
      </c>
      <c r="M2180" s="4">
        <f ca="1">_xlfn.IFNA(VLOOKUP(INDIRECT("G"&amp;ROW()),minfo!$A:$M,COLUMN()-8,0),"")</f>
        <v>0</v>
      </c>
      <c r="N2180" s="4">
        <f ca="1">_xlfn.IFNA(VLOOKUP(INDIRECT("G"&amp;ROW()),minfo!$A:$M,COLUMN()-8,0),"")</f>
        <v>0</v>
      </c>
      <c r="O2180" s="4" t="str">
        <f ca="1">_xlfn.IFNA(VLOOKUP(INDIRECT("G"&amp;ROW()),minfo!$A:$M,COLUMN()-8,0),"")</f>
        <v>https://i0.hdslb.com/bfs/station_src/music_metadata/8ab2083dd90a51914d1b00e7f40d2688.jpg</v>
      </c>
      <c r="P2180" s="4" t="str">
        <f ca="1">_xlfn.IFNA(VLOOKUP(INDIRECT("G"&amp;ROW()),minfo!$A:$M,COLUMN()-8,0),"")</f>
        <v>http://i0.hdslb.com/bfs/station_src/music_metadata/769ecbab206d9e5f0cf58f60a5c7fc82</v>
      </c>
      <c r="Q2180" s="4">
        <f ca="1">_xlfn.IFNA(VLOOKUP(INDIRECT("G"&amp;ROW()),minfo!$A:$M,COLUMN()-8,0),"")</f>
        <v>1064</v>
      </c>
      <c r="R2180" s="4" t="str">
        <f ca="1">_xlfn.IFNA(VLOOKUP(INDIRECT("G"&amp;ROW()),minfo!$A:$M,COLUMN()-8,0),"")</f>
        <v>《无心法师》电视剧片头曲</v>
      </c>
      <c r="S2180" s="4" t="str">
        <f ca="1">_xlfn.IFNA(VLOOKUP(INDIRECT("G"&amp;ROW()),minfo!$A:$M,COLUMN()-8,0),"")</f>
        <v>依然</v>
      </c>
      <c r="T2180" s="4">
        <f ca="1">_xlfn.IFNA(VLOOKUP(INDIRECT("G"&amp;ROW()),minfo!$A:$M,COLUMN()-8,0),"")</f>
        <v>179366306</v>
      </c>
      <c r="U2180" s="4">
        <f ca="1">_xlfn.IFNA(VLOOKUP(INDIRECT("G"&amp;ROW()),minfo!$A:$M,COLUMN()-8,0),"")</f>
        <v>0</v>
      </c>
    </row>
    <row r="2181" spans="1:21" ht="15.75" customHeight="1">
      <c r="A2181" s="15">
        <v>2180</v>
      </c>
      <c r="B2181" s="4" t="s">
        <v>6143</v>
      </c>
      <c r="D2181" s="4">
        <v>1</v>
      </c>
      <c r="E2181" s="4" t="s">
        <v>2803</v>
      </c>
      <c r="F2181" s="4" t="s">
        <v>6141</v>
      </c>
      <c r="G2181" s="4" t="s">
        <v>1911</v>
      </c>
      <c r="H2181" s="4" t="s">
        <v>6144</v>
      </c>
      <c r="I2181" s="24" t="str">
        <f>HYPERLINK("https://www.bilibili.com/video/BV19vvTeREWA?p=1","BV19vvTeREWA?p=1")</f>
        <v>BV19vvTeREWA?p=1</v>
      </c>
      <c r="J2181" s="4" t="str">
        <f ca="1">_xlfn.IFNA(VLOOKUP(INDIRECT("G"&amp;ROW()),minfo!$A:$M,COLUMN()-8,0),"")</f>
        <v>贝加尔湖畔</v>
      </c>
      <c r="K2181" s="4" t="str">
        <f ca="1">_xlfn.IFNA(VLOOKUP(INDIRECT("G"&amp;ROW()),minfo!$A:$M,COLUMN()-8,0),"")</f>
        <v>李健</v>
      </c>
      <c r="L2181" s="4">
        <f ca="1">_xlfn.IFNA(VLOOKUP(INDIRECT("G"&amp;ROW()),minfo!$A:$M,COLUMN()-8,0),"")</f>
        <v>0</v>
      </c>
      <c r="M2181" s="4">
        <f ca="1">_xlfn.IFNA(VLOOKUP(INDIRECT("G"&amp;ROW()),minfo!$A:$M,COLUMN()-8,0),"")</f>
        <v>0</v>
      </c>
      <c r="N2181" s="4">
        <f ca="1">_xlfn.IFNA(VLOOKUP(INDIRECT("G"&amp;ROW()),minfo!$A:$M,COLUMN()-8,0),"")</f>
        <v>0</v>
      </c>
      <c r="O2181" s="4" t="str">
        <f ca="1">_xlfn.IFNA(VLOOKUP(INDIRECT("G"&amp;ROW()),minfo!$A:$M,COLUMN()-8,0),"")</f>
        <v>https://i0.hdslb.com/bfs/station_src/music_metadata/8ab2083dd90a51914d1b00e7f40d2688.jpg</v>
      </c>
      <c r="P2181" s="4" t="str">
        <f ca="1">_xlfn.IFNA(VLOOKUP(INDIRECT("G"&amp;ROW()),minfo!$A:$M,COLUMN()-8,0),"")</f>
        <v>http://i0.hdslb.com/bfs/station_src/music_metadata/769ecbab206d9e5f0cf58f60a5c7fc82</v>
      </c>
      <c r="Q2181" s="4">
        <f ca="1">_xlfn.IFNA(VLOOKUP(INDIRECT("G"&amp;ROW()),minfo!$A:$M,COLUMN()-8,0),"")</f>
        <v>1064</v>
      </c>
      <c r="R2181" s="4" t="str">
        <f ca="1">_xlfn.IFNA(VLOOKUP(INDIRECT("G"&amp;ROW()),minfo!$A:$M,COLUMN()-8,0),"")</f>
        <v>《无心法师》电视剧片头曲</v>
      </c>
      <c r="S2181" s="4" t="str">
        <f ca="1">_xlfn.IFNA(VLOOKUP(INDIRECT("G"&amp;ROW()),minfo!$A:$M,COLUMN()-8,0),"")</f>
        <v>依然</v>
      </c>
      <c r="T2181" s="4">
        <f ca="1">_xlfn.IFNA(VLOOKUP(INDIRECT("G"&amp;ROW()),minfo!$A:$M,COLUMN()-8,0),"")</f>
        <v>179366306</v>
      </c>
      <c r="U2181" s="4">
        <f ca="1">_xlfn.IFNA(VLOOKUP(INDIRECT("G"&amp;ROW()),minfo!$A:$M,COLUMN()-8,0),"")</f>
        <v>0</v>
      </c>
    </row>
    <row r="2182" spans="1:21" ht="15.75" customHeight="1">
      <c r="A2182" s="15">
        <v>2181</v>
      </c>
      <c r="B2182" s="4" t="s">
        <v>6145</v>
      </c>
      <c r="D2182" s="4">
        <v>1</v>
      </c>
      <c r="E2182" s="4" t="s">
        <v>1743</v>
      </c>
      <c r="F2182" s="4" t="s">
        <v>6141</v>
      </c>
      <c r="G2182" s="4" t="s">
        <v>1742</v>
      </c>
      <c r="H2182" s="4" t="s">
        <v>6146</v>
      </c>
      <c r="I2182" s="24" t="str">
        <f>HYPERLINK("https://www.bilibili.com/video/BV1D6vTeHE45?p=1","BV1D6vTeHE45?p=1")</f>
        <v>BV1D6vTeHE45?p=1</v>
      </c>
      <c r="J2182" s="4" t="str">
        <f ca="1">_xlfn.IFNA(VLOOKUP(INDIRECT("G"&amp;ROW()),minfo!$A:$M,COLUMN()-8,0),"")</f>
        <v>知足</v>
      </c>
      <c r="K2182" s="4" t="str">
        <f ca="1">_xlfn.IFNA(VLOOKUP(INDIRECT("G"&amp;ROW()),minfo!$A:$M,COLUMN()-8,0),"")</f>
        <v>五月天</v>
      </c>
      <c r="L2182" s="4">
        <f ca="1">_xlfn.IFNA(VLOOKUP(INDIRECT("G"&amp;ROW()),minfo!$A:$M,COLUMN()-8,0),"")</f>
        <v>0</v>
      </c>
      <c r="M2182" s="4">
        <f ca="1">_xlfn.IFNA(VLOOKUP(INDIRECT("G"&amp;ROW()),minfo!$A:$M,COLUMN()-8,0),"")</f>
        <v>3030</v>
      </c>
      <c r="N2182" s="4">
        <f ca="1">_xlfn.IFNA(VLOOKUP(INDIRECT("G"&amp;ROW()),minfo!$A:$M,COLUMN()-8,0),"")</f>
        <v>1949</v>
      </c>
      <c r="O2182" s="4" t="str">
        <f ca="1">_xlfn.IFNA(VLOOKUP(INDIRECT("G"&amp;ROW()),minfo!$A:$M,COLUMN()-8,0),"")</f>
        <v>http://i0.hdslb.com/bfs/station_src/music_metadata/dab8db4a9a448c1f836e56049070aa26.jpg</v>
      </c>
      <c r="P2182" s="4" t="str">
        <f ca="1">_xlfn.IFNA(VLOOKUP(INDIRECT("G"&amp;ROW()),minfo!$A:$M,COLUMN()-8,0),"")</f>
        <v>http://i0.hdslb.com/bfs/station_src/music_metadata/b378a92a47e277d62037de8697e6967f</v>
      </c>
      <c r="Q2182" s="4">
        <f ca="1">_xlfn.IFNA(VLOOKUP(INDIRECT("G"&amp;ROW()),minfo!$A:$M,COLUMN()-8,0),"")</f>
        <v>556</v>
      </c>
      <c r="R2182" s="4">
        <f ca="1">_xlfn.IFNA(VLOOKUP(INDIRECT("G"&amp;ROW()),minfo!$A:$M,COLUMN()-8,0),"")</f>
        <v>0</v>
      </c>
      <c r="S2182" s="4" t="str">
        <f ca="1">_xlfn.IFNA(VLOOKUP(INDIRECT("G"&amp;ROW()),minfo!$A:$M,COLUMN()-8,0),"")</f>
        <v>步步 自选作品辑 the Best of 1999-2013</v>
      </c>
      <c r="T2182" s="4">
        <f ca="1">_xlfn.IFNA(VLOOKUP(INDIRECT("G"&amp;ROW()),minfo!$A:$M,COLUMN()-8,0),"")</f>
        <v>243513643</v>
      </c>
      <c r="U2182" s="4">
        <f ca="1">_xlfn.IFNA(VLOOKUP(INDIRECT("G"&amp;ROW()),minfo!$A:$M,COLUMN()-8,0),"")</f>
        <v>0</v>
      </c>
    </row>
    <row r="2183" spans="1:21" ht="15.75" customHeight="1">
      <c r="A2183" s="15">
        <v>2182</v>
      </c>
      <c r="B2183" s="4" t="s">
        <v>6147</v>
      </c>
      <c r="D2183" s="4">
        <v>1</v>
      </c>
      <c r="E2183" s="4" t="s">
        <v>375</v>
      </c>
      <c r="F2183" s="4" t="s">
        <v>6141</v>
      </c>
      <c r="G2183" s="4" t="s">
        <v>374</v>
      </c>
      <c r="H2183" s="4" t="s">
        <v>6148</v>
      </c>
      <c r="I2183" s="24" t="str">
        <f>HYPERLINK("https://www.bilibili.com/video/BV12RvueSEAx?p=1","BV12RvueSEAx?p=1")</f>
        <v>BV12RvueSEAx?p=1</v>
      </c>
      <c r="J2183" s="4" t="str">
        <f ca="1">_xlfn.IFNA(VLOOKUP(INDIRECT("G"&amp;ROW()),minfo!$A:$M,COLUMN()-8,0),"")</f>
        <v>彩虹</v>
      </c>
      <c r="K2183" s="4" t="str">
        <f ca="1">_xlfn.IFNA(VLOOKUP(INDIRECT("G"&amp;ROW()),minfo!$A:$M,COLUMN()-8,0),"")</f>
        <v>周杰伦</v>
      </c>
      <c r="L2183" s="4">
        <f ca="1">_xlfn.IFNA(VLOOKUP(INDIRECT("G"&amp;ROW()),minfo!$A:$M,COLUMN()-8,0),"")</f>
        <v>0</v>
      </c>
      <c r="M2183" s="4">
        <f ca="1">_xlfn.IFNA(VLOOKUP(INDIRECT("G"&amp;ROW()),minfo!$A:$M,COLUMN()-8,0),"")</f>
        <v>0</v>
      </c>
      <c r="N2183" s="4">
        <f ca="1">_xlfn.IFNA(VLOOKUP(INDIRECT("G"&amp;ROW()),minfo!$A:$M,COLUMN()-8,0),"")</f>
        <v>0</v>
      </c>
      <c r="O2183" s="4" t="str">
        <f ca="1">_xlfn.IFNA(VLOOKUP(INDIRECT("G"&amp;ROW()),minfo!$A:$M,COLUMN()-8,0),"")</f>
        <v>https://i0.hdslb.com/bfs/station_src/music_metadata/2b7d7250423bd10995c607eb49b4e004.jpg</v>
      </c>
      <c r="P2183" s="4">
        <f ca="1">_xlfn.IFNA(VLOOKUP(INDIRECT("G"&amp;ROW()),minfo!$A:$M,COLUMN()-8,0),"")</f>
        <v>0</v>
      </c>
      <c r="Q2183" s="4">
        <f ca="1">_xlfn.IFNA(VLOOKUP(INDIRECT("G"&amp;ROW()),minfo!$A:$M,COLUMN()-8,0),"")</f>
        <v>1340</v>
      </c>
      <c r="R2183" s="4" t="str">
        <f ca="1">_xlfn.IFNA(VLOOKUP(INDIRECT("G"&amp;ROW()),minfo!$A:$M,COLUMN()-8,0),"")</f>
        <v>《命运呼叫转移》电影主题曲</v>
      </c>
      <c r="S2183" s="4" t="str">
        <f ca="1">_xlfn.IFNA(VLOOKUP(INDIRECT("G"&amp;ROW()),minfo!$A:$M,COLUMN()-8,0),"")</f>
        <v>我很忙</v>
      </c>
      <c r="T2183" s="4">
        <f ca="1">_xlfn.IFNA(VLOOKUP(INDIRECT("G"&amp;ROW()),minfo!$A:$M,COLUMN()-8,0),"")</f>
        <v>394249952</v>
      </c>
      <c r="U2183" s="4">
        <f ca="1">_xlfn.IFNA(VLOOKUP(INDIRECT("G"&amp;ROW()),minfo!$A:$M,COLUMN()-8,0),"")</f>
        <v>0</v>
      </c>
    </row>
    <row r="2184" spans="1:21" ht="15.75" customHeight="1">
      <c r="A2184" s="15">
        <v>2183</v>
      </c>
      <c r="B2184" s="4" t="s">
        <v>5885</v>
      </c>
      <c r="D2184" s="4">
        <v>1</v>
      </c>
      <c r="E2184" s="4" t="s">
        <v>5886</v>
      </c>
      <c r="F2184" s="4" t="s">
        <v>6141</v>
      </c>
      <c r="G2184" s="4" t="s">
        <v>3392</v>
      </c>
      <c r="H2184" s="4" t="s">
        <v>6149</v>
      </c>
      <c r="I2184" s="24" t="str">
        <f>HYPERLINK("https://www.bilibili.com/video/BV1mDvuepETf?p=1","BV1mDvuepETf?p=1")</f>
        <v>BV1mDvuepETf?p=1</v>
      </c>
      <c r="J2184" s="4" t="str">
        <f ca="1">_xlfn.IFNA(VLOOKUP(INDIRECT("G"&amp;ROW()),minfo!$A:$M,COLUMN()-8,0),"")</f>
        <v>爱, 很简单</v>
      </c>
      <c r="K2184" s="4" t="str">
        <f ca="1">_xlfn.IFNA(VLOOKUP(INDIRECT("G"&amp;ROW()),minfo!$A:$M,COLUMN()-8,0),"")</f>
        <v>陶喆</v>
      </c>
      <c r="L2184" s="4">
        <f ca="1">_xlfn.IFNA(VLOOKUP(INDIRECT("G"&amp;ROW()),minfo!$A:$M,COLUMN()-8,0),"")</f>
        <v>0</v>
      </c>
      <c r="M2184" s="4">
        <f ca="1">_xlfn.IFNA(VLOOKUP(INDIRECT("G"&amp;ROW()),minfo!$A:$M,COLUMN()-8,0),"")</f>
        <v>0</v>
      </c>
      <c r="N2184" s="4">
        <f ca="1">_xlfn.IFNA(VLOOKUP(INDIRECT("G"&amp;ROW()),minfo!$A:$M,COLUMN()-8,0),"")</f>
        <v>0</v>
      </c>
      <c r="O2184" s="4" t="str">
        <f ca="1">_xlfn.IFNA(VLOOKUP(INDIRECT("G"&amp;ROW()),minfo!$A:$M,COLUMN()-8,0),"")</f>
        <v>https://i0.hdslb.com/bfs/station_src/music_metadata/96c179aea47ab42fa8550920c454193d.jpg</v>
      </c>
      <c r="P2184" s="4" t="str">
        <f ca="1">_xlfn.IFNA(VLOOKUP(INDIRECT("G"&amp;ROW()),minfo!$A:$M,COLUMN()-8,0),"")</f>
        <v>http://i0.hdslb.com/bfs/station_src/music_metadata/08eed7cded32332d1c9d23c2890819fa</v>
      </c>
      <c r="Q2184" s="4">
        <f ca="1">_xlfn.IFNA(VLOOKUP(INDIRECT("G"&amp;ROW()),minfo!$A:$M,COLUMN()-8,0),"")</f>
        <v>269</v>
      </c>
      <c r="R2184" s="4" t="str">
        <f ca="1">_xlfn.IFNA(VLOOKUP(INDIRECT("G"&amp;ROW()),minfo!$A:$M,COLUMN()-8,0),"")</f>
        <v>《单身男女》电影插曲|《单身男女2》电影主题曲</v>
      </c>
      <c r="S2184" s="4" t="str">
        <f ca="1">_xlfn.IFNA(VLOOKUP(INDIRECT("G"&amp;ROW()),minfo!$A:$M,COLUMN()-8,0),"")</f>
        <v>Ultrasound 乐之路 1997-2003</v>
      </c>
      <c r="T2184" s="4">
        <f ca="1">_xlfn.IFNA(VLOOKUP(INDIRECT("G"&amp;ROW()),minfo!$A:$M,COLUMN()-8,0),"")</f>
        <v>162536625</v>
      </c>
      <c r="U2184" s="4">
        <f ca="1">_xlfn.IFNA(VLOOKUP(INDIRECT("G"&amp;ROW()),minfo!$A:$M,COLUMN()-8,0),"")</f>
        <v>0</v>
      </c>
    </row>
    <row r="2185" spans="1:21" ht="15.75" customHeight="1">
      <c r="A2185" s="15">
        <v>2184</v>
      </c>
      <c r="B2185" s="4" t="s">
        <v>5872</v>
      </c>
      <c r="D2185" s="4">
        <v>1</v>
      </c>
      <c r="E2185" s="4" t="s">
        <v>3257</v>
      </c>
      <c r="F2185" s="4" t="s">
        <v>6141</v>
      </c>
      <c r="G2185" s="4" t="s">
        <v>3256</v>
      </c>
      <c r="H2185" s="4" t="s">
        <v>6150</v>
      </c>
      <c r="I2185" s="24" t="str">
        <f>HYPERLINK("https://www.bilibili.com/video/BV11RvueSEJW?p=1","BV11RvueSEJW?p=1")</f>
        <v>BV11RvueSEJW?p=1</v>
      </c>
      <c r="J2185" s="4" t="str">
        <f ca="1">_xlfn.IFNA(VLOOKUP(INDIRECT("G"&amp;ROW()),minfo!$A:$M,COLUMN()-8,0),"")</f>
        <v>眼泪成诗</v>
      </c>
      <c r="K2185" s="4" t="str">
        <f ca="1">_xlfn.IFNA(VLOOKUP(INDIRECT("G"&amp;ROW()),minfo!$A:$M,COLUMN()-8,0),"")</f>
        <v>孙燕姿</v>
      </c>
      <c r="L2185" s="4">
        <f ca="1">_xlfn.IFNA(VLOOKUP(INDIRECT("G"&amp;ROW()),minfo!$A:$M,COLUMN()-8,0),"")</f>
        <v>0</v>
      </c>
      <c r="M2185" s="4">
        <f ca="1">_xlfn.IFNA(VLOOKUP(INDIRECT("G"&amp;ROW()),minfo!$A:$M,COLUMN()-8,0),"")</f>
        <v>0</v>
      </c>
      <c r="N2185" s="4">
        <f ca="1">_xlfn.IFNA(VLOOKUP(INDIRECT("G"&amp;ROW()),minfo!$A:$M,COLUMN()-8,0),"")</f>
        <v>0</v>
      </c>
      <c r="O2185" s="4" t="str">
        <f ca="1">_xlfn.IFNA(VLOOKUP(INDIRECT("G"&amp;ROW()),minfo!$A:$M,COLUMN()-8,0),"")</f>
        <v>http://i0.hdslb.com/bfs/station_src/music_metadata/9f36b6c91db5e064802dcd6b7e3a4490.jpg</v>
      </c>
      <c r="P2185" s="4" t="str">
        <f ca="1">_xlfn.IFNA(VLOOKUP(INDIRECT("G"&amp;ROW()),minfo!$A:$M,COLUMN()-8,0),"")</f>
        <v>http://i0.hdslb.com/bfs/station_src/music_metadata/20ff409dba580102aa01112537942a19</v>
      </c>
      <c r="Q2185" s="4">
        <f ca="1">_xlfn.IFNA(VLOOKUP(INDIRECT("G"&amp;ROW()),minfo!$A:$M,COLUMN()-8,0),"")</f>
        <v>71</v>
      </c>
      <c r="R2185" s="4">
        <f ca="1">_xlfn.IFNA(VLOOKUP(INDIRECT("G"&amp;ROW()),minfo!$A:$M,COLUMN()-8,0),"")</f>
        <v>0</v>
      </c>
      <c r="S2185" s="4" t="str">
        <f ca="1">_xlfn.IFNA(VLOOKUP(INDIRECT("G"&amp;ROW()),minfo!$A:$M,COLUMN()-8,0),"")</f>
        <v>完美的一天</v>
      </c>
      <c r="T2185" s="4">
        <f ca="1">_xlfn.IFNA(VLOOKUP(INDIRECT("G"&amp;ROW()),minfo!$A:$M,COLUMN()-8,0),"")</f>
        <v>28168358</v>
      </c>
      <c r="U2185" s="4">
        <f ca="1">_xlfn.IFNA(VLOOKUP(INDIRECT("G"&amp;ROW()),minfo!$A:$M,COLUMN()-8,0),"")</f>
        <v>0</v>
      </c>
    </row>
    <row r="2186" spans="1:21" ht="15.75" customHeight="1">
      <c r="A2186" s="15">
        <v>2185</v>
      </c>
      <c r="B2186" s="4" t="s">
        <v>6151</v>
      </c>
      <c r="D2186" s="4">
        <v>1</v>
      </c>
      <c r="E2186" s="4" t="s">
        <v>3454</v>
      </c>
      <c r="F2186" s="4" t="s">
        <v>6141</v>
      </c>
      <c r="G2186" s="4" t="s">
        <v>3453</v>
      </c>
      <c r="H2186" s="4" t="s">
        <v>6152</v>
      </c>
      <c r="I2186" s="24" t="str">
        <f>HYPERLINK("https://www.bilibili.com/video/BV119vuenE9h?p=1","BV119vuenE9h?p=1")</f>
        <v>BV119vuenE9h?p=1</v>
      </c>
      <c r="J2186" s="4" t="str">
        <f ca="1">_xlfn.IFNA(VLOOKUP(INDIRECT("G"&amp;ROW()),minfo!$A:$M,COLUMN()-8,0),"")</f>
        <v>梨花香</v>
      </c>
      <c r="K2186" s="4" t="str">
        <f ca="1">_xlfn.IFNA(VLOOKUP(INDIRECT("G"&amp;ROW()),minfo!$A:$M,COLUMN()-8,0),"")</f>
        <v>音频怪物</v>
      </c>
      <c r="L2186" s="4">
        <f ca="1">_xlfn.IFNA(VLOOKUP(INDIRECT("G"&amp;ROW()),minfo!$A:$M,COLUMN()-8,0),"")</f>
        <v>0</v>
      </c>
      <c r="M2186" s="4">
        <f ca="1">_xlfn.IFNA(VLOOKUP(INDIRECT("G"&amp;ROW()),minfo!$A:$M,COLUMN()-8,0),"")</f>
        <v>0</v>
      </c>
      <c r="N2186" s="4">
        <f ca="1">_xlfn.IFNA(VLOOKUP(INDIRECT("G"&amp;ROW()),minfo!$A:$M,COLUMN()-8,0),"")</f>
        <v>0</v>
      </c>
      <c r="O2186" s="4" t="str">
        <f ca="1">_xlfn.IFNA(VLOOKUP(INDIRECT("G"&amp;ROW()),minfo!$A:$M,COLUMN()-8,0),"")</f>
        <v>https://i0.hdslb.com/bfs/station_src/music_metadata/e274742df693beef2e7453f675dafc61.jpg</v>
      </c>
      <c r="P2186" s="4" t="str">
        <f ca="1">_xlfn.IFNA(VLOOKUP(INDIRECT("G"&amp;ROW()),minfo!$A:$M,COLUMN()-8,0),"")</f>
        <v>https://i0.hdslb.com/bfs/station_src/music_metadata/55bad8e3307c3f0c06ac77e29bcf2148.txt</v>
      </c>
      <c r="Q2186" s="4">
        <f ca="1">_xlfn.IFNA(VLOOKUP(INDIRECT("G"&amp;ROW()),minfo!$A:$M,COLUMN()-8,0),"")</f>
        <v>10</v>
      </c>
      <c r="R2186" s="4" t="str">
        <f ca="1">_xlfn.IFNA(VLOOKUP(INDIRECT("G"&amp;ROW()),minfo!$A:$M,COLUMN()-8,0),"")</f>
        <v>Cover：李宇春</v>
      </c>
      <c r="S2186" s="4" t="str">
        <f ca="1">_xlfn.IFNA(VLOOKUP(INDIRECT("G"&amp;ROW()),minfo!$A:$M,COLUMN()-8,0),"")</f>
        <v>音频怪物精选</v>
      </c>
      <c r="T2186" s="4">
        <f ca="1">_xlfn.IFNA(VLOOKUP(INDIRECT("G"&amp;ROW()),minfo!$A:$M,COLUMN()-8,0),"")</f>
        <v>861479</v>
      </c>
      <c r="U2186" s="4">
        <f ca="1">_xlfn.IFNA(VLOOKUP(INDIRECT("G"&amp;ROW()),minfo!$A:$M,COLUMN()-8,0),"")</f>
        <v>0</v>
      </c>
    </row>
    <row r="2187" spans="1:21" ht="15.75" customHeight="1">
      <c r="A2187" s="15">
        <v>2186</v>
      </c>
      <c r="B2187" s="4" t="s">
        <v>6153</v>
      </c>
      <c r="D2187" s="4">
        <v>1</v>
      </c>
      <c r="E2187" s="4" t="s">
        <v>250</v>
      </c>
      <c r="F2187" s="4" t="s">
        <v>6154</v>
      </c>
      <c r="G2187" s="4" t="s">
        <v>249</v>
      </c>
      <c r="H2187" s="4" t="s">
        <v>6155</v>
      </c>
      <c r="I2187" s="24" t="str">
        <f>HYPERLINK("https://www.bilibili.com/video/BV1MVv1esEs8?p=1","BV1MVv1esEs8?p=1")</f>
        <v>BV1MVv1esEs8?p=1</v>
      </c>
      <c r="J2187" s="4" t="str">
        <f ca="1">_xlfn.IFNA(VLOOKUP(INDIRECT("G"&amp;ROW()),minfo!$A:$M,COLUMN()-8,0),"")</f>
        <v>入画江南</v>
      </c>
      <c r="K2187" s="4" t="str">
        <f ca="1">_xlfn.IFNA(VLOOKUP(INDIRECT("G"&amp;ROW()),minfo!$A:$M,COLUMN()-8,0),"")</f>
        <v>黄龄</v>
      </c>
      <c r="L2187" s="4">
        <f ca="1">_xlfn.IFNA(VLOOKUP(INDIRECT("G"&amp;ROW()),minfo!$A:$M,COLUMN()-8,0),"")</f>
        <v>0</v>
      </c>
      <c r="M2187" s="4">
        <f ca="1">_xlfn.IFNA(VLOOKUP(INDIRECT("G"&amp;ROW()),minfo!$A:$M,COLUMN()-8,0),"")</f>
        <v>0</v>
      </c>
      <c r="N2187" s="4">
        <f ca="1">_xlfn.IFNA(VLOOKUP(INDIRECT("G"&amp;ROW()),minfo!$A:$M,COLUMN()-8,0),"")</f>
        <v>0</v>
      </c>
      <c r="O2187" s="4" t="str">
        <f ca="1">_xlfn.IFNA(VLOOKUP(INDIRECT("G"&amp;ROW()),minfo!$A:$M,COLUMN()-8,0),"")</f>
        <v>https://i0.hdslb.com/bfs/station_src/music_metadata/9bad5d5de3b3ad30ddb1728f2601e072.jpg</v>
      </c>
      <c r="P2187" s="4" t="str">
        <f ca="1">_xlfn.IFNA(VLOOKUP(INDIRECT("G"&amp;ROW()),minfo!$A:$M,COLUMN()-8,0),"")</f>
        <v>http://i0.hdslb.com/bfs/station_src/music_metadata/c67ce1dd9cbfd2414bb3914f717f4817</v>
      </c>
      <c r="Q2187" s="4">
        <f ca="1">_xlfn.IFNA(VLOOKUP(INDIRECT("G"&amp;ROW()),minfo!$A:$M,COLUMN()-8,0),"")</f>
        <v>2739</v>
      </c>
      <c r="R2187" s="4" t="str">
        <f ca="1">_xlfn.IFNA(VLOOKUP(INDIRECT("G"&amp;ROW()),minfo!$A:$M,COLUMN()-8,0),"")</f>
        <v>《江南百景图》手游推广曲</v>
      </c>
      <c r="S2187" s="4" t="str">
        <f ca="1">_xlfn.IFNA(VLOOKUP(INDIRECT("G"&amp;ROW()),minfo!$A:$M,COLUMN()-8,0),"")</f>
        <v>入画江南</v>
      </c>
      <c r="T2187" s="4">
        <f ca="1">_xlfn.IFNA(VLOOKUP(INDIRECT("G"&amp;ROW()),minfo!$A:$M,COLUMN()-8,0),"")</f>
        <v>119060924</v>
      </c>
      <c r="U2187" s="4">
        <f ca="1">_xlfn.IFNA(VLOOKUP(INDIRECT("G"&amp;ROW()),minfo!$A:$M,COLUMN()-8,0),"")</f>
        <v>0</v>
      </c>
    </row>
    <row r="2188" spans="1:21" ht="15.75" customHeight="1">
      <c r="A2188" s="15">
        <v>2187</v>
      </c>
      <c r="B2188" s="4" t="s">
        <v>6156</v>
      </c>
      <c r="D2188" s="4">
        <v>1</v>
      </c>
      <c r="E2188" s="4" t="s">
        <v>894</v>
      </c>
      <c r="F2188" s="4" t="s">
        <v>6154</v>
      </c>
      <c r="G2188" s="4" t="s">
        <v>893</v>
      </c>
      <c r="H2188" s="4" t="s">
        <v>6157</v>
      </c>
      <c r="I2188" s="24" t="str">
        <f>HYPERLINK("https://www.bilibili.com/video/BV1b3v1edEYD?p=1","BV1b3v1edEYD?p=1")</f>
        <v>BV1b3v1edEYD?p=1</v>
      </c>
      <c r="J2188" s="4" t="str">
        <f ca="1">_xlfn.IFNA(VLOOKUP(INDIRECT("G"&amp;ROW()),minfo!$A:$M,COLUMN()-8,0),"")</f>
        <v>星河叹</v>
      </c>
      <c r="K2188" s="4" t="str">
        <f ca="1">_xlfn.IFNA(VLOOKUP(INDIRECT("G"&amp;ROW()),minfo!$A:$M,COLUMN()-8,0),"")</f>
        <v>黄龄</v>
      </c>
      <c r="L2188" s="4">
        <f ca="1">_xlfn.IFNA(VLOOKUP(INDIRECT("G"&amp;ROW()),minfo!$A:$M,COLUMN()-8,0),"")</f>
        <v>0</v>
      </c>
      <c r="M2188" s="4">
        <f ca="1">_xlfn.IFNA(VLOOKUP(INDIRECT("G"&amp;ROW()),minfo!$A:$M,COLUMN()-8,0),"")</f>
        <v>0</v>
      </c>
      <c r="N2188" s="4">
        <f ca="1">_xlfn.IFNA(VLOOKUP(INDIRECT("G"&amp;ROW()),minfo!$A:$M,COLUMN()-8,0),"")</f>
        <v>0</v>
      </c>
      <c r="O2188" s="4" t="str">
        <f ca="1">_xlfn.IFNA(VLOOKUP(INDIRECT("G"&amp;ROW()),minfo!$A:$M,COLUMN()-8,0),"")</f>
        <v>https://i0.hdslb.com/bfs/station_src/music_metadata/f3e960ffbb9dd3ffa3c10d67471b7cde.jpg</v>
      </c>
      <c r="P2188" s="4" t="str">
        <f ca="1">_xlfn.IFNA(VLOOKUP(INDIRECT("G"&amp;ROW()),minfo!$A:$M,COLUMN()-8,0),"")</f>
        <v>http://i0.hdslb.com/bfs/station_src/music_metadata/6360e90a7e0e9e0a5a8afded3b15d213</v>
      </c>
      <c r="Q2188" s="4">
        <f ca="1">_xlfn.IFNA(VLOOKUP(INDIRECT("G"&amp;ROW()),minfo!$A:$M,COLUMN()-8,0),"")</f>
        <v>3174</v>
      </c>
      <c r="R2188" s="4" t="str">
        <f ca="1">_xlfn.IFNA(VLOOKUP(INDIRECT("G"&amp;ROW()),minfo!$A:$M,COLUMN()-8,0),"")</f>
        <v>《星汉灿烂》电视剧女主人物曲</v>
      </c>
      <c r="S2188" s="4" t="str">
        <f ca="1">_xlfn.IFNA(VLOOKUP(INDIRECT("G"&amp;ROW()),minfo!$A:$M,COLUMN()-8,0),"")</f>
        <v>星河叹</v>
      </c>
      <c r="T2188" s="4">
        <f ca="1">_xlfn.IFNA(VLOOKUP(INDIRECT("G"&amp;ROW()),minfo!$A:$M,COLUMN()-8,0),"")</f>
        <v>152096732</v>
      </c>
      <c r="U2188" s="4">
        <f ca="1">_xlfn.IFNA(VLOOKUP(INDIRECT("G"&amp;ROW()),minfo!$A:$M,COLUMN()-8,0),"")</f>
        <v>0</v>
      </c>
    </row>
    <row r="2189" spans="1:21" ht="15.75" customHeight="1">
      <c r="A2189" s="15">
        <v>2188</v>
      </c>
      <c r="B2189" s="4" t="s">
        <v>6158</v>
      </c>
      <c r="D2189" s="4">
        <v>1</v>
      </c>
      <c r="E2189" s="4" t="s">
        <v>41</v>
      </c>
      <c r="F2189" s="4" t="s">
        <v>6154</v>
      </c>
      <c r="G2189" s="4" t="s">
        <v>40</v>
      </c>
      <c r="H2189" s="4" t="s">
        <v>6159</v>
      </c>
      <c r="I2189" s="24" t="str">
        <f>HYPERLINK("https://www.bilibili.com/video/BV1u3v1edEMv?p=1","BV1u3v1edEMv?p=1")</f>
        <v>BV1u3v1edEMv?p=1</v>
      </c>
      <c r="J2189" s="4" t="str">
        <f ca="1">_xlfn.IFNA(VLOOKUP(INDIRECT("G"&amp;ROW()),minfo!$A:$M,COLUMN()-8,0),"")</f>
        <v>繁华梦</v>
      </c>
      <c r="K2189" s="4" t="str">
        <f ca="1">_xlfn.IFNA(VLOOKUP(INDIRECT("G"&amp;ROW()),minfo!$A:$M,COLUMN()-8,0),"")</f>
        <v>黄龄</v>
      </c>
      <c r="L2189" s="4">
        <f ca="1">_xlfn.IFNA(VLOOKUP(INDIRECT("G"&amp;ROW()),minfo!$A:$M,COLUMN()-8,0),"")</f>
        <v>0</v>
      </c>
      <c r="M2189" s="4">
        <f ca="1">_xlfn.IFNA(VLOOKUP(INDIRECT("G"&amp;ROW()),minfo!$A:$M,COLUMN()-8,0),"")</f>
        <v>0</v>
      </c>
      <c r="N2189" s="4">
        <f ca="1">_xlfn.IFNA(VLOOKUP(INDIRECT("G"&amp;ROW()),minfo!$A:$M,COLUMN()-8,0),"")</f>
        <v>0</v>
      </c>
      <c r="O2189" s="4" t="str">
        <f ca="1">_xlfn.IFNA(VLOOKUP(INDIRECT("G"&amp;ROW()),minfo!$A:$M,COLUMN()-8,0),"")</f>
        <v>https://i0.hdslb.com/bfs/station_src/music_metadata/291e1698332ad9b72c9b1b6d790b1779.jpg</v>
      </c>
      <c r="P2189" s="4" t="str">
        <f ca="1">_xlfn.IFNA(VLOOKUP(INDIRECT("G"&amp;ROW()),minfo!$A:$M,COLUMN()-8,0),"")</f>
        <v>http://i0.hdslb.com/bfs/station_src/music_metadata/ec48c16ed2393142cdaec4ce42b3b6e7</v>
      </c>
      <c r="Q2189" s="4">
        <f ca="1">_xlfn.IFNA(VLOOKUP(INDIRECT("G"&amp;ROW()),minfo!$A:$M,COLUMN()-8,0),"")</f>
        <v>436</v>
      </c>
      <c r="R2189" s="4">
        <f ca="1">_xlfn.IFNA(VLOOKUP(INDIRECT("G"&amp;ROW()),minfo!$A:$M,COLUMN()-8,0),"")</f>
        <v>0</v>
      </c>
      <c r="S2189" s="4" t="str">
        <f ca="1">_xlfn.IFNA(VLOOKUP(INDIRECT("G"&amp;ROW()),minfo!$A:$M,COLUMN()-8,0),"")</f>
        <v>2018CCTV音乐频道全球中文音乐榜上榜</v>
      </c>
      <c r="T2189" s="4">
        <f ca="1">_xlfn.IFNA(VLOOKUP(INDIRECT("G"&amp;ROW()),minfo!$A:$M,COLUMN()-8,0),"")</f>
        <v>54926711</v>
      </c>
      <c r="U2189" s="4">
        <f ca="1">_xlfn.IFNA(VLOOKUP(INDIRECT("G"&amp;ROW()),minfo!$A:$M,COLUMN()-8,0),"")</f>
        <v>0</v>
      </c>
    </row>
    <row r="2190" spans="1:21" ht="15.75" customHeight="1">
      <c r="A2190" s="15">
        <v>2189</v>
      </c>
      <c r="B2190" s="4" t="s">
        <v>6160</v>
      </c>
      <c r="D2190" s="4">
        <v>1</v>
      </c>
      <c r="E2190" s="4" t="s">
        <v>5795</v>
      </c>
      <c r="F2190" s="4" t="s">
        <v>6154</v>
      </c>
      <c r="G2190" s="4" t="s">
        <v>3460</v>
      </c>
      <c r="H2190" s="4" t="s">
        <v>6161</v>
      </c>
      <c r="I2190" s="24" t="str">
        <f>HYPERLINK("https://www.bilibili.com/video/BV1GKv1eFEwo?p=1","BV1GKv1eFEwo?p=1")</f>
        <v>BV1GKv1eFEwo?p=1</v>
      </c>
      <c r="J2190" s="4" t="str">
        <f ca="1">_xlfn.IFNA(VLOOKUP(INDIRECT("G"&amp;ROW()),minfo!$A:$M,COLUMN()-8,0),"")</f>
        <v>泡泡</v>
      </c>
      <c r="K2190" s="4" t="str">
        <f ca="1">_xlfn.IFNA(VLOOKUP(INDIRECT("G"&amp;ROW()),minfo!$A:$M,COLUMN()-8,0),"")</f>
        <v>牛佳钰</v>
      </c>
      <c r="L2190" s="4">
        <f ca="1">_xlfn.IFNA(VLOOKUP(INDIRECT("G"&amp;ROW()),minfo!$A:$M,COLUMN()-8,0),"")</f>
        <v>0</v>
      </c>
      <c r="M2190" s="4">
        <f ca="1">_xlfn.IFNA(VLOOKUP(INDIRECT("G"&amp;ROW()),minfo!$A:$M,COLUMN()-8,0),"")</f>
        <v>0</v>
      </c>
      <c r="N2190" s="4">
        <f ca="1">_xlfn.IFNA(VLOOKUP(INDIRECT("G"&amp;ROW()),minfo!$A:$M,COLUMN()-8,0),"")</f>
        <v>0</v>
      </c>
      <c r="O2190" s="4" t="str">
        <f ca="1">_xlfn.IFNA(VLOOKUP(INDIRECT("G"&amp;ROW()),minfo!$A:$M,COLUMN()-8,0),"")</f>
        <v>https://i0.hdslb.com/bfs/station_src/music_metadata/bbe45dae7e19b5e173cd009a3f740c6b.jpg</v>
      </c>
      <c r="P2190" s="4">
        <f ca="1">_xlfn.IFNA(VLOOKUP(INDIRECT("G"&amp;ROW()),minfo!$A:$M,COLUMN()-8,0),"")</f>
        <v>0</v>
      </c>
      <c r="Q2190" s="4">
        <f ca="1">_xlfn.IFNA(VLOOKUP(INDIRECT("G"&amp;ROW()),minfo!$A:$M,COLUMN()-8,0),"")</f>
        <v>54</v>
      </c>
      <c r="R2190" s="4">
        <f ca="1">_xlfn.IFNA(VLOOKUP(INDIRECT("G"&amp;ROW()),minfo!$A:$M,COLUMN()-8,0),"")</f>
        <v>0</v>
      </c>
      <c r="S2190" s="4" t="str">
        <f ca="1">_xlfn.IFNA(VLOOKUP(INDIRECT("G"&amp;ROW()),minfo!$A:$M,COLUMN()-8,0),"")</f>
        <v>泡泡</v>
      </c>
      <c r="T2190" s="4">
        <f ca="1">_xlfn.IFNA(VLOOKUP(INDIRECT("G"&amp;ROW()),minfo!$A:$M,COLUMN()-8,0),"")</f>
        <v>11328017</v>
      </c>
      <c r="U2190" s="4">
        <f ca="1">_xlfn.IFNA(VLOOKUP(INDIRECT("G"&amp;ROW()),minfo!$A:$M,COLUMN()-8,0),"")</f>
        <v>0</v>
      </c>
    </row>
    <row r="2191" spans="1:21" ht="15.75" customHeight="1">
      <c r="A2191" s="15">
        <v>2190</v>
      </c>
      <c r="B2191" s="4" t="s">
        <v>6160</v>
      </c>
      <c r="D2191" s="4">
        <v>2</v>
      </c>
      <c r="E2191" s="4" t="s">
        <v>5798</v>
      </c>
      <c r="F2191" s="4" t="s">
        <v>6154</v>
      </c>
      <c r="G2191" s="4" t="s">
        <v>3460</v>
      </c>
      <c r="H2191" s="4" t="s">
        <v>6161</v>
      </c>
      <c r="I2191" s="24" t="str">
        <f>HYPERLINK("https://www.bilibili.com/video/BV1GKv1eFEwo?p=2","BV1GKv1eFEwo?p=2")</f>
        <v>BV1GKv1eFEwo?p=2</v>
      </c>
      <c r="J2191" s="4" t="str">
        <f ca="1">_xlfn.IFNA(VLOOKUP(INDIRECT("G"&amp;ROW()),minfo!$A:$M,COLUMN()-8,0),"")</f>
        <v>泡泡</v>
      </c>
      <c r="K2191" s="4" t="str">
        <f ca="1">_xlfn.IFNA(VLOOKUP(INDIRECT("G"&amp;ROW()),minfo!$A:$M,COLUMN()-8,0),"")</f>
        <v>牛佳钰</v>
      </c>
      <c r="L2191" s="4">
        <f ca="1">_xlfn.IFNA(VLOOKUP(INDIRECT("G"&amp;ROW()),minfo!$A:$M,COLUMN()-8,0),"")</f>
        <v>0</v>
      </c>
      <c r="M2191" s="4">
        <f ca="1">_xlfn.IFNA(VLOOKUP(INDIRECT("G"&amp;ROW()),minfo!$A:$M,COLUMN()-8,0),"")</f>
        <v>0</v>
      </c>
      <c r="N2191" s="4">
        <f ca="1">_xlfn.IFNA(VLOOKUP(INDIRECT("G"&amp;ROW()),minfo!$A:$M,COLUMN()-8,0),"")</f>
        <v>0</v>
      </c>
      <c r="O2191" s="4" t="str">
        <f ca="1">_xlfn.IFNA(VLOOKUP(INDIRECT("G"&amp;ROW()),minfo!$A:$M,COLUMN()-8,0),"")</f>
        <v>https://i0.hdslb.com/bfs/station_src/music_metadata/bbe45dae7e19b5e173cd009a3f740c6b.jpg</v>
      </c>
      <c r="P2191" s="4">
        <f ca="1">_xlfn.IFNA(VLOOKUP(INDIRECT("G"&amp;ROW()),minfo!$A:$M,COLUMN()-8,0),"")</f>
        <v>0</v>
      </c>
      <c r="Q2191" s="4">
        <f ca="1">_xlfn.IFNA(VLOOKUP(INDIRECT("G"&amp;ROW()),minfo!$A:$M,COLUMN()-8,0),"")</f>
        <v>54</v>
      </c>
      <c r="R2191" s="4">
        <f ca="1">_xlfn.IFNA(VLOOKUP(INDIRECT("G"&amp;ROW()),minfo!$A:$M,COLUMN()-8,0),"")</f>
        <v>0</v>
      </c>
      <c r="S2191" s="4" t="str">
        <f ca="1">_xlfn.IFNA(VLOOKUP(INDIRECT("G"&amp;ROW()),minfo!$A:$M,COLUMN()-8,0),"")</f>
        <v>泡泡</v>
      </c>
      <c r="T2191" s="4">
        <f ca="1">_xlfn.IFNA(VLOOKUP(INDIRECT("G"&amp;ROW()),minfo!$A:$M,COLUMN()-8,0),"")</f>
        <v>11328017</v>
      </c>
      <c r="U2191" s="4">
        <f ca="1">_xlfn.IFNA(VLOOKUP(INDIRECT("G"&amp;ROW()),minfo!$A:$M,COLUMN()-8,0),"")</f>
        <v>0</v>
      </c>
    </row>
    <row r="2192" spans="1:21" ht="15.75" customHeight="1">
      <c r="A2192" s="15">
        <v>2191</v>
      </c>
      <c r="B2192" s="4" t="s">
        <v>6162</v>
      </c>
      <c r="D2192" s="4">
        <v>1</v>
      </c>
      <c r="E2192" s="4" t="s">
        <v>208</v>
      </c>
      <c r="F2192" s="4" t="s">
        <v>6154</v>
      </c>
      <c r="G2192" s="4" t="s">
        <v>207</v>
      </c>
      <c r="H2192" s="4" t="s">
        <v>6163</v>
      </c>
      <c r="I2192" s="24" t="str">
        <f>HYPERLINK("https://www.bilibili.com/video/BV13Tv1ebE5m?p=1","BV13Tv1ebE5m?p=1")</f>
        <v>BV13Tv1ebE5m?p=1</v>
      </c>
      <c r="J2192" s="4" t="str">
        <f ca="1">_xlfn.IFNA(VLOOKUP(INDIRECT("G"&amp;ROW()),minfo!$A:$M,COLUMN()-8,0),"")</f>
        <v>九万字</v>
      </c>
      <c r="K2192" s="4" t="str">
        <f ca="1">_xlfn.IFNA(VLOOKUP(INDIRECT("G"&amp;ROW()),minfo!$A:$M,COLUMN()-8,0),"")</f>
        <v>黄诗扶</v>
      </c>
      <c r="L2192" s="4">
        <f ca="1">_xlfn.IFNA(VLOOKUP(INDIRECT("G"&amp;ROW()),minfo!$A:$M,COLUMN()-8,0),"")</f>
        <v>0</v>
      </c>
      <c r="M2192" s="4">
        <f ca="1">_xlfn.IFNA(VLOOKUP(INDIRECT("G"&amp;ROW()),minfo!$A:$M,COLUMN()-8,0),"")</f>
        <v>0</v>
      </c>
      <c r="N2192" s="4">
        <f ca="1">_xlfn.IFNA(VLOOKUP(INDIRECT("G"&amp;ROW()),minfo!$A:$M,COLUMN()-8,0),"")</f>
        <v>0</v>
      </c>
      <c r="O2192" s="4" t="str">
        <f ca="1">_xlfn.IFNA(VLOOKUP(INDIRECT("G"&amp;ROW()),minfo!$A:$M,COLUMN()-8,0),"")</f>
        <v>https://i0.hdslb.com/bfs/station_src/music_metadata/83a5f6d1f6977ede1ad685d90a46a593.jpg</v>
      </c>
      <c r="P2192" s="4" t="str">
        <f ca="1">_xlfn.IFNA(VLOOKUP(INDIRECT("G"&amp;ROW()),minfo!$A:$M,COLUMN()-8,0),"")</f>
        <v>http://i0.hdslb.com/bfs/station_src/music_metadata/98ec7b6623082ffe27055a48eaf15a9f</v>
      </c>
      <c r="Q2192" s="4">
        <f ca="1">_xlfn.IFNA(VLOOKUP(INDIRECT("G"&amp;ROW()),minfo!$A:$M,COLUMN()-8,0),"")</f>
        <v>1270</v>
      </c>
      <c r="R2192" s="4">
        <f ca="1">_xlfn.IFNA(VLOOKUP(INDIRECT("G"&amp;ROW()),minfo!$A:$M,COLUMN()-8,0),"")</f>
        <v>0</v>
      </c>
      <c r="S2192" s="4" t="str">
        <f ca="1">_xlfn.IFNA(VLOOKUP(INDIRECT("G"&amp;ROW()),minfo!$A:$M,COLUMN()-8,0),"")</f>
        <v>人间不值得</v>
      </c>
      <c r="T2192" s="4">
        <f ca="1">_xlfn.IFNA(VLOOKUP(INDIRECT("G"&amp;ROW()),minfo!$A:$M,COLUMN()-8,0),"")</f>
        <v>256686027</v>
      </c>
      <c r="U2192" s="4">
        <f ca="1">_xlfn.IFNA(VLOOKUP(INDIRECT("G"&amp;ROW()),minfo!$A:$M,COLUMN()-8,0),"")</f>
        <v>0</v>
      </c>
    </row>
    <row r="2193" spans="1:21" ht="15.75" customHeight="1">
      <c r="A2193" s="15">
        <v>2192</v>
      </c>
      <c r="B2193" s="4" t="s">
        <v>6164</v>
      </c>
      <c r="D2193" s="4">
        <v>1</v>
      </c>
      <c r="E2193" s="4" t="s">
        <v>3465</v>
      </c>
      <c r="F2193" s="4" t="s">
        <v>6154</v>
      </c>
      <c r="G2193" s="4" t="s">
        <v>3464</v>
      </c>
      <c r="H2193" s="4" t="s">
        <v>6165</v>
      </c>
      <c r="I2193" s="24" t="str">
        <f>HYPERLINK("https://www.bilibili.com/video/BV1hgv1e4ETm?p=1","BV1hgv1e4ETm?p=1")</f>
        <v>BV1hgv1e4ETm?p=1</v>
      </c>
      <c r="J2193" s="4" t="str">
        <f ca="1">_xlfn.IFNA(VLOOKUP(INDIRECT("G"&amp;ROW()),minfo!$A:$M,COLUMN()-8,0),"")</f>
        <v>这世界也是我的家</v>
      </c>
      <c r="K2193" s="4" t="str">
        <f ca="1">_xlfn.IFNA(VLOOKUP(INDIRECT("G"&amp;ROW()),minfo!$A:$M,COLUMN()-8,0),"")</f>
        <v>牛佳钰</v>
      </c>
      <c r="L2193" s="4">
        <f ca="1">_xlfn.IFNA(VLOOKUP(INDIRECT("G"&amp;ROW()),minfo!$A:$M,COLUMN()-8,0),"")</f>
        <v>0</v>
      </c>
      <c r="M2193" s="4">
        <f ca="1">_xlfn.IFNA(VLOOKUP(INDIRECT("G"&amp;ROW()),minfo!$A:$M,COLUMN()-8,0),"")</f>
        <v>0</v>
      </c>
      <c r="N2193" s="4">
        <f ca="1">_xlfn.IFNA(VLOOKUP(INDIRECT("G"&amp;ROW()),minfo!$A:$M,COLUMN()-8,0),"")</f>
        <v>0</v>
      </c>
      <c r="O2193" s="4" t="str">
        <f ca="1">_xlfn.IFNA(VLOOKUP(INDIRECT("G"&amp;ROW()),minfo!$A:$M,COLUMN()-8,0),"")</f>
        <v>https://i0.hdslb.com/bfs/station_src/music_metadata/d1f30ce4defe30aa546916e44a928157.jpg</v>
      </c>
      <c r="P2193" s="4" t="str">
        <f ca="1">_xlfn.IFNA(VLOOKUP(INDIRECT("G"&amp;ROW()),minfo!$A:$M,COLUMN()-8,0),"")</f>
        <v>https://i0.hdslb.com/bfs/station_src/music_metadata/c7cb7df40cdce8a5c80cf5234ee7d984.txt</v>
      </c>
      <c r="Q2193" s="4">
        <f ca="1">_xlfn.IFNA(VLOOKUP(INDIRECT("G"&amp;ROW()),minfo!$A:$M,COLUMN()-8,0),"")</f>
        <v>30</v>
      </c>
      <c r="R2193" s="4">
        <f ca="1">_xlfn.IFNA(VLOOKUP(INDIRECT("G"&amp;ROW()),minfo!$A:$M,COLUMN()-8,0),"")</f>
        <v>0</v>
      </c>
      <c r="S2193" s="4" t="str">
        <f ca="1">_xlfn.IFNA(VLOOKUP(INDIRECT("G"&amp;ROW()),minfo!$A:$M,COLUMN()-8,0),"")</f>
        <v>这世界也是我的家</v>
      </c>
      <c r="T2193" s="4">
        <f ca="1">_xlfn.IFNA(VLOOKUP(INDIRECT("G"&amp;ROW()),minfo!$A:$M,COLUMN()-8,0),"")</f>
        <v>420772</v>
      </c>
      <c r="U2193" s="4">
        <f ca="1">_xlfn.IFNA(VLOOKUP(INDIRECT("G"&amp;ROW()),minfo!$A:$M,COLUMN()-8,0),"")</f>
        <v>0</v>
      </c>
    </row>
    <row r="2194" spans="1:21" ht="15.75" customHeight="1">
      <c r="A2194" s="15">
        <v>2193</v>
      </c>
      <c r="B2194" s="4" t="s">
        <v>5971</v>
      </c>
      <c r="D2194" s="4">
        <v>1</v>
      </c>
      <c r="E2194" s="4" t="s">
        <v>967</v>
      </c>
      <c r="F2194" s="4" t="s">
        <v>6154</v>
      </c>
      <c r="G2194" s="4" t="s">
        <v>966</v>
      </c>
      <c r="H2194" s="4" t="s">
        <v>6166</v>
      </c>
      <c r="I2194" s="24" t="str">
        <f>HYPERLINK("https://www.bilibili.com/video/BV1DMv1eZEj1?p=1","BV1DMv1eZEj1?p=1")</f>
        <v>BV1DMv1eZEj1?p=1</v>
      </c>
      <c r="J2194" s="4" t="str">
        <f ca="1">_xlfn.IFNA(VLOOKUP(INDIRECT("G"&amp;ROW()),minfo!$A:$M,COLUMN()-8,0),"")</f>
        <v>小雨</v>
      </c>
      <c r="K2194" s="4" t="str">
        <f ca="1">_xlfn.IFNA(VLOOKUP(INDIRECT("G"&amp;ROW()),minfo!$A:$M,COLUMN()-8,0),"")</f>
        <v>黄龄</v>
      </c>
      <c r="L2194" s="4">
        <f ca="1">_xlfn.IFNA(VLOOKUP(INDIRECT("G"&amp;ROW()),minfo!$A:$M,COLUMN()-8,0),"")</f>
        <v>0</v>
      </c>
      <c r="M2194" s="4">
        <f ca="1">_xlfn.IFNA(VLOOKUP(INDIRECT("G"&amp;ROW()),minfo!$A:$M,COLUMN()-8,0),"")</f>
        <v>0</v>
      </c>
      <c r="N2194" s="4">
        <f ca="1">_xlfn.IFNA(VLOOKUP(INDIRECT("G"&amp;ROW()),minfo!$A:$M,COLUMN()-8,0),"")</f>
        <v>0</v>
      </c>
      <c r="O2194" s="4" t="str">
        <f ca="1">_xlfn.IFNA(VLOOKUP(INDIRECT("G"&amp;ROW()),minfo!$A:$M,COLUMN()-8,0),"")</f>
        <v>https://i0.hdslb.com/bfs/station_src/music_metadata/607346922702f1ba7302d87db0ecdbf1.jpg</v>
      </c>
      <c r="P2194" s="4" t="str">
        <f ca="1">_xlfn.IFNA(VLOOKUP(INDIRECT("G"&amp;ROW()),minfo!$A:$M,COLUMN()-8,0),"")</f>
        <v>https://i0.hdslb.com/bfs/station_src/music_metadata/245fdd0b68a8f71caa554e8f05ea1b6c.txt</v>
      </c>
      <c r="Q2194" s="4">
        <f ca="1">_xlfn.IFNA(VLOOKUP(INDIRECT("G"&amp;ROW()),minfo!$A:$M,COLUMN()-8,0),"")</f>
        <v>2250</v>
      </c>
      <c r="R2194" s="4">
        <f ca="1">_xlfn.IFNA(VLOOKUP(INDIRECT("G"&amp;ROW()),minfo!$A:$M,COLUMN()-8,0),"")</f>
        <v>0</v>
      </c>
      <c r="S2194" s="4" t="str">
        <f ca="1">_xlfn.IFNA(VLOOKUP(INDIRECT("G"&amp;ROW()),minfo!$A:$M,COLUMN()-8,0),"")</f>
        <v>小雨</v>
      </c>
      <c r="T2194" s="4">
        <f ca="1">_xlfn.IFNA(VLOOKUP(INDIRECT("G"&amp;ROW()),minfo!$A:$M,COLUMN()-8,0),"")</f>
        <v>63947645</v>
      </c>
      <c r="U2194" s="4">
        <f ca="1">_xlfn.IFNA(VLOOKUP(INDIRECT("G"&amp;ROW()),minfo!$A:$M,COLUMN()-8,0),"")</f>
        <v>0</v>
      </c>
    </row>
    <row r="2195" spans="1:21" ht="15.75" customHeight="1">
      <c r="A2195" s="15">
        <v>2194</v>
      </c>
      <c r="B2195" s="4" t="s">
        <v>6167</v>
      </c>
      <c r="D2195" s="4">
        <v>1</v>
      </c>
      <c r="E2195" s="4" t="s">
        <v>2116</v>
      </c>
      <c r="F2195" s="4" t="s">
        <v>6154</v>
      </c>
      <c r="G2195" s="4" t="s">
        <v>2115</v>
      </c>
      <c r="H2195" s="4" t="s">
        <v>6168</v>
      </c>
      <c r="I2195" s="24" t="str">
        <f>HYPERLINK("https://www.bilibili.com/video/BV1pxv1ejEt2?p=1","BV1pxv1ejEt2?p=1")</f>
        <v>BV1pxv1ejEt2?p=1</v>
      </c>
      <c r="J2195" s="4" t="str">
        <f ca="1">_xlfn.IFNA(VLOOKUP(INDIRECT("G"&amp;ROW()),minfo!$A:$M,COLUMN()-8,0),"")</f>
        <v>画心</v>
      </c>
      <c r="K2195" s="4" t="str">
        <f ca="1">_xlfn.IFNA(VLOOKUP(INDIRECT("G"&amp;ROW()),minfo!$A:$M,COLUMN()-8,0),"")</f>
        <v>张靓颖</v>
      </c>
      <c r="L2195" s="4">
        <f ca="1">_xlfn.IFNA(VLOOKUP(INDIRECT("G"&amp;ROW()),minfo!$A:$M,COLUMN()-8,0),"")</f>
        <v>0</v>
      </c>
      <c r="M2195" s="4">
        <f ca="1">_xlfn.IFNA(VLOOKUP(INDIRECT("G"&amp;ROW()),minfo!$A:$M,COLUMN()-8,0),"")</f>
        <v>0</v>
      </c>
      <c r="N2195" s="4">
        <f ca="1">_xlfn.IFNA(VLOOKUP(INDIRECT("G"&amp;ROW()),minfo!$A:$M,COLUMN()-8,0),"")</f>
        <v>0</v>
      </c>
      <c r="O2195" s="4" t="str">
        <f ca="1">_xlfn.IFNA(VLOOKUP(INDIRECT("G"&amp;ROW()),minfo!$A:$M,COLUMN()-8,0),"")</f>
        <v>http://i0.hdslb.com/bfs/station_src/music_metadata/8a902d9f7ad5be6b096598ad48118011.jpg</v>
      </c>
      <c r="P2195" s="4" t="str">
        <f ca="1">_xlfn.IFNA(VLOOKUP(INDIRECT("G"&amp;ROW()),minfo!$A:$M,COLUMN()-8,0),"")</f>
        <v>http://i0.hdslb.com/bfs/station_src/music_metadata/5b21bbe6a3b556e535ad2259be1f6a0a</v>
      </c>
      <c r="Q2195" s="4">
        <f ca="1">_xlfn.IFNA(VLOOKUP(INDIRECT("G"&amp;ROW()),minfo!$A:$M,COLUMN()-8,0),"")</f>
        <v>889</v>
      </c>
      <c r="R2195" s="4" t="str">
        <f ca="1">_xlfn.IFNA(VLOOKUP(INDIRECT("G"&amp;ROW()),minfo!$A:$M,COLUMN()-8,0),"")</f>
        <v>《画皮》电影主题曲</v>
      </c>
      <c r="S2195" s="4" t="str">
        <f ca="1">_xlfn.IFNA(VLOOKUP(INDIRECT("G"&amp;ROW()),minfo!$A:$M,COLUMN()-8,0),"")</f>
        <v>画心</v>
      </c>
      <c r="T2195" s="4">
        <f ca="1">_xlfn.IFNA(VLOOKUP(INDIRECT("G"&amp;ROW()),minfo!$A:$M,COLUMN()-8,0),"")</f>
        <v>193133600</v>
      </c>
      <c r="U2195" s="4">
        <f ca="1">_xlfn.IFNA(VLOOKUP(INDIRECT("G"&amp;ROW()),minfo!$A:$M,COLUMN()-8,0),"")</f>
        <v>0</v>
      </c>
    </row>
    <row r="2196" spans="1:21" ht="15.75" customHeight="1">
      <c r="A2196" s="15">
        <v>2195</v>
      </c>
      <c r="B2196" s="4" t="s">
        <v>5818</v>
      </c>
      <c r="D2196" s="4">
        <v>1</v>
      </c>
      <c r="E2196" s="4" t="s">
        <v>1159</v>
      </c>
      <c r="F2196" s="4" t="s">
        <v>6169</v>
      </c>
      <c r="G2196" s="4" t="s">
        <v>1158</v>
      </c>
      <c r="H2196" s="4" t="s">
        <v>6170</v>
      </c>
      <c r="I2196" s="24" t="str">
        <f>HYPERLINK("https://www.bilibili.com/video/BV1Ntv4eAEVE?p=1","BV1Ntv4eAEVE?p=1")</f>
        <v>BV1Ntv4eAEVE?p=1</v>
      </c>
      <c r="J2196" s="4" t="str">
        <f ca="1">_xlfn.IFNA(VLOOKUP(INDIRECT("G"&amp;ROW()),minfo!$A:$M,COLUMN()-8,0),"")</f>
        <v>霞光</v>
      </c>
      <c r="K2196" s="4" t="str">
        <f ca="1">_xlfn.IFNA(VLOOKUP(INDIRECT("G"&amp;ROW()),minfo!$A:$M,COLUMN()-8,0),"")</f>
        <v>曲锦楠</v>
      </c>
      <c r="L2196" s="4">
        <f ca="1">_xlfn.IFNA(VLOOKUP(INDIRECT("G"&amp;ROW()),minfo!$A:$M,COLUMN()-8,0),"")</f>
        <v>0</v>
      </c>
      <c r="M2196" s="4">
        <f ca="1">_xlfn.IFNA(VLOOKUP(INDIRECT("G"&amp;ROW()),minfo!$A:$M,COLUMN()-8,0),"")</f>
        <v>0</v>
      </c>
      <c r="N2196" s="4">
        <f ca="1">_xlfn.IFNA(VLOOKUP(INDIRECT("G"&amp;ROW()),minfo!$A:$M,COLUMN()-8,0),"")</f>
        <v>0</v>
      </c>
      <c r="O2196" s="4" t="str">
        <f ca="1">_xlfn.IFNA(VLOOKUP(INDIRECT("G"&amp;ROW()),minfo!$A:$M,COLUMN()-8,0),"")</f>
        <v>https://i0.hdslb.com/bfs/station_src/music_metadata/a077572f8ee7b3c83f38ffcf4a94acb4.jpg</v>
      </c>
      <c r="P2196" s="4" t="str">
        <f ca="1">_xlfn.IFNA(VLOOKUP(INDIRECT("G"&amp;ROW()),minfo!$A:$M,COLUMN()-8,0),"")</f>
        <v>http://i0.hdslb.com/bfs/station_src/music_metadata/6b6d83bcd7a80305c8bae4ed3500a2af</v>
      </c>
      <c r="Q2196" s="4">
        <f ca="1">_xlfn.IFNA(VLOOKUP(INDIRECT("G"&amp;ROW()),minfo!$A:$M,COLUMN()-8,0),"")</f>
        <v>642</v>
      </c>
      <c r="R2196" s="4" t="str">
        <f ca="1">_xlfn.IFNA(VLOOKUP(INDIRECT("G"&amp;ROW()),minfo!$A:$M,COLUMN()-8,0),"")</f>
        <v>动画片《精灵世纪》片尾曲</v>
      </c>
      <c r="S2196" s="4" t="str">
        <f ca="1">_xlfn.IFNA(VLOOKUP(INDIRECT("G"&amp;ROW()),minfo!$A:$M,COLUMN()-8,0),"")</f>
        <v>霞光</v>
      </c>
      <c r="T2196" s="4">
        <f ca="1">_xlfn.IFNA(VLOOKUP(INDIRECT("G"&amp;ROW()),minfo!$A:$M,COLUMN()-8,0),"")</f>
        <v>87672374</v>
      </c>
      <c r="U2196" s="4">
        <f ca="1">_xlfn.IFNA(VLOOKUP(INDIRECT("G"&amp;ROW()),minfo!$A:$M,COLUMN()-8,0),"")</f>
        <v>0</v>
      </c>
    </row>
    <row r="2197" spans="1:21" ht="15.75" customHeight="1">
      <c r="A2197" s="15">
        <v>2196</v>
      </c>
      <c r="B2197" s="4" t="s">
        <v>5845</v>
      </c>
      <c r="D2197" s="4">
        <v>1</v>
      </c>
      <c r="E2197" s="4" t="s">
        <v>93</v>
      </c>
      <c r="F2197" s="4" t="s">
        <v>6169</v>
      </c>
      <c r="G2197" s="4" t="s">
        <v>273</v>
      </c>
      <c r="H2197" s="4" t="s">
        <v>6171</v>
      </c>
      <c r="I2197" s="24" t="str">
        <f>HYPERLINK("https://www.bilibili.com/video/BV1bJv4eBEFa?p=1","BV1bJv4eBEFa?p=1")</f>
        <v>BV1bJv4eBEFa?p=1</v>
      </c>
      <c r="J2197" s="4" t="str">
        <f ca="1">_xlfn.IFNA(VLOOKUP(INDIRECT("G"&amp;ROW()),minfo!$A:$M,COLUMN()-8,0),"")</f>
        <v>罗敷</v>
      </c>
      <c r="K2197" s="4" t="str">
        <f ca="1">_xlfn.IFNA(VLOOKUP(INDIRECT("G"&amp;ROW()),minfo!$A:$M,COLUMN()-8,0),"")</f>
        <v>说说Crystal</v>
      </c>
      <c r="L2197" s="4">
        <f ca="1">_xlfn.IFNA(VLOOKUP(INDIRECT("G"&amp;ROW()),minfo!$A:$M,COLUMN()-8,0),"")</f>
        <v>0</v>
      </c>
      <c r="M2197" s="4">
        <f ca="1">_xlfn.IFNA(VLOOKUP(INDIRECT("G"&amp;ROW()),minfo!$A:$M,COLUMN()-8,0),"")</f>
        <v>0</v>
      </c>
      <c r="N2197" s="4">
        <f ca="1">_xlfn.IFNA(VLOOKUP(INDIRECT("G"&amp;ROW()),minfo!$A:$M,COLUMN()-8,0),"")</f>
        <v>0</v>
      </c>
      <c r="O2197" s="4" t="str">
        <f ca="1">_xlfn.IFNA(VLOOKUP(INDIRECT("G"&amp;ROW()),minfo!$A:$M,COLUMN()-8,0),"")</f>
        <v>https://i0.hdslb.com/bfs/station_src/music_metadata/1b7b9e3e2c4c793577a84986cdadb2cc.jpg</v>
      </c>
      <c r="P2197" s="4">
        <f ca="1">_xlfn.IFNA(VLOOKUP(INDIRECT("G"&amp;ROW()),minfo!$A:$M,COLUMN()-8,0),"")</f>
        <v>0</v>
      </c>
      <c r="Q2197" s="4">
        <f ca="1">_xlfn.IFNA(VLOOKUP(INDIRECT("G"&amp;ROW()),minfo!$A:$M,COLUMN()-8,0),"")</f>
        <v>0</v>
      </c>
      <c r="R2197" s="4">
        <f ca="1">_xlfn.IFNA(VLOOKUP(INDIRECT("G"&amp;ROW()),minfo!$A:$M,COLUMN()-8,0),"")</f>
        <v>0</v>
      </c>
      <c r="S2197" s="4" t="str">
        <f ca="1">_xlfn.IFNA(VLOOKUP(INDIRECT("G"&amp;ROW()),minfo!$A:$M,COLUMN()-8,0),"")</f>
        <v>【说说·原创】这一曲只倾心于你 |《罗敷》</v>
      </c>
      <c r="T2197" s="4">
        <f ca="1">_xlfn.IFNA(VLOOKUP(INDIRECT("G"&amp;ROW()),minfo!$A:$M,COLUMN()-8,0),"")</f>
        <v>323164</v>
      </c>
      <c r="U2197" s="4">
        <f ca="1">_xlfn.IFNA(VLOOKUP(INDIRECT("G"&amp;ROW()),minfo!$A:$M,COLUMN()-8,0),"")</f>
        <v>0</v>
      </c>
    </row>
    <row r="2198" spans="1:21" ht="15.75" customHeight="1">
      <c r="A2198" s="15">
        <v>2197</v>
      </c>
      <c r="B2198" s="4" t="s">
        <v>6172</v>
      </c>
      <c r="D2198" s="4">
        <v>1</v>
      </c>
      <c r="E2198" s="4" t="s">
        <v>14</v>
      </c>
      <c r="F2198" s="4" t="s">
        <v>6169</v>
      </c>
      <c r="G2198" s="4" t="s">
        <v>13</v>
      </c>
      <c r="H2198" s="4" t="s">
        <v>6173</v>
      </c>
      <c r="I2198" s="24" t="str">
        <f>HYPERLINK("https://www.bilibili.com/video/BV1uEv4euEjz?p=1","BV1uEv4euEjz?p=1")</f>
        <v>BV1uEv4euEjz?p=1</v>
      </c>
      <c r="J2198" s="4" t="str">
        <f ca="1">_xlfn.IFNA(VLOOKUP(INDIRECT("G"&amp;ROW()),minfo!$A:$M,COLUMN()-8,0),"")</f>
        <v>瓦解</v>
      </c>
      <c r="K2198" s="4" t="str">
        <f ca="1">_xlfn.IFNA(VLOOKUP(INDIRECT("G"&amp;ROW()),minfo!$A:$M,COLUMN()-8,0),"")</f>
        <v>南拳妈妈</v>
      </c>
      <c r="L2198" s="4">
        <f ca="1">_xlfn.IFNA(VLOOKUP(INDIRECT("G"&amp;ROW()),minfo!$A:$M,COLUMN()-8,0),"")</f>
        <v>0</v>
      </c>
      <c r="M2198" s="4">
        <f ca="1">_xlfn.IFNA(VLOOKUP(INDIRECT("G"&amp;ROW()),minfo!$A:$M,COLUMN()-8,0),"")</f>
        <v>0</v>
      </c>
      <c r="N2198" s="4">
        <f ca="1">_xlfn.IFNA(VLOOKUP(INDIRECT("G"&amp;ROW()),minfo!$A:$M,COLUMN()-8,0),"")</f>
        <v>0</v>
      </c>
      <c r="O2198" s="4" t="str">
        <f ca="1">_xlfn.IFNA(VLOOKUP(INDIRECT("G"&amp;ROW()),minfo!$A:$M,COLUMN()-8,0),"")</f>
        <v>https://i0.hdslb.com/bfs/station_src/music_metadata/284aedba73bbb46dd43548a108598c32.jpg</v>
      </c>
      <c r="P2198" s="4" t="str">
        <f ca="1">_xlfn.IFNA(VLOOKUP(INDIRECT("G"&amp;ROW()),minfo!$A:$M,COLUMN()-8,0),"")</f>
        <v>http://i0.hdslb.com/bfs/station_src/music_metadata/4d7bef88af4faa856325802b023ef85e</v>
      </c>
      <c r="Q2198" s="4">
        <f ca="1">_xlfn.IFNA(VLOOKUP(INDIRECT("G"&amp;ROW()),minfo!$A:$M,COLUMN()-8,0),"")</f>
        <v>129</v>
      </c>
      <c r="R2198" s="4">
        <f ca="1">_xlfn.IFNA(VLOOKUP(INDIRECT("G"&amp;ROW()),minfo!$A:$M,COLUMN()-8,0),"")</f>
        <v>0</v>
      </c>
      <c r="S2198" s="4" t="str">
        <f ca="1">_xlfn.IFNA(VLOOKUP(INDIRECT("G"&amp;ROW()),minfo!$A:$M,COLUMN()-8,0),"")</f>
        <v>南拳妈妈的夏天</v>
      </c>
      <c r="T2198" s="4">
        <f ca="1">_xlfn.IFNA(VLOOKUP(INDIRECT("G"&amp;ROW()),minfo!$A:$M,COLUMN()-8,0),"")</f>
        <v>122109069</v>
      </c>
      <c r="U2198" s="4">
        <f ca="1">_xlfn.IFNA(VLOOKUP(INDIRECT("G"&amp;ROW()),minfo!$A:$M,COLUMN()-8,0),"")</f>
        <v>0</v>
      </c>
    </row>
    <row r="2199" spans="1:21" ht="15.75" customHeight="1">
      <c r="A2199" s="15">
        <v>2198</v>
      </c>
      <c r="B2199" s="4" t="s">
        <v>6174</v>
      </c>
      <c r="D2199" s="4">
        <v>1</v>
      </c>
      <c r="E2199" s="4" t="s">
        <v>3469</v>
      </c>
      <c r="F2199" s="4" t="s">
        <v>6169</v>
      </c>
      <c r="G2199" s="4" t="s">
        <v>3468</v>
      </c>
      <c r="H2199" s="4" t="s">
        <v>6175</v>
      </c>
      <c r="I2199" s="24" t="str">
        <f>HYPERLINK("https://www.bilibili.com/video/BV14pv4eiECZ?p=1","BV14pv4eiECZ?p=1")</f>
        <v>BV14pv4eiECZ?p=1</v>
      </c>
      <c r="J2199" s="4" t="str">
        <f ca="1">_xlfn.IFNA(VLOOKUP(INDIRECT("G"&amp;ROW()),minfo!$A:$M,COLUMN()-8,0),"")</f>
        <v>红尘客栈</v>
      </c>
      <c r="K2199" s="4" t="str">
        <f ca="1">_xlfn.IFNA(VLOOKUP(INDIRECT("G"&amp;ROW()),minfo!$A:$M,COLUMN()-8,0),"")</f>
        <v>周杰伦</v>
      </c>
      <c r="L2199" s="4">
        <f ca="1">_xlfn.IFNA(VLOOKUP(INDIRECT("G"&amp;ROW()),minfo!$A:$M,COLUMN()-8,0),"")</f>
        <v>0</v>
      </c>
      <c r="M2199" s="4">
        <f ca="1">_xlfn.IFNA(VLOOKUP(INDIRECT("G"&amp;ROW()),minfo!$A:$M,COLUMN()-8,0),"")</f>
        <v>0</v>
      </c>
      <c r="N2199" s="4">
        <f ca="1">_xlfn.IFNA(VLOOKUP(INDIRECT("G"&amp;ROW()),minfo!$A:$M,COLUMN()-8,0),"")</f>
        <v>0</v>
      </c>
      <c r="O2199" s="4" t="str">
        <f ca="1">_xlfn.IFNA(VLOOKUP(INDIRECT("G"&amp;ROW()),minfo!$A:$M,COLUMN()-8,0),"")</f>
        <v>https://i0.hdslb.com/bfs/station_src/music_metadata/0ddef2626d3c5ff91c063cd3f73112dd.jpg</v>
      </c>
      <c r="P2199" s="4">
        <f ca="1">_xlfn.IFNA(VLOOKUP(INDIRECT("G"&amp;ROW()),minfo!$A:$M,COLUMN()-8,0),"")</f>
        <v>0</v>
      </c>
      <c r="Q2199" s="4">
        <f ca="1">_xlfn.IFNA(VLOOKUP(INDIRECT("G"&amp;ROW()),minfo!$A:$M,COLUMN()-8,0),"")</f>
        <v>4254</v>
      </c>
      <c r="R2199" s="4">
        <f ca="1">_xlfn.IFNA(VLOOKUP(INDIRECT("G"&amp;ROW()),minfo!$A:$M,COLUMN()-8,0),"")</f>
        <v>0</v>
      </c>
      <c r="S2199" s="4" t="str">
        <f ca="1">_xlfn.IFNA(VLOOKUP(INDIRECT("G"&amp;ROW()),minfo!$A:$M,COLUMN()-8,0),"")</f>
        <v>十二新作</v>
      </c>
      <c r="T2199" s="4">
        <f ca="1">_xlfn.IFNA(VLOOKUP(INDIRECT("G"&amp;ROW()),minfo!$A:$M,COLUMN()-8,0),"")</f>
        <v>493686852</v>
      </c>
      <c r="U2199" s="4">
        <f ca="1">_xlfn.IFNA(VLOOKUP(INDIRECT("G"&amp;ROW()),minfo!$A:$M,COLUMN()-8,0),"")</f>
        <v>0</v>
      </c>
    </row>
    <row r="2200" spans="1:21" ht="15.75" customHeight="1">
      <c r="A2200" s="15">
        <v>2199</v>
      </c>
      <c r="B2200" s="4" t="s">
        <v>6176</v>
      </c>
      <c r="D2200" s="4">
        <v>1</v>
      </c>
      <c r="E2200" s="4" t="s">
        <v>3356</v>
      </c>
      <c r="F2200" s="4" t="s">
        <v>6177</v>
      </c>
      <c r="G2200" s="4" t="s">
        <v>3355</v>
      </c>
      <c r="H2200" s="4" t="s">
        <v>6178</v>
      </c>
      <c r="I2200" s="24" t="str">
        <f>HYPERLINK("https://www.bilibili.com/video/BV171iGe7EzG?p=1","BV171iGe7EzG?p=1")</f>
        <v>BV171iGe7EzG?p=1</v>
      </c>
      <c r="J2200" s="4" t="str">
        <f ca="1">_xlfn.IFNA(VLOOKUP(INDIRECT("G"&amp;ROW()),minfo!$A:$M,COLUMN()-8,0),"")</f>
        <v>爱在西元前</v>
      </c>
      <c r="K2200" s="4" t="str">
        <f ca="1">_xlfn.IFNA(VLOOKUP(INDIRECT("G"&amp;ROW()),minfo!$A:$M,COLUMN()-8,0),"")</f>
        <v>周杰伦</v>
      </c>
      <c r="L2200" s="4">
        <f ca="1">_xlfn.IFNA(VLOOKUP(INDIRECT("G"&amp;ROW()),minfo!$A:$M,COLUMN()-8,0),"")</f>
        <v>0</v>
      </c>
      <c r="M2200" s="4">
        <f ca="1">_xlfn.IFNA(VLOOKUP(INDIRECT("G"&amp;ROW()),minfo!$A:$M,COLUMN()-8,0),"")</f>
        <v>0</v>
      </c>
      <c r="N2200" s="4">
        <f ca="1">_xlfn.IFNA(VLOOKUP(INDIRECT("G"&amp;ROW()),minfo!$A:$M,COLUMN()-8,0),"")</f>
        <v>0</v>
      </c>
      <c r="O2200" s="4" t="str">
        <f ca="1">_xlfn.IFNA(VLOOKUP(INDIRECT("G"&amp;ROW()),minfo!$A:$M,COLUMN()-8,0),"")</f>
        <v>http://i0.hdslb.com/bfs/station_src/music_metadata/bcdd9d26bee20c24c423e347b838d170.jpg</v>
      </c>
      <c r="P2200" s="4" t="str">
        <f ca="1">_xlfn.IFNA(VLOOKUP(INDIRECT("G"&amp;ROW()),minfo!$A:$M,COLUMN()-8,0),"")</f>
        <v>http://i0.hdslb.com/bfs/station_src/music_metadata/cd87bd6f404c0b565b0e29f133fb6ee6</v>
      </c>
      <c r="Q2200" s="4">
        <f ca="1">_xlfn.IFNA(VLOOKUP(INDIRECT("G"&amp;ROW()),minfo!$A:$M,COLUMN()-8,0),"")</f>
        <v>8968</v>
      </c>
      <c r="R2200" s="4">
        <f ca="1">_xlfn.IFNA(VLOOKUP(INDIRECT("G"&amp;ROW()),minfo!$A:$M,COLUMN()-8,0),"")</f>
        <v>0</v>
      </c>
      <c r="S2200" s="4" t="str">
        <f ca="1">_xlfn.IFNA(VLOOKUP(INDIRECT("G"&amp;ROW()),minfo!$A:$M,COLUMN()-8,0),"")</f>
        <v>范特西</v>
      </c>
      <c r="T2200" s="4">
        <f ca="1">_xlfn.IFNA(VLOOKUP(INDIRECT("G"&amp;ROW()),minfo!$A:$M,COLUMN()-8,0),"")</f>
        <v>639985095</v>
      </c>
      <c r="U2200" s="4">
        <f ca="1">_xlfn.IFNA(VLOOKUP(INDIRECT("G"&amp;ROW()),minfo!$A:$M,COLUMN()-8,0),"")</f>
        <v>0</v>
      </c>
    </row>
    <row r="2201" spans="1:21" ht="15.75" customHeight="1">
      <c r="A2201" s="15">
        <v>2200</v>
      </c>
      <c r="B2201" s="4" t="s">
        <v>6179</v>
      </c>
      <c r="D2201" s="4">
        <v>1</v>
      </c>
      <c r="E2201" s="4" t="s">
        <v>6180</v>
      </c>
      <c r="F2201" s="4" t="s">
        <v>6177</v>
      </c>
      <c r="G2201" s="4" t="s">
        <v>966</v>
      </c>
      <c r="H2201" s="4" t="s">
        <v>6181</v>
      </c>
      <c r="I2201" s="24" t="str">
        <f>HYPERLINK("https://www.bilibili.com/video/BV1uciVeTEaV?p=1","BV1uciVeTEaV?p=1")</f>
        <v>BV1uciVeTEaV?p=1</v>
      </c>
      <c r="J2201" s="4" t="str">
        <f ca="1">_xlfn.IFNA(VLOOKUP(INDIRECT("G"&amp;ROW()),minfo!$A:$M,COLUMN()-8,0),"")</f>
        <v>小雨</v>
      </c>
      <c r="K2201" s="4" t="str">
        <f ca="1">_xlfn.IFNA(VLOOKUP(INDIRECT("G"&amp;ROW()),minfo!$A:$M,COLUMN()-8,0),"")</f>
        <v>黄龄</v>
      </c>
      <c r="L2201" s="4">
        <f ca="1">_xlfn.IFNA(VLOOKUP(INDIRECT("G"&amp;ROW()),minfo!$A:$M,COLUMN()-8,0),"")</f>
        <v>0</v>
      </c>
      <c r="M2201" s="4">
        <f ca="1">_xlfn.IFNA(VLOOKUP(INDIRECT("G"&amp;ROW()),minfo!$A:$M,COLUMN()-8,0),"")</f>
        <v>0</v>
      </c>
      <c r="N2201" s="4">
        <f ca="1">_xlfn.IFNA(VLOOKUP(INDIRECT("G"&amp;ROW()),minfo!$A:$M,COLUMN()-8,0),"")</f>
        <v>0</v>
      </c>
      <c r="O2201" s="4" t="str">
        <f ca="1">_xlfn.IFNA(VLOOKUP(INDIRECT("G"&amp;ROW()),minfo!$A:$M,COLUMN()-8,0),"")</f>
        <v>https://i0.hdslb.com/bfs/station_src/music_metadata/607346922702f1ba7302d87db0ecdbf1.jpg</v>
      </c>
      <c r="P2201" s="4" t="str">
        <f ca="1">_xlfn.IFNA(VLOOKUP(INDIRECT("G"&amp;ROW()),minfo!$A:$M,COLUMN()-8,0),"")</f>
        <v>https://i0.hdslb.com/bfs/station_src/music_metadata/245fdd0b68a8f71caa554e8f05ea1b6c.txt</v>
      </c>
      <c r="Q2201" s="4">
        <f ca="1">_xlfn.IFNA(VLOOKUP(INDIRECT("G"&amp;ROW()),minfo!$A:$M,COLUMN()-8,0),"")</f>
        <v>2250</v>
      </c>
      <c r="R2201" s="4">
        <f ca="1">_xlfn.IFNA(VLOOKUP(INDIRECT("G"&amp;ROW()),minfo!$A:$M,COLUMN()-8,0),"")</f>
        <v>0</v>
      </c>
      <c r="S2201" s="4" t="str">
        <f ca="1">_xlfn.IFNA(VLOOKUP(INDIRECT("G"&amp;ROW()),minfo!$A:$M,COLUMN()-8,0),"")</f>
        <v>小雨</v>
      </c>
      <c r="T2201" s="4">
        <f ca="1">_xlfn.IFNA(VLOOKUP(INDIRECT("G"&amp;ROW()),minfo!$A:$M,COLUMN()-8,0),"")</f>
        <v>63947645</v>
      </c>
      <c r="U2201" s="4">
        <f ca="1">_xlfn.IFNA(VLOOKUP(INDIRECT("G"&amp;ROW()),minfo!$A:$M,COLUMN()-8,0),"")</f>
        <v>0</v>
      </c>
    </row>
    <row r="2202" spans="1:21" ht="15.75" customHeight="1">
      <c r="A2202" s="15">
        <v>2201</v>
      </c>
      <c r="B2202" s="4" t="s">
        <v>6182</v>
      </c>
      <c r="D2202" s="4">
        <v>1</v>
      </c>
      <c r="E2202" s="4" t="s">
        <v>6183</v>
      </c>
      <c r="F2202" s="4" t="s">
        <v>6177</v>
      </c>
      <c r="G2202" s="4" t="s">
        <v>1549</v>
      </c>
      <c r="H2202" s="4" t="s">
        <v>6184</v>
      </c>
      <c r="I2202" s="24" t="str">
        <f>HYPERLINK("https://www.bilibili.com/video/BV17CiGeUEQU?p=1","BV17CiGeUEQU?p=1")</f>
        <v>BV17CiGeUEQU?p=1</v>
      </c>
      <c r="J2202" s="4" t="str">
        <f ca="1">_xlfn.IFNA(VLOOKUP(INDIRECT("G"&amp;ROW()),minfo!$A:$M,COLUMN()-8,0),"")</f>
        <v>人间未满</v>
      </c>
      <c r="K2202" s="4" t="str">
        <f ca="1">_xlfn.IFNA(VLOOKUP(INDIRECT("G"&amp;ROW()),minfo!$A:$M,COLUMN()-8,0),"")</f>
        <v>妮莉安Lily,纱依shayi,说说Crystal</v>
      </c>
      <c r="L2202" s="4">
        <f ca="1">_xlfn.IFNA(VLOOKUP(INDIRECT("G"&amp;ROW()),minfo!$A:$M,COLUMN()-8,0),"")</f>
        <v>0</v>
      </c>
      <c r="M2202" s="4">
        <f ca="1">_xlfn.IFNA(VLOOKUP(INDIRECT("G"&amp;ROW()),minfo!$A:$M,COLUMN()-8,0),"")</f>
        <v>0</v>
      </c>
      <c r="N2202" s="4">
        <f ca="1">_xlfn.IFNA(VLOOKUP(INDIRECT("G"&amp;ROW()),minfo!$A:$M,COLUMN()-8,0),"")</f>
        <v>0</v>
      </c>
      <c r="O2202" s="4" t="str">
        <f ca="1">_xlfn.IFNA(VLOOKUP(INDIRECT("G"&amp;ROW()),minfo!$A:$M,COLUMN()-8,0),"")</f>
        <v>http://i0.hdslb.com/bfs/station_src/music_metadata/a9d9bd8d10828caa99479d3a5fd6f323.jpg</v>
      </c>
      <c r="P2202" s="4">
        <f ca="1">_xlfn.IFNA(VLOOKUP(INDIRECT("G"&amp;ROW()),minfo!$A:$M,COLUMN()-8,0),"")</f>
        <v>0</v>
      </c>
      <c r="Q2202" s="4">
        <f ca="1">_xlfn.IFNA(VLOOKUP(INDIRECT("G"&amp;ROW()),minfo!$A:$M,COLUMN()-8,0),"")</f>
        <v>16</v>
      </c>
      <c r="R2202" s="4">
        <f ca="1">_xlfn.IFNA(VLOOKUP(INDIRECT("G"&amp;ROW()),minfo!$A:$M,COLUMN()-8,0),"")</f>
        <v>0</v>
      </c>
      <c r="S2202" s="4" t="str">
        <f ca="1">_xlfn.IFNA(VLOOKUP(INDIRECT("G"&amp;ROW()),minfo!$A:$M,COLUMN()-8,0),"")</f>
        <v>人间未满</v>
      </c>
      <c r="T2202" s="4">
        <f ca="1">_xlfn.IFNA(VLOOKUP(INDIRECT("G"&amp;ROW()),minfo!$A:$M,COLUMN()-8,0),"")</f>
        <v>256261</v>
      </c>
      <c r="U2202" s="4">
        <f ca="1">_xlfn.IFNA(VLOOKUP(INDIRECT("G"&amp;ROW()),minfo!$A:$M,COLUMN()-8,0),"")</f>
        <v>0</v>
      </c>
    </row>
    <row r="2203" spans="1:21" ht="15.75" customHeight="1">
      <c r="A2203" s="15">
        <v>2202</v>
      </c>
      <c r="B2203" s="4" t="s">
        <v>6185</v>
      </c>
      <c r="D2203" s="4">
        <v>1</v>
      </c>
      <c r="E2203" s="4" t="s">
        <v>6186</v>
      </c>
      <c r="F2203" s="4" t="s">
        <v>6177</v>
      </c>
      <c r="G2203" s="4" t="s">
        <v>1258</v>
      </c>
      <c r="H2203" s="4" t="s">
        <v>6187</v>
      </c>
      <c r="I2203" s="24" t="str">
        <f>HYPERLINK("https://www.bilibili.com/video/BV17CiGeUEhm?p=1","BV17CiGeUEhm?p=1")</f>
        <v>BV17CiGeUEhm?p=1</v>
      </c>
      <c r="J2203" s="4" t="str">
        <f ca="1">_xlfn.IFNA(VLOOKUP(INDIRECT("G"&amp;ROW()),minfo!$A:$M,COLUMN()-8,0),"")</f>
        <v>想你的365天</v>
      </c>
      <c r="K2203" s="4" t="str">
        <f ca="1">_xlfn.IFNA(VLOOKUP(INDIRECT("G"&amp;ROW()),minfo!$A:$M,COLUMN()-8,0),"")</f>
        <v>CoCo李玟</v>
      </c>
      <c r="L2203" s="4">
        <f ca="1">_xlfn.IFNA(VLOOKUP(INDIRECT("G"&amp;ROW()),minfo!$A:$M,COLUMN()-8,0),"")</f>
        <v>0</v>
      </c>
      <c r="M2203" s="4">
        <f ca="1">_xlfn.IFNA(VLOOKUP(INDIRECT("G"&amp;ROW()),minfo!$A:$M,COLUMN()-8,0),"")</f>
        <v>0</v>
      </c>
      <c r="N2203" s="4">
        <f ca="1">_xlfn.IFNA(VLOOKUP(INDIRECT("G"&amp;ROW()),minfo!$A:$M,COLUMN()-8,0),"")</f>
        <v>0</v>
      </c>
      <c r="O2203" s="4" t="str">
        <f ca="1">_xlfn.IFNA(VLOOKUP(INDIRECT("G"&amp;ROW()),minfo!$A:$M,COLUMN()-8,0),"")</f>
        <v>http://i0.hdslb.com/bfs/station_src/music_metadata/7e0fc3a65347dff7ca5325dcea0c423c.jpg</v>
      </c>
      <c r="P2203" s="4" t="str">
        <f ca="1">_xlfn.IFNA(VLOOKUP(INDIRECT("G"&amp;ROW()),minfo!$A:$M,COLUMN()-8,0),"")</f>
        <v>http://i0.hdslb.com/bfs/station_src/music_metadata/df04ab256bcc74775cd5bcfba9597cb4</v>
      </c>
      <c r="Q2203" s="4">
        <f ca="1">_xlfn.IFNA(VLOOKUP(INDIRECT("G"&amp;ROW()),minfo!$A:$M,COLUMN()-8,0),"")</f>
        <v>408</v>
      </c>
      <c r="R2203" s="4">
        <f ca="1">_xlfn.IFNA(VLOOKUP(INDIRECT("G"&amp;ROW()),minfo!$A:$M,COLUMN()-8,0),"")</f>
        <v>0</v>
      </c>
      <c r="S2203" s="4" t="str">
        <f ca="1">_xlfn.IFNA(VLOOKUP(INDIRECT("G"&amp;ROW()),minfo!$A:$M,COLUMN()-8,0),"")</f>
        <v>碰碰看爱情</v>
      </c>
      <c r="T2203" s="4">
        <f ca="1">_xlfn.IFNA(VLOOKUP(INDIRECT("G"&amp;ROW()),minfo!$A:$M,COLUMN()-8,0),"")</f>
        <v>82776763</v>
      </c>
      <c r="U2203" s="4" t="str">
        <f ca="1">_xlfn.IFNA(VLOOKUP(INDIRECT("G"&amp;ROW()),minfo!$A:$M,COLUMN()-8,0),"")</f>
        <v>音乐榜最高NO.9</v>
      </c>
    </row>
    <row r="2204" spans="1:21" ht="15.75">
      <c r="A2204" s="15">
        <v>2203</v>
      </c>
      <c r="B2204" s="4" t="s">
        <v>6188</v>
      </c>
      <c r="D2204" s="4">
        <v>1</v>
      </c>
      <c r="E2204" s="4" t="s">
        <v>1984</v>
      </c>
      <c r="F2204" s="4" t="s">
        <v>6189</v>
      </c>
      <c r="G2204" s="4" t="s">
        <v>1983</v>
      </c>
      <c r="H2204" s="4" t="s">
        <v>6190</v>
      </c>
      <c r="I2204" s="24" t="str">
        <f>HYPERLINK("https://www.bilibili.com/video/BV1uxv9eEEis?p=1","BV1uxv9eEEis?p=1")</f>
        <v>BV1uxv9eEEis?p=1</v>
      </c>
      <c r="J2204" s="4" t="str">
        <f ca="1">_xlfn.IFNA(VLOOKUP(INDIRECT("G"&amp;ROW()),minfo!$A:$M,COLUMN()-8,0),"")</f>
        <v>剪爱</v>
      </c>
      <c r="K2204" s="4" t="str">
        <f ca="1">_xlfn.IFNA(VLOOKUP(INDIRECT("G"&amp;ROW()),minfo!$A:$M,COLUMN()-8,0),"")</f>
        <v>张惠妹</v>
      </c>
      <c r="L2204" s="4">
        <f ca="1">_xlfn.IFNA(VLOOKUP(INDIRECT("G"&amp;ROW()),minfo!$A:$M,COLUMN()-8,0),"")</f>
        <v>0</v>
      </c>
      <c r="M2204" s="4">
        <f ca="1">_xlfn.IFNA(VLOOKUP(INDIRECT("G"&amp;ROW()),minfo!$A:$M,COLUMN()-8,0),"")</f>
        <v>265</v>
      </c>
      <c r="N2204" s="4">
        <f ca="1">_xlfn.IFNA(VLOOKUP(INDIRECT("G"&amp;ROW()),minfo!$A:$M,COLUMN()-8,0),"")</f>
        <v>125</v>
      </c>
      <c r="O2204" s="4" t="str">
        <f ca="1">_xlfn.IFNA(VLOOKUP(INDIRECT("G"&amp;ROW()),minfo!$A:$M,COLUMN()-8,0),"")</f>
        <v>https://i0.hdslb.com/bfs/station_src/music_metadata/0455564807274799fc4f1ec547b0fe98.jpg</v>
      </c>
      <c r="P2204" s="4" t="str">
        <f ca="1">_xlfn.IFNA(VLOOKUP(INDIRECT("G"&amp;ROW()),minfo!$A:$M,COLUMN()-8,0),"")</f>
        <v>http://i0.hdslb.com/bfs/station_src/music_metadata/3ef009855510cde5cdafdf7e45cebebf</v>
      </c>
      <c r="Q2204" s="4">
        <f ca="1">_xlfn.IFNA(VLOOKUP(INDIRECT("G"&amp;ROW()),minfo!$A:$M,COLUMN()-8,0),"")</f>
        <v>11</v>
      </c>
      <c r="R2204" s="4">
        <f ca="1">_xlfn.IFNA(VLOOKUP(INDIRECT("G"&amp;ROW()),minfo!$A:$M,COLUMN()-8,0),"")</f>
        <v>0</v>
      </c>
      <c r="S2204" s="4" t="str">
        <f ca="1">_xlfn.IFNA(VLOOKUP(INDIRECT("G"&amp;ROW()),minfo!$A:$M,COLUMN()-8,0),"")</f>
        <v>1996-2002妹力最精选</v>
      </c>
      <c r="T2204" s="4">
        <f ca="1">_xlfn.IFNA(VLOOKUP(INDIRECT("G"&amp;ROW()),minfo!$A:$M,COLUMN()-8,0),"")</f>
        <v>10218385</v>
      </c>
      <c r="U2204" s="4">
        <f ca="1">_xlfn.IFNA(VLOOKUP(INDIRECT("G"&amp;ROW()),minfo!$A:$M,COLUMN()-8,0),"")</f>
        <v>0</v>
      </c>
    </row>
    <row r="2205" spans="1:21" ht="15.75">
      <c r="A2205" s="15">
        <v>2204</v>
      </c>
      <c r="B2205" s="4" t="s">
        <v>6022</v>
      </c>
      <c r="D2205" s="4">
        <v>1</v>
      </c>
      <c r="E2205" s="4" t="s">
        <v>3095</v>
      </c>
      <c r="F2205" s="4" t="s">
        <v>6189</v>
      </c>
      <c r="G2205" s="4" t="s">
        <v>3471</v>
      </c>
      <c r="H2205" s="4" t="s">
        <v>6191</v>
      </c>
      <c r="I2205" s="24" t="str">
        <f>HYPERLINK("https://www.bilibili.com/video/BV1V7v9e9E2T?p=1","BV1V7v9e9E2T?p=1")</f>
        <v>BV1V7v9e9E2T?p=1</v>
      </c>
      <c r="J2205" s="4" t="str">
        <f ca="1">_xlfn.IFNA(VLOOKUP(INDIRECT("G"&amp;ROW()),minfo!$A:$M,COLUMN()-8,0),"")</f>
        <v>隐形的翅膀</v>
      </c>
      <c r="K2205" s="4" t="str">
        <f ca="1">_xlfn.IFNA(VLOOKUP(INDIRECT("G"&amp;ROW()),minfo!$A:$M,COLUMN()-8,0),"")</f>
        <v>腾格尔</v>
      </c>
      <c r="L2205" s="4">
        <f ca="1">_xlfn.IFNA(VLOOKUP(INDIRECT("G"&amp;ROW()),minfo!$A:$M,COLUMN()-8,0),"")</f>
        <v>0</v>
      </c>
      <c r="M2205" s="4">
        <f ca="1">_xlfn.IFNA(VLOOKUP(INDIRECT("G"&amp;ROW()),minfo!$A:$M,COLUMN()-8,0),"")</f>
        <v>0</v>
      </c>
      <c r="N2205" s="4">
        <f ca="1">_xlfn.IFNA(VLOOKUP(INDIRECT("G"&amp;ROW()),minfo!$A:$M,COLUMN()-8,0),"")</f>
        <v>0</v>
      </c>
      <c r="O2205" s="4" t="str">
        <f ca="1">_xlfn.IFNA(VLOOKUP(INDIRECT("G"&amp;ROW()),minfo!$A:$M,COLUMN()-8,0),"")</f>
        <v>http://i0.hdslb.com/bfs/station_src/music_metadata/5e69faa47425a7c2052850010ef74ce4.jpg</v>
      </c>
      <c r="P2205" s="4">
        <f ca="1">_xlfn.IFNA(VLOOKUP(INDIRECT("G"&amp;ROW()),minfo!$A:$M,COLUMN()-8,0),"")</f>
        <v>0</v>
      </c>
      <c r="Q2205" s="4">
        <f ca="1">_xlfn.IFNA(VLOOKUP(INDIRECT("G"&amp;ROW()),minfo!$A:$M,COLUMN()-8,0),"")</f>
        <v>9</v>
      </c>
      <c r="R2205" s="4">
        <f ca="1">_xlfn.IFNA(VLOOKUP(INDIRECT("G"&amp;ROW()),minfo!$A:$M,COLUMN()-8,0),"")</f>
        <v>0</v>
      </c>
      <c r="S2205" s="4" t="str">
        <f ca="1">_xlfn.IFNA(VLOOKUP(INDIRECT("G"&amp;ROW()),minfo!$A:$M,COLUMN()-8,0),"")</f>
        <v>不凡的改变 第2期</v>
      </c>
      <c r="T2205" s="4">
        <f ca="1">_xlfn.IFNA(VLOOKUP(INDIRECT("G"&amp;ROW()),minfo!$A:$M,COLUMN()-8,0),"")</f>
        <v>696626</v>
      </c>
      <c r="U2205" s="4">
        <f ca="1">_xlfn.IFNA(VLOOKUP(INDIRECT("G"&amp;ROW()),minfo!$A:$M,COLUMN()-8,0),"")</f>
        <v>0</v>
      </c>
    </row>
    <row r="2206" spans="1:21" ht="15.75">
      <c r="A2206" s="15">
        <v>2205</v>
      </c>
      <c r="B2206" s="4" t="s">
        <v>6192</v>
      </c>
      <c r="D2206" s="4">
        <v>1</v>
      </c>
      <c r="E2206" s="4" t="s">
        <v>3131</v>
      </c>
      <c r="F2206" s="4" t="s">
        <v>6189</v>
      </c>
      <c r="G2206" s="4" t="s">
        <v>3130</v>
      </c>
      <c r="H2206" s="4" t="s">
        <v>6193</v>
      </c>
      <c r="I2206" s="24" t="str">
        <f>HYPERLINK("https://www.bilibili.com/video/BV1Rjv9esEPW?p=1","BV1Rjv9esEPW?p=1")</f>
        <v>BV1Rjv9esEPW?p=1</v>
      </c>
      <c r="J2206" s="4" t="str">
        <f ca="1">_xlfn.IFNA(VLOOKUP(INDIRECT("G"&amp;ROW()),minfo!$A:$M,COLUMN()-8,0),"")</f>
        <v>想把哥哥追</v>
      </c>
      <c r="K2206" s="4" t="str">
        <f ca="1">_xlfn.IFNA(VLOOKUP(INDIRECT("G"&amp;ROW()),minfo!$A:$M,COLUMN()-8,0),"")</f>
        <v>6a会魔法</v>
      </c>
      <c r="L2206" s="4">
        <f ca="1">_xlfn.IFNA(VLOOKUP(INDIRECT("G"&amp;ROW()),minfo!$A:$M,COLUMN()-8,0),"")</f>
        <v>0</v>
      </c>
      <c r="M2206" s="4">
        <f ca="1">_xlfn.IFNA(VLOOKUP(INDIRECT("G"&amp;ROW()),minfo!$A:$M,COLUMN()-8,0),"")</f>
        <v>0</v>
      </c>
      <c r="N2206" s="4">
        <f ca="1">_xlfn.IFNA(VLOOKUP(INDIRECT("G"&amp;ROW()),minfo!$A:$M,COLUMN()-8,0),"")</f>
        <v>0</v>
      </c>
      <c r="O2206" s="4" t="str">
        <f ca="1">_xlfn.IFNA(VLOOKUP(INDIRECT("G"&amp;ROW()),minfo!$A:$M,COLUMN()-8,0),"")</f>
        <v>https://i0.hdslb.com/bfs/station_src/music_metadata/5a796e31f4703d0b8dc745487432b038.jpg</v>
      </c>
      <c r="P2206" s="4" t="str">
        <f ca="1">_xlfn.IFNA(VLOOKUP(INDIRECT("G"&amp;ROW()),minfo!$A:$M,COLUMN()-8,0),"")</f>
        <v>https://i0.hdslb.com/bfs/station_src/music_metadata/2a6dda5a27efb1f0ac5a1a2202696ef3.txt</v>
      </c>
      <c r="Q2206" s="4">
        <f ca="1">_xlfn.IFNA(VLOOKUP(INDIRECT("G"&amp;ROW()),minfo!$A:$M,COLUMN()-8,0),"")</f>
        <v>98</v>
      </c>
      <c r="R2206" s="4">
        <f ca="1">_xlfn.IFNA(VLOOKUP(INDIRECT("G"&amp;ROW()),minfo!$A:$M,COLUMN()-8,0),"")</f>
        <v>0</v>
      </c>
      <c r="S2206" s="4" t="str">
        <f ca="1">_xlfn.IFNA(VLOOKUP(INDIRECT("G"&amp;ROW()),minfo!$A:$M,COLUMN()-8,0),"")</f>
        <v>想把哥哥追</v>
      </c>
      <c r="T2206" s="4">
        <f ca="1">_xlfn.IFNA(VLOOKUP(INDIRECT("G"&amp;ROW()),minfo!$A:$M,COLUMN()-8,0),"")</f>
        <v>12394708</v>
      </c>
      <c r="U2206" s="4">
        <f ca="1">_xlfn.IFNA(VLOOKUP(INDIRECT("G"&amp;ROW()),minfo!$A:$M,COLUMN()-8,0),"")</f>
        <v>0</v>
      </c>
    </row>
    <row r="2207" spans="1:21" ht="15.75">
      <c r="A2207" s="15">
        <v>2206</v>
      </c>
      <c r="B2207" s="4" t="s">
        <v>5779</v>
      </c>
      <c r="D2207" s="4">
        <v>1</v>
      </c>
      <c r="E2207" s="4" t="s">
        <v>123</v>
      </c>
      <c r="F2207" s="4" t="s">
        <v>6194</v>
      </c>
      <c r="G2207" s="4" t="s">
        <v>3475</v>
      </c>
      <c r="H2207" s="4" t="s">
        <v>6195</v>
      </c>
      <c r="I2207" s="24" t="str">
        <f>HYPERLINK("https://www.bilibili.com/video/BV161a2e6EZB?p=1","BV161a2e6EZB?p=1")</f>
        <v>BV161a2e6EZB?p=1</v>
      </c>
      <c r="J2207" s="4" t="str">
        <f ca="1">_xlfn.IFNA(VLOOKUP(INDIRECT("G"&amp;ROW()),minfo!$A:$M,COLUMN()-8,0),"")</f>
        <v>昌盛长</v>
      </c>
      <c r="K2207" s="4" t="str">
        <f ca="1">_xlfn.IFNA(VLOOKUP(INDIRECT("G"&amp;ROW()),minfo!$A:$M,COLUMN()-8,0),"")</f>
        <v>安子与九妹</v>
      </c>
      <c r="L2207" s="4">
        <f ca="1">_xlfn.IFNA(VLOOKUP(INDIRECT("G"&amp;ROW()),minfo!$A:$M,COLUMN()-8,0),"")</f>
        <v>0</v>
      </c>
      <c r="M2207" s="4">
        <f ca="1">_xlfn.IFNA(VLOOKUP(INDIRECT("G"&amp;ROW()),minfo!$A:$M,COLUMN()-8,0),"")</f>
        <v>0</v>
      </c>
      <c r="N2207" s="4">
        <f ca="1">_xlfn.IFNA(VLOOKUP(INDIRECT("G"&amp;ROW()),minfo!$A:$M,COLUMN()-8,0),"")</f>
        <v>0</v>
      </c>
      <c r="O2207" s="4" t="str">
        <f ca="1">_xlfn.IFNA(VLOOKUP(INDIRECT("G"&amp;ROW()),minfo!$A:$M,COLUMN()-8,0),"")</f>
        <v>https://i0.hdslb.com/bfs/station_src/music_metadata/3c99ea70d9da93d5c01ce206c9edc222.jpg</v>
      </c>
      <c r="P2207" s="4">
        <f ca="1">_xlfn.IFNA(VLOOKUP(INDIRECT("G"&amp;ROW()),minfo!$A:$M,COLUMN()-8,0),"")</f>
        <v>0</v>
      </c>
      <c r="Q2207" s="4">
        <f ca="1">_xlfn.IFNA(VLOOKUP(INDIRECT("G"&amp;ROW()),minfo!$A:$M,COLUMN()-8,0),"")</f>
        <v>5</v>
      </c>
      <c r="R2207" s="4">
        <f ca="1">_xlfn.IFNA(VLOOKUP(INDIRECT("G"&amp;ROW()),minfo!$A:$M,COLUMN()-8,0),"")</f>
        <v>0</v>
      </c>
      <c r="S2207" s="4" t="str">
        <f ca="1">_xlfn.IFNA(VLOOKUP(INDIRECT("G"&amp;ROW()),minfo!$A:$M,COLUMN()-8,0),"")</f>
        <v>昌盛长</v>
      </c>
      <c r="T2207" s="4">
        <f ca="1">_xlfn.IFNA(VLOOKUP(INDIRECT("G"&amp;ROW()),minfo!$A:$M,COLUMN()-8,0),"")</f>
        <v>56546</v>
      </c>
      <c r="U2207" s="4">
        <f ca="1">_xlfn.IFNA(VLOOKUP(INDIRECT("G"&amp;ROW()),minfo!$A:$M,COLUMN()-8,0),"")</f>
        <v>0</v>
      </c>
    </row>
    <row r="2208" spans="1:21" ht="15.75">
      <c r="A2208" s="15">
        <v>2207</v>
      </c>
      <c r="B2208" s="4" t="s">
        <v>6196</v>
      </c>
      <c r="D2208" s="4">
        <v>1</v>
      </c>
      <c r="E2208" s="4" t="s">
        <v>1534</v>
      </c>
      <c r="F2208" s="4" t="s">
        <v>6197</v>
      </c>
      <c r="G2208" s="4" t="s">
        <v>1533</v>
      </c>
      <c r="H2208" s="4" t="s">
        <v>6198</v>
      </c>
      <c r="I2208" s="24" t="str">
        <f>HYPERLINK("https://www.bilibili.com/video/BV1r1a2e6Em8?p=1","BV1r1a2e6Em8?p=1")</f>
        <v>BV1r1a2e6Em8?p=1</v>
      </c>
      <c r="J2208" s="4" t="str">
        <f ca="1">_xlfn.IFNA(VLOOKUP(INDIRECT("G"&amp;ROW()),minfo!$A:$M,COLUMN()-8,0),"")</f>
        <v>夏天的风</v>
      </c>
      <c r="K2208" s="4" t="str">
        <f ca="1">_xlfn.IFNA(VLOOKUP(INDIRECT("G"&amp;ROW()),minfo!$A:$M,COLUMN()-8,0),"")</f>
        <v>温岚</v>
      </c>
      <c r="L2208" s="4">
        <f ca="1">_xlfn.IFNA(VLOOKUP(INDIRECT("G"&amp;ROW()),minfo!$A:$M,COLUMN()-8,0),"")</f>
        <v>0</v>
      </c>
      <c r="M2208" s="4">
        <f ca="1">_xlfn.IFNA(VLOOKUP(INDIRECT("G"&amp;ROW()),minfo!$A:$M,COLUMN()-8,0),"")</f>
        <v>0</v>
      </c>
      <c r="N2208" s="4">
        <f ca="1">_xlfn.IFNA(VLOOKUP(INDIRECT("G"&amp;ROW()),minfo!$A:$M,COLUMN()-8,0),"")</f>
        <v>0</v>
      </c>
      <c r="O2208" s="4" t="str">
        <f ca="1">_xlfn.IFNA(VLOOKUP(INDIRECT("G"&amp;ROW()),minfo!$A:$M,COLUMN()-8,0),"")</f>
        <v>http://i0.hdslb.com/bfs/station_src/music_metadata/299064b429626e564b820aa490025cf3.jpg</v>
      </c>
      <c r="P2208" s="4" t="str">
        <f ca="1">_xlfn.IFNA(VLOOKUP(INDIRECT("G"&amp;ROW()),minfo!$A:$M,COLUMN()-8,0),"")</f>
        <v>http://i0.hdslb.com/bfs/station_src/music_metadata/1738086c832f4a90ef3a8c8e24d13a84</v>
      </c>
      <c r="Q2208" s="4">
        <f ca="1">_xlfn.IFNA(VLOOKUP(INDIRECT("G"&amp;ROW()),minfo!$A:$M,COLUMN()-8,0),"")</f>
        <v>1370</v>
      </c>
      <c r="R2208" s="4">
        <f ca="1">_xlfn.IFNA(VLOOKUP(INDIRECT("G"&amp;ROW()),minfo!$A:$M,COLUMN()-8,0),"")</f>
        <v>0</v>
      </c>
      <c r="S2208" s="4" t="str">
        <f ca="1">_xlfn.IFNA(VLOOKUP(INDIRECT("G"&amp;ROW()),minfo!$A:$M,COLUMN()-8,0),"")</f>
        <v>温式效应</v>
      </c>
      <c r="T2208" s="4">
        <f ca="1">_xlfn.IFNA(VLOOKUP(INDIRECT("G"&amp;ROW()),minfo!$A:$M,COLUMN()-8,0),"")</f>
        <v>529974853</v>
      </c>
      <c r="U2208" s="4">
        <f ca="1">_xlfn.IFNA(VLOOKUP(INDIRECT("G"&amp;ROW()),minfo!$A:$M,COLUMN()-8,0),"")</f>
        <v>0</v>
      </c>
    </row>
    <row r="2209" spans="1:21" ht="15.75">
      <c r="A2209" s="15">
        <v>2208</v>
      </c>
      <c r="B2209" s="4" t="s">
        <v>5860</v>
      </c>
      <c r="D2209" s="4">
        <v>1</v>
      </c>
      <c r="E2209" s="4" t="s">
        <v>1143</v>
      </c>
      <c r="F2209" s="4" t="s">
        <v>6197</v>
      </c>
      <c r="G2209" s="4" t="s">
        <v>1142</v>
      </c>
      <c r="H2209" s="4" t="s">
        <v>6199</v>
      </c>
      <c r="I2209" s="24" t="str">
        <f>HYPERLINK("https://www.bilibili.com/video/BV1H8aSeEETh?p=1","BV1H8aSeEETh?p=1")</f>
        <v>BV1H8aSeEETh?p=1</v>
      </c>
      <c r="J2209" s="4" t="str">
        <f ca="1">_xlfn.IFNA(VLOOKUP(INDIRECT("G"&amp;ROW()),minfo!$A:$M,COLUMN()-8,0),"")</f>
        <v>稻香</v>
      </c>
      <c r="K2209" s="4" t="str">
        <f ca="1">_xlfn.IFNA(VLOOKUP(INDIRECT("G"&amp;ROW()),minfo!$A:$M,COLUMN()-8,0),"")</f>
        <v>周杰伦</v>
      </c>
      <c r="L2209" s="4">
        <f ca="1">_xlfn.IFNA(VLOOKUP(INDIRECT("G"&amp;ROW()),minfo!$A:$M,COLUMN()-8,0),"")</f>
        <v>0</v>
      </c>
      <c r="M2209" s="4">
        <f ca="1">_xlfn.IFNA(VLOOKUP(INDIRECT("G"&amp;ROW()),minfo!$A:$M,COLUMN()-8,0),"")</f>
        <v>82980</v>
      </c>
      <c r="N2209" s="4">
        <f ca="1">_xlfn.IFNA(VLOOKUP(INDIRECT("G"&amp;ROW()),minfo!$A:$M,COLUMN()-8,0),"")</f>
        <v>5843</v>
      </c>
      <c r="O2209" s="4" t="str">
        <f ca="1">_xlfn.IFNA(VLOOKUP(INDIRECT("G"&amp;ROW()),minfo!$A:$M,COLUMN()-8,0),"")</f>
        <v>https://i0.hdslb.com/bfs/station_src/music_metadata/957f8ba4e202e519f64cdd61268ee24d.jpg</v>
      </c>
      <c r="P2209" s="4">
        <f ca="1">_xlfn.IFNA(VLOOKUP(INDIRECT("G"&amp;ROW()),minfo!$A:$M,COLUMN()-8,0),"")</f>
        <v>0</v>
      </c>
      <c r="Q2209" s="4">
        <f ca="1">_xlfn.IFNA(VLOOKUP(INDIRECT("G"&amp;ROW()),minfo!$A:$M,COLUMN()-8,0),"")</f>
        <v>7881</v>
      </c>
      <c r="R2209" s="4">
        <f ca="1">_xlfn.IFNA(VLOOKUP(INDIRECT("G"&amp;ROW()),minfo!$A:$M,COLUMN()-8,0),"")</f>
        <v>0</v>
      </c>
      <c r="S2209" s="4" t="str">
        <f ca="1">_xlfn.IFNA(VLOOKUP(INDIRECT("G"&amp;ROW()),minfo!$A:$M,COLUMN()-8,0),"")</f>
        <v>魔杰座</v>
      </c>
      <c r="T2209" s="4">
        <f ca="1">_xlfn.IFNA(VLOOKUP(INDIRECT("G"&amp;ROW()),minfo!$A:$M,COLUMN()-8,0),"")</f>
        <v>2525440964</v>
      </c>
      <c r="U2209" s="4" t="str">
        <f ca="1">_xlfn.IFNA(VLOOKUP(INDIRECT("G"&amp;ROW()),minfo!$A:$M,COLUMN()-8,0),"")</f>
        <v>音乐榜最高NO.6</v>
      </c>
    </row>
    <row r="2210" spans="1:21" ht="15.75">
      <c r="A2210" s="15">
        <v>2209</v>
      </c>
      <c r="B2210" s="4" t="s">
        <v>6200</v>
      </c>
      <c r="D2210" s="4">
        <v>1</v>
      </c>
      <c r="E2210" s="4" t="s">
        <v>433</v>
      </c>
      <c r="F2210" s="4" t="s">
        <v>6197</v>
      </c>
      <c r="G2210" s="4" t="s">
        <v>432</v>
      </c>
      <c r="H2210" s="4" t="s">
        <v>6201</v>
      </c>
      <c r="I2210" s="24" t="str">
        <f>HYPERLINK("https://www.bilibili.com/video/BV1ptaSeDEiQ?p=1","BV1ptaSeDEiQ?p=1")</f>
        <v>BV1ptaSeDEiQ?p=1</v>
      </c>
      <c r="J2210" s="4" t="str">
        <f ca="1">_xlfn.IFNA(VLOOKUP(INDIRECT("G"&amp;ROW()),minfo!$A:$M,COLUMN()-8,0),"")</f>
        <v>喜欢你</v>
      </c>
      <c r="K2210" s="4" t="str">
        <f ca="1">_xlfn.IFNA(VLOOKUP(INDIRECT("G"&amp;ROW()),minfo!$A:$M,COLUMN()-8,0),"")</f>
        <v>陈洁仪</v>
      </c>
      <c r="L2210" s="4">
        <f ca="1">_xlfn.IFNA(VLOOKUP(INDIRECT("G"&amp;ROW()),minfo!$A:$M,COLUMN()-8,0),"")</f>
        <v>0</v>
      </c>
      <c r="M2210" s="4">
        <f ca="1">_xlfn.IFNA(VLOOKUP(INDIRECT("G"&amp;ROW()),minfo!$A:$M,COLUMN()-8,0),"")</f>
        <v>0</v>
      </c>
      <c r="N2210" s="4">
        <f ca="1">_xlfn.IFNA(VLOOKUP(INDIRECT("G"&amp;ROW()),minfo!$A:$M,COLUMN()-8,0),"")</f>
        <v>0</v>
      </c>
      <c r="O2210" s="4" t="str">
        <f ca="1">_xlfn.IFNA(VLOOKUP(INDIRECT("G"&amp;ROW()),minfo!$A:$M,COLUMN()-8,0),"")</f>
        <v>https://i0.hdslb.com/bfs/station_src/music_metadata/657c63920e8cf9a7db4753eb939d1dce.jpg</v>
      </c>
      <c r="P2210" s="4" t="str">
        <f ca="1">_xlfn.IFNA(VLOOKUP(INDIRECT("G"&amp;ROW()),minfo!$A:$M,COLUMN()-8,0),"")</f>
        <v>http://i0.hdslb.com/bfs/station_src/music_metadata/6bffe0eed99a109396ffa9741cc156c7</v>
      </c>
      <c r="Q2210" s="4">
        <f ca="1">_xlfn.IFNA(VLOOKUP(INDIRECT("G"&amp;ROW()),minfo!$A:$M,COLUMN()-8,0),"")</f>
        <v>587</v>
      </c>
      <c r="R2210" s="4">
        <f ca="1">_xlfn.IFNA(VLOOKUP(INDIRECT("G"&amp;ROW()),minfo!$A:$M,COLUMN()-8,0),"")</f>
        <v>0</v>
      </c>
      <c r="S2210" s="4" t="str">
        <f ca="1">_xlfn.IFNA(VLOOKUP(INDIRECT("G"&amp;ROW()),minfo!$A:$M,COLUMN()-8,0),"")</f>
        <v>陈洁仪的异想世界</v>
      </c>
      <c r="T2210" s="4">
        <f ca="1">_xlfn.IFNA(VLOOKUP(INDIRECT("G"&amp;ROW()),minfo!$A:$M,COLUMN()-8,0),"")</f>
        <v>163210062</v>
      </c>
      <c r="U2210" s="4">
        <f ca="1">_xlfn.IFNA(VLOOKUP(INDIRECT("G"&amp;ROW()),minfo!$A:$M,COLUMN()-8,0),"")</f>
        <v>0</v>
      </c>
    </row>
    <row r="2211" spans="1:21" ht="15.75">
      <c r="A2211" s="15">
        <v>2210</v>
      </c>
      <c r="B2211" s="4" t="s">
        <v>6202</v>
      </c>
      <c r="D2211" s="4">
        <v>1</v>
      </c>
      <c r="E2211" s="4" t="s">
        <v>3480</v>
      </c>
      <c r="F2211" s="4" t="s">
        <v>6197</v>
      </c>
      <c r="G2211" s="4" t="s">
        <v>3479</v>
      </c>
      <c r="H2211" s="4" t="s">
        <v>6203</v>
      </c>
      <c r="I2211" s="24" t="str">
        <f>HYPERLINK("https://www.bilibili.com/video/BV1ptaSeSEwM?p=1","BV1ptaSeSEwM?p=1")</f>
        <v>BV1ptaSeSEwM?p=1</v>
      </c>
      <c r="J2211" s="4" t="str">
        <f ca="1">_xlfn.IFNA(VLOOKUP(INDIRECT("G"&amp;ROW()),minfo!$A:$M,COLUMN()-8,0),"")</f>
        <v>宠爱</v>
      </c>
      <c r="K2211" s="4" t="str">
        <f ca="1">_xlfn.IFNA(VLOOKUP(INDIRECT("G"&amp;ROW()),minfo!$A:$M,COLUMN()-8,0),"")</f>
        <v>TFBOYS</v>
      </c>
      <c r="L2211" s="4">
        <f ca="1">_xlfn.IFNA(VLOOKUP(INDIRECT("G"&amp;ROW()),minfo!$A:$M,COLUMN()-8,0),"")</f>
        <v>0</v>
      </c>
      <c r="M2211" s="4">
        <f ca="1">_xlfn.IFNA(VLOOKUP(INDIRECT("G"&amp;ROW()),minfo!$A:$M,COLUMN()-8,0),"")</f>
        <v>0</v>
      </c>
      <c r="N2211" s="4">
        <f ca="1">_xlfn.IFNA(VLOOKUP(INDIRECT("G"&amp;ROW()),minfo!$A:$M,COLUMN()-8,0),"")</f>
        <v>0</v>
      </c>
      <c r="O2211" s="4" t="str">
        <f ca="1">_xlfn.IFNA(VLOOKUP(INDIRECT("G"&amp;ROW()),minfo!$A:$M,COLUMN()-8,0),"")</f>
        <v>https://i0.hdslb.com/bfs/station_src/music_metadata/868eec5bd79cbf8cadbc524410a6d039.jpg</v>
      </c>
      <c r="P2211" s="4" t="str">
        <f ca="1">_xlfn.IFNA(VLOOKUP(INDIRECT("G"&amp;ROW()),minfo!$A:$M,COLUMN()-8,0),"")</f>
        <v>http://i0.hdslb.com/bfs/station_src/music_metadata/866fee5bdcb1116afa51684894bf092b</v>
      </c>
      <c r="Q2211" s="4">
        <f ca="1">_xlfn.IFNA(VLOOKUP(INDIRECT("G"&amp;ROW()),minfo!$A:$M,COLUMN()-8,0),"")</f>
        <v>339</v>
      </c>
      <c r="R2211" s="4" t="str">
        <f ca="1">_xlfn.IFNA(VLOOKUP(INDIRECT("G"&amp;ROW()),minfo!$A:$M,COLUMN()-8,0),"")</f>
        <v>《猪猪侠之英雄猪少年》动画主题曲</v>
      </c>
      <c r="S2211" s="4" t="str">
        <f ca="1">_xlfn.IFNA(VLOOKUP(INDIRECT("G"&amp;ROW()),minfo!$A:$M,COLUMN()-8,0),"")</f>
        <v>大梦想家</v>
      </c>
      <c r="T2211" s="4">
        <f ca="1">_xlfn.IFNA(VLOOKUP(INDIRECT("G"&amp;ROW()),minfo!$A:$M,COLUMN()-8,0),"")</f>
        <v>197159453</v>
      </c>
      <c r="U2211" s="4">
        <f ca="1">_xlfn.IFNA(VLOOKUP(INDIRECT("G"&amp;ROW()),minfo!$A:$M,COLUMN()-8,0),"")</f>
        <v>0</v>
      </c>
    </row>
    <row r="2212" spans="1:21" ht="15.75">
      <c r="A2212" s="15">
        <v>2211</v>
      </c>
      <c r="B2212" s="4" t="s">
        <v>6204</v>
      </c>
      <c r="D2212" s="4">
        <v>1</v>
      </c>
      <c r="E2212" s="4" t="s">
        <v>3486</v>
      </c>
      <c r="F2212" s="4" t="s">
        <v>6197</v>
      </c>
      <c r="G2212" s="4" t="s">
        <v>3485</v>
      </c>
      <c r="H2212" s="4" t="s">
        <v>6205</v>
      </c>
      <c r="I2212" s="24" t="str">
        <f>HYPERLINK("https://www.bilibili.com/video/BV1JYaSejEf4?p=1","BV1JYaSejEf4?p=1")</f>
        <v>BV1JYaSejEf4?p=1</v>
      </c>
      <c r="J2212" s="4" t="str">
        <f ca="1">_xlfn.IFNA(VLOOKUP(INDIRECT("G"&amp;ROW()),minfo!$A:$M,COLUMN()-8,0),"")</f>
        <v>谁动了我的琴弦</v>
      </c>
      <c r="K2212" s="4" t="str">
        <f ca="1">_xlfn.IFNA(VLOOKUP(INDIRECT("G"&amp;ROW()),minfo!$A:$M,COLUMN()-8,0),"")</f>
        <v>周笔畅</v>
      </c>
      <c r="L2212" s="4">
        <f ca="1">_xlfn.IFNA(VLOOKUP(INDIRECT("G"&amp;ROW()),minfo!$A:$M,COLUMN()-8,0),"")</f>
        <v>0</v>
      </c>
      <c r="M2212" s="4">
        <f ca="1">_xlfn.IFNA(VLOOKUP(INDIRECT("G"&amp;ROW()),minfo!$A:$M,COLUMN()-8,0),"")</f>
        <v>0</v>
      </c>
      <c r="N2212" s="4">
        <f ca="1">_xlfn.IFNA(VLOOKUP(INDIRECT("G"&amp;ROW()),minfo!$A:$M,COLUMN()-8,0),"")</f>
        <v>0</v>
      </c>
      <c r="O2212" s="4" t="str">
        <f ca="1">_xlfn.IFNA(VLOOKUP(INDIRECT("G"&amp;ROW()),minfo!$A:$M,COLUMN()-8,0),"")</f>
        <v>https://i0.hdslb.com/bfs/station_src/music_metadata/d732d30e51126e3de88f181a53e9d548.jpg</v>
      </c>
      <c r="P2212" s="4">
        <f ca="1">_xlfn.IFNA(VLOOKUP(INDIRECT("G"&amp;ROW()),minfo!$A:$M,COLUMN()-8,0),"")</f>
        <v>0</v>
      </c>
      <c r="Q2212" s="4">
        <f ca="1">_xlfn.IFNA(VLOOKUP(INDIRECT("G"&amp;ROW()),minfo!$A:$M,COLUMN()-8,0),"")</f>
        <v>11</v>
      </c>
      <c r="R2212" s="4" t="str">
        <f ca="1">_xlfn.IFNA(VLOOKUP(INDIRECT("G"&amp;ROW()),minfo!$A:$M,COLUMN()-8,0),"")</f>
        <v>谁动了我的琴弦</v>
      </c>
      <c r="S2212" s="4" t="str">
        <f ca="1">_xlfn.IFNA(VLOOKUP(INDIRECT("G"&amp;ROW()),minfo!$A:$M,COLUMN()-8,0),"")</f>
        <v>谁动了我的琴弦</v>
      </c>
      <c r="T2212" s="4">
        <f ca="1">_xlfn.IFNA(VLOOKUP(INDIRECT("G"&amp;ROW()),minfo!$A:$M,COLUMN()-8,0),"")</f>
        <v>2675569</v>
      </c>
      <c r="U2212" s="4">
        <f ca="1">_xlfn.IFNA(VLOOKUP(INDIRECT("G"&amp;ROW()),minfo!$A:$M,COLUMN()-8,0),"")</f>
        <v>0</v>
      </c>
    </row>
    <row r="2213" spans="1:21" ht="15.75">
      <c r="A2213" s="15">
        <v>2212</v>
      </c>
      <c r="B2213" s="4" t="s">
        <v>5902</v>
      </c>
      <c r="D2213" s="4">
        <v>1</v>
      </c>
      <c r="E2213" s="4" t="s">
        <v>2224</v>
      </c>
      <c r="F2213" s="4" t="s">
        <v>6197</v>
      </c>
      <c r="G2213" s="4" t="s">
        <v>2223</v>
      </c>
      <c r="H2213" s="4" t="s">
        <v>6206</v>
      </c>
      <c r="I2213" s="24" t="str">
        <f>HYPERLINK("https://www.bilibili.com/video/BV1nhaSemExt?p=1","BV1nhaSemExt?p=1")</f>
        <v>BV1nhaSemExt?p=1</v>
      </c>
      <c r="J2213" s="4" t="str">
        <f ca="1">_xlfn.IFNA(VLOOKUP(INDIRECT("G"&amp;ROW()),minfo!$A:$M,COLUMN()-8,0),"")</f>
        <v>最美的期待</v>
      </c>
      <c r="K2213" s="4" t="str">
        <f ca="1">_xlfn.IFNA(VLOOKUP(INDIRECT("G"&amp;ROW()),minfo!$A:$M,COLUMN()-8,0),"")</f>
        <v>周笔畅</v>
      </c>
      <c r="L2213" s="4">
        <f ca="1">_xlfn.IFNA(VLOOKUP(INDIRECT("G"&amp;ROW()),minfo!$A:$M,COLUMN()-8,0),"")</f>
        <v>0</v>
      </c>
      <c r="M2213" s="4">
        <f ca="1">_xlfn.IFNA(VLOOKUP(INDIRECT("G"&amp;ROW()),minfo!$A:$M,COLUMN()-8,0),"")</f>
        <v>0</v>
      </c>
      <c r="N2213" s="4">
        <f ca="1">_xlfn.IFNA(VLOOKUP(INDIRECT("G"&amp;ROW()),minfo!$A:$M,COLUMN()-8,0),"")</f>
        <v>0</v>
      </c>
      <c r="O2213" s="4" t="str">
        <f ca="1">_xlfn.IFNA(VLOOKUP(INDIRECT("G"&amp;ROW()),minfo!$A:$M,COLUMN()-8,0),"")</f>
        <v>https://i0.hdslb.com/bfs/station_src/music_metadata/f2a2a8c93cd09a6682d0a39064813d69.jpg</v>
      </c>
      <c r="P2213" s="4" t="str">
        <f ca="1">_xlfn.IFNA(VLOOKUP(INDIRECT("G"&amp;ROW()),minfo!$A:$M,COLUMN()-8,0),"")</f>
        <v>http://i0.hdslb.com/bfs/station_src/music_metadata/76dd4b0f588d1a3ad4d799d610379778</v>
      </c>
      <c r="Q2213" s="4">
        <f ca="1">_xlfn.IFNA(VLOOKUP(INDIRECT("G"&amp;ROW()),minfo!$A:$M,COLUMN()-8,0),"")</f>
        <v>635</v>
      </c>
      <c r="R2213" s="4" t="str">
        <f ca="1">_xlfn.IFNA(VLOOKUP(INDIRECT("G"&amp;ROW()),minfo!$A:$M,COLUMN()-8,0),"")</f>
        <v>《茧镇奇缘》电视剧片头曲</v>
      </c>
      <c r="S2213" s="4" t="str">
        <f ca="1">_xlfn.IFNA(VLOOKUP(INDIRECT("G"&amp;ROW()),minfo!$A:$M,COLUMN()-8,0),"")</f>
        <v>最美的期待</v>
      </c>
      <c r="T2213" s="4">
        <f ca="1">_xlfn.IFNA(VLOOKUP(INDIRECT("G"&amp;ROW()),minfo!$A:$M,COLUMN()-8,0),"")</f>
        <v>333836783</v>
      </c>
      <c r="U2213" s="4">
        <f ca="1">_xlfn.IFNA(VLOOKUP(INDIRECT("G"&amp;ROW()),minfo!$A:$M,COLUMN()-8,0),"")</f>
        <v>0</v>
      </c>
    </row>
    <row r="2214" spans="1:21" ht="15.75">
      <c r="A2214" s="15">
        <v>2213</v>
      </c>
      <c r="B2214" s="4" t="s">
        <v>6207</v>
      </c>
      <c r="D2214" s="4">
        <v>1</v>
      </c>
      <c r="E2214" s="4" t="s">
        <v>808</v>
      </c>
      <c r="F2214" s="4" t="s">
        <v>6194</v>
      </c>
      <c r="G2214" s="4" t="s">
        <v>807</v>
      </c>
      <c r="H2214" s="4" t="s">
        <v>6208</v>
      </c>
      <c r="I2214" s="24" t="str">
        <f>HYPERLINK("https://www.bilibili.com/video/BV1rZaXedEjS?p=1","BV1rZaXedEjS?p=1")</f>
        <v>BV1rZaXedEjS?p=1</v>
      </c>
      <c r="J2214" s="4" t="str">
        <f ca="1">_xlfn.IFNA(VLOOKUP(INDIRECT("G"&amp;ROW()),minfo!$A:$M,COLUMN()-8,0),"")</f>
        <v>上海一九四三</v>
      </c>
      <c r="K2214" s="4" t="str">
        <f ca="1">_xlfn.IFNA(VLOOKUP(INDIRECT("G"&amp;ROW()),minfo!$A:$M,COLUMN()-8,0),"")</f>
        <v>周杰伦</v>
      </c>
      <c r="L2214" s="4">
        <f ca="1">_xlfn.IFNA(VLOOKUP(INDIRECT("G"&amp;ROW()),minfo!$A:$M,COLUMN()-8,0),"")</f>
        <v>0</v>
      </c>
      <c r="M2214" s="4">
        <f ca="1">_xlfn.IFNA(VLOOKUP(INDIRECT("G"&amp;ROW()),minfo!$A:$M,COLUMN()-8,0),"")</f>
        <v>0</v>
      </c>
      <c r="N2214" s="4">
        <f ca="1">_xlfn.IFNA(VLOOKUP(INDIRECT("G"&amp;ROW()),minfo!$A:$M,COLUMN()-8,0),"")</f>
        <v>0</v>
      </c>
      <c r="O2214" s="4" t="str">
        <f ca="1">_xlfn.IFNA(VLOOKUP(INDIRECT("G"&amp;ROW()),minfo!$A:$M,COLUMN()-8,0),"")</f>
        <v>https://i0.hdslb.com/bfs/station_src/music_metadata/00515c7749037eb5e54b1b53955bc7ff.jpg</v>
      </c>
      <c r="P2214" s="4" t="str">
        <f ca="1">_xlfn.IFNA(VLOOKUP(INDIRECT("G"&amp;ROW()),minfo!$A:$M,COLUMN()-8,0),"")</f>
        <v>http://i0.hdslb.com/bfs/station_src/music_metadata/ff8a043954c6ca13adc9e5f1c94ecd23</v>
      </c>
      <c r="Q2214" s="4">
        <f ca="1">_xlfn.IFNA(VLOOKUP(INDIRECT("G"&amp;ROW()),minfo!$A:$M,COLUMN()-8,0),"")</f>
        <v>529</v>
      </c>
      <c r="R2214" s="4">
        <f ca="1">_xlfn.IFNA(VLOOKUP(INDIRECT("G"&amp;ROW()),minfo!$A:$M,COLUMN()-8,0),"")</f>
        <v>0</v>
      </c>
      <c r="S2214" s="4" t="str">
        <f ca="1">_xlfn.IFNA(VLOOKUP(INDIRECT("G"&amp;ROW()),minfo!$A:$M,COLUMN()-8,0),"")</f>
        <v>范特西</v>
      </c>
      <c r="T2214" s="4">
        <f ca="1">_xlfn.IFNA(VLOOKUP(INDIRECT("G"&amp;ROW()),minfo!$A:$M,COLUMN()-8,0),"")</f>
        <v>224985389</v>
      </c>
      <c r="U2214" s="4">
        <f ca="1">_xlfn.IFNA(VLOOKUP(INDIRECT("G"&amp;ROW()),minfo!$A:$M,COLUMN()-8,0),"")</f>
        <v>0</v>
      </c>
    </row>
    <row r="2215" spans="1:21" ht="15.75">
      <c r="A2215" s="15">
        <v>2214</v>
      </c>
      <c r="B2215" s="4" t="s">
        <v>5744</v>
      </c>
      <c r="D2215" s="4">
        <v>1</v>
      </c>
      <c r="E2215" s="4" t="s">
        <v>259</v>
      </c>
      <c r="F2215" s="4" t="s">
        <v>6194</v>
      </c>
      <c r="G2215" s="4" t="s">
        <v>258</v>
      </c>
      <c r="H2215" s="4" t="s">
        <v>6209</v>
      </c>
      <c r="I2215" s="24" t="str">
        <f>HYPERLINK("https://www.bilibili.com/video/BV1woaXetEhY?p=1","BV1woaXetEhY?p=1")</f>
        <v>BV1woaXetEhY?p=1</v>
      </c>
      <c r="J2215" s="4" t="str">
        <f ca="1">_xlfn.IFNA(VLOOKUP(INDIRECT("G"&amp;ROW()),minfo!$A:$M,COLUMN()-8,0),"")</f>
        <v>枫</v>
      </c>
      <c r="K2215" s="4" t="str">
        <f ca="1">_xlfn.IFNA(VLOOKUP(INDIRECT("G"&amp;ROW()),minfo!$A:$M,COLUMN()-8,0),"")</f>
        <v>周杰伦</v>
      </c>
      <c r="L2215" s="4">
        <f ca="1">_xlfn.IFNA(VLOOKUP(INDIRECT("G"&amp;ROW()),minfo!$A:$M,COLUMN()-8,0),"")</f>
        <v>0</v>
      </c>
      <c r="M2215" s="4">
        <f ca="1">_xlfn.IFNA(VLOOKUP(INDIRECT("G"&amp;ROW()),minfo!$A:$M,COLUMN()-8,0),"")</f>
        <v>0</v>
      </c>
      <c r="N2215" s="4">
        <f ca="1">_xlfn.IFNA(VLOOKUP(INDIRECT("G"&amp;ROW()),minfo!$A:$M,COLUMN()-8,0),"")</f>
        <v>0</v>
      </c>
      <c r="O2215" s="4" t="str">
        <f ca="1">_xlfn.IFNA(VLOOKUP(INDIRECT("G"&amp;ROW()),minfo!$A:$M,COLUMN()-8,0),"")</f>
        <v>https://i0.hdslb.com/bfs/station_src/music_metadata/fb82b0fb2908b09d88ba13ef0db91863.jpg</v>
      </c>
      <c r="P2215" s="4" t="str">
        <f ca="1">_xlfn.IFNA(VLOOKUP(INDIRECT("G"&amp;ROW()),minfo!$A:$M,COLUMN()-8,0),"")</f>
        <v>http://i0.hdslb.com/bfs/station_src/music_metadata/9b1e7a89ea3eead8b8c6b32cdb30abd9</v>
      </c>
      <c r="Q2215" s="4">
        <f ca="1">_xlfn.IFNA(VLOOKUP(INDIRECT("G"&amp;ROW()),minfo!$A:$M,COLUMN()-8,0),"")</f>
        <v>6002</v>
      </c>
      <c r="R2215" s="4">
        <f ca="1">_xlfn.IFNA(VLOOKUP(INDIRECT("G"&amp;ROW()),minfo!$A:$M,COLUMN()-8,0),"")</f>
        <v>0</v>
      </c>
      <c r="S2215" s="4" t="str">
        <f ca="1">_xlfn.IFNA(VLOOKUP(INDIRECT("G"&amp;ROW()),minfo!$A:$M,COLUMN()-8,0),"")</f>
        <v>十一月的萧邦</v>
      </c>
      <c r="T2215" s="4">
        <f ca="1">_xlfn.IFNA(VLOOKUP(INDIRECT("G"&amp;ROW()),minfo!$A:$M,COLUMN()-8,0),"")</f>
        <v>560749777</v>
      </c>
      <c r="U2215" s="4">
        <f ca="1">_xlfn.IFNA(VLOOKUP(INDIRECT("G"&amp;ROW()),minfo!$A:$M,COLUMN()-8,0),"")</f>
        <v>0</v>
      </c>
    </row>
    <row r="2216" spans="1:21" ht="15.75">
      <c r="A2216" s="15">
        <v>2215</v>
      </c>
      <c r="B2216" s="4" t="s">
        <v>6210</v>
      </c>
      <c r="D2216" s="4">
        <v>1</v>
      </c>
      <c r="E2216" s="4" t="s">
        <v>3335</v>
      </c>
      <c r="F2216" s="4" t="s">
        <v>6194</v>
      </c>
      <c r="G2216" s="4" t="s">
        <v>3334</v>
      </c>
      <c r="H2216" s="4" t="s">
        <v>6211</v>
      </c>
      <c r="I2216" s="24" t="str">
        <f>HYPERLINK("https://www.bilibili.com/video/BV1cZaXedE7g?p=1","BV1cZaXedE7g?p=1")</f>
        <v>BV1cZaXedE7g?p=1</v>
      </c>
      <c r="J2216" s="4" t="str">
        <f ca="1">_xlfn.IFNA(VLOOKUP(INDIRECT("G"&amp;ROW()),minfo!$A:$M,COLUMN()-8,0),"")</f>
        <v>那个女孩</v>
      </c>
      <c r="K2216" s="4" t="str">
        <f ca="1">_xlfn.IFNA(VLOOKUP(INDIRECT("G"&amp;ROW()),minfo!$A:$M,COLUMN()-8,0),"")</f>
        <v>卢广仲,陶喆</v>
      </c>
      <c r="L2216" s="4">
        <f ca="1">_xlfn.IFNA(VLOOKUP(INDIRECT("G"&amp;ROW()),minfo!$A:$M,COLUMN()-8,0),"")</f>
        <v>0</v>
      </c>
      <c r="M2216" s="4">
        <f ca="1">_xlfn.IFNA(VLOOKUP(INDIRECT("G"&amp;ROW()),minfo!$A:$M,COLUMN()-8,0),"")</f>
        <v>0</v>
      </c>
      <c r="N2216" s="4">
        <f ca="1">_xlfn.IFNA(VLOOKUP(INDIRECT("G"&amp;ROW()),minfo!$A:$M,COLUMN()-8,0),"")</f>
        <v>0</v>
      </c>
      <c r="O2216" s="4" t="str">
        <f ca="1">_xlfn.IFNA(VLOOKUP(INDIRECT("G"&amp;ROW()),minfo!$A:$M,COLUMN()-8,0),"")</f>
        <v>https://i0.hdslb.com/bfs/station_src/music_metadata/c864345045e74c18e9eef7f52891cbbb.jpg</v>
      </c>
      <c r="P2216" s="4">
        <f ca="1">_xlfn.IFNA(VLOOKUP(INDIRECT("G"&amp;ROW()),minfo!$A:$M,COLUMN()-8,0),"")</f>
        <v>0</v>
      </c>
      <c r="Q2216" s="4">
        <f ca="1">_xlfn.IFNA(VLOOKUP(INDIRECT("G"&amp;ROW()),minfo!$A:$M,COLUMN()-8,0),"")</f>
        <v>202</v>
      </c>
      <c r="R2216" s="4">
        <f ca="1">_xlfn.IFNA(VLOOKUP(INDIRECT("G"&amp;ROW()),minfo!$A:$M,COLUMN()-8,0),"")</f>
        <v>0</v>
      </c>
      <c r="S2216" s="4" t="str">
        <f ca="1">_xlfn.IFNA(VLOOKUP(INDIRECT("G"&amp;ROW()),minfo!$A:$M,COLUMN()-8,0),"")</f>
        <v>再见你好吗 Hello Goodbye</v>
      </c>
      <c r="T2216" s="4">
        <f ca="1">_xlfn.IFNA(VLOOKUP(INDIRECT("G"&amp;ROW()),minfo!$A:$M,COLUMN()-8,0),"")</f>
        <v>40006301</v>
      </c>
      <c r="U2216" s="4">
        <f ca="1">_xlfn.IFNA(VLOOKUP(INDIRECT("G"&amp;ROW()),minfo!$A:$M,COLUMN()-8,0),"")</f>
        <v>0</v>
      </c>
    </row>
    <row r="2217" spans="1:21" ht="15.75">
      <c r="A2217" s="15">
        <v>2216</v>
      </c>
      <c r="B2217" s="4" t="s">
        <v>5921</v>
      </c>
      <c r="D2217" s="4">
        <v>1</v>
      </c>
      <c r="E2217" s="4" t="s">
        <v>904</v>
      </c>
      <c r="F2217" s="4" t="s">
        <v>6194</v>
      </c>
      <c r="G2217" s="4" t="s">
        <v>903</v>
      </c>
      <c r="H2217" s="4" t="s">
        <v>6212</v>
      </c>
      <c r="I2217" s="24" t="str">
        <f>HYPERLINK("https://www.bilibili.com/video/BV1coaXetEBg?p=1","BV1coaXetEBg?p=1")</f>
        <v>BV1coaXetEBg?p=1</v>
      </c>
      <c r="J2217" s="4" t="str">
        <f ca="1">_xlfn.IFNA(VLOOKUP(INDIRECT("G"&amp;ROW()),minfo!$A:$M,COLUMN()-8,0),"")</f>
        <v>轨迹</v>
      </c>
      <c r="K2217" s="4" t="str">
        <f ca="1">_xlfn.IFNA(VLOOKUP(INDIRECT("G"&amp;ROW()),minfo!$A:$M,COLUMN()-8,0),"")</f>
        <v>周杰伦</v>
      </c>
      <c r="L2217" s="4">
        <f ca="1">_xlfn.IFNA(VLOOKUP(INDIRECT("G"&amp;ROW()),minfo!$A:$M,COLUMN()-8,0),"")</f>
        <v>0</v>
      </c>
      <c r="M2217" s="4">
        <f ca="1">_xlfn.IFNA(VLOOKUP(INDIRECT("G"&amp;ROW()),minfo!$A:$M,COLUMN()-8,0),"")</f>
        <v>0</v>
      </c>
      <c r="N2217" s="4">
        <f ca="1">_xlfn.IFNA(VLOOKUP(INDIRECT("G"&amp;ROW()),minfo!$A:$M,COLUMN()-8,0),"")</f>
        <v>0</v>
      </c>
      <c r="O2217" s="4" t="str">
        <f ca="1">_xlfn.IFNA(VLOOKUP(INDIRECT("G"&amp;ROW()),minfo!$A:$M,COLUMN()-8,0),"")</f>
        <v>https://i0.hdslb.com/bfs/station_src/music_metadata/439418765b962c30a2db33196128f32b.jpg</v>
      </c>
      <c r="P2217" s="4" t="str">
        <f ca="1">_xlfn.IFNA(VLOOKUP(INDIRECT("G"&amp;ROW()),minfo!$A:$M,COLUMN()-8,0),"")</f>
        <v>copyright-crawler/music/task-lyric/6267f46a504b4c0665fd7bfd.txt</v>
      </c>
      <c r="Q2217" s="4">
        <f ca="1">_xlfn.IFNA(VLOOKUP(INDIRECT("G"&amp;ROW()),minfo!$A:$M,COLUMN()-8,0),"")</f>
        <v>2850</v>
      </c>
      <c r="R2217" s="4" t="str">
        <f ca="1">_xlfn.IFNA(VLOOKUP(INDIRECT("G"&amp;ROW()),minfo!$A:$M,COLUMN()-8,0),"")</f>
        <v>轨迹</v>
      </c>
      <c r="S2217" s="4" t="str">
        <f ca="1">_xlfn.IFNA(VLOOKUP(INDIRECT("G"&amp;ROW()),minfo!$A:$M,COLUMN()-8,0),"")</f>
        <v>寻找周杰伦</v>
      </c>
      <c r="T2217" s="4">
        <f ca="1">_xlfn.IFNA(VLOOKUP(INDIRECT("G"&amp;ROW()),minfo!$A:$M,COLUMN()-8,0),"")</f>
        <v>416774055</v>
      </c>
      <c r="U2217" s="4">
        <f ca="1">_xlfn.IFNA(VLOOKUP(INDIRECT("G"&amp;ROW()),minfo!$A:$M,COLUMN()-8,0),"")</f>
        <v>0</v>
      </c>
    </row>
    <row r="2218" spans="1:21" ht="15.75">
      <c r="A2218" s="15">
        <v>2217</v>
      </c>
      <c r="B2218" s="4" t="s">
        <v>6213</v>
      </c>
      <c r="D2218" s="4">
        <v>1</v>
      </c>
      <c r="E2218" s="4" t="s">
        <v>465</v>
      </c>
      <c r="F2218" s="4" t="s">
        <v>6214</v>
      </c>
      <c r="G2218" s="4" t="s">
        <v>464</v>
      </c>
      <c r="H2218" s="4" t="s">
        <v>6215</v>
      </c>
      <c r="I2218" s="24" t="str">
        <f>HYPERLINK("https://www.bilibili.com/video/BV1HNYueTEUd?p=1","BV1HNYueTEUd?p=1")</f>
        <v>BV1HNYueTEUd?p=1</v>
      </c>
      <c r="J2218" s="4" t="str">
        <f ca="1">_xlfn.IFNA(VLOOKUP(INDIRECT("G"&amp;ROW()),minfo!$A:$M,COLUMN()-8,0),"")</f>
        <v>去有风的地方</v>
      </c>
      <c r="K2218" s="4" t="str">
        <f ca="1">_xlfn.IFNA(VLOOKUP(INDIRECT("G"&amp;ROW()),minfo!$A:$M,COLUMN()-8,0),"")</f>
        <v>郁可唯</v>
      </c>
      <c r="L2218" s="4">
        <f ca="1">_xlfn.IFNA(VLOOKUP(INDIRECT("G"&amp;ROW()),minfo!$A:$M,COLUMN()-8,0),"")</f>
        <v>0</v>
      </c>
      <c r="M2218" s="4">
        <f ca="1">_xlfn.IFNA(VLOOKUP(INDIRECT("G"&amp;ROW()),minfo!$A:$M,COLUMN()-8,0),"")</f>
        <v>0</v>
      </c>
      <c r="N2218" s="4">
        <f ca="1">_xlfn.IFNA(VLOOKUP(INDIRECT("G"&amp;ROW()),minfo!$A:$M,COLUMN()-8,0),"")</f>
        <v>0</v>
      </c>
      <c r="O2218" s="4" t="str">
        <f ca="1">_xlfn.IFNA(VLOOKUP(INDIRECT("G"&amp;ROW()),minfo!$A:$M,COLUMN()-8,0),"")</f>
        <v>http://i0.hdslb.com/bfs/station_src/music_metadata/b093843de254f8f99076be76300b8733.jpg</v>
      </c>
      <c r="P2218" s="4">
        <f ca="1">_xlfn.IFNA(VLOOKUP(INDIRECT("G"&amp;ROW()),minfo!$A:$M,COLUMN()-8,0),"")</f>
        <v>0</v>
      </c>
      <c r="Q2218" s="4">
        <f ca="1">_xlfn.IFNA(VLOOKUP(INDIRECT("G"&amp;ROW()),minfo!$A:$M,COLUMN()-8,0),"")</f>
        <v>1229</v>
      </c>
      <c r="R2218" s="4">
        <f ca="1">_xlfn.IFNA(VLOOKUP(INDIRECT("G"&amp;ROW()),minfo!$A:$M,COLUMN()-8,0),"")</f>
        <v>0</v>
      </c>
      <c r="S2218" s="4" t="str">
        <f ca="1">_xlfn.IFNA(VLOOKUP(INDIRECT("G"&amp;ROW()),minfo!$A:$M,COLUMN()-8,0),"")</f>
        <v>去有风的地方</v>
      </c>
      <c r="T2218" s="4">
        <f ca="1">_xlfn.IFNA(VLOOKUP(INDIRECT("G"&amp;ROW()),minfo!$A:$M,COLUMN()-8,0),"")</f>
        <v>77607898</v>
      </c>
      <c r="U2218" s="4" t="str">
        <f ca="1">_xlfn.IFNA(VLOOKUP(INDIRECT("G"&amp;ROW()),minfo!$A:$M,COLUMN()-8,0),"")</f>
        <v>音乐榜最高NO.19</v>
      </c>
    </row>
    <row r="2219" spans="1:21" ht="15.75">
      <c r="A2219" s="15">
        <v>2218</v>
      </c>
      <c r="B2219" s="4" t="s">
        <v>6216</v>
      </c>
      <c r="D2219" s="4">
        <v>1</v>
      </c>
      <c r="E2219" s="4" t="s">
        <v>655</v>
      </c>
      <c r="F2219" s="4" t="s">
        <v>6214</v>
      </c>
      <c r="G2219" s="4" t="s">
        <v>654</v>
      </c>
      <c r="H2219" s="4" t="s">
        <v>6217</v>
      </c>
      <c r="I2219" s="24" t="str">
        <f>HYPERLINK("https://www.bilibili.com/video/BV1HNYueTEvA?p=1","BV1HNYueTEvA?p=1")</f>
        <v>BV1HNYueTEvA?p=1</v>
      </c>
      <c r="J2219" s="4" t="str">
        <f ca="1">_xlfn.IFNA(VLOOKUP(INDIRECT("G"&amp;ROW()),minfo!$A:$M,COLUMN()-8,0),"")</f>
        <v>路过人间</v>
      </c>
      <c r="K2219" s="4" t="str">
        <f ca="1">_xlfn.IFNA(VLOOKUP(INDIRECT("G"&amp;ROW()),minfo!$A:$M,COLUMN()-8,0),"")</f>
        <v>郁可唯</v>
      </c>
      <c r="L2219" s="4">
        <f ca="1">_xlfn.IFNA(VLOOKUP(INDIRECT("G"&amp;ROW()),minfo!$A:$M,COLUMN()-8,0),"")</f>
        <v>0</v>
      </c>
      <c r="M2219" s="4">
        <f ca="1">_xlfn.IFNA(VLOOKUP(INDIRECT("G"&amp;ROW()),minfo!$A:$M,COLUMN()-8,0),"")</f>
        <v>17966</v>
      </c>
      <c r="N2219" s="4">
        <f ca="1">_xlfn.IFNA(VLOOKUP(INDIRECT("G"&amp;ROW()),minfo!$A:$M,COLUMN()-8,0),"")</f>
        <v>8458</v>
      </c>
      <c r="O2219" s="4" t="str">
        <f ca="1">_xlfn.IFNA(VLOOKUP(INDIRECT("G"&amp;ROW()),minfo!$A:$M,COLUMN()-8,0),"")</f>
        <v>http://i0.hdslb.com/bfs/station_src/music_metadata/570f6a193a95780dfeae2a4dfe0cb932.jpg</v>
      </c>
      <c r="P2219" s="4" t="str">
        <f ca="1">_xlfn.IFNA(VLOOKUP(INDIRECT("G"&amp;ROW()),minfo!$A:$M,COLUMN()-8,0),"")</f>
        <v>http://i0.hdslb.com/bfs/station_src/music_metadata/0386d6bc66823747cb1d61d511d20a21</v>
      </c>
      <c r="Q2219" s="4">
        <f ca="1">_xlfn.IFNA(VLOOKUP(INDIRECT("G"&amp;ROW()),minfo!$A:$M,COLUMN()-8,0),"")</f>
        <v>1296</v>
      </c>
      <c r="R2219" s="4">
        <f ca="1">_xlfn.IFNA(VLOOKUP(INDIRECT("G"&amp;ROW()),minfo!$A:$M,COLUMN()-8,0),"")</f>
        <v>0</v>
      </c>
      <c r="S2219" s="4" t="str">
        <f ca="1">_xlfn.IFNA(VLOOKUP(INDIRECT("G"&amp;ROW()),minfo!$A:$M,COLUMN()-8,0),"")</f>
        <v>路过人间</v>
      </c>
      <c r="T2219" s="4">
        <f ca="1">_xlfn.IFNA(VLOOKUP(INDIRECT("G"&amp;ROW()),minfo!$A:$M,COLUMN()-8,0),"")</f>
        <v>218547878</v>
      </c>
      <c r="U2219" s="4" t="str">
        <f ca="1">_xlfn.IFNA(VLOOKUP(INDIRECT("G"&amp;ROW()),minfo!$A:$M,COLUMN()-8,0),"")</f>
        <v>音乐榜最高NO.10</v>
      </c>
    </row>
    <row r="2220" spans="1:21" ht="15.75">
      <c r="A2220" s="15">
        <v>2219</v>
      </c>
      <c r="B2220" s="4" t="s">
        <v>5851</v>
      </c>
      <c r="D2220" s="4">
        <v>1</v>
      </c>
      <c r="E2220" s="4" t="s">
        <v>2599</v>
      </c>
      <c r="F2220" s="4" t="s">
        <v>6214</v>
      </c>
      <c r="G2220" s="4" t="s">
        <v>2598</v>
      </c>
      <c r="H2220" s="4" t="s">
        <v>6218</v>
      </c>
      <c r="I2220" s="24" t="str">
        <f>HYPERLINK("https://www.bilibili.com/video/BV1EuYueeErF?p=1","BV1EuYueeErF?p=1")</f>
        <v>BV1EuYueeErF?p=1</v>
      </c>
      <c r="J2220" s="4" t="str">
        <f ca="1">_xlfn.IFNA(VLOOKUP(INDIRECT("G"&amp;ROW()),minfo!$A:$M,COLUMN()-8,0),"")</f>
        <v>小时候</v>
      </c>
      <c r="K2220" s="4" t="str">
        <f ca="1">_xlfn.IFNA(VLOOKUP(INDIRECT("G"&amp;ROW()),minfo!$A:$M,COLUMN()-8,0),"")</f>
        <v>黄晓明</v>
      </c>
      <c r="L2220" s="4">
        <f ca="1">_xlfn.IFNA(VLOOKUP(INDIRECT("G"&amp;ROW()),minfo!$A:$M,COLUMN()-8,0),"")</f>
        <v>0</v>
      </c>
      <c r="M2220" s="4">
        <f ca="1">_xlfn.IFNA(VLOOKUP(INDIRECT("G"&amp;ROW()),minfo!$A:$M,COLUMN()-8,0),"")</f>
        <v>0</v>
      </c>
      <c r="N2220" s="4">
        <f ca="1">_xlfn.IFNA(VLOOKUP(INDIRECT("G"&amp;ROW()),minfo!$A:$M,COLUMN()-8,0),"")</f>
        <v>0</v>
      </c>
      <c r="O2220" s="4" t="str">
        <f ca="1">_xlfn.IFNA(VLOOKUP(INDIRECT("G"&amp;ROW()),minfo!$A:$M,COLUMN()-8,0),"")</f>
        <v>https://i0.hdslb.com/bfs/station_src/music_metadata/f689066d83e1cfa3c0fca83925d4aa23.jpg</v>
      </c>
      <c r="P2220" s="4" t="str">
        <f ca="1">_xlfn.IFNA(VLOOKUP(INDIRECT("G"&amp;ROW()),minfo!$A:$M,COLUMN()-8,0),"")</f>
        <v>https://i0.hdslb.com/bfs/station_src/music_metadata/3d81746cb471a4e6f324aa92573fa356.txt</v>
      </c>
      <c r="Q2220" s="4">
        <f ca="1">_xlfn.IFNA(VLOOKUP(INDIRECT("G"&amp;ROW()),minfo!$A:$M,COLUMN()-8,0),"")</f>
        <v>1</v>
      </c>
      <c r="R2220" s="4">
        <f ca="1">_xlfn.IFNA(VLOOKUP(INDIRECT("G"&amp;ROW()),minfo!$A:$M,COLUMN()-8,0),"")</f>
        <v>0</v>
      </c>
      <c r="S2220" s="4" t="str">
        <f ca="1">_xlfn.IFNA(VLOOKUP(INDIRECT("G"&amp;ROW()),minfo!$A:$M,COLUMN()-8,0),"")</f>
        <v>2016湖南卫视小年夜春晚</v>
      </c>
      <c r="T2220" s="4">
        <f ca="1">_xlfn.IFNA(VLOOKUP(INDIRECT("G"&amp;ROW()),minfo!$A:$M,COLUMN()-8,0),"")</f>
        <v>1921450</v>
      </c>
      <c r="U2220" s="4">
        <f ca="1">_xlfn.IFNA(VLOOKUP(INDIRECT("G"&amp;ROW()),minfo!$A:$M,COLUMN()-8,0),"")</f>
        <v>0</v>
      </c>
    </row>
    <row r="2221" spans="1:21" ht="15.75">
      <c r="A2221" s="15">
        <v>2220</v>
      </c>
      <c r="B2221" s="4" t="s">
        <v>6219</v>
      </c>
      <c r="D2221" s="4">
        <v>1</v>
      </c>
      <c r="E2221" s="4" t="s">
        <v>798</v>
      </c>
      <c r="F2221" s="4" t="s">
        <v>6214</v>
      </c>
      <c r="G2221" s="4" t="s">
        <v>797</v>
      </c>
      <c r="H2221" s="4" t="s">
        <v>6220</v>
      </c>
      <c r="I2221" s="24" t="str">
        <f>HYPERLINK("https://www.bilibili.com/video/BV1WFYue6EfE?p=1","BV1WFYue6EfE?p=1")</f>
        <v>BV1WFYue6EfE?p=1</v>
      </c>
      <c r="J2221" s="4" t="str">
        <f ca="1">_xlfn.IFNA(VLOOKUP(INDIRECT("G"&amp;ROW()),minfo!$A:$M,COLUMN()-8,0),"")</f>
        <v>让她降落</v>
      </c>
      <c r="K2221" s="4" t="str">
        <f ca="1">_xlfn.IFNA(VLOOKUP(INDIRECT("G"&amp;ROW()),minfo!$A:$M,COLUMN()-8,0),"")</f>
        <v>何璐</v>
      </c>
      <c r="L2221" s="4">
        <f ca="1">_xlfn.IFNA(VLOOKUP(INDIRECT("G"&amp;ROW()),minfo!$A:$M,COLUMN()-8,0),"")</f>
        <v>0</v>
      </c>
      <c r="M2221" s="4">
        <f ca="1">_xlfn.IFNA(VLOOKUP(INDIRECT("G"&amp;ROW()),minfo!$A:$M,COLUMN()-8,0),"")</f>
        <v>0</v>
      </c>
      <c r="N2221" s="4">
        <f ca="1">_xlfn.IFNA(VLOOKUP(INDIRECT("G"&amp;ROW()),minfo!$A:$M,COLUMN()-8,0),"")</f>
        <v>0</v>
      </c>
      <c r="O2221" s="4" t="str">
        <f ca="1">_xlfn.IFNA(VLOOKUP(INDIRECT("G"&amp;ROW()),minfo!$A:$M,COLUMN()-8,0),"")</f>
        <v>http://i0.hdslb.com/bfs/station_src/music_metadata/cac3cdb113beb631fc51a8ee80236746.jpg</v>
      </c>
      <c r="P2221" s="4" t="str">
        <f ca="1">_xlfn.IFNA(VLOOKUP(INDIRECT("G"&amp;ROW()),minfo!$A:$M,COLUMN()-8,0),"")</f>
        <v>http://i0.hdslb.com/bfs/station_src/music_metadata/61a0ea9f4aae0b0d39b3cda25e077499</v>
      </c>
      <c r="Q2221" s="4">
        <f ca="1">_xlfn.IFNA(VLOOKUP(INDIRECT("G"&amp;ROW()),minfo!$A:$M,COLUMN()-8,0),"")</f>
        <v>850</v>
      </c>
      <c r="R2221" s="4">
        <f ca="1">_xlfn.IFNA(VLOOKUP(INDIRECT("G"&amp;ROW()),minfo!$A:$M,COLUMN()-8,0),"")</f>
        <v>0</v>
      </c>
      <c r="S2221" s="4" t="str">
        <f ca="1">_xlfn.IFNA(VLOOKUP(INDIRECT("G"&amp;ROW()),minfo!$A:$M,COLUMN()-8,0),"")</f>
        <v>让她降落</v>
      </c>
      <c r="T2221" s="4">
        <f ca="1">_xlfn.IFNA(VLOOKUP(INDIRECT("G"&amp;ROW()),minfo!$A:$M,COLUMN()-8,0),"")</f>
        <v>168699816</v>
      </c>
      <c r="U2221" s="4">
        <f ca="1">_xlfn.IFNA(VLOOKUP(INDIRECT("G"&amp;ROW()),minfo!$A:$M,COLUMN()-8,0),"")</f>
        <v>0</v>
      </c>
    </row>
    <row r="2222" spans="1:21" ht="15.75">
      <c r="A2222" s="15">
        <v>2221</v>
      </c>
      <c r="B2222" s="4" t="s">
        <v>6221</v>
      </c>
      <c r="D2222" s="4">
        <v>1</v>
      </c>
      <c r="E2222" s="4" t="s">
        <v>3489</v>
      </c>
      <c r="F2222" s="4" t="s">
        <v>6214</v>
      </c>
      <c r="G2222" s="4" t="s">
        <v>3488</v>
      </c>
      <c r="H2222" s="4" t="s">
        <v>6222</v>
      </c>
      <c r="I2222" s="24" t="str">
        <f>HYPERLINK("https://www.bilibili.com/video/BV1yfYMe3ECZ?p=1","BV1yfYMe3ECZ?p=1")</f>
        <v>BV1yfYMe3ECZ?p=1</v>
      </c>
      <c r="J2222" s="4" t="str">
        <f ca="1">_xlfn.IFNA(VLOOKUP(INDIRECT("G"&amp;ROW()),minfo!$A:$M,COLUMN()-8,0),"")</f>
        <v>给我一个吻</v>
      </c>
      <c r="K2222" s="4" t="str">
        <f ca="1">_xlfn.IFNA(VLOOKUP(INDIRECT("G"&amp;ROW()),minfo!$A:$M,COLUMN()-8,0),"")</f>
        <v>张露</v>
      </c>
      <c r="L2222" s="4">
        <f ca="1">_xlfn.IFNA(VLOOKUP(INDIRECT("G"&amp;ROW()),minfo!$A:$M,COLUMN()-8,0),"")</f>
        <v>0</v>
      </c>
      <c r="M2222" s="4">
        <f ca="1">_xlfn.IFNA(VLOOKUP(INDIRECT("G"&amp;ROW()),minfo!$A:$M,COLUMN()-8,0),"")</f>
        <v>0</v>
      </c>
      <c r="N2222" s="4">
        <f ca="1">_xlfn.IFNA(VLOOKUP(INDIRECT("G"&amp;ROW()),minfo!$A:$M,COLUMN()-8,0),"")</f>
        <v>0</v>
      </c>
      <c r="O2222" s="4" t="str">
        <f ca="1">_xlfn.IFNA(VLOOKUP(INDIRECT("G"&amp;ROW()),minfo!$A:$M,COLUMN()-8,0),"")</f>
        <v>https://i0.hdslb.com/bfs/station_src/music_metadata/e0c7ce071d416aeb84d180b06bbc90f6.jpg</v>
      </c>
      <c r="P2222" s="4" t="str">
        <f ca="1">_xlfn.IFNA(VLOOKUP(INDIRECT("G"&amp;ROW()),minfo!$A:$M,COLUMN()-8,0),"")</f>
        <v>http://i0.hdslb.com/bfs/station_src/music_metadata/69ff1280ba12c3e81ae54e1ce3429004</v>
      </c>
      <c r="Q2222" s="4">
        <f ca="1">_xlfn.IFNA(VLOOKUP(INDIRECT("G"&amp;ROW()),minfo!$A:$M,COLUMN()-8,0),"")</f>
        <v>138</v>
      </c>
      <c r="R2222" s="4">
        <f ca="1">_xlfn.IFNA(VLOOKUP(INDIRECT("G"&amp;ROW()),minfo!$A:$M,COLUMN()-8,0),"")</f>
        <v>0</v>
      </c>
      <c r="S2222" s="4" t="str">
        <f ca="1">_xlfn.IFNA(VLOOKUP(INDIRECT("G"&amp;ROW()),minfo!$A:$M,COLUMN()-8,0),"")</f>
        <v>群星会 38 张露 (珍藏系列)</v>
      </c>
      <c r="T2222" s="4">
        <f ca="1">_xlfn.IFNA(VLOOKUP(INDIRECT("G"&amp;ROW()),minfo!$A:$M,COLUMN()-8,0),"")</f>
        <v>93943426</v>
      </c>
      <c r="U2222" s="4">
        <f ca="1">_xlfn.IFNA(VLOOKUP(INDIRECT("G"&amp;ROW()),minfo!$A:$M,COLUMN()-8,0),"")</f>
        <v>0</v>
      </c>
    </row>
    <row r="2223" spans="1:21" ht="15.75">
      <c r="A2223" s="15">
        <v>2222</v>
      </c>
      <c r="B2223" s="4" t="s">
        <v>6223</v>
      </c>
      <c r="D2223" s="4">
        <v>1</v>
      </c>
      <c r="E2223" s="4" t="s">
        <v>1632</v>
      </c>
      <c r="F2223" s="4" t="s">
        <v>6214</v>
      </c>
      <c r="G2223" s="4" t="s">
        <v>1631</v>
      </c>
      <c r="H2223" s="4" t="s">
        <v>6224</v>
      </c>
      <c r="I2223" s="24" t="str">
        <f>HYPERLINK("https://www.bilibili.com/video/BV1JMYueNEoW?p=1","BV1JMYueNEoW?p=1")</f>
        <v>BV1JMYueNEoW?p=1</v>
      </c>
      <c r="J2223" s="4" t="str">
        <f ca="1">_xlfn.IFNA(VLOOKUP(INDIRECT("G"&amp;ROW()),minfo!$A:$M,COLUMN()-8,0),"")</f>
        <v>Forever Young</v>
      </c>
      <c r="K2223" s="4" t="str">
        <f ca="1">_xlfn.IFNA(VLOOKUP(INDIRECT("G"&amp;ROW()),minfo!$A:$M,COLUMN()-8,0),"")</f>
        <v>艾怡良</v>
      </c>
      <c r="L2223" s="4">
        <f ca="1">_xlfn.IFNA(VLOOKUP(INDIRECT("G"&amp;ROW()),minfo!$A:$M,COLUMN()-8,0),"")</f>
        <v>0</v>
      </c>
      <c r="M2223" s="4">
        <f ca="1">_xlfn.IFNA(VLOOKUP(INDIRECT("G"&amp;ROW()),minfo!$A:$M,COLUMN()-8,0),"")</f>
        <v>1121</v>
      </c>
      <c r="N2223" s="4">
        <f ca="1">_xlfn.IFNA(VLOOKUP(INDIRECT("G"&amp;ROW()),minfo!$A:$M,COLUMN()-8,0),"")</f>
        <v>108</v>
      </c>
      <c r="O2223" s="4" t="str">
        <f ca="1">_xlfn.IFNA(VLOOKUP(INDIRECT("G"&amp;ROW()),minfo!$A:$M,COLUMN()-8,0),"")</f>
        <v>https://i0.hdslb.com/bfs/station_src/music_metadata/dbe0a5c483acdf75be3b3411a94a3f6e.jpg</v>
      </c>
      <c r="P2223" s="4" t="str">
        <f ca="1">_xlfn.IFNA(VLOOKUP(INDIRECT("G"&amp;ROW()),minfo!$A:$M,COLUMN()-8,0),"")</f>
        <v>https://i0.hdslb.com/bfs/station_src/music_metadata/0eecea8bad0d6a372d617485427bcadb.txt</v>
      </c>
      <c r="Q2223" s="4">
        <f ca="1">_xlfn.IFNA(VLOOKUP(INDIRECT("G"&amp;ROW()),minfo!$A:$M,COLUMN()-8,0),"")</f>
        <v>243</v>
      </c>
      <c r="R2223" s="4">
        <f ca="1">_xlfn.IFNA(VLOOKUP(INDIRECT("G"&amp;ROW()),minfo!$A:$M,COLUMN()-8,0),"")</f>
        <v>0</v>
      </c>
      <c r="S2223" s="4" t="str">
        <f ca="1">_xlfn.IFNA(VLOOKUP(INDIRECT("G"&amp;ROW()),minfo!$A:$M,COLUMN()-8,0),"")</f>
        <v>Forever Young</v>
      </c>
      <c r="T2223" s="4">
        <f ca="1">_xlfn.IFNA(VLOOKUP(INDIRECT("G"&amp;ROW()),minfo!$A:$M,COLUMN()-8,0),"")</f>
        <v>21666407</v>
      </c>
      <c r="U2223" s="4">
        <f ca="1">_xlfn.IFNA(VLOOKUP(INDIRECT("G"&amp;ROW()),minfo!$A:$M,COLUMN()-8,0),"")</f>
        <v>0</v>
      </c>
    </row>
    <row r="2224" spans="1:21" ht="15.75">
      <c r="A2224" s="15">
        <v>2223</v>
      </c>
      <c r="B2224" s="4" t="s">
        <v>6225</v>
      </c>
      <c r="D2224" s="4">
        <v>1</v>
      </c>
      <c r="E2224" s="4" t="s">
        <v>1082</v>
      </c>
      <c r="F2224" s="4" t="s">
        <v>6214</v>
      </c>
      <c r="G2224" s="4" t="s">
        <v>1081</v>
      </c>
      <c r="H2224" s="4" t="s">
        <v>6226</v>
      </c>
      <c r="I2224" s="24" t="str">
        <f>HYPERLINK("https://www.bilibili.com/video/BV1CFYue6EzM?p=1","BV1CFYue6EzM?p=1")</f>
        <v>BV1CFYue6EzM?p=1</v>
      </c>
      <c r="J2224" s="4" t="str">
        <f ca="1">_xlfn.IFNA(VLOOKUP(INDIRECT("G"&amp;ROW()),minfo!$A:$M,COLUMN()-8,0),"")</f>
        <v>原谅</v>
      </c>
      <c r="K2224" s="4" t="str">
        <f ca="1">_xlfn.IFNA(VLOOKUP(INDIRECT("G"&amp;ROW()),minfo!$A:$M,COLUMN()-8,0),"")</f>
        <v>张玉华</v>
      </c>
      <c r="L2224" s="4">
        <f ca="1">_xlfn.IFNA(VLOOKUP(INDIRECT("G"&amp;ROW()),minfo!$A:$M,COLUMN()-8,0),"")</f>
        <v>0</v>
      </c>
      <c r="M2224" s="4">
        <f ca="1">_xlfn.IFNA(VLOOKUP(INDIRECT("G"&amp;ROW()),minfo!$A:$M,COLUMN()-8,0),"")</f>
        <v>0</v>
      </c>
      <c r="N2224" s="4">
        <f ca="1">_xlfn.IFNA(VLOOKUP(INDIRECT("G"&amp;ROW()),minfo!$A:$M,COLUMN()-8,0),"")</f>
        <v>0</v>
      </c>
      <c r="O2224" s="4" t="str">
        <f ca="1">_xlfn.IFNA(VLOOKUP(INDIRECT("G"&amp;ROW()),minfo!$A:$M,COLUMN()-8,0),"")</f>
        <v>https://i0.hdslb.com/bfs/station_src/music_metadata/0c325dbf0a194d5e4405e319d529c6a7.jpg</v>
      </c>
      <c r="P2224" s="4" t="str">
        <f ca="1">_xlfn.IFNA(VLOOKUP(INDIRECT("G"&amp;ROW()),minfo!$A:$M,COLUMN()-8,0),"")</f>
        <v>https://i0.hdslb.com/bfs/station_src/music_metadata/acb7dde5c1a35b828aaa3369b3a690da.txt</v>
      </c>
      <c r="Q2224" s="4">
        <f ca="1">_xlfn.IFNA(VLOOKUP(INDIRECT("G"&amp;ROW()),minfo!$A:$M,COLUMN()-8,0),"")</f>
        <v>43</v>
      </c>
      <c r="R2224" s="4">
        <f ca="1">_xlfn.IFNA(VLOOKUP(INDIRECT("G"&amp;ROW()),minfo!$A:$M,COLUMN()-8,0),"")</f>
        <v>0</v>
      </c>
      <c r="S2224" s="4" t="str">
        <f ca="1">_xlfn.IFNA(VLOOKUP(INDIRECT("G"&amp;ROW()),minfo!$A:$M,COLUMN()-8,0),"")</f>
        <v>张玉华同名专辑</v>
      </c>
      <c r="T2224" s="4">
        <f ca="1">_xlfn.IFNA(VLOOKUP(INDIRECT("G"&amp;ROW()),minfo!$A:$M,COLUMN()-8,0),"")</f>
        <v>20951606</v>
      </c>
      <c r="U2224" s="4">
        <f ca="1">_xlfn.IFNA(VLOOKUP(INDIRECT("G"&amp;ROW()),minfo!$A:$M,COLUMN()-8,0),"")</f>
        <v>0</v>
      </c>
    </row>
    <row r="2225" spans="1:21" ht="15.75">
      <c r="A2225" s="15">
        <v>2224</v>
      </c>
      <c r="B2225" s="4" t="s">
        <v>6227</v>
      </c>
      <c r="D2225" s="4">
        <v>1</v>
      </c>
      <c r="E2225" s="4" t="s">
        <v>418</v>
      </c>
      <c r="F2225" s="4" t="s">
        <v>6228</v>
      </c>
      <c r="G2225" s="4" t="s">
        <v>417</v>
      </c>
      <c r="H2225" s="4" t="s">
        <v>6229</v>
      </c>
      <c r="I2225" s="24" t="str">
        <f>HYPERLINK("https://www.bilibili.com/video/BV1EaYJebEAZ?p=1","BV1EaYJebEAZ?p=1")</f>
        <v>BV1EaYJebEAZ?p=1</v>
      </c>
      <c r="J2225" s="4" t="str">
        <f ca="1">_xlfn.IFNA(VLOOKUP(INDIRECT("G"&amp;ROW()),minfo!$A:$M,COLUMN()-8,0),"")</f>
        <v>甜甜的</v>
      </c>
      <c r="K2225" s="4" t="str">
        <f ca="1">_xlfn.IFNA(VLOOKUP(INDIRECT("G"&amp;ROW()),minfo!$A:$M,COLUMN()-8,0),"")</f>
        <v>周杰伦</v>
      </c>
      <c r="L2225" s="4">
        <f ca="1">_xlfn.IFNA(VLOOKUP(INDIRECT("G"&amp;ROW()),minfo!$A:$M,COLUMN()-8,0),"")</f>
        <v>0</v>
      </c>
      <c r="M2225" s="4">
        <f ca="1">_xlfn.IFNA(VLOOKUP(INDIRECT("G"&amp;ROW()),minfo!$A:$M,COLUMN()-8,0),"")</f>
        <v>0</v>
      </c>
      <c r="N2225" s="4">
        <f ca="1">_xlfn.IFNA(VLOOKUP(INDIRECT("G"&amp;ROW()),minfo!$A:$M,COLUMN()-8,0),"")</f>
        <v>0</v>
      </c>
      <c r="O2225" s="4" t="str">
        <f ca="1">_xlfn.IFNA(VLOOKUP(INDIRECT("G"&amp;ROW()),minfo!$A:$M,COLUMN()-8,0),"")</f>
        <v>http://i0.hdslb.com/bfs/station_src/music_metadata/b70b267ed4b8e6627ef2fddb400bc930.jpg</v>
      </c>
      <c r="P2225" s="4" t="str">
        <f ca="1">_xlfn.IFNA(VLOOKUP(INDIRECT("G"&amp;ROW()),minfo!$A:$M,COLUMN()-8,0),"")</f>
        <v>http://i0.hdslb.com/bfs/station_src/music_metadata/279ee78db41e6396428b468a8620d95b</v>
      </c>
      <c r="Q2225" s="4">
        <f ca="1">_xlfn.IFNA(VLOOKUP(INDIRECT("G"&amp;ROW()),minfo!$A:$M,COLUMN()-8,0),"")</f>
        <v>1115</v>
      </c>
      <c r="R2225" s="4">
        <f ca="1">_xlfn.IFNA(VLOOKUP(INDIRECT("G"&amp;ROW()),minfo!$A:$M,COLUMN()-8,0),"")</f>
        <v>0</v>
      </c>
      <c r="S2225" s="4" t="str">
        <f ca="1">_xlfn.IFNA(VLOOKUP(INDIRECT("G"&amp;ROW()),minfo!$A:$M,COLUMN()-8,0),"")</f>
        <v>我很忙</v>
      </c>
      <c r="T2225" s="4">
        <f ca="1">_xlfn.IFNA(VLOOKUP(INDIRECT("G"&amp;ROW()),minfo!$A:$M,COLUMN()-8,0),"")</f>
        <v>514709406</v>
      </c>
      <c r="U2225" s="4">
        <f ca="1">_xlfn.IFNA(VLOOKUP(INDIRECT("G"&amp;ROW()),minfo!$A:$M,COLUMN()-8,0),"")</f>
        <v>0</v>
      </c>
    </row>
    <row r="2226" spans="1:21" ht="15.75">
      <c r="A2226" s="15">
        <v>2225</v>
      </c>
      <c r="B2226" s="4" t="s">
        <v>6040</v>
      </c>
      <c r="D2226" s="4">
        <v>1</v>
      </c>
      <c r="E2226" s="4" t="s">
        <v>61</v>
      </c>
      <c r="F2226" s="4" t="s">
        <v>6228</v>
      </c>
      <c r="G2226" s="4" t="s">
        <v>61</v>
      </c>
      <c r="H2226" s="4" t="s">
        <v>6230</v>
      </c>
      <c r="I2226" s="24" t="str">
        <f>HYPERLINK("https://www.bilibili.com/video/BV1EhYJeFERN?p=1","BV1EhYJeFERN?p=1")</f>
        <v>BV1EhYJeFERN?p=1</v>
      </c>
      <c r="J2226" s="4" t="str">
        <f ca="1">_xlfn.IFNA(VLOOKUP(INDIRECT("G"&amp;ROW()),minfo!$A:$M,COLUMN()-8,0),"")</f>
        <v>桃華</v>
      </c>
      <c r="K2226" s="4" t="str">
        <f ca="1">_xlfn.IFNA(VLOOKUP(INDIRECT("G"&amp;ROW()),minfo!$A:$M,COLUMN()-8,0),"")</f>
        <v>说说Crystal</v>
      </c>
      <c r="L2226" s="4" t="str">
        <f ca="1">_xlfn.IFNA(VLOOKUP(INDIRECT("G"&amp;ROW()),minfo!$A:$M,COLUMN()-8,0),"")</f>
        <v>BV14z4y1H7Jn</v>
      </c>
      <c r="M2226" s="4">
        <f ca="1">_xlfn.IFNA(VLOOKUP(INDIRECT("G"&amp;ROW()),minfo!$A:$M,COLUMN()-8,0),"")</f>
        <v>0</v>
      </c>
      <c r="N2226" s="4">
        <f ca="1">_xlfn.IFNA(VLOOKUP(INDIRECT("G"&amp;ROW()),minfo!$A:$M,COLUMN()-8,0),"")</f>
        <v>0</v>
      </c>
      <c r="O2226" s="4">
        <f ca="1">_xlfn.IFNA(VLOOKUP(INDIRECT("G"&amp;ROW()),minfo!$A:$M,COLUMN()-8,0),"")</f>
        <v>0</v>
      </c>
      <c r="P2226" s="4">
        <f ca="1">_xlfn.IFNA(VLOOKUP(INDIRECT("G"&amp;ROW()),minfo!$A:$M,COLUMN()-8,0),"")</f>
        <v>0</v>
      </c>
      <c r="Q2226" s="4">
        <f ca="1">_xlfn.IFNA(VLOOKUP(INDIRECT("G"&amp;ROW()),minfo!$A:$M,COLUMN()-8,0),"")</f>
        <v>0</v>
      </c>
      <c r="R2226" s="4">
        <f ca="1">_xlfn.IFNA(VLOOKUP(INDIRECT("G"&amp;ROW()),minfo!$A:$M,COLUMN()-8,0),"")</f>
        <v>0</v>
      </c>
      <c r="S2226" s="4">
        <f ca="1">_xlfn.IFNA(VLOOKUP(INDIRECT("G"&amp;ROW()),minfo!$A:$M,COLUMN()-8,0),"")</f>
        <v>0</v>
      </c>
      <c r="T2226" s="4">
        <f ca="1">_xlfn.IFNA(VLOOKUP(INDIRECT("G"&amp;ROW()),minfo!$A:$M,COLUMN()-8,0),"")</f>
        <v>0</v>
      </c>
      <c r="U2226" s="4">
        <f ca="1">_xlfn.IFNA(VLOOKUP(INDIRECT("G"&amp;ROW()),minfo!$A:$M,COLUMN()-8,0),"")</f>
        <v>0</v>
      </c>
    </row>
    <row r="2227" spans="1:21" ht="15.75">
      <c r="A2227" s="15">
        <v>2226</v>
      </c>
      <c r="B2227" s="4" t="s">
        <v>5753</v>
      </c>
      <c r="D2227" s="4">
        <v>1</v>
      </c>
      <c r="E2227" s="4" t="s">
        <v>55</v>
      </c>
      <c r="F2227" s="4" t="s">
        <v>6228</v>
      </c>
      <c r="G2227" s="4" t="s">
        <v>1549</v>
      </c>
      <c r="H2227" s="4" t="s">
        <v>6231</v>
      </c>
      <c r="I2227" s="24" t="str">
        <f>HYPERLINK("https://www.bilibili.com/video/BV1EhYJeFEAj?p=1","BV1EhYJeFEAj?p=1")</f>
        <v>BV1EhYJeFEAj?p=1</v>
      </c>
      <c r="J2227" s="4" t="str">
        <f ca="1">_xlfn.IFNA(VLOOKUP(INDIRECT("G"&amp;ROW()),minfo!$A:$M,COLUMN()-8,0),"")</f>
        <v>人间未满</v>
      </c>
      <c r="K2227" s="4" t="str">
        <f ca="1">_xlfn.IFNA(VLOOKUP(INDIRECT("G"&amp;ROW()),minfo!$A:$M,COLUMN()-8,0),"")</f>
        <v>妮莉安Lily,纱依shayi,说说Crystal</v>
      </c>
      <c r="L2227" s="4">
        <f ca="1">_xlfn.IFNA(VLOOKUP(INDIRECT("G"&amp;ROW()),minfo!$A:$M,COLUMN()-8,0),"")</f>
        <v>0</v>
      </c>
      <c r="M2227" s="4">
        <f ca="1">_xlfn.IFNA(VLOOKUP(INDIRECT("G"&amp;ROW()),minfo!$A:$M,COLUMN()-8,0),"")</f>
        <v>0</v>
      </c>
      <c r="N2227" s="4">
        <f ca="1">_xlfn.IFNA(VLOOKUP(INDIRECT("G"&amp;ROW()),minfo!$A:$M,COLUMN()-8,0),"")</f>
        <v>0</v>
      </c>
      <c r="O2227" s="4" t="str">
        <f ca="1">_xlfn.IFNA(VLOOKUP(INDIRECT("G"&amp;ROW()),minfo!$A:$M,COLUMN()-8,0),"")</f>
        <v>http://i0.hdslb.com/bfs/station_src/music_metadata/a9d9bd8d10828caa99479d3a5fd6f323.jpg</v>
      </c>
      <c r="P2227" s="4">
        <f ca="1">_xlfn.IFNA(VLOOKUP(INDIRECT("G"&amp;ROW()),minfo!$A:$M,COLUMN()-8,0),"")</f>
        <v>0</v>
      </c>
      <c r="Q2227" s="4">
        <f ca="1">_xlfn.IFNA(VLOOKUP(INDIRECT("G"&amp;ROW()),minfo!$A:$M,COLUMN()-8,0),"")</f>
        <v>16</v>
      </c>
      <c r="R2227" s="4">
        <f ca="1">_xlfn.IFNA(VLOOKUP(INDIRECT("G"&amp;ROW()),minfo!$A:$M,COLUMN()-8,0),"")</f>
        <v>0</v>
      </c>
      <c r="S2227" s="4" t="str">
        <f ca="1">_xlfn.IFNA(VLOOKUP(INDIRECT("G"&amp;ROW()),minfo!$A:$M,COLUMN()-8,0),"")</f>
        <v>人间未满</v>
      </c>
      <c r="T2227" s="4">
        <f ca="1">_xlfn.IFNA(VLOOKUP(INDIRECT("G"&amp;ROW()),minfo!$A:$M,COLUMN()-8,0),"")</f>
        <v>256261</v>
      </c>
      <c r="U2227" s="4">
        <f ca="1">_xlfn.IFNA(VLOOKUP(INDIRECT("G"&amp;ROW()),minfo!$A:$M,COLUMN()-8,0),"")</f>
        <v>0</v>
      </c>
    </row>
    <row r="2228" spans="1:21" ht="15.75">
      <c r="A2228" s="15">
        <v>2227</v>
      </c>
      <c r="B2228" s="4" t="s">
        <v>6118</v>
      </c>
      <c r="D2228" s="4">
        <v>1</v>
      </c>
      <c r="E2228" s="4" t="s">
        <v>150</v>
      </c>
      <c r="F2228" s="4" t="s">
        <v>6228</v>
      </c>
      <c r="G2228" s="4" t="s">
        <v>149</v>
      </c>
      <c r="H2228" s="4" t="s">
        <v>6232</v>
      </c>
      <c r="I2228" s="24" t="str">
        <f>HYPERLINK("https://www.bilibili.com/video/BV1EhYJeFEQP?p=1","BV1EhYJeFEQP?p=1")</f>
        <v>BV1EhYJeFEQP?p=1</v>
      </c>
      <c r="J2228" s="4" t="str">
        <f ca="1">_xlfn.IFNA(VLOOKUP(INDIRECT("G"&amp;ROW()),minfo!$A:$M,COLUMN()-8,0),"")</f>
        <v>繁华唱遍</v>
      </c>
      <c r="K2228" s="4" t="str">
        <f ca="1">_xlfn.IFNA(VLOOKUP(INDIRECT("G"&amp;ROW()),minfo!$A:$M,COLUMN()-8,0),"")</f>
        <v>乐正绫</v>
      </c>
      <c r="L2228" s="4">
        <f ca="1">_xlfn.IFNA(VLOOKUP(INDIRECT("G"&amp;ROW()),minfo!$A:$M,COLUMN()-8,0),"")</f>
        <v>0</v>
      </c>
      <c r="M2228" s="4">
        <f ca="1">_xlfn.IFNA(VLOOKUP(INDIRECT("G"&amp;ROW()),minfo!$A:$M,COLUMN()-8,0),"")</f>
        <v>277</v>
      </c>
      <c r="N2228" s="4">
        <f ca="1">_xlfn.IFNA(VLOOKUP(INDIRECT("G"&amp;ROW()),minfo!$A:$M,COLUMN()-8,0),"")</f>
        <v>2</v>
      </c>
      <c r="O2228" s="4">
        <f ca="1">_xlfn.IFNA(VLOOKUP(INDIRECT("G"&amp;ROW()),minfo!$A:$M,COLUMN()-8,0),"")</f>
        <v>0</v>
      </c>
      <c r="P2228" s="4">
        <f ca="1">_xlfn.IFNA(VLOOKUP(INDIRECT("G"&amp;ROW()),minfo!$A:$M,COLUMN()-8,0),"")</f>
        <v>0</v>
      </c>
      <c r="Q2228" s="4">
        <f ca="1">_xlfn.IFNA(VLOOKUP(INDIRECT("G"&amp;ROW()),minfo!$A:$M,COLUMN()-8,0),"")</f>
        <v>156</v>
      </c>
      <c r="R2228" s="4">
        <f ca="1">_xlfn.IFNA(VLOOKUP(INDIRECT("G"&amp;ROW()),minfo!$A:$M,COLUMN()-8,0),"")</f>
        <v>0</v>
      </c>
      <c r="S2228" s="4">
        <f ca="1">_xlfn.IFNA(VLOOKUP(INDIRECT("G"&amp;ROW()),minfo!$A:$M,COLUMN()-8,0),"")</f>
        <v>0</v>
      </c>
      <c r="T2228" s="4">
        <f ca="1">_xlfn.IFNA(VLOOKUP(INDIRECT("G"&amp;ROW()),minfo!$A:$M,COLUMN()-8,0),"")</f>
        <v>71832236</v>
      </c>
      <c r="U2228" s="4">
        <f ca="1">_xlfn.IFNA(VLOOKUP(INDIRECT("G"&amp;ROW()),minfo!$A:$M,COLUMN()-8,0),"")</f>
        <v>0</v>
      </c>
    </row>
    <row r="2229" spans="1:21" ht="15.75">
      <c r="A2229" s="15">
        <v>2228</v>
      </c>
      <c r="B2229" s="4" t="s">
        <v>5742</v>
      </c>
      <c r="D2229" s="4">
        <v>1</v>
      </c>
      <c r="E2229" s="4" t="s">
        <v>95</v>
      </c>
      <c r="F2229" s="4" t="s">
        <v>6228</v>
      </c>
      <c r="G2229" s="4" t="s">
        <v>203</v>
      </c>
      <c r="H2229" s="4" t="s">
        <v>6233</v>
      </c>
      <c r="I2229" s="24" t="str">
        <f>HYPERLINK("https://www.bilibili.com/video/BV1qvYJe4EM2?p=1","BV1qvYJe4EM2?p=1")</f>
        <v>BV1qvYJe4EM2?p=1</v>
      </c>
      <c r="J2229" s="4" t="str">
        <f ca="1">_xlfn.IFNA(VLOOKUP(INDIRECT("G"&amp;ROW()),minfo!$A:$M,COLUMN()-8,0),"")</f>
        <v>不问天</v>
      </c>
      <c r="K2229" s="4" t="str">
        <f ca="1">_xlfn.IFNA(VLOOKUP(INDIRECT("G"&amp;ROW()),minfo!$A:$M,COLUMN()-8,0),"")</f>
        <v>说说Crystal</v>
      </c>
      <c r="L2229" s="4">
        <f ca="1">_xlfn.IFNA(VLOOKUP(INDIRECT("G"&amp;ROW()),minfo!$A:$M,COLUMN()-8,0),"")</f>
        <v>0</v>
      </c>
      <c r="M2229" s="4">
        <f ca="1">_xlfn.IFNA(VLOOKUP(INDIRECT("G"&amp;ROW()),minfo!$A:$M,COLUMN()-8,0),"")</f>
        <v>0</v>
      </c>
      <c r="N2229" s="4">
        <f ca="1">_xlfn.IFNA(VLOOKUP(INDIRECT("G"&amp;ROW()),minfo!$A:$M,COLUMN()-8,0),"")</f>
        <v>0</v>
      </c>
      <c r="O2229" s="4" t="str">
        <f ca="1">_xlfn.IFNA(VLOOKUP(INDIRECT("G"&amp;ROW()),minfo!$A:$M,COLUMN()-8,0),"")</f>
        <v>https://i0.hdslb.com/bfs/station_src/music_metadata/ce3a0da2a7e64a49fa42a6e3db521f57.jpg</v>
      </c>
      <c r="P2229" s="4" t="str">
        <f ca="1">_xlfn.IFNA(VLOOKUP(INDIRECT("G"&amp;ROW()),minfo!$A:$M,COLUMN()-8,0),"")</f>
        <v>https://i0.hdslb.com/bfs/station_src/music_metadata/02cd9198a33924449443fc704a92a25a.txt</v>
      </c>
      <c r="Q2229" s="4">
        <f ca="1">_xlfn.IFNA(VLOOKUP(INDIRECT("G"&amp;ROW()),minfo!$A:$M,COLUMN()-8,0),"")</f>
        <v>149</v>
      </c>
      <c r="R2229" s="4">
        <f ca="1">_xlfn.IFNA(VLOOKUP(INDIRECT("G"&amp;ROW()),minfo!$A:$M,COLUMN()-8,0),"")</f>
        <v>0</v>
      </c>
      <c r="S2229" s="4" t="str">
        <f ca="1">_xlfn.IFNA(VLOOKUP(INDIRECT("G"&amp;ROW()),minfo!$A:$M,COLUMN()-8,0),"")</f>
        <v>2021哔哩哔哩拜年纪</v>
      </c>
      <c r="T2229" s="4">
        <f ca="1">_xlfn.IFNA(VLOOKUP(INDIRECT("G"&amp;ROW()),minfo!$A:$M,COLUMN()-8,0),"")</f>
        <v>33137051</v>
      </c>
      <c r="U2229" s="4">
        <f ca="1">_xlfn.IFNA(VLOOKUP(INDIRECT("G"&amp;ROW()),minfo!$A:$M,COLUMN()-8,0),"")</f>
        <v>0</v>
      </c>
    </row>
    <row r="2230" spans="1:21" ht="15.75">
      <c r="A2230" s="15">
        <v>2229</v>
      </c>
      <c r="B2230" s="4" t="s">
        <v>6234</v>
      </c>
      <c r="D2230" s="4">
        <v>1</v>
      </c>
      <c r="E2230" s="4" t="s">
        <v>198</v>
      </c>
      <c r="F2230" s="4" t="s">
        <v>6228</v>
      </c>
      <c r="G2230" s="4" t="s">
        <v>197</v>
      </c>
      <c r="H2230" s="4" t="s">
        <v>6235</v>
      </c>
      <c r="I2230" s="24" t="str">
        <f>HYPERLINK("https://www.bilibili.com/video/BV1jvYJe4Esa?p=1","BV1jvYJe4Esa?p=1")</f>
        <v>BV1jvYJe4Esa?p=1</v>
      </c>
      <c r="J2230" s="4" t="str">
        <f ca="1">_xlfn.IFNA(VLOOKUP(INDIRECT("G"&amp;ROW()),minfo!$A:$M,COLUMN()-8,0),"")</f>
        <v>好运来</v>
      </c>
      <c r="K2230" s="4" t="str">
        <f ca="1">_xlfn.IFNA(VLOOKUP(INDIRECT("G"&amp;ROW()),minfo!$A:$M,COLUMN()-8,0),"")</f>
        <v>祖海</v>
      </c>
      <c r="L2230" s="4">
        <f ca="1">_xlfn.IFNA(VLOOKUP(INDIRECT("G"&amp;ROW()),minfo!$A:$M,COLUMN()-8,0),"")</f>
        <v>0</v>
      </c>
      <c r="M2230" s="4">
        <f ca="1">_xlfn.IFNA(VLOOKUP(INDIRECT("G"&amp;ROW()),minfo!$A:$M,COLUMN()-8,0),"")</f>
        <v>0</v>
      </c>
      <c r="N2230" s="4">
        <f ca="1">_xlfn.IFNA(VLOOKUP(INDIRECT("G"&amp;ROW()),minfo!$A:$M,COLUMN()-8,0),"")</f>
        <v>0</v>
      </c>
      <c r="O2230" s="4" t="str">
        <f ca="1">_xlfn.IFNA(VLOOKUP(INDIRECT("G"&amp;ROW()),minfo!$A:$M,COLUMN()-8,0),"")</f>
        <v>https://i0.hdslb.com/bfs/station_src/music_metadata/018488b96bcd553df8979332b0d180c7.jpg</v>
      </c>
      <c r="P2230" s="4" t="str">
        <f ca="1">_xlfn.IFNA(VLOOKUP(INDIRECT("G"&amp;ROW()),minfo!$A:$M,COLUMN()-8,0),"")</f>
        <v>http://i0.hdslb.com/bfs/station_src/music_metadata/255887b55931deff5c3b6f86ebdfa127</v>
      </c>
      <c r="Q2230" s="4">
        <f ca="1">_xlfn.IFNA(VLOOKUP(INDIRECT("G"&amp;ROW()),minfo!$A:$M,COLUMN()-8,0),"")</f>
        <v>2851</v>
      </c>
      <c r="R2230" s="4">
        <f ca="1">_xlfn.IFNA(VLOOKUP(INDIRECT("G"&amp;ROW()),minfo!$A:$M,COLUMN()-8,0),"")</f>
        <v>0</v>
      </c>
      <c r="S2230" s="4" t="str">
        <f ca="1">_xlfn.IFNA(VLOOKUP(INDIRECT("G"&amp;ROW()),minfo!$A:$M,COLUMN()-8,0),"")</f>
        <v>好运来</v>
      </c>
      <c r="T2230" s="4">
        <f ca="1">_xlfn.IFNA(VLOOKUP(INDIRECT("G"&amp;ROW()),minfo!$A:$M,COLUMN()-8,0),"")</f>
        <v>1563883536</v>
      </c>
      <c r="U2230" s="4" t="str">
        <f ca="1">_xlfn.IFNA(VLOOKUP(INDIRECT("G"&amp;ROW()),minfo!$A:$M,COLUMN()-8,0),"")</f>
        <v>音乐榜最高NO.2</v>
      </c>
    </row>
    <row r="2231" spans="1:21" ht="15.75">
      <c r="A2231" s="15">
        <v>2230</v>
      </c>
      <c r="B2231" s="4" t="s">
        <v>6160</v>
      </c>
      <c r="D2231" s="4">
        <v>1</v>
      </c>
      <c r="E2231" s="4" t="s">
        <v>3461</v>
      </c>
      <c r="F2231" s="4" t="s">
        <v>6228</v>
      </c>
      <c r="G2231" s="4" t="s">
        <v>3460</v>
      </c>
      <c r="H2231" s="4" t="s">
        <v>6236</v>
      </c>
      <c r="I2231" s="24" t="str">
        <f>HYPERLINK("https://www.bilibili.com/video/BV1EhYJeFEnr?p=1","BV1EhYJeFEnr?p=1")</f>
        <v>BV1EhYJeFEnr?p=1</v>
      </c>
      <c r="J2231" s="4" t="str">
        <f ca="1">_xlfn.IFNA(VLOOKUP(INDIRECT("G"&amp;ROW()),minfo!$A:$M,COLUMN()-8,0),"")</f>
        <v>泡泡</v>
      </c>
      <c r="K2231" s="4" t="str">
        <f ca="1">_xlfn.IFNA(VLOOKUP(INDIRECT("G"&amp;ROW()),minfo!$A:$M,COLUMN()-8,0),"")</f>
        <v>牛佳钰</v>
      </c>
      <c r="L2231" s="4">
        <f ca="1">_xlfn.IFNA(VLOOKUP(INDIRECT("G"&amp;ROW()),minfo!$A:$M,COLUMN()-8,0),"")</f>
        <v>0</v>
      </c>
      <c r="M2231" s="4">
        <f ca="1">_xlfn.IFNA(VLOOKUP(INDIRECT("G"&amp;ROW()),minfo!$A:$M,COLUMN()-8,0),"")</f>
        <v>0</v>
      </c>
      <c r="N2231" s="4">
        <f ca="1">_xlfn.IFNA(VLOOKUP(INDIRECT("G"&amp;ROW()),minfo!$A:$M,COLUMN()-8,0),"")</f>
        <v>0</v>
      </c>
      <c r="O2231" s="4" t="str">
        <f ca="1">_xlfn.IFNA(VLOOKUP(INDIRECT("G"&amp;ROW()),minfo!$A:$M,COLUMN()-8,0),"")</f>
        <v>https://i0.hdslb.com/bfs/station_src/music_metadata/bbe45dae7e19b5e173cd009a3f740c6b.jpg</v>
      </c>
      <c r="P2231" s="4">
        <f ca="1">_xlfn.IFNA(VLOOKUP(INDIRECT("G"&amp;ROW()),minfo!$A:$M,COLUMN()-8,0),"")</f>
        <v>0</v>
      </c>
      <c r="Q2231" s="4">
        <f ca="1">_xlfn.IFNA(VLOOKUP(INDIRECT("G"&amp;ROW()),minfo!$A:$M,COLUMN()-8,0),"")</f>
        <v>54</v>
      </c>
      <c r="R2231" s="4">
        <f ca="1">_xlfn.IFNA(VLOOKUP(INDIRECT("G"&amp;ROW()),minfo!$A:$M,COLUMN()-8,0),"")</f>
        <v>0</v>
      </c>
      <c r="S2231" s="4" t="str">
        <f ca="1">_xlfn.IFNA(VLOOKUP(INDIRECT("G"&amp;ROW()),minfo!$A:$M,COLUMN()-8,0),"")</f>
        <v>泡泡</v>
      </c>
      <c r="T2231" s="4">
        <f ca="1">_xlfn.IFNA(VLOOKUP(INDIRECT("G"&amp;ROW()),minfo!$A:$M,COLUMN()-8,0),"")</f>
        <v>11328017</v>
      </c>
      <c r="U2231" s="4">
        <f ca="1">_xlfn.IFNA(VLOOKUP(INDIRECT("G"&amp;ROW()),minfo!$A:$M,COLUMN()-8,0),"")</f>
        <v>0</v>
      </c>
    </row>
    <row r="2232" spans="1:21" ht="15.75">
      <c r="A2232" s="15">
        <v>2231</v>
      </c>
      <c r="B2232" s="4" t="s">
        <v>6045</v>
      </c>
      <c r="D2232" s="4">
        <v>2</v>
      </c>
      <c r="E2232" s="4" t="s">
        <v>6387</v>
      </c>
      <c r="F2232" s="4" t="s">
        <v>6228</v>
      </c>
      <c r="G2232" s="4" t="s">
        <v>1339</v>
      </c>
      <c r="H2232" s="4" t="s">
        <v>6237</v>
      </c>
      <c r="I2232" s="24" t="str">
        <f>HYPERLINK("https://www.bilibili.com/video/BV1ayYJenEVv?p=2","BV1ayYJenEVv?p=2")</f>
        <v>BV1ayYJenEVv?p=2</v>
      </c>
      <c r="J2232" s="4" t="str">
        <f ca="1">_xlfn.IFNA(VLOOKUP(INDIRECT("G"&amp;ROW()),minfo!$A:$M,COLUMN()-8,0),"")</f>
        <v>天天</v>
      </c>
      <c r="K2232" s="4" t="str">
        <f ca="1">_xlfn.IFNA(VLOOKUP(INDIRECT("G"&amp;ROW()),minfo!$A:$M,COLUMN()-8,0),"")</f>
        <v>陶喆</v>
      </c>
      <c r="L2232" s="4">
        <f ca="1">_xlfn.IFNA(VLOOKUP(INDIRECT("G"&amp;ROW()),minfo!$A:$M,COLUMN()-8,0),"")</f>
        <v>0</v>
      </c>
      <c r="M2232" s="4">
        <f ca="1">_xlfn.IFNA(VLOOKUP(INDIRECT("G"&amp;ROW()),minfo!$A:$M,COLUMN()-8,0),"")</f>
        <v>0</v>
      </c>
      <c r="N2232" s="4">
        <f ca="1">_xlfn.IFNA(VLOOKUP(INDIRECT("G"&amp;ROW()),minfo!$A:$M,COLUMN()-8,0),"")</f>
        <v>0</v>
      </c>
      <c r="O2232" s="4" t="str">
        <f ca="1">_xlfn.IFNA(VLOOKUP(INDIRECT("G"&amp;ROW()),minfo!$A:$M,COLUMN()-8,0),"")</f>
        <v>http://i0.hdslb.com/bfs/station_src/music_metadata/ff6417302beb4146f79dbd4e37c6d317.jpg</v>
      </c>
      <c r="P2232" s="4" t="str">
        <f ca="1">_xlfn.IFNA(VLOOKUP(INDIRECT("G"&amp;ROW()),minfo!$A:$M,COLUMN()-8,0),"")</f>
        <v>http://i0.hdslb.com/bfs/station_src/music_metadata/c93605bfcadefe74f0d5b1a5b6a8db05</v>
      </c>
      <c r="Q2232" s="4">
        <f ca="1">_xlfn.IFNA(VLOOKUP(INDIRECT("G"&amp;ROW()),minfo!$A:$M,COLUMN()-8,0),"")</f>
        <v>535</v>
      </c>
      <c r="R2232" s="4">
        <f ca="1">_xlfn.IFNA(VLOOKUP(INDIRECT("G"&amp;ROW()),minfo!$A:$M,COLUMN()-8,0),"")</f>
        <v>0</v>
      </c>
      <c r="S2232" s="4" t="str">
        <f ca="1">_xlfn.IFNA(VLOOKUP(INDIRECT("G"&amp;ROW()),minfo!$A:$M,COLUMN()-8,0),"")</f>
        <v>I'm OK</v>
      </c>
      <c r="T2232" s="4">
        <f ca="1">_xlfn.IFNA(VLOOKUP(INDIRECT("G"&amp;ROW()),minfo!$A:$M,COLUMN()-8,0),"")</f>
        <v>82012532</v>
      </c>
      <c r="U2232" s="4">
        <f ca="1">_xlfn.IFNA(VLOOKUP(INDIRECT("G"&amp;ROW()),minfo!$A:$M,COLUMN()-8,0),"")</f>
        <v>0</v>
      </c>
    </row>
    <row r="2233" spans="1:21" ht="15.75">
      <c r="A2233" s="15">
        <v>2232</v>
      </c>
      <c r="B2233" s="4" t="s">
        <v>6045</v>
      </c>
      <c r="D2233" s="4">
        <v>1</v>
      </c>
      <c r="E2233" s="4" t="s">
        <v>1340</v>
      </c>
      <c r="F2233" s="4" t="s">
        <v>6228</v>
      </c>
      <c r="G2233" s="4" t="s">
        <v>1339</v>
      </c>
      <c r="H2233" s="4" t="s">
        <v>6237</v>
      </c>
      <c r="I2233" s="24" t="str">
        <f>HYPERLINK("https://www.bilibili.com/video/BV1ayYJenEVv?p=1","BV1ayYJenEVv?p=1")</f>
        <v>BV1ayYJenEVv?p=1</v>
      </c>
      <c r="J2233" s="4" t="str">
        <f ca="1">_xlfn.IFNA(VLOOKUP(INDIRECT("G"&amp;ROW()),minfo!$A:$M,COLUMN()-8,0),"")</f>
        <v>天天</v>
      </c>
      <c r="K2233" s="4" t="str">
        <f ca="1">_xlfn.IFNA(VLOOKUP(INDIRECT("G"&amp;ROW()),minfo!$A:$M,COLUMN()-8,0),"")</f>
        <v>陶喆</v>
      </c>
      <c r="L2233" s="4">
        <f ca="1">_xlfn.IFNA(VLOOKUP(INDIRECT("G"&amp;ROW()),minfo!$A:$M,COLUMN()-8,0),"")</f>
        <v>0</v>
      </c>
      <c r="M2233" s="4">
        <f ca="1">_xlfn.IFNA(VLOOKUP(INDIRECT("G"&amp;ROW()),minfo!$A:$M,COLUMN()-8,0),"")</f>
        <v>0</v>
      </c>
      <c r="N2233" s="4">
        <f ca="1">_xlfn.IFNA(VLOOKUP(INDIRECT("G"&amp;ROW()),minfo!$A:$M,COLUMN()-8,0),"")</f>
        <v>0</v>
      </c>
      <c r="O2233" s="4" t="str">
        <f ca="1">_xlfn.IFNA(VLOOKUP(INDIRECT("G"&amp;ROW()),minfo!$A:$M,COLUMN()-8,0),"")</f>
        <v>http://i0.hdslb.com/bfs/station_src/music_metadata/ff6417302beb4146f79dbd4e37c6d317.jpg</v>
      </c>
      <c r="P2233" s="4" t="str">
        <f ca="1">_xlfn.IFNA(VLOOKUP(INDIRECT("G"&amp;ROW()),minfo!$A:$M,COLUMN()-8,0),"")</f>
        <v>http://i0.hdslb.com/bfs/station_src/music_metadata/c93605bfcadefe74f0d5b1a5b6a8db05</v>
      </c>
      <c r="Q2233" s="4">
        <f ca="1">_xlfn.IFNA(VLOOKUP(INDIRECT("G"&amp;ROW()),minfo!$A:$M,COLUMN()-8,0),"")</f>
        <v>535</v>
      </c>
      <c r="R2233" s="4">
        <f ca="1">_xlfn.IFNA(VLOOKUP(INDIRECT("G"&amp;ROW()),minfo!$A:$M,COLUMN()-8,0),"")</f>
        <v>0</v>
      </c>
      <c r="S2233" s="4" t="str">
        <f ca="1">_xlfn.IFNA(VLOOKUP(INDIRECT("G"&amp;ROW()),minfo!$A:$M,COLUMN()-8,0),"")</f>
        <v>I'm OK</v>
      </c>
      <c r="T2233" s="4">
        <f ca="1">_xlfn.IFNA(VLOOKUP(INDIRECT("G"&amp;ROW()),minfo!$A:$M,COLUMN()-8,0),"")</f>
        <v>82012532</v>
      </c>
      <c r="U2233" s="4">
        <f ca="1">_xlfn.IFNA(VLOOKUP(INDIRECT("G"&amp;ROW()),minfo!$A:$M,COLUMN()-8,0),"")</f>
        <v>0</v>
      </c>
    </row>
    <row r="2234" spans="1:21" ht="15.75">
      <c r="A2234" s="15">
        <v>2233</v>
      </c>
      <c r="B2234" s="4" t="s">
        <v>6174</v>
      </c>
      <c r="D2234" s="4">
        <v>2</v>
      </c>
      <c r="E2234" s="4" t="s">
        <v>6238</v>
      </c>
      <c r="F2234" s="4" t="s">
        <v>6214</v>
      </c>
      <c r="G2234" s="4" t="s">
        <v>3468</v>
      </c>
      <c r="H2234" s="4" t="s">
        <v>6239</v>
      </c>
      <c r="I2234" s="24" t="str">
        <f>HYPERLINK("https://www.bilibili.com/video/BV1LBYJesEci?p=2","BV1LBYJesEci?p=2")</f>
        <v>BV1LBYJesEci?p=2</v>
      </c>
      <c r="J2234" s="4" t="str">
        <f ca="1">_xlfn.IFNA(VLOOKUP(INDIRECT("G"&amp;ROW()),minfo!$A:$M,COLUMN()-8,0),"")</f>
        <v>红尘客栈</v>
      </c>
      <c r="K2234" s="4" t="str">
        <f ca="1">_xlfn.IFNA(VLOOKUP(INDIRECT("G"&amp;ROW()),minfo!$A:$M,COLUMN()-8,0),"")</f>
        <v>周杰伦</v>
      </c>
      <c r="L2234" s="4">
        <f ca="1">_xlfn.IFNA(VLOOKUP(INDIRECT("G"&amp;ROW()),minfo!$A:$M,COLUMN()-8,0),"")</f>
        <v>0</v>
      </c>
      <c r="M2234" s="4">
        <f ca="1">_xlfn.IFNA(VLOOKUP(INDIRECT("G"&amp;ROW()),minfo!$A:$M,COLUMN()-8,0),"")</f>
        <v>0</v>
      </c>
      <c r="N2234" s="4">
        <f ca="1">_xlfn.IFNA(VLOOKUP(INDIRECT("G"&amp;ROW()),minfo!$A:$M,COLUMN()-8,0),"")</f>
        <v>0</v>
      </c>
      <c r="O2234" s="4" t="str">
        <f ca="1">_xlfn.IFNA(VLOOKUP(INDIRECT("G"&amp;ROW()),minfo!$A:$M,COLUMN()-8,0),"")</f>
        <v>https://i0.hdslb.com/bfs/station_src/music_metadata/0ddef2626d3c5ff91c063cd3f73112dd.jpg</v>
      </c>
      <c r="P2234" s="4">
        <f ca="1">_xlfn.IFNA(VLOOKUP(INDIRECT("G"&amp;ROW()),minfo!$A:$M,COLUMN()-8,0),"")</f>
        <v>0</v>
      </c>
      <c r="Q2234" s="4">
        <f ca="1">_xlfn.IFNA(VLOOKUP(INDIRECT("G"&amp;ROW()),minfo!$A:$M,COLUMN()-8,0),"")</f>
        <v>4254</v>
      </c>
      <c r="R2234" s="4">
        <f ca="1">_xlfn.IFNA(VLOOKUP(INDIRECT("G"&amp;ROW()),minfo!$A:$M,COLUMN()-8,0),"")</f>
        <v>0</v>
      </c>
      <c r="S2234" s="4" t="str">
        <f ca="1">_xlfn.IFNA(VLOOKUP(INDIRECT("G"&amp;ROW()),minfo!$A:$M,COLUMN()-8,0),"")</f>
        <v>十二新作</v>
      </c>
      <c r="T2234" s="4">
        <f ca="1">_xlfn.IFNA(VLOOKUP(INDIRECT("G"&amp;ROW()),minfo!$A:$M,COLUMN()-8,0),"")</f>
        <v>493686852</v>
      </c>
      <c r="U2234" s="4">
        <f ca="1">_xlfn.IFNA(VLOOKUP(INDIRECT("G"&amp;ROW()),minfo!$A:$M,COLUMN()-8,0),"")</f>
        <v>0</v>
      </c>
    </row>
    <row r="2235" spans="1:21" ht="15.75">
      <c r="A2235" s="15">
        <v>2234</v>
      </c>
      <c r="B2235" s="4" t="s">
        <v>6174</v>
      </c>
      <c r="D2235" s="4">
        <v>1</v>
      </c>
      <c r="E2235" s="4" t="s">
        <v>3469</v>
      </c>
      <c r="F2235" s="4" t="s">
        <v>6214</v>
      </c>
      <c r="G2235" s="4" t="s">
        <v>3468</v>
      </c>
      <c r="H2235" s="4" t="s">
        <v>6239</v>
      </c>
      <c r="I2235" s="24" t="str">
        <f>HYPERLINK("https://www.bilibili.com/video/BV1LBYJesEci?p=1","BV1LBYJesEci?p=1")</f>
        <v>BV1LBYJesEci?p=1</v>
      </c>
      <c r="J2235" s="4" t="str">
        <f ca="1">_xlfn.IFNA(VLOOKUP(INDIRECT("G"&amp;ROW()),minfo!$A:$M,COLUMN()-8,0),"")</f>
        <v>红尘客栈</v>
      </c>
      <c r="K2235" s="4" t="str">
        <f ca="1">_xlfn.IFNA(VLOOKUP(INDIRECT("G"&amp;ROW()),minfo!$A:$M,COLUMN()-8,0),"")</f>
        <v>周杰伦</v>
      </c>
      <c r="L2235" s="4">
        <f ca="1">_xlfn.IFNA(VLOOKUP(INDIRECT("G"&amp;ROW()),minfo!$A:$M,COLUMN()-8,0),"")</f>
        <v>0</v>
      </c>
      <c r="M2235" s="4">
        <f ca="1">_xlfn.IFNA(VLOOKUP(INDIRECT("G"&amp;ROW()),minfo!$A:$M,COLUMN()-8,0),"")</f>
        <v>0</v>
      </c>
      <c r="N2235" s="4">
        <f ca="1">_xlfn.IFNA(VLOOKUP(INDIRECT("G"&amp;ROW()),minfo!$A:$M,COLUMN()-8,0),"")</f>
        <v>0</v>
      </c>
      <c r="O2235" s="4" t="str">
        <f ca="1">_xlfn.IFNA(VLOOKUP(INDIRECT("G"&amp;ROW()),minfo!$A:$M,COLUMN()-8,0),"")</f>
        <v>https://i0.hdslb.com/bfs/station_src/music_metadata/0ddef2626d3c5ff91c063cd3f73112dd.jpg</v>
      </c>
      <c r="P2235" s="4">
        <f ca="1">_xlfn.IFNA(VLOOKUP(INDIRECT("G"&amp;ROW()),minfo!$A:$M,COLUMN()-8,0),"")</f>
        <v>0</v>
      </c>
      <c r="Q2235" s="4">
        <f ca="1">_xlfn.IFNA(VLOOKUP(INDIRECT("G"&amp;ROW()),minfo!$A:$M,COLUMN()-8,0),"")</f>
        <v>4254</v>
      </c>
      <c r="R2235" s="4">
        <f ca="1">_xlfn.IFNA(VLOOKUP(INDIRECT("G"&amp;ROW()),minfo!$A:$M,COLUMN()-8,0),"")</f>
        <v>0</v>
      </c>
      <c r="S2235" s="4" t="str">
        <f ca="1">_xlfn.IFNA(VLOOKUP(INDIRECT("G"&amp;ROW()),minfo!$A:$M,COLUMN()-8,0),"")</f>
        <v>十二新作</v>
      </c>
      <c r="T2235" s="4">
        <f ca="1">_xlfn.IFNA(VLOOKUP(INDIRECT("G"&amp;ROW()),minfo!$A:$M,COLUMN()-8,0),"")</f>
        <v>493686852</v>
      </c>
      <c r="U2235" s="4">
        <f ca="1">_xlfn.IFNA(VLOOKUP(INDIRECT("G"&amp;ROW()),minfo!$A:$M,COLUMN()-8,0),"")</f>
        <v>0</v>
      </c>
    </row>
    <row r="2236" spans="1:21" ht="15.75">
      <c r="A2236" s="15">
        <v>2235</v>
      </c>
      <c r="B2236" s="4" t="s">
        <v>6240</v>
      </c>
      <c r="D2236" s="4">
        <v>1</v>
      </c>
      <c r="E2236" s="4" t="s">
        <v>488</v>
      </c>
      <c r="F2236" s="4" t="s">
        <v>6241</v>
      </c>
      <c r="G2236" s="4" t="s">
        <v>487</v>
      </c>
      <c r="H2236" s="4" t="s">
        <v>6242</v>
      </c>
      <c r="I2236" s="24" t="str">
        <f>HYPERLINK("https://www.bilibili.com/video/BV1aeYiewEY6?p=1","BV1aeYiewEY6?p=1")</f>
        <v>BV1aeYiewEY6?p=1</v>
      </c>
      <c r="J2236" s="4" t="str">
        <f ca="1">_xlfn.IFNA(VLOOKUP(INDIRECT("G"&amp;ROW()),minfo!$A:$M,COLUMN()-8,0),"")</f>
        <v>如此</v>
      </c>
      <c r="K2236" s="4" t="str">
        <f ca="1">_xlfn.IFNA(VLOOKUP(INDIRECT("G"&amp;ROW()),minfo!$A:$M,COLUMN()-8,0),"")</f>
        <v>单依纯</v>
      </c>
      <c r="L2236" s="4">
        <f ca="1">_xlfn.IFNA(VLOOKUP(INDIRECT("G"&amp;ROW()),minfo!$A:$M,COLUMN()-8,0),"")</f>
        <v>0</v>
      </c>
      <c r="M2236" s="4">
        <f ca="1">_xlfn.IFNA(VLOOKUP(INDIRECT("G"&amp;ROW()),minfo!$A:$M,COLUMN()-8,0),"")</f>
        <v>0</v>
      </c>
      <c r="N2236" s="4">
        <f ca="1">_xlfn.IFNA(VLOOKUP(INDIRECT("G"&amp;ROW()),minfo!$A:$M,COLUMN()-8,0),"")</f>
        <v>0</v>
      </c>
      <c r="O2236" s="4" t="str">
        <f ca="1">_xlfn.IFNA(VLOOKUP(INDIRECT("G"&amp;ROW()),minfo!$A:$M,COLUMN()-8,0),"")</f>
        <v>https://i0.hdslb.com/bfs/station_src/music_metadata/02e014c37d605c9c48efcef4cb1658b5.jpg</v>
      </c>
      <c r="P2236" s="4">
        <f ca="1">_xlfn.IFNA(VLOOKUP(INDIRECT("G"&amp;ROW()),minfo!$A:$M,COLUMN()-8,0),"")</f>
        <v>0</v>
      </c>
      <c r="Q2236" s="4">
        <f ca="1">_xlfn.IFNA(VLOOKUP(INDIRECT("G"&amp;ROW()),minfo!$A:$M,COLUMN()-8,0),"")</f>
        <v>32</v>
      </c>
      <c r="R2236" s="4">
        <f ca="1">_xlfn.IFNA(VLOOKUP(INDIRECT("G"&amp;ROW()),minfo!$A:$M,COLUMN()-8,0),"")</f>
        <v>0</v>
      </c>
      <c r="S2236" s="4" t="str">
        <f ca="1">_xlfn.IFNA(VLOOKUP(INDIRECT("G"&amp;ROW()),minfo!$A:$M,COLUMN()-8,0),"")</f>
        <v>2020中国好声音 第10期</v>
      </c>
      <c r="T2236" s="4">
        <f ca="1">_xlfn.IFNA(VLOOKUP(INDIRECT("G"&amp;ROW()),minfo!$A:$M,COLUMN()-8,0),"")</f>
        <v>13362616</v>
      </c>
      <c r="U2236" s="4">
        <f ca="1">_xlfn.IFNA(VLOOKUP(INDIRECT("G"&amp;ROW()),minfo!$A:$M,COLUMN()-8,0),"")</f>
        <v>0</v>
      </c>
    </row>
    <row r="2237" spans="1:21" ht="15.75">
      <c r="A2237" s="15">
        <v>2236</v>
      </c>
      <c r="B2237" s="4" t="s">
        <v>5999</v>
      </c>
      <c r="D2237" s="4">
        <v>1</v>
      </c>
      <c r="E2237" s="4" t="s">
        <v>47</v>
      </c>
      <c r="F2237" s="4" t="s">
        <v>6241</v>
      </c>
      <c r="G2237" s="4" t="s">
        <v>46</v>
      </c>
      <c r="H2237" s="4" t="s">
        <v>6243</v>
      </c>
      <c r="I2237" s="24" t="str">
        <f>HYPERLINK("https://www.bilibili.com/video/BV1aeYiewESb?p=1","BV1aeYiewESb?p=1")</f>
        <v>BV1aeYiewESb?p=1</v>
      </c>
      <c r="J2237" s="4" t="str">
        <f ca="1">_xlfn.IFNA(VLOOKUP(INDIRECT("G"&amp;ROW()),minfo!$A:$M,COLUMN()-8,0),"")</f>
        <v>在夜里跳舞</v>
      </c>
      <c r="K2237" s="4" t="str">
        <f ca="1">_xlfn.IFNA(VLOOKUP(INDIRECT("G"&amp;ROW()),minfo!$A:$M,COLUMN()-8,0),"")</f>
        <v>单依纯</v>
      </c>
      <c r="L2237" s="4">
        <f ca="1">_xlfn.IFNA(VLOOKUP(INDIRECT("G"&amp;ROW()),minfo!$A:$M,COLUMN()-8,0),"")</f>
        <v>0</v>
      </c>
      <c r="M2237" s="4">
        <f ca="1">_xlfn.IFNA(VLOOKUP(INDIRECT("G"&amp;ROW()),minfo!$A:$M,COLUMN()-8,0),"")</f>
        <v>0</v>
      </c>
      <c r="N2237" s="4">
        <f ca="1">_xlfn.IFNA(VLOOKUP(INDIRECT("G"&amp;ROW()),minfo!$A:$M,COLUMN()-8,0),"")</f>
        <v>0</v>
      </c>
      <c r="O2237" s="4" t="str">
        <f ca="1">_xlfn.IFNA(VLOOKUP(INDIRECT("G"&amp;ROW()),minfo!$A:$M,COLUMN()-8,0),"")</f>
        <v>https://i0.hdslb.com/bfs/station_src/music_metadata/8290748e31edb0e5ad1e0965087b2aab.jpg</v>
      </c>
      <c r="P2237" s="4" t="str">
        <f ca="1">_xlfn.IFNA(VLOOKUP(INDIRECT("G"&amp;ROW()),minfo!$A:$M,COLUMN()-8,0),"")</f>
        <v>http://i0.hdslb.com/bfs/station_src/music_metadata/29d5595276e7ec7758df19c35809517b</v>
      </c>
      <c r="Q2237" s="4">
        <f ca="1">_xlfn.IFNA(VLOOKUP(INDIRECT("G"&amp;ROW()),minfo!$A:$M,COLUMN()-8,0),"")</f>
        <v>298</v>
      </c>
      <c r="R2237" s="4">
        <f ca="1">_xlfn.IFNA(VLOOKUP(INDIRECT("G"&amp;ROW()),minfo!$A:$M,COLUMN()-8,0),"")</f>
        <v>0</v>
      </c>
      <c r="S2237" s="4" t="str">
        <f ca="1">_xlfn.IFNA(VLOOKUP(INDIRECT("G"&amp;ROW()),minfo!$A:$M,COLUMN()-8,0),"")</f>
        <v>在夜里跳舞</v>
      </c>
      <c r="T2237" s="4">
        <f ca="1">_xlfn.IFNA(VLOOKUP(INDIRECT("G"&amp;ROW()),minfo!$A:$M,COLUMN()-8,0),"")</f>
        <v>21106106</v>
      </c>
      <c r="U2237" s="4">
        <f ca="1">_xlfn.IFNA(VLOOKUP(INDIRECT("G"&amp;ROW()),minfo!$A:$M,COLUMN()-8,0),"")</f>
        <v>0</v>
      </c>
    </row>
    <row r="2238" spans="1:21" ht="15.75">
      <c r="A2238" s="15">
        <v>2237</v>
      </c>
      <c r="B2238" s="4" t="s">
        <v>6151</v>
      </c>
      <c r="D2238" s="4">
        <v>1</v>
      </c>
      <c r="E2238" s="4" t="s">
        <v>3454</v>
      </c>
      <c r="F2238" s="4" t="s">
        <v>6241</v>
      </c>
      <c r="G2238" s="4" t="s">
        <v>3453</v>
      </c>
      <c r="H2238" s="4" t="s">
        <v>6244</v>
      </c>
      <c r="I2238" s="24" t="str">
        <f>HYPERLINK("https://www.bilibili.com/video/BV1bBYiebEBn?p=1","BV1bBYiebEBn?p=1")</f>
        <v>BV1bBYiebEBn?p=1</v>
      </c>
      <c r="J2238" s="4" t="str">
        <f ca="1">_xlfn.IFNA(VLOOKUP(INDIRECT("G"&amp;ROW()),minfo!$A:$M,COLUMN()-8,0),"")</f>
        <v>梨花香</v>
      </c>
      <c r="K2238" s="4" t="str">
        <f ca="1">_xlfn.IFNA(VLOOKUP(INDIRECT("G"&amp;ROW()),minfo!$A:$M,COLUMN()-8,0),"")</f>
        <v>音频怪物</v>
      </c>
      <c r="L2238" s="4">
        <f ca="1">_xlfn.IFNA(VLOOKUP(INDIRECT("G"&amp;ROW()),minfo!$A:$M,COLUMN()-8,0),"")</f>
        <v>0</v>
      </c>
      <c r="M2238" s="4">
        <f ca="1">_xlfn.IFNA(VLOOKUP(INDIRECT("G"&amp;ROW()),minfo!$A:$M,COLUMN()-8,0),"")</f>
        <v>0</v>
      </c>
      <c r="N2238" s="4">
        <f ca="1">_xlfn.IFNA(VLOOKUP(INDIRECT("G"&amp;ROW()),minfo!$A:$M,COLUMN()-8,0),"")</f>
        <v>0</v>
      </c>
      <c r="O2238" s="4" t="str">
        <f ca="1">_xlfn.IFNA(VLOOKUP(INDIRECT("G"&amp;ROW()),minfo!$A:$M,COLUMN()-8,0),"")</f>
        <v>https://i0.hdslb.com/bfs/station_src/music_metadata/e274742df693beef2e7453f675dafc61.jpg</v>
      </c>
      <c r="P2238" s="4" t="str">
        <f ca="1">_xlfn.IFNA(VLOOKUP(INDIRECT("G"&amp;ROW()),minfo!$A:$M,COLUMN()-8,0),"")</f>
        <v>https://i0.hdslb.com/bfs/station_src/music_metadata/55bad8e3307c3f0c06ac77e29bcf2148.txt</v>
      </c>
      <c r="Q2238" s="4">
        <f ca="1">_xlfn.IFNA(VLOOKUP(INDIRECT("G"&amp;ROW()),minfo!$A:$M,COLUMN()-8,0),"")</f>
        <v>10</v>
      </c>
      <c r="R2238" s="4" t="str">
        <f ca="1">_xlfn.IFNA(VLOOKUP(INDIRECT("G"&amp;ROW()),minfo!$A:$M,COLUMN()-8,0),"")</f>
        <v>Cover：李宇春</v>
      </c>
      <c r="S2238" s="4" t="str">
        <f ca="1">_xlfn.IFNA(VLOOKUP(INDIRECT("G"&amp;ROW()),minfo!$A:$M,COLUMN()-8,0),"")</f>
        <v>音频怪物精选</v>
      </c>
      <c r="T2238" s="4">
        <f ca="1">_xlfn.IFNA(VLOOKUP(INDIRECT("G"&amp;ROW()),minfo!$A:$M,COLUMN()-8,0),"")</f>
        <v>861479</v>
      </c>
      <c r="U2238" s="4">
        <f ca="1">_xlfn.IFNA(VLOOKUP(INDIRECT("G"&amp;ROW()),minfo!$A:$M,COLUMN()-8,0),"")</f>
        <v>0</v>
      </c>
    </row>
    <row r="2239" spans="1:21" ht="15.75">
      <c r="A2239" s="15">
        <v>2238</v>
      </c>
      <c r="B2239" s="4" t="s">
        <v>6245</v>
      </c>
      <c r="D2239" s="4">
        <v>1</v>
      </c>
      <c r="E2239" s="4" t="s">
        <v>3495</v>
      </c>
      <c r="F2239" s="4" t="s">
        <v>6241</v>
      </c>
      <c r="G2239" s="4" t="s">
        <v>3494</v>
      </c>
      <c r="H2239" s="4" t="s">
        <v>6246</v>
      </c>
      <c r="I2239" s="24" t="str">
        <f>HYPERLINK("https://www.bilibili.com/video/BV18BYiebEWC?p=1","BV18BYiebEWC?p=1")</f>
        <v>BV18BYiebEWC?p=1</v>
      </c>
      <c r="J2239" s="4" t="str">
        <f ca="1">_xlfn.IFNA(VLOOKUP(INDIRECT("G"&amp;ROW()),minfo!$A:$M,COLUMN()-8,0),"")</f>
        <v>泪桥</v>
      </c>
      <c r="K2239" s="4" t="str">
        <f ca="1">_xlfn.IFNA(VLOOKUP(INDIRECT("G"&amp;ROW()),minfo!$A:$M,COLUMN()-8,0),"")</f>
        <v>伍佰 &amp; China Blue</v>
      </c>
      <c r="L2239" s="4">
        <f ca="1">_xlfn.IFNA(VLOOKUP(INDIRECT("G"&amp;ROW()),minfo!$A:$M,COLUMN()-8,0),"")</f>
        <v>0</v>
      </c>
      <c r="M2239" s="4">
        <f ca="1">_xlfn.IFNA(VLOOKUP(INDIRECT("G"&amp;ROW()),minfo!$A:$M,COLUMN()-8,0),"")</f>
        <v>0</v>
      </c>
      <c r="N2239" s="4">
        <f ca="1">_xlfn.IFNA(VLOOKUP(INDIRECT("G"&amp;ROW()),minfo!$A:$M,COLUMN()-8,0),"")</f>
        <v>0</v>
      </c>
      <c r="O2239" s="4" t="str">
        <f ca="1">_xlfn.IFNA(VLOOKUP(INDIRECT("G"&amp;ROW()),minfo!$A:$M,COLUMN()-8,0),"")</f>
        <v>http://i0.hdslb.com/bfs/station_src/music_metadata/cae3bab33498ad8866f9aee5e4f3ea6f.jpg</v>
      </c>
      <c r="P2239" s="4" t="str">
        <f ca="1">_xlfn.IFNA(VLOOKUP(INDIRECT("G"&amp;ROW()),minfo!$A:$M,COLUMN()-8,0),"")</f>
        <v>http://i0.hdslb.com/bfs/station_src/music_metadata/36da461ecabf80ade5a756011eb03dcd</v>
      </c>
      <c r="Q2239" s="4">
        <f ca="1">_xlfn.IFNA(VLOOKUP(INDIRECT("G"&amp;ROW()),minfo!$A:$M,COLUMN()-8,0),"")</f>
        <v>444</v>
      </c>
      <c r="R2239" s="4">
        <f ca="1">_xlfn.IFNA(VLOOKUP(INDIRECT("G"&amp;ROW()),minfo!$A:$M,COLUMN()-8,0),"")</f>
        <v>0</v>
      </c>
      <c r="S2239" s="4" t="str">
        <f ca="1">_xlfn.IFNA(VLOOKUP(INDIRECT("G"&amp;ROW()),minfo!$A:$M,COLUMN()-8,0),"")</f>
        <v>忘情1015精选辑</v>
      </c>
      <c r="T2239" s="4">
        <f ca="1">_xlfn.IFNA(VLOOKUP(INDIRECT("G"&amp;ROW()),minfo!$A:$M,COLUMN()-8,0),"")</f>
        <v>93052303</v>
      </c>
      <c r="U2239" s="4">
        <f ca="1">_xlfn.IFNA(VLOOKUP(INDIRECT("G"&amp;ROW()),minfo!$A:$M,COLUMN()-8,0),"")</f>
        <v>0</v>
      </c>
    </row>
    <row r="2240" spans="1:21" ht="15.75">
      <c r="A2240" s="15">
        <v>2239</v>
      </c>
      <c r="B2240" s="4" t="s">
        <v>5766</v>
      </c>
      <c r="D2240" s="4">
        <v>1</v>
      </c>
      <c r="E2240" s="4" t="s">
        <v>1330</v>
      </c>
      <c r="F2240" s="4" t="s">
        <v>6241</v>
      </c>
      <c r="G2240" s="4" t="s">
        <v>1329</v>
      </c>
      <c r="H2240" s="4" t="s">
        <v>6247</v>
      </c>
      <c r="I2240" s="24" t="str">
        <f>HYPERLINK("https://www.bilibili.com/video/BV18qYieFERt?p=1","BV18qYieFERt?p=1")</f>
        <v>BV18qYieFERt?p=1</v>
      </c>
      <c r="J2240" s="4" t="str">
        <f ca="1">_xlfn.IFNA(VLOOKUP(INDIRECT("G"&amp;ROW()),minfo!$A:$M,COLUMN()-8,0),"")</f>
        <v>Melody</v>
      </c>
      <c r="K2240" s="4" t="str">
        <f ca="1">_xlfn.IFNA(VLOOKUP(INDIRECT("G"&amp;ROW()),minfo!$A:$M,COLUMN()-8,0),"")</f>
        <v>陶喆</v>
      </c>
      <c r="L2240" s="4">
        <f ca="1">_xlfn.IFNA(VLOOKUP(INDIRECT("G"&amp;ROW()),minfo!$A:$M,COLUMN()-8,0),"")</f>
        <v>0</v>
      </c>
      <c r="M2240" s="4">
        <f ca="1">_xlfn.IFNA(VLOOKUP(INDIRECT("G"&amp;ROW()),minfo!$A:$M,COLUMN()-8,0),"")</f>
        <v>0</v>
      </c>
      <c r="N2240" s="4">
        <f ca="1">_xlfn.IFNA(VLOOKUP(INDIRECT("G"&amp;ROW()),minfo!$A:$M,COLUMN()-8,0),"")</f>
        <v>0</v>
      </c>
      <c r="O2240" s="4" t="str">
        <f ca="1">_xlfn.IFNA(VLOOKUP(INDIRECT("G"&amp;ROW()),minfo!$A:$M,COLUMN()-8,0),"")</f>
        <v>https://i0.hdslb.com/bfs/station_src/music_metadata/4f85133845e2c8b25026a678708a9376.jpg</v>
      </c>
      <c r="P2240" s="4" t="str">
        <f ca="1">_xlfn.IFNA(VLOOKUP(INDIRECT("G"&amp;ROW()),minfo!$A:$M,COLUMN()-8,0),"")</f>
        <v>http://i0.hdslb.com/bfs/station_src/music_metadata/d18325416bca019d84b21a8b3f7bb651</v>
      </c>
      <c r="Q2240" s="4">
        <f ca="1">_xlfn.IFNA(VLOOKUP(INDIRECT("G"&amp;ROW()),minfo!$A:$M,COLUMN()-8,0),"")</f>
        <v>1120</v>
      </c>
      <c r="R2240" s="4">
        <f ca="1">_xlfn.IFNA(VLOOKUP(INDIRECT("G"&amp;ROW()),minfo!$A:$M,COLUMN()-8,0),"")</f>
        <v>0</v>
      </c>
      <c r="S2240" s="4" t="str">
        <f ca="1">_xlfn.IFNA(VLOOKUP(INDIRECT("G"&amp;ROW()),minfo!$A:$M,COLUMN()-8,0),"")</f>
        <v>黑色柳丁</v>
      </c>
      <c r="T2240" s="4">
        <f ca="1">_xlfn.IFNA(VLOOKUP(INDIRECT("G"&amp;ROW()),minfo!$A:$M,COLUMN()-8,0),"")</f>
        <v>113992875</v>
      </c>
      <c r="U2240" s="4">
        <f ca="1">_xlfn.IFNA(VLOOKUP(INDIRECT("G"&amp;ROW()),minfo!$A:$M,COLUMN()-8,0),"")</f>
        <v>0</v>
      </c>
    </row>
    <row r="2241" spans="1:21" ht="15.75">
      <c r="A2241" s="15">
        <v>2240</v>
      </c>
      <c r="B2241" s="4" t="s">
        <v>6066</v>
      </c>
      <c r="D2241" s="4">
        <v>1</v>
      </c>
      <c r="E2241" s="4" t="s">
        <v>3441</v>
      </c>
      <c r="F2241" s="4" t="s">
        <v>6248</v>
      </c>
      <c r="G2241" s="4" t="s">
        <v>3440</v>
      </c>
      <c r="H2241" s="4" t="s">
        <v>6249</v>
      </c>
      <c r="I2241" s="24" t="str">
        <f>HYPERLINK("https://www.bilibili.com/video/BV1yYepeEEMS?p=1","BV1yYepeEEMS?p=1")</f>
        <v>BV1yYepeEEMS?p=1</v>
      </c>
      <c r="J2241" s="4" t="str">
        <f ca="1">_xlfn.IFNA(VLOOKUP(INDIRECT("G"&amp;ROW()),minfo!$A:$M,COLUMN()-8,0),"")</f>
        <v>冻结</v>
      </c>
      <c r="K2241" s="4" t="str">
        <f ca="1">_xlfn.IFNA(VLOOKUP(INDIRECT("G"&amp;ROW()),minfo!$A:$M,COLUMN()-8,0),"")</f>
        <v>林俊杰</v>
      </c>
      <c r="L2241" s="4" t="str">
        <f ca="1">_xlfn.IFNA(VLOOKUP(INDIRECT("G"&amp;ROW()),minfo!$A:$M,COLUMN()-8,0),"")</f>
        <v>BV1HZ4y1w7y9</v>
      </c>
      <c r="M2241" s="4">
        <f ca="1">_xlfn.IFNA(VLOOKUP(INDIRECT("G"&amp;ROW()),minfo!$A:$M,COLUMN()-8,0),"")</f>
        <v>28</v>
      </c>
      <c r="N2241" s="4">
        <f ca="1">_xlfn.IFNA(VLOOKUP(INDIRECT("G"&amp;ROW()),minfo!$A:$M,COLUMN()-8,0),"")</f>
        <v>4</v>
      </c>
      <c r="O2241" s="4" t="str">
        <f ca="1">_xlfn.IFNA(VLOOKUP(INDIRECT("G"&amp;ROW()),minfo!$A:$M,COLUMN()-8,0),"")</f>
        <v>http://i1.hdslb.com/bfs/archive/f4ad479e0ca7777004e495b82f8e77de4ee1b80c.jpg</v>
      </c>
      <c r="P2241" s="4">
        <f ca="1">_xlfn.IFNA(VLOOKUP(INDIRECT("G"&amp;ROW()),minfo!$A:$M,COLUMN()-8,0),"")</f>
        <v>0</v>
      </c>
      <c r="Q2241" s="4">
        <f ca="1">_xlfn.IFNA(VLOOKUP(INDIRECT("G"&amp;ROW()),minfo!$A:$M,COLUMN()-8,0),"")</f>
        <v>170</v>
      </c>
      <c r="R2241" s="4" t="str">
        <f ca="1">_xlfn.IFNA(VLOOKUP(INDIRECT("G"&amp;ROW()),minfo!$A:$M,COLUMN()-8,0),"")</f>
        <v>冻结</v>
      </c>
      <c r="S2241" s="4" t="str">
        <f ca="1">_xlfn.IFNA(VLOOKUP(INDIRECT("G"&amp;ROW()),minfo!$A:$M,COLUMN()-8,0),"")</f>
        <v>冻结</v>
      </c>
      <c r="T2241" s="4">
        <f ca="1">_xlfn.IFNA(VLOOKUP(INDIRECT("G"&amp;ROW()),minfo!$A:$M,COLUMN()-8,0),"")</f>
        <v>59072110</v>
      </c>
      <c r="U2241" s="4">
        <f ca="1">_xlfn.IFNA(VLOOKUP(INDIRECT("G"&amp;ROW()),minfo!$A:$M,COLUMN()-8,0),"")</f>
        <v>0</v>
      </c>
    </row>
    <row r="2242" spans="1:21" ht="15.75">
      <c r="A2242" s="15">
        <v>2241</v>
      </c>
      <c r="B2242" s="4" t="s">
        <v>5841</v>
      </c>
      <c r="D2242" s="4">
        <v>1</v>
      </c>
      <c r="E2242" s="4" t="s">
        <v>232</v>
      </c>
      <c r="F2242" s="4" t="s">
        <v>6248</v>
      </c>
      <c r="G2242" s="4" t="s">
        <v>231</v>
      </c>
      <c r="H2242" s="4" t="s">
        <v>6250</v>
      </c>
      <c r="I2242" s="24" t="str">
        <f>HYPERLINK("https://www.bilibili.com/video/BV1kqepe1EBq?p=1","BV1kqepe1EBq?p=1")</f>
        <v>BV1kqepe1EBq?p=1</v>
      </c>
      <c r="J2242" s="4" t="str">
        <f ca="1">_xlfn.IFNA(VLOOKUP(INDIRECT("G"&amp;ROW()),minfo!$A:$M,COLUMN()-8,0),"")</f>
        <v>若把你</v>
      </c>
      <c r="K2242" s="4" t="str">
        <f ca="1">_xlfn.IFNA(VLOOKUP(INDIRECT("G"&amp;ROW()),minfo!$A:$M,COLUMN()-8,0),"")</f>
        <v>Kirsty刘瑾睿</v>
      </c>
      <c r="L2242" s="4">
        <f ca="1">_xlfn.IFNA(VLOOKUP(INDIRECT("G"&amp;ROW()),minfo!$A:$M,COLUMN()-8,0),"")</f>
        <v>0</v>
      </c>
      <c r="M2242" s="4">
        <f ca="1">_xlfn.IFNA(VLOOKUP(INDIRECT("G"&amp;ROW()),minfo!$A:$M,COLUMN()-8,0),"")</f>
        <v>43546</v>
      </c>
      <c r="N2242" s="4">
        <f ca="1">_xlfn.IFNA(VLOOKUP(INDIRECT("G"&amp;ROW()),minfo!$A:$M,COLUMN()-8,0),"")</f>
        <v>6440</v>
      </c>
      <c r="O2242" s="4" t="str">
        <f ca="1">_xlfn.IFNA(VLOOKUP(INDIRECT("G"&amp;ROW()),minfo!$A:$M,COLUMN()-8,0),"")</f>
        <v>http://i0.hdslb.com/bfs/station_src/music_metadata/e535448192dd1b72f950d8bf47d14597.jpg</v>
      </c>
      <c r="P2242" s="4">
        <f ca="1">_xlfn.IFNA(VLOOKUP(INDIRECT("G"&amp;ROW()),minfo!$A:$M,COLUMN()-8,0),"")</f>
        <v>0</v>
      </c>
      <c r="Q2242" s="4">
        <f ca="1">_xlfn.IFNA(VLOOKUP(INDIRECT("G"&amp;ROW()),minfo!$A:$M,COLUMN()-8,0),"")</f>
        <v>2370</v>
      </c>
      <c r="R2242" s="4">
        <f ca="1">_xlfn.IFNA(VLOOKUP(INDIRECT("G"&amp;ROW()),minfo!$A:$M,COLUMN()-8,0),"")</f>
        <v>0</v>
      </c>
      <c r="S2242" s="4" t="str">
        <f ca="1">_xlfn.IFNA(VLOOKUP(INDIRECT("G"&amp;ROW()),minfo!$A:$M,COLUMN()-8,0),"")</f>
        <v>若把你</v>
      </c>
      <c r="T2242" s="4">
        <f ca="1">_xlfn.IFNA(VLOOKUP(INDIRECT("G"&amp;ROW()),minfo!$A:$M,COLUMN()-8,0),"")</f>
        <v>316650487</v>
      </c>
      <c r="U2242" s="4" t="str">
        <f ca="1">_xlfn.IFNA(VLOOKUP(INDIRECT("G"&amp;ROW()),minfo!$A:$M,COLUMN()-8,0),"")</f>
        <v>音乐榜最高NO.7</v>
      </c>
    </row>
    <row r="2243" spans="1:21" ht="15.75">
      <c r="A2243" s="15">
        <v>2242</v>
      </c>
      <c r="B2243" s="4" t="s">
        <v>5880</v>
      </c>
      <c r="D2243" s="4">
        <v>1</v>
      </c>
      <c r="E2243" s="4" t="s">
        <v>1620</v>
      </c>
      <c r="F2243" s="4" t="s">
        <v>6248</v>
      </c>
      <c r="G2243" s="4" t="s">
        <v>1619</v>
      </c>
      <c r="H2243" s="4" t="s">
        <v>6251</v>
      </c>
      <c r="I2243" s="24" t="str">
        <f>HYPERLINK("https://www.bilibili.com/video/BV1CYepeEEfJ?p=1","BV1CYepeEEfJ?p=1")</f>
        <v>BV1CYepeEEfJ?p=1</v>
      </c>
      <c r="J2243" s="4" t="str">
        <f ca="1">_xlfn.IFNA(VLOOKUP(INDIRECT("G"&amp;ROW()),minfo!$A:$M,COLUMN()-8,0),"")</f>
        <v>一路向北</v>
      </c>
      <c r="K2243" s="4" t="str">
        <f ca="1">_xlfn.IFNA(VLOOKUP(INDIRECT("G"&amp;ROW()),minfo!$A:$M,COLUMN()-8,0),"")</f>
        <v>周杰伦</v>
      </c>
      <c r="L2243" s="4">
        <f ca="1">_xlfn.IFNA(VLOOKUP(INDIRECT("G"&amp;ROW()),minfo!$A:$M,COLUMN()-8,0),"")</f>
        <v>0</v>
      </c>
      <c r="M2243" s="4">
        <f ca="1">_xlfn.IFNA(VLOOKUP(INDIRECT("G"&amp;ROW()),minfo!$A:$M,COLUMN()-8,0),"")</f>
        <v>0</v>
      </c>
      <c r="N2243" s="4">
        <f ca="1">_xlfn.IFNA(VLOOKUP(INDIRECT("G"&amp;ROW()),minfo!$A:$M,COLUMN()-8,0),"")</f>
        <v>0</v>
      </c>
      <c r="O2243" s="4" t="str">
        <f ca="1">_xlfn.IFNA(VLOOKUP(INDIRECT("G"&amp;ROW()),minfo!$A:$M,COLUMN()-8,0),"")</f>
        <v>http://i0.hdslb.com/bfs/station_src/music_metadata/30a9548e104c69c0a6e0747f590b41a2.jpg</v>
      </c>
      <c r="P2243" s="4" t="str">
        <f ca="1">_xlfn.IFNA(VLOOKUP(INDIRECT("G"&amp;ROW()),minfo!$A:$M,COLUMN()-8,0),"")</f>
        <v>http://i0.hdslb.com/bfs/station_src/music_metadata/3d9312fb4b7cde3cd376d37c031dfe74</v>
      </c>
      <c r="Q2243" s="4">
        <f ca="1">_xlfn.IFNA(VLOOKUP(INDIRECT("G"&amp;ROW()),minfo!$A:$M,COLUMN()-8,0),"")</f>
        <v>9903</v>
      </c>
      <c r="R2243" s="4" t="str">
        <f ca="1">_xlfn.IFNA(VLOOKUP(INDIRECT("G"&amp;ROW()),minfo!$A:$M,COLUMN()-8,0),"")</f>
        <v>《头文字D》电影插曲</v>
      </c>
      <c r="S2243" s="4" t="str">
        <f ca="1">_xlfn.IFNA(VLOOKUP(INDIRECT("G"&amp;ROW()),minfo!$A:$M,COLUMN()-8,0),"")</f>
        <v>J III MP3 Player</v>
      </c>
      <c r="T2243" s="4">
        <f ca="1">_xlfn.IFNA(VLOOKUP(INDIRECT("G"&amp;ROW()),minfo!$A:$M,COLUMN()-8,0),"")</f>
        <v>948949344</v>
      </c>
      <c r="U2243" s="4" t="str">
        <f ca="1">_xlfn.IFNA(VLOOKUP(INDIRECT("G"&amp;ROW()),minfo!$A:$M,COLUMN()-8,0),"")</f>
        <v>音乐榜最高NO.16</v>
      </c>
    </row>
    <row r="2244" spans="1:21" ht="15.75">
      <c r="A2244" s="15">
        <v>2243</v>
      </c>
      <c r="B2244" s="4" t="s">
        <v>6252</v>
      </c>
      <c r="D2244" s="4">
        <v>1</v>
      </c>
      <c r="E2244" s="4" t="s">
        <v>2082</v>
      </c>
      <c r="F2244" s="4" t="s">
        <v>6248</v>
      </c>
      <c r="G2244" s="4" t="s">
        <v>2081</v>
      </c>
      <c r="H2244" s="4" t="s">
        <v>6253</v>
      </c>
      <c r="I2244" s="24" t="str">
        <f>HYPERLINK("https://www.bilibili.com/video/BV1kqepe1EHu?p=1","BV1kqepe1EHu?p=1")</f>
        <v>BV1kqepe1EHu?p=1</v>
      </c>
      <c r="J2244" s="4" t="str">
        <f ca="1">_xlfn.IFNA(VLOOKUP(INDIRECT("G"&amp;ROW()),minfo!$A:$M,COLUMN()-8,0),"")</f>
        <v>依然爱你</v>
      </c>
      <c r="K2244" s="4" t="str">
        <f ca="1">_xlfn.IFNA(VLOOKUP(INDIRECT("G"&amp;ROW()),minfo!$A:$M,COLUMN()-8,0),"")</f>
        <v>韩宝仪</v>
      </c>
      <c r="L2244" s="4">
        <f ca="1">_xlfn.IFNA(VLOOKUP(INDIRECT("G"&amp;ROW()),minfo!$A:$M,COLUMN()-8,0),"")</f>
        <v>0</v>
      </c>
      <c r="M2244" s="4">
        <f ca="1">_xlfn.IFNA(VLOOKUP(INDIRECT("G"&amp;ROW()),minfo!$A:$M,COLUMN()-8,0),"")</f>
        <v>0</v>
      </c>
      <c r="N2244" s="4">
        <f ca="1">_xlfn.IFNA(VLOOKUP(INDIRECT("G"&amp;ROW()),minfo!$A:$M,COLUMN()-8,0),"")</f>
        <v>0</v>
      </c>
      <c r="O2244" s="4" t="str">
        <f ca="1">_xlfn.IFNA(VLOOKUP(INDIRECT("G"&amp;ROW()),minfo!$A:$M,COLUMN()-8,0),"")</f>
        <v>https://i0.hdslb.com/bfs/station_src/music_metadata/242392b0da3fcaa10a3784f95a249902.jpg</v>
      </c>
      <c r="P2244" s="4" t="str">
        <f ca="1">_xlfn.IFNA(VLOOKUP(INDIRECT("G"&amp;ROW()),minfo!$A:$M,COLUMN()-8,0),"")</f>
        <v>http://i0.hdslb.com/bfs/station_src/music_metadata/949caec540a59346f0baa126ef4029c8</v>
      </c>
      <c r="Q2244" s="4">
        <f ca="1">_xlfn.IFNA(VLOOKUP(INDIRECT("G"&amp;ROW()),minfo!$A:$M,COLUMN()-8,0),"")</f>
        <v>34</v>
      </c>
      <c r="R2244" s="4">
        <f ca="1">_xlfn.IFNA(VLOOKUP(INDIRECT("G"&amp;ROW()),minfo!$A:$M,COLUMN()-8,0),"")</f>
        <v>0</v>
      </c>
      <c r="S2244" s="4" t="str">
        <f ca="1">_xlfn.IFNA(VLOOKUP(INDIRECT("G"&amp;ROW()),minfo!$A:$M,COLUMN()-8,0),"")</f>
        <v>又见宝仪</v>
      </c>
      <c r="T2244" s="4">
        <f ca="1">_xlfn.IFNA(VLOOKUP(INDIRECT("G"&amp;ROW()),minfo!$A:$M,COLUMN()-8,0),"")</f>
        <v>46570561</v>
      </c>
      <c r="U2244" s="4">
        <f ca="1">_xlfn.IFNA(VLOOKUP(INDIRECT("G"&amp;ROW()),minfo!$A:$M,COLUMN()-8,0),"")</f>
        <v>0</v>
      </c>
    </row>
    <row r="2245" spans="1:21" ht="15.75">
      <c r="A2245" s="15">
        <v>2244</v>
      </c>
      <c r="B2245" s="4" t="s">
        <v>6254</v>
      </c>
      <c r="D2245" s="4">
        <v>1</v>
      </c>
      <c r="E2245" s="4" t="s">
        <v>579</v>
      </c>
      <c r="F2245" s="4" t="s">
        <v>6248</v>
      </c>
      <c r="G2245" s="4" t="s">
        <v>578</v>
      </c>
      <c r="H2245" s="4" t="s">
        <v>6255</v>
      </c>
      <c r="I2245" s="24" t="str">
        <f>HYPERLINK("https://www.bilibili.com/video/BV1pqepe2EYY?p=1","BV1pqepe2EYY?p=1")</f>
        <v>BV1pqepe2EYY?p=1</v>
      </c>
      <c r="J2245" s="4" t="str">
        <f ca="1">_xlfn.IFNA(VLOOKUP(INDIRECT("G"&amp;ROW()),minfo!$A:$M,COLUMN()-8,0),"")</f>
        <v>月光</v>
      </c>
      <c r="K2245" s="4" t="str">
        <f ca="1">_xlfn.IFNA(VLOOKUP(INDIRECT("G"&amp;ROW()),minfo!$A:$M,COLUMN()-8,0),"")</f>
        <v>胡彦斌</v>
      </c>
      <c r="L2245" s="4">
        <f ca="1">_xlfn.IFNA(VLOOKUP(INDIRECT("G"&amp;ROW()),minfo!$A:$M,COLUMN()-8,0),"")</f>
        <v>0</v>
      </c>
      <c r="M2245" s="4">
        <f ca="1">_xlfn.IFNA(VLOOKUP(INDIRECT("G"&amp;ROW()),minfo!$A:$M,COLUMN()-8,0),"")</f>
        <v>0</v>
      </c>
      <c r="N2245" s="4">
        <f ca="1">_xlfn.IFNA(VLOOKUP(INDIRECT("G"&amp;ROW()),minfo!$A:$M,COLUMN()-8,0),"")</f>
        <v>0</v>
      </c>
      <c r="O2245" s="4" t="str">
        <f ca="1">_xlfn.IFNA(VLOOKUP(INDIRECT("G"&amp;ROW()),minfo!$A:$M,COLUMN()-8,0),"")</f>
        <v>https://i0.hdslb.com/bfs/station_src/music_metadata/7cc411366d037e788cb0589e4b72b353.jpg</v>
      </c>
      <c r="P2245" s="4" t="str">
        <f ca="1">_xlfn.IFNA(VLOOKUP(INDIRECT("G"&amp;ROW()),minfo!$A:$M,COLUMN()-8,0),"")</f>
        <v>https://i0.hdslb.com/bfs/station_src/music_metadata/24b147c13fc9ffd4dfb30a3a88355255.txt</v>
      </c>
      <c r="Q2245" s="4">
        <f ca="1">_xlfn.IFNA(VLOOKUP(INDIRECT("G"&amp;ROW()),minfo!$A:$M,COLUMN()-8,0),"")</f>
        <v>3207</v>
      </c>
      <c r="R2245" s="4" t="str">
        <f ca="1">_xlfn.IFNA(VLOOKUP(INDIRECT("G"&amp;ROW()),minfo!$A:$M,COLUMN()-8,0),"")</f>
        <v>《秦时明月》动画主题曲|《秦时明月之君临天下》动画片头曲</v>
      </c>
      <c r="S2245" s="4" t="str">
        <f ca="1">_xlfn.IFNA(VLOOKUP(INDIRECT("G"&amp;ROW()),minfo!$A:$M,COLUMN()-8,0),"")</f>
        <v>男人歌 (全胜铂金版)</v>
      </c>
      <c r="T2245" s="4">
        <f ca="1">_xlfn.IFNA(VLOOKUP(INDIRECT("G"&amp;ROW()),minfo!$A:$M,COLUMN()-8,0),"")</f>
        <v>276993628</v>
      </c>
      <c r="U2245" s="4">
        <f ca="1">_xlfn.IFNA(VLOOKUP(INDIRECT("G"&amp;ROW()),minfo!$A:$M,COLUMN()-8,0),"")</f>
        <v>0</v>
      </c>
    </row>
    <row r="2246" spans="1:21" ht="15.75">
      <c r="A2246" s="15">
        <v>2245</v>
      </c>
      <c r="B2246" s="4" t="s">
        <v>6102</v>
      </c>
      <c r="D2246" s="4">
        <v>1</v>
      </c>
      <c r="E2246" s="4" t="s">
        <v>3271</v>
      </c>
      <c r="F2246" s="4" t="s">
        <v>6248</v>
      </c>
      <c r="G2246" s="4" t="s">
        <v>3271</v>
      </c>
      <c r="H2246" s="4" t="s">
        <v>6256</v>
      </c>
      <c r="I2246" s="24" t="str">
        <f>HYPERLINK("https://www.bilibili.com/video/BV1Aiepe7EiQ?p=1","BV1Aiepe7EiQ?p=1")</f>
        <v>BV1Aiepe7EiQ?p=1</v>
      </c>
      <c r="J2246" s="4" t="str">
        <f ca="1">_xlfn.IFNA(VLOOKUP(INDIRECT("G"&amp;ROW()),minfo!$A:$M,COLUMN()-8,0),"")</f>
        <v>太空人</v>
      </c>
      <c r="K2246" s="4" t="str">
        <f ca="1">_xlfn.IFNA(VLOOKUP(INDIRECT("G"&amp;ROW()),minfo!$A:$M,COLUMN()-8,0),"")</f>
        <v>吴青峰</v>
      </c>
      <c r="L2246" s="4">
        <f ca="1">_xlfn.IFNA(VLOOKUP(INDIRECT("G"&amp;ROW()),minfo!$A:$M,COLUMN()-8,0),"")</f>
        <v>0</v>
      </c>
      <c r="M2246" s="4">
        <f ca="1">_xlfn.IFNA(VLOOKUP(INDIRECT("G"&amp;ROW()),minfo!$A:$M,COLUMN()-8,0),"")</f>
        <v>0</v>
      </c>
      <c r="N2246" s="4">
        <f ca="1">_xlfn.IFNA(VLOOKUP(INDIRECT("G"&amp;ROW()),minfo!$A:$M,COLUMN()-8,0),"")</f>
        <v>0</v>
      </c>
      <c r="O2246" s="4">
        <f ca="1">_xlfn.IFNA(VLOOKUP(INDIRECT("G"&amp;ROW()),minfo!$A:$M,COLUMN()-8,0),"")</f>
        <v>0</v>
      </c>
      <c r="P2246" s="4">
        <f ca="1">_xlfn.IFNA(VLOOKUP(INDIRECT("G"&amp;ROW()),minfo!$A:$M,COLUMN()-8,0),"")</f>
        <v>0</v>
      </c>
      <c r="Q2246" s="4">
        <f ca="1">_xlfn.IFNA(VLOOKUP(INDIRECT("G"&amp;ROW()),minfo!$A:$M,COLUMN()-8,0),"")</f>
        <v>0</v>
      </c>
      <c r="R2246" s="4">
        <f ca="1">_xlfn.IFNA(VLOOKUP(INDIRECT("G"&amp;ROW()),minfo!$A:$M,COLUMN()-8,0),"")</f>
        <v>0</v>
      </c>
      <c r="S2246" s="4">
        <f ca="1">_xlfn.IFNA(VLOOKUP(INDIRECT("G"&amp;ROW()),minfo!$A:$M,COLUMN()-8,0),"")</f>
        <v>0</v>
      </c>
      <c r="T2246" s="4">
        <f ca="1">_xlfn.IFNA(VLOOKUP(INDIRECT("G"&amp;ROW()),minfo!$A:$M,COLUMN()-8,0),"")</f>
        <v>0</v>
      </c>
      <c r="U2246" s="4">
        <f ca="1">_xlfn.IFNA(VLOOKUP(INDIRECT("G"&amp;ROW()),minfo!$A:$M,COLUMN()-8,0),"")</f>
        <v>0</v>
      </c>
    </row>
    <row r="2247" spans="1:21" ht="15.75">
      <c r="A2247" s="15">
        <v>2246</v>
      </c>
      <c r="B2247" s="4" t="s">
        <v>6257</v>
      </c>
      <c r="D2247" s="4">
        <v>1</v>
      </c>
      <c r="E2247" s="4" t="s">
        <v>30</v>
      </c>
      <c r="F2247" s="4" t="s">
        <v>6258</v>
      </c>
      <c r="G2247" s="4" t="s">
        <v>29</v>
      </c>
      <c r="H2247" s="4" t="s">
        <v>6259</v>
      </c>
      <c r="I2247" s="24" t="str">
        <f>HYPERLINK("https://www.bilibili.com/video/BV1EBWFenE2x?p=1","BV1EBWFenE2x?p=1")</f>
        <v>BV1EBWFenE2x?p=1</v>
      </c>
      <c r="J2247" s="4" t="str">
        <f ca="1">_xlfn.IFNA(VLOOKUP(INDIRECT("G"&amp;ROW()),minfo!$A:$M,COLUMN()-8,0),"")</f>
        <v>下雨天</v>
      </c>
      <c r="K2247" s="4" t="str">
        <f ca="1">_xlfn.IFNA(VLOOKUP(INDIRECT("G"&amp;ROW()),minfo!$A:$M,COLUMN()-8,0),"")</f>
        <v>南拳妈妈</v>
      </c>
      <c r="L2247" s="4">
        <f ca="1">_xlfn.IFNA(VLOOKUP(INDIRECT("G"&amp;ROW()),minfo!$A:$M,COLUMN()-8,0),"")</f>
        <v>0</v>
      </c>
      <c r="M2247" s="4">
        <f ca="1">_xlfn.IFNA(VLOOKUP(INDIRECT("G"&amp;ROW()),minfo!$A:$M,COLUMN()-8,0),"")</f>
        <v>0</v>
      </c>
      <c r="N2247" s="4">
        <f ca="1">_xlfn.IFNA(VLOOKUP(INDIRECT("G"&amp;ROW()),minfo!$A:$M,COLUMN()-8,0),"")</f>
        <v>0</v>
      </c>
      <c r="O2247" s="4" t="str">
        <f ca="1">_xlfn.IFNA(VLOOKUP(INDIRECT("G"&amp;ROW()),minfo!$A:$M,COLUMN()-8,0),"")</f>
        <v>http://i0.hdslb.com/bfs/station_src/music_metadata/11894af49c3a6335acdcff5503de93ca.jpg</v>
      </c>
      <c r="P2247" s="4" t="str">
        <f ca="1">_xlfn.IFNA(VLOOKUP(INDIRECT("G"&amp;ROW()),minfo!$A:$M,COLUMN()-8,0),"")</f>
        <v>http://i0.hdslb.com/bfs/station_src/music_metadata/7562376c6e398641a1432bf3281bc565</v>
      </c>
      <c r="Q2247" s="4">
        <f ca="1">_xlfn.IFNA(VLOOKUP(INDIRECT("G"&amp;ROW()),minfo!$A:$M,COLUMN()-8,0),"")</f>
        <v>1858</v>
      </c>
      <c r="R2247" s="4">
        <f ca="1">_xlfn.IFNA(VLOOKUP(INDIRECT("G"&amp;ROW()),minfo!$A:$M,COLUMN()-8,0),"")</f>
        <v>0</v>
      </c>
      <c r="S2247" s="4" t="str">
        <f ca="1">_xlfn.IFNA(VLOOKUP(INDIRECT("G"&amp;ROW()),minfo!$A:$M,COLUMN()-8,0),"")</f>
        <v>优の良曲 南搞小孩</v>
      </c>
      <c r="T2247" s="4">
        <f ca="1">_xlfn.IFNA(VLOOKUP(INDIRECT("G"&amp;ROW()),minfo!$A:$M,COLUMN()-8,0),"")</f>
        <v>282780877</v>
      </c>
      <c r="U2247" s="4" t="str">
        <f ca="1">_xlfn.IFNA(VLOOKUP(INDIRECT("G"&amp;ROW()),minfo!$A:$M,COLUMN()-8,0),"")</f>
        <v>音乐榜最高NO.14</v>
      </c>
    </row>
    <row r="2248" spans="1:21" ht="15.75">
      <c r="A2248" s="15">
        <v>2247</v>
      </c>
      <c r="B2248" s="4" t="s">
        <v>5930</v>
      </c>
      <c r="D2248" s="4">
        <v>1</v>
      </c>
      <c r="E2248" s="4" t="s">
        <v>3415</v>
      </c>
      <c r="F2248" s="4" t="s">
        <v>6258</v>
      </c>
      <c r="G2248" s="4" t="s">
        <v>3414</v>
      </c>
      <c r="H2248" s="4" t="s">
        <v>6260</v>
      </c>
      <c r="I2248" s="24" t="str">
        <f>HYPERLINK("https://www.bilibili.com/video/BV1JBWFenE1j?p=1","BV1JBWFenE1j?p=1")</f>
        <v>BV1JBWFenE1j?p=1</v>
      </c>
      <c r="J2248" s="4" t="str">
        <f ca="1">_xlfn.IFNA(VLOOKUP(INDIRECT("G"&amp;ROW()),minfo!$A:$M,COLUMN()-8,0),"")</f>
        <v>尚好的青春</v>
      </c>
      <c r="K2248" s="4" t="str">
        <f ca="1">_xlfn.IFNA(VLOOKUP(INDIRECT("G"&amp;ROW()),minfo!$A:$M,COLUMN()-8,0),"")</f>
        <v>孙燕姿</v>
      </c>
      <c r="L2248" s="4">
        <f ca="1">_xlfn.IFNA(VLOOKUP(INDIRECT("G"&amp;ROW()),minfo!$A:$M,COLUMN()-8,0),"")</f>
        <v>0</v>
      </c>
      <c r="M2248" s="4">
        <f ca="1">_xlfn.IFNA(VLOOKUP(INDIRECT("G"&amp;ROW()),minfo!$A:$M,COLUMN()-8,0),"")</f>
        <v>0</v>
      </c>
      <c r="N2248" s="4">
        <f ca="1">_xlfn.IFNA(VLOOKUP(INDIRECT("G"&amp;ROW()),minfo!$A:$M,COLUMN()-8,0),"")</f>
        <v>0</v>
      </c>
      <c r="O2248" s="4" t="str">
        <f ca="1">_xlfn.IFNA(VLOOKUP(INDIRECT("G"&amp;ROW()),minfo!$A:$M,COLUMN()-8,0),"")</f>
        <v>http://i0.hdslb.com/bfs/station_src/music_metadata/6c7ca7c1f0c7306e22d435440cce9aa4.jpg</v>
      </c>
      <c r="P2248" s="4" t="str">
        <f ca="1">_xlfn.IFNA(VLOOKUP(INDIRECT("G"&amp;ROW()),minfo!$A:$M,COLUMN()-8,0),"")</f>
        <v>http://i0.hdslb.com/bfs/station_src/music_metadata/087c5ffcafe72ed0cac39356f9bde1bd</v>
      </c>
      <c r="Q2248" s="4">
        <f ca="1">_xlfn.IFNA(VLOOKUP(INDIRECT("G"&amp;ROW()),minfo!$A:$M,COLUMN()-8,0),"")</f>
        <v>36</v>
      </c>
      <c r="R2248" s="4">
        <f ca="1">_xlfn.IFNA(VLOOKUP(INDIRECT("G"&amp;ROW()),minfo!$A:$M,COLUMN()-8,0),"")</f>
        <v>0</v>
      </c>
      <c r="S2248" s="4">
        <f ca="1">_xlfn.IFNA(VLOOKUP(INDIRECT("G"&amp;ROW()),minfo!$A:$M,COLUMN()-8,0),"")</f>
        <v>0</v>
      </c>
      <c r="T2248" s="4">
        <f ca="1">_xlfn.IFNA(VLOOKUP(INDIRECT("G"&amp;ROW()),minfo!$A:$M,COLUMN()-8,0),"")</f>
        <v>29643037</v>
      </c>
      <c r="U2248" s="4">
        <f ca="1">_xlfn.IFNA(VLOOKUP(INDIRECT("G"&amp;ROW()),minfo!$A:$M,COLUMN()-8,0),"")</f>
        <v>0</v>
      </c>
    </row>
    <row r="2249" spans="1:21" ht="15.75">
      <c r="A2249" s="15">
        <v>2248</v>
      </c>
      <c r="B2249" s="4" t="s">
        <v>6207</v>
      </c>
      <c r="D2249" s="4">
        <v>1</v>
      </c>
      <c r="E2249" s="4" t="s">
        <v>808</v>
      </c>
      <c r="F2249" s="4" t="s">
        <v>6258</v>
      </c>
      <c r="G2249" s="4" t="s">
        <v>807</v>
      </c>
      <c r="H2249" s="4" t="s">
        <v>6261</v>
      </c>
      <c r="I2249" s="24" t="str">
        <f>HYPERLINK("https://www.bilibili.com/video/BV1ZkWFemEq4?p=1","BV1ZkWFemEq4?p=1")</f>
        <v>BV1ZkWFemEq4?p=1</v>
      </c>
      <c r="J2249" s="4" t="str">
        <f ca="1">_xlfn.IFNA(VLOOKUP(INDIRECT("G"&amp;ROW()),minfo!$A:$M,COLUMN()-8,0),"")</f>
        <v>上海一九四三</v>
      </c>
      <c r="K2249" s="4" t="str">
        <f ca="1">_xlfn.IFNA(VLOOKUP(INDIRECT("G"&amp;ROW()),minfo!$A:$M,COLUMN()-8,0),"")</f>
        <v>周杰伦</v>
      </c>
      <c r="L2249" s="4">
        <f ca="1">_xlfn.IFNA(VLOOKUP(INDIRECT("G"&amp;ROW()),minfo!$A:$M,COLUMN()-8,0),"")</f>
        <v>0</v>
      </c>
      <c r="M2249" s="4">
        <f ca="1">_xlfn.IFNA(VLOOKUP(INDIRECT("G"&amp;ROW()),minfo!$A:$M,COLUMN()-8,0),"")</f>
        <v>0</v>
      </c>
      <c r="N2249" s="4">
        <f ca="1">_xlfn.IFNA(VLOOKUP(INDIRECT("G"&amp;ROW()),minfo!$A:$M,COLUMN()-8,0),"")</f>
        <v>0</v>
      </c>
      <c r="O2249" s="4" t="str">
        <f ca="1">_xlfn.IFNA(VLOOKUP(INDIRECT("G"&amp;ROW()),minfo!$A:$M,COLUMN()-8,0),"")</f>
        <v>https://i0.hdslb.com/bfs/station_src/music_metadata/00515c7749037eb5e54b1b53955bc7ff.jpg</v>
      </c>
      <c r="P2249" s="4" t="str">
        <f ca="1">_xlfn.IFNA(VLOOKUP(INDIRECT("G"&amp;ROW()),minfo!$A:$M,COLUMN()-8,0),"")</f>
        <v>http://i0.hdslb.com/bfs/station_src/music_metadata/ff8a043954c6ca13adc9e5f1c94ecd23</v>
      </c>
      <c r="Q2249" s="4">
        <f ca="1">_xlfn.IFNA(VLOOKUP(INDIRECT("G"&amp;ROW()),minfo!$A:$M,COLUMN()-8,0),"")</f>
        <v>529</v>
      </c>
      <c r="R2249" s="4">
        <f ca="1">_xlfn.IFNA(VLOOKUP(INDIRECT("G"&amp;ROW()),minfo!$A:$M,COLUMN()-8,0),"")</f>
        <v>0</v>
      </c>
      <c r="S2249" s="4" t="str">
        <f ca="1">_xlfn.IFNA(VLOOKUP(INDIRECT("G"&amp;ROW()),minfo!$A:$M,COLUMN()-8,0),"")</f>
        <v>范特西</v>
      </c>
      <c r="T2249" s="4">
        <f ca="1">_xlfn.IFNA(VLOOKUP(INDIRECT("G"&amp;ROW()),minfo!$A:$M,COLUMN()-8,0),"")</f>
        <v>224985389</v>
      </c>
      <c r="U2249" s="4">
        <f ca="1">_xlfn.IFNA(VLOOKUP(INDIRECT("G"&amp;ROW()),minfo!$A:$M,COLUMN()-8,0),"")</f>
        <v>0</v>
      </c>
    </row>
    <row r="2250" spans="1:21" ht="15.75">
      <c r="A2250" s="15">
        <v>2249</v>
      </c>
      <c r="B2250" s="4" t="s">
        <v>6262</v>
      </c>
      <c r="D2250" s="4">
        <v>1</v>
      </c>
      <c r="E2250" s="4" t="s">
        <v>328</v>
      </c>
      <c r="F2250" s="4" t="s">
        <v>6258</v>
      </c>
      <c r="G2250" s="4" t="s">
        <v>327</v>
      </c>
      <c r="H2250" s="4" t="s">
        <v>6263</v>
      </c>
      <c r="I2250" s="24" t="str">
        <f>HYPERLINK("https://www.bilibili.com/video/BV1qkWFemEb5?p=1","BV1qkWFemEb5?p=1")</f>
        <v>BV1qkWFemEb5?p=1</v>
      </c>
      <c r="J2250" s="4" t="str">
        <f ca="1">_xlfn.IFNA(VLOOKUP(INDIRECT("G"&amp;ROW()),minfo!$A:$M,COLUMN()-8,0),"")</f>
        <v>浪漫手机</v>
      </c>
      <c r="K2250" s="4" t="str">
        <f ca="1">_xlfn.IFNA(VLOOKUP(INDIRECT("G"&amp;ROW()),minfo!$A:$M,COLUMN()-8,0),"")</f>
        <v>周杰伦</v>
      </c>
      <c r="L2250" s="4">
        <f ca="1">_xlfn.IFNA(VLOOKUP(INDIRECT("G"&amp;ROW()),minfo!$A:$M,COLUMN()-8,0),"")</f>
        <v>0</v>
      </c>
      <c r="M2250" s="4">
        <f ca="1">_xlfn.IFNA(VLOOKUP(INDIRECT("G"&amp;ROW()),minfo!$A:$M,COLUMN()-8,0),"")</f>
        <v>0</v>
      </c>
      <c r="N2250" s="4">
        <f ca="1">_xlfn.IFNA(VLOOKUP(INDIRECT("G"&amp;ROW()),minfo!$A:$M,COLUMN()-8,0),"")</f>
        <v>0</v>
      </c>
      <c r="O2250" s="4" t="str">
        <f ca="1">_xlfn.IFNA(VLOOKUP(INDIRECT("G"&amp;ROW()),minfo!$A:$M,COLUMN()-8,0),"")</f>
        <v>https://i0.hdslb.com/bfs/station_src/music_metadata/8eedd1a09269c8d74ed387337e626b75.jpg</v>
      </c>
      <c r="P2250" s="4" t="str">
        <f ca="1">_xlfn.IFNA(VLOOKUP(INDIRECT("G"&amp;ROW()),minfo!$A:$M,COLUMN()-8,0),"")</f>
        <v>https://i0.hdslb.com/bfs/station_src/music_metadata/ae5c6e95bbcbbf46dea75520d23f2e3e.txt</v>
      </c>
      <c r="Q2250" s="4">
        <f ca="1">_xlfn.IFNA(VLOOKUP(INDIRECT("G"&amp;ROW()),minfo!$A:$M,COLUMN()-8,0),"")</f>
        <v>757</v>
      </c>
      <c r="R2250" s="4">
        <f ca="1">_xlfn.IFNA(VLOOKUP(INDIRECT("G"&amp;ROW()),minfo!$A:$M,COLUMN()-8,0),"")</f>
        <v>0</v>
      </c>
      <c r="S2250" s="4" t="str">
        <f ca="1">_xlfn.IFNA(VLOOKUP(INDIRECT("G"&amp;ROW()),minfo!$A:$M,COLUMN()-8,0),"")</f>
        <v>十一月的萧邦</v>
      </c>
      <c r="T2250" s="4">
        <f ca="1">_xlfn.IFNA(VLOOKUP(INDIRECT("G"&amp;ROW()),minfo!$A:$M,COLUMN()-8,0),"")</f>
        <v>267490941</v>
      </c>
      <c r="U2250" s="4">
        <f ca="1">_xlfn.IFNA(VLOOKUP(INDIRECT("G"&amp;ROW()),minfo!$A:$M,COLUMN()-8,0),"")</f>
        <v>0</v>
      </c>
    </row>
    <row r="2251" spans="1:21" ht="15.75">
      <c r="A2251" s="15">
        <v>2250</v>
      </c>
      <c r="B2251" s="4" t="s">
        <v>6264</v>
      </c>
      <c r="D2251" s="4">
        <v>1</v>
      </c>
      <c r="E2251" s="4" t="s">
        <v>1336</v>
      </c>
      <c r="F2251" s="4" t="s">
        <v>6258</v>
      </c>
      <c r="G2251" s="4" t="s">
        <v>1335</v>
      </c>
      <c r="H2251" s="4" t="s">
        <v>6265</v>
      </c>
      <c r="I2251" s="24" t="str">
        <f>HYPERLINK("https://www.bilibili.com/video/BV1ErWFeEEnx?p=1","BV1ErWFeEEnx?p=1")</f>
        <v>BV1ErWFeEEnx?p=1</v>
      </c>
      <c r="J2251" s="4" t="str">
        <f ca="1">_xlfn.IFNA(VLOOKUP(INDIRECT("G"&amp;ROW()),minfo!$A:$M,COLUMN()-8,0),"")</f>
        <v>烟花易冷</v>
      </c>
      <c r="K2251" s="4" t="str">
        <f ca="1">_xlfn.IFNA(VLOOKUP(INDIRECT("G"&amp;ROW()),minfo!$A:$M,COLUMN()-8,0),"")</f>
        <v>周杰伦</v>
      </c>
      <c r="L2251" s="4">
        <f ca="1">_xlfn.IFNA(VLOOKUP(INDIRECT("G"&amp;ROW()),minfo!$A:$M,COLUMN()-8,0),"")</f>
        <v>0</v>
      </c>
      <c r="M2251" s="4">
        <f ca="1">_xlfn.IFNA(VLOOKUP(INDIRECT("G"&amp;ROW()),minfo!$A:$M,COLUMN()-8,0),"")</f>
        <v>0</v>
      </c>
      <c r="N2251" s="4">
        <f ca="1">_xlfn.IFNA(VLOOKUP(INDIRECT("G"&amp;ROW()),minfo!$A:$M,COLUMN()-8,0),"")</f>
        <v>0</v>
      </c>
      <c r="O2251" s="4" t="str">
        <f ca="1">_xlfn.IFNA(VLOOKUP(INDIRECT("G"&amp;ROW()),minfo!$A:$M,COLUMN()-8,0),"")</f>
        <v>https://i0.hdslb.com/bfs/station_src/music_metadata/e91bf06b1d5a37c76a8c823e36c5adfb.jpg</v>
      </c>
      <c r="P2251" s="4" t="str">
        <f ca="1">_xlfn.IFNA(VLOOKUP(INDIRECT("G"&amp;ROW()),minfo!$A:$M,COLUMN()-8,0),"")</f>
        <v>http://i0.hdslb.com/bfs/station_src/music_metadata/e33481ddb835d9a60232725d35c37751</v>
      </c>
      <c r="Q2251" s="4">
        <f ca="1">_xlfn.IFNA(VLOOKUP(INDIRECT("G"&amp;ROW()),minfo!$A:$M,COLUMN()-8,0),"")</f>
        <v>16922</v>
      </c>
      <c r="R2251" s="4">
        <f ca="1">_xlfn.IFNA(VLOOKUP(INDIRECT("G"&amp;ROW()),minfo!$A:$M,COLUMN()-8,0),"")</f>
        <v>0</v>
      </c>
      <c r="S2251" s="4" t="str">
        <f ca="1">_xlfn.IFNA(VLOOKUP(INDIRECT("G"&amp;ROW()),minfo!$A:$M,COLUMN()-8,0),"")</f>
        <v>跨时代</v>
      </c>
      <c r="T2251" s="4">
        <f ca="1">_xlfn.IFNA(VLOOKUP(INDIRECT("G"&amp;ROW()),minfo!$A:$M,COLUMN()-8,0),"")</f>
        <v>691447981</v>
      </c>
      <c r="U2251" s="4">
        <f ca="1">_xlfn.IFNA(VLOOKUP(INDIRECT("G"&amp;ROW()),minfo!$A:$M,COLUMN()-8,0),"")</f>
        <v>0</v>
      </c>
    </row>
    <row r="2252" spans="1:21" ht="15.75">
      <c r="A2252" s="15">
        <v>2251</v>
      </c>
      <c r="B2252" s="4" t="s">
        <v>5827</v>
      </c>
      <c r="D2252" s="4">
        <v>1</v>
      </c>
      <c r="E2252" s="4" t="s">
        <v>1048</v>
      </c>
      <c r="F2252" s="4" t="s">
        <v>6258</v>
      </c>
      <c r="G2252" s="4" t="s">
        <v>1047</v>
      </c>
      <c r="H2252" s="4" t="s">
        <v>6266</v>
      </c>
      <c r="I2252" s="24" t="str">
        <f>HYPERLINK("https://www.bilibili.com/video/BV1BkWFemEGT?p=1","BV1BkWFemEGT?p=1")</f>
        <v>BV1BkWFemEGT?p=1</v>
      </c>
      <c r="J2252" s="4" t="str">
        <f ca="1">_xlfn.IFNA(VLOOKUP(INDIRECT("G"&amp;ROW()),minfo!$A:$M,COLUMN()-8,0),"")</f>
        <v>雨下一整晚</v>
      </c>
      <c r="K2252" s="4" t="str">
        <f ca="1">_xlfn.IFNA(VLOOKUP(INDIRECT("G"&amp;ROW()),minfo!$A:$M,COLUMN()-8,0),"")</f>
        <v>周杰伦</v>
      </c>
      <c r="L2252" s="4">
        <f ca="1">_xlfn.IFNA(VLOOKUP(INDIRECT("G"&amp;ROW()),minfo!$A:$M,COLUMN()-8,0),"")</f>
        <v>0</v>
      </c>
      <c r="M2252" s="4">
        <f ca="1">_xlfn.IFNA(VLOOKUP(INDIRECT("G"&amp;ROW()),minfo!$A:$M,COLUMN()-8,0),"")</f>
        <v>0</v>
      </c>
      <c r="N2252" s="4">
        <f ca="1">_xlfn.IFNA(VLOOKUP(INDIRECT("G"&amp;ROW()),minfo!$A:$M,COLUMN()-8,0),"")</f>
        <v>0</v>
      </c>
      <c r="O2252" s="4" t="str">
        <f ca="1">_xlfn.IFNA(VLOOKUP(INDIRECT("G"&amp;ROW()),minfo!$A:$M,COLUMN()-8,0),"")</f>
        <v>https://i0.hdslb.com/bfs/station_src/music_metadata/740bcd3058e7aa98df27f1f0a32b0f4b.jpg</v>
      </c>
      <c r="P2252" s="4" t="str">
        <f ca="1">_xlfn.IFNA(VLOOKUP(INDIRECT("G"&amp;ROW()),minfo!$A:$M,COLUMN()-8,0),"")</f>
        <v>copyright-crawler/music/task-lyric/654daafbfad724c0d03b496f.txt</v>
      </c>
      <c r="Q2252" s="4">
        <f ca="1">_xlfn.IFNA(VLOOKUP(INDIRECT("G"&amp;ROW()),minfo!$A:$M,COLUMN()-8,0),"")</f>
        <v>2220</v>
      </c>
      <c r="R2252" s="4" t="str">
        <f ca="1">_xlfn.IFNA(VLOOKUP(INDIRECT("G"&amp;ROW()),minfo!$A:$M,COLUMN()-8,0),"")</f>
        <v>雨下一整晚</v>
      </c>
      <c r="S2252" s="4" t="str">
        <f ca="1">_xlfn.IFNA(VLOOKUP(INDIRECT("G"&amp;ROW()),minfo!$A:$M,COLUMN()-8,0),"")</f>
        <v>跨时代</v>
      </c>
      <c r="T2252" s="4">
        <f ca="1">_xlfn.IFNA(VLOOKUP(INDIRECT("G"&amp;ROW()),minfo!$A:$M,COLUMN()-8,0),"")</f>
        <v>288931916</v>
      </c>
      <c r="U2252" s="4">
        <f ca="1">_xlfn.IFNA(VLOOKUP(INDIRECT("G"&amp;ROW()),minfo!$A:$M,COLUMN()-8,0),"")</f>
        <v>0</v>
      </c>
    </row>
    <row r="2253" spans="1:21" ht="15.75">
      <c r="A2253" s="15">
        <v>2252</v>
      </c>
      <c r="B2253" s="4" t="s">
        <v>5876</v>
      </c>
      <c r="D2253" s="4">
        <v>1</v>
      </c>
      <c r="E2253" s="4" t="s">
        <v>1326</v>
      </c>
      <c r="F2253" s="4" t="s">
        <v>6258</v>
      </c>
      <c r="G2253" s="4" t="s">
        <v>1325</v>
      </c>
      <c r="H2253" s="4" t="s">
        <v>6267</v>
      </c>
      <c r="I2253" s="24" t="str">
        <f>HYPERLINK("https://www.bilibili.com/video/BV1orWFejEa5?p=1","BV1orWFejEa5?p=1")</f>
        <v>BV1orWFejEa5?p=1</v>
      </c>
      <c r="J2253" s="4" t="str">
        <f ca="1">_xlfn.IFNA(VLOOKUP(INDIRECT("G"&amp;ROW()),minfo!$A:$M,COLUMN()-8,0),"")</f>
        <v>东风破</v>
      </c>
      <c r="K2253" s="4" t="str">
        <f ca="1">_xlfn.IFNA(VLOOKUP(INDIRECT("G"&amp;ROW()),minfo!$A:$M,COLUMN()-8,0),"")</f>
        <v>周杰伦</v>
      </c>
      <c r="L2253" s="4">
        <f ca="1">_xlfn.IFNA(VLOOKUP(INDIRECT("G"&amp;ROW()),minfo!$A:$M,COLUMN()-8,0),"")</f>
        <v>0</v>
      </c>
      <c r="M2253" s="4">
        <f ca="1">_xlfn.IFNA(VLOOKUP(INDIRECT("G"&amp;ROW()),minfo!$A:$M,COLUMN()-8,0),"")</f>
        <v>0</v>
      </c>
      <c r="N2253" s="4">
        <f ca="1">_xlfn.IFNA(VLOOKUP(INDIRECT("G"&amp;ROW()),minfo!$A:$M,COLUMN()-8,0),"")</f>
        <v>0</v>
      </c>
      <c r="O2253" s="4" t="str">
        <f ca="1">_xlfn.IFNA(VLOOKUP(INDIRECT("G"&amp;ROW()),minfo!$A:$M,COLUMN()-8,0),"")</f>
        <v>https://i0.hdslb.com/bfs/station_src/music_metadata/8480d5b9cca7b1a7e5af2101531478e9.jpg</v>
      </c>
      <c r="P2253" s="4" t="str">
        <f ca="1">_xlfn.IFNA(VLOOKUP(INDIRECT("G"&amp;ROW()),minfo!$A:$M,COLUMN()-8,0),"")</f>
        <v>copyright-crawler/music/task-lyric/650e6317fad724c0d0113e31.txt</v>
      </c>
      <c r="Q2253" s="4">
        <f ca="1">_xlfn.IFNA(VLOOKUP(INDIRECT("G"&amp;ROW()),minfo!$A:$M,COLUMN()-8,0),"")</f>
        <v>1661</v>
      </c>
      <c r="R2253" s="4" t="str">
        <f ca="1">_xlfn.IFNA(VLOOKUP(INDIRECT("G"&amp;ROW()),minfo!$A:$M,COLUMN()-8,0),"")</f>
        <v>东风破</v>
      </c>
      <c r="S2253" s="4" t="str">
        <f ca="1">_xlfn.IFNA(VLOOKUP(INDIRECT("G"&amp;ROW()),minfo!$A:$M,COLUMN()-8,0),"")</f>
        <v>叶惠美</v>
      </c>
      <c r="T2253" s="4">
        <f ca="1">_xlfn.IFNA(VLOOKUP(INDIRECT("G"&amp;ROW()),minfo!$A:$M,COLUMN()-8,0),"")</f>
        <v>406111219</v>
      </c>
      <c r="U2253" s="4">
        <f ca="1">_xlfn.IFNA(VLOOKUP(INDIRECT("G"&amp;ROW()),minfo!$A:$M,COLUMN()-8,0),"")</f>
        <v>0</v>
      </c>
    </row>
    <row r="2254" spans="1:21" ht="15.75">
      <c r="A2254" s="15">
        <v>2253</v>
      </c>
      <c r="B2254" s="4" t="s">
        <v>6056</v>
      </c>
      <c r="D2254" s="4">
        <v>1</v>
      </c>
      <c r="E2254" s="4" t="s">
        <v>640</v>
      </c>
      <c r="F2254" s="4" t="s">
        <v>6258</v>
      </c>
      <c r="G2254" s="4" t="s">
        <v>838</v>
      </c>
      <c r="H2254" s="4" t="s">
        <v>6268</v>
      </c>
      <c r="I2254" s="24" t="str">
        <f>HYPERLINK("https://www.bilibili.com/video/BV1rYWFe9Ei3?p=1","BV1rYWFe9Ei3?p=1")</f>
        <v>BV1rYWFe9Ei3?p=1</v>
      </c>
      <c r="J2254" s="4" t="str">
        <f ca="1">_xlfn.IFNA(VLOOKUP(INDIRECT("G"&amp;ROW()),minfo!$A:$M,COLUMN()-8,0),"")</f>
        <v>七里香</v>
      </c>
      <c r="K2254" s="4" t="str">
        <f ca="1">_xlfn.IFNA(VLOOKUP(INDIRECT("G"&amp;ROW()),minfo!$A:$M,COLUMN()-8,0),"")</f>
        <v>周杰伦</v>
      </c>
      <c r="L2254" s="4">
        <f ca="1">_xlfn.IFNA(VLOOKUP(INDIRECT("G"&amp;ROW()),minfo!$A:$M,COLUMN()-8,0),"")</f>
        <v>0</v>
      </c>
      <c r="M2254" s="4">
        <f ca="1">_xlfn.IFNA(VLOOKUP(INDIRECT("G"&amp;ROW()),minfo!$A:$M,COLUMN()-8,0),"")</f>
        <v>6714</v>
      </c>
      <c r="N2254" s="4">
        <f ca="1">_xlfn.IFNA(VLOOKUP(INDIRECT("G"&amp;ROW()),minfo!$A:$M,COLUMN()-8,0),"")</f>
        <v>200</v>
      </c>
      <c r="O2254" s="4" t="str">
        <f ca="1">_xlfn.IFNA(VLOOKUP(INDIRECT("G"&amp;ROW()),minfo!$A:$M,COLUMN()-8,0),"")</f>
        <v>https://i0.hdslb.com/bfs/station_src/music_metadata/cc542b9d467cfc48aecb420fa38f29a5.jpg</v>
      </c>
      <c r="P2254" s="4">
        <f ca="1">_xlfn.IFNA(VLOOKUP(INDIRECT("G"&amp;ROW()),minfo!$A:$M,COLUMN()-8,0),"")</f>
        <v>0</v>
      </c>
      <c r="Q2254" s="4">
        <f ca="1">_xlfn.IFNA(VLOOKUP(INDIRECT("G"&amp;ROW()),minfo!$A:$M,COLUMN()-8,0),"")</f>
        <v>13878</v>
      </c>
      <c r="R2254" s="4">
        <f ca="1">_xlfn.IFNA(VLOOKUP(INDIRECT("G"&amp;ROW()),minfo!$A:$M,COLUMN()-8,0),"")</f>
        <v>0</v>
      </c>
      <c r="S2254" s="4" t="str">
        <f ca="1">_xlfn.IFNA(VLOOKUP(INDIRECT("G"&amp;ROW()),minfo!$A:$M,COLUMN()-8,0),"")</f>
        <v>七里香</v>
      </c>
      <c r="T2254" s="4">
        <f ca="1">_xlfn.IFNA(VLOOKUP(INDIRECT("G"&amp;ROW()),minfo!$A:$M,COLUMN()-8,0),"")</f>
        <v>1124988076</v>
      </c>
      <c r="U2254" s="4" t="str">
        <f ca="1">_xlfn.IFNA(VLOOKUP(INDIRECT("G"&amp;ROW()),minfo!$A:$M,COLUMN()-8,0),"")</f>
        <v>音乐榜最高NO.17</v>
      </c>
    </row>
    <row r="2255" spans="1:21" ht="15.75">
      <c r="A2255" s="15">
        <v>2254</v>
      </c>
      <c r="B2255" s="4" t="s">
        <v>6269</v>
      </c>
      <c r="D2255" s="4">
        <v>1</v>
      </c>
      <c r="E2255" s="4" t="s">
        <v>3501</v>
      </c>
      <c r="F2255" s="4" t="s">
        <v>6258</v>
      </c>
      <c r="G2255" s="4" t="s">
        <v>3500</v>
      </c>
      <c r="H2255" s="4" t="s">
        <v>6270</v>
      </c>
      <c r="I2255" s="24" t="str">
        <f>HYPERLINK("https://www.bilibili.com/video/BV1wYWFeRExP?p=1","BV1wYWFeRExP?p=1")</f>
        <v>BV1wYWFeRExP?p=1</v>
      </c>
      <c r="J2255" s="4" t="str">
        <f ca="1">_xlfn.IFNA(VLOOKUP(INDIRECT("G"&amp;ROW()),minfo!$A:$M,COLUMN()-8,0),"")</f>
        <v>给我一首歌的时间</v>
      </c>
      <c r="K2255" s="4" t="str">
        <f ca="1">_xlfn.IFNA(VLOOKUP(INDIRECT("G"&amp;ROW()),minfo!$A:$M,COLUMN()-8,0),"")</f>
        <v>周杰伦</v>
      </c>
      <c r="L2255" s="4" t="str">
        <f ca="1">_xlfn.IFNA(VLOOKUP(INDIRECT("G"&amp;ROW()),minfo!$A:$M,COLUMN()-8,0),"")</f>
        <v>BV1WY411K7g5</v>
      </c>
      <c r="M2255" s="4">
        <f ca="1">_xlfn.IFNA(VLOOKUP(INDIRECT("G"&amp;ROW()),minfo!$A:$M,COLUMN()-8,0),"")</f>
        <v>71193</v>
      </c>
      <c r="N2255" s="4">
        <f ca="1">_xlfn.IFNA(VLOOKUP(INDIRECT("G"&amp;ROW()),minfo!$A:$M,COLUMN()-8,0),"")</f>
        <v>5295</v>
      </c>
      <c r="O2255" s="4" t="str">
        <f ca="1">_xlfn.IFNA(VLOOKUP(INDIRECT("G"&amp;ROW()),minfo!$A:$M,COLUMN()-8,0),"")</f>
        <v>http://i0.hdslb.com/bfs/station_src/music_metadata/95bc87adfc78cee98d60bc4dc9a91cc1.jpg</v>
      </c>
      <c r="P2255" s="4" t="str">
        <f ca="1">_xlfn.IFNA(VLOOKUP(INDIRECT("G"&amp;ROW()),minfo!$A:$M,COLUMN()-8,0),"")</f>
        <v>http://i0.hdslb.com/bfs/station_src/music_metadata/364ac3e9b5dad88c53dd760d258a835b</v>
      </c>
      <c r="Q2255" s="4">
        <f ca="1">_xlfn.IFNA(VLOOKUP(INDIRECT("G"&amp;ROW()),minfo!$A:$M,COLUMN()-8,0),"")</f>
        <v>1425</v>
      </c>
      <c r="R2255" s="4">
        <f ca="1">_xlfn.IFNA(VLOOKUP(INDIRECT("G"&amp;ROW()),minfo!$A:$M,COLUMN()-8,0),"")</f>
        <v>0</v>
      </c>
      <c r="S2255" s="4" t="str">
        <f ca="1">_xlfn.IFNA(VLOOKUP(INDIRECT("G"&amp;ROW()),minfo!$A:$M,COLUMN()-8,0),"")</f>
        <v>魔杰座</v>
      </c>
      <c r="T2255" s="4">
        <f ca="1">_xlfn.IFNA(VLOOKUP(INDIRECT("G"&amp;ROW()),minfo!$A:$M,COLUMN()-8,0),"")</f>
        <v>901923247</v>
      </c>
      <c r="U2255" s="4">
        <f ca="1">_xlfn.IFNA(VLOOKUP(INDIRECT("G"&amp;ROW()),minfo!$A:$M,COLUMN()-8,0),"")</f>
        <v>0</v>
      </c>
    </row>
    <row r="2256" spans="1:21" ht="15.75">
      <c r="A2256" s="15">
        <v>2255</v>
      </c>
      <c r="B2256" s="4" t="s">
        <v>5768</v>
      </c>
      <c r="D2256" s="4">
        <v>1</v>
      </c>
      <c r="E2256" s="4" t="s">
        <v>3352</v>
      </c>
      <c r="F2256" s="4" t="s">
        <v>6271</v>
      </c>
      <c r="G2256" s="4" t="s">
        <v>3351</v>
      </c>
      <c r="H2256" s="4" t="s">
        <v>6272</v>
      </c>
      <c r="I2256" s="24" t="str">
        <f>HYPERLINK("https://www.bilibili.com/video/BV1vhW2erE5w?p=1","BV1vhW2erE5w?p=1")</f>
        <v>BV1vhW2erE5w?p=1</v>
      </c>
      <c r="J2256" s="4" t="str">
        <f ca="1">_xlfn.IFNA(VLOOKUP(INDIRECT("G"&amp;ROW()),minfo!$A:$M,COLUMN()-8,0),"")</f>
        <v>寂寞的季节</v>
      </c>
      <c r="K2256" s="4" t="str">
        <f ca="1">_xlfn.IFNA(VLOOKUP(INDIRECT("G"&amp;ROW()),minfo!$A:$M,COLUMN()-8,0),"")</f>
        <v>陶喆</v>
      </c>
      <c r="L2256" s="4">
        <f ca="1">_xlfn.IFNA(VLOOKUP(INDIRECT("G"&amp;ROW()),minfo!$A:$M,COLUMN()-8,0),"")</f>
        <v>0</v>
      </c>
      <c r="M2256" s="4">
        <f ca="1">_xlfn.IFNA(VLOOKUP(INDIRECT("G"&amp;ROW()),minfo!$A:$M,COLUMN()-8,0),"")</f>
        <v>0</v>
      </c>
      <c r="N2256" s="4">
        <f ca="1">_xlfn.IFNA(VLOOKUP(INDIRECT("G"&amp;ROW()),minfo!$A:$M,COLUMN()-8,0),"")</f>
        <v>0</v>
      </c>
      <c r="O2256" s="4" t="str">
        <f ca="1">_xlfn.IFNA(VLOOKUP(INDIRECT("G"&amp;ROW()),minfo!$A:$M,COLUMN()-8,0),"")</f>
        <v>http://i0.hdslb.com/bfs/station_src/music_metadata/f71dc4018f8341963054d0bc5324785c.jpg</v>
      </c>
      <c r="P2256" s="4" t="str">
        <f ca="1">_xlfn.IFNA(VLOOKUP(INDIRECT("G"&amp;ROW()),minfo!$A:$M,COLUMN()-8,0),"")</f>
        <v>http://i0.hdslb.com/bfs/station_src/music_metadata/25b9ce90f0f0179405947a95466ff030</v>
      </c>
      <c r="Q2256" s="4">
        <f ca="1">_xlfn.IFNA(VLOOKUP(INDIRECT("G"&amp;ROW()),minfo!$A:$M,COLUMN()-8,0),"")</f>
        <v>134</v>
      </c>
      <c r="R2256" s="4">
        <f ca="1">_xlfn.IFNA(VLOOKUP(INDIRECT("G"&amp;ROW()),minfo!$A:$M,COLUMN()-8,0),"")</f>
        <v>0</v>
      </c>
      <c r="S2256" s="4" t="str">
        <f ca="1">_xlfn.IFNA(VLOOKUP(INDIRECT("G"&amp;ROW()),minfo!$A:$M,COLUMN()-8,0),"")</f>
        <v>寂寞的季节</v>
      </c>
      <c r="T2256" s="4">
        <f ca="1">_xlfn.IFNA(VLOOKUP(INDIRECT("G"&amp;ROW()),minfo!$A:$M,COLUMN()-8,0),"")</f>
        <v>60141031</v>
      </c>
      <c r="U2256" s="4">
        <f ca="1">_xlfn.IFNA(VLOOKUP(INDIRECT("G"&amp;ROW()),minfo!$A:$M,COLUMN()-8,0),"")</f>
        <v>0</v>
      </c>
    </row>
    <row r="2257" spans="1:21" ht="15.75">
      <c r="A2257" s="15">
        <v>2256</v>
      </c>
      <c r="B2257" s="4" t="s">
        <v>5781</v>
      </c>
      <c r="D2257" s="4">
        <v>1</v>
      </c>
      <c r="E2257" s="4" t="s">
        <v>3267</v>
      </c>
      <c r="F2257" s="4" t="s">
        <v>6271</v>
      </c>
      <c r="G2257" s="4" t="s">
        <v>3266</v>
      </c>
      <c r="H2257" s="4" t="s">
        <v>6273</v>
      </c>
      <c r="I2257" s="24" t="str">
        <f>HYPERLINK("https://www.bilibili.com/video/BV1aiW2eMEyA?p=1","BV1aiW2eMEyA?p=1")</f>
        <v>BV1aiW2eMEyA?p=1</v>
      </c>
      <c r="J2257" s="4" t="str">
        <f ca="1">_xlfn.IFNA(VLOOKUP(INDIRECT("G"&amp;ROW()),minfo!$A:$M,COLUMN()-8,0),"")</f>
        <v>不枉</v>
      </c>
      <c r="K2257" s="4" t="str">
        <f ca="1">_xlfn.IFNA(VLOOKUP(INDIRECT("G"&amp;ROW()),minfo!$A:$M,COLUMN()-8,0),"")</f>
        <v>汪小敏</v>
      </c>
      <c r="L2257" s="4">
        <f ca="1">_xlfn.IFNA(VLOOKUP(INDIRECT("G"&amp;ROW()),minfo!$A:$M,COLUMN()-8,0),"")</f>
        <v>0</v>
      </c>
      <c r="M2257" s="4">
        <f ca="1">_xlfn.IFNA(VLOOKUP(INDIRECT("G"&amp;ROW()),minfo!$A:$M,COLUMN()-8,0),"")</f>
        <v>0</v>
      </c>
      <c r="N2257" s="4">
        <f ca="1">_xlfn.IFNA(VLOOKUP(INDIRECT("G"&amp;ROW()),minfo!$A:$M,COLUMN()-8,0),"")</f>
        <v>0</v>
      </c>
      <c r="O2257" s="4" t="str">
        <f ca="1">_xlfn.IFNA(VLOOKUP(INDIRECT("G"&amp;ROW()),minfo!$A:$M,COLUMN()-8,0),"")</f>
        <v>https://i0.hdslb.com/bfs/station_src/music_metadata/1233569afa400d8a6333bb974bba7447.jpg</v>
      </c>
      <c r="P2257" s="4">
        <f ca="1">_xlfn.IFNA(VLOOKUP(INDIRECT("G"&amp;ROW()),minfo!$A:$M,COLUMN()-8,0),"")</f>
        <v>0</v>
      </c>
      <c r="Q2257" s="4">
        <f ca="1">_xlfn.IFNA(VLOOKUP(INDIRECT("G"&amp;ROW()),minfo!$A:$M,COLUMN()-8,0),"")</f>
        <v>75</v>
      </c>
      <c r="R2257" s="4">
        <f ca="1">_xlfn.IFNA(VLOOKUP(INDIRECT("G"&amp;ROW()),minfo!$A:$M,COLUMN()-8,0),"")</f>
        <v>0</v>
      </c>
      <c r="S2257" s="4" t="str">
        <f ca="1">_xlfn.IFNA(VLOOKUP(INDIRECT("G"&amp;ROW()),minfo!$A:$M,COLUMN()-8,0),"")</f>
        <v>空</v>
      </c>
      <c r="T2257" s="4">
        <f ca="1">_xlfn.IFNA(VLOOKUP(INDIRECT("G"&amp;ROW()),minfo!$A:$M,COLUMN()-8,0),"")</f>
        <v>5523557</v>
      </c>
      <c r="U2257" s="4" t="str">
        <f ca="1">_xlfn.IFNA(VLOOKUP(INDIRECT("G"&amp;ROW()),minfo!$A:$M,COLUMN()-8,0),"")</f>
        <v>音乐榜最高NO.18</v>
      </c>
    </row>
    <row r="2258" spans="1:21" ht="15.75">
      <c r="A2258" s="15">
        <v>2257</v>
      </c>
      <c r="B2258" s="4" t="s">
        <v>6274</v>
      </c>
      <c r="D2258" s="4">
        <v>1</v>
      </c>
      <c r="E2258" s="4" t="s">
        <v>2072</v>
      </c>
      <c r="F2258" s="4" t="s">
        <v>6271</v>
      </c>
      <c r="G2258" s="4" t="s">
        <v>2071</v>
      </c>
      <c r="H2258" s="4" t="s">
        <v>6275</v>
      </c>
      <c r="I2258" s="24" t="str">
        <f>HYPERLINK("https://www.bilibili.com/video/BV1YiW2eMETZ?p=1","BV1YiW2eMETZ?p=1")</f>
        <v>BV1YiW2eMETZ?p=1</v>
      </c>
      <c r="J2258" s="4" t="str">
        <f ca="1">_xlfn.IFNA(VLOOKUP(INDIRECT("G"&amp;ROW()),minfo!$A:$M,COLUMN()-8,0),"")</f>
        <v>年轮</v>
      </c>
      <c r="K2258" s="4" t="str">
        <f ca="1">_xlfn.IFNA(VLOOKUP(INDIRECT("G"&amp;ROW()),minfo!$A:$M,COLUMN()-8,0),"")</f>
        <v>张碧晨</v>
      </c>
      <c r="L2258" s="4">
        <f ca="1">_xlfn.IFNA(VLOOKUP(INDIRECT("G"&amp;ROW()),minfo!$A:$M,COLUMN()-8,0),"")</f>
        <v>0</v>
      </c>
      <c r="M2258" s="4">
        <f ca="1">_xlfn.IFNA(VLOOKUP(INDIRECT("G"&amp;ROW()),minfo!$A:$M,COLUMN()-8,0),"")</f>
        <v>0</v>
      </c>
      <c r="N2258" s="4">
        <f ca="1">_xlfn.IFNA(VLOOKUP(INDIRECT("G"&amp;ROW()),minfo!$A:$M,COLUMN()-8,0),"")</f>
        <v>0</v>
      </c>
      <c r="O2258" s="4" t="str">
        <f ca="1">_xlfn.IFNA(VLOOKUP(INDIRECT("G"&amp;ROW()),minfo!$A:$M,COLUMN()-8,0),"")</f>
        <v>http://i0.hdslb.com/bfs/station_src/music_metadata/f4b95f7e59a319ac109088bc214ff891.jpg</v>
      </c>
      <c r="P2258" s="4" t="str">
        <f ca="1">_xlfn.IFNA(VLOOKUP(INDIRECT("G"&amp;ROW()),minfo!$A:$M,COLUMN()-8,0),"")</f>
        <v>https://i0.hdslb.com/bfs/station_src/music_metadata/e89db32904a194caab0c8b0b5dcd95b6.txt</v>
      </c>
      <c r="Q2258" s="4">
        <f ca="1">_xlfn.IFNA(VLOOKUP(INDIRECT("G"&amp;ROW()),minfo!$A:$M,COLUMN()-8,0),"")</f>
        <v>1908</v>
      </c>
      <c r="R2258" s="4">
        <f ca="1">_xlfn.IFNA(VLOOKUP(INDIRECT("G"&amp;ROW()),minfo!$A:$M,COLUMN()-8,0),"")</f>
        <v>0</v>
      </c>
      <c r="S2258" s="4" t="str">
        <f ca="1">_xlfn.IFNA(VLOOKUP(INDIRECT("G"&amp;ROW()),minfo!$A:$M,COLUMN()-8,0),"")</f>
        <v>花千骨 电视剧原声带</v>
      </c>
      <c r="T2258" s="4">
        <f ca="1">_xlfn.IFNA(VLOOKUP(INDIRECT("G"&amp;ROW()),minfo!$A:$M,COLUMN()-8,0),"")</f>
        <v>346099555</v>
      </c>
      <c r="U2258" s="4">
        <f ca="1">_xlfn.IFNA(VLOOKUP(INDIRECT("G"&amp;ROW()),minfo!$A:$M,COLUMN()-8,0),"")</f>
        <v>0</v>
      </c>
    </row>
    <row r="2259" spans="1:21" ht="15.75">
      <c r="A2259" s="15">
        <v>2258</v>
      </c>
      <c r="B2259" s="4" t="s">
        <v>6245</v>
      </c>
      <c r="D2259" s="4">
        <v>1</v>
      </c>
      <c r="E2259" s="4" t="s">
        <v>3495</v>
      </c>
      <c r="F2259" s="4" t="s">
        <v>6271</v>
      </c>
      <c r="G2259" s="4" t="s">
        <v>3494</v>
      </c>
      <c r="H2259" s="4" t="s">
        <v>6276</v>
      </c>
      <c r="I2259" s="24" t="str">
        <f>HYPERLINK("https://www.bilibili.com/video/BV19eW2ezEJm?p=1","BV19eW2ezEJm?p=1")</f>
        <v>BV19eW2ezEJm?p=1</v>
      </c>
      <c r="J2259" s="4" t="str">
        <f ca="1">_xlfn.IFNA(VLOOKUP(INDIRECT("G"&amp;ROW()),minfo!$A:$M,COLUMN()-8,0),"")</f>
        <v>泪桥</v>
      </c>
      <c r="K2259" s="4" t="str">
        <f ca="1">_xlfn.IFNA(VLOOKUP(INDIRECT("G"&amp;ROW()),minfo!$A:$M,COLUMN()-8,0),"")</f>
        <v>伍佰 &amp; China Blue</v>
      </c>
      <c r="L2259" s="4">
        <f ca="1">_xlfn.IFNA(VLOOKUP(INDIRECT("G"&amp;ROW()),minfo!$A:$M,COLUMN()-8,0),"")</f>
        <v>0</v>
      </c>
      <c r="M2259" s="4">
        <f ca="1">_xlfn.IFNA(VLOOKUP(INDIRECT("G"&amp;ROW()),minfo!$A:$M,COLUMN()-8,0),"")</f>
        <v>0</v>
      </c>
      <c r="N2259" s="4">
        <f ca="1">_xlfn.IFNA(VLOOKUP(INDIRECT("G"&amp;ROW()),minfo!$A:$M,COLUMN()-8,0),"")</f>
        <v>0</v>
      </c>
      <c r="O2259" s="4" t="str">
        <f ca="1">_xlfn.IFNA(VLOOKUP(INDIRECT("G"&amp;ROW()),minfo!$A:$M,COLUMN()-8,0),"")</f>
        <v>http://i0.hdslb.com/bfs/station_src/music_metadata/cae3bab33498ad8866f9aee5e4f3ea6f.jpg</v>
      </c>
      <c r="P2259" s="4" t="str">
        <f ca="1">_xlfn.IFNA(VLOOKUP(INDIRECT("G"&amp;ROW()),minfo!$A:$M,COLUMN()-8,0),"")</f>
        <v>http://i0.hdslb.com/bfs/station_src/music_metadata/36da461ecabf80ade5a756011eb03dcd</v>
      </c>
      <c r="Q2259" s="4">
        <f ca="1">_xlfn.IFNA(VLOOKUP(INDIRECT("G"&amp;ROW()),minfo!$A:$M,COLUMN()-8,0),"")</f>
        <v>444</v>
      </c>
      <c r="R2259" s="4">
        <f ca="1">_xlfn.IFNA(VLOOKUP(INDIRECT("G"&amp;ROW()),minfo!$A:$M,COLUMN()-8,0),"")</f>
        <v>0</v>
      </c>
      <c r="S2259" s="4" t="str">
        <f ca="1">_xlfn.IFNA(VLOOKUP(INDIRECT("G"&amp;ROW()),minfo!$A:$M,COLUMN()-8,0),"")</f>
        <v>忘情1015精选辑</v>
      </c>
      <c r="T2259" s="4">
        <f ca="1">_xlfn.IFNA(VLOOKUP(INDIRECT("G"&amp;ROW()),minfo!$A:$M,COLUMN()-8,0),"")</f>
        <v>93052303</v>
      </c>
      <c r="U2259" s="4">
        <f ca="1">_xlfn.IFNA(VLOOKUP(INDIRECT("G"&amp;ROW()),minfo!$A:$M,COLUMN()-8,0),"")</f>
        <v>0</v>
      </c>
    </row>
    <row r="2260" spans="1:21" ht="15.75">
      <c r="A2260" s="15">
        <v>2259</v>
      </c>
      <c r="B2260" s="4" t="s">
        <v>6277</v>
      </c>
      <c r="D2260" s="4">
        <v>1</v>
      </c>
      <c r="E2260" s="4" t="s">
        <v>319</v>
      </c>
      <c r="F2260" s="4" t="s">
        <v>6271</v>
      </c>
      <c r="G2260" s="4" t="s">
        <v>318</v>
      </c>
      <c r="H2260" s="4" t="s">
        <v>6278</v>
      </c>
      <c r="I2260" s="24" t="str">
        <f>HYPERLINK("https://www.bilibili.com/video/BV1bwW2eaEUK?p=1","BV1bwW2eaEUK?p=1")</f>
        <v>BV1bwW2eaEUK?p=1</v>
      </c>
      <c r="J2260" s="4" t="str">
        <f ca="1">_xlfn.IFNA(VLOOKUP(INDIRECT("G"&amp;ROW()),minfo!$A:$M,COLUMN()-8,0),"")</f>
        <v>晴天</v>
      </c>
      <c r="K2260" s="4" t="str">
        <f ca="1">_xlfn.IFNA(VLOOKUP(INDIRECT("G"&amp;ROW()),minfo!$A:$M,COLUMN()-8,0),"")</f>
        <v>周杰伦</v>
      </c>
      <c r="L2260" s="4">
        <f ca="1">_xlfn.IFNA(VLOOKUP(INDIRECT("G"&amp;ROW()),minfo!$A:$M,COLUMN()-8,0),"")</f>
        <v>0</v>
      </c>
      <c r="M2260" s="4">
        <f ca="1">_xlfn.IFNA(VLOOKUP(INDIRECT("G"&amp;ROW()),minfo!$A:$M,COLUMN()-8,0),"")</f>
        <v>5048</v>
      </c>
      <c r="N2260" s="4">
        <f ca="1">_xlfn.IFNA(VLOOKUP(INDIRECT("G"&amp;ROW()),minfo!$A:$M,COLUMN()-8,0),"")</f>
        <v>135</v>
      </c>
      <c r="O2260" s="4" t="str">
        <f ca="1">_xlfn.IFNA(VLOOKUP(INDIRECT("G"&amp;ROW()),minfo!$A:$M,COLUMN()-8,0),"")</f>
        <v>https://i0.hdslb.com/bfs/station_src/music_metadata/2efa8f0df2aff949dee33b3f46a56312.jpg</v>
      </c>
      <c r="P2260" s="4">
        <f ca="1">_xlfn.IFNA(VLOOKUP(INDIRECT("G"&amp;ROW()),minfo!$A:$M,COLUMN()-8,0),"")</f>
        <v>0</v>
      </c>
      <c r="Q2260" s="4">
        <f ca="1">_xlfn.IFNA(VLOOKUP(INDIRECT("G"&amp;ROW()),minfo!$A:$M,COLUMN()-8,0),"")</f>
        <v>15983</v>
      </c>
      <c r="R2260" s="4">
        <f ca="1">_xlfn.IFNA(VLOOKUP(INDIRECT("G"&amp;ROW()),minfo!$A:$M,COLUMN()-8,0),"")</f>
        <v>0</v>
      </c>
      <c r="S2260" s="4" t="str">
        <f ca="1">_xlfn.IFNA(VLOOKUP(INDIRECT("G"&amp;ROW()),minfo!$A:$M,COLUMN()-8,0),"")</f>
        <v>叶惠美</v>
      </c>
      <c r="T2260" s="4">
        <f ca="1">_xlfn.IFNA(VLOOKUP(INDIRECT("G"&amp;ROW()),minfo!$A:$M,COLUMN()-8,0),"")</f>
        <v>1497162616</v>
      </c>
      <c r="U2260" s="4" t="str">
        <f ca="1">_xlfn.IFNA(VLOOKUP(INDIRECT("G"&amp;ROW()),minfo!$A:$M,COLUMN()-8,0),"")</f>
        <v>音乐榜最高NO.8</v>
      </c>
    </row>
    <row r="2261" spans="1:21" ht="15.75">
      <c r="A2261" s="15">
        <v>2260</v>
      </c>
      <c r="B2261" s="4" t="s">
        <v>6279</v>
      </c>
      <c r="D2261" s="4">
        <v>1</v>
      </c>
      <c r="E2261" s="4" t="s">
        <v>492</v>
      </c>
      <c r="F2261" s="4" t="s">
        <v>6271</v>
      </c>
      <c r="G2261" s="4" t="s">
        <v>491</v>
      </c>
      <c r="H2261" s="4" t="s">
        <v>6280</v>
      </c>
      <c r="I2261" s="24" t="str">
        <f>HYPERLINK("https://www.bilibili.com/video/BV1gcW2eAEu4?p=1","BV1gcW2eAEu4?p=1")</f>
        <v>BV1gcW2eAEu4?p=1</v>
      </c>
      <c r="J2261" s="4" t="str">
        <f ca="1">_xlfn.IFNA(VLOOKUP(INDIRECT("G"&amp;ROW()),minfo!$A:$M,COLUMN()-8,0),"")</f>
        <v>像风一样</v>
      </c>
      <c r="K2261" s="4" t="str">
        <f ca="1">_xlfn.IFNA(VLOOKUP(INDIRECT("G"&amp;ROW()),minfo!$A:$M,COLUMN()-8,0),"")</f>
        <v>薛之谦</v>
      </c>
      <c r="L2261" s="4">
        <f ca="1">_xlfn.IFNA(VLOOKUP(INDIRECT("G"&amp;ROW()),minfo!$A:$M,COLUMN()-8,0),"")</f>
        <v>0</v>
      </c>
      <c r="M2261" s="4">
        <f ca="1">_xlfn.IFNA(VLOOKUP(INDIRECT("G"&amp;ROW()),minfo!$A:$M,COLUMN()-8,0),"")</f>
        <v>658</v>
      </c>
      <c r="N2261" s="4">
        <f ca="1">_xlfn.IFNA(VLOOKUP(INDIRECT("G"&amp;ROW()),minfo!$A:$M,COLUMN()-8,0),"")</f>
        <v>85</v>
      </c>
      <c r="O2261" s="4" t="str">
        <f ca="1">_xlfn.IFNA(VLOOKUP(INDIRECT("G"&amp;ROW()),minfo!$A:$M,COLUMN()-8,0),"")</f>
        <v>http://i0.hdslb.com/bfs/station_src/music_metadata/a3a8c61a923efdb7e46195d46e94c363.jpg</v>
      </c>
      <c r="P2261" s="4">
        <f ca="1">_xlfn.IFNA(VLOOKUP(INDIRECT("G"&amp;ROW()),minfo!$A:$M,COLUMN()-8,0),"")</f>
        <v>0</v>
      </c>
      <c r="Q2261" s="4">
        <f ca="1">_xlfn.IFNA(VLOOKUP(INDIRECT("G"&amp;ROW()),minfo!$A:$M,COLUMN()-8,0),"")</f>
        <v>125</v>
      </c>
      <c r="R2261" s="4" t="str">
        <f ca="1">_xlfn.IFNA(VLOOKUP(INDIRECT("G"&amp;ROW()),minfo!$A:$M,COLUMN()-8,0),"")</f>
        <v>像风一样</v>
      </c>
      <c r="S2261" s="4" t="str">
        <f ca="1">_xlfn.IFNA(VLOOKUP(INDIRECT("G"&amp;ROW()),minfo!$A:$M,COLUMN()-8,0),"")</f>
        <v>渡 The Crossing</v>
      </c>
      <c r="T2261" s="4">
        <f ca="1">_xlfn.IFNA(VLOOKUP(INDIRECT("G"&amp;ROW()),minfo!$A:$M,COLUMN()-8,0),"")</f>
        <v>87463982</v>
      </c>
      <c r="U2261" s="4">
        <f ca="1">_xlfn.IFNA(VLOOKUP(INDIRECT("G"&amp;ROW()),minfo!$A:$M,COLUMN()-8,0),"")</f>
        <v>0</v>
      </c>
    </row>
    <row r="2262" spans="1:21" ht="15.75">
      <c r="A2262" s="15">
        <v>2261</v>
      </c>
      <c r="B2262" s="4" t="s">
        <v>6078</v>
      </c>
      <c r="D2262" s="4">
        <v>1</v>
      </c>
      <c r="E2262" s="4" t="s">
        <v>879</v>
      </c>
      <c r="F2262" s="4" t="s">
        <v>6281</v>
      </c>
      <c r="G2262" s="4" t="s">
        <v>878</v>
      </c>
      <c r="H2262" s="4" t="s">
        <v>6282</v>
      </c>
      <c r="I2262" s="24" t="str">
        <f>HYPERLINK("https://www.bilibili.com/video/BV1bPW2ecEv8?p=1","BV1bPW2ecEv8?p=1")</f>
        <v>BV1bPW2ecEv8?p=1</v>
      </c>
      <c r="J2262" s="4" t="str">
        <f ca="1">_xlfn.IFNA(VLOOKUP(INDIRECT("G"&amp;ROW()),minfo!$A:$M,COLUMN()-8,0),"")</f>
        <v>发如雪</v>
      </c>
      <c r="K2262" s="4" t="str">
        <f ca="1">_xlfn.IFNA(VLOOKUP(INDIRECT("G"&amp;ROW()),minfo!$A:$M,COLUMN()-8,0),"")</f>
        <v>周杰伦</v>
      </c>
      <c r="L2262" s="4">
        <f ca="1">_xlfn.IFNA(VLOOKUP(INDIRECT("G"&amp;ROW()),minfo!$A:$M,COLUMN()-8,0),"")</f>
        <v>0</v>
      </c>
      <c r="M2262" s="4">
        <f ca="1">_xlfn.IFNA(VLOOKUP(INDIRECT("G"&amp;ROW()),minfo!$A:$M,COLUMN()-8,0),"")</f>
        <v>0</v>
      </c>
      <c r="N2262" s="4">
        <f ca="1">_xlfn.IFNA(VLOOKUP(INDIRECT("G"&amp;ROW()),minfo!$A:$M,COLUMN()-8,0),"")</f>
        <v>0</v>
      </c>
      <c r="O2262" s="4" t="str">
        <f ca="1">_xlfn.IFNA(VLOOKUP(INDIRECT("G"&amp;ROW()),minfo!$A:$M,COLUMN()-8,0),"")</f>
        <v>https://i0.hdslb.com/bfs/station_src/music_metadata/4f19787695e451c7ec6f082affe19c57.jpg</v>
      </c>
      <c r="P2262" s="4" t="str">
        <f ca="1">_xlfn.IFNA(VLOOKUP(INDIRECT("G"&amp;ROW()),minfo!$A:$M,COLUMN()-8,0),"")</f>
        <v>http://i0.hdslb.com/bfs/station_src/music_metadata/e48762ee9e6f3b4048f790c705f187cd</v>
      </c>
      <c r="Q2262" s="4">
        <f ca="1">_xlfn.IFNA(VLOOKUP(INDIRECT("G"&amp;ROW()),minfo!$A:$M,COLUMN()-8,0),"")</f>
        <v>5236</v>
      </c>
      <c r="R2262" s="4">
        <f ca="1">_xlfn.IFNA(VLOOKUP(INDIRECT("G"&amp;ROW()),minfo!$A:$M,COLUMN()-8,0),"")</f>
        <v>0</v>
      </c>
      <c r="S2262" s="4" t="str">
        <f ca="1">_xlfn.IFNA(VLOOKUP(INDIRECT("G"&amp;ROW()),minfo!$A:$M,COLUMN()-8,0),"")</f>
        <v>十一月的萧邦</v>
      </c>
      <c r="T2262" s="4">
        <f ca="1">_xlfn.IFNA(VLOOKUP(INDIRECT("G"&amp;ROW()),minfo!$A:$M,COLUMN()-8,0),"")</f>
        <v>561545897</v>
      </c>
      <c r="U2262" s="4">
        <f ca="1">_xlfn.IFNA(VLOOKUP(INDIRECT("G"&amp;ROW()),minfo!$A:$M,COLUMN()-8,0),"")</f>
        <v>0</v>
      </c>
    </row>
    <row r="2263" spans="1:21" ht="15.75">
      <c r="A2263" s="15">
        <v>2262</v>
      </c>
      <c r="B2263" s="4" t="s">
        <v>5742</v>
      </c>
      <c r="D2263" s="4">
        <v>1</v>
      </c>
      <c r="E2263" s="4" t="s">
        <v>95</v>
      </c>
      <c r="F2263" s="4" t="s">
        <v>6281</v>
      </c>
      <c r="G2263" s="4" t="s">
        <v>203</v>
      </c>
      <c r="H2263" s="4" t="s">
        <v>6283</v>
      </c>
      <c r="I2263" s="24" t="str">
        <f>HYPERLINK("https://www.bilibili.com/video/BV1MPW2ecEpD?p=1","BV1MPW2ecEpD?p=1")</f>
        <v>BV1MPW2ecEpD?p=1</v>
      </c>
      <c r="J2263" s="4" t="str">
        <f ca="1">_xlfn.IFNA(VLOOKUP(INDIRECT("G"&amp;ROW()),minfo!$A:$M,COLUMN()-8,0),"")</f>
        <v>不问天</v>
      </c>
      <c r="K2263" s="4" t="str">
        <f ca="1">_xlfn.IFNA(VLOOKUP(INDIRECT("G"&amp;ROW()),minfo!$A:$M,COLUMN()-8,0),"")</f>
        <v>说说Crystal</v>
      </c>
      <c r="L2263" s="4">
        <f ca="1">_xlfn.IFNA(VLOOKUP(INDIRECT("G"&amp;ROW()),minfo!$A:$M,COLUMN()-8,0),"")</f>
        <v>0</v>
      </c>
      <c r="M2263" s="4">
        <f ca="1">_xlfn.IFNA(VLOOKUP(INDIRECT("G"&amp;ROW()),minfo!$A:$M,COLUMN()-8,0),"")</f>
        <v>0</v>
      </c>
      <c r="N2263" s="4">
        <f ca="1">_xlfn.IFNA(VLOOKUP(INDIRECT("G"&amp;ROW()),minfo!$A:$M,COLUMN()-8,0),"")</f>
        <v>0</v>
      </c>
      <c r="O2263" s="4" t="str">
        <f ca="1">_xlfn.IFNA(VLOOKUP(INDIRECT("G"&amp;ROW()),minfo!$A:$M,COLUMN()-8,0),"")</f>
        <v>https://i0.hdslb.com/bfs/station_src/music_metadata/ce3a0da2a7e64a49fa42a6e3db521f57.jpg</v>
      </c>
      <c r="P2263" s="4" t="str">
        <f ca="1">_xlfn.IFNA(VLOOKUP(INDIRECT("G"&amp;ROW()),minfo!$A:$M,COLUMN()-8,0),"")</f>
        <v>https://i0.hdslb.com/bfs/station_src/music_metadata/02cd9198a33924449443fc704a92a25a.txt</v>
      </c>
      <c r="Q2263" s="4">
        <f ca="1">_xlfn.IFNA(VLOOKUP(INDIRECT("G"&amp;ROW()),minfo!$A:$M,COLUMN()-8,0),"")</f>
        <v>149</v>
      </c>
      <c r="R2263" s="4">
        <f ca="1">_xlfn.IFNA(VLOOKUP(INDIRECT("G"&amp;ROW()),minfo!$A:$M,COLUMN()-8,0),"")</f>
        <v>0</v>
      </c>
      <c r="S2263" s="4" t="str">
        <f ca="1">_xlfn.IFNA(VLOOKUP(INDIRECT("G"&amp;ROW()),minfo!$A:$M,COLUMN()-8,0),"")</f>
        <v>2021哔哩哔哩拜年纪</v>
      </c>
      <c r="T2263" s="4">
        <f ca="1">_xlfn.IFNA(VLOOKUP(INDIRECT("G"&amp;ROW()),minfo!$A:$M,COLUMN()-8,0),"")</f>
        <v>33137051</v>
      </c>
      <c r="U2263" s="4">
        <f ca="1">_xlfn.IFNA(VLOOKUP(INDIRECT("G"&amp;ROW()),minfo!$A:$M,COLUMN()-8,0),"")</f>
        <v>0</v>
      </c>
    </row>
    <row r="2264" spans="1:21" ht="15.75">
      <c r="A2264" s="15">
        <v>2263</v>
      </c>
      <c r="B2264" s="4" t="s">
        <v>5766</v>
      </c>
      <c r="D2264" s="4">
        <v>1</v>
      </c>
      <c r="E2264" s="4" t="s">
        <v>1330</v>
      </c>
      <c r="F2264" s="4" t="s">
        <v>6284</v>
      </c>
      <c r="G2264" s="4" t="s">
        <v>1329</v>
      </c>
      <c r="H2264" s="4" t="s">
        <v>6285</v>
      </c>
      <c r="I2264" s="24" t="str">
        <f>HYPERLINK("https://www.bilibili.com/video/BV1tfs4eyEzU?p=1","BV1tfs4eyEzU?p=1")</f>
        <v>BV1tfs4eyEzU?p=1</v>
      </c>
      <c r="J2264" s="4" t="str">
        <f ca="1">_xlfn.IFNA(VLOOKUP(INDIRECT("G"&amp;ROW()),minfo!$A:$M,COLUMN()-8,0),"")</f>
        <v>Melody</v>
      </c>
      <c r="K2264" s="4" t="str">
        <f ca="1">_xlfn.IFNA(VLOOKUP(INDIRECT("G"&amp;ROW()),minfo!$A:$M,COLUMN()-8,0),"")</f>
        <v>陶喆</v>
      </c>
      <c r="L2264" s="4">
        <f ca="1">_xlfn.IFNA(VLOOKUP(INDIRECT("G"&amp;ROW()),minfo!$A:$M,COLUMN()-8,0),"")</f>
        <v>0</v>
      </c>
      <c r="M2264" s="4">
        <f ca="1">_xlfn.IFNA(VLOOKUP(INDIRECT("G"&amp;ROW()),minfo!$A:$M,COLUMN()-8,0),"")</f>
        <v>0</v>
      </c>
      <c r="N2264" s="4">
        <f ca="1">_xlfn.IFNA(VLOOKUP(INDIRECT("G"&amp;ROW()),minfo!$A:$M,COLUMN()-8,0),"")</f>
        <v>0</v>
      </c>
      <c r="O2264" s="4" t="str">
        <f ca="1">_xlfn.IFNA(VLOOKUP(INDIRECT("G"&amp;ROW()),minfo!$A:$M,COLUMN()-8,0),"")</f>
        <v>https://i0.hdslb.com/bfs/station_src/music_metadata/4f85133845e2c8b25026a678708a9376.jpg</v>
      </c>
      <c r="P2264" s="4" t="str">
        <f ca="1">_xlfn.IFNA(VLOOKUP(INDIRECT("G"&amp;ROW()),minfo!$A:$M,COLUMN()-8,0),"")</f>
        <v>http://i0.hdslb.com/bfs/station_src/music_metadata/d18325416bca019d84b21a8b3f7bb651</v>
      </c>
      <c r="Q2264" s="4">
        <f ca="1">_xlfn.IFNA(VLOOKUP(INDIRECT("G"&amp;ROW()),minfo!$A:$M,COLUMN()-8,0),"")</f>
        <v>1120</v>
      </c>
      <c r="R2264" s="4">
        <f ca="1">_xlfn.IFNA(VLOOKUP(INDIRECT("G"&amp;ROW()),minfo!$A:$M,COLUMN()-8,0),"")</f>
        <v>0</v>
      </c>
      <c r="S2264" s="4" t="str">
        <f ca="1">_xlfn.IFNA(VLOOKUP(INDIRECT("G"&amp;ROW()),minfo!$A:$M,COLUMN()-8,0),"")</f>
        <v>黑色柳丁</v>
      </c>
      <c r="T2264" s="4">
        <f ca="1">_xlfn.IFNA(VLOOKUP(INDIRECT("G"&amp;ROW()),minfo!$A:$M,COLUMN()-8,0),"")</f>
        <v>113992875</v>
      </c>
      <c r="U2264" s="4">
        <f ca="1">_xlfn.IFNA(VLOOKUP(INDIRECT("G"&amp;ROW()),minfo!$A:$M,COLUMN()-8,0),"")</f>
        <v>0</v>
      </c>
    </row>
    <row r="2265" spans="1:21" ht="15.75">
      <c r="A2265" s="15">
        <v>2264</v>
      </c>
      <c r="B2265" s="4" t="s">
        <v>6286</v>
      </c>
      <c r="D2265" s="4">
        <v>1</v>
      </c>
      <c r="E2265" s="4" t="s">
        <v>75</v>
      </c>
      <c r="F2265" s="4" t="s">
        <v>6284</v>
      </c>
      <c r="G2265" s="4" t="s">
        <v>1056</v>
      </c>
      <c r="H2265" s="4" t="s">
        <v>6287</v>
      </c>
      <c r="I2265" s="24" t="str">
        <f>HYPERLINK("https://www.bilibili.com/video/BV1tfs4e1EV6?p=1","BV1tfs4e1EV6?p=1")</f>
        <v>BV1tfs4e1EV6?p=1</v>
      </c>
      <c r="J2265" s="4" t="str">
        <f ca="1">_xlfn.IFNA(VLOOKUP(INDIRECT("G"&amp;ROW()),minfo!$A:$M,COLUMN()-8,0),"")</f>
        <v>布虎记</v>
      </c>
      <c r="K2265" s="4" t="str">
        <f ca="1">_xlfn.IFNA(VLOOKUP(INDIRECT("G"&amp;ROW()),minfo!$A:$M,COLUMN()-8,0),"")</f>
        <v>洛天依,西门振</v>
      </c>
      <c r="L2265" s="4">
        <f ca="1">_xlfn.IFNA(VLOOKUP(INDIRECT("G"&amp;ROW()),minfo!$A:$M,COLUMN()-8,0),"")</f>
        <v>0</v>
      </c>
      <c r="M2265" s="4">
        <f ca="1">_xlfn.IFNA(VLOOKUP(INDIRECT("G"&amp;ROW()),minfo!$A:$M,COLUMN()-8,0),"")</f>
        <v>0</v>
      </c>
      <c r="N2265" s="4">
        <f ca="1">_xlfn.IFNA(VLOOKUP(INDIRECT("G"&amp;ROW()),minfo!$A:$M,COLUMN()-8,0),"")</f>
        <v>0</v>
      </c>
      <c r="O2265" s="4" t="str">
        <f ca="1">_xlfn.IFNA(VLOOKUP(INDIRECT("G"&amp;ROW()),minfo!$A:$M,COLUMN()-8,0),"")</f>
        <v>https://i0.hdslb.com/bfs/station_src/music_metadata/346f3d0245c598c7be9afcb1e6a727b4.jpg</v>
      </c>
      <c r="P2265" s="4">
        <f ca="1">_xlfn.IFNA(VLOOKUP(INDIRECT("G"&amp;ROW()),minfo!$A:$M,COLUMN()-8,0),"")</f>
        <v>0</v>
      </c>
      <c r="Q2265" s="4">
        <f ca="1">_xlfn.IFNA(VLOOKUP(INDIRECT("G"&amp;ROW()),minfo!$A:$M,COLUMN()-8,0),"")</f>
        <v>0</v>
      </c>
      <c r="R2265" s="4">
        <f ca="1">_xlfn.IFNA(VLOOKUP(INDIRECT("G"&amp;ROW()),minfo!$A:$M,COLUMN()-8,0),"")</f>
        <v>0</v>
      </c>
      <c r="S2265" s="4" t="str">
        <f ca="1">_xlfn.IFNA(VLOOKUP(INDIRECT("G"&amp;ROW()),minfo!$A:$M,COLUMN()-8,0),"")</f>
        <v>【2022虚拟歌手贺岁纪】布虎记</v>
      </c>
      <c r="T2265" s="4">
        <f ca="1">_xlfn.IFNA(VLOOKUP(INDIRECT("G"&amp;ROW()),minfo!$A:$M,COLUMN()-8,0),"")</f>
        <v>1512793</v>
      </c>
      <c r="U2265" s="4">
        <f ca="1">_xlfn.IFNA(VLOOKUP(INDIRECT("G"&amp;ROW()),minfo!$A:$M,COLUMN()-8,0),"")</f>
        <v>0</v>
      </c>
    </row>
    <row r="2266" spans="1:21" ht="15.75">
      <c r="A2266" s="15">
        <v>2265</v>
      </c>
      <c r="B2266" s="4" t="s">
        <v>5839</v>
      </c>
      <c r="D2266" s="4">
        <v>1</v>
      </c>
      <c r="E2266" s="4" t="s">
        <v>81</v>
      </c>
      <c r="F2266" s="4" t="s">
        <v>6284</v>
      </c>
      <c r="G2266" s="4" t="s">
        <v>1690</v>
      </c>
      <c r="H2266" s="4" t="s">
        <v>6288</v>
      </c>
      <c r="I2266" s="24" t="str">
        <f>HYPERLINK("https://www.bilibili.com/video/BV1KPsteGENS?p=1","BV1KPsteGENS?p=1")</f>
        <v>BV1KPsteGENS?p=1</v>
      </c>
      <c r="J2266" s="4" t="str">
        <f ca="1">_xlfn.IFNA(VLOOKUP(INDIRECT("G"&amp;ROW()),minfo!$A:$M,COLUMN()-8,0),"")</f>
        <v>从前的月光</v>
      </c>
      <c r="K2266" s="4" t="str">
        <f ca="1">_xlfn.IFNA(VLOOKUP(INDIRECT("G"&amp;ROW()),minfo!$A:$M,COLUMN()-8,0),"")</f>
        <v>说说Crystal</v>
      </c>
      <c r="L2266" s="4">
        <f ca="1">_xlfn.IFNA(VLOOKUP(INDIRECT("G"&amp;ROW()),minfo!$A:$M,COLUMN()-8,0),"")</f>
        <v>0</v>
      </c>
      <c r="M2266" s="4">
        <f ca="1">_xlfn.IFNA(VLOOKUP(INDIRECT("G"&amp;ROW()),minfo!$A:$M,COLUMN()-8,0),"")</f>
        <v>0</v>
      </c>
      <c r="N2266" s="4">
        <f ca="1">_xlfn.IFNA(VLOOKUP(INDIRECT("G"&amp;ROW()),minfo!$A:$M,COLUMN()-8,0),"")</f>
        <v>0</v>
      </c>
      <c r="O2266" s="4" t="str">
        <f ca="1">_xlfn.IFNA(VLOOKUP(INDIRECT("G"&amp;ROW()),minfo!$A:$M,COLUMN()-8,0),"")</f>
        <v>https://i0.hdslb.com/bfs/station_src/music_metadata/d3381c4f9efa75a9a131a7c91b7a4a4a.jpg</v>
      </c>
      <c r="P2266" s="4">
        <f ca="1">_xlfn.IFNA(VLOOKUP(INDIRECT("G"&amp;ROW()),minfo!$A:$M,COLUMN()-8,0),"")</f>
        <v>0</v>
      </c>
      <c r="Q2266" s="4">
        <f ca="1">_xlfn.IFNA(VLOOKUP(INDIRECT("G"&amp;ROW()),minfo!$A:$M,COLUMN()-8,0),"")</f>
        <v>0</v>
      </c>
      <c r="R2266" s="4">
        <f ca="1">_xlfn.IFNA(VLOOKUP(INDIRECT("G"&amp;ROW()),minfo!$A:$M,COLUMN()-8,0),"")</f>
        <v>0</v>
      </c>
      <c r="S2266" s="4" t="str">
        <f ca="1">_xlfn.IFNA(VLOOKUP(INDIRECT("G"&amp;ROW()),minfo!$A:$M,COLUMN()-8,0),"")</f>
        <v>从前的月光</v>
      </c>
      <c r="T2266" s="4">
        <f ca="1">_xlfn.IFNA(VLOOKUP(INDIRECT("G"&amp;ROW()),minfo!$A:$M,COLUMN()-8,0),"")</f>
        <v>152535</v>
      </c>
      <c r="U2266" s="4">
        <f ca="1">_xlfn.IFNA(VLOOKUP(INDIRECT("G"&amp;ROW()),minfo!$A:$M,COLUMN()-8,0),"")</f>
        <v>0</v>
      </c>
    </row>
    <row r="2267" spans="1:21" ht="15.75">
      <c r="A2267" s="15">
        <v>2266</v>
      </c>
      <c r="B2267" s="4" t="s">
        <v>6289</v>
      </c>
      <c r="D2267" s="4">
        <v>1</v>
      </c>
      <c r="E2267" s="4" t="s">
        <v>2152</v>
      </c>
      <c r="F2267" s="4" t="s">
        <v>6284</v>
      </c>
      <c r="G2267" s="4" t="s">
        <v>2151</v>
      </c>
      <c r="H2267" s="4" t="s">
        <v>6290</v>
      </c>
      <c r="I2267" s="24" t="str">
        <f>HYPERLINK("https://www.bilibili.com/video/BV12Pste3EKz?p=1","BV12Pste3EKz?p=1")</f>
        <v>BV12Pste3EKz?p=1</v>
      </c>
      <c r="J2267" s="4" t="str">
        <f ca="1">_xlfn.IFNA(VLOOKUP(INDIRECT("G"&amp;ROW()),minfo!$A:$M,COLUMN()-8,0),"")</f>
        <v>High歌</v>
      </c>
      <c r="K2267" s="4" t="str">
        <f ca="1">_xlfn.IFNA(VLOOKUP(INDIRECT("G"&amp;ROW()),minfo!$A:$M,COLUMN()-8,0),"")</f>
        <v>黄龄</v>
      </c>
      <c r="L2267" s="4">
        <f ca="1">_xlfn.IFNA(VLOOKUP(INDIRECT("G"&amp;ROW()),minfo!$A:$M,COLUMN()-8,0),"")</f>
        <v>0</v>
      </c>
      <c r="M2267" s="4">
        <f ca="1">_xlfn.IFNA(VLOOKUP(INDIRECT("G"&amp;ROW()),minfo!$A:$M,COLUMN()-8,0),"")</f>
        <v>0</v>
      </c>
      <c r="N2267" s="4">
        <f ca="1">_xlfn.IFNA(VLOOKUP(INDIRECT("G"&amp;ROW()),minfo!$A:$M,COLUMN()-8,0),"")</f>
        <v>0</v>
      </c>
      <c r="O2267" s="4" t="str">
        <f ca="1">_xlfn.IFNA(VLOOKUP(INDIRECT("G"&amp;ROW()),minfo!$A:$M,COLUMN()-8,0),"")</f>
        <v>https://i0.hdslb.com/bfs/station_src/music_metadata/f1b14ef08dfbba55c16f4d2b53cbda3c.jpg</v>
      </c>
      <c r="P2267" s="4">
        <f ca="1">_xlfn.IFNA(VLOOKUP(INDIRECT("G"&amp;ROW()),minfo!$A:$M,COLUMN()-8,0),"")</f>
        <v>0</v>
      </c>
      <c r="Q2267" s="4">
        <f ca="1">_xlfn.IFNA(VLOOKUP(INDIRECT("G"&amp;ROW()),minfo!$A:$M,COLUMN()-8,0),"")</f>
        <v>48</v>
      </c>
      <c r="R2267" s="4">
        <f ca="1">_xlfn.IFNA(VLOOKUP(INDIRECT("G"&amp;ROW()),minfo!$A:$M,COLUMN()-8,0),"")</f>
        <v>0</v>
      </c>
      <c r="S2267" s="4" t="str">
        <f ca="1">_xlfn.IFNA(VLOOKUP(INDIRECT("G"&amp;ROW()),minfo!$A:$M,COLUMN()-8,0),"")</f>
        <v>痒</v>
      </c>
      <c r="T2267" s="4">
        <f ca="1">_xlfn.IFNA(VLOOKUP(INDIRECT("G"&amp;ROW()),minfo!$A:$M,COLUMN()-8,0),"")</f>
        <v>35231169</v>
      </c>
      <c r="U2267" s="4">
        <f ca="1">_xlfn.IFNA(VLOOKUP(INDIRECT("G"&amp;ROW()),minfo!$A:$M,COLUMN()-8,0),"")</f>
        <v>0</v>
      </c>
    </row>
    <row r="2268" spans="1:21" ht="15.75">
      <c r="A2268" s="15">
        <v>2267</v>
      </c>
      <c r="B2268" s="4" t="s">
        <v>6291</v>
      </c>
      <c r="D2268" s="4">
        <v>1</v>
      </c>
      <c r="E2268" s="4" t="s">
        <v>2767</v>
      </c>
      <c r="F2268" s="4" t="s">
        <v>6284</v>
      </c>
      <c r="G2268" s="4" t="s">
        <v>2766</v>
      </c>
      <c r="H2268" s="4" t="s">
        <v>6292</v>
      </c>
      <c r="I2268" s="24" t="str">
        <f>HYPERLINK("https://www.bilibili.com/video/BV1KwsteCEDr?p=1","BV1KwsteCEDr?p=1")</f>
        <v>BV1KwsteCEDr?p=1</v>
      </c>
      <c r="J2268" s="4" t="str">
        <f ca="1">_xlfn.IFNA(VLOOKUP(INDIRECT("G"&amp;ROW()),minfo!$A:$M,COLUMN()-8,0),"")</f>
        <v>慢慢喜欢你</v>
      </c>
      <c r="K2268" s="4" t="str">
        <f ca="1">_xlfn.IFNA(VLOOKUP(INDIRECT("G"&amp;ROW()),minfo!$A:$M,COLUMN()-8,0),"")</f>
        <v>莫文蔚</v>
      </c>
      <c r="L2268" s="4">
        <f ca="1">_xlfn.IFNA(VLOOKUP(INDIRECT("G"&amp;ROW()),minfo!$A:$M,COLUMN()-8,0),"")</f>
        <v>0</v>
      </c>
      <c r="M2268" s="4">
        <f ca="1">_xlfn.IFNA(VLOOKUP(INDIRECT("G"&amp;ROW()),minfo!$A:$M,COLUMN()-8,0),"")</f>
        <v>0</v>
      </c>
      <c r="N2268" s="4">
        <f ca="1">_xlfn.IFNA(VLOOKUP(INDIRECT("G"&amp;ROW()),minfo!$A:$M,COLUMN()-8,0),"")</f>
        <v>0</v>
      </c>
      <c r="O2268" s="4" t="str">
        <f ca="1">_xlfn.IFNA(VLOOKUP(INDIRECT("G"&amp;ROW()),minfo!$A:$M,COLUMN()-8,0),"")</f>
        <v>https://i0.hdslb.com/bfs/station_src/music_metadata/e3900bdbf7412a528714d43012a53567.jpg</v>
      </c>
      <c r="P2268" s="4" t="str">
        <f ca="1">_xlfn.IFNA(VLOOKUP(INDIRECT("G"&amp;ROW()),minfo!$A:$M,COLUMN()-8,0),"")</f>
        <v>http://i0.hdslb.com/bfs/station_src/music_metadata/3333265af451e66a565c52c52aa85a91</v>
      </c>
      <c r="Q2268" s="4">
        <f ca="1">_xlfn.IFNA(VLOOKUP(INDIRECT("G"&amp;ROW()),minfo!$A:$M,COLUMN()-8,0),"")</f>
        <v>386</v>
      </c>
      <c r="R2268" s="4">
        <f ca="1">_xlfn.IFNA(VLOOKUP(INDIRECT("G"&amp;ROW()),minfo!$A:$M,COLUMN()-8,0),"")</f>
        <v>0</v>
      </c>
      <c r="S2268" s="4" t="str">
        <f ca="1">_xlfn.IFNA(VLOOKUP(INDIRECT("G"&amp;ROW()),minfo!$A:$M,COLUMN()-8,0),"")</f>
        <v>我们在中场相遇</v>
      </c>
      <c r="T2268" s="4">
        <f ca="1">_xlfn.IFNA(VLOOKUP(INDIRECT("G"&amp;ROW()),minfo!$A:$M,COLUMN()-8,0),"")</f>
        <v>235303544</v>
      </c>
      <c r="U2268" s="4">
        <f ca="1">_xlfn.IFNA(VLOOKUP(INDIRECT("G"&amp;ROW()),minfo!$A:$M,COLUMN()-8,0),"")</f>
        <v>0</v>
      </c>
    </row>
    <row r="2269" spans="1:21" ht="15.75">
      <c r="A2269" s="15">
        <v>2268</v>
      </c>
      <c r="B2269" s="4" t="s">
        <v>6179</v>
      </c>
      <c r="D2269" s="4">
        <v>1</v>
      </c>
      <c r="E2269" s="4" t="s">
        <v>6180</v>
      </c>
      <c r="F2269" s="4" t="s">
        <v>6293</v>
      </c>
      <c r="G2269" s="4" t="s">
        <v>966</v>
      </c>
      <c r="H2269" s="4" t="s">
        <v>6294</v>
      </c>
      <c r="I2269" s="24" t="str">
        <f>HYPERLINK("https://www.bilibili.com/video/BV1Y2HKeHEM6?p=1","BV1Y2HKeHEM6?p=1")</f>
        <v>BV1Y2HKeHEM6?p=1</v>
      </c>
      <c r="J2269" s="4" t="str">
        <f ca="1">_xlfn.IFNA(VLOOKUP(INDIRECT("G"&amp;ROW()),minfo!$A:$M,COLUMN()-8,0),"")</f>
        <v>小雨</v>
      </c>
      <c r="K2269" s="4" t="str">
        <f ca="1">_xlfn.IFNA(VLOOKUP(INDIRECT("G"&amp;ROW()),minfo!$A:$M,COLUMN()-8,0),"")</f>
        <v>黄龄</v>
      </c>
      <c r="L2269" s="4">
        <f ca="1">_xlfn.IFNA(VLOOKUP(INDIRECT("G"&amp;ROW()),minfo!$A:$M,COLUMN()-8,0),"")</f>
        <v>0</v>
      </c>
      <c r="M2269" s="4">
        <f ca="1">_xlfn.IFNA(VLOOKUP(INDIRECT("G"&amp;ROW()),minfo!$A:$M,COLUMN()-8,0),"")</f>
        <v>0</v>
      </c>
      <c r="N2269" s="4">
        <f ca="1">_xlfn.IFNA(VLOOKUP(INDIRECT("G"&amp;ROW()),minfo!$A:$M,COLUMN()-8,0),"")</f>
        <v>0</v>
      </c>
      <c r="O2269" s="4" t="str">
        <f ca="1">_xlfn.IFNA(VLOOKUP(INDIRECT("G"&amp;ROW()),minfo!$A:$M,COLUMN()-8,0),"")</f>
        <v>https://i0.hdslb.com/bfs/station_src/music_metadata/607346922702f1ba7302d87db0ecdbf1.jpg</v>
      </c>
      <c r="P2269" s="4" t="str">
        <f ca="1">_xlfn.IFNA(VLOOKUP(INDIRECT("G"&amp;ROW()),minfo!$A:$M,COLUMN()-8,0),"")</f>
        <v>https://i0.hdslb.com/bfs/station_src/music_metadata/245fdd0b68a8f71caa554e8f05ea1b6c.txt</v>
      </c>
      <c r="Q2269" s="4">
        <f ca="1">_xlfn.IFNA(VLOOKUP(INDIRECT("G"&amp;ROW()),minfo!$A:$M,COLUMN()-8,0),"")</f>
        <v>2250</v>
      </c>
      <c r="R2269" s="4">
        <f ca="1">_xlfn.IFNA(VLOOKUP(INDIRECT("G"&amp;ROW()),minfo!$A:$M,COLUMN()-8,0),"")</f>
        <v>0</v>
      </c>
      <c r="S2269" s="4" t="str">
        <f ca="1">_xlfn.IFNA(VLOOKUP(INDIRECT("G"&amp;ROW()),minfo!$A:$M,COLUMN()-8,0),"")</f>
        <v>小雨</v>
      </c>
      <c r="T2269" s="4">
        <f ca="1">_xlfn.IFNA(VLOOKUP(INDIRECT("G"&amp;ROW()),minfo!$A:$M,COLUMN()-8,0),"")</f>
        <v>63947645</v>
      </c>
      <c r="U2269" s="4">
        <f ca="1">_xlfn.IFNA(VLOOKUP(INDIRECT("G"&amp;ROW()),minfo!$A:$M,COLUMN()-8,0),"")</f>
        <v>0</v>
      </c>
    </row>
    <row r="2270" spans="1:21" ht="15.75">
      <c r="A2270" s="15">
        <v>2269</v>
      </c>
      <c r="B2270" s="4" t="s">
        <v>6295</v>
      </c>
      <c r="D2270" s="4">
        <v>1</v>
      </c>
      <c r="E2270" s="4" t="s">
        <v>2121</v>
      </c>
      <c r="F2270" s="4" t="s">
        <v>6293</v>
      </c>
      <c r="G2270" s="4" t="s">
        <v>2120</v>
      </c>
      <c r="H2270" s="4" t="s">
        <v>6296</v>
      </c>
      <c r="I2270" s="24" t="str">
        <f>HYPERLINK("https://www.bilibili.com/video/BV1NAHTerEey?p=1","BV1NAHTerEey?p=1")</f>
        <v>BV1NAHTerEey?p=1</v>
      </c>
      <c r="J2270" s="4" t="str">
        <f ca="1">_xlfn.IFNA(VLOOKUP(INDIRECT("G"&amp;ROW()),minfo!$A:$M,COLUMN()-8,0),"")</f>
        <v>崇拜</v>
      </c>
      <c r="K2270" s="4" t="str">
        <f ca="1">_xlfn.IFNA(VLOOKUP(INDIRECT("G"&amp;ROW()),minfo!$A:$M,COLUMN()-8,0),"")</f>
        <v>梁静茹</v>
      </c>
      <c r="L2270" s="4">
        <f ca="1">_xlfn.IFNA(VLOOKUP(INDIRECT("G"&amp;ROW()),minfo!$A:$M,COLUMN()-8,0),"")</f>
        <v>0</v>
      </c>
      <c r="M2270" s="4">
        <f ca="1">_xlfn.IFNA(VLOOKUP(INDIRECT("G"&amp;ROW()),minfo!$A:$M,COLUMN()-8,0),"")</f>
        <v>0</v>
      </c>
      <c r="N2270" s="4">
        <f ca="1">_xlfn.IFNA(VLOOKUP(INDIRECT("G"&amp;ROW()),minfo!$A:$M,COLUMN()-8,0),"")</f>
        <v>0</v>
      </c>
      <c r="O2270" s="4" t="str">
        <f ca="1">_xlfn.IFNA(VLOOKUP(INDIRECT("G"&amp;ROW()),minfo!$A:$M,COLUMN()-8,0),"")</f>
        <v>https://i0.hdslb.com/bfs/station_src/music_metadata/558a5fdd70d879b81eccaad500c9660d.jpg</v>
      </c>
      <c r="P2270" s="4" t="str">
        <f ca="1">_xlfn.IFNA(VLOOKUP(INDIRECT("G"&amp;ROW()),minfo!$A:$M,COLUMN()-8,0),"")</f>
        <v>http://i0.hdslb.com/bfs/station_src/music_metadata/fdd664bdb7547dbd99deb2d6cc8326ee</v>
      </c>
      <c r="Q2270" s="4">
        <f ca="1">_xlfn.IFNA(VLOOKUP(INDIRECT("G"&amp;ROW()),minfo!$A:$M,COLUMN()-8,0),"")</f>
        <v>131</v>
      </c>
      <c r="R2270" s="4" t="str">
        <f ca="1">_xlfn.IFNA(VLOOKUP(INDIRECT("G"&amp;ROW()),minfo!$A:$M,COLUMN()-8,0),"")</f>
        <v>《黄真伊》电视剧台版片尾曲</v>
      </c>
      <c r="S2270" s="4" t="str">
        <f ca="1">_xlfn.IFNA(VLOOKUP(INDIRECT("G"&amp;ROW()),minfo!$A:$M,COLUMN()-8,0),"")</f>
        <v>崇拜</v>
      </c>
      <c r="T2270" s="4">
        <f ca="1">_xlfn.IFNA(VLOOKUP(INDIRECT("G"&amp;ROW()),minfo!$A:$M,COLUMN()-8,0),"")</f>
        <v>56720759</v>
      </c>
      <c r="U2270" s="4">
        <f ca="1">_xlfn.IFNA(VLOOKUP(INDIRECT("G"&amp;ROW()),minfo!$A:$M,COLUMN()-8,0),"")</f>
        <v>0</v>
      </c>
    </row>
    <row r="2271" spans="1:21" ht="15.75">
      <c r="A2271" s="15">
        <v>2270</v>
      </c>
      <c r="B2271" s="4" t="s">
        <v>6297</v>
      </c>
      <c r="D2271" s="4">
        <v>1</v>
      </c>
      <c r="E2271" s="4" t="s">
        <v>3506</v>
      </c>
      <c r="F2271" s="4" t="s">
        <v>6293</v>
      </c>
      <c r="G2271" s="4" t="s">
        <v>3505</v>
      </c>
      <c r="H2271" s="4" t="s">
        <v>6298</v>
      </c>
      <c r="I2271" s="24" t="str">
        <f>HYPERLINK("https://www.bilibili.com/video/BV1NwHTeGEiR?p=1","BV1NwHTeGEiR?p=1")</f>
        <v>BV1NwHTeGEiR?p=1</v>
      </c>
      <c r="J2271" s="4" t="str">
        <f ca="1">_xlfn.IFNA(VLOOKUP(INDIRECT("G"&amp;ROW()),minfo!$A:$M,COLUMN()-8,0),"")</f>
        <v>偶阵雨</v>
      </c>
      <c r="K2271" s="4" t="str">
        <f ca="1">_xlfn.IFNA(VLOOKUP(INDIRECT("G"&amp;ROW()),minfo!$A:$M,COLUMN()-8,0),"")</f>
        <v>梁静茹</v>
      </c>
      <c r="L2271" s="4">
        <f ca="1">_xlfn.IFNA(VLOOKUP(INDIRECT("G"&amp;ROW()),minfo!$A:$M,COLUMN()-8,0),"")</f>
        <v>0</v>
      </c>
      <c r="M2271" s="4">
        <f ca="1">_xlfn.IFNA(VLOOKUP(INDIRECT("G"&amp;ROW()),minfo!$A:$M,COLUMN()-8,0),"")</f>
        <v>0</v>
      </c>
      <c r="N2271" s="4">
        <f ca="1">_xlfn.IFNA(VLOOKUP(INDIRECT("G"&amp;ROW()),minfo!$A:$M,COLUMN()-8,0),"")</f>
        <v>0</v>
      </c>
      <c r="O2271" s="4" t="str">
        <f ca="1">_xlfn.IFNA(VLOOKUP(INDIRECT("G"&amp;ROW()),minfo!$A:$M,COLUMN()-8,0),"")</f>
        <v>https://i0.hdslb.com/bfs/station_src/music_metadata/b5cdad1ff4f796e92425b57d4e7ccf95.jpg</v>
      </c>
      <c r="P2271" s="4" t="str">
        <f ca="1">_xlfn.IFNA(VLOOKUP(INDIRECT("G"&amp;ROW()),minfo!$A:$M,COLUMN()-8,0),"")</f>
        <v>http://i0.hdslb.com/bfs/station_src/music_metadata/0c89513c572bbf7c805569cb9f3a47a4</v>
      </c>
      <c r="Q2271" s="4">
        <f ca="1">_xlfn.IFNA(VLOOKUP(INDIRECT("G"&amp;ROW()),minfo!$A:$M,COLUMN()-8,0),"")</f>
        <v>9</v>
      </c>
      <c r="R2271" s="4" t="str">
        <f ca="1">_xlfn.IFNA(VLOOKUP(INDIRECT("G"&amp;ROW()),minfo!$A:$M,COLUMN()-8,0),"")</f>
        <v>《爱从心说 温润心田》微电影插曲</v>
      </c>
      <c r="S2271" s="4" t="str">
        <f ca="1">_xlfn.IFNA(VLOOKUP(INDIRECT("G"&amp;ROW()),minfo!$A:$M,COLUMN()-8,0),"")</f>
        <v>爱久见人心</v>
      </c>
      <c r="T2271" s="4">
        <f ca="1">_xlfn.IFNA(VLOOKUP(INDIRECT("G"&amp;ROW()),minfo!$A:$M,COLUMN()-8,0),"")</f>
        <v>7110077</v>
      </c>
      <c r="U2271" s="4">
        <f ca="1">_xlfn.IFNA(VLOOKUP(INDIRECT("G"&amp;ROW()),minfo!$A:$M,COLUMN()-8,0),"")</f>
        <v>0</v>
      </c>
    </row>
    <row r="2272" spans="1:21" ht="15.75">
      <c r="A2272" s="15">
        <v>2271</v>
      </c>
      <c r="B2272" s="4" t="s">
        <v>5827</v>
      </c>
      <c r="D2272" s="4">
        <v>1</v>
      </c>
      <c r="E2272" s="4" t="s">
        <v>1048</v>
      </c>
      <c r="F2272" s="4" t="s">
        <v>6293</v>
      </c>
      <c r="G2272" s="4" t="s">
        <v>1047</v>
      </c>
      <c r="H2272" s="4" t="s">
        <v>6299</v>
      </c>
      <c r="I2272" s="24" t="str">
        <f>HYPERLINK("https://www.bilibili.com/video/BV1xwHTeGEk1?p=1","BV1xwHTeGEk1?p=1")</f>
        <v>BV1xwHTeGEk1?p=1</v>
      </c>
      <c r="J2272" s="4" t="str">
        <f ca="1">_xlfn.IFNA(VLOOKUP(INDIRECT("G"&amp;ROW()),minfo!$A:$M,COLUMN()-8,0),"")</f>
        <v>雨下一整晚</v>
      </c>
      <c r="K2272" s="4" t="str">
        <f ca="1">_xlfn.IFNA(VLOOKUP(INDIRECT("G"&amp;ROW()),minfo!$A:$M,COLUMN()-8,0),"")</f>
        <v>周杰伦</v>
      </c>
      <c r="L2272" s="4">
        <f ca="1">_xlfn.IFNA(VLOOKUP(INDIRECT("G"&amp;ROW()),minfo!$A:$M,COLUMN()-8,0),"")</f>
        <v>0</v>
      </c>
      <c r="M2272" s="4">
        <f ca="1">_xlfn.IFNA(VLOOKUP(INDIRECT("G"&amp;ROW()),minfo!$A:$M,COLUMN()-8,0),"")</f>
        <v>0</v>
      </c>
      <c r="N2272" s="4">
        <f ca="1">_xlfn.IFNA(VLOOKUP(INDIRECT("G"&amp;ROW()),minfo!$A:$M,COLUMN()-8,0),"")</f>
        <v>0</v>
      </c>
      <c r="O2272" s="4" t="str">
        <f ca="1">_xlfn.IFNA(VLOOKUP(INDIRECT("G"&amp;ROW()),minfo!$A:$M,COLUMN()-8,0),"")</f>
        <v>https://i0.hdslb.com/bfs/station_src/music_metadata/740bcd3058e7aa98df27f1f0a32b0f4b.jpg</v>
      </c>
      <c r="P2272" s="4" t="str">
        <f ca="1">_xlfn.IFNA(VLOOKUP(INDIRECT("G"&amp;ROW()),minfo!$A:$M,COLUMN()-8,0),"")</f>
        <v>copyright-crawler/music/task-lyric/654daafbfad724c0d03b496f.txt</v>
      </c>
      <c r="Q2272" s="4">
        <f ca="1">_xlfn.IFNA(VLOOKUP(INDIRECT("G"&amp;ROW()),minfo!$A:$M,COLUMN()-8,0),"")</f>
        <v>2220</v>
      </c>
      <c r="R2272" s="4" t="str">
        <f ca="1">_xlfn.IFNA(VLOOKUP(INDIRECT("G"&amp;ROW()),minfo!$A:$M,COLUMN()-8,0),"")</f>
        <v>雨下一整晚</v>
      </c>
      <c r="S2272" s="4" t="str">
        <f ca="1">_xlfn.IFNA(VLOOKUP(INDIRECT("G"&amp;ROW()),minfo!$A:$M,COLUMN()-8,0),"")</f>
        <v>跨时代</v>
      </c>
      <c r="T2272" s="4">
        <f ca="1">_xlfn.IFNA(VLOOKUP(INDIRECT("G"&amp;ROW()),minfo!$A:$M,COLUMN()-8,0),"")</f>
        <v>288931916</v>
      </c>
      <c r="U2272" s="4">
        <f ca="1">_xlfn.IFNA(VLOOKUP(INDIRECT("G"&amp;ROW()),minfo!$A:$M,COLUMN()-8,0),"")</f>
        <v>0</v>
      </c>
    </row>
    <row r="2273" spans="1:21" ht="15.75">
      <c r="A2273" s="15">
        <v>2272</v>
      </c>
      <c r="B2273" s="4" t="s">
        <v>6300</v>
      </c>
      <c r="D2273" s="4">
        <v>1</v>
      </c>
      <c r="E2273" s="4" t="s">
        <v>6301</v>
      </c>
      <c r="F2273" s="4" t="s">
        <v>6302</v>
      </c>
      <c r="G2273" s="4" t="s">
        <v>3511</v>
      </c>
      <c r="H2273" s="4" t="s">
        <v>6303</v>
      </c>
      <c r="I2273" s="24" t="str">
        <f>HYPERLINK("https://www.bilibili.com/video/BV1GLHYetE8k?p=1","BV1GLHYetE8k?p=1")</f>
        <v>BV1GLHYetE8k?p=1</v>
      </c>
      <c r="J2273" s="4" t="str">
        <f ca="1">_xlfn.IFNA(VLOOKUP(INDIRECT("G"&amp;ROW()),minfo!$A:$M,COLUMN()-8,0),"")</f>
        <v>谢东风(恬淡悠然)</v>
      </c>
      <c r="K2273" s="4" t="str">
        <f ca="1">_xlfn.IFNA(VLOOKUP(INDIRECT("G"&amp;ROW()),minfo!$A:$M,COLUMN()-8,0),"")</f>
        <v>橙光音乐,米豆音乐</v>
      </c>
      <c r="L2273" s="4">
        <f ca="1">_xlfn.IFNA(VLOOKUP(INDIRECT("G"&amp;ROW()),minfo!$A:$M,COLUMN()-8,0),"")</f>
        <v>0</v>
      </c>
      <c r="M2273" s="4">
        <f ca="1">_xlfn.IFNA(VLOOKUP(INDIRECT("G"&amp;ROW()),minfo!$A:$M,COLUMN()-8,0),"")</f>
        <v>0</v>
      </c>
      <c r="N2273" s="4">
        <f ca="1">_xlfn.IFNA(VLOOKUP(INDIRECT("G"&amp;ROW()),minfo!$A:$M,COLUMN()-8,0),"")</f>
        <v>0</v>
      </c>
      <c r="O2273" s="4" t="str">
        <f ca="1">_xlfn.IFNA(VLOOKUP(INDIRECT("G"&amp;ROW()),minfo!$A:$M,COLUMN()-8,0),"")</f>
        <v>https://i0.hdslb.com/bfs/station_src/music_metadata/568b05ebf3c0f2f8c3f136b118321370.jpg</v>
      </c>
      <c r="P2273" s="4">
        <f ca="1">_xlfn.IFNA(VLOOKUP(INDIRECT("G"&amp;ROW()),minfo!$A:$M,COLUMN()-8,0),"")</f>
        <v>0</v>
      </c>
      <c r="Q2273" s="4">
        <f ca="1">_xlfn.IFNA(VLOOKUP(INDIRECT("G"&amp;ROW()),minfo!$A:$M,COLUMN()-8,0),"")</f>
        <v>54</v>
      </c>
      <c r="R2273" s="4">
        <f ca="1">_xlfn.IFNA(VLOOKUP(INDIRECT("G"&amp;ROW()),minfo!$A:$M,COLUMN()-8,0),"")</f>
        <v>0</v>
      </c>
      <c r="S2273" s="4" t="str">
        <f ca="1">_xlfn.IFNA(VLOOKUP(INDIRECT("G"&amp;ROW()),minfo!$A:$M,COLUMN()-8,0),"")</f>
        <v>橙光音乐集·舒缓中国风1</v>
      </c>
      <c r="T2273" s="4">
        <f ca="1">_xlfn.IFNA(VLOOKUP(INDIRECT("G"&amp;ROW()),minfo!$A:$M,COLUMN()-8,0),"")</f>
        <v>19774972</v>
      </c>
      <c r="U2273" s="4">
        <f ca="1">_xlfn.IFNA(VLOOKUP(INDIRECT("G"&amp;ROW()),minfo!$A:$M,COLUMN()-8,0),"")</f>
        <v>0</v>
      </c>
    </row>
    <row r="2274" spans="1:21" ht="15.75">
      <c r="A2274" s="15">
        <v>2273</v>
      </c>
      <c r="B2274" s="4" t="s">
        <v>5882</v>
      </c>
      <c r="D2274" s="4">
        <v>1</v>
      </c>
      <c r="E2274" s="4" t="s">
        <v>1478</v>
      </c>
      <c r="F2274" s="4" t="s">
        <v>6302</v>
      </c>
      <c r="G2274" s="4" t="s">
        <v>1477</v>
      </c>
      <c r="H2274" s="4" t="s">
        <v>6304</v>
      </c>
      <c r="I2274" s="24" t="str">
        <f>HYPERLINK("https://www.bilibili.com/video/BV1GLHYetE4b?p=1","BV1GLHYetE4b?p=1")</f>
        <v>BV1GLHYetE4b?p=1</v>
      </c>
      <c r="J2274" s="4" t="str">
        <f ca="1">_xlfn.IFNA(VLOOKUP(INDIRECT("G"&amp;ROW()),minfo!$A:$M,COLUMN()-8,0),"")</f>
        <v>想你时风起</v>
      </c>
      <c r="K2274" s="4" t="str">
        <f ca="1">_xlfn.IFNA(VLOOKUP(INDIRECT("G"&amp;ROW()),minfo!$A:$M,COLUMN()-8,0),"")</f>
        <v>单依纯</v>
      </c>
      <c r="L2274" s="4">
        <f ca="1">_xlfn.IFNA(VLOOKUP(INDIRECT("G"&amp;ROW()),minfo!$A:$M,COLUMN()-8,0),"")</f>
        <v>0</v>
      </c>
      <c r="M2274" s="4">
        <f ca="1">_xlfn.IFNA(VLOOKUP(INDIRECT("G"&amp;ROW()),minfo!$A:$M,COLUMN()-8,0),"")</f>
        <v>0</v>
      </c>
      <c r="N2274" s="4">
        <f ca="1">_xlfn.IFNA(VLOOKUP(INDIRECT("G"&amp;ROW()),minfo!$A:$M,COLUMN()-8,0),"")</f>
        <v>0</v>
      </c>
      <c r="O2274" s="4" t="str">
        <f ca="1">_xlfn.IFNA(VLOOKUP(INDIRECT("G"&amp;ROW()),minfo!$A:$M,COLUMN()-8,0),"")</f>
        <v>http://i0.hdslb.com/bfs/station_src/music_metadata/690d5f026cf42acdf74154d42a9e4aec.jpg</v>
      </c>
      <c r="P2274" s="4">
        <f ca="1">_xlfn.IFNA(VLOOKUP(INDIRECT("G"&amp;ROW()),minfo!$A:$M,COLUMN()-8,0),"")</f>
        <v>0</v>
      </c>
      <c r="Q2274" s="4">
        <f ca="1">_xlfn.IFNA(VLOOKUP(INDIRECT("G"&amp;ROW()),minfo!$A:$M,COLUMN()-8,0),"")</f>
        <v>710</v>
      </c>
      <c r="R2274" s="4">
        <f ca="1">_xlfn.IFNA(VLOOKUP(INDIRECT("G"&amp;ROW()),minfo!$A:$M,COLUMN()-8,0),"")</f>
        <v>0</v>
      </c>
      <c r="S2274" s="4" t="str">
        <f ca="1">_xlfn.IFNA(VLOOKUP(INDIRECT("G"&amp;ROW()),minfo!$A:$M,COLUMN()-8,0),"")</f>
        <v>想你时风起</v>
      </c>
      <c r="T2274" s="4">
        <f ca="1">_xlfn.IFNA(VLOOKUP(INDIRECT("G"&amp;ROW()),minfo!$A:$M,COLUMN()-8,0),"")</f>
        <v>48566163</v>
      </c>
      <c r="U2274" s="4">
        <f ca="1">_xlfn.IFNA(VLOOKUP(INDIRECT("G"&amp;ROW()),minfo!$A:$M,COLUMN()-8,0),"")</f>
        <v>0</v>
      </c>
    </row>
    <row r="2275" spans="1:21" ht="15.75">
      <c r="A2275" s="15">
        <v>2274</v>
      </c>
      <c r="B2275" s="4" t="s">
        <v>6305</v>
      </c>
      <c r="D2275" s="4">
        <v>1</v>
      </c>
      <c r="E2275" s="4" t="s">
        <v>214</v>
      </c>
      <c r="F2275" s="4" t="s">
        <v>6302</v>
      </c>
      <c r="G2275" s="4" t="s">
        <v>213</v>
      </c>
      <c r="H2275" s="4" t="s">
        <v>6306</v>
      </c>
      <c r="I2275" s="24" t="str">
        <f>HYPERLINK("https://www.bilibili.com/video/BV1GVHYefEXH?p=1","BV1GVHYefEXH?p=1")</f>
        <v>BV1GVHYefEXH?p=1</v>
      </c>
      <c r="J2275" s="4" t="str">
        <f ca="1">_xlfn.IFNA(VLOOKUP(INDIRECT("G"&amp;ROW()),minfo!$A:$M,COLUMN()-8,0),"")</f>
        <v>相思</v>
      </c>
      <c r="K2275" s="4" t="str">
        <f ca="1">_xlfn.IFNA(VLOOKUP(INDIRECT("G"&amp;ROW()),minfo!$A:$M,COLUMN()-8,0),"")</f>
        <v>毛阿敏</v>
      </c>
      <c r="L2275" s="4">
        <f ca="1">_xlfn.IFNA(VLOOKUP(INDIRECT("G"&amp;ROW()),minfo!$A:$M,COLUMN()-8,0),"")</f>
        <v>0</v>
      </c>
      <c r="M2275" s="4">
        <f ca="1">_xlfn.IFNA(VLOOKUP(INDIRECT("G"&amp;ROW()),minfo!$A:$M,COLUMN()-8,0),"")</f>
        <v>0</v>
      </c>
      <c r="N2275" s="4">
        <f ca="1">_xlfn.IFNA(VLOOKUP(INDIRECT("G"&amp;ROW()),minfo!$A:$M,COLUMN()-8,0),"")</f>
        <v>0</v>
      </c>
      <c r="O2275" s="4" t="str">
        <f ca="1">_xlfn.IFNA(VLOOKUP(INDIRECT("G"&amp;ROW()),minfo!$A:$M,COLUMN()-8,0),"")</f>
        <v>https://i0.hdslb.com/bfs/station_src/music_metadata/0603be9293791ccb88f9a80d06e3ce3d.jpg</v>
      </c>
      <c r="P2275" s="4" t="str">
        <f ca="1">_xlfn.IFNA(VLOOKUP(INDIRECT("G"&amp;ROW()),minfo!$A:$M,COLUMN()-8,0),"")</f>
        <v>https://i0.hdslb.com/bfs/station_src/music_metadata/f447da700792e77fcdc9743518f18ce8.txt</v>
      </c>
      <c r="Q2275" s="4">
        <f ca="1">_xlfn.IFNA(VLOOKUP(INDIRECT("G"&amp;ROW()),minfo!$A:$M,COLUMN()-8,0),"")</f>
        <v>554</v>
      </c>
      <c r="R2275" s="4">
        <f ca="1">_xlfn.IFNA(VLOOKUP(INDIRECT("G"&amp;ROW()),minfo!$A:$M,COLUMN()-8,0),"")</f>
        <v>0</v>
      </c>
      <c r="S2275" s="4" t="str">
        <f ca="1">_xlfn.IFNA(VLOOKUP(INDIRECT("G"&amp;ROW()),minfo!$A:$M,COLUMN()-8,0),"")</f>
        <v>直接影响</v>
      </c>
      <c r="T2275" s="4">
        <f ca="1">_xlfn.IFNA(VLOOKUP(INDIRECT("G"&amp;ROW()),minfo!$A:$M,COLUMN()-8,0),"")</f>
        <v>217626434</v>
      </c>
      <c r="U2275" s="4">
        <f ca="1">_xlfn.IFNA(VLOOKUP(INDIRECT("G"&amp;ROW()),minfo!$A:$M,COLUMN()-8,0),"")</f>
        <v>0</v>
      </c>
    </row>
    <row r="2276" spans="1:21" ht="15.75">
      <c r="A2276" s="15">
        <v>2275</v>
      </c>
      <c r="B2276" s="4" t="s">
        <v>6307</v>
      </c>
      <c r="D2276" s="4">
        <v>1</v>
      </c>
      <c r="E2276" s="4" t="s">
        <v>2093</v>
      </c>
      <c r="F2276" s="4" t="s">
        <v>6302</v>
      </c>
      <c r="G2276" s="4" t="s">
        <v>2092</v>
      </c>
      <c r="H2276" s="4" t="s">
        <v>6308</v>
      </c>
      <c r="I2276" s="24" t="str">
        <f>HYPERLINK("https://www.bilibili.com/video/BV13LHYetECW?p=1","BV13LHYetECW?p=1")</f>
        <v>BV13LHYetECW?p=1</v>
      </c>
      <c r="J2276" s="4" t="str">
        <f ca="1">_xlfn.IFNA(VLOOKUP(INDIRECT("G"&amp;ROW()),minfo!$A:$M,COLUMN()-8,0),"")</f>
        <v>女儿情</v>
      </c>
      <c r="K2276" s="4" t="str">
        <f ca="1">_xlfn.IFNA(VLOOKUP(INDIRECT("G"&amp;ROW()),minfo!$A:$M,COLUMN()-8,0),"")</f>
        <v>吴静</v>
      </c>
      <c r="L2276" s="4">
        <f ca="1">_xlfn.IFNA(VLOOKUP(INDIRECT("G"&amp;ROW()),minfo!$A:$M,COLUMN()-8,0),"")</f>
        <v>0</v>
      </c>
      <c r="M2276" s="4">
        <f ca="1">_xlfn.IFNA(VLOOKUP(INDIRECT("G"&amp;ROW()),minfo!$A:$M,COLUMN()-8,0),"")</f>
        <v>0</v>
      </c>
      <c r="N2276" s="4">
        <f ca="1">_xlfn.IFNA(VLOOKUP(INDIRECT("G"&amp;ROW()),minfo!$A:$M,COLUMN()-8,0),"")</f>
        <v>0</v>
      </c>
      <c r="O2276" s="4" t="str">
        <f ca="1">_xlfn.IFNA(VLOOKUP(INDIRECT("G"&amp;ROW()),minfo!$A:$M,COLUMN()-8,0),"")</f>
        <v>http://i0.hdslb.com/bfs/station_src/music_metadata/a2c00fd4066b56fa69f2043135e08f1b.jpg</v>
      </c>
      <c r="P2276" s="4" t="str">
        <f ca="1">_xlfn.IFNA(VLOOKUP(INDIRECT("G"&amp;ROW()),minfo!$A:$M,COLUMN()-8,0),"")</f>
        <v>http://i0.hdslb.com/bfs/station_src/music_metadata/35d43660f2b14e012718bd6fdbf5865c</v>
      </c>
      <c r="Q2276" s="4">
        <f ca="1">_xlfn.IFNA(VLOOKUP(INDIRECT("G"&amp;ROW()),minfo!$A:$M,COLUMN()-8,0),"")</f>
        <v>853</v>
      </c>
      <c r="R2276" s="4" t="str">
        <f ca="1">_xlfn.IFNA(VLOOKUP(INDIRECT("G"&amp;ROW()),minfo!$A:$M,COLUMN()-8,0),"")</f>
        <v>《西游记》电视剧插曲</v>
      </c>
      <c r="S2276" s="4" t="str">
        <f ca="1">_xlfn.IFNA(VLOOKUP(INDIRECT("G"&amp;ROW()),minfo!$A:$M,COLUMN()-8,0),"")</f>
        <v>西游记 电视剧原声带</v>
      </c>
      <c r="T2276" s="4">
        <f ca="1">_xlfn.IFNA(VLOOKUP(INDIRECT("G"&amp;ROW()),minfo!$A:$M,COLUMN()-8,0),"")</f>
        <v>299210152</v>
      </c>
      <c r="U2276" s="4">
        <f ca="1">_xlfn.IFNA(VLOOKUP(INDIRECT("G"&amp;ROW()),minfo!$A:$M,COLUMN()-8,0),"")</f>
        <v>0</v>
      </c>
    </row>
    <row r="2277" spans="1:21" ht="15.75">
      <c r="A2277" s="15">
        <v>2276</v>
      </c>
      <c r="B2277" s="4" t="s">
        <v>6309</v>
      </c>
      <c r="D2277" s="4">
        <v>1</v>
      </c>
      <c r="E2277" s="4" t="s">
        <v>834</v>
      </c>
      <c r="F2277" s="4" t="s">
        <v>6302</v>
      </c>
      <c r="G2277" s="4" t="s">
        <v>833</v>
      </c>
      <c r="H2277" s="4" t="s">
        <v>6310</v>
      </c>
      <c r="I2277" s="24" t="str">
        <f>HYPERLINK("https://www.bilibili.com/video/BV1VVHYefEVw?p=1","BV1VVHYefEVw?p=1")</f>
        <v>BV1VVHYefEVw?p=1</v>
      </c>
      <c r="J2277" s="4" t="str">
        <f ca="1">_xlfn.IFNA(VLOOKUP(INDIRECT("G"&amp;ROW()),minfo!$A:$M,COLUMN()-8,0),"")</f>
        <v>锦鲤抄</v>
      </c>
      <c r="K2277" s="4" t="str">
        <f ca="1">_xlfn.IFNA(VLOOKUP(INDIRECT("G"&amp;ROW()),minfo!$A:$M,COLUMN()-8,0),"")</f>
        <v>银临/云の泣</v>
      </c>
      <c r="L2277" s="4">
        <f ca="1">_xlfn.IFNA(VLOOKUP(INDIRECT("G"&amp;ROW()),minfo!$A:$M,COLUMN()-8,0),"")</f>
        <v>0</v>
      </c>
      <c r="M2277" s="4">
        <f ca="1">_xlfn.IFNA(VLOOKUP(INDIRECT("G"&amp;ROW()),minfo!$A:$M,COLUMN()-8,0),"")</f>
        <v>0</v>
      </c>
      <c r="N2277" s="4">
        <f ca="1">_xlfn.IFNA(VLOOKUP(INDIRECT("G"&amp;ROW()),minfo!$A:$M,COLUMN()-8,0),"")</f>
        <v>0</v>
      </c>
      <c r="O2277" s="4" t="str">
        <f ca="1">_xlfn.IFNA(VLOOKUP(INDIRECT("G"&amp;ROW()),minfo!$A:$M,COLUMN()-8,0),"")</f>
        <v>http://i0.hdslb.com/bfs/station_src/music_metadata/4afbefd3c04f63214361dc43c99c9986.jpg</v>
      </c>
      <c r="P2277" s="4" t="str">
        <f ca="1">_xlfn.IFNA(VLOOKUP(INDIRECT("G"&amp;ROW()),minfo!$A:$M,COLUMN()-8,0),"")</f>
        <v>http://i0.hdslb.com/bfs/station_src/music_metadata/5a614dd394085de19715027062d2c8a2</v>
      </c>
      <c r="Q2277" s="4">
        <f ca="1">_xlfn.IFNA(VLOOKUP(INDIRECT("G"&amp;ROW()),minfo!$A:$M,COLUMN()-8,0),"")</f>
        <v>766</v>
      </c>
      <c r="R2277" s="4">
        <f ca="1">_xlfn.IFNA(VLOOKUP(INDIRECT("G"&amp;ROW()),minfo!$A:$M,COLUMN()-8,0),"")</f>
        <v>0</v>
      </c>
      <c r="S2277" s="4" t="str">
        <f ca="1">_xlfn.IFNA(VLOOKUP(INDIRECT("G"&amp;ROW()),minfo!$A:$M,COLUMN()-8,0),"")</f>
        <v>锦鲤抄</v>
      </c>
      <c r="T2277" s="4">
        <f ca="1">_xlfn.IFNA(VLOOKUP(INDIRECT("G"&amp;ROW()),minfo!$A:$M,COLUMN()-8,0),"")</f>
        <v>198812540</v>
      </c>
      <c r="U2277" s="4">
        <f ca="1">_xlfn.IFNA(VLOOKUP(INDIRECT("G"&amp;ROW()),minfo!$A:$M,COLUMN()-8,0),"")</f>
        <v>0</v>
      </c>
    </row>
    <row r="2278" spans="1:21" ht="15.75">
      <c r="A2278" s="15">
        <v>2277</v>
      </c>
      <c r="B2278" s="4" t="s">
        <v>6176</v>
      </c>
      <c r="D2278" s="4">
        <v>1</v>
      </c>
      <c r="E2278" s="4" t="s">
        <v>3356</v>
      </c>
      <c r="F2278" s="4" t="s">
        <v>6302</v>
      </c>
      <c r="G2278" s="4" t="s">
        <v>3355</v>
      </c>
      <c r="H2278" s="4" t="s">
        <v>6311</v>
      </c>
      <c r="I2278" s="24" t="str">
        <f>HYPERLINK("https://www.bilibili.com/video/BV1aVHYefEoZ?p=1","BV1aVHYefEoZ?p=1")</f>
        <v>BV1aVHYefEoZ?p=1</v>
      </c>
      <c r="J2278" s="4" t="str">
        <f ca="1">_xlfn.IFNA(VLOOKUP(INDIRECT("G"&amp;ROW()),minfo!$A:$M,COLUMN()-8,0),"")</f>
        <v>爱在西元前</v>
      </c>
      <c r="K2278" s="4" t="str">
        <f ca="1">_xlfn.IFNA(VLOOKUP(INDIRECT("G"&amp;ROW()),minfo!$A:$M,COLUMN()-8,0),"")</f>
        <v>周杰伦</v>
      </c>
      <c r="L2278" s="4">
        <f ca="1">_xlfn.IFNA(VLOOKUP(INDIRECT("G"&amp;ROW()),minfo!$A:$M,COLUMN()-8,0),"")</f>
        <v>0</v>
      </c>
      <c r="M2278" s="4">
        <f ca="1">_xlfn.IFNA(VLOOKUP(INDIRECT("G"&amp;ROW()),minfo!$A:$M,COLUMN()-8,0),"")</f>
        <v>0</v>
      </c>
      <c r="N2278" s="4">
        <f ca="1">_xlfn.IFNA(VLOOKUP(INDIRECT("G"&amp;ROW()),minfo!$A:$M,COLUMN()-8,0),"")</f>
        <v>0</v>
      </c>
      <c r="O2278" s="4" t="str">
        <f ca="1">_xlfn.IFNA(VLOOKUP(INDIRECT("G"&amp;ROW()),minfo!$A:$M,COLUMN()-8,0),"")</f>
        <v>http://i0.hdslb.com/bfs/station_src/music_metadata/bcdd9d26bee20c24c423e347b838d170.jpg</v>
      </c>
      <c r="P2278" s="4" t="str">
        <f ca="1">_xlfn.IFNA(VLOOKUP(INDIRECT("G"&amp;ROW()),minfo!$A:$M,COLUMN()-8,0),"")</f>
        <v>http://i0.hdslb.com/bfs/station_src/music_metadata/cd87bd6f404c0b565b0e29f133fb6ee6</v>
      </c>
      <c r="Q2278" s="4">
        <f ca="1">_xlfn.IFNA(VLOOKUP(INDIRECT("G"&amp;ROW()),minfo!$A:$M,COLUMN()-8,0),"")</f>
        <v>8968</v>
      </c>
      <c r="R2278" s="4">
        <f ca="1">_xlfn.IFNA(VLOOKUP(INDIRECT("G"&amp;ROW()),minfo!$A:$M,COLUMN()-8,0),"")</f>
        <v>0</v>
      </c>
      <c r="S2278" s="4" t="str">
        <f ca="1">_xlfn.IFNA(VLOOKUP(INDIRECT("G"&amp;ROW()),minfo!$A:$M,COLUMN()-8,0),"")</f>
        <v>范特西</v>
      </c>
      <c r="T2278" s="4">
        <f ca="1">_xlfn.IFNA(VLOOKUP(INDIRECT("G"&amp;ROW()),minfo!$A:$M,COLUMN()-8,0),"")</f>
        <v>639985095</v>
      </c>
      <c r="U2278" s="4">
        <f ca="1">_xlfn.IFNA(VLOOKUP(INDIRECT("G"&amp;ROW()),minfo!$A:$M,COLUMN()-8,0),"")</f>
        <v>0</v>
      </c>
    </row>
    <row r="2279" spans="1:21" ht="15.75">
      <c r="A2279" s="15">
        <v>2278</v>
      </c>
      <c r="B2279" s="4" t="s">
        <v>6312</v>
      </c>
      <c r="D2279" s="4">
        <v>1</v>
      </c>
      <c r="E2279" s="4" t="s">
        <v>674</v>
      </c>
      <c r="F2279" s="4" t="s">
        <v>6302</v>
      </c>
      <c r="G2279" s="4" t="s">
        <v>673</v>
      </c>
      <c r="H2279" s="4" t="s">
        <v>6313</v>
      </c>
      <c r="I2279" s="24" t="str">
        <f>HYPERLINK("https://www.bilibili.com/video/BV1VVHYefEM5?p=1","BV1VVHYefEM5?p=1")</f>
        <v>BV1VVHYefEM5?p=1</v>
      </c>
      <c r="J2279" s="4" t="str">
        <f ca="1">_xlfn.IFNA(VLOOKUP(INDIRECT("G"&amp;ROW()),minfo!$A:$M,COLUMN()-8,0),"")</f>
        <v>先生</v>
      </c>
      <c r="K2279" s="4" t="str">
        <f ca="1">_xlfn.IFNA(VLOOKUP(INDIRECT("G"&amp;ROW()),minfo!$A:$M,COLUMN()-8,0),"")</f>
        <v>Pomelo安妮</v>
      </c>
      <c r="L2279" s="4">
        <f ca="1">_xlfn.IFNA(VLOOKUP(INDIRECT("G"&amp;ROW()),minfo!$A:$M,COLUMN()-8,0),"")</f>
        <v>0</v>
      </c>
      <c r="M2279" s="4">
        <f ca="1">_xlfn.IFNA(VLOOKUP(INDIRECT("G"&amp;ROW()),minfo!$A:$M,COLUMN()-8,0),"")</f>
        <v>54575</v>
      </c>
      <c r="N2279" s="4">
        <f ca="1">_xlfn.IFNA(VLOOKUP(INDIRECT("G"&amp;ROW()),minfo!$A:$M,COLUMN()-8,0),"")</f>
        <v>8902</v>
      </c>
      <c r="O2279" s="4" t="str">
        <f ca="1">_xlfn.IFNA(VLOOKUP(INDIRECT("G"&amp;ROW()),minfo!$A:$M,COLUMN()-8,0),"")</f>
        <v>http://i0.hdslb.com/bfs/station_src/music_metadata/abd9baa925b3f956c34b35698bd85e21.jpg</v>
      </c>
      <c r="P2279" s="4">
        <f ca="1">_xlfn.IFNA(VLOOKUP(INDIRECT("G"&amp;ROW()),minfo!$A:$M,COLUMN()-8,0),"")</f>
        <v>0</v>
      </c>
      <c r="Q2279" s="4">
        <f ca="1">_xlfn.IFNA(VLOOKUP(INDIRECT("G"&amp;ROW()),minfo!$A:$M,COLUMN()-8,0),"")</f>
        <v>22</v>
      </c>
      <c r="R2279" s="4">
        <f ca="1">_xlfn.IFNA(VLOOKUP(INDIRECT("G"&amp;ROW()),minfo!$A:$M,COLUMN()-8,0),"")</f>
        <v>0</v>
      </c>
      <c r="S2279" s="4" t="str">
        <f ca="1">_xlfn.IFNA(VLOOKUP(INDIRECT("G"&amp;ROW()),minfo!$A:$M,COLUMN()-8,0),"")</f>
        <v>先生</v>
      </c>
      <c r="T2279" s="4">
        <f ca="1">_xlfn.IFNA(VLOOKUP(INDIRECT("G"&amp;ROW()),minfo!$A:$M,COLUMN()-8,0),"")</f>
        <v>2354363</v>
      </c>
      <c r="U2279" s="4">
        <f ca="1">_xlfn.IFNA(VLOOKUP(INDIRECT("G"&amp;ROW()),minfo!$A:$M,COLUMN()-8,0),"")</f>
        <v>0</v>
      </c>
    </row>
    <row r="2280" spans="1:21" ht="15.75">
      <c r="A2280" s="15">
        <v>2279</v>
      </c>
      <c r="B2280" s="4" t="s">
        <v>6314</v>
      </c>
      <c r="D2280" s="4">
        <v>1</v>
      </c>
      <c r="E2280" s="4" t="s">
        <v>889</v>
      </c>
      <c r="F2280" s="4" t="s">
        <v>6302</v>
      </c>
      <c r="G2280" s="4" t="s">
        <v>888</v>
      </c>
      <c r="H2280" s="4" t="s">
        <v>6315</v>
      </c>
      <c r="I2280" s="24" t="str">
        <f>HYPERLINK("https://www.bilibili.com/video/BV1oKHYeeEex?p=1","BV1oKHYeeEex?p=1")</f>
        <v>BV1oKHYeeEex?p=1</v>
      </c>
      <c r="J2280" s="4" t="str">
        <f ca="1">_xlfn.IFNA(VLOOKUP(INDIRECT("G"&amp;ROW()),minfo!$A:$M,COLUMN()-8,0),"")</f>
        <v>牵丝戏</v>
      </c>
      <c r="K2280" s="4" t="str">
        <f ca="1">_xlfn.IFNA(VLOOKUP(INDIRECT("G"&amp;ROW()),minfo!$A:$M,COLUMN()-8,0),"")</f>
        <v>Aki阿杰,银临</v>
      </c>
      <c r="L2280" s="4">
        <f ca="1">_xlfn.IFNA(VLOOKUP(INDIRECT("G"&amp;ROW()),minfo!$A:$M,COLUMN()-8,0),"")</f>
        <v>0</v>
      </c>
      <c r="M2280" s="4">
        <f ca="1">_xlfn.IFNA(VLOOKUP(INDIRECT("G"&amp;ROW()),minfo!$A:$M,COLUMN()-8,0),"")</f>
        <v>0</v>
      </c>
      <c r="N2280" s="4">
        <f ca="1">_xlfn.IFNA(VLOOKUP(INDIRECT("G"&amp;ROW()),minfo!$A:$M,COLUMN()-8,0),"")</f>
        <v>0</v>
      </c>
      <c r="O2280" s="4" t="str">
        <f ca="1">_xlfn.IFNA(VLOOKUP(INDIRECT("G"&amp;ROW()),minfo!$A:$M,COLUMN()-8,0),"")</f>
        <v>http://i0.hdslb.com/bfs/station_src/music_metadata/72595c526fcf49f274790d64d054c75b.jpg</v>
      </c>
      <c r="P2280" s="4" t="str">
        <f ca="1">_xlfn.IFNA(VLOOKUP(INDIRECT("G"&amp;ROW()),minfo!$A:$M,COLUMN()-8,0),"")</f>
        <v>http://i0.hdslb.com/bfs/station_src/music_metadata/14006e77b0b81667b2717d8b056c1ce1</v>
      </c>
      <c r="Q2280" s="4">
        <f ca="1">_xlfn.IFNA(VLOOKUP(INDIRECT("G"&amp;ROW()),minfo!$A:$M,COLUMN()-8,0),"")</f>
        <v>5373</v>
      </c>
      <c r="R2280" s="4">
        <f ca="1">_xlfn.IFNA(VLOOKUP(INDIRECT("G"&amp;ROW()),minfo!$A:$M,COLUMN()-8,0),"")</f>
        <v>0</v>
      </c>
      <c r="S2280" s="4" t="str">
        <f ca="1">_xlfn.IFNA(VLOOKUP(INDIRECT("G"&amp;ROW()),minfo!$A:$M,COLUMN()-8,0),"")</f>
        <v>牵丝戏</v>
      </c>
      <c r="T2280" s="4">
        <f ca="1">_xlfn.IFNA(VLOOKUP(INDIRECT("G"&amp;ROW()),minfo!$A:$M,COLUMN()-8,0),"")</f>
        <v>1130927274</v>
      </c>
      <c r="U2280" s="4">
        <f ca="1">_xlfn.IFNA(VLOOKUP(INDIRECT("G"&amp;ROW()),minfo!$A:$M,COLUMN()-8,0),"")</f>
        <v>0</v>
      </c>
    </row>
    <row r="2281" spans="1:21" ht="15.75">
      <c r="A2281" s="15">
        <v>2280</v>
      </c>
      <c r="B2281" s="4" t="s">
        <v>6316</v>
      </c>
      <c r="D2281" s="4">
        <v>1</v>
      </c>
      <c r="E2281" s="4" t="s">
        <v>1110</v>
      </c>
      <c r="F2281" s="4" t="s">
        <v>6317</v>
      </c>
      <c r="G2281" s="4" t="s">
        <v>3218</v>
      </c>
      <c r="H2281" s="4" t="s">
        <v>6318</v>
      </c>
      <c r="I2281" s="24" t="str">
        <f>HYPERLINK("https://www.bilibili.com/video/BV1jKHYeeEyj?p=1","BV1jKHYeeEyj?p=1")</f>
        <v>BV1jKHYeeEyj?p=1</v>
      </c>
      <c r="J2281" s="4" t="str">
        <f ca="1">_xlfn.IFNA(VLOOKUP(INDIRECT("G"&amp;ROW()),minfo!$A:$M,COLUMN()-8,0),"")</f>
        <v>学不会</v>
      </c>
      <c r="K2281" s="4" t="str">
        <f ca="1">_xlfn.IFNA(VLOOKUP(INDIRECT("G"&amp;ROW()),minfo!$A:$M,COLUMN()-8,0),"")</f>
        <v>林俊杰</v>
      </c>
      <c r="L2281" s="4">
        <f ca="1">_xlfn.IFNA(VLOOKUP(INDIRECT("G"&amp;ROW()),minfo!$A:$M,COLUMN()-8,0),"")</f>
        <v>0</v>
      </c>
      <c r="M2281" s="4">
        <f ca="1">_xlfn.IFNA(VLOOKUP(INDIRECT("G"&amp;ROW()),minfo!$A:$M,COLUMN()-8,0),"")</f>
        <v>0</v>
      </c>
      <c r="N2281" s="4">
        <f ca="1">_xlfn.IFNA(VLOOKUP(INDIRECT("G"&amp;ROW()),minfo!$A:$M,COLUMN()-8,0),"")</f>
        <v>0</v>
      </c>
      <c r="O2281" s="4" t="str">
        <f ca="1">_xlfn.IFNA(VLOOKUP(INDIRECT("G"&amp;ROW()),minfo!$A:$M,COLUMN()-8,0),"")</f>
        <v>https://i0.hdslb.com/bfs/station_src/music_metadata/a45420bf5f1761730f869c2dc1d13f30.jpg</v>
      </c>
      <c r="P2281" s="4" t="str">
        <f ca="1">_xlfn.IFNA(VLOOKUP(INDIRECT("G"&amp;ROW()),minfo!$A:$M,COLUMN()-8,0),"")</f>
        <v>http://i0.hdslb.com/bfs/station_src/music_metadata/6c42944895f5d6ccba843189c471ae4c</v>
      </c>
      <c r="Q2281" s="4">
        <f ca="1">_xlfn.IFNA(VLOOKUP(INDIRECT("G"&amp;ROW()),minfo!$A:$M,COLUMN()-8,0),"")</f>
        <v>344</v>
      </c>
      <c r="R2281" s="4">
        <f ca="1">_xlfn.IFNA(VLOOKUP(INDIRECT("G"&amp;ROW()),minfo!$A:$M,COLUMN()-8,0),"")</f>
        <v>0</v>
      </c>
      <c r="S2281" s="4" t="str">
        <f ca="1">_xlfn.IFNA(VLOOKUP(INDIRECT("G"&amp;ROW()),minfo!$A:$M,COLUMN()-8,0),"")</f>
        <v>学不会</v>
      </c>
      <c r="T2281" s="4">
        <f ca="1">_xlfn.IFNA(VLOOKUP(INDIRECT("G"&amp;ROW()),minfo!$A:$M,COLUMN()-8,0),"")</f>
        <v>98600843</v>
      </c>
      <c r="U2281" s="4">
        <f ca="1">_xlfn.IFNA(VLOOKUP(INDIRECT("G"&amp;ROW()),minfo!$A:$M,COLUMN()-8,0),"")</f>
        <v>0</v>
      </c>
    </row>
    <row r="2282" spans="1:21" ht="15.75">
      <c r="A2282" s="15">
        <v>2281</v>
      </c>
      <c r="B2282" s="4" t="s">
        <v>6319</v>
      </c>
      <c r="D2282" s="4">
        <v>1</v>
      </c>
      <c r="E2282" s="4" t="s">
        <v>2352</v>
      </c>
      <c r="F2282" s="4" t="s">
        <v>6317</v>
      </c>
      <c r="G2282" s="4" t="s">
        <v>2351</v>
      </c>
      <c r="H2282" s="4" t="s">
        <v>6320</v>
      </c>
      <c r="I2282" s="24" t="str">
        <f>HYPERLINK("https://www.bilibili.com/video/BV17NHYeNE31?p=1","BV17NHYeNE31?p=1")</f>
        <v>BV17NHYeNE31?p=1</v>
      </c>
      <c r="J2282" s="4" t="str">
        <f ca="1">_xlfn.IFNA(VLOOKUP(INDIRECT("G"&amp;ROW()),minfo!$A:$M,COLUMN()-8,0),"")</f>
        <v>漂洋过海来看你</v>
      </c>
      <c r="K2282" s="4" t="str">
        <f ca="1">_xlfn.IFNA(VLOOKUP(INDIRECT("G"&amp;ROW()),minfo!$A:$M,COLUMN()-8,0),"")</f>
        <v>娃娃</v>
      </c>
      <c r="L2282" s="4">
        <f ca="1">_xlfn.IFNA(VLOOKUP(INDIRECT("G"&amp;ROW()),minfo!$A:$M,COLUMN()-8,0),"")</f>
        <v>0</v>
      </c>
      <c r="M2282" s="4">
        <f ca="1">_xlfn.IFNA(VLOOKUP(INDIRECT("G"&amp;ROW()),minfo!$A:$M,COLUMN()-8,0),"")</f>
        <v>0</v>
      </c>
      <c r="N2282" s="4">
        <f ca="1">_xlfn.IFNA(VLOOKUP(INDIRECT("G"&amp;ROW()),minfo!$A:$M,COLUMN()-8,0),"")</f>
        <v>0</v>
      </c>
      <c r="O2282" s="4" t="str">
        <f ca="1">_xlfn.IFNA(VLOOKUP(INDIRECT("G"&amp;ROW()),minfo!$A:$M,COLUMN()-8,0),"")</f>
        <v>https://i0.hdslb.com/bfs/station_src/music_metadata/6accd3b8873306793f8878f386c0333b.jpg</v>
      </c>
      <c r="P2282" s="4" t="str">
        <f ca="1">_xlfn.IFNA(VLOOKUP(INDIRECT("G"&amp;ROW()),minfo!$A:$M,COLUMN()-8,0),"")</f>
        <v>https://i0.hdslb.com/bfs/station_src/music_metadata/624348c1310a9b1583d320a14df6ed91.txt</v>
      </c>
      <c r="Q2282" s="4">
        <f ca="1">_xlfn.IFNA(VLOOKUP(INDIRECT("G"&amp;ROW()),minfo!$A:$M,COLUMN()-8,0),"")</f>
        <v>383</v>
      </c>
      <c r="R2282" s="4" t="str">
        <f ca="1">_xlfn.IFNA(VLOOKUP(INDIRECT("G"&amp;ROW()),minfo!$A:$M,COLUMN()-8,0),"")</f>
        <v>2002-08-28</v>
      </c>
      <c r="S2282" s="4" t="str">
        <f ca="1">_xlfn.IFNA(VLOOKUP(INDIRECT("G"&amp;ROW()),minfo!$A:$M,COLUMN()-8,0),"")</f>
        <v>涩女郎 电视原声带</v>
      </c>
      <c r="T2282" s="4">
        <f ca="1">_xlfn.IFNA(VLOOKUP(INDIRECT("G"&amp;ROW()),minfo!$A:$M,COLUMN()-8,0),"")</f>
        <v>184271216</v>
      </c>
      <c r="U2282" s="4">
        <f ca="1">_xlfn.IFNA(VLOOKUP(INDIRECT("G"&amp;ROW()),minfo!$A:$M,COLUMN()-8,0),"")</f>
        <v>0</v>
      </c>
    </row>
    <row r="2283" spans="1:21" ht="15.75">
      <c r="A2283" s="15">
        <v>2282</v>
      </c>
      <c r="B2283" s="4" t="s">
        <v>6321</v>
      </c>
      <c r="D2283" s="4">
        <v>1</v>
      </c>
      <c r="E2283" s="4" t="s">
        <v>3516</v>
      </c>
      <c r="F2283" s="4" t="s">
        <v>6317</v>
      </c>
      <c r="G2283" s="4" t="s">
        <v>3515</v>
      </c>
      <c r="H2283" s="4" t="s">
        <v>6322</v>
      </c>
      <c r="I2283" s="24" t="str">
        <f>HYPERLINK("https://www.bilibili.com/video/BV17NHYeNEN5?p=1","BV17NHYeNEN5?p=1")</f>
        <v>BV17NHYeNEN5?p=1</v>
      </c>
      <c r="J2283" s="4" t="str">
        <f ca="1">_xlfn.IFNA(VLOOKUP(INDIRECT("G"&amp;ROW()),minfo!$A:$M,COLUMN()-8,0),"")</f>
        <v>心乱飞</v>
      </c>
      <c r="K2283" s="4" t="str">
        <f ca="1">_xlfn.IFNA(VLOOKUP(INDIRECT("G"&amp;ROW()),minfo!$A:$M,COLUMN()-8,0),"")</f>
        <v>陶喆</v>
      </c>
      <c r="L2283" s="4">
        <f ca="1">_xlfn.IFNA(VLOOKUP(INDIRECT("G"&amp;ROW()),minfo!$A:$M,COLUMN()-8,0),"")</f>
        <v>0</v>
      </c>
      <c r="M2283" s="4">
        <f ca="1">_xlfn.IFNA(VLOOKUP(INDIRECT("G"&amp;ROW()),minfo!$A:$M,COLUMN()-8,0),"")</f>
        <v>0</v>
      </c>
      <c r="N2283" s="4">
        <f ca="1">_xlfn.IFNA(VLOOKUP(INDIRECT("G"&amp;ROW()),minfo!$A:$M,COLUMN()-8,0),"")</f>
        <v>0</v>
      </c>
      <c r="O2283" s="4" t="str">
        <f ca="1">_xlfn.IFNA(VLOOKUP(INDIRECT("G"&amp;ROW()),minfo!$A:$M,COLUMN()-8,0),"")</f>
        <v>https://i0.hdslb.com/bfs/station_src/music_metadata/45da56472b0055ed6771def2ab7659b2.jpg</v>
      </c>
      <c r="P2283" s="4" t="str">
        <f ca="1">_xlfn.IFNA(VLOOKUP(INDIRECT("G"&amp;ROW()),minfo!$A:$M,COLUMN()-8,0),"")</f>
        <v>http://i0.hdslb.com/bfs/station_src/music_metadata/237fa2bd0c98e8e3167656ded50448f4</v>
      </c>
      <c r="Q2283" s="4">
        <f ca="1">_xlfn.IFNA(VLOOKUP(INDIRECT("G"&amp;ROW()),minfo!$A:$M,COLUMN()-8,0),"")</f>
        <v>227</v>
      </c>
      <c r="R2283" s="4">
        <f ca="1">_xlfn.IFNA(VLOOKUP(INDIRECT("G"&amp;ROW()),minfo!$A:$M,COLUMN()-8,0),"")</f>
        <v>0</v>
      </c>
      <c r="S2283" s="4" t="str">
        <f ca="1">_xlfn.IFNA(VLOOKUP(INDIRECT("G"&amp;ROW()),minfo!$A:$M,COLUMN()-8,0),"")</f>
        <v>陶喆同名专辑</v>
      </c>
      <c r="T2283" s="4">
        <f ca="1">_xlfn.IFNA(VLOOKUP(INDIRECT("G"&amp;ROW()),minfo!$A:$M,COLUMN()-8,0),"")</f>
        <v>34465095</v>
      </c>
      <c r="U2283" s="4">
        <f ca="1">_xlfn.IFNA(VLOOKUP(INDIRECT("G"&amp;ROW()),minfo!$A:$M,COLUMN()-8,0),"")</f>
        <v>0</v>
      </c>
    </row>
    <row r="2284" spans="1:21" ht="15.75">
      <c r="A2284" s="15">
        <v>2283</v>
      </c>
      <c r="B2284" s="4" t="s">
        <v>5784</v>
      </c>
      <c r="D2284" s="4">
        <v>1</v>
      </c>
      <c r="E2284" s="4" t="s">
        <v>1719</v>
      </c>
      <c r="F2284" s="4" t="s">
        <v>6317</v>
      </c>
      <c r="G2284" s="4" t="s">
        <v>1718</v>
      </c>
      <c r="H2284" s="4" t="s">
        <v>6323</v>
      </c>
      <c r="I2284" s="24" t="str">
        <f>HYPERLINK("https://www.bilibili.com/video/BV17KHYevEcu?p=1","BV17KHYevEcu?p=1")</f>
        <v>BV17KHYevEcu?p=1</v>
      </c>
      <c r="J2284" s="4" t="str">
        <f ca="1">_xlfn.IFNA(VLOOKUP(INDIRECT("G"&amp;ROW()),minfo!$A:$M,COLUMN()-8,0),"")</f>
        <v>达尔文</v>
      </c>
      <c r="K2284" s="4" t="str">
        <f ca="1">_xlfn.IFNA(VLOOKUP(INDIRECT("G"&amp;ROW()),minfo!$A:$M,COLUMN()-8,0),"")</f>
        <v>蔡健雅</v>
      </c>
      <c r="L2284" s="4">
        <f ca="1">_xlfn.IFNA(VLOOKUP(INDIRECT("G"&amp;ROW()),minfo!$A:$M,COLUMN()-8,0),"")</f>
        <v>0</v>
      </c>
      <c r="M2284" s="4">
        <f ca="1">_xlfn.IFNA(VLOOKUP(INDIRECT("G"&amp;ROW()),minfo!$A:$M,COLUMN()-8,0),"")</f>
        <v>61</v>
      </c>
      <c r="N2284" s="4">
        <f ca="1">_xlfn.IFNA(VLOOKUP(INDIRECT("G"&amp;ROW()),minfo!$A:$M,COLUMN()-8,0),"")</f>
        <v>23</v>
      </c>
      <c r="O2284" s="4" t="str">
        <f ca="1">_xlfn.IFNA(VLOOKUP(INDIRECT("G"&amp;ROW()),minfo!$A:$M,COLUMN()-8,0),"")</f>
        <v>http://i2.hdslb.com/bfs/archive/0d88147503c1678b5c14f01bf912438f0e18189c.jpg</v>
      </c>
      <c r="P2284" s="4">
        <f ca="1">_xlfn.IFNA(VLOOKUP(INDIRECT("G"&amp;ROW()),minfo!$A:$M,COLUMN()-8,0),"")</f>
        <v>0</v>
      </c>
      <c r="Q2284" s="4">
        <f ca="1">_xlfn.IFNA(VLOOKUP(INDIRECT("G"&amp;ROW()),minfo!$A:$M,COLUMN()-8,0),"")</f>
        <v>275</v>
      </c>
      <c r="R2284" s="4" t="str">
        <f ca="1">_xlfn.IFNA(VLOOKUP(INDIRECT("G"&amp;ROW()),minfo!$A:$M,COLUMN()-8,0),"")</f>
        <v>达尔文</v>
      </c>
      <c r="S2284" s="4" t="str">
        <f ca="1">_xlfn.IFNA(VLOOKUP(INDIRECT("G"&amp;ROW()),minfo!$A:$M,COLUMN()-8,0),"")</f>
        <v>达尔文</v>
      </c>
      <c r="T2284" s="4">
        <f ca="1">_xlfn.IFNA(VLOOKUP(INDIRECT("G"&amp;ROW()),minfo!$A:$M,COLUMN()-8,0),"")</f>
        <v>108423038</v>
      </c>
      <c r="U2284" s="4">
        <f ca="1">_xlfn.IFNA(VLOOKUP(INDIRECT("G"&amp;ROW()),minfo!$A:$M,COLUMN()-8,0),"")</f>
        <v>0</v>
      </c>
    </row>
    <row r="2285" spans="1:21" ht="15.75">
      <c r="A2285" s="15">
        <v>2284</v>
      </c>
      <c r="B2285" s="4" t="s">
        <v>6324</v>
      </c>
      <c r="D2285" s="4">
        <v>1</v>
      </c>
      <c r="E2285" s="4" t="s">
        <v>1944</v>
      </c>
      <c r="F2285" s="4" t="s">
        <v>6317</v>
      </c>
      <c r="G2285" s="4" t="s">
        <v>3015</v>
      </c>
      <c r="H2285" s="4" t="s">
        <v>6325</v>
      </c>
      <c r="I2285" s="24" t="str">
        <f>HYPERLINK("https://www.bilibili.com/video/BV17NHYeNEbG?p=1","BV17NHYeNEbG?p=1")</f>
        <v>BV17NHYeNEbG?p=1</v>
      </c>
      <c r="J2285" s="4" t="str">
        <f ca="1">_xlfn.IFNA(VLOOKUP(INDIRECT("G"&amp;ROW()),minfo!$A:$M,COLUMN()-8,0),"")</f>
        <v>秋意浓</v>
      </c>
      <c r="K2285" s="4" t="str">
        <f ca="1">_xlfn.IFNA(VLOOKUP(INDIRECT("G"&amp;ROW()),minfo!$A:$M,COLUMN()-8,0),"")</f>
        <v>张靓颖</v>
      </c>
      <c r="L2285" s="4">
        <f ca="1">_xlfn.IFNA(VLOOKUP(INDIRECT("G"&amp;ROW()),minfo!$A:$M,COLUMN()-8,0),"")</f>
        <v>0</v>
      </c>
      <c r="M2285" s="4">
        <f ca="1">_xlfn.IFNA(VLOOKUP(INDIRECT("G"&amp;ROW()),minfo!$A:$M,COLUMN()-8,0),"")</f>
        <v>0</v>
      </c>
      <c r="N2285" s="4">
        <f ca="1">_xlfn.IFNA(VLOOKUP(INDIRECT("G"&amp;ROW()),minfo!$A:$M,COLUMN()-8,0),"")</f>
        <v>0</v>
      </c>
      <c r="O2285" s="4" t="str">
        <f ca="1">_xlfn.IFNA(VLOOKUP(INDIRECT("G"&amp;ROW()),minfo!$A:$M,COLUMN()-8,0),"")</f>
        <v>https://i0.hdslb.com/bfs/station_src/music_metadata/44a6f3a568be06813c0be769e1fe38e4.jpg</v>
      </c>
      <c r="P2285" s="4">
        <f ca="1">_xlfn.IFNA(VLOOKUP(INDIRECT("G"&amp;ROW()),minfo!$A:$M,COLUMN()-8,0),"")</f>
        <v>0</v>
      </c>
      <c r="Q2285" s="4">
        <f ca="1">_xlfn.IFNA(VLOOKUP(INDIRECT("G"&amp;ROW()),minfo!$A:$M,COLUMN()-8,0),"")</f>
        <v>0</v>
      </c>
      <c r="R2285" s="4" t="str">
        <f ca="1">_xlfn.IFNA(VLOOKUP(INDIRECT("G"&amp;ROW()),minfo!$A:$M,COLUMN()-8,0),"")</f>
        <v>秋意浓</v>
      </c>
      <c r="S2285" s="4" t="str">
        <f ca="1">_xlfn.IFNA(VLOOKUP(INDIRECT("G"&amp;ROW()),minfo!$A:$M,COLUMN()-8,0),"")</f>
        <v>好声音深圳演唱会</v>
      </c>
      <c r="T2285" s="4">
        <f ca="1">_xlfn.IFNA(VLOOKUP(INDIRECT("G"&amp;ROW()),minfo!$A:$M,COLUMN()-8,0),"")</f>
        <v>199023</v>
      </c>
      <c r="U2285" s="4">
        <f ca="1">_xlfn.IFNA(VLOOKUP(INDIRECT("G"&amp;ROW()),minfo!$A:$M,COLUMN()-8,0),"")</f>
        <v>0</v>
      </c>
    </row>
    <row r="2286" spans="1:21" ht="15.75">
      <c r="A2286" s="15">
        <v>2285</v>
      </c>
      <c r="B2286" s="4" t="s">
        <v>5911</v>
      </c>
      <c r="D2286" s="4">
        <v>1</v>
      </c>
      <c r="E2286" s="4" t="s">
        <v>399</v>
      </c>
      <c r="F2286" s="4" t="s">
        <v>6326</v>
      </c>
      <c r="G2286" s="4" t="s">
        <v>398</v>
      </c>
      <c r="H2286" s="4" t="s">
        <v>6327</v>
      </c>
      <c r="I2286" s="24" t="str">
        <f>HYPERLINK("https://www.bilibili.com/video/BV1gWpueZE3H?p=1","BV1gWpueZE3H?p=1")</f>
        <v>BV1gWpueZE3H?p=1</v>
      </c>
      <c r="J2286" s="4" t="str">
        <f ca="1">_xlfn.IFNA(VLOOKUP(INDIRECT("G"&amp;ROW()),minfo!$A:$M,COLUMN()-8,0),"")</f>
        <v>Paper Hearts</v>
      </c>
      <c r="K2286" s="4" t="str">
        <f ca="1">_xlfn.IFNA(VLOOKUP(INDIRECT("G"&amp;ROW()),minfo!$A:$M,COLUMN()-8,0),"")</f>
        <v>Tori Kelly</v>
      </c>
      <c r="L2286" s="4">
        <f ca="1">_xlfn.IFNA(VLOOKUP(INDIRECT("G"&amp;ROW()),minfo!$A:$M,COLUMN()-8,0),"")</f>
        <v>0</v>
      </c>
      <c r="M2286" s="4">
        <f ca="1">_xlfn.IFNA(VLOOKUP(INDIRECT("G"&amp;ROW()),minfo!$A:$M,COLUMN()-8,0),"")</f>
        <v>0</v>
      </c>
      <c r="N2286" s="4">
        <f ca="1">_xlfn.IFNA(VLOOKUP(INDIRECT("G"&amp;ROW()),minfo!$A:$M,COLUMN()-8,0),"")</f>
        <v>0</v>
      </c>
      <c r="O2286" s="4" t="str">
        <f ca="1">_xlfn.IFNA(VLOOKUP(INDIRECT("G"&amp;ROW()),minfo!$A:$M,COLUMN()-8,0),"")</f>
        <v>https://i0.hdslb.com/bfs/station_src/music_metadata/d163890fde7ff71487a0619f16a06100.jpg</v>
      </c>
      <c r="P2286" s="4">
        <f ca="1">_xlfn.IFNA(VLOOKUP(INDIRECT("G"&amp;ROW()),minfo!$A:$M,COLUMN()-8,0),"")</f>
        <v>0</v>
      </c>
      <c r="Q2286" s="4">
        <f ca="1">_xlfn.IFNA(VLOOKUP(INDIRECT("G"&amp;ROW()),minfo!$A:$M,COLUMN()-8,0),"")</f>
        <v>65</v>
      </c>
      <c r="R2286" s="4">
        <f ca="1">_xlfn.IFNA(VLOOKUP(INDIRECT("G"&amp;ROW()),minfo!$A:$M,COLUMN()-8,0),"")</f>
        <v>0</v>
      </c>
      <c r="S2286" s="4" t="str">
        <f ca="1">_xlfn.IFNA(VLOOKUP(INDIRECT("G"&amp;ROW()),minfo!$A:$M,COLUMN()-8,0),"")</f>
        <v>Foreword</v>
      </c>
      <c r="T2286" s="4">
        <f ca="1">_xlfn.IFNA(VLOOKUP(INDIRECT("G"&amp;ROW()),minfo!$A:$M,COLUMN()-8,0),"")</f>
        <v>14743388</v>
      </c>
      <c r="U2286" s="4">
        <f ca="1">_xlfn.IFNA(VLOOKUP(INDIRECT("G"&amp;ROW()),minfo!$A:$M,COLUMN()-8,0),"")</f>
        <v>0</v>
      </c>
    </row>
    <row r="2287" spans="1:21" ht="15.75">
      <c r="A2287" s="15">
        <v>2286</v>
      </c>
      <c r="B2287" s="4" t="s">
        <v>5766</v>
      </c>
      <c r="D2287" s="4">
        <v>1</v>
      </c>
      <c r="E2287" s="4" t="s">
        <v>1330</v>
      </c>
      <c r="F2287" s="4" t="s">
        <v>6326</v>
      </c>
      <c r="G2287" s="4" t="s">
        <v>1329</v>
      </c>
      <c r="H2287" s="4" t="s">
        <v>6328</v>
      </c>
      <c r="I2287" s="24" t="str">
        <f>HYPERLINK("https://www.bilibili.com/video/BV18xpue4Eha?p=1","BV18xpue4Eha?p=1")</f>
        <v>BV18xpue4Eha?p=1</v>
      </c>
      <c r="J2287" s="4" t="str">
        <f ca="1">_xlfn.IFNA(VLOOKUP(INDIRECT("G"&amp;ROW()),minfo!$A:$M,COLUMN()-8,0),"")</f>
        <v>Melody</v>
      </c>
      <c r="K2287" s="4" t="str">
        <f ca="1">_xlfn.IFNA(VLOOKUP(INDIRECT("G"&amp;ROW()),minfo!$A:$M,COLUMN()-8,0),"")</f>
        <v>陶喆</v>
      </c>
      <c r="L2287" s="4">
        <f ca="1">_xlfn.IFNA(VLOOKUP(INDIRECT("G"&amp;ROW()),minfo!$A:$M,COLUMN()-8,0),"")</f>
        <v>0</v>
      </c>
      <c r="M2287" s="4">
        <f ca="1">_xlfn.IFNA(VLOOKUP(INDIRECT("G"&amp;ROW()),minfo!$A:$M,COLUMN()-8,0),"")</f>
        <v>0</v>
      </c>
      <c r="N2287" s="4">
        <f ca="1">_xlfn.IFNA(VLOOKUP(INDIRECT("G"&amp;ROW()),minfo!$A:$M,COLUMN()-8,0),"")</f>
        <v>0</v>
      </c>
      <c r="O2287" s="4" t="str">
        <f ca="1">_xlfn.IFNA(VLOOKUP(INDIRECT("G"&amp;ROW()),minfo!$A:$M,COLUMN()-8,0),"")</f>
        <v>https://i0.hdslb.com/bfs/station_src/music_metadata/4f85133845e2c8b25026a678708a9376.jpg</v>
      </c>
      <c r="P2287" s="4" t="str">
        <f ca="1">_xlfn.IFNA(VLOOKUP(INDIRECT("G"&amp;ROW()),minfo!$A:$M,COLUMN()-8,0),"")</f>
        <v>http://i0.hdslb.com/bfs/station_src/music_metadata/d18325416bca019d84b21a8b3f7bb651</v>
      </c>
      <c r="Q2287" s="4">
        <f ca="1">_xlfn.IFNA(VLOOKUP(INDIRECT("G"&amp;ROW()),minfo!$A:$M,COLUMN()-8,0),"")</f>
        <v>1120</v>
      </c>
      <c r="R2287" s="4">
        <f ca="1">_xlfn.IFNA(VLOOKUP(INDIRECT("G"&amp;ROW()),minfo!$A:$M,COLUMN()-8,0),"")</f>
        <v>0</v>
      </c>
      <c r="S2287" s="4" t="str">
        <f ca="1">_xlfn.IFNA(VLOOKUP(INDIRECT("G"&amp;ROW()),minfo!$A:$M,COLUMN()-8,0),"")</f>
        <v>黑色柳丁</v>
      </c>
      <c r="T2287" s="4">
        <f ca="1">_xlfn.IFNA(VLOOKUP(INDIRECT("G"&amp;ROW()),minfo!$A:$M,COLUMN()-8,0),"")</f>
        <v>113992875</v>
      </c>
      <c r="U2287" s="4">
        <f ca="1">_xlfn.IFNA(VLOOKUP(INDIRECT("G"&amp;ROW()),minfo!$A:$M,COLUMN()-8,0),"")</f>
        <v>0</v>
      </c>
    </row>
    <row r="2288" spans="1:21" ht="15.75">
      <c r="A2288" s="15">
        <v>2287</v>
      </c>
      <c r="B2288" s="4" t="s">
        <v>6329</v>
      </c>
      <c r="D2288" s="4">
        <v>1</v>
      </c>
      <c r="E2288" s="4" t="s">
        <v>918</v>
      </c>
      <c r="F2288" s="4" t="s">
        <v>6326</v>
      </c>
      <c r="G2288" s="4" t="s">
        <v>917</v>
      </c>
      <c r="H2288" s="4" t="s">
        <v>6330</v>
      </c>
      <c r="I2288" s="24" t="str">
        <f>HYPERLINK("https://www.bilibili.com/video/BV1gWpueZE5S?p=1","BV1gWpueZE5S?p=1")</f>
        <v>BV1gWpueZE5S?p=1</v>
      </c>
      <c r="J2288" s="4" t="str">
        <f ca="1">_xlfn.IFNA(VLOOKUP(INDIRECT("G"&amp;ROW()),minfo!$A:$M,COLUMN()-8,0),"")</f>
        <v>暗号</v>
      </c>
      <c r="K2288" s="4" t="str">
        <f ca="1">_xlfn.IFNA(VLOOKUP(INDIRECT("G"&amp;ROW()),minfo!$A:$M,COLUMN()-8,0),"")</f>
        <v>周杰伦</v>
      </c>
      <c r="L2288" s="4">
        <f ca="1">_xlfn.IFNA(VLOOKUP(INDIRECT("G"&amp;ROW()),minfo!$A:$M,COLUMN()-8,0),"")</f>
        <v>0</v>
      </c>
      <c r="M2288" s="4">
        <f ca="1">_xlfn.IFNA(VLOOKUP(INDIRECT("G"&amp;ROW()),minfo!$A:$M,COLUMN()-8,0),"")</f>
        <v>0</v>
      </c>
      <c r="N2288" s="4">
        <f ca="1">_xlfn.IFNA(VLOOKUP(INDIRECT("G"&amp;ROW()),minfo!$A:$M,COLUMN()-8,0),"")</f>
        <v>0</v>
      </c>
      <c r="O2288" s="4" t="str">
        <f ca="1">_xlfn.IFNA(VLOOKUP(INDIRECT("G"&amp;ROW()),minfo!$A:$M,COLUMN()-8,0),"")</f>
        <v>https://i0.hdslb.com/bfs/station_src/music_metadata/836d7078552d6143b4a27f54a2a62598.jpg</v>
      </c>
      <c r="P2288" s="4">
        <f ca="1">_xlfn.IFNA(VLOOKUP(INDIRECT("G"&amp;ROW()),minfo!$A:$M,COLUMN()-8,0),"")</f>
        <v>0</v>
      </c>
      <c r="Q2288" s="4">
        <f ca="1">_xlfn.IFNA(VLOOKUP(INDIRECT("G"&amp;ROW()),minfo!$A:$M,COLUMN()-8,0),"")</f>
        <v>8346</v>
      </c>
      <c r="R2288" s="4">
        <f ca="1">_xlfn.IFNA(VLOOKUP(INDIRECT("G"&amp;ROW()),minfo!$A:$M,COLUMN()-8,0),"")</f>
        <v>0</v>
      </c>
      <c r="S2288" s="4" t="str">
        <f ca="1">_xlfn.IFNA(VLOOKUP(INDIRECT("G"&amp;ROW()),minfo!$A:$M,COLUMN()-8,0),"")</f>
        <v>八度空间</v>
      </c>
      <c r="T2288" s="4">
        <f ca="1">_xlfn.IFNA(VLOOKUP(INDIRECT("G"&amp;ROW()),minfo!$A:$M,COLUMN()-8,0),"")</f>
        <v>445692889</v>
      </c>
      <c r="U2288" s="4">
        <f ca="1">_xlfn.IFNA(VLOOKUP(INDIRECT("G"&amp;ROW()),minfo!$A:$M,COLUMN()-8,0),"")</f>
        <v>0</v>
      </c>
    </row>
    <row r="2289" spans="1:21" ht="15.75">
      <c r="A2289" s="15">
        <v>2288</v>
      </c>
      <c r="B2289" s="4" t="s">
        <v>6331</v>
      </c>
      <c r="D2289" s="4">
        <v>1</v>
      </c>
      <c r="E2289" s="4" t="s">
        <v>359</v>
      </c>
      <c r="F2289" s="4" t="s">
        <v>6326</v>
      </c>
      <c r="G2289" s="4" t="s">
        <v>358</v>
      </c>
      <c r="H2289" s="4" t="s">
        <v>6332</v>
      </c>
      <c r="I2289" s="24" t="str">
        <f>HYPERLINK("https://www.bilibili.com/video/BV1gWpueZEie?p=1","BV1gWpueZEie?p=1")</f>
        <v>BV1gWpueZEie?p=1</v>
      </c>
      <c r="J2289" s="4" t="str">
        <f ca="1">_xlfn.IFNA(VLOOKUP(INDIRECT("G"&amp;ROW()),minfo!$A:$M,COLUMN()-8,0),"")</f>
        <v>不要忘记我爱你</v>
      </c>
      <c r="K2289" s="4" t="str">
        <f ca="1">_xlfn.IFNA(VLOOKUP(INDIRECT("G"&amp;ROW()),minfo!$A:$M,COLUMN()-8,0),"")</f>
        <v>张碧晨</v>
      </c>
      <c r="L2289" s="4">
        <f ca="1">_xlfn.IFNA(VLOOKUP(INDIRECT("G"&amp;ROW()),minfo!$A:$M,COLUMN()-8,0),"")</f>
        <v>0</v>
      </c>
      <c r="M2289" s="4">
        <f ca="1">_xlfn.IFNA(VLOOKUP(INDIRECT("G"&amp;ROW()),minfo!$A:$M,COLUMN()-8,0),"")</f>
        <v>0</v>
      </c>
      <c r="N2289" s="4">
        <f ca="1">_xlfn.IFNA(VLOOKUP(INDIRECT("G"&amp;ROW()),minfo!$A:$M,COLUMN()-8,0),"")</f>
        <v>0</v>
      </c>
      <c r="O2289" s="4" t="str">
        <f ca="1">_xlfn.IFNA(VLOOKUP(INDIRECT("G"&amp;ROW()),minfo!$A:$M,COLUMN()-8,0),"")</f>
        <v>https://i0.hdslb.com/bfs/station_src/music_metadata/89a4b343c6ddfcb41c83a237c9ede180.jpg</v>
      </c>
      <c r="P2289" s="4" t="str">
        <f ca="1">_xlfn.IFNA(VLOOKUP(INDIRECT("G"&amp;ROW()),minfo!$A:$M,COLUMN()-8,0),"")</f>
        <v>https://i0.hdslb.com/bfs/station_src/music_metadata/fb8463eff10dadf3902c622968acef08.txt</v>
      </c>
      <c r="Q2289" s="4">
        <f ca="1">_xlfn.IFNA(VLOOKUP(INDIRECT("G"&amp;ROW()),minfo!$A:$M,COLUMN()-8,0),"")</f>
        <v>314</v>
      </c>
      <c r="R2289" s="4" t="str">
        <f ca="1">_xlfn.IFNA(VLOOKUP(INDIRECT("G"&amp;ROW()),minfo!$A:$M,COLUMN()-8,0),"")</f>
        <v>《神犬小七》电视剧主题曲|《麻辣变形计第一季》电视剧主题曲</v>
      </c>
      <c r="S2289" s="4" t="str">
        <f ca="1">_xlfn.IFNA(VLOOKUP(INDIRECT("G"&amp;ROW()),minfo!$A:$M,COLUMN()-8,0),"")</f>
        <v>电视剧《神犬小七》</v>
      </c>
      <c r="T2289" s="4">
        <f ca="1">_xlfn.IFNA(VLOOKUP(INDIRECT("G"&amp;ROW()),minfo!$A:$M,COLUMN()-8,0),"")</f>
        <v>93242865</v>
      </c>
      <c r="U2289" s="4">
        <f ca="1">_xlfn.IFNA(VLOOKUP(INDIRECT("G"&amp;ROW()),minfo!$A:$M,COLUMN()-8,0),"")</f>
        <v>0</v>
      </c>
    </row>
    <row r="2290" spans="1:21" ht="15.75">
      <c r="A2290" s="15">
        <v>2289</v>
      </c>
      <c r="B2290" s="4" t="s">
        <v>6333</v>
      </c>
      <c r="D2290" s="4">
        <v>1</v>
      </c>
      <c r="E2290" s="4" t="s">
        <v>1569</v>
      </c>
      <c r="F2290" s="4" t="s">
        <v>6326</v>
      </c>
      <c r="G2290" s="4" t="s">
        <v>1568</v>
      </c>
      <c r="H2290" s="4" t="s">
        <v>6334</v>
      </c>
      <c r="I2290" s="24" t="str">
        <f>HYPERLINK("https://www.bilibili.com/video/BV1gWpueZEV5?p=1","BV1gWpueZEV5?p=1")</f>
        <v>BV1gWpueZEV5?p=1</v>
      </c>
      <c r="J2290" s="4" t="str">
        <f ca="1">_xlfn.IFNA(VLOOKUP(INDIRECT("G"&amp;ROW()),minfo!$A:$M,COLUMN()-8,0),"")</f>
        <v>风月</v>
      </c>
      <c r="K2290" s="4" t="str">
        <f ca="1">_xlfn.IFNA(VLOOKUP(INDIRECT("G"&amp;ROW()),minfo!$A:$M,COLUMN()-8,0),"")</f>
        <v>黄龄</v>
      </c>
      <c r="L2290" s="4">
        <f ca="1">_xlfn.IFNA(VLOOKUP(INDIRECT("G"&amp;ROW()),minfo!$A:$M,COLUMN()-8,0),"")</f>
        <v>0</v>
      </c>
      <c r="M2290" s="4">
        <f ca="1">_xlfn.IFNA(VLOOKUP(INDIRECT("G"&amp;ROW()),minfo!$A:$M,COLUMN()-8,0),"")</f>
        <v>0</v>
      </c>
      <c r="N2290" s="4">
        <f ca="1">_xlfn.IFNA(VLOOKUP(INDIRECT("G"&amp;ROW()),minfo!$A:$M,COLUMN()-8,0),"")</f>
        <v>0</v>
      </c>
      <c r="O2290" s="4" t="str">
        <f ca="1">_xlfn.IFNA(VLOOKUP(INDIRECT("G"&amp;ROW()),minfo!$A:$M,COLUMN()-8,0),"")</f>
        <v>https://i0.hdslb.com/bfs/station_src/music_metadata/874d427c68cbd11ec3a0c97a238991cf.jpg</v>
      </c>
      <c r="P2290" s="4">
        <f ca="1">_xlfn.IFNA(VLOOKUP(INDIRECT("G"&amp;ROW()),minfo!$A:$M,COLUMN()-8,0),"")</f>
        <v>0</v>
      </c>
      <c r="Q2290" s="4">
        <f ca="1">_xlfn.IFNA(VLOOKUP(INDIRECT("G"&amp;ROW()),minfo!$A:$M,COLUMN()-8,0),"")</f>
        <v>778</v>
      </c>
      <c r="R2290" s="4">
        <f ca="1">_xlfn.IFNA(VLOOKUP(INDIRECT("G"&amp;ROW()),minfo!$A:$M,COLUMN()-8,0),"")</f>
        <v>0</v>
      </c>
      <c r="S2290" s="4" t="str">
        <f ca="1">_xlfn.IFNA(VLOOKUP(INDIRECT("G"&amp;ROW()),minfo!$A:$M,COLUMN()-8,0),"")</f>
        <v>2020最美的夜 bilibili晚会</v>
      </c>
      <c r="T2290" s="4">
        <f ca="1">_xlfn.IFNA(VLOOKUP(INDIRECT("G"&amp;ROW()),minfo!$A:$M,COLUMN()-8,0),"")</f>
        <v>174632458</v>
      </c>
      <c r="U2290" s="4">
        <f ca="1">_xlfn.IFNA(VLOOKUP(INDIRECT("G"&amp;ROW()),minfo!$A:$M,COLUMN()-8,0),"")</f>
        <v>0</v>
      </c>
    </row>
    <row r="2291" spans="1:21" ht="15.75">
      <c r="A2291" s="15">
        <v>2290</v>
      </c>
      <c r="B2291" s="4" t="s">
        <v>5973</v>
      </c>
      <c r="D2291" s="4">
        <v>1</v>
      </c>
      <c r="E2291" s="4" t="s">
        <v>384</v>
      </c>
      <c r="F2291" s="4" t="s">
        <v>6326</v>
      </c>
      <c r="G2291" s="4" t="s">
        <v>383</v>
      </c>
      <c r="H2291" s="4" t="s">
        <v>6335</v>
      </c>
      <c r="I2291" s="24" t="str">
        <f>HYPERLINK("https://www.bilibili.com/video/BV1RjpueYEnX?p=1","BV1RjpueYEnX?p=1")</f>
        <v>BV1RjpueYEnX?p=1</v>
      </c>
      <c r="J2291" s="4" t="str">
        <f ca="1">_xlfn.IFNA(VLOOKUP(INDIRECT("G"&amp;ROW()),minfo!$A:$M,COLUMN()-8,0),"")</f>
        <v>恰好</v>
      </c>
      <c r="K2291" s="4" t="str">
        <f ca="1">_xlfn.IFNA(VLOOKUP(INDIRECT("G"&amp;ROW()),minfo!$A:$M,COLUMN()-8,0),"")</f>
        <v>黄龄,李鑫一</v>
      </c>
      <c r="L2291" s="4">
        <f ca="1">_xlfn.IFNA(VLOOKUP(INDIRECT("G"&amp;ROW()),minfo!$A:$M,COLUMN()-8,0),"")</f>
        <v>0</v>
      </c>
      <c r="M2291" s="4">
        <f ca="1">_xlfn.IFNA(VLOOKUP(INDIRECT("G"&amp;ROW()),minfo!$A:$M,COLUMN()-8,0),"")</f>
        <v>0</v>
      </c>
      <c r="N2291" s="4">
        <f ca="1">_xlfn.IFNA(VLOOKUP(INDIRECT("G"&amp;ROW()),minfo!$A:$M,COLUMN()-8,0),"")</f>
        <v>0</v>
      </c>
      <c r="O2291" s="4" t="str">
        <f ca="1">_xlfn.IFNA(VLOOKUP(INDIRECT("G"&amp;ROW()),minfo!$A:$M,COLUMN()-8,0),"")</f>
        <v>https://i0.hdslb.com/bfs/station_src/music_metadata/4114b5dce4dc2e8fa6d696106a6624eb.jpg</v>
      </c>
      <c r="P2291" s="4" t="str">
        <f ca="1">_xlfn.IFNA(VLOOKUP(INDIRECT("G"&amp;ROW()),minfo!$A:$M,COLUMN()-8,0),"")</f>
        <v>https://i0.hdslb.com/bfs/station_src/music_metadata/7105373054bbacbd0af01ee959bcd5e2.txt</v>
      </c>
      <c r="Q2291" s="4">
        <f ca="1">_xlfn.IFNA(VLOOKUP(INDIRECT("G"&amp;ROW()),minfo!$A:$M,COLUMN()-8,0),"")</f>
        <v>0</v>
      </c>
      <c r="R2291" s="4">
        <f ca="1">_xlfn.IFNA(VLOOKUP(INDIRECT("G"&amp;ROW()),minfo!$A:$M,COLUMN()-8,0),"")</f>
        <v>0</v>
      </c>
      <c r="S2291" s="4" t="str">
        <f ca="1">_xlfn.IFNA(VLOOKUP(INDIRECT("G"&amp;ROW()),minfo!$A:$M,COLUMN()-8,0),"")</f>
        <v>天赐的声音第二季 第9期</v>
      </c>
      <c r="T2291" s="4">
        <f ca="1">_xlfn.IFNA(VLOOKUP(INDIRECT("G"&amp;ROW()),minfo!$A:$M,COLUMN()-8,0),"")</f>
        <v>436159</v>
      </c>
      <c r="U2291" s="4">
        <f ca="1">_xlfn.IFNA(VLOOKUP(INDIRECT("G"&amp;ROW()),minfo!$A:$M,COLUMN()-8,0),"")</f>
        <v>0</v>
      </c>
    </row>
    <row r="2292" spans="1:21" ht="15.75">
      <c r="A2292" s="15">
        <v>2291</v>
      </c>
      <c r="B2292" s="4" t="s">
        <v>6336</v>
      </c>
      <c r="D2292" s="4">
        <v>1</v>
      </c>
      <c r="E2292" s="4" t="s">
        <v>3519</v>
      </c>
      <c r="F2292" s="4" t="s">
        <v>6326</v>
      </c>
      <c r="G2292" s="4" t="s">
        <v>3228</v>
      </c>
      <c r="H2292" s="4" t="s">
        <v>6337</v>
      </c>
      <c r="I2292" s="24" t="str">
        <f>HYPERLINK("https://www.bilibili.com/video/BV1VjpueYESQ?p=1","BV1VjpueYESQ?p=1")</f>
        <v>BV1VjpueYESQ?p=1</v>
      </c>
      <c r="J2292" s="4" t="str">
        <f ca="1">_xlfn.IFNA(VLOOKUP(INDIRECT("G"&amp;ROW()),minfo!$A:$M,COLUMN()-8,0),"")</f>
        <v>Scarborough Fair</v>
      </c>
      <c r="K2292" s="4" t="str">
        <f ca="1">_xlfn.IFNA(VLOOKUP(INDIRECT("G"&amp;ROW()),minfo!$A:$M,COLUMN()-8,0),"")</f>
        <v>Sarah Brightman</v>
      </c>
      <c r="L2292" s="4">
        <f ca="1">_xlfn.IFNA(VLOOKUP(INDIRECT("G"&amp;ROW()),minfo!$A:$M,COLUMN()-8,0),"")</f>
        <v>0</v>
      </c>
      <c r="M2292" s="4">
        <f ca="1">_xlfn.IFNA(VLOOKUP(INDIRECT("G"&amp;ROW()),minfo!$A:$M,COLUMN()-8,0),"")</f>
        <v>0</v>
      </c>
      <c r="N2292" s="4">
        <f ca="1">_xlfn.IFNA(VLOOKUP(INDIRECT("G"&amp;ROW()),minfo!$A:$M,COLUMN()-8,0),"")</f>
        <v>0</v>
      </c>
      <c r="O2292" s="4" t="str">
        <f ca="1">_xlfn.IFNA(VLOOKUP(INDIRECT("G"&amp;ROW()),minfo!$A:$M,COLUMN()-8,0),"")</f>
        <v>https://i0.hdslb.com/bfs/station_src/music_metadata/48bef0e727999b35aebee8cbff39db41.jpg</v>
      </c>
      <c r="P2292" s="4" t="str">
        <f ca="1">_xlfn.IFNA(VLOOKUP(INDIRECT("G"&amp;ROW()),minfo!$A:$M,COLUMN()-8,0),"")</f>
        <v>http://i0.hdslb.com/bfs/station_src/music_metadata/876b09ac2dd091cc969627e86c8ef88b</v>
      </c>
      <c r="Q2292" s="4">
        <f ca="1">_xlfn.IFNA(VLOOKUP(INDIRECT("G"&amp;ROW()),minfo!$A:$M,COLUMN()-8,0),"")</f>
        <v>2959</v>
      </c>
      <c r="R2292" s="4" t="str">
        <f ca="1">_xlfn.IFNA(VLOOKUP(INDIRECT("G"&amp;ROW()),minfo!$A:$M,COLUMN()-8,0),"")</f>
        <v>《毕业生》电影插曲</v>
      </c>
      <c r="S2292" s="4" t="str">
        <f ca="1">_xlfn.IFNA(VLOOKUP(INDIRECT("G"&amp;ROW()),minfo!$A:$M,COLUMN()-8,0),"")</f>
        <v>La Luna</v>
      </c>
      <c r="T2292" s="4">
        <f ca="1">_xlfn.IFNA(VLOOKUP(INDIRECT("G"&amp;ROW()),minfo!$A:$M,COLUMN()-8,0),"")</f>
        <v>111657012</v>
      </c>
      <c r="U2292" s="4">
        <f ca="1">_xlfn.IFNA(VLOOKUP(INDIRECT("G"&amp;ROW()),minfo!$A:$M,COLUMN()-8,0),"")</f>
        <v>0</v>
      </c>
    </row>
    <row r="2293" spans="1:21" ht="15.75">
      <c r="A2293" s="15">
        <v>2292</v>
      </c>
      <c r="B2293" s="4" t="s">
        <v>6338</v>
      </c>
      <c r="D2293" s="4">
        <v>1</v>
      </c>
      <c r="E2293" s="4" t="s">
        <v>2174</v>
      </c>
      <c r="F2293" s="4" t="s">
        <v>6326</v>
      </c>
      <c r="G2293" s="4" t="s">
        <v>2173</v>
      </c>
      <c r="H2293" s="4" t="s">
        <v>6339</v>
      </c>
      <c r="I2293" s="24" t="str">
        <f>HYPERLINK("https://www.bilibili.com/video/BV1vjpueYEFj?p=1","BV1vjpueYEFj?p=1")</f>
        <v>BV1vjpueYEFj?p=1</v>
      </c>
      <c r="J2293" s="4" t="str">
        <f ca="1">_xlfn.IFNA(VLOOKUP(INDIRECT("G"&amp;ROW()),minfo!$A:$M,COLUMN()-8,0),"")</f>
        <v>下一秒</v>
      </c>
      <c r="K2293" s="4" t="str">
        <f ca="1">_xlfn.IFNA(VLOOKUP(INDIRECT("G"&amp;ROW()),minfo!$A:$M,COLUMN()-8,0),"")</f>
        <v>张碧晨</v>
      </c>
      <c r="L2293" s="4">
        <f ca="1">_xlfn.IFNA(VLOOKUP(INDIRECT("G"&amp;ROW()),minfo!$A:$M,COLUMN()-8,0),"")</f>
        <v>0</v>
      </c>
      <c r="M2293" s="4">
        <f ca="1">_xlfn.IFNA(VLOOKUP(INDIRECT("G"&amp;ROW()),minfo!$A:$M,COLUMN()-8,0),"")</f>
        <v>0</v>
      </c>
      <c r="N2293" s="4">
        <f ca="1">_xlfn.IFNA(VLOOKUP(INDIRECT("G"&amp;ROW()),minfo!$A:$M,COLUMN()-8,0),"")</f>
        <v>0</v>
      </c>
      <c r="O2293" s="4" t="str">
        <f ca="1">_xlfn.IFNA(VLOOKUP(INDIRECT("G"&amp;ROW()),minfo!$A:$M,COLUMN()-8,0),"")</f>
        <v>https://i0.hdslb.com/bfs/station_src/music_metadata/6872f1b54953c3f8995ca1016c37bc7e.jpg</v>
      </c>
      <c r="P2293" s="4" t="str">
        <f ca="1">_xlfn.IFNA(VLOOKUP(INDIRECT("G"&amp;ROW()),minfo!$A:$M,COLUMN()-8,0),"")</f>
        <v>https://i0.hdslb.com/bfs/station_src/music_metadata/1e9379d2c2519b801336eeb5ea49452d.txt</v>
      </c>
      <c r="Q2293" s="4">
        <f ca="1">_xlfn.IFNA(VLOOKUP(INDIRECT("G"&amp;ROW()),minfo!$A:$M,COLUMN()-8,0),"")</f>
        <v>448</v>
      </c>
      <c r="R2293" s="4" t="str">
        <f ca="1">_xlfn.IFNA(VLOOKUP(INDIRECT("G"&amp;ROW()),minfo!$A:$M,COLUMN()-8,0),"")</f>
        <v>《微微一笑很倾城》电视剧插曲</v>
      </c>
      <c r="S2293" s="4" t="str">
        <f ca="1">_xlfn.IFNA(VLOOKUP(INDIRECT("G"&amp;ROW()),minfo!$A:$M,COLUMN()-8,0),"")</f>
        <v>微微一笑很倾城 电视剧原声带</v>
      </c>
      <c r="T2293" s="4">
        <f ca="1">_xlfn.IFNA(VLOOKUP(INDIRECT("G"&amp;ROW()),minfo!$A:$M,COLUMN()-8,0),"")</f>
        <v>175752637</v>
      </c>
      <c r="U2293" s="4">
        <f ca="1">_xlfn.IFNA(VLOOKUP(INDIRECT("G"&amp;ROW()),minfo!$A:$M,COLUMN()-8,0),"")</f>
        <v>0</v>
      </c>
    </row>
    <row r="2294" spans="1:21" ht="15.75">
      <c r="A2294" s="15">
        <v>2293</v>
      </c>
      <c r="B2294" s="4" t="s">
        <v>6340</v>
      </c>
      <c r="D2294" s="4">
        <v>1</v>
      </c>
      <c r="E2294" s="4" t="s">
        <v>812</v>
      </c>
      <c r="F2294" s="4" t="s">
        <v>6326</v>
      </c>
      <c r="G2294" s="4" t="s">
        <v>811</v>
      </c>
      <c r="H2294" s="4" t="s">
        <v>6341</v>
      </c>
      <c r="I2294" s="24" t="str">
        <f>HYPERLINK("https://www.bilibili.com/video/BV1vjpueYEAj?p=1","BV1vjpueYEAj?p=1")</f>
        <v>BV1vjpueYEAj?p=1</v>
      </c>
      <c r="J2294" s="4" t="str">
        <f ca="1">_xlfn.IFNA(VLOOKUP(INDIRECT("G"&amp;ROW()),minfo!$A:$M,COLUMN()-8,0),"")</f>
        <v>下雨的夜晚</v>
      </c>
      <c r="K2294" s="4" t="str">
        <f ca="1">_xlfn.IFNA(VLOOKUP(INDIRECT("G"&amp;ROW()),minfo!$A:$M,COLUMN()-8,0),"")</f>
        <v>苏打绿</v>
      </c>
      <c r="L2294" s="4">
        <f ca="1">_xlfn.IFNA(VLOOKUP(INDIRECT("G"&amp;ROW()),minfo!$A:$M,COLUMN()-8,0),"")</f>
        <v>0</v>
      </c>
      <c r="M2294" s="4">
        <f ca="1">_xlfn.IFNA(VLOOKUP(INDIRECT("G"&amp;ROW()),minfo!$A:$M,COLUMN()-8,0),"")</f>
        <v>0</v>
      </c>
      <c r="N2294" s="4">
        <f ca="1">_xlfn.IFNA(VLOOKUP(INDIRECT("G"&amp;ROW()),minfo!$A:$M,COLUMN()-8,0),"")</f>
        <v>0</v>
      </c>
      <c r="O2294" s="4" t="str">
        <f ca="1">_xlfn.IFNA(VLOOKUP(INDIRECT("G"&amp;ROW()),minfo!$A:$M,COLUMN()-8,0),"")</f>
        <v>https://i0.hdslb.com/bfs/station_src/music_metadata/515892bd2a4d344caf93fec714c813be.jpg</v>
      </c>
      <c r="P2294" s="4">
        <f ca="1">_xlfn.IFNA(VLOOKUP(INDIRECT("G"&amp;ROW()),minfo!$A:$M,COLUMN()-8,0),"")</f>
        <v>0</v>
      </c>
      <c r="Q2294" s="4">
        <f ca="1">_xlfn.IFNA(VLOOKUP(INDIRECT("G"&amp;ROW()),minfo!$A:$M,COLUMN()-8,0),"")</f>
        <v>14</v>
      </c>
      <c r="R2294" s="4">
        <f ca="1">_xlfn.IFNA(VLOOKUP(INDIRECT("G"&amp;ROW()),minfo!$A:$M,COLUMN()-8,0),"")</f>
        <v>0</v>
      </c>
      <c r="S2294" s="4" t="str">
        <f ca="1">_xlfn.IFNA(VLOOKUP(INDIRECT("G"&amp;ROW()),minfo!$A:$M,COLUMN()-8,0),"")</f>
        <v>冬 未了</v>
      </c>
      <c r="T2294" s="4">
        <f ca="1">_xlfn.IFNA(VLOOKUP(INDIRECT("G"&amp;ROW()),minfo!$A:$M,COLUMN()-8,0),"")</f>
        <v>3649724</v>
      </c>
      <c r="U2294" s="4">
        <f ca="1">_xlfn.IFNA(VLOOKUP(INDIRECT("G"&amp;ROW()),minfo!$A:$M,COLUMN()-8,0),"")</f>
        <v>0</v>
      </c>
    </row>
    <row r="2295" spans="1:21" ht="15.75">
      <c r="A2295" s="15">
        <v>2294</v>
      </c>
      <c r="B2295" s="4" t="s">
        <v>6342</v>
      </c>
      <c r="D2295" s="4">
        <v>1</v>
      </c>
      <c r="E2295" s="4" t="s">
        <v>3521</v>
      </c>
      <c r="F2295" s="4" t="s">
        <v>6326</v>
      </c>
      <c r="G2295" s="4" t="s">
        <v>3520</v>
      </c>
      <c r="H2295" s="4" t="s">
        <v>6343</v>
      </c>
      <c r="I2295" s="24" t="str">
        <f>HYPERLINK("https://www.bilibili.com/video/BV15LpuePEaG?p=1","BV15LpuePEaG?p=1")</f>
        <v>BV15LpuePEaG?p=1</v>
      </c>
      <c r="J2295" s="4" t="str">
        <f ca="1">_xlfn.IFNA(VLOOKUP(INDIRECT("G"&amp;ROW()),minfo!$A:$M,COLUMN()-8,0),"")</f>
        <v>字字句句</v>
      </c>
      <c r="K2295" s="4" t="str">
        <f ca="1">_xlfn.IFNA(VLOOKUP(INDIRECT("G"&amp;ROW()),minfo!$A:$M,COLUMN()-8,0),"")</f>
        <v>卢卢快闭嘴</v>
      </c>
      <c r="L2295" s="4">
        <f ca="1">_xlfn.IFNA(VLOOKUP(INDIRECT("G"&amp;ROW()),minfo!$A:$M,COLUMN()-8,0),"")</f>
        <v>0</v>
      </c>
      <c r="M2295" s="4">
        <f ca="1">_xlfn.IFNA(VLOOKUP(INDIRECT("G"&amp;ROW()),minfo!$A:$M,COLUMN()-8,0),"")</f>
        <v>0</v>
      </c>
      <c r="N2295" s="4">
        <f ca="1">_xlfn.IFNA(VLOOKUP(INDIRECT("G"&amp;ROW()),minfo!$A:$M,COLUMN()-8,0),"")</f>
        <v>0</v>
      </c>
      <c r="O2295" s="4" t="str">
        <f ca="1">_xlfn.IFNA(VLOOKUP(INDIRECT("G"&amp;ROW()),minfo!$A:$M,COLUMN()-8,0),"")</f>
        <v>https://i0.hdslb.com/bfs/station_src/music_metadata/8f18ad8b349f8aba0c3ac01eb9c17e52.jpg</v>
      </c>
      <c r="P2295" s="4">
        <f ca="1">_xlfn.IFNA(VLOOKUP(INDIRECT("G"&amp;ROW()),minfo!$A:$M,COLUMN()-8,0),"")</f>
        <v>0</v>
      </c>
      <c r="Q2295" s="4">
        <f ca="1">_xlfn.IFNA(VLOOKUP(INDIRECT("G"&amp;ROW()),minfo!$A:$M,COLUMN()-8,0),"")</f>
        <v>448</v>
      </c>
      <c r="R2295" s="4">
        <f ca="1">_xlfn.IFNA(VLOOKUP(INDIRECT("G"&amp;ROW()),minfo!$A:$M,COLUMN()-8,0),"")</f>
        <v>0</v>
      </c>
      <c r="S2295" s="4" t="str">
        <f ca="1">_xlfn.IFNA(VLOOKUP(INDIRECT("G"&amp;ROW()),minfo!$A:$M,COLUMN()-8,0),"")</f>
        <v>字字句句</v>
      </c>
      <c r="T2295" s="4">
        <f ca="1">_xlfn.IFNA(VLOOKUP(INDIRECT("G"&amp;ROW()),minfo!$A:$M,COLUMN()-8,0),"")</f>
        <v>64033545</v>
      </c>
      <c r="U2295" s="4" t="str">
        <f ca="1">_xlfn.IFNA(VLOOKUP(INDIRECT("G"&amp;ROW()),minfo!$A:$M,COLUMN()-8,0),"")</f>
        <v>音乐榜最高NO.20</v>
      </c>
    </row>
    <row r="2296" spans="1:21" ht="15.75">
      <c r="A2296" s="15">
        <v>2295</v>
      </c>
      <c r="B2296" s="4" t="s">
        <v>6344</v>
      </c>
      <c r="D2296" s="4">
        <v>1</v>
      </c>
      <c r="E2296" s="4" t="s">
        <v>2375</v>
      </c>
      <c r="F2296" s="4" t="s">
        <v>6345</v>
      </c>
      <c r="G2296" s="4" t="s">
        <v>2374</v>
      </c>
      <c r="H2296" s="4" t="s">
        <v>6346</v>
      </c>
      <c r="I2296" s="24" t="str">
        <f>HYPERLINK("https://www.bilibili.com/video/BV1Urp4euEb5?p=1","BV1Urp4euEb5?p=1")</f>
        <v>BV1Urp4euEb5?p=1</v>
      </c>
      <c r="J2296" s="4" t="str">
        <f ca="1">_xlfn.IFNA(VLOOKUP(INDIRECT("G"&amp;ROW()),minfo!$A:$M,COLUMN()-8,0),"")</f>
        <v>那年夏天宁静的海</v>
      </c>
      <c r="K2296" s="4" t="str">
        <f ca="1">_xlfn.IFNA(VLOOKUP(INDIRECT("G"&amp;ROW()),minfo!$A:$M,COLUMN()-8,0),"")</f>
        <v>王心凌</v>
      </c>
      <c r="L2296" s="4">
        <f ca="1">_xlfn.IFNA(VLOOKUP(INDIRECT("G"&amp;ROW()),minfo!$A:$M,COLUMN()-8,0),"")</f>
        <v>0</v>
      </c>
      <c r="M2296" s="4">
        <f ca="1">_xlfn.IFNA(VLOOKUP(INDIRECT("G"&amp;ROW()),minfo!$A:$M,COLUMN()-8,0),"")</f>
        <v>11</v>
      </c>
      <c r="N2296" s="4">
        <f ca="1">_xlfn.IFNA(VLOOKUP(INDIRECT("G"&amp;ROW()),minfo!$A:$M,COLUMN()-8,0),"")</f>
        <v>3</v>
      </c>
      <c r="O2296" s="4" t="str">
        <f ca="1">_xlfn.IFNA(VLOOKUP(INDIRECT("G"&amp;ROW()),minfo!$A:$M,COLUMN()-8,0),"")</f>
        <v>https://i0.hdslb.com/bfs/station_src/music_metadata/08f5cfe3aeebd61a373ab5fe0b7ca72e.jpg</v>
      </c>
      <c r="P2296" s="4" t="str">
        <f ca="1">_xlfn.IFNA(VLOOKUP(INDIRECT("G"&amp;ROW()),minfo!$A:$M,COLUMN()-8,0),"")</f>
        <v>http://i0.hdslb.com/bfs/station_src/music_metadata/9772e8ba809b3fbd6ee51d206ab6e5b7</v>
      </c>
      <c r="Q2296" s="4">
        <f ca="1">_xlfn.IFNA(VLOOKUP(INDIRECT("G"&amp;ROW()),minfo!$A:$M,COLUMN()-8,0),"")</f>
        <v>328</v>
      </c>
      <c r="R2296" s="4">
        <f ca="1">_xlfn.IFNA(VLOOKUP(INDIRECT("G"&amp;ROW()),minfo!$A:$M,COLUMN()-8,0),"")</f>
        <v>0</v>
      </c>
      <c r="S2296" s="4" t="str">
        <f ca="1">_xlfn.IFNA(VLOOKUP(INDIRECT("G"&amp;ROW()),minfo!$A:$M,COLUMN()-8,0),"")</f>
        <v>Magic Cyndi</v>
      </c>
      <c r="T2296" s="4">
        <f ca="1">_xlfn.IFNA(VLOOKUP(INDIRECT("G"&amp;ROW()),minfo!$A:$M,COLUMN()-8,0),"")</f>
        <v>26340486</v>
      </c>
      <c r="U2296" s="4" t="str">
        <f ca="1">_xlfn.IFNA(VLOOKUP(INDIRECT("G"&amp;ROW()),minfo!$A:$M,COLUMN()-8,0),"")</f>
        <v>音乐榜最高NO.15</v>
      </c>
    </row>
    <row r="2297" spans="1:21" ht="15.75">
      <c r="A2297" s="15">
        <v>2296</v>
      </c>
      <c r="B2297" s="4" t="s">
        <v>6347</v>
      </c>
      <c r="D2297" s="4">
        <v>1</v>
      </c>
      <c r="E2297" s="4" t="s">
        <v>1388</v>
      </c>
      <c r="F2297" s="4" t="s">
        <v>6345</v>
      </c>
      <c r="G2297" s="4" t="s">
        <v>2894</v>
      </c>
      <c r="H2297" s="4" t="s">
        <v>6348</v>
      </c>
      <c r="I2297" s="24" t="str">
        <f>HYPERLINK("https://www.bilibili.com/video/BV1sup4ewEFY?p=1","BV1sup4ewEFY?p=1")</f>
        <v>BV1sup4ewEFY?p=1</v>
      </c>
      <c r="J2297" s="4" t="str">
        <f ca="1">_xlfn.IFNA(VLOOKUP(INDIRECT("G"&amp;ROW()),minfo!$A:$M,COLUMN()-8,0),"")</f>
        <v>梨花又开放</v>
      </c>
      <c r="K2297" s="4" t="str">
        <f ca="1">_xlfn.IFNA(VLOOKUP(INDIRECT("G"&amp;ROW()),minfo!$A:$M,COLUMN()-8,0),"")</f>
        <v>周峰</v>
      </c>
      <c r="L2297" s="4">
        <f ca="1">_xlfn.IFNA(VLOOKUP(INDIRECT("G"&amp;ROW()),minfo!$A:$M,COLUMN()-8,0),"")</f>
        <v>0</v>
      </c>
      <c r="M2297" s="4">
        <f ca="1">_xlfn.IFNA(VLOOKUP(INDIRECT("G"&amp;ROW()),minfo!$A:$M,COLUMN()-8,0),"")</f>
        <v>0</v>
      </c>
      <c r="N2297" s="4">
        <f ca="1">_xlfn.IFNA(VLOOKUP(INDIRECT("G"&amp;ROW()),minfo!$A:$M,COLUMN()-8,0),"")</f>
        <v>0</v>
      </c>
      <c r="O2297" s="4" t="str">
        <f ca="1">_xlfn.IFNA(VLOOKUP(INDIRECT("G"&amp;ROW()),minfo!$A:$M,COLUMN()-8,0),"")</f>
        <v>https://i0.hdslb.com/bfs/station_src/music_metadata/5e2ec185bfe0b01a499ae1b0b579d167.jpg</v>
      </c>
      <c r="P2297" s="4" t="str">
        <f ca="1">_xlfn.IFNA(VLOOKUP(INDIRECT("G"&amp;ROW()),minfo!$A:$M,COLUMN()-8,0),"")</f>
        <v>https://i0.hdslb.com/bfs/station_src/music_metadata/04d7571fd896b00132c21369fc27e499.txt</v>
      </c>
      <c r="Q2297" s="4">
        <f ca="1">_xlfn.IFNA(VLOOKUP(INDIRECT("G"&amp;ROW()),minfo!$A:$M,COLUMN()-8,0),"")</f>
        <v>7</v>
      </c>
      <c r="R2297" s="4">
        <f ca="1">_xlfn.IFNA(VLOOKUP(INDIRECT("G"&amp;ROW()),minfo!$A:$M,COLUMN()-8,0),"")</f>
        <v>0</v>
      </c>
      <c r="S2297" s="4" t="str">
        <f ca="1">_xlfn.IFNA(VLOOKUP(INDIRECT("G"&amp;ROW()),minfo!$A:$M,COLUMN()-8,0),"")</f>
        <v>2006超级女声10强入围赛第一场</v>
      </c>
      <c r="T2297" s="4">
        <f ca="1">_xlfn.IFNA(VLOOKUP(INDIRECT("G"&amp;ROW()),minfo!$A:$M,COLUMN()-8,0),"")</f>
        <v>3793203</v>
      </c>
      <c r="U2297" s="4">
        <f ca="1">_xlfn.IFNA(VLOOKUP(INDIRECT("G"&amp;ROW()),minfo!$A:$M,COLUMN()-8,0),"")</f>
        <v>0</v>
      </c>
    </row>
    <row r="2298" spans="1:21" ht="15.75">
      <c r="A2298" s="15">
        <v>2297</v>
      </c>
      <c r="B2298" s="4" t="s">
        <v>6349</v>
      </c>
      <c r="D2298" s="4">
        <v>1</v>
      </c>
      <c r="E2298" s="4" t="s">
        <v>2368</v>
      </c>
      <c r="F2298" s="4" t="s">
        <v>6345</v>
      </c>
      <c r="G2298" s="4" t="s">
        <v>2694</v>
      </c>
      <c r="H2298" s="4" t="s">
        <v>6350</v>
      </c>
      <c r="I2298" s="24" t="str">
        <f>HYPERLINK("https://www.bilibili.com/video/BV1Pup4ewEuS?p=1","BV1Pup4ewEuS?p=1")</f>
        <v>BV1Pup4ewEuS?p=1</v>
      </c>
      <c r="J2298" s="4" t="str">
        <f ca="1">_xlfn.IFNA(VLOOKUP(INDIRECT("G"&amp;ROW()),minfo!$A:$M,COLUMN()-8,0),"")</f>
        <v>爱你</v>
      </c>
      <c r="K2298" s="4" t="str">
        <f ca="1">_xlfn.IFNA(VLOOKUP(INDIRECT("G"&amp;ROW()),minfo!$A:$M,COLUMN()-8,0),"")</f>
        <v>王心凌</v>
      </c>
      <c r="L2298" s="4">
        <f ca="1">_xlfn.IFNA(VLOOKUP(INDIRECT("G"&amp;ROW()),minfo!$A:$M,COLUMN()-8,0),"")</f>
        <v>0</v>
      </c>
      <c r="M2298" s="4">
        <f ca="1">_xlfn.IFNA(VLOOKUP(INDIRECT("G"&amp;ROW()),minfo!$A:$M,COLUMN()-8,0),"")</f>
        <v>35</v>
      </c>
      <c r="N2298" s="4">
        <f ca="1">_xlfn.IFNA(VLOOKUP(INDIRECT("G"&amp;ROW()),minfo!$A:$M,COLUMN()-8,0),"")</f>
        <v>29</v>
      </c>
      <c r="O2298" s="4" t="str">
        <f ca="1">_xlfn.IFNA(VLOOKUP(INDIRECT("G"&amp;ROW()),minfo!$A:$M,COLUMN()-8,0),"")</f>
        <v>http://i0.hdslb.com/bfs/station_src/music_metadata/a9b43805ff5aa92d45ef62bce0afe1ea.jpg</v>
      </c>
      <c r="P2298" s="4" t="str">
        <f ca="1">_xlfn.IFNA(VLOOKUP(INDIRECT("G"&amp;ROW()),minfo!$A:$M,COLUMN()-8,0),"")</f>
        <v>http://i0.hdslb.com/bfs/station_src/music_metadata/24997dd0952e21fd7706e781e8adb905</v>
      </c>
      <c r="Q2298" s="4">
        <f ca="1">_xlfn.IFNA(VLOOKUP(INDIRECT("G"&amp;ROW()),minfo!$A:$M,COLUMN()-8,0),"")</f>
        <v>17697</v>
      </c>
      <c r="R2298" s="4" t="str">
        <f ca="1">_xlfn.IFNA(VLOOKUP(INDIRECT("G"&amp;ROW()),minfo!$A:$M,COLUMN()-8,0),"")</f>
        <v>情话多说一点</v>
      </c>
      <c r="S2298" s="4" t="str">
        <f ca="1">_xlfn.IFNA(VLOOKUP(INDIRECT("G"&amp;ROW()),minfo!$A:$M,COLUMN()-8,0),"")</f>
        <v>爱你</v>
      </c>
      <c r="T2298" s="4">
        <f ca="1">_xlfn.IFNA(VLOOKUP(INDIRECT("G"&amp;ROW()),minfo!$A:$M,COLUMN()-8,0),"")</f>
        <v>1465329274</v>
      </c>
      <c r="U2298" s="4" t="str">
        <f ca="1">_xlfn.IFNA(VLOOKUP(INDIRECT("G"&amp;ROW()),minfo!$A:$M,COLUMN()-8,0),"")</f>
        <v>音乐榜最高NO.1</v>
      </c>
    </row>
    <row r="2299" spans="1:21" ht="15.75">
      <c r="A2299" s="15">
        <v>2298</v>
      </c>
      <c r="B2299" s="4" t="s">
        <v>6351</v>
      </c>
      <c r="D2299" s="4">
        <v>1</v>
      </c>
      <c r="E2299" s="4" t="s">
        <v>3141</v>
      </c>
      <c r="F2299" s="4" t="s">
        <v>6345</v>
      </c>
      <c r="G2299" s="4" t="s">
        <v>3140</v>
      </c>
      <c r="H2299" s="4" t="s">
        <v>6352</v>
      </c>
      <c r="I2299" s="24" t="str">
        <f>HYPERLINK("https://www.bilibili.com/video/BV1NTp4eYEJy?p=1","BV1NTp4eYEJy?p=1")</f>
        <v>BV1NTp4eYEJy?p=1</v>
      </c>
      <c r="J2299" s="4" t="str">
        <f ca="1">_xlfn.IFNA(VLOOKUP(INDIRECT("G"&amp;ROW()),minfo!$A:$M,COLUMN()-8,0),"")</f>
        <v>当你</v>
      </c>
      <c r="K2299" s="4" t="str">
        <f ca="1">_xlfn.IFNA(VLOOKUP(INDIRECT("G"&amp;ROW()),minfo!$A:$M,COLUMN()-8,0),"")</f>
        <v>王心凌</v>
      </c>
      <c r="L2299" s="4" t="str">
        <f ca="1">_xlfn.IFNA(VLOOKUP(INDIRECT("G"&amp;ROW()),minfo!$A:$M,COLUMN()-8,0),"")</f>
        <v>BV1rv4y1f7kh</v>
      </c>
      <c r="M2299" s="4">
        <f ca="1">_xlfn.IFNA(VLOOKUP(INDIRECT("G"&amp;ROW()),minfo!$A:$M,COLUMN()-8,0),"")</f>
        <v>14</v>
      </c>
      <c r="N2299" s="4">
        <f ca="1">_xlfn.IFNA(VLOOKUP(INDIRECT("G"&amp;ROW()),minfo!$A:$M,COLUMN()-8,0),"")</f>
        <v>2</v>
      </c>
      <c r="O2299" s="4" t="str">
        <f ca="1">_xlfn.IFNA(VLOOKUP(INDIRECT("G"&amp;ROW()),minfo!$A:$M,COLUMN()-8,0),"")</f>
        <v>https://i0.hdslb.com/bfs/station_src/music_metadata/d171cd11917e0385262f9cb1564fcb3b.jpg</v>
      </c>
      <c r="P2299" s="4" t="str">
        <f ca="1">_xlfn.IFNA(VLOOKUP(INDIRECT("G"&amp;ROW()),minfo!$A:$M,COLUMN()-8,0),"")</f>
        <v>http://i0.hdslb.com/bfs/station_src/music_metadata/86667b348835d329c8074baaa6a4db56</v>
      </c>
      <c r="Q2299" s="4">
        <f ca="1">_xlfn.IFNA(VLOOKUP(INDIRECT("G"&amp;ROW()),minfo!$A:$M,COLUMN()-8,0),"")</f>
        <v>711</v>
      </c>
      <c r="R2299" s="4" t="str">
        <f ca="1">_xlfn.IFNA(VLOOKUP(INDIRECT("G"&amp;ROW()),minfo!$A:$M,COLUMN()-8,0),"")</f>
        <v>《背叛爱情》电视剧中文版主题曲</v>
      </c>
      <c r="S2299" s="4" t="str">
        <f ca="1">_xlfn.IFNA(VLOOKUP(INDIRECT("G"&amp;ROW()),minfo!$A:$M,COLUMN()-8,0),"")</f>
        <v>My! Cyndi!</v>
      </c>
      <c r="T2299" s="4">
        <f ca="1">_xlfn.IFNA(VLOOKUP(INDIRECT("G"&amp;ROW()),minfo!$A:$M,COLUMN()-8,0),"")</f>
        <v>257991068</v>
      </c>
      <c r="U2299" s="4" t="str">
        <f ca="1">_xlfn.IFNA(VLOOKUP(INDIRECT("G"&amp;ROW()),minfo!$A:$M,COLUMN()-8,0),"")</f>
        <v>音乐榜最高NO.12</v>
      </c>
    </row>
    <row r="2300" spans="1:21" ht="15.75">
      <c r="A2300" s="15">
        <v>2299</v>
      </c>
      <c r="B2300" s="4" t="s">
        <v>6192</v>
      </c>
      <c r="D2300" s="4">
        <v>3</v>
      </c>
      <c r="E2300" s="4" t="s">
        <v>6353</v>
      </c>
      <c r="F2300" s="4" t="s">
        <v>6345</v>
      </c>
      <c r="G2300" s="4" t="s">
        <v>3130</v>
      </c>
      <c r="H2300" s="4" t="s">
        <v>6354</v>
      </c>
      <c r="I2300" s="24" t="str">
        <f>HYPERLINK("https://www.bilibili.com/video/BV1yTp4eYEEX?p=3","BV1yTp4eYEEX?p=3")</f>
        <v>BV1yTp4eYEEX?p=3</v>
      </c>
      <c r="J2300" s="4" t="str">
        <f ca="1">_xlfn.IFNA(VLOOKUP(INDIRECT("G"&amp;ROW()),minfo!$A:$M,COLUMN()-8,0),"")</f>
        <v>想把哥哥追</v>
      </c>
      <c r="K2300" s="4" t="str">
        <f ca="1">_xlfn.IFNA(VLOOKUP(INDIRECT("G"&amp;ROW()),minfo!$A:$M,COLUMN()-8,0),"")</f>
        <v>6a会魔法</v>
      </c>
      <c r="L2300" s="4">
        <f ca="1">_xlfn.IFNA(VLOOKUP(INDIRECT("G"&amp;ROW()),minfo!$A:$M,COLUMN()-8,0),"")</f>
        <v>0</v>
      </c>
      <c r="M2300" s="4">
        <f ca="1">_xlfn.IFNA(VLOOKUP(INDIRECT("G"&amp;ROW()),minfo!$A:$M,COLUMN()-8,0),"")</f>
        <v>0</v>
      </c>
      <c r="N2300" s="4">
        <f ca="1">_xlfn.IFNA(VLOOKUP(INDIRECT("G"&amp;ROW()),minfo!$A:$M,COLUMN()-8,0),"")</f>
        <v>0</v>
      </c>
      <c r="O2300" s="4" t="str">
        <f ca="1">_xlfn.IFNA(VLOOKUP(INDIRECT("G"&amp;ROW()),minfo!$A:$M,COLUMN()-8,0),"")</f>
        <v>https://i0.hdslb.com/bfs/station_src/music_metadata/5a796e31f4703d0b8dc745487432b038.jpg</v>
      </c>
      <c r="P2300" s="4" t="str">
        <f ca="1">_xlfn.IFNA(VLOOKUP(INDIRECT("G"&amp;ROW()),minfo!$A:$M,COLUMN()-8,0),"")</f>
        <v>https://i0.hdslb.com/bfs/station_src/music_metadata/2a6dda5a27efb1f0ac5a1a2202696ef3.txt</v>
      </c>
      <c r="Q2300" s="4">
        <f ca="1">_xlfn.IFNA(VLOOKUP(INDIRECT("G"&amp;ROW()),minfo!$A:$M,COLUMN()-8,0),"")</f>
        <v>98</v>
      </c>
      <c r="R2300" s="4">
        <f ca="1">_xlfn.IFNA(VLOOKUP(INDIRECT("G"&amp;ROW()),minfo!$A:$M,COLUMN()-8,0),"")</f>
        <v>0</v>
      </c>
      <c r="S2300" s="4" t="str">
        <f ca="1">_xlfn.IFNA(VLOOKUP(INDIRECT("G"&amp;ROW()),minfo!$A:$M,COLUMN()-8,0),"")</f>
        <v>想把哥哥追</v>
      </c>
      <c r="T2300" s="4">
        <f ca="1">_xlfn.IFNA(VLOOKUP(INDIRECT("G"&amp;ROW()),minfo!$A:$M,COLUMN()-8,0),"")</f>
        <v>12394708</v>
      </c>
      <c r="U2300" s="4">
        <f ca="1">_xlfn.IFNA(VLOOKUP(INDIRECT("G"&amp;ROW()),minfo!$A:$M,COLUMN()-8,0),"")</f>
        <v>0</v>
      </c>
    </row>
    <row r="2301" spans="1:21" ht="15.75">
      <c r="A2301" s="15">
        <v>2300</v>
      </c>
      <c r="B2301" s="4" t="s">
        <v>6192</v>
      </c>
      <c r="D2301" s="4">
        <v>2</v>
      </c>
      <c r="E2301" s="4" t="s">
        <v>5798</v>
      </c>
      <c r="F2301" s="4" t="s">
        <v>6345</v>
      </c>
      <c r="G2301" s="4" t="s">
        <v>3130</v>
      </c>
      <c r="H2301" s="4" t="s">
        <v>6354</v>
      </c>
      <c r="I2301" s="24" t="str">
        <f>HYPERLINK("https://www.bilibili.com/video/BV1yTp4eYEEX?p=2","BV1yTp4eYEEX?p=2")</f>
        <v>BV1yTp4eYEEX?p=2</v>
      </c>
      <c r="J2301" s="4" t="str">
        <f ca="1">_xlfn.IFNA(VLOOKUP(INDIRECT("G"&amp;ROW()),minfo!$A:$M,COLUMN()-8,0),"")</f>
        <v>想把哥哥追</v>
      </c>
      <c r="K2301" s="4" t="str">
        <f ca="1">_xlfn.IFNA(VLOOKUP(INDIRECT("G"&amp;ROW()),minfo!$A:$M,COLUMN()-8,0),"")</f>
        <v>6a会魔法</v>
      </c>
      <c r="L2301" s="4">
        <f ca="1">_xlfn.IFNA(VLOOKUP(INDIRECT("G"&amp;ROW()),minfo!$A:$M,COLUMN()-8,0),"")</f>
        <v>0</v>
      </c>
      <c r="M2301" s="4">
        <f ca="1">_xlfn.IFNA(VLOOKUP(INDIRECT("G"&amp;ROW()),minfo!$A:$M,COLUMN()-8,0),"")</f>
        <v>0</v>
      </c>
      <c r="N2301" s="4">
        <f ca="1">_xlfn.IFNA(VLOOKUP(INDIRECT("G"&amp;ROW()),minfo!$A:$M,COLUMN()-8,0),"")</f>
        <v>0</v>
      </c>
      <c r="O2301" s="4" t="str">
        <f ca="1">_xlfn.IFNA(VLOOKUP(INDIRECT("G"&amp;ROW()),minfo!$A:$M,COLUMN()-8,0),"")</f>
        <v>https://i0.hdslb.com/bfs/station_src/music_metadata/5a796e31f4703d0b8dc745487432b038.jpg</v>
      </c>
      <c r="P2301" s="4" t="str">
        <f ca="1">_xlfn.IFNA(VLOOKUP(INDIRECT("G"&amp;ROW()),minfo!$A:$M,COLUMN()-8,0),"")</f>
        <v>https://i0.hdslb.com/bfs/station_src/music_metadata/2a6dda5a27efb1f0ac5a1a2202696ef3.txt</v>
      </c>
      <c r="Q2301" s="4">
        <f ca="1">_xlfn.IFNA(VLOOKUP(INDIRECT("G"&amp;ROW()),minfo!$A:$M,COLUMN()-8,0),"")</f>
        <v>98</v>
      </c>
      <c r="R2301" s="4">
        <f ca="1">_xlfn.IFNA(VLOOKUP(INDIRECT("G"&amp;ROW()),minfo!$A:$M,COLUMN()-8,0),"")</f>
        <v>0</v>
      </c>
      <c r="S2301" s="4" t="str">
        <f ca="1">_xlfn.IFNA(VLOOKUP(INDIRECT("G"&amp;ROW()),minfo!$A:$M,COLUMN()-8,0),"")</f>
        <v>想把哥哥追</v>
      </c>
      <c r="T2301" s="4">
        <f ca="1">_xlfn.IFNA(VLOOKUP(INDIRECT("G"&amp;ROW()),minfo!$A:$M,COLUMN()-8,0),"")</f>
        <v>12394708</v>
      </c>
      <c r="U2301" s="4">
        <f ca="1">_xlfn.IFNA(VLOOKUP(INDIRECT("G"&amp;ROW()),minfo!$A:$M,COLUMN()-8,0),"")</f>
        <v>0</v>
      </c>
    </row>
    <row r="2302" spans="1:21" ht="15.75">
      <c r="A2302" s="15">
        <v>2301</v>
      </c>
      <c r="B2302" s="4" t="s">
        <v>6192</v>
      </c>
      <c r="D2302" s="4">
        <v>1</v>
      </c>
      <c r="E2302" s="4" t="s">
        <v>5795</v>
      </c>
      <c r="F2302" s="4" t="s">
        <v>6345</v>
      </c>
      <c r="G2302" s="4" t="s">
        <v>3130</v>
      </c>
      <c r="H2302" s="4" t="s">
        <v>6354</v>
      </c>
      <c r="I2302" s="24" t="str">
        <f>HYPERLINK("https://www.bilibili.com/video/BV1yTp4eYEEX?p=1","BV1yTp4eYEEX?p=1")</f>
        <v>BV1yTp4eYEEX?p=1</v>
      </c>
      <c r="J2302" s="4" t="str">
        <f ca="1">_xlfn.IFNA(VLOOKUP(INDIRECT("G"&amp;ROW()),minfo!$A:$M,COLUMN()-8,0),"")</f>
        <v>想把哥哥追</v>
      </c>
      <c r="K2302" s="4" t="str">
        <f ca="1">_xlfn.IFNA(VLOOKUP(INDIRECT("G"&amp;ROW()),minfo!$A:$M,COLUMN()-8,0),"")</f>
        <v>6a会魔法</v>
      </c>
      <c r="L2302" s="4">
        <f ca="1">_xlfn.IFNA(VLOOKUP(INDIRECT("G"&amp;ROW()),minfo!$A:$M,COLUMN()-8,0),"")</f>
        <v>0</v>
      </c>
      <c r="M2302" s="4">
        <f ca="1">_xlfn.IFNA(VLOOKUP(INDIRECT("G"&amp;ROW()),minfo!$A:$M,COLUMN()-8,0),"")</f>
        <v>0</v>
      </c>
      <c r="N2302" s="4">
        <f ca="1">_xlfn.IFNA(VLOOKUP(INDIRECT("G"&amp;ROW()),minfo!$A:$M,COLUMN()-8,0),"")</f>
        <v>0</v>
      </c>
      <c r="O2302" s="4" t="str">
        <f ca="1">_xlfn.IFNA(VLOOKUP(INDIRECT("G"&amp;ROW()),minfo!$A:$M,COLUMN()-8,0),"")</f>
        <v>https://i0.hdslb.com/bfs/station_src/music_metadata/5a796e31f4703d0b8dc745487432b038.jpg</v>
      </c>
      <c r="P2302" s="4" t="str">
        <f ca="1">_xlfn.IFNA(VLOOKUP(INDIRECT("G"&amp;ROW()),minfo!$A:$M,COLUMN()-8,0),"")</f>
        <v>https://i0.hdslb.com/bfs/station_src/music_metadata/2a6dda5a27efb1f0ac5a1a2202696ef3.txt</v>
      </c>
      <c r="Q2302" s="4">
        <f ca="1">_xlfn.IFNA(VLOOKUP(INDIRECT("G"&amp;ROW()),minfo!$A:$M,COLUMN()-8,0),"")</f>
        <v>98</v>
      </c>
      <c r="R2302" s="4">
        <f ca="1">_xlfn.IFNA(VLOOKUP(INDIRECT("G"&amp;ROW()),minfo!$A:$M,COLUMN()-8,0),"")</f>
        <v>0</v>
      </c>
      <c r="S2302" s="4" t="str">
        <f ca="1">_xlfn.IFNA(VLOOKUP(INDIRECT("G"&amp;ROW()),minfo!$A:$M,COLUMN()-8,0),"")</f>
        <v>想把哥哥追</v>
      </c>
      <c r="T2302" s="4">
        <f ca="1">_xlfn.IFNA(VLOOKUP(INDIRECT("G"&amp;ROW()),minfo!$A:$M,COLUMN()-8,0),"")</f>
        <v>12394708</v>
      </c>
      <c r="U2302" s="4">
        <f ca="1">_xlfn.IFNA(VLOOKUP(INDIRECT("G"&amp;ROW()),minfo!$A:$M,COLUMN()-8,0),"")</f>
        <v>0</v>
      </c>
    </row>
    <row r="2303" spans="1:21" ht="15.75">
      <c r="A2303" s="15">
        <v>2302</v>
      </c>
      <c r="B2303" s="4" t="s">
        <v>6355</v>
      </c>
      <c r="D2303" s="4">
        <v>1</v>
      </c>
      <c r="E2303" s="4" t="s">
        <v>2380</v>
      </c>
      <c r="F2303" s="4" t="s">
        <v>6345</v>
      </c>
      <c r="G2303" s="4" t="s">
        <v>2379</v>
      </c>
      <c r="H2303" s="4" t="s">
        <v>6356</v>
      </c>
      <c r="I2303" s="24" t="str">
        <f>HYPERLINK("https://www.bilibili.com/video/BV1NTp4eYEE1?p=1","BV1NTp4eYEE1?p=1")</f>
        <v>BV1NTp4eYEE1?p=1</v>
      </c>
      <c r="J2303" s="4" t="str">
        <f ca="1">_xlfn.IFNA(VLOOKUP(INDIRECT("G"&amp;ROW()),minfo!$A:$M,COLUMN()-8,0),"")</f>
        <v>睫毛弯弯</v>
      </c>
      <c r="K2303" s="4" t="str">
        <f ca="1">_xlfn.IFNA(VLOOKUP(INDIRECT("G"&amp;ROW()),minfo!$A:$M,COLUMN()-8,0),"")</f>
        <v>王心凌</v>
      </c>
      <c r="L2303" s="4">
        <f ca="1">_xlfn.IFNA(VLOOKUP(INDIRECT("G"&amp;ROW()),minfo!$A:$M,COLUMN()-8,0),"")</f>
        <v>0</v>
      </c>
      <c r="M2303" s="4">
        <f ca="1">_xlfn.IFNA(VLOOKUP(INDIRECT("G"&amp;ROW()),minfo!$A:$M,COLUMN()-8,0),"")</f>
        <v>13</v>
      </c>
      <c r="N2303" s="4">
        <f ca="1">_xlfn.IFNA(VLOOKUP(INDIRECT("G"&amp;ROW()),minfo!$A:$M,COLUMN()-8,0),"")</f>
        <v>0</v>
      </c>
      <c r="O2303" s="4" t="str">
        <f ca="1">_xlfn.IFNA(VLOOKUP(INDIRECT("G"&amp;ROW()),minfo!$A:$M,COLUMN()-8,0),"")</f>
        <v>https://i0.hdslb.com/bfs/station_src/music_metadata/f282f16131a4a3cd0453b0933b476080.jpg</v>
      </c>
      <c r="P2303" s="4" t="str">
        <f ca="1">_xlfn.IFNA(VLOOKUP(INDIRECT("G"&amp;ROW()),minfo!$A:$M,COLUMN()-8,0),"")</f>
        <v>http://i0.hdslb.com/bfs/station_src/music_metadata/398e2c49752ba00f849406667ec212b6</v>
      </c>
      <c r="Q2303" s="4">
        <f ca="1">_xlfn.IFNA(VLOOKUP(INDIRECT("G"&amp;ROW()),minfo!$A:$M,COLUMN()-8,0),"")</f>
        <v>1272</v>
      </c>
      <c r="R2303" s="4">
        <f ca="1">_xlfn.IFNA(VLOOKUP(INDIRECT("G"&amp;ROW()),minfo!$A:$M,COLUMN()-8,0),"")</f>
        <v>0</v>
      </c>
      <c r="S2303" s="4" t="str">
        <f ca="1">_xlfn.IFNA(VLOOKUP(INDIRECT("G"&amp;ROW()),minfo!$A:$M,COLUMN()-8,0),"")</f>
        <v>Cyndi With U</v>
      </c>
      <c r="T2303" s="4">
        <f ca="1">_xlfn.IFNA(VLOOKUP(INDIRECT("G"&amp;ROW()),minfo!$A:$M,COLUMN()-8,0),"")</f>
        <v>168084644</v>
      </c>
      <c r="U2303" s="4">
        <f ca="1">_xlfn.IFNA(VLOOKUP(INDIRECT("G"&amp;ROW()),minfo!$A:$M,COLUMN()-8,0),"")</f>
        <v>0</v>
      </c>
    </row>
    <row r="2304" spans="1:21" ht="15.75">
      <c r="A2304" s="15">
        <v>2303</v>
      </c>
      <c r="B2304" s="4" t="s">
        <v>6245</v>
      </c>
      <c r="D2304" s="4">
        <v>1</v>
      </c>
      <c r="E2304" s="4" t="s">
        <v>3495</v>
      </c>
      <c r="F2304" s="4" t="s">
        <v>6357</v>
      </c>
      <c r="G2304" s="4" t="s">
        <v>3494</v>
      </c>
      <c r="H2304" s="4" t="s">
        <v>6358</v>
      </c>
      <c r="I2304" s="24" t="str">
        <f>HYPERLINK("https://www.bilibili.com/video/BV1AbpveHEFV?p=1","BV1AbpveHEFV?p=1")</f>
        <v>BV1AbpveHEFV?p=1</v>
      </c>
      <c r="J2304" s="4" t="str">
        <f ca="1">_xlfn.IFNA(VLOOKUP(INDIRECT("G"&amp;ROW()),minfo!$A:$M,COLUMN()-8,0),"")</f>
        <v>泪桥</v>
      </c>
      <c r="K2304" s="4" t="str">
        <f ca="1">_xlfn.IFNA(VLOOKUP(INDIRECT("G"&amp;ROW()),minfo!$A:$M,COLUMN()-8,0),"")</f>
        <v>伍佰 &amp; China Blue</v>
      </c>
      <c r="L2304" s="4">
        <f ca="1">_xlfn.IFNA(VLOOKUP(INDIRECT("G"&amp;ROW()),minfo!$A:$M,COLUMN()-8,0),"")</f>
        <v>0</v>
      </c>
      <c r="M2304" s="4">
        <f ca="1">_xlfn.IFNA(VLOOKUP(INDIRECT("G"&amp;ROW()),minfo!$A:$M,COLUMN()-8,0),"")</f>
        <v>0</v>
      </c>
      <c r="N2304" s="4">
        <f ca="1">_xlfn.IFNA(VLOOKUP(INDIRECT("G"&amp;ROW()),minfo!$A:$M,COLUMN()-8,0),"")</f>
        <v>0</v>
      </c>
      <c r="O2304" s="4" t="str">
        <f ca="1">_xlfn.IFNA(VLOOKUP(INDIRECT("G"&amp;ROW()),minfo!$A:$M,COLUMN()-8,0),"")</f>
        <v>http://i0.hdslb.com/bfs/station_src/music_metadata/cae3bab33498ad8866f9aee5e4f3ea6f.jpg</v>
      </c>
      <c r="P2304" s="4" t="str">
        <f ca="1">_xlfn.IFNA(VLOOKUP(INDIRECT("G"&amp;ROW()),minfo!$A:$M,COLUMN()-8,0),"")</f>
        <v>http://i0.hdslb.com/bfs/station_src/music_metadata/36da461ecabf80ade5a756011eb03dcd</v>
      </c>
      <c r="Q2304" s="4">
        <f ca="1">_xlfn.IFNA(VLOOKUP(INDIRECT("G"&amp;ROW()),minfo!$A:$M,COLUMN()-8,0),"")</f>
        <v>444</v>
      </c>
      <c r="R2304" s="4">
        <f ca="1">_xlfn.IFNA(VLOOKUP(INDIRECT("G"&amp;ROW()),minfo!$A:$M,COLUMN()-8,0),"")</f>
        <v>0</v>
      </c>
      <c r="S2304" s="4" t="str">
        <f ca="1">_xlfn.IFNA(VLOOKUP(INDIRECT("G"&amp;ROW()),minfo!$A:$M,COLUMN()-8,0),"")</f>
        <v>忘情1015精选辑</v>
      </c>
      <c r="T2304" s="4">
        <f ca="1">_xlfn.IFNA(VLOOKUP(INDIRECT("G"&amp;ROW()),minfo!$A:$M,COLUMN()-8,0),"")</f>
        <v>93052303</v>
      </c>
      <c r="U2304" s="4">
        <f ca="1">_xlfn.IFNA(VLOOKUP(INDIRECT("G"&amp;ROW()),minfo!$A:$M,COLUMN()-8,0),"")</f>
        <v>0</v>
      </c>
    </row>
    <row r="2305" spans="1:21" ht="15.75">
      <c r="A2305" s="15">
        <v>2304</v>
      </c>
      <c r="B2305" s="4" t="s">
        <v>5740</v>
      </c>
      <c r="D2305" s="4">
        <v>1</v>
      </c>
      <c r="E2305" s="4" t="s">
        <v>65</v>
      </c>
      <c r="F2305" s="4" t="s">
        <v>6357</v>
      </c>
      <c r="G2305" s="4" t="s">
        <v>513</v>
      </c>
      <c r="H2305" s="4" t="s">
        <v>6359</v>
      </c>
      <c r="I2305" s="24" t="str">
        <f>HYPERLINK("https://www.bilibili.com/video/BV1w4pveQEyL?p=1","BV1w4pveQEyL?p=1")</f>
        <v>BV1w4pveQEyL?p=1</v>
      </c>
      <c r="J2305" s="4" t="str">
        <f ca="1">_xlfn.IFNA(VLOOKUP(INDIRECT("G"&amp;ROW()),minfo!$A:$M,COLUMN()-8,0),"")</f>
        <v>天知河</v>
      </c>
      <c r="K2305" s="4" t="str">
        <f ca="1">_xlfn.IFNA(VLOOKUP(INDIRECT("G"&amp;ROW()),minfo!$A:$M,COLUMN()-8,0),"")</f>
        <v>说说Crystal</v>
      </c>
      <c r="L2305" s="4">
        <f ca="1">_xlfn.IFNA(VLOOKUP(INDIRECT("G"&amp;ROW()),minfo!$A:$M,COLUMN()-8,0),"")</f>
        <v>0</v>
      </c>
      <c r="M2305" s="4">
        <f ca="1">_xlfn.IFNA(VLOOKUP(INDIRECT("G"&amp;ROW()),minfo!$A:$M,COLUMN()-8,0),"")</f>
        <v>63471</v>
      </c>
      <c r="N2305" s="4">
        <f ca="1">_xlfn.IFNA(VLOOKUP(INDIRECT("G"&amp;ROW()),minfo!$A:$M,COLUMN()-8,0),"")</f>
        <v>19895</v>
      </c>
      <c r="O2305" s="4" t="str">
        <f ca="1">_xlfn.IFNA(VLOOKUP(INDIRECT("G"&amp;ROW()),minfo!$A:$M,COLUMN()-8,0),"")</f>
        <v>http://i0.hdslb.com/bfs/station_src/music_metadata/4ad5958a6b4bee52560f0cf175374bf7.jpg</v>
      </c>
      <c r="P2305" s="4">
        <f ca="1">_xlfn.IFNA(VLOOKUP(INDIRECT("G"&amp;ROW()),minfo!$A:$M,COLUMN()-8,0),"")</f>
        <v>0</v>
      </c>
      <c r="Q2305" s="4">
        <f ca="1">_xlfn.IFNA(VLOOKUP(INDIRECT("G"&amp;ROW()),minfo!$A:$M,COLUMN()-8,0),"")</f>
        <v>106</v>
      </c>
      <c r="R2305" s="4">
        <f ca="1">_xlfn.IFNA(VLOOKUP(INDIRECT("G"&amp;ROW()),minfo!$A:$M,COLUMN()-8,0),"")</f>
        <v>0</v>
      </c>
      <c r="S2305" s="4" t="str">
        <f ca="1">_xlfn.IFNA(VLOOKUP(INDIRECT("G"&amp;ROW()),minfo!$A:$M,COLUMN()-8,0),"")</f>
        <v>天知河</v>
      </c>
      <c r="T2305" s="4">
        <f ca="1">_xlfn.IFNA(VLOOKUP(INDIRECT("G"&amp;ROW()),minfo!$A:$M,COLUMN()-8,0),"")</f>
        <v>3294592</v>
      </c>
      <c r="U2305" s="4">
        <f ca="1">_xlfn.IFNA(VLOOKUP(INDIRECT("G"&amp;ROW()),minfo!$A:$M,COLUMN()-8,0),"")</f>
        <v>0</v>
      </c>
    </row>
    <row r="2306" spans="1:21" ht="15.75">
      <c r="A2306" s="15">
        <v>2305</v>
      </c>
      <c r="B2306" s="4" t="s">
        <v>5862</v>
      </c>
      <c r="D2306" s="4">
        <v>1</v>
      </c>
      <c r="E2306" s="4" t="s">
        <v>1415</v>
      </c>
      <c r="F2306" s="4" t="s">
        <v>6357</v>
      </c>
      <c r="G2306" s="4" t="s">
        <v>1414</v>
      </c>
      <c r="H2306" s="4" t="s">
        <v>6360</v>
      </c>
      <c r="I2306" s="24" t="str">
        <f>HYPERLINK("https://www.bilibili.com/video/BV1wbpvenEN2?p=1","BV1wbpvenEN2?p=1")</f>
        <v>BV1wbpvenEN2?p=1</v>
      </c>
      <c r="J2306" s="4" t="str">
        <f ca="1">_xlfn.IFNA(VLOOKUP(INDIRECT("G"&amp;ROW()),minfo!$A:$M,COLUMN()-8,0),"")</f>
        <v>二十二</v>
      </c>
      <c r="K2306" s="4" t="str">
        <f ca="1">_xlfn.IFNA(VLOOKUP(INDIRECT("G"&amp;ROW()),minfo!$A:$M,COLUMN()-8,0),"")</f>
        <v>陶喆</v>
      </c>
      <c r="L2306" s="4">
        <f ca="1">_xlfn.IFNA(VLOOKUP(INDIRECT("G"&amp;ROW()),minfo!$A:$M,COLUMN()-8,0),"")</f>
        <v>0</v>
      </c>
      <c r="M2306" s="4">
        <f ca="1">_xlfn.IFNA(VLOOKUP(INDIRECT("G"&amp;ROW()),minfo!$A:$M,COLUMN()-8,0),"")</f>
        <v>0</v>
      </c>
      <c r="N2306" s="4">
        <f ca="1">_xlfn.IFNA(VLOOKUP(INDIRECT("G"&amp;ROW()),minfo!$A:$M,COLUMN()-8,0),"")</f>
        <v>0</v>
      </c>
      <c r="O2306" s="4" t="str">
        <f ca="1">_xlfn.IFNA(VLOOKUP(INDIRECT("G"&amp;ROW()),minfo!$A:$M,COLUMN()-8,0),"")</f>
        <v>http://i0.hdslb.com/bfs/station_src/music_metadata/e89d0b6bb51b52049a17aa607ecd7e8d.jpg</v>
      </c>
      <c r="P2306" s="4" t="str">
        <f ca="1">_xlfn.IFNA(VLOOKUP(INDIRECT("G"&amp;ROW()),minfo!$A:$M,COLUMN()-8,0),"")</f>
        <v>http://i0.hdslb.com/bfs/station_src/music_metadata/47f341ee2acc202b90520bd34837ebc4</v>
      </c>
      <c r="Q2306" s="4">
        <f ca="1">_xlfn.IFNA(VLOOKUP(INDIRECT("G"&amp;ROW()),minfo!$A:$M,COLUMN()-8,0),"")</f>
        <v>343</v>
      </c>
      <c r="R2306" s="4">
        <f ca="1">_xlfn.IFNA(VLOOKUP(INDIRECT("G"&amp;ROW()),minfo!$A:$M,COLUMN()-8,0),"")</f>
        <v>0</v>
      </c>
      <c r="S2306" s="4" t="str">
        <f ca="1">_xlfn.IFNA(VLOOKUP(INDIRECT("G"&amp;ROW()),minfo!$A:$M,COLUMN()-8,0),"")</f>
        <v>黑色柳丁</v>
      </c>
      <c r="T2306" s="4">
        <f ca="1">_xlfn.IFNA(VLOOKUP(INDIRECT("G"&amp;ROW()),minfo!$A:$M,COLUMN()-8,0),"")</f>
        <v>50077794</v>
      </c>
      <c r="U2306" s="4">
        <f ca="1">_xlfn.IFNA(VLOOKUP(INDIRECT("G"&amp;ROW()),minfo!$A:$M,COLUMN()-8,0),"")</f>
        <v>0</v>
      </c>
    </row>
    <row r="2307" spans="1:21" ht="15.75">
      <c r="A2307" s="15">
        <v>2306</v>
      </c>
      <c r="B2307" s="4" t="s">
        <v>6047</v>
      </c>
      <c r="D2307" s="4">
        <v>1</v>
      </c>
      <c r="E2307" s="4" t="s">
        <v>462</v>
      </c>
      <c r="F2307" s="4" t="s">
        <v>6357</v>
      </c>
      <c r="G2307" s="4" t="s">
        <v>461</v>
      </c>
      <c r="H2307" s="4" t="s">
        <v>6361</v>
      </c>
      <c r="I2307" s="24" t="str">
        <f>HYPERLINK("https://www.bilibili.com/video/BV1wbpvenE3C?p=1","BV1wbpvenE3C?p=1")</f>
        <v>BV1wbpvenE3C?p=1</v>
      </c>
      <c r="J2307" s="4" t="str">
        <f ca="1">_xlfn.IFNA(VLOOKUP(INDIRECT("G"&amp;ROW()),minfo!$A:$M,COLUMN()-8,0),"")</f>
        <v>人是_</v>
      </c>
      <c r="K2307" s="4" t="str">
        <f ca="1">_xlfn.IFNA(VLOOKUP(INDIRECT("G"&amp;ROW()),minfo!$A:$M,COLUMN()-8,0),"")</f>
        <v>周深</v>
      </c>
      <c r="L2307" s="4">
        <f ca="1">_xlfn.IFNA(VLOOKUP(INDIRECT("G"&amp;ROW()),minfo!$A:$M,COLUMN()-8,0),"")</f>
        <v>0</v>
      </c>
      <c r="M2307" s="4">
        <f ca="1">_xlfn.IFNA(VLOOKUP(INDIRECT("G"&amp;ROW()),minfo!$A:$M,COLUMN()-8,0),"")</f>
        <v>315938</v>
      </c>
      <c r="N2307" s="4">
        <f ca="1">_xlfn.IFNA(VLOOKUP(INDIRECT("G"&amp;ROW()),minfo!$A:$M,COLUMN()-8,0),"")</f>
        <v>67117</v>
      </c>
      <c r="O2307" s="4" t="str">
        <f ca="1">_xlfn.IFNA(VLOOKUP(INDIRECT("G"&amp;ROW()),minfo!$A:$M,COLUMN()-8,0),"")</f>
        <v>https://i0.hdslb.com/bfs/station_src/music_metadata/cbc6b9595b8d8ddf3be5a4600fe4ee1f.jpg</v>
      </c>
      <c r="P2307" s="4">
        <f ca="1">_xlfn.IFNA(VLOOKUP(INDIRECT("G"&amp;ROW()),minfo!$A:$M,COLUMN()-8,0),"")</f>
        <v>0</v>
      </c>
      <c r="Q2307" s="4">
        <f ca="1">_xlfn.IFNA(VLOOKUP(INDIRECT("G"&amp;ROW()),minfo!$A:$M,COLUMN()-8,0),"")</f>
        <v>831</v>
      </c>
      <c r="R2307" s="4">
        <f ca="1">_xlfn.IFNA(VLOOKUP(INDIRECT("G"&amp;ROW()),minfo!$A:$M,COLUMN()-8,0),"")</f>
        <v>0</v>
      </c>
      <c r="S2307" s="4" t="str">
        <f ca="1">_xlfn.IFNA(VLOOKUP(INDIRECT("G"&amp;ROW()),minfo!$A:$M,COLUMN()-8,0),"")</f>
        <v>人是_</v>
      </c>
      <c r="T2307" s="4">
        <f ca="1">_xlfn.IFNA(VLOOKUP(INDIRECT("G"&amp;ROW()),minfo!$A:$M,COLUMN()-8,0),"")</f>
        <v>80359568</v>
      </c>
      <c r="U2307" s="4" t="str">
        <f ca="1">_xlfn.IFNA(VLOOKUP(INDIRECT("G"&amp;ROW()),minfo!$A:$M,COLUMN()-8,0),"")</f>
        <v>音乐榜最高NO.8</v>
      </c>
    </row>
    <row r="2308" spans="1:21" ht="15.75">
      <c r="A2308" s="15">
        <v>2307</v>
      </c>
      <c r="B2308" s="4" t="s">
        <v>6362</v>
      </c>
      <c r="D2308" s="4">
        <v>1</v>
      </c>
      <c r="E2308" s="4" t="s">
        <v>3823</v>
      </c>
      <c r="F2308" s="4" t="s">
        <v>6363</v>
      </c>
      <c r="G2308" s="4" t="s">
        <v>965</v>
      </c>
      <c r="H2308" s="4" t="s">
        <v>6364</v>
      </c>
      <c r="I2308" s="24" t="str">
        <f>HYPERLINK("https://www.bilibili.com/video/BV18vpseiEHe?p=1","BV18vpseiEHe?p=1")</f>
        <v>BV18vpseiEHe?p=1</v>
      </c>
      <c r="J2308" s="4" t="str">
        <f ca="1">_xlfn.IFNA(VLOOKUP(INDIRECT("G"&amp;ROW()),minfo!$A:$M,COLUMN()-8,0),"")</f>
        <v>房间</v>
      </c>
      <c r="K2308" s="4" t="str">
        <f ca="1">_xlfn.IFNA(VLOOKUP(INDIRECT("G"&amp;ROW()),minfo!$A:$M,COLUMN()-8,0),"")</f>
        <v>刘瑞琦</v>
      </c>
      <c r="L2308" s="4">
        <f ca="1">_xlfn.IFNA(VLOOKUP(INDIRECT("G"&amp;ROW()),minfo!$A:$M,COLUMN()-8,0),"")</f>
        <v>0</v>
      </c>
      <c r="M2308" s="4">
        <f ca="1">_xlfn.IFNA(VLOOKUP(INDIRECT("G"&amp;ROW()),minfo!$A:$M,COLUMN()-8,0),"")</f>
        <v>0</v>
      </c>
      <c r="N2308" s="4">
        <f ca="1">_xlfn.IFNA(VLOOKUP(INDIRECT("G"&amp;ROW()),minfo!$A:$M,COLUMN()-8,0),"")</f>
        <v>0</v>
      </c>
      <c r="O2308" s="4">
        <f ca="1">_xlfn.IFNA(VLOOKUP(INDIRECT("G"&amp;ROW()),minfo!$A:$M,COLUMN()-8,0),"")</f>
        <v>0</v>
      </c>
      <c r="P2308" s="4">
        <f ca="1">_xlfn.IFNA(VLOOKUP(INDIRECT("G"&amp;ROW()),minfo!$A:$M,COLUMN()-8,0),"")</f>
        <v>0</v>
      </c>
      <c r="Q2308" s="4">
        <f ca="1">_xlfn.IFNA(VLOOKUP(INDIRECT("G"&amp;ROW()),minfo!$A:$M,COLUMN()-8,0),"")</f>
        <v>0</v>
      </c>
      <c r="R2308" s="4">
        <f ca="1">_xlfn.IFNA(VLOOKUP(INDIRECT("G"&amp;ROW()),minfo!$A:$M,COLUMN()-8,0),"")</f>
        <v>0</v>
      </c>
      <c r="S2308" s="4">
        <f ca="1">_xlfn.IFNA(VLOOKUP(INDIRECT("G"&amp;ROW()),minfo!$A:$M,COLUMN()-8,0),"")</f>
        <v>0</v>
      </c>
      <c r="T2308" s="4">
        <f ca="1">_xlfn.IFNA(VLOOKUP(INDIRECT("G"&amp;ROW()),minfo!$A:$M,COLUMN()-8,0),"")</f>
        <v>0</v>
      </c>
      <c r="U2308" s="4">
        <f ca="1">_xlfn.IFNA(VLOOKUP(INDIRECT("G"&amp;ROW()),minfo!$A:$M,COLUMN()-8,0),"")</f>
        <v>0</v>
      </c>
    </row>
    <row r="2309" spans="1:21" ht="15.75">
      <c r="A2309" s="15">
        <v>2308</v>
      </c>
      <c r="B2309" s="4" t="s">
        <v>6365</v>
      </c>
      <c r="D2309" s="4">
        <v>1</v>
      </c>
      <c r="E2309" s="4" t="s">
        <v>6366</v>
      </c>
      <c r="F2309" s="4" t="s">
        <v>6363</v>
      </c>
      <c r="G2309" s="4" t="s">
        <v>3292</v>
      </c>
      <c r="H2309" s="4" t="s">
        <v>6367</v>
      </c>
      <c r="I2309" s="24" t="str">
        <f>HYPERLINK("https://www.bilibili.com/video/BV1bvpseiEhi?p=1","BV1bvpseiEhi?p=1")</f>
        <v>BV1bvpseiEhi?p=1</v>
      </c>
      <c r="J2309" s="4" t="str">
        <f ca="1">_xlfn.IFNA(VLOOKUP(INDIRECT("G"&amp;ROW()),minfo!$A:$M,COLUMN()-8,0),"")</f>
        <v>不该</v>
      </c>
      <c r="K2309" s="4" t="str">
        <f ca="1">_xlfn.IFNA(VLOOKUP(INDIRECT("G"&amp;ROW()),minfo!$A:$M,COLUMN()-8,0),"")</f>
        <v>周杰伦</v>
      </c>
      <c r="L2309" s="4">
        <f ca="1">_xlfn.IFNA(VLOOKUP(INDIRECT("G"&amp;ROW()),minfo!$A:$M,COLUMN()-8,0),"")</f>
        <v>0</v>
      </c>
      <c r="M2309" s="4">
        <f ca="1">_xlfn.IFNA(VLOOKUP(INDIRECT("G"&amp;ROW()),minfo!$A:$M,COLUMN()-8,0),"")</f>
        <v>0</v>
      </c>
      <c r="N2309" s="4">
        <f ca="1">_xlfn.IFNA(VLOOKUP(INDIRECT("G"&amp;ROW()),minfo!$A:$M,COLUMN()-8,0),"")</f>
        <v>0</v>
      </c>
      <c r="O2309" s="4" t="str">
        <f ca="1">_xlfn.IFNA(VLOOKUP(INDIRECT("G"&amp;ROW()),minfo!$A:$M,COLUMN()-8,0),"")</f>
        <v>http://i0.hdslb.com/bfs/station_src/music_metadata/5f8ebb73c2ba67badc288df55760414c.jpg</v>
      </c>
      <c r="P2309" s="4" t="str">
        <f ca="1">_xlfn.IFNA(VLOOKUP(INDIRECT("G"&amp;ROW()),minfo!$A:$M,COLUMN()-8,0),"")</f>
        <v>http://i0.hdslb.com/bfs/station_src/music_metadata/2f0bb3119059f3b5bbcdc48ccac758cb</v>
      </c>
      <c r="Q2309" s="4">
        <f ca="1">_xlfn.IFNA(VLOOKUP(INDIRECT("G"&amp;ROW()),minfo!$A:$M,COLUMN()-8,0),"")</f>
        <v>3341</v>
      </c>
      <c r="R2309" s="4" t="str">
        <f ca="1">_xlfn.IFNA(VLOOKUP(INDIRECT("G"&amp;ROW()),minfo!$A:$M,COLUMN()-8,0),"")</f>
        <v>《幻城》电视剧片头曲|《幻城凡世》网络剧片尾曲</v>
      </c>
      <c r="S2309" s="4" t="str">
        <f ca="1">_xlfn.IFNA(VLOOKUP(INDIRECT("G"&amp;ROW()),minfo!$A:$M,COLUMN()-8,0),"")</f>
        <v>周杰伦的床边故事</v>
      </c>
      <c r="T2309" s="4">
        <f ca="1">_xlfn.IFNA(VLOOKUP(INDIRECT("G"&amp;ROW()),minfo!$A:$M,COLUMN()-8,0),"")</f>
        <v>372633239</v>
      </c>
      <c r="U2309" s="4">
        <f ca="1">_xlfn.IFNA(VLOOKUP(INDIRECT("G"&amp;ROW()),minfo!$A:$M,COLUMN()-8,0),"")</f>
        <v>0</v>
      </c>
    </row>
    <row r="2310" spans="1:21" ht="15.75">
      <c r="A2310" s="15">
        <v>2309</v>
      </c>
      <c r="B2310" s="4" t="s">
        <v>6368</v>
      </c>
      <c r="D2310" s="4">
        <v>1</v>
      </c>
      <c r="E2310" s="4" t="s">
        <v>6369</v>
      </c>
      <c r="F2310" s="4" t="s">
        <v>6363</v>
      </c>
      <c r="G2310" s="4" t="s">
        <v>3524</v>
      </c>
      <c r="H2310" s="4" t="s">
        <v>6370</v>
      </c>
      <c r="I2310" s="24" t="str">
        <f>HYPERLINK("https://www.bilibili.com/video/BV1uvpseiE5v?p=1","BV1uvpseiE5v?p=1")</f>
        <v>BV1uvpseiE5v?p=1</v>
      </c>
      <c r="J2310" s="4" t="str">
        <f ca="1">_xlfn.IFNA(VLOOKUP(INDIRECT("G"&amp;ROW()),minfo!$A:$M,COLUMN()-8,0),"")</f>
        <v>恰好</v>
      </c>
      <c r="K2310" s="4" t="str">
        <f ca="1">_xlfn.IFNA(VLOOKUP(INDIRECT("G"&amp;ROW()),minfo!$A:$M,COLUMN()-8,0),"")</f>
        <v>霍尊</v>
      </c>
      <c r="L2310" s="4">
        <f ca="1">_xlfn.IFNA(VLOOKUP(INDIRECT("G"&amp;ROW()),minfo!$A:$M,COLUMN()-8,0),"")</f>
        <v>0</v>
      </c>
      <c r="M2310" s="4">
        <f ca="1">_xlfn.IFNA(VLOOKUP(INDIRECT("G"&amp;ROW()),minfo!$A:$M,COLUMN()-8,0),"")</f>
        <v>0</v>
      </c>
      <c r="N2310" s="4">
        <f ca="1">_xlfn.IFNA(VLOOKUP(INDIRECT("G"&amp;ROW()),minfo!$A:$M,COLUMN()-8,0),"")</f>
        <v>0</v>
      </c>
      <c r="O2310" s="4" t="str">
        <f ca="1">_xlfn.IFNA(VLOOKUP(INDIRECT("G"&amp;ROW()),minfo!$A:$M,COLUMN()-8,0),"")</f>
        <v>https://i0.hdslb.com/bfs/station_src/music_metadata/2c820d1bcee047206748bd027daf6121.jpg</v>
      </c>
      <c r="P2310" s="4">
        <f ca="1">_xlfn.IFNA(VLOOKUP(INDIRECT("G"&amp;ROW()),minfo!$A:$M,COLUMN()-8,0),"")</f>
        <v>0</v>
      </c>
      <c r="Q2310" s="4">
        <f ca="1">_xlfn.IFNA(VLOOKUP(INDIRECT("G"&amp;ROW()),minfo!$A:$M,COLUMN()-8,0),"")</f>
        <v>2</v>
      </c>
      <c r="R2310" s="4">
        <f ca="1">_xlfn.IFNA(VLOOKUP(INDIRECT("G"&amp;ROW()),minfo!$A:$M,COLUMN()-8,0),"")</f>
        <v>0</v>
      </c>
      <c r="S2310" s="4" t="str">
        <f ca="1">_xlfn.IFNA(VLOOKUP(INDIRECT("G"&amp;ROW()),minfo!$A:$M,COLUMN()-8,0),"")</f>
        <v>30COVERS</v>
      </c>
      <c r="T2310" s="4">
        <f ca="1">_xlfn.IFNA(VLOOKUP(INDIRECT("G"&amp;ROW()),minfo!$A:$M,COLUMN()-8,0),"")</f>
        <v>1437978</v>
      </c>
      <c r="U2310" s="4">
        <f ca="1">_xlfn.IFNA(VLOOKUP(INDIRECT("G"&amp;ROW()),minfo!$A:$M,COLUMN()-8,0),"")</f>
        <v>0</v>
      </c>
    </row>
    <row r="2311" spans="1:21" ht="15.75">
      <c r="A2311" s="15">
        <v>2310</v>
      </c>
      <c r="B2311" s="4" t="s">
        <v>6371</v>
      </c>
      <c r="D2311" s="4">
        <v>1</v>
      </c>
      <c r="E2311" s="4" t="s">
        <v>6372</v>
      </c>
      <c r="F2311" s="4" t="s">
        <v>6363</v>
      </c>
      <c r="G2311" s="4" t="s">
        <v>207</v>
      </c>
      <c r="H2311" s="4" t="s">
        <v>6373</v>
      </c>
      <c r="I2311" s="24" t="str">
        <f>HYPERLINK("https://www.bilibili.com/video/BV1T6pseAE1i?p=1","BV1T6pseAE1i?p=1")</f>
        <v>BV1T6pseAE1i?p=1</v>
      </c>
      <c r="J2311" s="4" t="str">
        <f ca="1">_xlfn.IFNA(VLOOKUP(INDIRECT("G"&amp;ROW()),minfo!$A:$M,COLUMN()-8,0),"")</f>
        <v>九万字</v>
      </c>
      <c r="K2311" s="4" t="str">
        <f ca="1">_xlfn.IFNA(VLOOKUP(INDIRECT("G"&amp;ROW()),minfo!$A:$M,COLUMN()-8,0),"")</f>
        <v>黄诗扶</v>
      </c>
      <c r="L2311" s="4">
        <f ca="1">_xlfn.IFNA(VLOOKUP(INDIRECT("G"&amp;ROW()),minfo!$A:$M,COLUMN()-8,0),"")</f>
        <v>0</v>
      </c>
      <c r="M2311" s="4">
        <f ca="1">_xlfn.IFNA(VLOOKUP(INDIRECT("G"&amp;ROW()),minfo!$A:$M,COLUMN()-8,0),"")</f>
        <v>0</v>
      </c>
      <c r="N2311" s="4">
        <f ca="1">_xlfn.IFNA(VLOOKUP(INDIRECT("G"&amp;ROW()),minfo!$A:$M,COLUMN()-8,0),"")</f>
        <v>0</v>
      </c>
      <c r="O2311" s="4" t="str">
        <f ca="1">_xlfn.IFNA(VLOOKUP(INDIRECT("G"&amp;ROW()),minfo!$A:$M,COLUMN()-8,0),"")</f>
        <v>https://i0.hdslb.com/bfs/station_src/music_metadata/83a5f6d1f6977ede1ad685d90a46a593.jpg</v>
      </c>
      <c r="P2311" s="4" t="str">
        <f ca="1">_xlfn.IFNA(VLOOKUP(INDIRECT("G"&amp;ROW()),minfo!$A:$M,COLUMN()-8,0),"")</f>
        <v>http://i0.hdslb.com/bfs/station_src/music_metadata/98ec7b6623082ffe27055a48eaf15a9f</v>
      </c>
      <c r="Q2311" s="4">
        <f ca="1">_xlfn.IFNA(VLOOKUP(INDIRECT("G"&amp;ROW()),minfo!$A:$M,COLUMN()-8,0),"")</f>
        <v>1270</v>
      </c>
      <c r="R2311" s="4">
        <f ca="1">_xlfn.IFNA(VLOOKUP(INDIRECT("G"&amp;ROW()),minfo!$A:$M,COLUMN()-8,0),"")</f>
        <v>0</v>
      </c>
      <c r="S2311" s="4" t="str">
        <f ca="1">_xlfn.IFNA(VLOOKUP(INDIRECT("G"&amp;ROW()),minfo!$A:$M,COLUMN()-8,0),"")</f>
        <v>人间不值得</v>
      </c>
      <c r="T2311" s="4">
        <f ca="1">_xlfn.IFNA(VLOOKUP(INDIRECT("G"&amp;ROW()),minfo!$A:$M,COLUMN()-8,0),"")</f>
        <v>256686027</v>
      </c>
      <c r="U2311" s="4">
        <f ca="1">_xlfn.IFNA(VLOOKUP(INDIRECT("G"&amp;ROW()),minfo!$A:$M,COLUMN()-8,0),"")</f>
        <v>0</v>
      </c>
    </row>
    <row r="2312" spans="1:21" ht="15.75">
      <c r="A2312" s="15">
        <v>2311</v>
      </c>
      <c r="B2312" s="4" t="s">
        <v>6374</v>
      </c>
      <c r="D2312" s="4">
        <v>1</v>
      </c>
      <c r="E2312" s="4" t="s">
        <v>6375</v>
      </c>
      <c r="F2312" s="4" t="s">
        <v>6363</v>
      </c>
      <c r="G2312" s="4" t="s">
        <v>408</v>
      </c>
      <c r="H2312" s="4" t="s">
        <v>6376</v>
      </c>
      <c r="I2312" s="24" t="str">
        <f>HYPERLINK("https://www.bilibili.com/video/BV1T6pseAEgf?p=1","BV1T6pseAEgf?p=1")</f>
        <v>BV1T6pseAEgf?p=1</v>
      </c>
      <c r="J2312" s="4" t="str">
        <f ca="1">_xlfn.IFNA(VLOOKUP(INDIRECT("G"&amp;ROW()),minfo!$A:$M,COLUMN()-8,0),"")</f>
        <v>呼吸决定</v>
      </c>
      <c r="K2312" s="4" t="str">
        <f ca="1">_xlfn.IFNA(VLOOKUP(INDIRECT("G"&amp;ROW()),minfo!$A:$M,COLUMN()-8,0),"")</f>
        <v>Fine乐团</v>
      </c>
      <c r="L2312" s="4">
        <f ca="1">_xlfn.IFNA(VLOOKUP(INDIRECT("G"&amp;ROW()),minfo!$A:$M,COLUMN()-8,0),"")</f>
        <v>0</v>
      </c>
      <c r="M2312" s="4">
        <f ca="1">_xlfn.IFNA(VLOOKUP(INDIRECT("G"&amp;ROW()),minfo!$A:$M,COLUMN()-8,0),"")</f>
        <v>0</v>
      </c>
      <c r="N2312" s="4">
        <f ca="1">_xlfn.IFNA(VLOOKUP(INDIRECT("G"&amp;ROW()),minfo!$A:$M,COLUMN()-8,0),"")</f>
        <v>0</v>
      </c>
      <c r="O2312" s="4" t="str">
        <f ca="1">_xlfn.IFNA(VLOOKUP(INDIRECT("G"&amp;ROW()),minfo!$A:$M,COLUMN()-8,0),"")</f>
        <v>http://i0.hdslb.com/bfs/station_src/music_metadata/de6c3020bce1962dc02b42568606781f.jpg</v>
      </c>
      <c r="P2312" s="4" t="str">
        <f ca="1">_xlfn.IFNA(VLOOKUP(INDIRECT("G"&amp;ROW()),minfo!$A:$M,COLUMN()-8,0),"")</f>
        <v>http://i0.hdslb.com/bfs/station_src/music_metadata/9dfd516512eb23be6e624848db3bed57</v>
      </c>
      <c r="Q2312" s="4">
        <f ca="1">_xlfn.IFNA(VLOOKUP(INDIRECT("G"&amp;ROW()),minfo!$A:$M,COLUMN()-8,0),"")</f>
        <v>838</v>
      </c>
      <c r="R2312" s="4">
        <f ca="1">_xlfn.IFNA(VLOOKUP(INDIRECT("G"&amp;ROW()),minfo!$A:$M,COLUMN()-8,0),"")</f>
        <v>0</v>
      </c>
      <c r="S2312" s="4">
        <f ca="1">_xlfn.IFNA(VLOOKUP(INDIRECT("G"&amp;ROW()),minfo!$A:$M,COLUMN()-8,0),"")</f>
        <v>0</v>
      </c>
      <c r="T2312" s="4">
        <f ca="1">_xlfn.IFNA(VLOOKUP(INDIRECT("G"&amp;ROW()),minfo!$A:$M,COLUMN()-8,0),"")</f>
        <v>100019249</v>
      </c>
      <c r="U2312" s="4">
        <f ca="1">_xlfn.IFNA(VLOOKUP(INDIRECT("G"&amp;ROW()),minfo!$A:$M,COLUMN()-8,0),"")</f>
        <v>0</v>
      </c>
    </row>
    <row r="2313" spans="1:21" ht="15.75">
      <c r="A2313" s="15">
        <v>2312</v>
      </c>
      <c r="B2313" s="4" t="s">
        <v>6377</v>
      </c>
      <c r="D2313" s="4">
        <v>1</v>
      </c>
      <c r="E2313" s="4" t="s">
        <v>6378</v>
      </c>
      <c r="F2313" s="4" t="s">
        <v>6363</v>
      </c>
      <c r="G2313" s="4" t="s">
        <v>933</v>
      </c>
      <c r="H2313" s="4" t="s">
        <v>6379</v>
      </c>
      <c r="I2313" s="24" t="str">
        <f>HYPERLINK("https://www.bilibili.com/video/BV1m6psewELu?p=1","BV1m6psewELu?p=1")</f>
        <v>BV1m6psewELu?p=1</v>
      </c>
      <c r="J2313" s="4" t="str">
        <f ca="1">_xlfn.IFNA(VLOOKUP(INDIRECT("G"&amp;ROW()),minfo!$A:$M,COLUMN()-8,0),"")</f>
        <v>敕勒歌</v>
      </c>
      <c r="K2313" s="4" t="str">
        <f ca="1">_xlfn.IFNA(VLOOKUP(INDIRECT("G"&amp;ROW()),minfo!$A:$M,COLUMN()-8,0),"")</f>
        <v>谭维维</v>
      </c>
      <c r="L2313" s="4">
        <f ca="1">_xlfn.IFNA(VLOOKUP(INDIRECT("G"&amp;ROW()),minfo!$A:$M,COLUMN()-8,0),"")</f>
        <v>0</v>
      </c>
      <c r="M2313" s="4">
        <f ca="1">_xlfn.IFNA(VLOOKUP(INDIRECT("G"&amp;ROW()),minfo!$A:$M,COLUMN()-8,0),"")</f>
        <v>0</v>
      </c>
      <c r="N2313" s="4">
        <f ca="1">_xlfn.IFNA(VLOOKUP(INDIRECT("G"&amp;ROW()),minfo!$A:$M,COLUMN()-8,0),"")</f>
        <v>0</v>
      </c>
      <c r="O2313" s="4" t="str">
        <f ca="1">_xlfn.IFNA(VLOOKUP(INDIRECT("G"&amp;ROW()),minfo!$A:$M,COLUMN()-8,0),"")</f>
        <v>https://i0.hdslb.com/bfs/station_src/music_metadata/4633e67685206de0672cc528709e3e2f.jpg</v>
      </c>
      <c r="P2313" s="4" t="str">
        <f ca="1">_xlfn.IFNA(VLOOKUP(INDIRECT("G"&amp;ROW()),minfo!$A:$M,COLUMN()-8,0),"")</f>
        <v>https://i0.hdslb.com/bfs/station_src/music_metadata/dff7d3073b6cc36766c38942f1f4cf16.txt</v>
      </c>
      <c r="Q2313" s="4">
        <f ca="1">_xlfn.IFNA(VLOOKUP(INDIRECT("G"&amp;ROW()),minfo!$A:$M,COLUMN()-8,0),"")</f>
        <v>382</v>
      </c>
      <c r="R2313" s="4">
        <f ca="1">_xlfn.IFNA(VLOOKUP(INDIRECT("G"&amp;ROW()),minfo!$A:$M,COLUMN()-8,0),"")</f>
        <v>0</v>
      </c>
      <c r="S2313" s="4" t="str">
        <f ca="1">_xlfn.IFNA(VLOOKUP(INDIRECT("G"&amp;ROW()),minfo!$A:$M,COLUMN()-8,0),"")</f>
        <v>经典咏流传第二季 第六期</v>
      </c>
      <c r="T2313" s="4">
        <f ca="1">_xlfn.IFNA(VLOOKUP(INDIRECT("G"&amp;ROW()),minfo!$A:$M,COLUMN()-8,0),"")</f>
        <v>19549830</v>
      </c>
      <c r="U2313" s="4">
        <f ca="1">_xlfn.IFNA(VLOOKUP(INDIRECT("G"&amp;ROW()),minfo!$A:$M,COLUMN()-8,0),"")</f>
        <v>0</v>
      </c>
    </row>
    <row r="2314" spans="1:21" ht="15.75">
      <c r="A2314" s="15">
        <v>2313</v>
      </c>
      <c r="B2314" s="4" t="s">
        <v>6380</v>
      </c>
      <c r="D2314" s="4">
        <v>1</v>
      </c>
      <c r="E2314" s="4" t="s">
        <v>3527</v>
      </c>
      <c r="F2314" s="4" t="s">
        <v>6363</v>
      </c>
      <c r="G2314" s="4" t="s">
        <v>6388</v>
      </c>
      <c r="H2314" s="4" t="s">
        <v>6381</v>
      </c>
      <c r="I2314" s="24" t="str">
        <f>HYPERLINK("https://www.bilibili.com/video/BV1tBpseeEo7?p=1","BV1tBpseeEo7?p=1")</f>
        <v>BV1tBpseeEo7?p=1</v>
      </c>
      <c r="J2314" s="4" t="str">
        <f ca="1">_xlfn.IFNA(VLOOKUP(INDIRECT("G"&amp;ROW()),minfo!$A:$M,COLUMN()-8,0),"")</f>
        <v>桃華</v>
      </c>
      <c r="K2314" s="4" t="str">
        <f ca="1">_xlfn.IFNA(VLOOKUP(INDIRECT("G"&amp;ROW()),minfo!$A:$M,COLUMN()-8,0),"")</f>
        <v>说说Crystal</v>
      </c>
      <c r="L2314" s="4" t="str">
        <f ca="1">_xlfn.IFNA(VLOOKUP(INDIRECT("G"&amp;ROW()),minfo!$A:$M,COLUMN()-8,0),"")</f>
        <v>BV14z4y1H7Jn</v>
      </c>
      <c r="M2314" s="4">
        <f ca="1">_xlfn.IFNA(VLOOKUP(INDIRECT("G"&amp;ROW()),minfo!$A:$M,COLUMN()-8,0),"")</f>
        <v>0</v>
      </c>
      <c r="N2314" s="4">
        <f ca="1">_xlfn.IFNA(VLOOKUP(INDIRECT("G"&amp;ROW()),minfo!$A:$M,COLUMN()-8,0),"")</f>
        <v>0</v>
      </c>
      <c r="O2314" s="4">
        <f ca="1">_xlfn.IFNA(VLOOKUP(INDIRECT("G"&amp;ROW()),minfo!$A:$M,COLUMN()-8,0),"")</f>
        <v>0</v>
      </c>
      <c r="P2314" s="4">
        <f ca="1">_xlfn.IFNA(VLOOKUP(INDIRECT("G"&amp;ROW()),minfo!$A:$M,COLUMN()-8,0),"")</f>
        <v>0</v>
      </c>
      <c r="Q2314" s="4">
        <f ca="1">_xlfn.IFNA(VLOOKUP(INDIRECT("G"&amp;ROW()),minfo!$A:$M,COLUMN()-8,0),"")</f>
        <v>0</v>
      </c>
      <c r="R2314" s="4">
        <f ca="1">_xlfn.IFNA(VLOOKUP(INDIRECT("G"&amp;ROW()),minfo!$A:$M,COLUMN()-8,0),"")</f>
        <v>0</v>
      </c>
      <c r="S2314" s="4">
        <f ca="1">_xlfn.IFNA(VLOOKUP(INDIRECT("G"&amp;ROW()),minfo!$A:$M,COLUMN()-8,0),"")</f>
        <v>0</v>
      </c>
      <c r="T2314" s="4">
        <f ca="1">_xlfn.IFNA(VLOOKUP(INDIRECT("G"&amp;ROW()),minfo!$A:$M,COLUMN()-8,0),"")</f>
        <v>0</v>
      </c>
      <c r="U2314" s="4">
        <f ca="1">_xlfn.IFNA(VLOOKUP(INDIRECT("G"&amp;ROW()),minfo!$A:$M,COLUMN()-8,0),"")</f>
        <v>0</v>
      </c>
    </row>
    <row r="2315" spans="1:21" ht="15.75">
      <c r="A2315" s="15">
        <v>2314</v>
      </c>
      <c r="B2315" s="4" t="s">
        <v>6382</v>
      </c>
      <c r="D2315" s="4">
        <v>1</v>
      </c>
      <c r="E2315" s="4" t="s">
        <v>6383</v>
      </c>
      <c r="F2315" s="4" t="s">
        <v>6363</v>
      </c>
      <c r="G2315" s="4" t="s">
        <v>432</v>
      </c>
      <c r="H2315" s="4" t="s">
        <v>6384</v>
      </c>
      <c r="I2315" s="24" t="str">
        <f>HYPERLINK("https://www.bilibili.com/video/BV1mBpseYEVw?p=1","BV1mBpseYEVw?p=1")</f>
        <v>BV1mBpseYEVw?p=1</v>
      </c>
      <c r="J2315" s="4" t="str">
        <f ca="1">_xlfn.IFNA(VLOOKUP(INDIRECT("G"&amp;ROW()),minfo!$A:$M,COLUMN()-8,0),"")</f>
        <v>喜欢你</v>
      </c>
      <c r="K2315" s="4" t="str">
        <f ca="1">_xlfn.IFNA(VLOOKUP(INDIRECT("G"&amp;ROW()),minfo!$A:$M,COLUMN()-8,0),"")</f>
        <v>陈洁仪</v>
      </c>
      <c r="L2315" s="4">
        <f ca="1">_xlfn.IFNA(VLOOKUP(INDIRECT("G"&amp;ROW()),minfo!$A:$M,COLUMN()-8,0),"")</f>
        <v>0</v>
      </c>
      <c r="M2315" s="4">
        <f ca="1">_xlfn.IFNA(VLOOKUP(INDIRECT("G"&amp;ROW()),minfo!$A:$M,COLUMN()-8,0),"")</f>
        <v>0</v>
      </c>
      <c r="N2315" s="4">
        <f ca="1">_xlfn.IFNA(VLOOKUP(INDIRECT("G"&amp;ROW()),minfo!$A:$M,COLUMN()-8,0),"")</f>
        <v>0</v>
      </c>
      <c r="O2315" s="4" t="str">
        <f ca="1">_xlfn.IFNA(VLOOKUP(INDIRECT("G"&amp;ROW()),minfo!$A:$M,COLUMN()-8,0),"")</f>
        <v>https://i0.hdslb.com/bfs/station_src/music_metadata/657c63920e8cf9a7db4753eb939d1dce.jpg</v>
      </c>
      <c r="P2315" s="4" t="str">
        <f ca="1">_xlfn.IFNA(VLOOKUP(INDIRECT("G"&amp;ROW()),minfo!$A:$M,COLUMN()-8,0),"")</f>
        <v>http://i0.hdslb.com/bfs/station_src/music_metadata/6bffe0eed99a109396ffa9741cc156c7</v>
      </c>
      <c r="Q2315" s="4">
        <f ca="1">_xlfn.IFNA(VLOOKUP(INDIRECT("G"&amp;ROW()),minfo!$A:$M,COLUMN()-8,0),"")</f>
        <v>587</v>
      </c>
      <c r="R2315" s="4">
        <f ca="1">_xlfn.IFNA(VLOOKUP(INDIRECT("G"&amp;ROW()),minfo!$A:$M,COLUMN()-8,0),"")</f>
        <v>0</v>
      </c>
      <c r="S2315" s="4" t="str">
        <f ca="1">_xlfn.IFNA(VLOOKUP(INDIRECT("G"&amp;ROW()),minfo!$A:$M,COLUMN()-8,0),"")</f>
        <v>陈洁仪的异想世界</v>
      </c>
      <c r="T2315" s="4">
        <f ca="1">_xlfn.IFNA(VLOOKUP(INDIRECT("G"&amp;ROW()),minfo!$A:$M,COLUMN()-8,0),"")</f>
        <v>163210062</v>
      </c>
      <c r="U2315" s="4">
        <f ca="1">_xlfn.IFNA(VLOOKUP(INDIRECT("G"&amp;ROW()),minfo!$A:$M,COLUMN()-8,0),"")</f>
        <v>0</v>
      </c>
    </row>
    <row r="2316" spans="1:21" ht="15.75">
      <c r="A2316" s="15"/>
      <c r="F2316" s="4"/>
      <c r="G2316" s="4"/>
      <c r="H2316" s="4"/>
    </row>
    <row r="2317" spans="1:21" ht="15.75">
      <c r="A2317" s="15"/>
      <c r="F2317" s="4"/>
      <c r="G2317" s="4"/>
      <c r="H2317" s="4"/>
    </row>
    <row r="2318" spans="1:21" ht="15.75">
      <c r="A2318" s="15"/>
      <c r="F2318" s="4"/>
      <c r="G2318" s="4"/>
      <c r="H2318" s="4"/>
    </row>
    <row r="2319" spans="1:21" ht="15.75">
      <c r="A2319" s="15"/>
      <c r="F2319" s="4"/>
      <c r="G2319" s="4"/>
      <c r="H2319" s="4"/>
    </row>
    <row r="2320" spans="1:21" ht="15.75">
      <c r="A2320" s="15"/>
      <c r="F2320" s="4"/>
      <c r="G2320" s="4"/>
      <c r="H2320" s="4"/>
    </row>
    <row r="2321" spans="1:8" ht="15.75">
      <c r="A2321" s="15"/>
      <c r="F2321" s="4"/>
      <c r="G2321" s="4"/>
      <c r="H2321" s="4"/>
    </row>
    <row r="2322" spans="1:8" ht="15.75">
      <c r="A2322" s="15"/>
      <c r="F2322" s="4"/>
      <c r="G2322" s="4"/>
      <c r="H2322" s="4"/>
    </row>
    <row r="2323" spans="1:8" ht="15.75">
      <c r="A2323" s="15"/>
      <c r="F2323" s="4"/>
      <c r="G2323" s="4"/>
      <c r="H2323" s="4"/>
    </row>
    <row r="2324" spans="1:8" ht="15.75">
      <c r="A2324" s="15"/>
      <c r="F2324" s="4"/>
      <c r="G2324" s="4"/>
      <c r="H2324" s="4"/>
    </row>
    <row r="2325" spans="1:8" ht="15.75">
      <c r="A2325" s="15"/>
      <c r="F2325" s="4"/>
      <c r="G2325" s="4"/>
      <c r="H2325" s="4"/>
    </row>
    <row r="2326" spans="1:8" ht="15.75">
      <c r="A2326" s="15"/>
      <c r="F2326" s="4"/>
      <c r="G2326" s="4"/>
      <c r="H2326" s="4"/>
    </row>
    <row r="2327" spans="1:8" ht="15.75">
      <c r="A2327" s="15"/>
      <c r="F2327" s="4"/>
      <c r="G2327" s="4"/>
      <c r="H2327" s="4"/>
    </row>
    <row r="2328" spans="1:8" ht="15.75">
      <c r="A2328" s="15"/>
      <c r="F2328" s="4"/>
      <c r="G2328" s="4"/>
      <c r="H2328" s="4"/>
    </row>
    <row r="2329" spans="1:8" ht="15.75">
      <c r="A2329" s="15"/>
      <c r="F2329" s="4"/>
      <c r="G2329" s="4"/>
      <c r="H2329" s="4"/>
    </row>
    <row r="2330" spans="1:8" ht="15.75">
      <c r="A2330" s="15"/>
      <c r="F2330" s="4"/>
      <c r="G2330" s="4"/>
      <c r="H2330" s="4"/>
    </row>
    <row r="2331" spans="1:8" ht="15.75">
      <c r="A2331" s="15"/>
      <c r="F2331" s="4"/>
      <c r="G2331" s="4"/>
      <c r="H2331" s="4"/>
    </row>
    <row r="2332" spans="1:8" ht="15.75">
      <c r="A2332" s="15"/>
      <c r="F2332" s="4"/>
      <c r="G2332" s="4"/>
      <c r="H2332" s="4"/>
    </row>
    <row r="2333" spans="1:8" ht="15.75">
      <c r="A2333" s="15"/>
      <c r="F2333" s="4"/>
      <c r="G2333" s="4"/>
      <c r="H2333" s="4"/>
    </row>
    <row r="2334" spans="1:8" ht="15.75">
      <c r="A2334" s="15"/>
      <c r="F2334" s="4"/>
      <c r="G2334" s="4"/>
      <c r="H2334" s="4"/>
    </row>
    <row r="2335" spans="1:8" ht="15.75">
      <c r="A2335" s="15"/>
      <c r="F2335" s="4"/>
      <c r="G2335" s="4"/>
      <c r="H2335" s="4"/>
    </row>
    <row r="2336" spans="1:8" ht="15.75">
      <c r="A2336" s="15"/>
      <c r="F2336" s="4"/>
      <c r="G2336" s="4"/>
      <c r="H2336" s="4"/>
    </row>
    <row r="2337" spans="1:8" ht="15.75">
      <c r="A2337" s="15"/>
      <c r="F2337" s="4"/>
      <c r="G2337" s="4"/>
      <c r="H2337" s="4"/>
    </row>
    <row r="2338" spans="1:8" ht="15.75">
      <c r="A2338" s="15"/>
      <c r="F2338" s="4"/>
      <c r="G2338" s="4"/>
      <c r="H2338" s="4"/>
    </row>
    <row r="2339" spans="1:8" ht="15.75">
      <c r="A2339" s="15"/>
      <c r="F2339" s="4"/>
      <c r="G2339" s="4"/>
      <c r="H2339" s="4"/>
    </row>
    <row r="2340" spans="1:8" ht="15.75">
      <c r="A2340" s="15"/>
      <c r="F2340" s="4"/>
      <c r="G2340" s="4"/>
      <c r="H2340" s="4"/>
    </row>
    <row r="2341" spans="1:8" ht="15.75">
      <c r="A2341" s="15"/>
      <c r="F2341" s="4"/>
      <c r="G2341" s="4"/>
      <c r="H2341" s="4"/>
    </row>
    <row r="2342" spans="1:8" ht="15.75">
      <c r="A2342" s="15"/>
      <c r="F2342" s="4"/>
      <c r="G2342" s="4"/>
      <c r="H2342" s="4"/>
    </row>
    <row r="2343" spans="1:8" ht="15.75">
      <c r="A2343" s="15"/>
      <c r="F2343" s="4"/>
      <c r="G2343" s="4"/>
      <c r="H2343" s="4"/>
    </row>
  </sheetData>
  <autoFilter ref="A1:U2203" xr:uid="{00000000-0009-0000-0000-000001000000}"/>
  <phoneticPr fontId="1" type="noConversion"/>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E2"/>
  <sheetViews>
    <sheetView workbookViewId="0">
      <selection activeCell="E4" sqref="E4"/>
    </sheetView>
  </sheetViews>
  <sheetFormatPr defaultRowHeight="13.5"/>
  <sheetData>
    <row r="2" spans="5:5">
      <c r="E2" s="7" t="s">
        <v>6385</v>
      </c>
    </row>
  </sheetData>
  <phoneticPr fontId="1" type="noConversion"/>
  <hyperlinks>
    <hyperlink ref="E2" r:id="rId1" display="https://m3ws.kugou.com/kuHao/article.html?type=1&amp;changeFrame=1&amp;id=121741" xr:uid="{00000000-0004-0000-0200-000000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N23"/>
  <sheetViews>
    <sheetView topLeftCell="C1" workbookViewId="0">
      <selection activeCell="L18" sqref="L18"/>
    </sheetView>
  </sheetViews>
  <sheetFormatPr defaultRowHeight="13.5"/>
  <sheetData>
    <row r="1" spans="1:13">
      <c r="A1" s="7" t="s">
        <v>6386</v>
      </c>
      <c r="L1" t="s">
        <v>0</v>
      </c>
      <c r="M1" t="s">
        <v>7396</v>
      </c>
    </row>
    <row r="2" spans="1:13">
      <c r="L2" t="s">
        <v>19</v>
      </c>
      <c r="M2" t="s">
        <v>27</v>
      </c>
    </row>
    <row r="3" spans="1:13">
      <c r="L3" t="s">
        <v>487</v>
      </c>
      <c r="M3" t="s">
        <v>6667</v>
      </c>
    </row>
    <row r="4" spans="1:13">
      <c r="L4" t="s">
        <v>827</v>
      </c>
      <c r="M4" t="s">
        <v>175</v>
      </c>
    </row>
    <row r="5" spans="1:13">
      <c r="L5" t="s">
        <v>1295</v>
      </c>
      <c r="M5" t="s">
        <v>6389</v>
      </c>
    </row>
    <row r="6" spans="1:13">
      <c r="L6" t="s">
        <v>1642</v>
      </c>
      <c r="M6" t="s">
        <v>6552</v>
      </c>
    </row>
    <row r="7" spans="1:13">
      <c r="L7" t="s">
        <v>1917</v>
      </c>
      <c r="M7" t="s">
        <v>6410</v>
      </c>
    </row>
    <row r="8" spans="1:13">
      <c r="L8" t="s">
        <v>2099</v>
      </c>
      <c r="M8" t="s">
        <v>6420</v>
      </c>
    </row>
    <row r="9" spans="1:13">
      <c r="L9" t="s">
        <v>2304</v>
      </c>
      <c r="M9" t="s">
        <v>626</v>
      </c>
    </row>
    <row r="10" spans="1:13">
      <c r="L10" t="s">
        <v>2484</v>
      </c>
      <c r="M10" t="s">
        <v>7403</v>
      </c>
    </row>
    <row r="11" spans="1:13">
      <c r="L11" t="s">
        <v>2532</v>
      </c>
      <c r="M11" t="s">
        <v>6870</v>
      </c>
    </row>
    <row r="12" spans="1:13">
      <c r="L12" t="s">
        <v>2677</v>
      </c>
      <c r="M12" t="s">
        <v>1274</v>
      </c>
    </row>
    <row r="13" spans="1:13">
      <c r="L13" t="s">
        <v>2750</v>
      </c>
      <c r="M13" t="s">
        <v>188</v>
      </c>
    </row>
    <row r="14" spans="1:13">
      <c r="L14" t="s">
        <v>2761</v>
      </c>
      <c r="M14" t="s">
        <v>478</v>
      </c>
    </row>
    <row r="15" spans="1:13">
      <c r="L15" t="s">
        <v>3154</v>
      </c>
      <c r="M15" t="s">
        <v>6692</v>
      </c>
    </row>
    <row r="16" spans="1:13">
      <c r="L16" t="s">
        <v>3287</v>
      </c>
      <c r="M16" t="s">
        <v>737</v>
      </c>
    </row>
    <row r="17" spans="12:14">
      <c r="L17" t="s">
        <v>3292</v>
      </c>
      <c r="M17" t="s">
        <v>7405</v>
      </c>
    </row>
    <row r="18" spans="12:14">
      <c r="L18" t="s">
        <v>567</v>
      </c>
      <c r="M18" t="s">
        <v>865</v>
      </c>
      <c r="N18" t="s">
        <v>568</v>
      </c>
    </row>
    <row r="19" spans="12:14">
      <c r="L19" t="s">
        <v>1017</v>
      </c>
      <c r="M19" t="s">
        <v>10228</v>
      </c>
      <c r="N19" t="s">
        <v>1018</v>
      </c>
    </row>
    <row r="20" spans="12:14">
      <c r="L20" t="s">
        <v>1943</v>
      </c>
      <c r="M20" t="s">
        <v>2272</v>
      </c>
      <c r="N20" t="s">
        <v>1944</v>
      </c>
    </row>
    <row r="21" spans="12:14">
      <c r="L21" t="s">
        <v>2293</v>
      </c>
      <c r="M21" t="s">
        <v>9517</v>
      </c>
      <c r="N21" t="s">
        <v>2294</v>
      </c>
    </row>
    <row r="22" spans="12:14">
      <c r="L22" t="s">
        <v>3015</v>
      </c>
      <c r="M22" t="s">
        <v>2272</v>
      </c>
      <c r="N22" t="s">
        <v>1944</v>
      </c>
    </row>
    <row r="23" spans="12:14">
      <c r="L23" t="s">
        <v>3377</v>
      </c>
      <c r="M23" t="s">
        <v>10232</v>
      </c>
      <c r="N23" t="s">
        <v>3378</v>
      </c>
    </row>
  </sheetData>
  <phoneticPr fontId="1" type="noConversion"/>
  <hyperlinks>
    <hyperlink ref="A1" r:id="rId1" display="https://space.bilibili.com/316443021/video?tid=0&amp;pn=21&amp;keyword=&amp;order=pubdate" xr:uid="{00000000-0004-0000-0300-000000000000}"/>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DFBEA-E7E6-41D5-B109-EC5E6F9D548B}">
  <sheetPr codeName="Sheet6"/>
  <dimension ref="A1:G4926"/>
  <sheetViews>
    <sheetView workbookViewId="0">
      <selection activeCell="C1" sqref="C1"/>
    </sheetView>
  </sheetViews>
  <sheetFormatPr defaultRowHeight="13.5"/>
  <cols>
    <col min="1" max="1" width="9.06640625" style="26"/>
    <col min="2" max="2" width="24.19921875" style="26" customWidth="1"/>
    <col min="3" max="3" width="12.796875" style="26" customWidth="1"/>
    <col min="4" max="4" width="9.06640625" style="26"/>
    <col min="5" max="5" width="12.46484375" style="26" customWidth="1"/>
    <col min="6" max="16384" width="9.06640625" style="26"/>
  </cols>
  <sheetData>
    <row r="1" spans="1:7">
      <c r="A1" s="26" t="s">
        <v>7395</v>
      </c>
      <c r="B1" s="26" t="s">
        <v>7394</v>
      </c>
      <c r="C1" s="26" t="s">
        <v>7393</v>
      </c>
      <c r="D1" s="26" t="s">
        <v>7392</v>
      </c>
      <c r="E1" s="26" t="s">
        <v>7391</v>
      </c>
      <c r="F1" s="26" t="s">
        <v>7390</v>
      </c>
      <c r="G1" s="26" t="s">
        <v>7389</v>
      </c>
    </row>
    <row r="2" spans="1:7">
      <c r="A2" s="26" t="s">
        <v>6399</v>
      </c>
      <c r="B2" s="26" t="s">
        <v>7388</v>
      </c>
      <c r="C2" s="26" t="s">
        <v>7387</v>
      </c>
      <c r="D2" s="26" t="s">
        <v>6396</v>
      </c>
      <c r="E2" s="26" t="s">
        <v>6395</v>
      </c>
    </row>
    <row r="3" spans="1:7">
      <c r="A3" s="26" t="s">
        <v>6399</v>
      </c>
      <c r="B3" s="26" t="s">
        <v>7386</v>
      </c>
      <c r="C3" s="26" t="s">
        <v>7385</v>
      </c>
      <c r="D3" s="26" t="s">
        <v>6489</v>
      </c>
      <c r="E3" s="26" t="s">
        <v>6395</v>
      </c>
      <c r="G3" s="26" t="s">
        <v>7116</v>
      </c>
    </row>
    <row r="4" spans="1:7">
      <c r="A4" s="26" t="s">
        <v>6399</v>
      </c>
      <c r="B4" s="26" t="s">
        <v>7384</v>
      </c>
      <c r="C4" s="26" t="s">
        <v>7383</v>
      </c>
      <c r="D4" s="26" t="s">
        <v>6480</v>
      </c>
      <c r="E4" s="26" t="s">
        <v>6395</v>
      </c>
    </row>
    <row r="5" spans="1:7">
      <c r="A5" s="26" t="s">
        <v>6399</v>
      </c>
      <c r="B5" s="26" t="s">
        <v>1357</v>
      </c>
      <c r="C5" s="26" t="s">
        <v>2272</v>
      </c>
      <c r="D5" s="26" t="s">
        <v>6434</v>
      </c>
      <c r="E5" s="26" t="s">
        <v>6395</v>
      </c>
    </row>
    <row r="6" spans="1:7">
      <c r="A6" s="26" t="s">
        <v>6399</v>
      </c>
      <c r="B6" s="26" t="s">
        <v>7307</v>
      </c>
      <c r="C6" s="26" t="s">
        <v>7382</v>
      </c>
      <c r="D6" s="26" t="s">
        <v>6434</v>
      </c>
      <c r="E6" s="26" t="s">
        <v>6395</v>
      </c>
    </row>
    <row r="7" spans="1:7">
      <c r="A7" s="26" t="s">
        <v>6399</v>
      </c>
      <c r="B7" s="26" t="s">
        <v>433</v>
      </c>
      <c r="C7" s="26" t="s">
        <v>7382</v>
      </c>
      <c r="D7" s="26" t="s">
        <v>6434</v>
      </c>
      <c r="E7" s="26" t="s">
        <v>6395</v>
      </c>
    </row>
    <row r="8" spans="1:7">
      <c r="A8" s="26" t="s">
        <v>6399</v>
      </c>
      <c r="B8" s="26" t="s">
        <v>7381</v>
      </c>
      <c r="C8" s="26" t="s">
        <v>7380</v>
      </c>
      <c r="D8" s="26" t="s">
        <v>6489</v>
      </c>
      <c r="E8" s="26" t="s">
        <v>6395</v>
      </c>
    </row>
    <row r="9" spans="1:7">
      <c r="A9" s="26" t="s">
        <v>6399</v>
      </c>
      <c r="B9" s="26" t="s">
        <v>7379</v>
      </c>
      <c r="C9" s="26" t="s">
        <v>7378</v>
      </c>
      <c r="D9" s="26" t="s">
        <v>6396</v>
      </c>
      <c r="E9" s="26" t="s">
        <v>6395</v>
      </c>
    </row>
    <row r="10" spans="1:7">
      <c r="A10" s="26" t="s">
        <v>6399</v>
      </c>
      <c r="B10" s="26" t="s">
        <v>2404</v>
      </c>
      <c r="C10" s="26" t="s">
        <v>7377</v>
      </c>
      <c r="D10" s="26" t="s">
        <v>6396</v>
      </c>
      <c r="E10" s="26" t="s">
        <v>6395</v>
      </c>
    </row>
    <row r="11" spans="1:7">
      <c r="A11" s="26" t="s">
        <v>6399</v>
      </c>
      <c r="B11" s="26" t="s">
        <v>7376</v>
      </c>
      <c r="C11" s="26" t="s">
        <v>7375</v>
      </c>
      <c r="D11" s="26" t="s">
        <v>6480</v>
      </c>
      <c r="E11" s="26" t="s">
        <v>6395</v>
      </c>
    </row>
    <row r="12" spans="1:7">
      <c r="A12" s="26" t="s">
        <v>6399</v>
      </c>
      <c r="B12" s="26" t="s">
        <v>7374</v>
      </c>
      <c r="C12" s="26" t="s">
        <v>7373</v>
      </c>
      <c r="D12" s="26" t="s">
        <v>6396</v>
      </c>
      <c r="E12" s="26" t="s">
        <v>6395</v>
      </c>
    </row>
    <row r="13" spans="1:7">
      <c r="A13" s="26" t="s">
        <v>6399</v>
      </c>
      <c r="B13" s="26" t="s">
        <v>7372</v>
      </c>
      <c r="C13" s="26" t="s">
        <v>7371</v>
      </c>
      <c r="D13" s="26" t="s">
        <v>6480</v>
      </c>
      <c r="E13" s="26" t="s">
        <v>6395</v>
      </c>
    </row>
    <row r="14" spans="1:7">
      <c r="A14" s="26" t="s">
        <v>6399</v>
      </c>
      <c r="B14" s="26" t="s">
        <v>7370</v>
      </c>
      <c r="C14" s="26" t="s">
        <v>7369</v>
      </c>
      <c r="D14" s="26" t="s">
        <v>6489</v>
      </c>
      <c r="E14" s="26" t="s">
        <v>6395</v>
      </c>
    </row>
    <row r="15" spans="1:7">
      <c r="A15" s="26" t="s">
        <v>6399</v>
      </c>
      <c r="B15" s="26" t="s">
        <v>7368</v>
      </c>
      <c r="C15" s="26" t="s">
        <v>7367</v>
      </c>
      <c r="D15" s="26" t="s">
        <v>6480</v>
      </c>
      <c r="E15" s="26" t="s">
        <v>6395</v>
      </c>
    </row>
    <row r="16" spans="1:7">
      <c r="A16" s="26" t="s">
        <v>6399</v>
      </c>
      <c r="B16" s="26" t="s">
        <v>7366</v>
      </c>
      <c r="C16" s="26" t="s">
        <v>7362</v>
      </c>
      <c r="D16" s="26" t="s">
        <v>6542</v>
      </c>
      <c r="E16" s="26" t="s">
        <v>6395</v>
      </c>
    </row>
    <row r="17" spans="1:6">
      <c r="A17" s="26" t="s">
        <v>6399</v>
      </c>
      <c r="B17" s="26" t="s">
        <v>7365</v>
      </c>
      <c r="C17" s="26" t="s">
        <v>7362</v>
      </c>
      <c r="D17" s="26" t="s">
        <v>6542</v>
      </c>
      <c r="E17" s="26" t="s">
        <v>6395</v>
      </c>
    </row>
    <row r="18" spans="1:6">
      <c r="A18" s="26" t="s">
        <v>6399</v>
      </c>
      <c r="B18" s="26" t="s">
        <v>7364</v>
      </c>
      <c r="C18" s="26" t="s">
        <v>7362</v>
      </c>
      <c r="D18" s="26" t="s">
        <v>6542</v>
      </c>
      <c r="E18" s="26" t="s">
        <v>6395</v>
      </c>
    </row>
    <row r="19" spans="1:6">
      <c r="A19" s="26" t="s">
        <v>6399</v>
      </c>
      <c r="B19" s="26" t="s">
        <v>7363</v>
      </c>
      <c r="C19" s="26" t="s">
        <v>7362</v>
      </c>
      <c r="D19" s="26" t="s">
        <v>6542</v>
      </c>
      <c r="E19" s="26" t="s">
        <v>6395</v>
      </c>
    </row>
    <row r="20" spans="1:6">
      <c r="A20" s="26" t="s">
        <v>6399</v>
      </c>
      <c r="B20" s="26" t="s">
        <v>7361</v>
      </c>
      <c r="C20" s="26" t="s">
        <v>7360</v>
      </c>
      <c r="D20" s="26" t="s">
        <v>6480</v>
      </c>
      <c r="E20" s="26" t="s">
        <v>6395</v>
      </c>
      <c r="F20" s="26">
        <v>50</v>
      </c>
    </row>
    <row r="21" spans="1:6">
      <c r="A21" s="26" t="s">
        <v>6399</v>
      </c>
      <c r="B21" s="26" t="s">
        <v>7359</v>
      </c>
      <c r="C21" s="26" t="s">
        <v>7358</v>
      </c>
      <c r="D21" s="26" t="s">
        <v>6480</v>
      </c>
      <c r="E21" s="26" t="s">
        <v>6395</v>
      </c>
    </row>
    <row r="22" spans="1:6">
      <c r="A22" s="26" t="s">
        <v>6399</v>
      </c>
      <c r="B22" s="26" t="s">
        <v>7357</v>
      </c>
      <c r="D22" s="26" t="s">
        <v>6480</v>
      </c>
      <c r="E22" s="26" t="s">
        <v>6395</v>
      </c>
    </row>
    <row r="23" spans="1:6">
      <c r="A23" s="26" t="s">
        <v>6399</v>
      </c>
      <c r="B23" s="26" t="s">
        <v>7356</v>
      </c>
      <c r="D23" s="26" t="s">
        <v>6480</v>
      </c>
      <c r="E23" s="26" t="s">
        <v>6395</v>
      </c>
    </row>
    <row r="24" spans="1:6">
      <c r="A24" s="26" t="s">
        <v>6399</v>
      </c>
      <c r="B24" s="26" t="s">
        <v>7355</v>
      </c>
      <c r="C24" s="26" t="s">
        <v>7354</v>
      </c>
      <c r="D24" s="26" t="s">
        <v>6480</v>
      </c>
      <c r="E24" s="26" t="s">
        <v>6395</v>
      </c>
      <c r="F24" s="26">
        <v>50</v>
      </c>
    </row>
    <row r="25" spans="1:6">
      <c r="A25" s="26" t="s">
        <v>6399</v>
      </c>
      <c r="B25" s="26" t="s">
        <v>7353</v>
      </c>
      <c r="C25" s="26" t="s">
        <v>6697</v>
      </c>
      <c r="D25" s="26" t="s">
        <v>6480</v>
      </c>
      <c r="E25" s="26" t="s">
        <v>6395</v>
      </c>
      <c r="F25" s="26">
        <v>50</v>
      </c>
    </row>
    <row r="26" spans="1:6">
      <c r="A26" s="26" t="s">
        <v>6399</v>
      </c>
      <c r="B26" s="26" t="s">
        <v>7352</v>
      </c>
      <c r="C26" s="26" t="s">
        <v>7351</v>
      </c>
      <c r="D26" s="26" t="s">
        <v>6480</v>
      </c>
      <c r="E26" s="26" t="s">
        <v>6395</v>
      </c>
    </row>
    <row r="27" spans="1:6">
      <c r="A27" s="26" t="s">
        <v>6399</v>
      </c>
      <c r="B27" s="26" t="s">
        <v>7350</v>
      </c>
      <c r="C27" s="26" t="s">
        <v>7349</v>
      </c>
      <c r="D27" s="26" t="s">
        <v>6480</v>
      </c>
      <c r="E27" s="26" t="s">
        <v>6395</v>
      </c>
    </row>
    <row r="28" spans="1:6">
      <c r="A28" s="26" t="s">
        <v>6399</v>
      </c>
      <c r="B28" s="26" t="s">
        <v>1977</v>
      </c>
      <c r="C28" s="26" t="s">
        <v>7348</v>
      </c>
      <c r="D28" s="26" t="s">
        <v>6396</v>
      </c>
      <c r="E28" s="26" t="s">
        <v>6395</v>
      </c>
    </row>
    <row r="29" spans="1:6">
      <c r="A29" s="26" t="s">
        <v>6399</v>
      </c>
      <c r="B29" s="26" t="s">
        <v>7347</v>
      </c>
      <c r="C29" s="26" t="s">
        <v>7346</v>
      </c>
      <c r="D29" s="26" t="s">
        <v>6489</v>
      </c>
      <c r="E29" s="26" t="s">
        <v>6395</v>
      </c>
    </row>
    <row r="30" spans="1:6">
      <c r="A30" s="26" t="s">
        <v>6399</v>
      </c>
      <c r="B30" s="26" t="s">
        <v>394</v>
      </c>
      <c r="C30" s="26" t="s">
        <v>395</v>
      </c>
      <c r="D30" s="26" t="s">
        <v>6396</v>
      </c>
      <c r="E30" s="26" t="s">
        <v>6395</v>
      </c>
    </row>
    <row r="31" spans="1:6">
      <c r="A31" s="26" t="s">
        <v>6399</v>
      </c>
      <c r="B31" s="26" t="s">
        <v>7345</v>
      </c>
      <c r="C31" s="26" t="s">
        <v>395</v>
      </c>
      <c r="D31" s="26" t="s">
        <v>6396</v>
      </c>
      <c r="E31" s="26" t="s">
        <v>6395</v>
      </c>
    </row>
    <row r="32" spans="1:6">
      <c r="A32" s="26" t="s">
        <v>6399</v>
      </c>
      <c r="B32" s="26" t="s">
        <v>7344</v>
      </c>
      <c r="C32" s="26" t="s">
        <v>395</v>
      </c>
      <c r="D32" s="26" t="s">
        <v>6396</v>
      </c>
      <c r="E32" s="26" t="s">
        <v>6395</v>
      </c>
    </row>
    <row r="33" spans="1:5">
      <c r="A33" s="26" t="s">
        <v>6399</v>
      </c>
      <c r="B33" s="26" t="s">
        <v>7343</v>
      </c>
      <c r="C33" s="26" t="s">
        <v>395</v>
      </c>
      <c r="D33" s="26" t="s">
        <v>6396</v>
      </c>
      <c r="E33" s="26" t="s">
        <v>6395</v>
      </c>
    </row>
    <row r="34" spans="1:5">
      <c r="A34" s="26" t="s">
        <v>6399</v>
      </c>
      <c r="B34" s="26" t="s">
        <v>7342</v>
      </c>
      <c r="C34" s="26" t="s">
        <v>395</v>
      </c>
      <c r="D34" s="26" t="s">
        <v>6396</v>
      </c>
      <c r="E34" s="26" t="s">
        <v>6395</v>
      </c>
    </row>
    <row r="35" spans="1:5">
      <c r="A35" s="26" t="s">
        <v>6399</v>
      </c>
      <c r="B35" s="26" t="s">
        <v>7341</v>
      </c>
      <c r="C35" s="26" t="s">
        <v>395</v>
      </c>
      <c r="D35" s="26" t="s">
        <v>6396</v>
      </c>
      <c r="E35" s="26" t="s">
        <v>6395</v>
      </c>
    </row>
    <row r="36" spans="1:5">
      <c r="A36" s="26" t="s">
        <v>6399</v>
      </c>
      <c r="B36" s="26" t="s">
        <v>7340</v>
      </c>
      <c r="C36" s="26" t="s">
        <v>395</v>
      </c>
      <c r="D36" s="26" t="s">
        <v>6396</v>
      </c>
      <c r="E36" s="26" t="s">
        <v>6395</v>
      </c>
    </row>
    <row r="37" spans="1:5">
      <c r="A37" s="26" t="s">
        <v>6399</v>
      </c>
      <c r="B37" s="26" t="s">
        <v>7339</v>
      </c>
      <c r="C37" s="26" t="s">
        <v>395</v>
      </c>
      <c r="D37" s="26" t="s">
        <v>6396</v>
      </c>
      <c r="E37" s="26" t="s">
        <v>6395</v>
      </c>
    </row>
    <row r="38" spans="1:5">
      <c r="A38" s="26" t="s">
        <v>6399</v>
      </c>
      <c r="B38" s="26" t="s">
        <v>7338</v>
      </c>
      <c r="C38" s="26" t="s">
        <v>395</v>
      </c>
      <c r="D38" s="26" t="s">
        <v>6396</v>
      </c>
      <c r="E38" s="26" t="s">
        <v>6395</v>
      </c>
    </row>
    <row r="39" spans="1:5">
      <c r="A39" s="26" t="s">
        <v>6399</v>
      </c>
      <c r="B39" s="26" t="s">
        <v>1994</v>
      </c>
      <c r="C39" s="26" t="s">
        <v>1995</v>
      </c>
      <c r="D39" s="26" t="s">
        <v>6396</v>
      </c>
      <c r="E39" s="26" t="s">
        <v>6395</v>
      </c>
    </row>
    <row r="40" spans="1:5">
      <c r="A40" s="26" t="s">
        <v>6399</v>
      </c>
      <c r="B40" s="26" t="s">
        <v>7337</v>
      </c>
      <c r="C40" s="26" t="s">
        <v>7336</v>
      </c>
      <c r="D40" s="26" t="s">
        <v>6489</v>
      </c>
      <c r="E40" s="26" t="s">
        <v>6395</v>
      </c>
    </row>
    <row r="41" spans="1:5">
      <c r="A41" s="26" t="s">
        <v>6399</v>
      </c>
      <c r="B41" s="26" t="s">
        <v>7335</v>
      </c>
      <c r="D41" s="26" t="s">
        <v>6480</v>
      </c>
      <c r="E41" s="26" t="s">
        <v>6395</v>
      </c>
    </row>
    <row r="42" spans="1:5">
      <c r="A42" s="26" t="s">
        <v>6399</v>
      </c>
      <c r="B42" s="26" t="s">
        <v>7334</v>
      </c>
      <c r="C42" s="26" t="s">
        <v>7333</v>
      </c>
      <c r="D42" s="26" t="s">
        <v>6396</v>
      </c>
      <c r="E42" s="26" t="s">
        <v>6395</v>
      </c>
    </row>
    <row r="43" spans="1:5">
      <c r="A43" s="26" t="s">
        <v>6399</v>
      </c>
      <c r="B43" s="26" t="s">
        <v>7332</v>
      </c>
      <c r="C43" s="26" t="s">
        <v>7331</v>
      </c>
      <c r="D43" s="26" t="s">
        <v>6396</v>
      </c>
      <c r="E43" s="26" t="s">
        <v>6395</v>
      </c>
    </row>
    <row r="44" spans="1:5">
      <c r="A44" s="26" t="s">
        <v>6399</v>
      </c>
      <c r="B44" s="26" t="s">
        <v>7330</v>
      </c>
      <c r="C44" s="26" t="s">
        <v>7329</v>
      </c>
      <c r="D44" s="26" t="s">
        <v>6396</v>
      </c>
      <c r="E44" s="26" t="s">
        <v>6395</v>
      </c>
    </row>
    <row r="45" spans="1:5">
      <c r="A45" s="26" t="s">
        <v>6399</v>
      </c>
      <c r="B45" s="26" t="s">
        <v>7328</v>
      </c>
      <c r="C45" s="26" t="s">
        <v>7327</v>
      </c>
      <c r="D45" s="26" t="s">
        <v>6396</v>
      </c>
      <c r="E45" s="26" t="s">
        <v>6395</v>
      </c>
    </row>
    <row r="46" spans="1:5">
      <c r="A46" s="26" t="s">
        <v>6399</v>
      </c>
      <c r="B46" s="26" t="s">
        <v>2454</v>
      </c>
      <c r="C46" s="26" t="s">
        <v>1250</v>
      </c>
      <c r="D46" s="26" t="s">
        <v>6396</v>
      </c>
      <c r="E46" s="26" t="s">
        <v>6395</v>
      </c>
    </row>
    <row r="47" spans="1:5">
      <c r="A47" s="26" t="s">
        <v>6399</v>
      </c>
      <c r="B47" s="26" t="s">
        <v>7326</v>
      </c>
      <c r="C47" s="26" t="s">
        <v>7325</v>
      </c>
      <c r="D47" s="26" t="s">
        <v>6396</v>
      </c>
      <c r="E47" s="26" t="s">
        <v>6395</v>
      </c>
    </row>
    <row r="48" spans="1:5">
      <c r="A48" s="26" t="s">
        <v>6399</v>
      </c>
      <c r="B48" s="26" t="s">
        <v>7324</v>
      </c>
      <c r="C48" s="26" t="s">
        <v>7323</v>
      </c>
      <c r="D48" s="26" t="s">
        <v>6480</v>
      </c>
      <c r="E48" s="26" t="s">
        <v>6395</v>
      </c>
    </row>
    <row r="49" spans="1:5">
      <c r="A49" s="26" t="s">
        <v>6399</v>
      </c>
      <c r="B49" s="26" t="s">
        <v>7322</v>
      </c>
      <c r="C49" s="26" t="s">
        <v>7321</v>
      </c>
      <c r="D49" s="26" t="s">
        <v>6480</v>
      </c>
      <c r="E49" s="26" t="s">
        <v>6395</v>
      </c>
    </row>
    <row r="50" spans="1:5">
      <c r="A50" s="26" t="s">
        <v>6399</v>
      </c>
      <c r="B50" s="26" t="s">
        <v>7320</v>
      </c>
      <c r="C50" s="26" t="s">
        <v>7319</v>
      </c>
      <c r="D50" s="26" t="s">
        <v>6396</v>
      </c>
      <c r="E50" s="26" t="s">
        <v>6395</v>
      </c>
    </row>
    <row r="51" spans="1:5">
      <c r="A51" s="26" t="s">
        <v>6399</v>
      </c>
      <c r="B51" s="26" t="s">
        <v>7318</v>
      </c>
      <c r="C51" s="26" t="s">
        <v>6815</v>
      </c>
      <c r="D51" s="26" t="s">
        <v>6396</v>
      </c>
      <c r="E51" s="26" t="s">
        <v>6395</v>
      </c>
    </row>
    <row r="52" spans="1:5">
      <c r="A52" s="26" t="s">
        <v>6399</v>
      </c>
      <c r="B52" s="26" t="s">
        <v>7317</v>
      </c>
      <c r="C52" s="26" t="s">
        <v>6815</v>
      </c>
      <c r="D52" s="26" t="s">
        <v>6396</v>
      </c>
      <c r="E52" s="26" t="s">
        <v>6395</v>
      </c>
    </row>
    <row r="53" spans="1:5">
      <c r="A53" s="26" t="s">
        <v>6399</v>
      </c>
      <c r="B53" s="26" t="s">
        <v>7316</v>
      </c>
      <c r="C53" s="26" t="s">
        <v>7314</v>
      </c>
      <c r="D53" s="26" t="s">
        <v>6396</v>
      </c>
      <c r="E53" s="26" t="s">
        <v>6395</v>
      </c>
    </row>
    <row r="54" spans="1:5">
      <c r="A54" s="26" t="s">
        <v>6399</v>
      </c>
      <c r="B54" s="26" t="s">
        <v>7315</v>
      </c>
      <c r="C54" s="26" t="s">
        <v>7314</v>
      </c>
      <c r="D54" s="26" t="s">
        <v>6396</v>
      </c>
      <c r="E54" s="26" t="s">
        <v>6395</v>
      </c>
    </row>
    <row r="55" spans="1:5">
      <c r="A55" s="26" t="s">
        <v>6399</v>
      </c>
      <c r="B55" s="26" t="s">
        <v>7313</v>
      </c>
      <c r="C55" s="26" t="s">
        <v>592</v>
      </c>
      <c r="D55" s="26" t="s">
        <v>6396</v>
      </c>
      <c r="E55" s="26" t="s">
        <v>6395</v>
      </c>
    </row>
    <row r="56" spans="1:5">
      <c r="A56" s="26" t="s">
        <v>6399</v>
      </c>
      <c r="B56" s="26" t="s">
        <v>7312</v>
      </c>
      <c r="C56" s="26" t="s">
        <v>592</v>
      </c>
      <c r="D56" s="26" t="s">
        <v>6396</v>
      </c>
      <c r="E56" s="26" t="s">
        <v>6395</v>
      </c>
    </row>
    <row r="57" spans="1:5">
      <c r="A57" s="26" t="s">
        <v>6399</v>
      </c>
      <c r="B57" s="26" t="s">
        <v>591</v>
      </c>
      <c r="C57" s="26" t="s">
        <v>592</v>
      </c>
      <c r="D57" s="26" t="s">
        <v>6396</v>
      </c>
      <c r="E57" s="26" t="s">
        <v>6395</v>
      </c>
    </row>
    <row r="58" spans="1:5">
      <c r="A58" s="26" t="s">
        <v>6399</v>
      </c>
      <c r="B58" s="26" t="s">
        <v>1719</v>
      </c>
      <c r="C58" s="26" t="s">
        <v>592</v>
      </c>
      <c r="D58" s="26" t="s">
        <v>6396</v>
      </c>
      <c r="E58" s="26" t="s">
        <v>6395</v>
      </c>
    </row>
    <row r="59" spans="1:5">
      <c r="A59" s="26" t="s">
        <v>6399</v>
      </c>
      <c r="B59" s="26" t="s">
        <v>1722</v>
      </c>
      <c r="C59" s="26" t="s">
        <v>592</v>
      </c>
      <c r="D59" s="26" t="s">
        <v>6396</v>
      </c>
      <c r="E59" s="26" t="s">
        <v>6395</v>
      </c>
    </row>
    <row r="60" spans="1:5">
      <c r="A60" s="26" t="s">
        <v>6399</v>
      </c>
      <c r="B60" s="26" t="s">
        <v>7311</v>
      </c>
      <c r="C60" s="26" t="s">
        <v>592</v>
      </c>
      <c r="D60" s="26" t="s">
        <v>6396</v>
      </c>
      <c r="E60" s="26" t="s">
        <v>6395</v>
      </c>
    </row>
    <row r="61" spans="1:5">
      <c r="A61" s="26" t="s">
        <v>6399</v>
      </c>
      <c r="B61" s="26" t="s">
        <v>7310</v>
      </c>
      <c r="C61" s="26" t="s">
        <v>592</v>
      </c>
      <c r="D61" s="26" t="s">
        <v>6396</v>
      </c>
      <c r="E61" s="26" t="s">
        <v>6395</v>
      </c>
    </row>
    <row r="62" spans="1:5">
      <c r="A62" s="26" t="s">
        <v>6399</v>
      </c>
      <c r="B62" s="26" t="s">
        <v>7309</v>
      </c>
      <c r="C62" s="26" t="s">
        <v>592</v>
      </c>
      <c r="D62" s="26" t="s">
        <v>6396</v>
      </c>
      <c r="E62" s="26" t="s">
        <v>6395</v>
      </c>
    </row>
    <row r="63" spans="1:5">
      <c r="A63" s="26" t="s">
        <v>6399</v>
      </c>
      <c r="B63" s="26" t="s">
        <v>7308</v>
      </c>
      <c r="C63" s="26" t="s">
        <v>592</v>
      </c>
      <c r="D63" s="26" t="s">
        <v>6396</v>
      </c>
      <c r="E63" s="26" t="s">
        <v>6395</v>
      </c>
    </row>
    <row r="64" spans="1:5">
      <c r="A64" s="26" t="s">
        <v>6399</v>
      </c>
      <c r="B64" s="26" t="s">
        <v>497</v>
      </c>
      <c r="C64" s="26" t="s">
        <v>498</v>
      </c>
      <c r="D64" s="26" t="s">
        <v>6396</v>
      </c>
      <c r="E64" s="26" t="s">
        <v>6395</v>
      </c>
    </row>
    <row r="65" spans="1:5">
      <c r="A65" s="26" t="s">
        <v>6399</v>
      </c>
      <c r="B65" s="26" t="s">
        <v>7307</v>
      </c>
      <c r="C65" s="26" t="s">
        <v>587</v>
      </c>
      <c r="D65" s="26" t="s">
        <v>6396</v>
      </c>
      <c r="E65" s="26" t="s">
        <v>6395</v>
      </c>
    </row>
    <row r="66" spans="1:5">
      <c r="A66" s="26" t="s">
        <v>6399</v>
      </c>
      <c r="B66" s="26" t="s">
        <v>1200</v>
      </c>
      <c r="C66" s="26" t="s">
        <v>265</v>
      </c>
      <c r="D66" s="26" t="s">
        <v>6396</v>
      </c>
      <c r="E66" s="26" t="s">
        <v>6395</v>
      </c>
    </row>
    <row r="67" spans="1:5">
      <c r="A67" s="26" t="s">
        <v>6399</v>
      </c>
      <c r="B67" s="26" t="s">
        <v>7306</v>
      </c>
      <c r="C67" s="26" t="s">
        <v>265</v>
      </c>
      <c r="D67" s="26" t="s">
        <v>6396</v>
      </c>
      <c r="E67" s="26" t="s">
        <v>6395</v>
      </c>
    </row>
    <row r="68" spans="1:5">
      <c r="A68" s="26" t="s">
        <v>6399</v>
      </c>
      <c r="B68" s="26" t="s">
        <v>7305</v>
      </c>
      <c r="C68" s="26" t="s">
        <v>265</v>
      </c>
      <c r="D68" s="26" t="s">
        <v>6396</v>
      </c>
      <c r="E68" s="26" t="s">
        <v>6395</v>
      </c>
    </row>
    <row r="69" spans="1:5">
      <c r="A69" s="26" t="s">
        <v>6399</v>
      </c>
      <c r="B69" s="26" t="s">
        <v>7304</v>
      </c>
      <c r="C69" s="26" t="s">
        <v>265</v>
      </c>
      <c r="D69" s="26" t="s">
        <v>6396</v>
      </c>
      <c r="E69" s="26" t="s">
        <v>6395</v>
      </c>
    </row>
    <row r="70" spans="1:5">
      <c r="A70" s="26" t="s">
        <v>6399</v>
      </c>
      <c r="B70" s="26" t="s">
        <v>7303</v>
      </c>
      <c r="C70" s="26" t="s">
        <v>265</v>
      </c>
      <c r="D70" s="26" t="s">
        <v>6396</v>
      </c>
      <c r="E70" s="26" t="s">
        <v>6395</v>
      </c>
    </row>
    <row r="71" spans="1:5">
      <c r="A71" s="26" t="s">
        <v>6399</v>
      </c>
      <c r="B71" s="26" t="s">
        <v>7302</v>
      </c>
      <c r="C71" s="26" t="s">
        <v>265</v>
      </c>
      <c r="D71" s="26" t="s">
        <v>6396</v>
      </c>
      <c r="E71" s="26" t="s">
        <v>6395</v>
      </c>
    </row>
    <row r="72" spans="1:5">
      <c r="A72" s="26" t="s">
        <v>6399</v>
      </c>
      <c r="B72" s="26" t="s">
        <v>7301</v>
      </c>
      <c r="C72" s="26" t="s">
        <v>265</v>
      </c>
      <c r="D72" s="26" t="s">
        <v>6396</v>
      </c>
      <c r="E72" s="26" t="s">
        <v>6395</v>
      </c>
    </row>
    <row r="73" spans="1:5">
      <c r="A73" s="26" t="s">
        <v>6399</v>
      </c>
      <c r="B73" s="26" t="s">
        <v>7300</v>
      </c>
      <c r="C73" s="26" t="s">
        <v>265</v>
      </c>
      <c r="D73" s="26" t="s">
        <v>6396</v>
      </c>
      <c r="E73" s="26" t="s">
        <v>6395</v>
      </c>
    </row>
    <row r="74" spans="1:5">
      <c r="A74" s="26" t="s">
        <v>6399</v>
      </c>
      <c r="B74" s="26" t="s">
        <v>7299</v>
      </c>
      <c r="C74" s="26" t="s">
        <v>265</v>
      </c>
      <c r="D74" s="26" t="s">
        <v>6396</v>
      </c>
      <c r="E74" s="26" t="s">
        <v>6395</v>
      </c>
    </row>
    <row r="75" spans="1:5">
      <c r="A75" s="26" t="s">
        <v>6399</v>
      </c>
      <c r="B75" s="26" t="s">
        <v>7298</v>
      </c>
      <c r="C75" s="26" t="s">
        <v>265</v>
      </c>
      <c r="D75" s="26" t="s">
        <v>6396</v>
      </c>
      <c r="E75" s="26" t="s">
        <v>6395</v>
      </c>
    </row>
    <row r="76" spans="1:5">
      <c r="A76" s="26" t="s">
        <v>6399</v>
      </c>
      <c r="B76" s="26" t="s">
        <v>7297</v>
      </c>
      <c r="C76" s="26" t="s">
        <v>265</v>
      </c>
      <c r="D76" s="26" t="s">
        <v>6396</v>
      </c>
      <c r="E76" s="26" t="s">
        <v>6395</v>
      </c>
    </row>
    <row r="77" spans="1:5">
      <c r="A77" s="26" t="s">
        <v>6399</v>
      </c>
      <c r="B77" s="26" t="s">
        <v>2781</v>
      </c>
      <c r="C77" s="26" t="s">
        <v>265</v>
      </c>
      <c r="D77" s="26" t="s">
        <v>6396</v>
      </c>
      <c r="E77" s="26" t="s">
        <v>6395</v>
      </c>
    </row>
    <row r="78" spans="1:5">
      <c r="A78" s="26" t="s">
        <v>6399</v>
      </c>
      <c r="B78" s="26" t="s">
        <v>1189</v>
      </c>
      <c r="C78" s="26" t="s">
        <v>265</v>
      </c>
      <c r="D78" s="26" t="s">
        <v>6396</v>
      </c>
      <c r="E78" s="26" t="s">
        <v>6395</v>
      </c>
    </row>
    <row r="79" spans="1:5">
      <c r="A79" s="26" t="s">
        <v>6399</v>
      </c>
      <c r="B79" s="26" t="s">
        <v>7296</v>
      </c>
      <c r="C79" s="26" t="s">
        <v>265</v>
      </c>
      <c r="D79" s="26" t="s">
        <v>6396</v>
      </c>
      <c r="E79" s="26" t="s">
        <v>6395</v>
      </c>
    </row>
    <row r="80" spans="1:5">
      <c r="A80" s="26" t="s">
        <v>6399</v>
      </c>
      <c r="B80" s="26" t="s">
        <v>2784</v>
      </c>
      <c r="C80" s="26" t="s">
        <v>265</v>
      </c>
      <c r="D80" s="26" t="s">
        <v>6396</v>
      </c>
      <c r="E80" s="26" t="s">
        <v>6395</v>
      </c>
    </row>
    <row r="81" spans="1:5">
      <c r="A81" s="26" t="s">
        <v>6399</v>
      </c>
      <c r="B81" s="26" t="s">
        <v>2777</v>
      </c>
      <c r="C81" s="26" t="s">
        <v>265</v>
      </c>
      <c r="D81" s="26" t="s">
        <v>6396</v>
      </c>
      <c r="E81" s="26" t="s">
        <v>6395</v>
      </c>
    </row>
    <row r="82" spans="1:5">
      <c r="A82" s="26" t="s">
        <v>6399</v>
      </c>
      <c r="B82" s="26" t="s">
        <v>7295</v>
      </c>
      <c r="C82" s="26" t="s">
        <v>265</v>
      </c>
      <c r="D82" s="26" t="s">
        <v>6396</v>
      </c>
      <c r="E82" s="26" t="s">
        <v>6395</v>
      </c>
    </row>
    <row r="83" spans="1:5">
      <c r="A83" s="26" t="s">
        <v>6399</v>
      </c>
      <c r="B83" s="26" t="s">
        <v>264</v>
      </c>
      <c r="C83" s="26" t="s">
        <v>265</v>
      </c>
      <c r="D83" s="26" t="s">
        <v>6396</v>
      </c>
      <c r="E83" s="26" t="s">
        <v>6395</v>
      </c>
    </row>
    <row r="84" spans="1:5">
      <c r="A84" s="26" t="s">
        <v>6399</v>
      </c>
      <c r="B84" s="26" t="s">
        <v>7294</v>
      </c>
      <c r="C84" s="26" t="s">
        <v>7293</v>
      </c>
      <c r="D84" s="26" t="s">
        <v>6396</v>
      </c>
      <c r="E84" s="26" t="s">
        <v>6395</v>
      </c>
    </row>
    <row r="85" spans="1:5">
      <c r="A85" s="26" t="s">
        <v>6399</v>
      </c>
      <c r="B85" s="26" t="s">
        <v>2047</v>
      </c>
      <c r="C85" s="26" t="s">
        <v>7293</v>
      </c>
      <c r="D85" s="26" t="s">
        <v>6396</v>
      </c>
      <c r="E85" s="26" t="s">
        <v>6395</v>
      </c>
    </row>
    <row r="86" spans="1:5">
      <c r="A86" s="26" t="s">
        <v>6399</v>
      </c>
      <c r="B86" s="26" t="s">
        <v>3399</v>
      </c>
      <c r="C86" s="26" t="s">
        <v>3400</v>
      </c>
      <c r="D86" s="26" t="s">
        <v>6396</v>
      </c>
      <c r="E86" s="26" t="s">
        <v>6395</v>
      </c>
    </row>
    <row r="87" spans="1:5">
      <c r="A87" s="26" t="s">
        <v>6399</v>
      </c>
      <c r="B87" s="26" t="s">
        <v>7292</v>
      </c>
      <c r="C87" s="26" t="s">
        <v>7291</v>
      </c>
      <c r="D87" s="26" t="s">
        <v>6396</v>
      </c>
      <c r="E87" s="26" t="s">
        <v>6395</v>
      </c>
    </row>
    <row r="88" spans="1:5">
      <c r="A88" s="26" t="s">
        <v>6399</v>
      </c>
      <c r="B88" s="26" t="s">
        <v>7290</v>
      </c>
      <c r="C88" s="26" t="s">
        <v>457</v>
      </c>
      <c r="D88" s="26" t="s">
        <v>6396</v>
      </c>
      <c r="E88" s="26" t="s">
        <v>6395</v>
      </c>
    </row>
    <row r="89" spans="1:5">
      <c r="A89" s="26" t="s">
        <v>6399</v>
      </c>
      <c r="B89" s="26" t="s">
        <v>7289</v>
      </c>
      <c r="C89" s="26" t="s">
        <v>457</v>
      </c>
      <c r="D89" s="26" t="s">
        <v>6396</v>
      </c>
      <c r="E89" s="26" t="s">
        <v>6395</v>
      </c>
    </row>
    <row r="90" spans="1:5">
      <c r="A90" s="26" t="s">
        <v>6399</v>
      </c>
      <c r="B90" s="26" t="s">
        <v>456</v>
      </c>
      <c r="C90" s="26" t="s">
        <v>457</v>
      </c>
      <c r="D90" s="26" t="s">
        <v>6396</v>
      </c>
      <c r="E90" s="26" t="s">
        <v>6395</v>
      </c>
    </row>
    <row r="91" spans="1:5">
      <c r="A91" s="26" t="s">
        <v>6399</v>
      </c>
      <c r="B91" s="26" t="s">
        <v>7288</v>
      </c>
      <c r="C91" s="26" t="s">
        <v>457</v>
      </c>
      <c r="D91" s="26" t="s">
        <v>6396</v>
      </c>
      <c r="E91" s="26" t="s">
        <v>6395</v>
      </c>
    </row>
    <row r="92" spans="1:5">
      <c r="A92" s="26" t="s">
        <v>6399</v>
      </c>
      <c r="B92" s="26" t="s">
        <v>7287</v>
      </c>
      <c r="C92" s="26" t="s">
        <v>7286</v>
      </c>
      <c r="D92" s="26" t="s">
        <v>6434</v>
      </c>
      <c r="E92" s="26" t="s">
        <v>6395</v>
      </c>
    </row>
    <row r="93" spans="1:5">
      <c r="A93" s="26" t="s">
        <v>6399</v>
      </c>
      <c r="B93" s="26" t="s">
        <v>7285</v>
      </c>
      <c r="C93" s="26" t="s">
        <v>434</v>
      </c>
      <c r="D93" s="26" t="s">
        <v>6396</v>
      </c>
      <c r="E93" s="26" t="s">
        <v>6395</v>
      </c>
    </row>
    <row r="94" spans="1:5">
      <c r="A94" s="26" t="s">
        <v>6399</v>
      </c>
      <c r="B94" s="26" t="s">
        <v>7284</v>
      </c>
      <c r="C94" s="26" t="s">
        <v>434</v>
      </c>
      <c r="D94" s="26" t="s">
        <v>6396</v>
      </c>
      <c r="E94" s="26" t="s">
        <v>6395</v>
      </c>
    </row>
    <row r="95" spans="1:5">
      <c r="A95" s="26" t="s">
        <v>6399</v>
      </c>
      <c r="B95" s="26" t="s">
        <v>2828</v>
      </c>
      <c r="C95" s="26" t="s">
        <v>434</v>
      </c>
      <c r="D95" s="26" t="s">
        <v>6396</v>
      </c>
      <c r="E95" s="26" t="s">
        <v>6395</v>
      </c>
    </row>
    <row r="96" spans="1:5">
      <c r="A96" s="26" t="s">
        <v>6399</v>
      </c>
      <c r="B96" s="26" t="s">
        <v>7283</v>
      </c>
      <c r="C96" s="26" t="s">
        <v>7282</v>
      </c>
      <c r="D96" s="26" t="s">
        <v>6396</v>
      </c>
      <c r="E96" s="26" t="s">
        <v>6395</v>
      </c>
    </row>
    <row r="97" spans="1:7">
      <c r="A97" s="26" t="s">
        <v>6399</v>
      </c>
      <c r="B97" s="26" t="s">
        <v>7281</v>
      </c>
      <c r="C97" s="26" t="s">
        <v>707</v>
      </c>
      <c r="D97" s="26" t="s">
        <v>6396</v>
      </c>
      <c r="E97" s="26" t="s">
        <v>6395</v>
      </c>
    </row>
    <row r="98" spans="1:7">
      <c r="A98" s="26" t="s">
        <v>6399</v>
      </c>
      <c r="B98" s="26" t="s">
        <v>7280</v>
      </c>
      <c r="C98" s="26" t="s">
        <v>707</v>
      </c>
      <c r="D98" s="26" t="s">
        <v>6396</v>
      </c>
      <c r="E98" s="26" t="s">
        <v>6395</v>
      </c>
    </row>
    <row r="99" spans="1:7">
      <c r="A99" s="26" t="s">
        <v>6399</v>
      </c>
      <c r="B99" s="26" t="s">
        <v>7279</v>
      </c>
      <c r="C99" s="26" t="s">
        <v>707</v>
      </c>
      <c r="D99" s="26" t="s">
        <v>6396</v>
      </c>
      <c r="E99" s="26" t="s">
        <v>6395</v>
      </c>
      <c r="G99" s="26" t="s">
        <v>6585</v>
      </c>
    </row>
    <row r="100" spans="1:7">
      <c r="A100" s="26" t="s">
        <v>6399</v>
      </c>
      <c r="B100" s="26" t="s">
        <v>706</v>
      </c>
      <c r="C100" s="26" t="s">
        <v>707</v>
      </c>
      <c r="D100" s="26" t="s">
        <v>6396</v>
      </c>
      <c r="E100" s="26" t="s">
        <v>6395</v>
      </c>
    </row>
    <row r="101" spans="1:7">
      <c r="A101" s="26" t="s">
        <v>6399</v>
      </c>
      <c r="B101" s="26" t="s">
        <v>2019</v>
      </c>
      <c r="C101" s="26" t="s">
        <v>2020</v>
      </c>
      <c r="D101" s="26" t="s">
        <v>6396</v>
      </c>
      <c r="E101" s="26" t="s">
        <v>6395</v>
      </c>
    </row>
    <row r="102" spans="1:7">
      <c r="A102" s="26" t="s">
        <v>6399</v>
      </c>
      <c r="B102" s="26" t="s">
        <v>7278</v>
      </c>
      <c r="C102" s="26" t="s">
        <v>2020</v>
      </c>
      <c r="D102" s="26" t="s">
        <v>6396</v>
      </c>
      <c r="E102" s="26" t="s">
        <v>6395</v>
      </c>
    </row>
    <row r="103" spans="1:7">
      <c r="A103" s="26" t="s">
        <v>6399</v>
      </c>
      <c r="B103" s="26" t="s">
        <v>6550</v>
      </c>
      <c r="C103" s="26" t="s">
        <v>2020</v>
      </c>
      <c r="D103" s="26" t="s">
        <v>6396</v>
      </c>
      <c r="E103" s="26" t="s">
        <v>6395</v>
      </c>
    </row>
    <row r="104" spans="1:7">
      <c r="A104" s="26" t="s">
        <v>6399</v>
      </c>
      <c r="B104" s="26" t="s">
        <v>7277</v>
      </c>
      <c r="C104" s="26" t="s">
        <v>7276</v>
      </c>
      <c r="D104" s="26" t="s">
        <v>6396</v>
      </c>
      <c r="E104" s="26" t="s">
        <v>6395</v>
      </c>
    </row>
    <row r="105" spans="1:7">
      <c r="A105" s="26" t="s">
        <v>6399</v>
      </c>
      <c r="B105" s="26" t="s">
        <v>2640</v>
      </c>
      <c r="C105" s="26" t="s">
        <v>574</v>
      </c>
      <c r="D105" s="26" t="s">
        <v>6396</v>
      </c>
      <c r="E105" s="26" t="s">
        <v>6395</v>
      </c>
    </row>
    <row r="106" spans="1:7">
      <c r="A106" s="26" t="s">
        <v>6399</v>
      </c>
      <c r="B106" s="26" t="s">
        <v>2637</v>
      </c>
      <c r="C106" s="26" t="s">
        <v>574</v>
      </c>
      <c r="D106" s="26" t="s">
        <v>6396</v>
      </c>
      <c r="E106" s="26" t="s">
        <v>6395</v>
      </c>
    </row>
    <row r="107" spans="1:7">
      <c r="A107" s="26" t="s">
        <v>6399</v>
      </c>
      <c r="B107" s="26" t="s">
        <v>7275</v>
      </c>
      <c r="C107" s="26" t="s">
        <v>574</v>
      </c>
      <c r="D107" s="26" t="s">
        <v>6396</v>
      </c>
      <c r="E107" s="26" t="s">
        <v>6395</v>
      </c>
    </row>
    <row r="108" spans="1:7">
      <c r="A108" s="26" t="s">
        <v>6399</v>
      </c>
      <c r="B108" s="26" t="s">
        <v>1834</v>
      </c>
      <c r="C108" s="26" t="s">
        <v>574</v>
      </c>
      <c r="D108" s="26" t="s">
        <v>6396</v>
      </c>
      <c r="E108" s="26" t="s">
        <v>6395</v>
      </c>
    </row>
    <row r="109" spans="1:7">
      <c r="A109" s="26" t="s">
        <v>6399</v>
      </c>
      <c r="B109" s="26" t="s">
        <v>7274</v>
      </c>
      <c r="C109" s="26" t="s">
        <v>574</v>
      </c>
      <c r="D109" s="26" t="s">
        <v>6396</v>
      </c>
      <c r="E109" s="26" t="s">
        <v>6395</v>
      </c>
    </row>
    <row r="110" spans="1:7">
      <c r="A110" s="26" t="s">
        <v>6399</v>
      </c>
      <c r="B110" s="26" t="s">
        <v>7273</v>
      </c>
      <c r="C110" s="26" t="s">
        <v>574</v>
      </c>
      <c r="D110" s="26" t="s">
        <v>6396</v>
      </c>
      <c r="E110" s="26" t="s">
        <v>6395</v>
      </c>
    </row>
    <row r="111" spans="1:7">
      <c r="A111" s="26" t="s">
        <v>6399</v>
      </c>
      <c r="B111" s="26" t="s">
        <v>7272</v>
      </c>
      <c r="C111" s="26" t="s">
        <v>574</v>
      </c>
      <c r="D111" s="26" t="s">
        <v>6396</v>
      </c>
      <c r="E111" s="26" t="s">
        <v>6395</v>
      </c>
    </row>
    <row r="112" spans="1:7">
      <c r="A112" s="26" t="s">
        <v>6399</v>
      </c>
      <c r="B112" s="26" t="s">
        <v>7271</v>
      </c>
      <c r="C112" s="26" t="s">
        <v>574</v>
      </c>
      <c r="D112" s="26" t="s">
        <v>6396</v>
      </c>
      <c r="E112" s="26" t="s">
        <v>6395</v>
      </c>
    </row>
    <row r="113" spans="1:5">
      <c r="A113" s="26" t="s">
        <v>6399</v>
      </c>
      <c r="B113" s="26" t="s">
        <v>7270</v>
      </c>
      <c r="C113" s="26" t="s">
        <v>7269</v>
      </c>
      <c r="D113" s="26" t="s">
        <v>6396</v>
      </c>
      <c r="E113" s="26" t="s">
        <v>6395</v>
      </c>
    </row>
    <row r="114" spans="1:5">
      <c r="A114" s="26" t="s">
        <v>6399</v>
      </c>
      <c r="B114" s="26" t="s">
        <v>7268</v>
      </c>
      <c r="C114" s="26" t="s">
        <v>7267</v>
      </c>
      <c r="D114" s="26" t="s">
        <v>6434</v>
      </c>
      <c r="E114" s="26" t="s">
        <v>6395</v>
      </c>
    </row>
    <row r="115" spans="1:5">
      <c r="A115" s="26" t="s">
        <v>6399</v>
      </c>
      <c r="B115" s="26" t="s">
        <v>7266</v>
      </c>
      <c r="C115" s="26" t="s">
        <v>7265</v>
      </c>
      <c r="D115" s="26" t="s">
        <v>6396</v>
      </c>
      <c r="E115" s="26" t="s">
        <v>6395</v>
      </c>
    </row>
    <row r="116" spans="1:5">
      <c r="A116" s="26" t="s">
        <v>6399</v>
      </c>
      <c r="B116" s="26" t="s">
        <v>7264</v>
      </c>
      <c r="C116" s="26" t="s">
        <v>6481</v>
      </c>
      <c r="D116" s="26" t="s">
        <v>6396</v>
      </c>
      <c r="E116" s="26" t="s">
        <v>6479</v>
      </c>
    </row>
    <row r="117" spans="1:5">
      <c r="A117" s="26" t="s">
        <v>6399</v>
      </c>
      <c r="B117" s="26" t="s">
        <v>7263</v>
      </c>
      <c r="C117" s="26" t="s">
        <v>6481</v>
      </c>
      <c r="D117" s="26" t="s">
        <v>6480</v>
      </c>
      <c r="E117" s="26" t="s">
        <v>6479</v>
      </c>
    </row>
    <row r="118" spans="1:5">
      <c r="A118" s="26" t="s">
        <v>6399</v>
      </c>
      <c r="B118" s="26" t="s">
        <v>7262</v>
      </c>
      <c r="C118" s="26" t="s">
        <v>6481</v>
      </c>
      <c r="D118" s="26" t="s">
        <v>6480</v>
      </c>
      <c r="E118" s="26" t="s">
        <v>6479</v>
      </c>
    </row>
    <row r="119" spans="1:5">
      <c r="A119" s="26" t="s">
        <v>6399</v>
      </c>
      <c r="B119" s="26" t="s">
        <v>7261</v>
      </c>
      <c r="C119" s="26" t="s">
        <v>6481</v>
      </c>
      <c r="D119" s="26" t="s">
        <v>6480</v>
      </c>
      <c r="E119" s="26" t="s">
        <v>6479</v>
      </c>
    </row>
    <row r="120" spans="1:5">
      <c r="A120" s="26" t="s">
        <v>6399</v>
      </c>
      <c r="B120" s="26" t="s">
        <v>7260</v>
      </c>
      <c r="C120" s="26" t="s">
        <v>6481</v>
      </c>
      <c r="D120" s="26" t="s">
        <v>6480</v>
      </c>
      <c r="E120" s="26" t="s">
        <v>6479</v>
      </c>
    </row>
    <row r="121" spans="1:5">
      <c r="A121" s="26" t="s">
        <v>6399</v>
      </c>
      <c r="B121" s="26" t="s">
        <v>7259</v>
      </c>
      <c r="C121" s="26" t="s">
        <v>6481</v>
      </c>
      <c r="D121" s="26" t="s">
        <v>6480</v>
      </c>
      <c r="E121" s="26" t="s">
        <v>6479</v>
      </c>
    </row>
    <row r="122" spans="1:5">
      <c r="A122" s="26" t="s">
        <v>6399</v>
      </c>
      <c r="B122" s="26" t="s">
        <v>2744</v>
      </c>
      <c r="C122" s="26" t="s">
        <v>7257</v>
      </c>
      <c r="D122" s="26" t="s">
        <v>6396</v>
      </c>
      <c r="E122" s="26" t="s">
        <v>6395</v>
      </c>
    </row>
    <row r="123" spans="1:5">
      <c r="A123" s="26" t="s">
        <v>6399</v>
      </c>
      <c r="B123" s="26" t="s">
        <v>7258</v>
      </c>
      <c r="C123" s="26" t="s">
        <v>7257</v>
      </c>
      <c r="D123" s="26" t="s">
        <v>6396</v>
      </c>
      <c r="E123" s="26" t="s">
        <v>6395</v>
      </c>
    </row>
    <row r="124" spans="1:5">
      <c r="A124" s="26" t="s">
        <v>6399</v>
      </c>
      <c r="B124" s="26" t="s">
        <v>2235</v>
      </c>
      <c r="C124" s="26" t="s">
        <v>2236</v>
      </c>
      <c r="D124" s="26" t="s">
        <v>6396</v>
      </c>
      <c r="E124" s="26" t="s">
        <v>6395</v>
      </c>
    </row>
    <row r="125" spans="1:5">
      <c r="A125" s="26" t="s">
        <v>6399</v>
      </c>
      <c r="B125" s="26" t="s">
        <v>7256</v>
      </c>
      <c r="C125" s="26" t="s">
        <v>2236</v>
      </c>
      <c r="D125" s="26" t="s">
        <v>6396</v>
      </c>
      <c r="E125" s="26" t="s">
        <v>6395</v>
      </c>
    </row>
    <row r="126" spans="1:5">
      <c r="A126" s="26" t="s">
        <v>6399</v>
      </c>
      <c r="B126" s="26" t="s">
        <v>2047</v>
      </c>
      <c r="C126" s="26" t="s">
        <v>2048</v>
      </c>
      <c r="D126" s="26" t="s">
        <v>6396</v>
      </c>
      <c r="E126" s="26" t="s">
        <v>6395</v>
      </c>
    </row>
    <row r="127" spans="1:5">
      <c r="A127" s="26" t="s">
        <v>6399</v>
      </c>
      <c r="B127" s="26" t="s">
        <v>7255</v>
      </c>
      <c r="C127" s="26" t="s">
        <v>2048</v>
      </c>
      <c r="D127" s="26" t="s">
        <v>6396</v>
      </c>
      <c r="E127" s="26" t="s">
        <v>6871</v>
      </c>
    </row>
    <row r="128" spans="1:5">
      <c r="A128" s="26" t="s">
        <v>6399</v>
      </c>
      <c r="B128" s="26" t="s">
        <v>7254</v>
      </c>
      <c r="C128" s="26" t="s">
        <v>21</v>
      </c>
      <c r="D128" s="26" t="s">
        <v>6396</v>
      </c>
      <c r="E128" s="26" t="s">
        <v>6395</v>
      </c>
    </row>
    <row r="129" spans="1:5">
      <c r="A129" s="26" t="s">
        <v>6399</v>
      </c>
      <c r="B129" s="26" t="s">
        <v>7253</v>
      </c>
      <c r="C129" s="26" t="s">
        <v>21</v>
      </c>
      <c r="D129" s="26" t="s">
        <v>6396</v>
      </c>
      <c r="E129" s="26" t="s">
        <v>6395</v>
      </c>
    </row>
    <row r="130" spans="1:5">
      <c r="A130" s="26" t="s">
        <v>6399</v>
      </c>
      <c r="B130" s="26" t="s">
        <v>922</v>
      </c>
      <c r="C130" s="26" t="s">
        <v>478</v>
      </c>
      <c r="D130" s="26" t="s">
        <v>6396</v>
      </c>
      <c r="E130" s="26" t="s">
        <v>6395</v>
      </c>
    </row>
    <row r="131" spans="1:5">
      <c r="A131" s="26" t="s">
        <v>6399</v>
      </c>
      <c r="B131" s="26" t="s">
        <v>7252</v>
      </c>
      <c r="C131" s="26" t="s">
        <v>478</v>
      </c>
      <c r="D131" s="26" t="s">
        <v>6396</v>
      </c>
      <c r="E131" s="26" t="s">
        <v>6395</v>
      </c>
    </row>
    <row r="132" spans="1:5">
      <c r="A132" s="26" t="s">
        <v>6399</v>
      </c>
      <c r="B132" s="26" t="s">
        <v>7251</v>
      </c>
      <c r="C132" s="26" t="s">
        <v>478</v>
      </c>
      <c r="D132" s="26" t="s">
        <v>6396</v>
      </c>
      <c r="E132" s="26" t="s">
        <v>6395</v>
      </c>
    </row>
    <row r="133" spans="1:5">
      <c r="A133" s="26" t="s">
        <v>6399</v>
      </c>
      <c r="B133" s="26" t="s">
        <v>2711</v>
      </c>
      <c r="C133" s="26" t="s">
        <v>478</v>
      </c>
      <c r="D133" s="26" t="s">
        <v>6396</v>
      </c>
      <c r="E133" s="26" t="s">
        <v>6395</v>
      </c>
    </row>
    <row r="134" spans="1:5">
      <c r="A134" s="26" t="s">
        <v>6399</v>
      </c>
      <c r="B134" s="26" t="s">
        <v>7250</v>
      </c>
      <c r="C134" s="26" t="s">
        <v>478</v>
      </c>
      <c r="D134" s="26" t="s">
        <v>6396</v>
      </c>
      <c r="E134" s="26" t="s">
        <v>6395</v>
      </c>
    </row>
    <row r="135" spans="1:5">
      <c r="A135" s="26" t="s">
        <v>6399</v>
      </c>
      <c r="B135" s="26" t="s">
        <v>477</v>
      </c>
      <c r="C135" s="26" t="s">
        <v>478</v>
      </c>
      <c r="D135" s="26" t="s">
        <v>6396</v>
      </c>
      <c r="E135" s="26" t="s">
        <v>6395</v>
      </c>
    </row>
    <row r="136" spans="1:5">
      <c r="A136" s="26" t="s">
        <v>6399</v>
      </c>
      <c r="B136" s="26" t="s">
        <v>2762</v>
      </c>
      <c r="C136" s="26" t="s">
        <v>478</v>
      </c>
      <c r="D136" s="26" t="s">
        <v>6396</v>
      </c>
      <c r="E136" s="26" t="s">
        <v>6395</v>
      </c>
    </row>
    <row r="137" spans="1:5">
      <c r="A137" s="26" t="s">
        <v>6399</v>
      </c>
      <c r="B137" s="26" t="s">
        <v>1923</v>
      </c>
      <c r="C137" s="26" t="s">
        <v>478</v>
      </c>
      <c r="D137" s="26" t="s">
        <v>6396</v>
      </c>
      <c r="E137" s="26" t="s">
        <v>6395</v>
      </c>
    </row>
    <row r="138" spans="1:5">
      <c r="A138" s="26" t="s">
        <v>6399</v>
      </c>
      <c r="B138" s="26" t="s">
        <v>7249</v>
      </c>
      <c r="C138" s="26" t="s">
        <v>7248</v>
      </c>
      <c r="D138" s="26" t="s">
        <v>6396</v>
      </c>
      <c r="E138" s="26" t="s">
        <v>6395</v>
      </c>
    </row>
    <row r="139" spans="1:5">
      <c r="A139" s="26" t="s">
        <v>6399</v>
      </c>
      <c r="B139" s="26" t="s">
        <v>2921</v>
      </c>
      <c r="C139" s="26" t="s">
        <v>6473</v>
      </c>
      <c r="D139" s="26" t="s">
        <v>6396</v>
      </c>
      <c r="E139" s="26" t="s">
        <v>6395</v>
      </c>
    </row>
    <row r="140" spans="1:5">
      <c r="A140" s="26" t="s">
        <v>6399</v>
      </c>
      <c r="B140" s="26" t="s">
        <v>7247</v>
      </c>
      <c r="C140" s="26" t="s">
        <v>6473</v>
      </c>
      <c r="D140" s="26" t="s">
        <v>6396</v>
      </c>
      <c r="E140" s="26" t="s">
        <v>6395</v>
      </c>
    </row>
    <row r="141" spans="1:5">
      <c r="A141" s="26" t="s">
        <v>6399</v>
      </c>
      <c r="B141" s="26" t="s">
        <v>7246</v>
      </c>
      <c r="C141" s="26" t="s">
        <v>6473</v>
      </c>
      <c r="D141" s="26" t="s">
        <v>6434</v>
      </c>
      <c r="E141" s="26" t="s">
        <v>6395</v>
      </c>
    </row>
    <row r="142" spans="1:5">
      <c r="A142" s="26" t="s">
        <v>6399</v>
      </c>
      <c r="B142" s="26" t="s">
        <v>7245</v>
      </c>
      <c r="C142" s="26" t="s">
        <v>6796</v>
      </c>
      <c r="D142" s="26" t="s">
        <v>6396</v>
      </c>
      <c r="E142" s="26" t="s">
        <v>6395</v>
      </c>
    </row>
    <row r="143" spans="1:5">
      <c r="A143" s="26" t="s">
        <v>6399</v>
      </c>
      <c r="B143" s="26" t="s">
        <v>7244</v>
      </c>
      <c r="C143" s="26" t="s">
        <v>7243</v>
      </c>
      <c r="D143" s="26" t="s">
        <v>6396</v>
      </c>
      <c r="E143" s="26" t="s">
        <v>6395</v>
      </c>
    </row>
    <row r="144" spans="1:5">
      <c r="A144" s="26" t="s">
        <v>6399</v>
      </c>
      <c r="B144" s="26" t="s">
        <v>7242</v>
      </c>
      <c r="C144" s="26" t="s">
        <v>7241</v>
      </c>
      <c r="D144" s="26" t="s">
        <v>6396</v>
      </c>
      <c r="E144" s="26" t="s">
        <v>6395</v>
      </c>
    </row>
    <row r="145" spans="1:7">
      <c r="A145" s="26" t="s">
        <v>6399</v>
      </c>
      <c r="B145" s="26" t="s">
        <v>7240</v>
      </c>
      <c r="C145" s="26" t="s">
        <v>2658</v>
      </c>
      <c r="D145" s="26" t="s">
        <v>6396</v>
      </c>
      <c r="E145" s="26" t="s">
        <v>6395</v>
      </c>
    </row>
    <row r="146" spans="1:7">
      <c r="A146" s="26" t="s">
        <v>6399</v>
      </c>
      <c r="B146" s="26" t="s">
        <v>2657</v>
      </c>
      <c r="C146" s="26" t="s">
        <v>2658</v>
      </c>
      <c r="D146" s="26" t="s">
        <v>6396</v>
      </c>
      <c r="E146" s="26" t="s">
        <v>6395</v>
      </c>
    </row>
    <row r="147" spans="1:7">
      <c r="A147" s="26" t="s">
        <v>6399</v>
      </c>
      <c r="B147" s="26" t="s">
        <v>7239</v>
      </c>
      <c r="C147" s="26" t="s">
        <v>2658</v>
      </c>
      <c r="D147" s="26" t="s">
        <v>6396</v>
      </c>
      <c r="E147" s="26" t="s">
        <v>6395</v>
      </c>
    </row>
    <row r="148" spans="1:7">
      <c r="A148" s="26" t="s">
        <v>6399</v>
      </c>
      <c r="B148" s="26" t="s">
        <v>1801</v>
      </c>
      <c r="C148" s="26" t="s">
        <v>1802</v>
      </c>
      <c r="D148" s="26" t="s">
        <v>6396</v>
      </c>
      <c r="E148" s="26" t="s">
        <v>6395</v>
      </c>
    </row>
    <row r="149" spans="1:7">
      <c r="A149" s="26" t="s">
        <v>6399</v>
      </c>
      <c r="B149" s="26" t="s">
        <v>7238</v>
      </c>
      <c r="C149" s="26" t="s">
        <v>7237</v>
      </c>
      <c r="D149" s="26" t="s">
        <v>6396</v>
      </c>
      <c r="E149" s="26" t="s">
        <v>6395</v>
      </c>
    </row>
    <row r="150" spans="1:7">
      <c r="A150" s="26" t="s">
        <v>6399</v>
      </c>
      <c r="B150" s="26" t="s">
        <v>7236</v>
      </c>
      <c r="C150" s="26" t="s">
        <v>1586</v>
      </c>
      <c r="D150" s="26" t="s">
        <v>6396</v>
      </c>
      <c r="E150" s="26" t="s">
        <v>6395</v>
      </c>
    </row>
    <row r="151" spans="1:7">
      <c r="A151" s="26" t="s">
        <v>6399</v>
      </c>
      <c r="B151" s="26" t="s">
        <v>2699</v>
      </c>
      <c r="C151" s="26" t="s">
        <v>7235</v>
      </c>
      <c r="D151" s="26" t="s">
        <v>6396</v>
      </c>
      <c r="E151" s="26" t="s">
        <v>6395</v>
      </c>
    </row>
    <row r="152" spans="1:7">
      <c r="A152" s="26" t="s">
        <v>6399</v>
      </c>
      <c r="B152" s="26" t="s">
        <v>7234</v>
      </c>
      <c r="C152" s="26" t="s">
        <v>7233</v>
      </c>
      <c r="D152" s="26" t="s">
        <v>6396</v>
      </c>
      <c r="E152" s="26" t="s">
        <v>6395</v>
      </c>
    </row>
    <row r="153" spans="1:7">
      <c r="A153" s="26" t="s">
        <v>6399</v>
      </c>
      <c r="B153" s="26" t="s">
        <v>1664</v>
      </c>
      <c r="C153" s="26" t="s">
        <v>1872</v>
      </c>
      <c r="D153" s="26" t="s">
        <v>6396</v>
      </c>
      <c r="E153" s="26" t="s">
        <v>6395</v>
      </c>
    </row>
    <row r="154" spans="1:7">
      <c r="A154" s="26" t="s">
        <v>6399</v>
      </c>
      <c r="B154" s="26" t="s">
        <v>994</v>
      </c>
      <c r="C154" s="26" t="s">
        <v>1872</v>
      </c>
      <c r="D154" s="26" t="s">
        <v>6396</v>
      </c>
      <c r="E154" s="26" t="s">
        <v>6395</v>
      </c>
    </row>
    <row r="155" spans="1:7">
      <c r="A155" s="26" t="s">
        <v>6399</v>
      </c>
      <c r="B155" s="26" t="s">
        <v>1871</v>
      </c>
      <c r="C155" s="26" t="s">
        <v>1872</v>
      </c>
      <c r="D155" s="26" t="s">
        <v>6396</v>
      </c>
      <c r="E155" s="26" t="s">
        <v>6395</v>
      </c>
    </row>
    <row r="156" spans="1:7">
      <c r="A156" s="26" t="s">
        <v>6399</v>
      </c>
      <c r="B156" s="26" t="s">
        <v>7232</v>
      </c>
      <c r="C156" s="26" t="s">
        <v>7231</v>
      </c>
      <c r="D156" s="26" t="s">
        <v>6396</v>
      </c>
      <c r="E156" s="26" t="s">
        <v>6395</v>
      </c>
    </row>
    <row r="157" spans="1:7">
      <c r="A157" s="26" t="s">
        <v>6399</v>
      </c>
      <c r="B157" s="26" t="s">
        <v>2642</v>
      </c>
      <c r="C157" s="26" t="s">
        <v>1601</v>
      </c>
      <c r="D157" s="26" t="s">
        <v>6396</v>
      </c>
      <c r="E157" s="26" t="s">
        <v>6395</v>
      </c>
    </row>
    <row r="158" spans="1:7">
      <c r="A158" s="26" t="s">
        <v>6399</v>
      </c>
      <c r="B158" s="26" t="s">
        <v>7068</v>
      </c>
      <c r="C158" s="26" t="s">
        <v>7230</v>
      </c>
      <c r="D158" s="26" t="s">
        <v>6396</v>
      </c>
      <c r="E158" s="26" t="s">
        <v>6395</v>
      </c>
      <c r="G158" s="26" t="s">
        <v>7229</v>
      </c>
    </row>
    <row r="159" spans="1:7">
      <c r="A159" s="26" t="s">
        <v>6399</v>
      </c>
      <c r="B159" s="26" t="s">
        <v>7228</v>
      </c>
      <c r="C159" s="26" t="s">
        <v>7227</v>
      </c>
      <c r="D159" s="26" t="s">
        <v>6396</v>
      </c>
      <c r="E159" s="26" t="s">
        <v>6395</v>
      </c>
    </row>
    <row r="160" spans="1:7">
      <c r="A160" s="26" t="s">
        <v>6399</v>
      </c>
      <c r="B160" s="26" t="s">
        <v>7226</v>
      </c>
      <c r="C160" s="26" t="s">
        <v>7225</v>
      </c>
      <c r="D160" s="26" t="s">
        <v>6396</v>
      </c>
      <c r="E160" s="26" t="s">
        <v>6395</v>
      </c>
    </row>
    <row r="161" spans="1:5">
      <c r="A161" s="26" t="s">
        <v>6399</v>
      </c>
      <c r="B161" s="26" t="s">
        <v>470</v>
      </c>
      <c r="C161" s="26" t="s">
        <v>471</v>
      </c>
      <c r="D161" s="26" t="s">
        <v>6396</v>
      </c>
      <c r="E161" s="26" t="s">
        <v>6395</v>
      </c>
    </row>
    <row r="162" spans="1:5">
      <c r="A162" s="26" t="s">
        <v>6399</v>
      </c>
      <c r="B162" s="26" t="s">
        <v>7224</v>
      </c>
      <c r="C162" s="26" t="s">
        <v>471</v>
      </c>
      <c r="D162" s="26" t="s">
        <v>6434</v>
      </c>
      <c r="E162" s="26" t="s">
        <v>6395</v>
      </c>
    </row>
    <row r="163" spans="1:5">
      <c r="A163" s="26" t="s">
        <v>6399</v>
      </c>
      <c r="B163" s="26" t="s">
        <v>7223</v>
      </c>
      <c r="C163" s="26" t="s">
        <v>7222</v>
      </c>
      <c r="D163" s="26" t="s">
        <v>6396</v>
      </c>
      <c r="E163" s="26" t="s">
        <v>6395</v>
      </c>
    </row>
    <row r="164" spans="1:5">
      <c r="A164" s="26" t="s">
        <v>6399</v>
      </c>
      <c r="B164" s="26" t="s">
        <v>7221</v>
      </c>
      <c r="C164" s="26" t="s">
        <v>7219</v>
      </c>
      <c r="D164" s="26" t="s">
        <v>6434</v>
      </c>
      <c r="E164" s="26" t="s">
        <v>6395</v>
      </c>
    </row>
    <row r="165" spans="1:5">
      <c r="A165" s="26" t="s">
        <v>6399</v>
      </c>
      <c r="B165" s="26" t="s">
        <v>7220</v>
      </c>
      <c r="C165" s="26" t="s">
        <v>7219</v>
      </c>
      <c r="D165" s="26" t="s">
        <v>6434</v>
      </c>
      <c r="E165" s="26" t="s">
        <v>6395</v>
      </c>
    </row>
    <row r="166" spans="1:5">
      <c r="A166" s="26" t="s">
        <v>6399</v>
      </c>
      <c r="B166" s="26" t="s">
        <v>1558</v>
      </c>
      <c r="C166" s="26" t="s">
        <v>1559</v>
      </c>
      <c r="D166" s="26" t="s">
        <v>6396</v>
      </c>
      <c r="E166" s="26" t="s">
        <v>6395</v>
      </c>
    </row>
    <row r="167" spans="1:5">
      <c r="A167" s="26" t="s">
        <v>6399</v>
      </c>
      <c r="B167" s="26" t="s">
        <v>7218</v>
      </c>
      <c r="C167" s="26" t="s">
        <v>7217</v>
      </c>
      <c r="D167" s="26" t="s">
        <v>6396</v>
      </c>
      <c r="E167" s="26" t="s">
        <v>6395</v>
      </c>
    </row>
    <row r="168" spans="1:5">
      <c r="A168" s="26" t="s">
        <v>6399</v>
      </c>
      <c r="B168" s="26" t="s">
        <v>7216</v>
      </c>
      <c r="C168" s="26" t="s">
        <v>700</v>
      </c>
      <c r="D168" s="26" t="s">
        <v>6396</v>
      </c>
      <c r="E168" s="26" t="s">
        <v>6395</v>
      </c>
    </row>
    <row r="169" spans="1:5">
      <c r="A169" s="26" t="s">
        <v>6399</v>
      </c>
      <c r="B169" s="26" t="s">
        <v>7215</v>
      </c>
      <c r="C169" s="26" t="s">
        <v>7214</v>
      </c>
      <c r="D169" s="26" t="s">
        <v>6396</v>
      </c>
      <c r="E169" s="26" t="s">
        <v>6395</v>
      </c>
    </row>
    <row r="170" spans="1:5">
      <c r="A170" s="26" t="s">
        <v>6399</v>
      </c>
      <c r="B170" s="26" t="s">
        <v>971</v>
      </c>
      <c r="C170" s="26" t="s">
        <v>950</v>
      </c>
      <c r="D170" s="26" t="s">
        <v>6396</v>
      </c>
      <c r="E170" s="26" t="s">
        <v>6395</v>
      </c>
    </row>
    <row r="171" spans="1:5">
      <c r="A171" s="26" t="s">
        <v>6399</v>
      </c>
      <c r="B171" s="26" t="s">
        <v>7213</v>
      </c>
      <c r="C171" s="26" t="s">
        <v>950</v>
      </c>
      <c r="D171" s="26" t="s">
        <v>6396</v>
      </c>
      <c r="E171" s="26" t="s">
        <v>6395</v>
      </c>
    </row>
    <row r="172" spans="1:5">
      <c r="A172" s="26" t="s">
        <v>6399</v>
      </c>
      <c r="B172" s="26" t="s">
        <v>7212</v>
      </c>
      <c r="C172" s="26" t="s">
        <v>7211</v>
      </c>
      <c r="D172" s="26" t="s">
        <v>6396</v>
      </c>
      <c r="E172" s="26" t="s">
        <v>6395</v>
      </c>
    </row>
    <row r="173" spans="1:5">
      <c r="A173" s="26" t="s">
        <v>6399</v>
      </c>
      <c r="B173" s="26" t="s">
        <v>1388</v>
      </c>
      <c r="C173" s="26" t="s">
        <v>146</v>
      </c>
      <c r="D173" s="26" t="s">
        <v>6396</v>
      </c>
      <c r="E173" s="26" t="s">
        <v>6395</v>
      </c>
    </row>
    <row r="174" spans="1:5">
      <c r="A174" s="26" t="s">
        <v>6399</v>
      </c>
      <c r="B174" s="26" t="s">
        <v>7210</v>
      </c>
      <c r="C174" s="26" t="s">
        <v>7209</v>
      </c>
      <c r="D174" s="26" t="s">
        <v>6480</v>
      </c>
      <c r="E174" s="26" t="s">
        <v>6395</v>
      </c>
    </row>
    <row r="175" spans="1:5">
      <c r="A175" s="26" t="s">
        <v>6399</v>
      </c>
      <c r="B175" s="26" t="s">
        <v>7208</v>
      </c>
      <c r="C175" s="26" t="s">
        <v>7207</v>
      </c>
      <c r="D175" s="26" t="s">
        <v>6396</v>
      </c>
      <c r="E175" s="26" t="s">
        <v>6395</v>
      </c>
    </row>
    <row r="176" spans="1:5">
      <c r="A176" s="26" t="s">
        <v>6399</v>
      </c>
      <c r="B176" s="26" t="s">
        <v>7206</v>
      </c>
      <c r="C176" s="26" t="s">
        <v>7205</v>
      </c>
      <c r="D176" s="26" t="s">
        <v>6396</v>
      </c>
      <c r="E176" s="26" t="s">
        <v>6395</v>
      </c>
    </row>
    <row r="177" spans="1:6">
      <c r="A177" s="26" t="s">
        <v>6399</v>
      </c>
      <c r="B177" s="26" t="s">
        <v>7204</v>
      </c>
      <c r="C177" s="26" t="s">
        <v>7203</v>
      </c>
      <c r="D177" s="26" t="s">
        <v>6480</v>
      </c>
      <c r="E177" s="26" t="s">
        <v>6395</v>
      </c>
    </row>
    <row r="178" spans="1:6">
      <c r="A178" s="26" t="s">
        <v>6399</v>
      </c>
      <c r="B178" s="26" t="s">
        <v>7202</v>
      </c>
      <c r="C178" s="26" t="s">
        <v>7201</v>
      </c>
      <c r="D178" s="26" t="s">
        <v>6396</v>
      </c>
      <c r="E178" s="26" t="s">
        <v>6395</v>
      </c>
    </row>
    <row r="179" spans="1:6">
      <c r="A179" s="26" t="s">
        <v>6399</v>
      </c>
      <c r="B179" s="26" t="s">
        <v>7200</v>
      </c>
      <c r="C179" s="26" t="s">
        <v>7199</v>
      </c>
      <c r="D179" s="26" t="s">
        <v>6396</v>
      </c>
      <c r="E179" s="26" t="s">
        <v>6395</v>
      </c>
    </row>
    <row r="180" spans="1:6">
      <c r="A180" s="26" t="s">
        <v>6399</v>
      </c>
      <c r="B180" s="26" t="s">
        <v>6789</v>
      </c>
      <c r="C180" s="26" t="s">
        <v>2465</v>
      </c>
      <c r="D180" s="26" t="s">
        <v>6396</v>
      </c>
      <c r="E180" s="26" t="s">
        <v>6395</v>
      </c>
      <c r="F180" s="26">
        <v>30</v>
      </c>
    </row>
    <row r="181" spans="1:6">
      <c r="A181" s="26" t="s">
        <v>6399</v>
      </c>
      <c r="B181" s="26" t="s">
        <v>7198</v>
      </c>
      <c r="C181" s="26" t="s">
        <v>7197</v>
      </c>
      <c r="D181" s="26" t="s">
        <v>6480</v>
      </c>
      <c r="E181" s="26" t="s">
        <v>6395</v>
      </c>
    </row>
    <row r="182" spans="1:6">
      <c r="A182" s="26" t="s">
        <v>6399</v>
      </c>
      <c r="B182" s="26" t="s">
        <v>7196</v>
      </c>
      <c r="C182" s="26" t="s">
        <v>42</v>
      </c>
      <c r="D182" s="26" t="s">
        <v>6396</v>
      </c>
      <c r="E182" s="26" t="s">
        <v>6395</v>
      </c>
    </row>
    <row r="183" spans="1:6">
      <c r="A183" s="26" t="s">
        <v>6399</v>
      </c>
      <c r="B183" s="26" t="s">
        <v>7195</v>
      </c>
      <c r="C183" s="26" t="s">
        <v>42</v>
      </c>
      <c r="D183" s="26" t="s">
        <v>6396</v>
      </c>
      <c r="E183" s="26" t="s">
        <v>6395</v>
      </c>
    </row>
    <row r="184" spans="1:6">
      <c r="A184" s="26" t="s">
        <v>6399</v>
      </c>
      <c r="B184" s="26" t="s">
        <v>41</v>
      </c>
      <c r="C184" s="26" t="s">
        <v>42</v>
      </c>
      <c r="D184" s="26" t="s">
        <v>6396</v>
      </c>
      <c r="E184" s="26" t="s">
        <v>6395</v>
      </c>
    </row>
    <row r="185" spans="1:6">
      <c r="A185" s="26" t="s">
        <v>6399</v>
      </c>
      <c r="B185" s="26" t="s">
        <v>7194</v>
      </c>
      <c r="C185" s="26" t="s">
        <v>42</v>
      </c>
      <c r="D185" s="26" t="s">
        <v>6396</v>
      </c>
      <c r="E185" s="26" t="s">
        <v>6395</v>
      </c>
    </row>
    <row r="186" spans="1:6">
      <c r="A186" s="26" t="s">
        <v>6399</v>
      </c>
      <c r="B186" s="26" t="s">
        <v>7193</v>
      </c>
      <c r="C186" s="26" t="s">
        <v>42</v>
      </c>
      <c r="D186" s="26" t="s">
        <v>6396</v>
      </c>
      <c r="E186" s="26" t="s">
        <v>6395</v>
      </c>
    </row>
    <row r="187" spans="1:6">
      <c r="A187" s="26" t="s">
        <v>6399</v>
      </c>
      <c r="B187" s="26" t="s">
        <v>7192</v>
      </c>
      <c r="C187" s="26" t="s">
        <v>42</v>
      </c>
      <c r="D187" s="26" t="s">
        <v>6396</v>
      </c>
      <c r="E187" s="26" t="s">
        <v>6395</v>
      </c>
    </row>
    <row r="188" spans="1:6">
      <c r="A188" s="26" t="s">
        <v>6399</v>
      </c>
      <c r="B188" s="26" t="s">
        <v>7191</v>
      </c>
      <c r="C188" s="26" t="s">
        <v>42</v>
      </c>
      <c r="D188" s="26" t="s">
        <v>6396</v>
      </c>
      <c r="E188" s="26" t="s">
        <v>6395</v>
      </c>
    </row>
    <row r="189" spans="1:6">
      <c r="A189" s="26" t="s">
        <v>6399</v>
      </c>
      <c r="B189" s="26" t="s">
        <v>7190</v>
      </c>
      <c r="C189" s="26" t="s">
        <v>2629</v>
      </c>
      <c r="D189" s="26" t="s">
        <v>6396</v>
      </c>
      <c r="E189" s="26" t="s">
        <v>6395</v>
      </c>
    </row>
    <row r="190" spans="1:6">
      <c r="A190" s="26" t="s">
        <v>6399</v>
      </c>
      <c r="B190" s="26" t="s">
        <v>7189</v>
      </c>
      <c r="C190" s="26" t="s">
        <v>7188</v>
      </c>
      <c r="D190" s="26" t="s">
        <v>6396</v>
      </c>
      <c r="E190" s="26" t="s">
        <v>6443</v>
      </c>
    </row>
    <row r="191" spans="1:6">
      <c r="A191" s="26" t="s">
        <v>6399</v>
      </c>
      <c r="B191" s="26" t="s">
        <v>7187</v>
      </c>
      <c r="C191" s="26" t="s">
        <v>7185</v>
      </c>
      <c r="D191" s="26" t="s">
        <v>6396</v>
      </c>
      <c r="E191" s="26" t="s">
        <v>6443</v>
      </c>
    </row>
    <row r="192" spans="1:6">
      <c r="A192" s="26" t="s">
        <v>6399</v>
      </c>
      <c r="B192" s="26" t="s">
        <v>7186</v>
      </c>
      <c r="C192" s="26" t="s">
        <v>7185</v>
      </c>
      <c r="D192" s="26" t="s">
        <v>6396</v>
      </c>
      <c r="E192" s="26" t="s">
        <v>6443</v>
      </c>
    </row>
    <row r="193" spans="1:5">
      <c r="A193" s="26" t="s">
        <v>6399</v>
      </c>
      <c r="B193" s="26" t="s">
        <v>7184</v>
      </c>
      <c r="C193" s="26" t="s">
        <v>7183</v>
      </c>
      <c r="D193" s="26" t="s">
        <v>6396</v>
      </c>
      <c r="E193" s="26" t="s">
        <v>6395</v>
      </c>
    </row>
    <row r="194" spans="1:5">
      <c r="A194" s="26" t="s">
        <v>6399</v>
      </c>
      <c r="B194" s="26" t="s">
        <v>1296</v>
      </c>
      <c r="C194" s="26" t="s">
        <v>6389</v>
      </c>
      <c r="D194" s="26" t="s">
        <v>6396</v>
      </c>
      <c r="E194" s="26" t="s">
        <v>6395</v>
      </c>
    </row>
    <row r="195" spans="1:5">
      <c r="A195" s="26" t="s">
        <v>6399</v>
      </c>
      <c r="B195" s="26" t="s">
        <v>7182</v>
      </c>
      <c r="C195" s="26" t="s">
        <v>7181</v>
      </c>
      <c r="D195" s="26" t="s">
        <v>6396</v>
      </c>
      <c r="E195" s="26" t="s">
        <v>6395</v>
      </c>
    </row>
    <row r="196" spans="1:5">
      <c r="A196" s="26" t="s">
        <v>6399</v>
      </c>
      <c r="B196" s="26" t="s">
        <v>7180</v>
      </c>
      <c r="C196" s="26" t="s">
        <v>7179</v>
      </c>
      <c r="D196" s="26" t="s">
        <v>6396</v>
      </c>
      <c r="E196" s="26" t="s">
        <v>6395</v>
      </c>
    </row>
    <row r="197" spans="1:5">
      <c r="A197" s="26" t="s">
        <v>6399</v>
      </c>
      <c r="B197" s="26" t="s">
        <v>7178</v>
      </c>
      <c r="C197" s="26" t="s">
        <v>6646</v>
      </c>
      <c r="D197" s="26" t="s">
        <v>6396</v>
      </c>
      <c r="E197" s="26" t="s">
        <v>6395</v>
      </c>
    </row>
    <row r="198" spans="1:5">
      <c r="A198" s="26" t="s">
        <v>6399</v>
      </c>
      <c r="B198" s="26" t="s">
        <v>3318</v>
      </c>
      <c r="C198" s="26" t="s">
        <v>3319</v>
      </c>
      <c r="D198" s="26" t="s">
        <v>6396</v>
      </c>
      <c r="E198" s="26" t="s">
        <v>6395</v>
      </c>
    </row>
    <row r="199" spans="1:5">
      <c r="A199" s="26" t="s">
        <v>6399</v>
      </c>
      <c r="B199" s="26" t="s">
        <v>1465</v>
      </c>
      <c r="C199" s="26" t="s">
        <v>1466</v>
      </c>
      <c r="D199" s="26" t="s">
        <v>6396</v>
      </c>
      <c r="E199" s="26" t="s">
        <v>6395</v>
      </c>
    </row>
    <row r="200" spans="1:5">
      <c r="A200" s="26" t="s">
        <v>6399</v>
      </c>
      <c r="B200" s="26" t="s">
        <v>7177</v>
      </c>
      <c r="C200" s="26" t="s">
        <v>7176</v>
      </c>
      <c r="D200" s="26" t="s">
        <v>6396</v>
      </c>
      <c r="E200" s="26" t="s">
        <v>6395</v>
      </c>
    </row>
    <row r="201" spans="1:5">
      <c r="A201" s="26" t="s">
        <v>6399</v>
      </c>
      <c r="B201" s="26" t="s">
        <v>7175</v>
      </c>
      <c r="C201" s="26" t="s">
        <v>7173</v>
      </c>
      <c r="D201" s="26" t="s">
        <v>6396</v>
      </c>
      <c r="E201" s="26" t="s">
        <v>6395</v>
      </c>
    </row>
    <row r="202" spans="1:5">
      <c r="A202" s="26" t="s">
        <v>6399</v>
      </c>
      <c r="B202" s="26" t="s">
        <v>7174</v>
      </c>
      <c r="C202" s="26" t="s">
        <v>7173</v>
      </c>
      <c r="D202" s="26" t="s">
        <v>6396</v>
      </c>
      <c r="E202" s="26" t="s">
        <v>6395</v>
      </c>
    </row>
    <row r="203" spans="1:5">
      <c r="A203" s="26" t="s">
        <v>6399</v>
      </c>
      <c r="B203" s="26" t="s">
        <v>7172</v>
      </c>
      <c r="C203" s="26" t="s">
        <v>7171</v>
      </c>
      <c r="D203" s="26" t="s">
        <v>6480</v>
      </c>
      <c r="E203" s="26" t="s">
        <v>6395</v>
      </c>
    </row>
    <row r="204" spans="1:5">
      <c r="A204" s="26" t="s">
        <v>6399</v>
      </c>
      <c r="B204" s="26" t="s">
        <v>7170</v>
      </c>
      <c r="C204" s="26" t="s">
        <v>7169</v>
      </c>
      <c r="D204" s="26" t="s">
        <v>6396</v>
      </c>
      <c r="E204" s="26" t="s">
        <v>6395</v>
      </c>
    </row>
    <row r="205" spans="1:5">
      <c r="A205" s="26" t="s">
        <v>6399</v>
      </c>
      <c r="B205" s="26" t="s">
        <v>7168</v>
      </c>
      <c r="C205" s="26" t="s">
        <v>7167</v>
      </c>
      <c r="D205" s="26" t="s">
        <v>6480</v>
      </c>
      <c r="E205" s="26" t="s">
        <v>6395</v>
      </c>
    </row>
    <row r="206" spans="1:5">
      <c r="A206" s="26" t="s">
        <v>6399</v>
      </c>
      <c r="B206" s="26" t="s">
        <v>7166</v>
      </c>
      <c r="C206" s="26" t="s">
        <v>7165</v>
      </c>
      <c r="D206" s="26" t="s">
        <v>6396</v>
      </c>
      <c r="E206" s="26" t="s">
        <v>6395</v>
      </c>
    </row>
    <row r="207" spans="1:5">
      <c r="A207" s="26" t="s">
        <v>6399</v>
      </c>
      <c r="B207" s="26" t="s">
        <v>6919</v>
      </c>
      <c r="C207" s="26" t="s">
        <v>6462</v>
      </c>
      <c r="D207" s="26" t="s">
        <v>6396</v>
      </c>
      <c r="E207" s="26" t="s">
        <v>6395</v>
      </c>
    </row>
    <row r="208" spans="1:5">
      <c r="A208" s="26" t="s">
        <v>6399</v>
      </c>
      <c r="B208" s="26" t="s">
        <v>7164</v>
      </c>
      <c r="C208" s="26" t="s">
        <v>6462</v>
      </c>
      <c r="D208" s="26" t="s">
        <v>6396</v>
      </c>
      <c r="E208" s="26" t="s">
        <v>6395</v>
      </c>
    </row>
    <row r="209" spans="1:5">
      <c r="A209" s="26" t="s">
        <v>6399</v>
      </c>
      <c r="B209" s="26" t="s">
        <v>3166</v>
      </c>
      <c r="C209" s="26" t="s">
        <v>7163</v>
      </c>
      <c r="D209" s="26" t="s">
        <v>6396</v>
      </c>
      <c r="E209" s="26" t="s">
        <v>6395</v>
      </c>
    </row>
    <row r="210" spans="1:5">
      <c r="A210" s="26" t="s">
        <v>6399</v>
      </c>
      <c r="B210" s="26" t="s">
        <v>7162</v>
      </c>
      <c r="C210" s="26" t="s">
        <v>650</v>
      </c>
      <c r="D210" s="26" t="s">
        <v>6396</v>
      </c>
      <c r="E210" s="26" t="s">
        <v>6395</v>
      </c>
    </row>
    <row r="211" spans="1:5">
      <c r="A211" s="26" t="s">
        <v>6399</v>
      </c>
      <c r="B211" s="26" t="s">
        <v>7161</v>
      </c>
      <c r="C211" s="26" t="s">
        <v>6458</v>
      </c>
      <c r="D211" s="26" t="s">
        <v>6396</v>
      </c>
      <c r="E211" s="26" t="s">
        <v>6395</v>
      </c>
    </row>
    <row r="212" spans="1:5">
      <c r="A212" s="26" t="s">
        <v>6399</v>
      </c>
      <c r="B212" s="26" t="s">
        <v>7160</v>
      </c>
      <c r="C212" s="26" t="s">
        <v>6458</v>
      </c>
      <c r="D212" s="26" t="s">
        <v>6396</v>
      </c>
      <c r="E212" s="26" t="s">
        <v>6395</v>
      </c>
    </row>
    <row r="213" spans="1:5">
      <c r="A213" s="26" t="s">
        <v>6399</v>
      </c>
      <c r="B213" s="26" t="s">
        <v>1356</v>
      </c>
      <c r="C213" s="26" t="s">
        <v>1357</v>
      </c>
      <c r="D213" s="26" t="s">
        <v>6396</v>
      </c>
      <c r="E213" s="26" t="s">
        <v>6395</v>
      </c>
    </row>
    <row r="214" spans="1:5">
      <c r="A214" s="26" t="s">
        <v>6399</v>
      </c>
      <c r="B214" s="26" t="s">
        <v>7159</v>
      </c>
      <c r="C214" s="26" t="s">
        <v>7158</v>
      </c>
      <c r="D214" s="26" t="s">
        <v>6396</v>
      </c>
      <c r="E214" s="26" t="s">
        <v>6395</v>
      </c>
    </row>
    <row r="215" spans="1:5">
      <c r="A215" s="26" t="s">
        <v>6399</v>
      </c>
      <c r="B215" s="26" t="s">
        <v>7157</v>
      </c>
      <c r="C215" s="26" t="s">
        <v>7156</v>
      </c>
      <c r="D215" s="26" t="s">
        <v>6396</v>
      </c>
      <c r="E215" s="26" t="s">
        <v>6395</v>
      </c>
    </row>
    <row r="216" spans="1:5">
      <c r="A216" s="26" t="s">
        <v>6399</v>
      </c>
      <c r="B216" s="26" t="s">
        <v>7155</v>
      </c>
      <c r="C216" s="26" t="s">
        <v>6768</v>
      </c>
      <c r="D216" s="26" t="s">
        <v>6396</v>
      </c>
      <c r="E216" s="26" t="s">
        <v>6395</v>
      </c>
    </row>
    <row r="217" spans="1:5">
      <c r="A217" s="26" t="s">
        <v>6399</v>
      </c>
      <c r="B217" s="26" t="s">
        <v>7154</v>
      </c>
      <c r="C217" s="26" t="s">
        <v>1545</v>
      </c>
      <c r="D217" s="26" t="s">
        <v>6396</v>
      </c>
      <c r="E217" s="26" t="s">
        <v>6395</v>
      </c>
    </row>
    <row r="218" spans="1:5">
      <c r="A218" s="26" t="s">
        <v>6399</v>
      </c>
      <c r="B218" s="26" t="s">
        <v>2520</v>
      </c>
      <c r="C218" s="26" t="s">
        <v>1545</v>
      </c>
      <c r="D218" s="26" t="s">
        <v>6396</v>
      </c>
      <c r="E218" s="26" t="s">
        <v>6395</v>
      </c>
    </row>
    <row r="219" spans="1:5">
      <c r="A219" s="26" t="s">
        <v>6399</v>
      </c>
      <c r="B219" s="26" t="s">
        <v>2524</v>
      </c>
      <c r="C219" s="26" t="s">
        <v>1545</v>
      </c>
      <c r="D219" s="26" t="s">
        <v>6396</v>
      </c>
      <c r="E219" s="26" t="s">
        <v>6395</v>
      </c>
    </row>
    <row r="220" spans="1:5">
      <c r="A220" s="26" t="s">
        <v>6399</v>
      </c>
      <c r="B220" s="26" t="s">
        <v>1544</v>
      </c>
      <c r="C220" s="26" t="s">
        <v>1545</v>
      </c>
      <c r="D220" s="26" t="s">
        <v>6396</v>
      </c>
      <c r="E220" s="26" t="s">
        <v>6395</v>
      </c>
    </row>
    <row r="221" spans="1:5">
      <c r="A221" s="26" t="s">
        <v>6399</v>
      </c>
      <c r="B221" s="26" t="s">
        <v>1845</v>
      </c>
      <c r="C221" s="26" t="s">
        <v>1545</v>
      </c>
      <c r="D221" s="26" t="s">
        <v>6396</v>
      </c>
      <c r="E221" s="26" t="s">
        <v>6395</v>
      </c>
    </row>
    <row r="222" spans="1:5">
      <c r="A222" s="26" t="s">
        <v>6399</v>
      </c>
      <c r="B222" s="26" t="s">
        <v>7153</v>
      </c>
      <c r="C222" s="26" t="s">
        <v>1545</v>
      </c>
      <c r="D222" s="26" t="s">
        <v>6396</v>
      </c>
      <c r="E222" s="26" t="s">
        <v>6395</v>
      </c>
    </row>
    <row r="223" spans="1:5">
      <c r="A223" s="26" t="s">
        <v>6399</v>
      </c>
      <c r="B223" s="26" t="s">
        <v>2529</v>
      </c>
      <c r="C223" s="26" t="s">
        <v>1545</v>
      </c>
      <c r="D223" s="26" t="s">
        <v>6396</v>
      </c>
      <c r="E223" s="26" t="s">
        <v>6395</v>
      </c>
    </row>
    <row r="224" spans="1:5">
      <c r="A224" s="26" t="s">
        <v>6399</v>
      </c>
      <c r="B224" s="26" t="s">
        <v>2517</v>
      </c>
      <c r="C224" s="26" t="s">
        <v>1545</v>
      </c>
      <c r="D224" s="26" t="s">
        <v>6396</v>
      </c>
      <c r="E224" s="26" t="s">
        <v>6395</v>
      </c>
    </row>
    <row r="225" spans="1:6">
      <c r="A225" s="26" t="s">
        <v>6399</v>
      </c>
      <c r="B225" s="26" t="s">
        <v>7152</v>
      </c>
      <c r="C225" s="26" t="s">
        <v>7151</v>
      </c>
      <c r="D225" s="26" t="s">
        <v>6396</v>
      </c>
      <c r="E225" s="26" t="s">
        <v>6395</v>
      </c>
    </row>
    <row r="226" spans="1:6">
      <c r="A226" s="26" t="s">
        <v>6399</v>
      </c>
      <c r="B226" s="26" t="s">
        <v>7150</v>
      </c>
      <c r="C226" s="26" t="s">
        <v>7149</v>
      </c>
      <c r="D226" s="26" t="s">
        <v>6396</v>
      </c>
      <c r="E226" s="26" t="s">
        <v>6395</v>
      </c>
    </row>
    <row r="227" spans="1:6">
      <c r="A227" s="26" t="s">
        <v>6399</v>
      </c>
      <c r="B227" s="26" t="s">
        <v>7148</v>
      </c>
      <c r="C227" s="26" t="s">
        <v>679</v>
      </c>
      <c r="D227" s="26" t="s">
        <v>6396</v>
      </c>
      <c r="E227" s="26" t="s">
        <v>6395</v>
      </c>
    </row>
    <row r="228" spans="1:6">
      <c r="A228" s="26" t="s">
        <v>6399</v>
      </c>
      <c r="B228" s="26" t="s">
        <v>2414</v>
      </c>
      <c r="C228" s="26" t="s">
        <v>679</v>
      </c>
      <c r="D228" s="26" t="s">
        <v>6396</v>
      </c>
      <c r="E228" s="26" t="s">
        <v>6395</v>
      </c>
    </row>
    <row r="229" spans="1:6">
      <c r="A229" s="26" t="s">
        <v>6399</v>
      </c>
      <c r="B229" s="26" t="s">
        <v>1714</v>
      </c>
      <c r="C229" s="26" t="s">
        <v>679</v>
      </c>
      <c r="D229" s="26" t="s">
        <v>6396</v>
      </c>
      <c r="E229" s="26" t="s">
        <v>6395</v>
      </c>
    </row>
    <row r="230" spans="1:6">
      <c r="A230" s="26" t="s">
        <v>6399</v>
      </c>
      <c r="B230" s="26" t="s">
        <v>7147</v>
      </c>
      <c r="C230" s="26" t="s">
        <v>679</v>
      </c>
      <c r="D230" s="26" t="s">
        <v>6396</v>
      </c>
      <c r="E230" s="26" t="s">
        <v>6395</v>
      </c>
    </row>
    <row r="231" spans="1:6">
      <c r="A231" s="26" t="s">
        <v>6399</v>
      </c>
      <c r="B231" s="26" t="s">
        <v>688</v>
      </c>
      <c r="C231" s="26" t="s">
        <v>679</v>
      </c>
      <c r="D231" s="26" t="s">
        <v>6396</v>
      </c>
      <c r="E231" s="26" t="s">
        <v>6395</v>
      </c>
    </row>
    <row r="232" spans="1:6">
      <c r="A232" s="26" t="s">
        <v>6399</v>
      </c>
      <c r="B232" s="26" t="s">
        <v>2565</v>
      </c>
      <c r="C232" s="26" t="s">
        <v>679</v>
      </c>
      <c r="D232" s="26" t="s">
        <v>6396</v>
      </c>
      <c r="E232" s="26" t="s">
        <v>6395</v>
      </c>
    </row>
    <row r="233" spans="1:6">
      <c r="A233" s="26" t="s">
        <v>6399</v>
      </c>
      <c r="B233" s="26" t="s">
        <v>2395</v>
      </c>
      <c r="C233" s="26" t="s">
        <v>679</v>
      </c>
      <c r="D233" s="26" t="s">
        <v>6396</v>
      </c>
      <c r="E233" s="26" t="s">
        <v>6395</v>
      </c>
    </row>
    <row r="234" spans="1:6">
      <c r="A234" s="26" t="s">
        <v>6399</v>
      </c>
      <c r="B234" s="26" t="s">
        <v>2411</v>
      </c>
      <c r="C234" s="26" t="s">
        <v>679</v>
      </c>
      <c r="D234" s="26" t="s">
        <v>6396</v>
      </c>
      <c r="E234" s="26" t="s">
        <v>6395</v>
      </c>
    </row>
    <row r="235" spans="1:6">
      <c r="A235" s="26" t="s">
        <v>6399</v>
      </c>
      <c r="B235" s="26" t="s">
        <v>7146</v>
      </c>
      <c r="C235" s="26" t="s">
        <v>679</v>
      </c>
      <c r="D235" s="26" t="s">
        <v>6396</v>
      </c>
      <c r="E235" s="26" t="s">
        <v>6395</v>
      </c>
    </row>
    <row r="236" spans="1:6">
      <c r="A236" s="26" t="s">
        <v>6399</v>
      </c>
      <c r="B236" s="26" t="s">
        <v>2873</v>
      </c>
      <c r="C236" s="26" t="s">
        <v>679</v>
      </c>
      <c r="D236" s="26" t="s">
        <v>6396</v>
      </c>
      <c r="E236" s="26" t="s">
        <v>6395</v>
      </c>
    </row>
    <row r="237" spans="1:6">
      <c r="A237" s="26" t="s">
        <v>6399</v>
      </c>
      <c r="B237" s="26" t="s">
        <v>7145</v>
      </c>
      <c r="C237" s="26" t="s">
        <v>7144</v>
      </c>
      <c r="D237" s="26" t="s">
        <v>6434</v>
      </c>
      <c r="E237" s="26" t="s">
        <v>6395</v>
      </c>
    </row>
    <row r="238" spans="1:6">
      <c r="A238" s="26" t="s">
        <v>6399</v>
      </c>
      <c r="B238" s="26" t="s">
        <v>7096</v>
      </c>
      <c r="C238" s="26" t="s">
        <v>7143</v>
      </c>
      <c r="D238" s="26" t="s">
        <v>6396</v>
      </c>
      <c r="E238" s="26" t="s">
        <v>6395</v>
      </c>
    </row>
    <row r="239" spans="1:6">
      <c r="A239" s="26" t="s">
        <v>6399</v>
      </c>
      <c r="B239" s="26" t="s">
        <v>7142</v>
      </c>
      <c r="C239" s="26" t="s">
        <v>6451</v>
      </c>
      <c r="D239" s="26" t="s">
        <v>6396</v>
      </c>
      <c r="E239" s="26" t="s">
        <v>6395</v>
      </c>
    </row>
    <row r="240" spans="1:6">
      <c r="A240" s="26" t="s">
        <v>6399</v>
      </c>
      <c r="B240" s="26" t="s">
        <v>7141</v>
      </c>
      <c r="C240" s="26" t="s">
        <v>6451</v>
      </c>
      <c r="D240" s="26" t="s">
        <v>6396</v>
      </c>
      <c r="E240" s="26" t="s">
        <v>6395</v>
      </c>
      <c r="F240" s="26">
        <v>30</v>
      </c>
    </row>
    <row r="241" spans="1:5">
      <c r="A241" s="26" t="s">
        <v>6399</v>
      </c>
      <c r="B241" s="26" t="s">
        <v>7140</v>
      </c>
      <c r="C241" s="26" t="s">
        <v>6451</v>
      </c>
      <c r="D241" s="26" t="s">
        <v>6396</v>
      </c>
      <c r="E241" s="26" t="s">
        <v>6395</v>
      </c>
    </row>
    <row r="242" spans="1:5">
      <c r="A242" s="26" t="s">
        <v>6399</v>
      </c>
      <c r="B242" s="26" t="s">
        <v>7139</v>
      </c>
      <c r="C242" s="26" t="s">
        <v>6451</v>
      </c>
      <c r="D242" s="26" t="s">
        <v>6396</v>
      </c>
      <c r="E242" s="26" t="s">
        <v>6395</v>
      </c>
    </row>
    <row r="243" spans="1:5">
      <c r="A243" s="26" t="s">
        <v>6399</v>
      </c>
      <c r="B243" s="26" t="s">
        <v>7138</v>
      </c>
      <c r="C243" s="26" t="s">
        <v>446</v>
      </c>
      <c r="D243" s="26" t="s">
        <v>6396</v>
      </c>
      <c r="E243" s="26" t="s">
        <v>6395</v>
      </c>
    </row>
    <row r="244" spans="1:5">
      <c r="A244" s="26" t="s">
        <v>6399</v>
      </c>
      <c r="B244" s="26" t="s">
        <v>7137</v>
      </c>
      <c r="C244" s="26" t="s">
        <v>446</v>
      </c>
      <c r="D244" s="26" t="s">
        <v>6396</v>
      </c>
      <c r="E244" s="26" t="s">
        <v>6395</v>
      </c>
    </row>
    <row r="245" spans="1:5">
      <c r="A245" s="26" t="s">
        <v>6399</v>
      </c>
      <c r="B245" s="26" t="s">
        <v>7136</v>
      </c>
      <c r="C245" s="26" t="s">
        <v>446</v>
      </c>
      <c r="D245" s="26" t="s">
        <v>6396</v>
      </c>
      <c r="E245" s="26" t="s">
        <v>6395</v>
      </c>
    </row>
    <row r="246" spans="1:5">
      <c r="A246" s="26" t="s">
        <v>6399</v>
      </c>
      <c r="B246" s="26" t="s">
        <v>153</v>
      </c>
      <c r="C246" s="26" t="s">
        <v>446</v>
      </c>
      <c r="D246" s="26" t="s">
        <v>6396</v>
      </c>
      <c r="E246" s="26" t="s">
        <v>6395</v>
      </c>
    </row>
    <row r="247" spans="1:5">
      <c r="A247" s="26" t="s">
        <v>6399</v>
      </c>
      <c r="B247" s="26" t="s">
        <v>1499</v>
      </c>
      <c r="C247" s="26" t="s">
        <v>446</v>
      </c>
      <c r="D247" s="26" t="s">
        <v>6396</v>
      </c>
      <c r="E247" s="26" t="s">
        <v>6395</v>
      </c>
    </row>
    <row r="248" spans="1:5">
      <c r="A248" s="26" t="s">
        <v>6399</v>
      </c>
      <c r="B248" s="26" t="s">
        <v>7135</v>
      </c>
      <c r="C248" s="26" t="s">
        <v>446</v>
      </c>
      <c r="D248" s="26" t="s">
        <v>6396</v>
      </c>
      <c r="E248" s="26" t="s">
        <v>6395</v>
      </c>
    </row>
    <row r="249" spans="1:5">
      <c r="A249" s="26" t="s">
        <v>6399</v>
      </c>
      <c r="B249" s="26" t="s">
        <v>7134</v>
      </c>
      <c r="C249" s="26" t="s">
        <v>6407</v>
      </c>
      <c r="D249" s="26" t="s">
        <v>6396</v>
      </c>
      <c r="E249" s="26" t="s">
        <v>6395</v>
      </c>
    </row>
    <row r="250" spans="1:5">
      <c r="A250" s="26" t="s">
        <v>6399</v>
      </c>
      <c r="B250" s="26" t="s">
        <v>7133</v>
      </c>
      <c r="C250" s="26" t="s">
        <v>6407</v>
      </c>
      <c r="D250" s="26" t="s">
        <v>6396</v>
      </c>
      <c r="E250" s="26" t="s">
        <v>6395</v>
      </c>
    </row>
    <row r="251" spans="1:5">
      <c r="A251" s="26" t="s">
        <v>6399</v>
      </c>
      <c r="B251" s="26" t="s">
        <v>7132</v>
      </c>
      <c r="C251" s="26" t="s">
        <v>7131</v>
      </c>
      <c r="D251" s="26" t="s">
        <v>6396</v>
      </c>
      <c r="E251" s="26" t="s">
        <v>6443</v>
      </c>
    </row>
    <row r="252" spans="1:5">
      <c r="A252" s="26" t="s">
        <v>6399</v>
      </c>
      <c r="B252" s="26" t="s">
        <v>232</v>
      </c>
      <c r="C252" s="26" t="s">
        <v>7130</v>
      </c>
      <c r="D252" s="26" t="s">
        <v>6396</v>
      </c>
      <c r="E252" s="26" t="s">
        <v>6395</v>
      </c>
    </row>
    <row r="253" spans="1:5">
      <c r="A253" s="26" t="s">
        <v>6399</v>
      </c>
      <c r="B253" s="26" t="s">
        <v>3823</v>
      </c>
      <c r="C253" s="26" t="s">
        <v>6392</v>
      </c>
      <c r="D253" s="26" t="s">
        <v>6396</v>
      </c>
      <c r="E253" s="26" t="s">
        <v>6395</v>
      </c>
    </row>
    <row r="254" spans="1:5">
      <c r="A254" s="26" t="s">
        <v>6399</v>
      </c>
      <c r="B254" s="26" t="s">
        <v>2547</v>
      </c>
      <c r="C254" s="26" t="s">
        <v>2548</v>
      </c>
      <c r="D254" s="26" t="s">
        <v>6396</v>
      </c>
      <c r="E254" s="26" t="s">
        <v>6395</v>
      </c>
    </row>
    <row r="255" spans="1:5">
      <c r="A255" s="26" t="s">
        <v>6399</v>
      </c>
      <c r="B255" s="26" t="s">
        <v>7129</v>
      </c>
      <c r="C255" s="26" t="s">
        <v>2548</v>
      </c>
      <c r="D255" s="26" t="s">
        <v>6396</v>
      </c>
      <c r="E255" s="26" t="s">
        <v>6395</v>
      </c>
    </row>
    <row r="256" spans="1:5">
      <c r="A256" s="26" t="s">
        <v>6399</v>
      </c>
      <c r="B256" s="26" t="s">
        <v>7128</v>
      </c>
      <c r="C256" s="26" t="s">
        <v>1062</v>
      </c>
      <c r="D256" s="26" t="s">
        <v>6396</v>
      </c>
      <c r="E256" s="26" t="s">
        <v>6395</v>
      </c>
    </row>
    <row r="257" spans="1:7">
      <c r="A257" s="26" t="s">
        <v>6399</v>
      </c>
      <c r="B257" s="26" t="s">
        <v>7127</v>
      </c>
      <c r="C257" s="26" t="s">
        <v>1062</v>
      </c>
      <c r="D257" s="26" t="s">
        <v>6396</v>
      </c>
      <c r="E257" s="26" t="s">
        <v>6395</v>
      </c>
    </row>
    <row r="258" spans="1:7">
      <c r="A258" s="26" t="s">
        <v>6399</v>
      </c>
      <c r="B258" s="26" t="s">
        <v>7126</v>
      </c>
      <c r="C258" s="26" t="s">
        <v>7125</v>
      </c>
      <c r="D258" s="26" t="s">
        <v>6396</v>
      </c>
      <c r="E258" s="26" t="s">
        <v>6395</v>
      </c>
    </row>
    <row r="259" spans="1:7">
      <c r="A259" s="26" t="s">
        <v>6399</v>
      </c>
      <c r="B259" s="26" t="s">
        <v>7124</v>
      </c>
      <c r="C259" s="26" t="s">
        <v>7123</v>
      </c>
      <c r="D259" s="26" t="s">
        <v>6434</v>
      </c>
      <c r="E259" s="26" t="s">
        <v>6395</v>
      </c>
    </row>
    <row r="260" spans="1:7">
      <c r="A260" s="26" t="s">
        <v>6399</v>
      </c>
      <c r="B260" s="26" t="s">
        <v>7122</v>
      </c>
      <c r="C260" s="26" t="s">
        <v>37</v>
      </c>
      <c r="D260" s="26" t="s">
        <v>6396</v>
      </c>
      <c r="E260" s="26" t="s">
        <v>6395</v>
      </c>
    </row>
    <row r="261" spans="1:7">
      <c r="A261" s="26" t="s">
        <v>6399</v>
      </c>
      <c r="B261" s="26" t="s">
        <v>7121</v>
      </c>
      <c r="C261" s="26" t="s">
        <v>7120</v>
      </c>
      <c r="D261" s="26" t="s">
        <v>6396</v>
      </c>
      <c r="E261" s="26" t="s">
        <v>6395</v>
      </c>
    </row>
    <row r="262" spans="1:7">
      <c r="A262" s="26" t="s">
        <v>6399</v>
      </c>
      <c r="B262" s="26" t="s">
        <v>7119</v>
      </c>
      <c r="C262" s="26" t="s">
        <v>484</v>
      </c>
      <c r="D262" s="26" t="s">
        <v>6396</v>
      </c>
      <c r="E262" s="26" t="s">
        <v>6395</v>
      </c>
    </row>
    <row r="263" spans="1:7">
      <c r="A263" s="26" t="s">
        <v>6399</v>
      </c>
      <c r="B263" s="26" t="s">
        <v>7118</v>
      </c>
      <c r="C263" s="26" t="s">
        <v>7117</v>
      </c>
      <c r="D263" s="26" t="s">
        <v>6396</v>
      </c>
      <c r="E263" s="26" t="s">
        <v>6395</v>
      </c>
      <c r="G263" s="26" t="s">
        <v>7116</v>
      </c>
    </row>
    <row r="264" spans="1:7">
      <c r="A264" s="26" t="s">
        <v>6399</v>
      </c>
      <c r="B264" s="26" t="s">
        <v>7115</v>
      </c>
      <c r="C264" s="26" t="s">
        <v>7114</v>
      </c>
      <c r="D264" s="26" t="s">
        <v>6396</v>
      </c>
      <c r="E264" s="26" t="s">
        <v>6871</v>
      </c>
    </row>
    <row r="265" spans="1:7">
      <c r="A265" s="26" t="s">
        <v>6399</v>
      </c>
      <c r="B265" s="26" t="s">
        <v>7113</v>
      </c>
      <c r="C265" s="26" t="s">
        <v>7112</v>
      </c>
      <c r="D265" s="26" t="s">
        <v>6396</v>
      </c>
      <c r="E265" s="26" t="s">
        <v>6871</v>
      </c>
    </row>
    <row r="266" spans="1:7">
      <c r="A266" s="26" t="s">
        <v>6399</v>
      </c>
      <c r="B266" s="26" t="s">
        <v>7111</v>
      </c>
      <c r="C266" s="26" t="s">
        <v>7110</v>
      </c>
      <c r="D266" s="26" t="s">
        <v>6396</v>
      </c>
      <c r="E266" s="26" t="s">
        <v>6395</v>
      </c>
    </row>
    <row r="267" spans="1:7">
      <c r="A267" s="26" t="s">
        <v>6399</v>
      </c>
      <c r="B267" s="26" t="s">
        <v>7109</v>
      </c>
      <c r="C267" s="26" t="s">
        <v>221</v>
      </c>
      <c r="D267" s="26" t="s">
        <v>6396</v>
      </c>
      <c r="E267" s="26" t="s">
        <v>6395</v>
      </c>
    </row>
    <row r="268" spans="1:7">
      <c r="A268" s="26" t="s">
        <v>6399</v>
      </c>
      <c r="B268" s="26" t="s">
        <v>7107</v>
      </c>
      <c r="C268" s="26" t="s">
        <v>221</v>
      </c>
      <c r="D268" s="26" t="s">
        <v>6396</v>
      </c>
      <c r="E268" s="26" t="s">
        <v>6395</v>
      </c>
    </row>
    <row r="269" spans="1:7">
      <c r="A269" s="26" t="s">
        <v>6399</v>
      </c>
      <c r="B269" s="26" t="s">
        <v>7108</v>
      </c>
      <c r="C269" s="26" t="s">
        <v>221</v>
      </c>
      <c r="D269" s="26" t="s">
        <v>6396</v>
      </c>
      <c r="E269" s="26" t="s">
        <v>6395</v>
      </c>
    </row>
    <row r="270" spans="1:7">
      <c r="A270" s="26" t="s">
        <v>6399</v>
      </c>
      <c r="B270" s="26" t="s">
        <v>1591</v>
      </c>
      <c r="C270" s="26" t="s">
        <v>221</v>
      </c>
      <c r="D270" s="26" t="s">
        <v>6396</v>
      </c>
      <c r="E270" s="26" t="s">
        <v>6395</v>
      </c>
    </row>
    <row r="271" spans="1:7">
      <c r="A271" s="26" t="s">
        <v>6399</v>
      </c>
      <c r="B271" s="26" t="s">
        <v>220</v>
      </c>
      <c r="C271" s="26" t="s">
        <v>221</v>
      </c>
      <c r="D271" s="26" t="s">
        <v>6396</v>
      </c>
      <c r="E271" s="26" t="s">
        <v>6395</v>
      </c>
    </row>
    <row r="272" spans="1:7">
      <c r="A272" s="26" t="s">
        <v>6399</v>
      </c>
      <c r="B272" s="26" t="s">
        <v>7107</v>
      </c>
      <c r="C272" s="26" t="s">
        <v>7106</v>
      </c>
      <c r="D272" s="26" t="s">
        <v>6396</v>
      </c>
      <c r="E272" s="26" t="s">
        <v>6395</v>
      </c>
    </row>
    <row r="273" spans="1:5">
      <c r="A273" s="26" t="s">
        <v>6399</v>
      </c>
      <c r="B273" s="26" t="s">
        <v>7105</v>
      </c>
      <c r="C273" s="26" t="s">
        <v>7104</v>
      </c>
      <c r="D273" s="26" t="s">
        <v>6480</v>
      </c>
      <c r="E273" s="26" t="s">
        <v>6395</v>
      </c>
    </row>
    <row r="274" spans="1:5">
      <c r="A274" s="26" t="s">
        <v>6399</v>
      </c>
      <c r="B274" s="26" t="s">
        <v>7103</v>
      </c>
      <c r="C274" s="26" t="s">
        <v>7102</v>
      </c>
      <c r="D274" s="26" t="s">
        <v>6480</v>
      </c>
      <c r="E274" s="26" t="s">
        <v>6395</v>
      </c>
    </row>
    <row r="275" spans="1:5">
      <c r="A275" s="26" t="s">
        <v>6399</v>
      </c>
      <c r="B275" s="26" t="s">
        <v>7101</v>
      </c>
      <c r="C275" s="26" t="s">
        <v>2213</v>
      </c>
      <c r="D275" s="26" t="s">
        <v>6434</v>
      </c>
      <c r="E275" s="26" t="s">
        <v>6395</v>
      </c>
    </row>
    <row r="276" spans="1:5">
      <c r="A276" s="26" t="s">
        <v>6399</v>
      </c>
      <c r="B276" s="26" t="s">
        <v>7100</v>
      </c>
      <c r="C276" s="26" t="s">
        <v>2213</v>
      </c>
      <c r="D276" s="26" t="s">
        <v>6434</v>
      </c>
      <c r="E276" s="26" t="s">
        <v>6395</v>
      </c>
    </row>
    <row r="277" spans="1:5">
      <c r="A277" s="26" t="s">
        <v>6399</v>
      </c>
      <c r="B277" s="26" t="s">
        <v>7099</v>
      </c>
      <c r="C277" s="26" t="s">
        <v>1313</v>
      </c>
      <c r="D277" s="26" t="s">
        <v>6396</v>
      </c>
      <c r="E277" s="26" t="s">
        <v>6395</v>
      </c>
    </row>
    <row r="278" spans="1:5">
      <c r="A278" s="26" t="s">
        <v>6399</v>
      </c>
      <c r="B278" s="26" t="s">
        <v>7098</v>
      </c>
      <c r="C278" s="26" t="s">
        <v>2757</v>
      </c>
      <c r="D278" s="26" t="s">
        <v>6396</v>
      </c>
      <c r="E278" s="26" t="s">
        <v>6395</v>
      </c>
    </row>
    <row r="279" spans="1:5">
      <c r="A279" s="26" t="s">
        <v>6399</v>
      </c>
      <c r="B279" s="26" t="s">
        <v>7097</v>
      </c>
      <c r="C279" s="26" t="s">
        <v>2757</v>
      </c>
      <c r="D279" s="26" t="s">
        <v>6396</v>
      </c>
      <c r="E279" s="26" t="s">
        <v>6395</v>
      </c>
    </row>
    <row r="280" spans="1:5">
      <c r="A280" s="26" t="s">
        <v>6399</v>
      </c>
      <c r="B280" s="26" t="s">
        <v>7096</v>
      </c>
      <c r="C280" s="26" t="s">
        <v>2757</v>
      </c>
      <c r="D280" s="26" t="s">
        <v>6396</v>
      </c>
      <c r="E280" s="26" t="s">
        <v>6395</v>
      </c>
    </row>
    <row r="281" spans="1:5">
      <c r="A281" s="26" t="s">
        <v>6399</v>
      </c>
      <c r="B281" s="26" t="s">
        <v>7095</v>
      </c>
      <c r="C281" s="26" t="s">
        <v>2757</v>
      </c>
      <c r="D281" s="26" t="s">
        <v>6396</v>
      </c>
      <c r="E281" s="26" t="s">
        <v>6395</v>
      </c>
    </row>
    <row r="282" spans="1:5">
      <c r="A282" s="26" t="s">
        <v>6399</v>
      </c>
      <c r="B282" s="26" t="s">
        <v>7094</v>
      </c>
      <c r="C282" s="26" t="s">
        <v>7093</v>
      </c>
      <c r="D282" s="26" t="s">
        <v>6396</v>
      </c>
      <c r="E282" s="26" t="s">
        <v>6395</v>
      </c>
    </row>
    <row r="283" spans="1:5">
      <c r="A283" s="26" t="s">
        <v>6399</v>
      </c>
      <c r="B283" s="26" t="s">
        <v>7092</v>
      </c>
      <c r="C283" s="26" t="s">
        <v>1274</v>
      </c>
      <c r="D283" s="26" t="s">
        <v>6396</v>
      </c>
      <c r="E283" s="26" t="s">
        <v>6395</v>
      </c>
    </row>
    <row r="284" spans="1:5">
      <c r="A284" s="26" t="s">
        <v>6399</v>
      </c>
      <c r="B284" s="26" t="s">
        <v>2767</v>
      </c>
      <c r="C284" s="26" t="s">
        <v>1274</v>
      </c>
      <c r="D284" s="26" t="s">
        <v>6396</v>
      </c>
      <c r="E284" s="26" t="s">
        <v>6395</v>
      </c>
    </row>
    <row r="285" spans="1:5">
      <c r="A285" s="26" t="s">
        <v>6399</v>
      </c>
      <c r="B285" s="26" t="s">
        <v>2678</v>
      </c>
      <c r="C285" s="26" t="s">
        <v>1274</v>
      </c>
      <c r="D285" s="26" t="s">
        <v>6396</v>
      </c>
      <c r="E285" s="26" t="s">
        <v>6395</v>
      </c>
    </row>
    <row r="286" spans="1:5">
      <c r="A286" s="26" t="s">
        <v>6399</v>
      </c>
      <c r="B286" s="26" t="s">
        <v>1273</v>
      </c>
      <c r="C286" s="26" t="s">
        <v>1274</v>
      </c>
      <c r="D286" s="26" t="s">
        <v>6396</v>
      </c>
      <c r="E286" s="26" t="s">
        <v>6395</v>
      </c>
    </row>
    <row r="287" spans="1:5">
      <c r="A287" s="26" t="s">
        <v>6399</v>
      </c>
      <c r="B287" s="26" t="s">
        <v>7091</v>
      </c>
      <c r="C287" s="26" t="s">
        <v>7090</v>
      </c>
      <c r="D287" s="26" t="s">
        <v>6396</v>
      </c>
      <c r="E287" s="26" t="s">
        <v>6395</v>
      </c>
    </row>
    <row r="288" spans="1:5">
      <c r="A288" s="26" t="s">
        <v>6399</v>
      </c>
      <c r="B288" s="26" t="s">
        <v>7089</v>
      </c>
      <c r="C288" s="26" t="s">
        <v>7088</v>
      </c>
      <c r="D288" s="26" t="s">
        <v>6396</v>
      </c>
      <c r="E288" s="26" t="s">
        <v>6395</v>
      </c>
    </row>
    <row r="289" spans="1:5">
      <c r="A289" s="26" t="s">
        <v>6399</v>
      </c>
      <c r="B289" s="26" t="s">
        <v>7087</v>
      </c>
      <c r="C289" s="26" t="s">
        <v>1030</v>
      </c>
      <c r="D289" s="26" t="s">
        <v>6396</v>
      </c>
      <c r="E289" s="26" t="s">
        <v>6395</v>
      </c>
    </row>
    <row r="290" spans="1:5">
      <c r="A290" s="26" t="s">
        <v>6399</v>
      </c>
      <c r="B290" s="26" t="s">
        <v>7086</v>
      </c>
      <c r="C290" s="26" t="s">
        <v>1030</v>
      </c>
      <c r="D290" s="26" t="s">
        <v>6396</v>
      </c>
      <c r="E290" s="26" t="s">
        <v>6395</v>
      </c>
    </row>
    <row r="291" spans="1:5">
      <c r="A291" s="26" t="s">
        <v>6399</v>
      </c>
      <c r="B291" s="26" t="s">
        <v>7085</v>
      </c>
      <c r="C291" s="26" t="s">
        <v>7084</v>
      </c>
      <c r="D291" s="26" t="s">
        <v>6396</v>
      </c>
      <c r="E291" s="26" t="s">
        <v>6395</v>
      </c>
    </row>
    <row r="292" spans="1:5">
      <c r="A292" s="26" t="s">
        <v>6399</v>
      </c>
      <c r="B292" s="26" t="s">
        <v>7083</v>
      </c>
      <c r="C292" s="26" t="s">
        <v>7081</v>
      </c>
      <c r="D292" s="26" t="s">
        <v>6396</v>
      </c>
      <c r="E292" s="26" t="s">
        <v>6395</v>
      </c>
    </row>
    <row r="293" spans="1:5">
      <c r="A293" s="26" t="s">
        <v>6399</v>
      </c>
      <c r="B293" s="26" t="s">
        <v>7082</v>
      </c>
      <c r="C293" s="26" t="s">
        <v>7081</v>
      </c>
      <c r="D293" s="26" t="s">
        <v>6396</v>
      </c>
      <c r="E293" s="26" t="s">
        <v>6395</v>
      </c>
    </row>
    <row r="294" spans="1:5">
      <c r="A294" s="26" t="s">
        <v>6399</v>
      </c>
      <c r="B294" s="26" t="s">
        <v>930</v>
      </c>
      <c r="C294" s="26" t="s">
        <v>7078</v>
      </c>
      <c r="D294" s="26" t="s">
        <v>6396</v>
      </c>
      <c r="E294" s="26" t="s">
        <v>6395</v>
      </c>
    </row>
    <row r="295" spans="1:5">
      <c r="A295" s="26" t="s">
        <v>6399</v>
      </c>
      <c r="B295" s="26" t="s">
        <v>7080</v>
      </c>
      <c r="C295" s="26" t="s">
        <v>7078</v>
      </c>
      <c r="D295" s="26" t="s">
        <v>6396</v>
      </c>
      <c r="E295" s="26" t="s">
        <v>6395</v>
      </c>
    </row>
    <row r="296" spans="1:5">
      <c r="A296" s="26" t="s">
        <v>6399</v>
      </c>
      <c r="B296" s="26" t="s">
        <v>7079</v>
      </c>
      <c r="C296" s="26" t="s">
        <v>7078</v>
      </c>
      <c r="D296" s="26" t="s">
        <v>6396</v>
      </c>
      <c r="E296" s="26" t="s">
        <v>6395</v>
      </c>
    </row>
    <row r="297" spans="1:5">
      <c r="A297" s="26" t="s">
        <v>6399</v>
      </c>
      <c r="B297" s="26" t="s">
        <v>7077</v>
      </c>
      <c r="C297" s="26" t="s">
        <v>7076</v>
      </c>
      <c r="D297" s="26" t="s">
        <v>6396</v>
      </c>
      <c r="E297" s="26" t="s">
        <v>6395</v>
      </c>
    </row>
    <row r="298" spans="1:5">
      <c r="A298" s="26" t="s">
        <v>6399</v>
      </c>
      <c r="B298" s="26" t="s">
        <v>7075</v>
      </c>
      <c r="C298" s="26" t="s">
        <v>6611</v>
      </c>
      <c r="D298" s="26" t="s">
        <v>6396</v>
      </c>
      <c r="E298" s="26" t="s">
        <v>6395</v>
      </c>
    </row>
    <row r="299" spans="1:5">
      <c r="A299" s="26" t="s">
        <v>6399</v>
      </c>
      <c r="B299" s="26" t="s">
        <v>2299</v>
      </c>
      <c r="C299" s="26" t="s">
        <v>2300</v>
      </c>
      <c r="D299" s="26" t="s">
        <v>6396</v>
      </c>
      <c r="E299" s="26" t="s">
        <v>6395</v>
      </c>
    </row>
    <row r="300" spans="1:5">
      <c r="A300" s="26" t="s">
        <v>6399</v>
      </c>
      <c r="B300" s="26" t="s">
        <v>7074</v>
      </c>
      <c r="C300" s="26" t="s">
        <v>1240</v>
      </c>
      <c r="D300" s="26" t="s">
        <v>6396</v>
      </c>
      <c r="E300" s="26" t="s">
        <v>6395</v>
      </c>
    </row>
    <row r="301" spans="1:5">
      <c r="A301" s="26" t="s">
        <v>6399</v>
      </c>
      <c r="B301" s="26" t="s">
        <v>7073</v>
      </c>
      <c r="C301" s="26" t="s">
        <v>1240</v>
      </c>
      <c r="D301" s="26" t="s">
        <v>6396</v>
      </c>
      <c r="E301" s="26" t="s">
        <v>6395</v>
      </c>
    </row>
    <row r="302" spans="1:5">
      <c r="A302" s="26" t="s">
        <v>6399</v>
      </c>
      <c r="B302" s="26" t="s">
        <v>7072</v>
      </c>
      <c r="C302" s="26" t="s">
        <v>679</v>
      </c>
      <c r="D302" s="26" t="s">
        <v>6396</v>
      </c>
      <c r="E302" s="26" t="s">
        <v>6395</v>
      </c>
    </row>
    <row r="303" spans="1:5">
      <c r="A303" s="26" t="s">
        <v>6399</v>
      </c>
      <c r="B303" s="26" t="s">
        <v>7071</v>
      </c>
      <c r="C303" s="26" t="s">
        <v>2960</v>
      </c>
      <c r="D303" s="26" t="s">
        <v>6396</v>
      </c>
      <c r="E303" s="26" t="s">
        <v>6395</v>
      </c>
    </row>
    <row r="304" spans="1:5">
      <c r="A304" s="26" t="s">
        <v>6399</v>
      </c>
      <c r="B304" s="26" t="s">
        <v>7070</v>
      </c>
      <c r="C304" s="26" t="s">
        <v>7069</v>
      </c>
      <c r="D304" s="26" t="s">
        <v>6396</v>
      </c>
      <c r="E304" s="26" t="s">
        <v>6395</v>
      </c>
    </row>
    <row r="305" spans="1:5">
      <c r="A305" s="26" t="s">
        <v>6399</v>
      </c>
      <c r="B305" s="26" t="s">
        <v>7068</v>
      </c>
      <c r="C305" s="26" t="s">
        <v>727</v>
      </c>
      <c r="D305" s="26" t="s">
        <v>6396</v>
      </c>
      <c r="E305" s="26" t="s">
        <v>6395</v>
      </c>
    </row>
    <row r="306" spans="1:5">
      <c r="A306" s="26" t="s">
        <v>6399</v>
      </c>
      <c r="B306" s="26" t="s">
        <v>3261</v>
      </c>
      <c r="C306" s="26" t="s">
        <v>3262</v>
      </c>
      <c r="D306" s="26" t="s">
        <v>6396</v>
      </c>
      <c r="E306" s="26" t="s">
        <v>6395</v>
      </c>
    </row>
    <row r="307" spans="1:5">
      <c r="A307" s="26" t="s">
        <v>6399</v>
      </c>
      <c r="B307" s="26" t="s">
        <v>1350</v>
      </c>
      <c r="C307" s="26" t="s">
        <v>1351</v>
      </c>
      <c r="D307" s="26" t="s">
        <v>6396</v>
      </c>
      <c r="E307" s="26" t="s">
        <v>6395</v>
      </c>
    </row>
    <row r="308" spans="1:5">
      <c r="A308" s="26" t="s">
        <v>6399</v>
      </c>
      <c r="B308" s="26" t="s">
        <v>2927</v>
      </c>
      <c r="C308" s="26" t="s">
        <v>1351</v>
      </c>
      <c r="D308" s="26" t="s">
        <v>6396</v>
      </c>
      <c r="E308" s="26" t="s">
        <v>6395</v>
      </c>
    </row>
    <row r="309" spans="1:5">
      <c r="A309" s="26" t="s">
        <v>6399</v>
      </c>
      <c r="B309" s="26" t="s">
        <v>7067</v>
      </c>
      <c r="C309" s="26" t="s">
        <v>7066</v>
      </c>
      <c r="D309" s="26" t="s">
        <v>6480</v>
      </c>
      <c r="E309" s="26" t="s">
        <v>6395</v>
      </c>
    </row>
    <row r="310" spans="1:5">
      <c r="A310" s="26" t="s">
        <v>6399</v>
      </c>
      <c r="B310" s="26" t="s">
        <v>3005</v>
      </c>
      <c r="C310" s="26" t="s">
        <v>782</v>
      </c>
      <c r="D310" s="26" t="s">
        <v>6396</v>
      </c>
      <c r="E310" s="26" t="s">
        <v>6395</v>
      </c>
    </row>
    <row r="311" spans="1:5">
      <c r="A311" s="26" t="s">
        <v>6399</v>
      </c>
      <c r="B311" s="26" t="s">
        <v>781</v>
      </c>
      <c r="C311" s="26" t="s">
        <v>782</v>
      </c>
      <c r="D311" s="26" t="s">
        <v>6396</v>
      </c>
      <c r="E311" s="26" t="s">
        <v>6395</v>
      </c>
    </row>
    <row r="312" spans="1:5">
      <c r="A312" s="26" t="s">
        <v>6399</v>
      </c>
      <c r="B312" s="26" t="s">
        <v>7065</v>
      </c>
      <c r="C312" s="26" t="s">
        <v>6445</v>
      </c>
      <c r="D312" s="26" t="s">
        <v>6396</v>
      </c>
      <c r="E312" s="26" t="s">
        <v>6395</v>
      </c>
    </row>
    <row r="313" spans="1:5">
      <c r="A313" s="26" t="s">
        <v>6399</v>
      </c>
      <c r="B313" s="26" t="s">
        <v>7064</v>
      </c>
      <c r="C313" s="26" t="s">
        <v>7062</v>
      </c>
      <c r="D313" s="26" t="s">
        <v>6480</v>
      </c>
      <c r="E313" s="26" t="s">
        <v>6395</v>
      </c>
    </row>
    <row r="314" spans="1:5">
      <c r="A314" s="26" t="s">
        <v>6399</v>
      </c>
      <c r="B314" s="26" t="s">
        <v>7063</v>
      </c>
      <c r="C314" s="26" t="s">
        <v>7062</v>
      </c>
      <c r="D314" s="26" t="s">
        <v>6480</v>
      </c>
      <c r="E314" s="26" t="s">
        <v>6395</v>
      </c>
    </row>
    <row r="315" spans="1:5">
      <c r="A315" s="26" t="s">
        <v>6399</v>
      </c>
      <c r="B315" s="26" t="s">
        <v>1867</v>
      </c>
      <c r="C315" s="26" t="s">
        <v>7061</v>
      </c>
      <c r="D315" s="26" t="s">
        <v>6396</v>
      </c>
      <c r="E315" s="26" t="s">
        <v>6395</v>
      </c>
    </row>
    <row r="316" spans="1:5">
      <c r="A316" s="26" t="s">
        <v>6399</v>
      </c>
      <c r="B316" s="26" t="s">
        <v>7060</v>
      </c>
      <c r="C316" s="26" t="s">
        <v>7059</v>
      </c>
      <c r="D316" s="26" t="s">
        <v>6396</v>
      </c>
      <c r="E316" s="26" t="s">
        <v>6395</v>
      </c>
    </row>
    <row r="317" spans="1:5">
      <c r="A317" s="26" t="s">
        <v>6399</v>
      </c>
      <c r="B317" s="26" t="s">
        <v>7058</v>
      </c>
      <c r="C317" s="26" t="s">
        <v>7057</v>
      </c>
      <c r="D317" s="26" t="s">
        <v>6480</v>
      </c>
      <c r="E317" s="26" t="s">
        <v>6395</v>
      </c>
    </row>
    <row r="318" spans="1:5">
      <c r="A318" s="26" t="s">
        <v>6399</v>
      </c>
      <c r="B318" s="26" t="s">
        <v>7056</v>
      </c>
      <c r="C318" s="26" t="s">
        <v>6599</v>
      </c>
      <c r="D318" s="26" t="s">
        <v>6396</v>
      </c>
      <c r="E318" s="26" t="s">
        <v>6395</v>
      </c>
    </row>
    <row r="319" spans="1:5">
      <c r="A319" s="26" t="s">
        <v>6399</v>
      </c>
      <c r="B319" s="26" t="s">
        <v>7055</v>
      </c>
      <c r="C319" s="26" t="s">
        <v>6599</v>
      </c>
      <c r="D319" s="26" t="s">
        <v>6396</v>
      </c>
      <c r="E319" s="26" t="s">
        <v>6871</v>
      </c>
    </row>
    <row r="320" spans="1:5">
      <c r="A320" s="26" t="s">
        <v>6399</v>
      </c>
      <c r="B320" s="26" t="s">
        <v>7054</v>
      </c>
      <c r="C320" s="26" t="s">
        <v>6599</v>
      </c>
      <c r="D320" s="26" t="s">
        <v>6396</v>
      </c>
      <c r="E320" s="26" t="s">
        <v>6871</v>
      </c>
    </row>
    <row r="321" spans="1:5">
      <c r="A321" s="26" t="s">
        <v>6399</v>
      </c>
      <c r="B321" s="26" t="s">
        <v>2189</v>
      </c>
      <c r="C321" s="26" t="s">
        <v>131</v>
      </c>
      <c r="D321" s="26" t="s">
        <v>6396</v>
      </c>
      <c r="E321" s="26" t="s">
        <v>6395</v>
      </c>
    </row>
    <row r="322" spans="1:5">
      <c r="A322" s="26" t="s">
        <v>6399</v>
      </c>
      <c r="B322" s="26" t="s">
        <v>2193</v>
      </c>
      <c r="C322" s="26" t="s">
        <v>131</v>
      </c>
      <c r="D322" s="26" t="s">
        <v>6396</v>
      </c>
      <c r="E322" s="26" t="s">
        <v>6395</v>
      </c>
    </row>
    <row r="323" spans="1:5">
      <c r="A323" s="26" t="s">
        <v>6399</v>
      </c>
      <c r="B323" s="26" t="s">
        <v>7053</v>
      </c>
      <c r="C323" s="26" t="s">
        <v>6441</v>
      </c>
      <c r="D323" s="26" t="s">
        <v>6396</v>
      </c>
      <c r="E323" s="26" t="s">
        <v>6395</v>
      </c>
    </row>
    <row r="324" spans="1:5">
      <c r="A324" s="26" t="s">
        <v>6399</v>
      </c>
      <c r="B324" s="26" t="s">
        <v>7052</v>
      </c>
      <c r="C324" s="26" t="s">
        <v>7051</v>
      </c>
      <c r="D324" s="26" t="s">
        <v>6396</v>
      </c>
      <c r="E324" s="26" t="s">
        <v>6395</v>
      </c>
    </row>
    <row r="325" spans="1:5">
      <c r="A325" s="26" t="s">
        <v>6399</v>
      </c>
      <c r="B325" s="26" t="s">
        <v>1737</v>
      </c>
      <c r="C325" s="26" t="s">
        <v>742</v>
      </c>
      <c r="D325" s="26" t="s">
        <v>6396</v>
      </c>
      <c r="E325" s="26" t="s">
        <v>6395</v>
      </c>
    </row>
    <row r="326" spans="1:5">
      <c r="A326" s="26" t="s">
        <v>6399</v>
      </c>
      <c r="B326" s="26" t="s">
        <v>3257</v>
      </c>
      <c r="C326" s="26" t="s">
        <v>742</v>
      </c>
      <c r="D326" s="26" t="s">
        <v>6396</v>
      </c>
      <c r="E326" s="26" t="s">
        <v>6395</v>
      </c>
    </row>
    <row r="327" spans="1:5">
      <c r="A327" s="26" t="s">
        <v>6399</v>
      </c>
      <c r="B327" s="26" t="s">
        <v>7050</v>
      </c>
      <c r="C327" s="26" t="s">
        <v>742</v>
      </c>
      <c r="D327" s="26" t="s">
        <v>6396</v>
      </c>
      <c r="E327" s="26" t="s">
        <v>6395</v>
      </c>
    </row>
    <row r="328" spans="1:5">
      <c r="A328" s="26" t="s">
        <v>6399</v>
      </c>
      <c r="B328" s="26" t="s">
        <v>741</v>
      </c>
      <c r="C328" s="26" t="s">
        <v>742</v>
      </c>
      <c r="D328" s="26" t="s">
        <v>6396</v>
      </c>
      <c r="E328" s="26" t="s">
        <v>6395</v>
      </c>
    </row>
    <row r="329" spans="1:5">
      <c r="A329" s="26" t="s">
        <v>6399</v>
      </c>
      <c r="B329" s="26" t="s">
        <v>7049</v>
      </c>
      <c r="C329" s="26" t="s">
        <v>7048</v>
      </c>
      <c r="D329" s="26" t="s">
        <v>6396</v>
      </c>
      <c r="E329" s="26" t="s">
        <v>6395</v>
      </c>
    </row>
    <row r="330" spans="1:5">
      <c r="A330" s="26" t="s">
        <v>6399</v>
      </c>
      <c r="B330" s="26" t="s">
        <v>3419</v>
      </c>
      <c r="C330" s="26" t="s">
        <v>3420</v>
      </c>
      <c r="D330" s="26" t="s">
        <v>6396</v>
      </c>
      <c r="E330" s="26" t="s">
        <v>6395</v>
      </c>
    </row>
    <row r="331" spans="1:5">
      <c r="A331" s="26" t="s">
        <v>6399</v>
      </c>
      <c r="B331" s="26" t="s">
        <v>1419</v>
      </c>
      <c r="C331" s="26" t="s">
        <v>1331</v>
      </c>
      <c r="D331" s="26" t="s">
        <v>6396</v>
      </c>
      <c r="E331" s="26" t="s">
        <v>6678</v>
      </c>
    </row>
    <row r="332" spans="1:5">
      <c r="A332" s="26" t="s">
        <v>6399</v>
      </c>
      <c r="B332" s="26" t="s">
        <v>1340</v>
      </c>
      <c r="C332" s="26" t="s">
        <v>1331</v>
      </c>
      <c r="D332" s="26" t="s">
        <v>6396</v>
      </c>
      <c r="E332" s="26" t="s">
        <v>6678</v>
      </c>
    </row>
    <row r="333" spans="1:5">
      <c r="A333" s="26" t="s">
        <v>6399</v>
      </c>
      <c r="B333" s="26" t="s">
        <v>1760</v>
      </c>
      <c r="C333" s="26" t="s">
        <v>1331</v>
      </c>
      <c r="D333" s="26" t="s">
        <v>6396</v>
      </c>
      <c r="E333" s="26" t="s">
        <v>6678</v>
      </c>
    </row>
    <row r="334" spans="1:5">
      <c r="A334" s="26" t="s">
        <v>6399</v>
      </c>
      <c r="B334" s="26" t="s">
        <v>3347</v>
      </c>
      <c r="C334" s="26" t="s">
        <v>7047</v>
      </c>
      <c r="D334" s="26" t="s">
        <v>6396</v>
      </c>
      <c r="E334" s="26" t="s">
        <v>6395</v>
      </c>
    </row>
    <row r="335" spans="1:5">
      <c r="A335" s="26" t="s">
        <v>6399</v>
      </c>
      <c r="B335" s="26" t="s">
        <v>7046</v>
      </c>
      <c r="C335" s="26" t="s">
        <v>7045</v>
      </c>
      <c r="D335" s="26" t="s">
        <v>6480</v>
      </c>
      <c r="E335" s="26" t="s">
        <v>6395</v>
      </c>
    </row>
    <row r="336" spans="1:5">
      <c r="A336" s="26" t="s">
        <v>6399</v>
      </c>
      <c r="B336" s="26" t="s">
        <v>7044</v>
      </c>
      <c r="C336" s="26" t="s">
        <v>7042</v>
      </c>
      <c r="D336" s="26" t="s">
        <v>6396</v>
      </c>
      <c r="E336" s="26" t="s">
        <v>6443</v>
      </c>
    </row>
    <row r="337" spans="1:5">
      <c r="A337" s="26" t="s">
        <v>6399</v>
      </c>
      <c r="B337" s="26" t="s">
        <v>7043</v>
      </c>
      <c r="C337" s="26" t="s">
        <v>7042</v>
      </c>
      <c r="D337" s="26" t="s">
        <v>6480</v>
      </c>
      <c r="E337" s="26" t="s">
        <v>6395</v>
      </c>
    </row>
    <row r="338" spans="1:5">
      <c r="A338" s="26" t="s">
        <v>6399</v>
      </c>
      <c r="B338" s="26" t="s">
        <v>7041</v>
      </c>
      <c r="C338" s="26" t="s">
        <v>524</v>
      </c>
      <c r="D338" s="26" t="s">
        <v>6396</v>
      </c>
      <c r="E338" s="26" t="s">
        <v>6395</v>
      </c>
    </row>
    <row r="339" spans="1:5">
      <c r="A339" s="26" t="s">
        <v>6399</v>
      </c>
      <c r="B339" s="26" t="s">
        <v>7040</v>
      </c>
      <c r="C339" s="26" t="s">
        <v>524</v>
      </c>
      <c r="D339" s="26" t="s">
        <v>6396</v>
      </c>
      <c r="E339" s="26" t="s">
        <v>6395</v>
      </c>
    </row>
    <row r="340" spans="1:5">
      <c r="A340" s="26" t="s">
        <v>6399</v>
      </c>
      <c r="B340" s="26" t="s">
        <v>1703</v>
      </c>
      <c r="C340" s="26" t="s">
        <v>524</v>
      </c>
      <c r="D340" s="26" t="s">
        <v>6396</v>
      </c>
      <c r="E340" s="26" t="s">
        <v>6395</v>
      </c>
    </row>
    <row r="341" spans="1:5">
      <c r="A341" s="26" t="s">
        <v>6399</v>
      </c>
      <c r="B341" s="26" t="s">
        <v>7039</v>
      </c>
      <c r="C341" s="26" t="s">
        <v>524</v>
      </c>
      <c r="D341" s="26" t="s">
        <v>6396</v>
      </c>
      <c r="E341" s="26" t="s">
        <v>6395</v>
      </c>
    </row>
    <row r="342" spans="1:5">
      <c r="A342" s="26" t="s">
        <v>6399</v>
      </c>
      <c r="B342" s="26" t="s">
        <v>7038</v>
      </c>
      <c r="C342" s="26" t="s">
        <v>6751</v>
      </c>
      <c r="D342" s="26" t="s">
        <v>6396</v>
      </c>
      <c r="E342" s="26" t="s">
        <v>6395</v>
      </c>
    </row>
    <row r="343" spans="1:5">
      <c r="A343" s="26" t="s">
        <v>6399</v>
      </c>
      <c r="B343" s="26" t="s">
        <v>7037</v>
      </c>
      <c r="C343" s="26" t="s">
        <v>7035</v>
      </c>
      <c r="D343" s="26" t="s">
        <v>6396</v>
      </c>
      <c r="E343" s="26" t="s">
        <v>6395</v>
      </c>
    </row>
    <row r="344" spans="1:5">
      <c r="A344" s="26" t="s">
        <v>6399</v>
      </c>
      <c r="B344" s="26" t="s">
        <v>7036</v>
      </c>
      <c r="C344" s="26" t="s">
        <v>7035</v>
      </c>
      <c r="D344" s="26" t="s">
        <v>6396</v>
      </c>
      <c r="E344" s="26" t="s">
        <v>6395</v>
      </c>
    </row>
    <row r="345" spans="1:5">
      <c r="A345" s="26" t="s">
        <v>6399</v>
      </c>
      <c r="B345" s="26" t="s">
        <v>7034</v>
      </c>
      <c r="C345" s="26" t="s">
        <v>7033</v>
      </c>
      <c r="D345" s="26" t="s">
        <v>6396</v>
      </c>
      <c r="E345" s="26" t="s">
        <v>6395</v>
      </c>
    </row>
    <row r="346" spans="1:5">
      <c r="A346" s="26" t="s">
        <v>6399</v>
      </c>
      <c r="B346" s="26" t="s">
        <v>7032</v>
      </c>
      <c r="C346" s="26" t="s">
        <v>2400</v>
      </c>
      <c r="D346" s="26" t="s">
        <v>6396</v>
      </c>
      <c r="E346" s="26" t="s">
        <v>6395</v>
      </c>
    </row>
    <row r="347" spans="1:5">
      <c r="A347" s="26" t="s">
        <v>6399</v>
      </c>
      <c r="B347" s="26" t="s">
        <v>7018</v>
      </c>
      <c r="C347" s="26" t="s">
        <v>2400</v>
      </c>
      <c r="D347" s="26" t="s">
        <v>6396</v>
      </c>
      <c r="E347" s="26" t="s">
        <v>6395</v>
      </c>
    </row>
    <row r="348" spans="1:5">
      <c r="A348" s="26" t="s">
        <v>6399</v>
      </c>
      <c r="B348" s="26" t="s">
        <v>7031</v>
      </c>
      <c r="C348" s="26" t="s">
        <v>3268</v>
      </c>
      <c r="D348" s="26" t="s">
        <v>6434</v>
      </c>
      <c r="E348" s="26" t="s">
        <v>6395</v>
      </c>
    </row>
    <row r="349" spans="1:5">
      <c r="A349" s="26" t="s">
        <v>6399</v>
      </c>
      <c r="B349" s="26" t="s">
        <v>3267</v>
      </c>
      <c r="C349" s="26" t="s">
        <v>3268</v>
      </c>
      <c r="D349" s="26" t="s">
        <v>6396</v>
      </c>
      <c r="E349" s="26" t="s">
        <v>6395</v>
      </c>
    </row>
    <row r="350" spans="1:5">
      <c r="A350" s="26" t="s">
        <v>6399</v>
      </c>
      <c r="B350" s="26" t="s">
        <v>2230</v>
      </c>
      <c r="C350" s="26" t="s">
        <v>227</v>
      </c>
      <c r="D350" s="26" t="s">
        <v>6396</v>
      </c>
      <c r="E350" s="26" t="s">
        <v>6395</v>
      </c>
    </row>
    <row r="351" spans="1:5">
      <c r="A351" s="26" t="s">
        <v>6399</v>
      </c>
      <c r="B351" s="26" t="s">
        <v>1576</v>
      </c>
      <c r="C351" s="26" t="s">
        <v>227</v>
      </c>
      <c r="D351" s="26" t="s">
        <v>6396</v>
      </c>
      <c r="E351" s="26" t="s">
        <v>6395</v>
      </c>
    </row>
    <row r="352" spans="1:5">
      <c r="A352" s="26" t="s">
        <v>6399</v>
      </c>
      <c r="B352" s="26" t="s">
        <v>7030</v>
      </c>
      <c r="C352" s="26" t="s">
        <v>227</v>
      </c>
      <c r="D352" s="26" t="s">
        <v>6396</v>
      </c>
      <c r="E352" s="26" t="s">
        <v>6395</v>
      </c>
    </row>
    <row r="353" spans="1:5">
      <c r="A353" s="26" t="s">
        <v>6399</v>
      </c>
      <c r="B353" s="26" t="s">
        <v>7029</v>
      </c>
      <c r="C353" s="26" t="s">
        <v>227</v>
      </c>
      <c r="D353" s="26" t="s">
        <v>6396</v>
      </c>
      <c r="E353" s="26" t="s">
        <v>6395</v>
      </c>
    </row>
    <row r="354" spans="1:5">
      <c r="A354" s="26" t="s">
        <v>6399</v>
      </c>
      <c r="B354" s="26" t="s">
        <v>7028</v>
      </c>
      <c r="C354" s="26" t="s">
        <v>227</v>
      </c>
      <c r="D354" s="26" t="s">
        <v>6396</v>
      </c>
      <c r="E354" s="26" t="s">
        <v>6395</v>
      </c>
    </row>
    <row r="355" spans="1:5">
      <c r="A355" s="26" t="s">
        <v>6399</v>
      </c>
      <c r="B355" s="26" t="s">
        <v>7022</v>
      </c>
      <c r="C355" s="26" t="s">
        <v>227</v>
      </c>
      <c r="D355" s="26" t="s">
        <v>6396</v>
      </c>
      <c r="E355" s="26" t="s">
        <v>6395</v>
      </c>
    </row>
    <row r="356" spans="1:5">
      <c r="A356" s="26" t="s">
        <v>6399</v>
      </c>
      <c r="B356" s="26" t="s">
        <v>7027</v>
      </c>
      <c r="C356" s="26" t="s">
        <v>227</v>
      </c>
      <c r="D356" s="26" t="s">
        <v>6396</v>
      </c>
      <c r="E356" s="26" t="s">
        <v>6395</v>
      </c>
    </row>
    <row r="357" spans="1:5">
      <c r="A357" s="26" t="s">
        <v>6399</v>
      </c>
      <c r="B357" s="26" t="s">
        <v>7026</v>
      </c>
      <c r="C357" s="26" t="s">
        <v>227</v>
      </c>
      <c r="D357" s="26" t="s">
        <v>6396</v>
      </c>
      <c r="E357" s="26" t="s">
        <v>6395</v>
      </c>
    </row>
    <row r="358" spans="1:5">
      <c r="A358" s="26" t="s">
        <v>6399</v>
      </c>
      <c r="B358" s="26" t="s">
        <v>7025</v>
      </c>
      <c r="C358" s="26" t="s">
        <v>227</v>
      </c>
      <c r="D358" s="26" t="s">
        <v>6396</v>
      </c>
      <c r="E358" s="26" t="s">
        <v>6395</v>
      </c>
    </row>
    <row r="359" spans="1:5">
      <c r="A359" s="26" t="s">
        <v>6399</v>
      </c>
      <c r="B359" s="26" t="s">
        <v>7024</v>
      </c>
      <c r="C359" s="26" t="s">
        <v>227</v>
      </c>
      <c r="D359" s="26" t="s">
        <v>6396</v>
      </c>
      <c r="E359" s="26" t="s">
        <v>6395</v>
      </c>
    </row>
    <row r="360" spans="1:5">
      <c r="A360" s="26" t="s">
        <v>6399</v>
      </c>
      <c r="B360" s="26" t="s">
        <v>7023</v>
      </c>
      <c r="C360" s="26" t="s">
        <v>227</v>
      </c>
      <c r="D360" s="26" t="s">
        <v>6434</v>
      </c>
      <c r="E360" s="26" t="s">
        <v>6395</v>
      </c>
    </row>
    <row r="361" spans="1:5">
      <c r="A361" s="26" t="s">
        <v>6399</v>
      </c>
      <c r="B361" s="26" t="s">
        <v>7022</v>
      </c>
      <c r="C361" s="26" t="s">
        <v>227</v>
      </c>
      <c r="D361" s="26" t="s">
        <v>6434</v>
      </c>
      <c r="E361" s="26" t="s">
        <v>6395</v>
      </c>
    </row>
    <row r="362" spans="1:5">
      <c r="A362" s="26" t="s">
        <v>6399</v>
      </c>
      <c r="B362" s="26" t="s">
        <v>7021</v>
      </c>
      <c r="C362" s="26" t="s">
        <v>227</v>
      </c>
      <c r="D362" s="26" t="s">
        <v>6434</v>
      </c>
      <c r="E362" s="26" t="s">
        <v>6395</v>
      </c>
    </row>
    <row r="363" spans="1:5">
      <c r="A363" s="26" t="s">
        <v>6399</v>
      </c>
      <c r="B363" s="26" t="s">
        <v>1226</v>
      </c>
      <c r="C363" s="26" t="s">
        <v>721</v>
      </c>
      <c r="D363" s="26" t="s">
        <v>6396</v>
      </c>
      <c r="E363" s="26" t="s">
        <v>6395</v>
      </c>
    </row>
    <row r="364" spans="1:5">
      <c r="A364" s="26" t="s">
        <v>6399</v>
      </c>
      <c r="B364" s="26" t="s">
        <v>724</v>
      </c>
      <c r="C364" s="26" t="s">
        <v>721</v>
      </c>
      <c r="D364" s="26" t="s">
        <v>6396</v>
      </c>
      <c r="E364" s="26" t="s">
        <v>6395</v>
      </c>
    </row>
    <row r="365" spans="1:5">
      <c r="A365" s="26" t="s">
        <v>6399</v>
      </c>
      <c r="B365" s="26" t="s">
        <v>3410</v>
      </c>
      <c r="C365" s="26" t="s">
        <v>7020</v>
      </c>
      <c r="D365" s="26" t="s">
        <v>6396</v>
      </c>
      <c r="E365" s="26" t="s">
        <v>6395</v>
      </c>
    </row>
    <row r="366" spans="1:5">
      <c r="A366" s="26" t="s">
        <v>6399</v>
      </c>
      <c r="B366" s="26" t="s">
        <v>2212</v>
      </c>
      <c r="C366" s="26" t="s">
        <v>7020</v>
      </c>
      <c r="D366" s="26" t="s">
        <v>6396</v>
      </c>
      <c r="E366" s="26" t="s">
        <v>6395</v>
      </c>
    </row>
    <row r="367" spans="1:5">
      <c r="A367" s="26" t="s">
        <v>6399</v>
      </c>
      <c r="B367" s="26" t="s">
        <v>7019</v>
      </c>
      <c r="C367" s="26" t="s">
        <v>884</v>
      </c>
      <c r="D367" s="26" t="s">
        <v>6396</v>
      </c>
      <c r="E367" s="26" t="s">
        <v>6395</v>
      </c>
    </row>
    <row r="368" spans="1:5">
      <c r="A368" s="26" t="s">
        <v>6399</v>
      </c>
      <c r="B368" s="26" t="s">
        <v>3141</v>
      </c>
      <c r="C368" s="26" t="s">
        <v>884</v>
      </c>
      <c r="D368" s="26" t="s">
        <v>6396</v>
      </c>
      <c r="E368" s="26" t="s">
        <v>6395</v>
      </c>
    </row>
    <row r="369" spans="1:5">
      <c r="A369" s="26" t="s">
        <v>6399</v>
      </c>
      <c r="B369" s="26" t="s">
        <v>7018</v>
      </c>
      <c r="C369" s="26" t="s">
        <v>884</v>
      </c>
      <c r="D369" s="26" t="s">
        <v>6396</v>
      </c>
      <c r="E369" s="26" t="s">
        <v>6395</v>
      </c>
    </row>
    <row r="370" spans="1:5">
      <c r="A370" s="26" t="s">
        <v>6399</v>
      </c>
      <c r="B370" s="26" t="s">
        <v>2368</v>
      </c>
      <c r="C370" s="26" t="s">
        <v>884</v>
      </c>
      <c r="D370" s="26" t="s">
        <v>6396</v>
      </c>
      <c r="E370" s="26" t="s">
        <v>6395</v>
      </c>
    </row>
    <row r="371" spans="1:5">
      <c r="A371" s="26" t="s">
        <v>6399</v>
      </c>
      <c r="B371" s="26" t="s">
        <v>2859</v>
      </c>
      <c r="C371" s="26" t="s">
        <v>7017</v>
      </c>
      <c r="D371" s="26" t="s">
        <v>6396</v>
      </c>
      <c r="E371" s="26" t="s">
        <v>6395</v>
      </c>
    </row>
    <row r="372" spans="1:5">
      <c r="A372" s="26" t="s">
        <v>6399</v>
      </c>
      <c r="B372" s="26" t="s">
        <v>7016</v>
      </c>
      <c r="C372" s="26" t="s">
        <v>7015</v>
      </c>
      <c r="D372" s="26" t="s">
        <v>6396</v>
      </c>
      <c r="E372" s="26" t="s">
        <v>6395</v>
      </c>
    </row>
    <row r="373" spans="1:5">
      <c r="A373" s="26" t="s">
        <v>6399</v>
      </c>
      <c r="B373" s="26" t="s">
        <v>7014</v>
      </c>
      <c r="C373" s="26" t="s">
        <v>3182</v>
      </c>
      <c r="D373" s="26" t="s">
        <v>6396</v>
      </c>
      <c r="E373" s="26" t="s">
        <v>6395</v>
      </c>
    </row>
    <row r="374" spans="1:5">
      <c r="A374" s="26" t="s">
        <v>6399</v>
      </c>
      <c r="B374" s="26" t="s">
        <v>7013</v>
      </c>
      <c r="C374" s="26" t="s">
        <v>1435</v>
      </c>
      <c r="D374" s="26" t="s">
        <v>6396</v>
      </c>
      <c r="E374" s="26" t="s">
        <v>6395</v>
      </c>
    </row>
    <row r="375" spans="1:5">
      <c r="A375" s="26" t="s">
        <v>6399</v>
      </c>
      <c r="B375" s="26" t="s">
        <v>7012</v>
      </c>
      <c r="C375" s="26" t="s">
        <v>1435</v>
      </c>
      <c r="D375" s="26" t="s">
        <v>6396</v>
      </c>
      <c r="E375" s="26" t="s">
        <v>6395</v>
      </c>
    </row>
    <row r="376" spans="1:5">
      <c r="A376" s="26" t="s">
        <v>6399</v>
      </c>
      <c r="B376" s="26" t="s">
        <v>1434</v>
      </c>
      <c r="C376" s="26" t="s">
        <v>1435</v>
      </c>
      <c r="D376" s="26" t="s">
        <v>6396</v>
      </c>
      <c r="E376" s="26" t="s">
        <v>6395</v>
      </c>
    </row>
    <row r="377" spans="1:5">
      <c r="A377" s="26" t="s">
        <v>6399</v>
      </c>
      <c r="B377" s="26" t="s">
        <v>7011</v>
      </c>
      <c r="C377" s="26" t="s">
        <v>1535</v>
      </c>
      <c r="D377" s="26" t="s">
        <v>6396</v>
      </c>
      <c r="E377" s="26" t="s">
        <v>6395</v>
      </c>
    </row>
    <row r="378" spans="1:5">
      <c r="A378" s="26" t="s">
        <v>6399</v>
      </c>
      <c r="B378" s="26" t="s">
        <v>7010</v>
      </c>
      <c r="C378" s="26" t="s">
        <v>7009</v>
      </c>
      <c r="D378" s="26" t="s">
        <v>6396</v>
      </c>
      <c r="E378" s="26" t="s">
        <v>6395</v>
      </c>
    </row>
    <row r="379" spans="1:5">
      <c r="A379" s="26" t="s">
        <v>6399</v>
      </c>
      <c r="B379" s="26" t="s">
        <v>7008</v>
      </c>
      <c r="C379" s="26" t="s">
        <v>7007</v>
      </c>
      <c r="D379" s="26" t="s">
        <v>6396</v>
      </c>
      <c r="E379" s="26" t="s">
        <v>6395</v>
      </c>
    </row>
    <row r="380" spans="1:5">
      <c r="A380" s="26" t="s">
        <v>6399</v>
      </c>
      <c r="B380" s="26" t="s">
        <v>7006</v>
      </c>
      <c r="C380" s="26" t="s">
        <v>7005</v>
      </c>
      <c r="D380" s="26" t="s">
        <v>6434</v>
      </c>
      <c r="E380" s="26" t="s">
        <v>6395</v>
      </c>
    </row>
    <row r="381" spans="1:5">
      <c r="A381" s="26" t="s">
        <v>6399</v>
      </c>
      <c r="B381" s="26" t="s">
        <v>1743</v>
      </c>
      <c r="C381" s="26" t="s">
        <v>1744</v>
      </c>
      <c r="D381" s="26" t="s">
        <v>6396</v>
      </c>
      <c r="E381" s="26" t="s">
        <v>6395</v>
      </c>
    </row>
    <row r="382" spans="1:5">
      <c r="A382" s="26" t="s">
        <v>6399</v>
      </c>
      <c r="B382" s="26" t="s">
        <v>7004</v>
      </c>
      <c r="C382" s="26" t="s">
        <v>7003</v>
      </c>
      <c r="D382" s="26" t="s">
        <v>6396</v>
      </c>
      <c r="E382" s="26" t="s">
        <v>6395</v>
      </c>
    </row>
    <row r="383" spans="1:5">
      <c r="A383" s="26" t="s">
        <v>6399</v>
      </c>
      <c r="B383" s="26" t="s">
        <v>7002</v>
      </c>
      <c r="C383" s="26" t="s">
        <v>6427</v>
      </c>
      <c r="D383" s="26" t="s">
        <v>6396</v>
      </c>
      <c r="E383" s="26" t="s">
        <v>6395</v>
      </c>
    </row>
    <row r="384" spans="1:5">
      <c r="A384" s="26" t="s">
        <v>6399</v>
      </c>
      <c r="B384" s="26" t="s">
        <v>7001</v>
      </c>
      <c r="C384" s="26" t="s">
        <v>6427</v>
      </c>
      <c r="D384" s="26" t="s">
        <v>6396</v>
      </c>
      <c r="E384" s="26" t="s">
        <v>6395</v>
      </c>
    </row>
    <row r="385" spans="1:5">
      <c r="A385" s="26" t="s">
        <v>6399</v>
      </c>
      <c r="B385" s="26" t="s">
        <v>7000</v>
      </c>
      <c r="C385" s="26" t="s">
        <v>6427</v>
      </c>
      <c r="D385" s="26" t="s">
        <v>6396</v>
      </c>
      <c r="E385" s="26" t="s">
        <v>6395</v>
      </c>
    </row>
    <row r="386" spans="1:5">
      <c r="A386" s="26" t="s">
        <v>6399</v>
      </c>
      <c r="B386" s="26" t="s">
        <v>6999</v>
      </c>
      <c r="C386" s="26" t="s">
        <v>6427</v>
      </c>
      <c r="D386" s="26" t="s">
        <v>6396</v>
      </c>
      <c r="E386" s="26" t="s">
        <v>6395</v>
      </c>
    </row>
    <row r="387" spans="1:5">
      <c r="A387" s="26" t="s">
        <v>6399</v>
      </c>
      <c r="B387" s="26" t="s">
        <v>6998</v>
      </c>
      <c r="C387" s="26" t="s">
        <v>6427</v>
      </c>
      <c r="D387" s="26" t="s">
        <v>6396</v>
      </c>
      <c r="E387" s="26" t="s">
        <v>6395</v>
      </c>
    </row>
    <row r="388" spans="1:5">
      <c r="A388" s="26" t="s">
        <v>6399</v>
      </c>
      <c r="B388" s="26" t="s">
        <v>6997</v>
      </c>
      <c r="C388" s="26" t="s">
        <v>6996</v>
      </c>
      <c r="D388" s="26" t="s">
        <v>6480</v>
      </c>
      <c r="E388" s="26" t="s">
        <v>6395</v>
      </c>
    </row>
    <row r="389" spans="1:5">
      <c r="A389" s="26" t="s">
        <v>6399</v>
      </c>
      <c r="B389" s="26" t="s">
        <v>6995</v>
      </c>
      <c r="C389" s="26" t="s">
        <v>6993</v>
      </c>
      <c r="D389" s="26" t="s">
        <v>6396</v>
      </c>
      <c r="E389" s="26" t="s">
        <v>6395</v>
      </c>
    </row>
    <row r="390" spans="1:5">
      <c r="A390" s="26" t="s">
        <v>6399</v>
      </c>
      <c r="B390" s="26" t="s">
        <v>6994</v>
      </c>
      <c r="C390" s="26" t="s">
        <v>6993</v>
      </c>
      <c r="D390" s="26" t="s">
        <v>6396</v>
      </c>
      <c r="E390" s="26" t="s">
        <v>6395</v>
      </c>
    </row>
    <row r="391" spans="1:5">
      <c r="A391" s="26" t="s">
        <v>6399</v>
      </c>
      <c r="B391" s="26" t="s">
        <v>6992</v>
      </c>
      <c r="C391" s="26" t="s">
        <v>3137</v>
      </c>
      <c r="D391" s="26" t="s">
        <v>6396</v>
      </c>
      <c r="E391" s="26" t="s">
        <v>6395</v>
      </c>
    </row>
    <row r="392" spans="1:5">
      <c r="A392" s="26" t="s">
        <v>6399</v>
      </c>
      <c r="B392" s="26" t="s">
        <v>6991</v>
      </c>
      <c r="C392" s="26" t="s">
        <v>3137</v>
      </c>
      <c r="D392" s="26" t="s">
        <v>6396</v>
      </c>
      <c r="E392" s="26" t="s">
        <v>6395</v>
      </c>
    </row>
    <row r="393" spans="1:5">
      <c r="A393" s="26" t="s">
        <v>6399</v>
      </c>
      <c r="B393" s="26" t="s">
        <v>6990</v>
      </c>
      <c r="C393" s="26" t="s">
        <v>3137</v>
      </c>
      <c r="D393" s="26" t="s">
        <v>6396</v>
      </c>
      <c r="E393" s="26" t="s">
        <v>6395</v>
      </c>
    </row>
    <row r="394" spans="1:5">
      <c r="A394" s="26" t="s">
        <v>6399</v>
      </c>
      <c r="B394" s="26" t="s">
        <v>6989</v>
      </c>
      <c r="C394" s="26" t="s">
        <v>3137</v>
      </c>
      <c r="D394" s="26" t="s">
        <v>6396</v>
      </c>
      <c r="E394" s="26" t="s">
        <v>6395</v>
      </c>
    </row>
    <row r="395" spans="1:5">
      <c r="A395" s="26" t="s">
        <v>6399</v>
      </c>
      <c r="B395" s="26" t="s">
        <v>6988</v>
      </c>
      <c r="C395" s="26" t="s">
        <v>6568</v>
      </c>
      <c r="D395" s="26" t="s">
        <v>6396</v>
      </c>
      <c r="E395" s="26" t="s">
        <v>6443</v>
      </c>
    </row>
    <row r="396" spans="1:5">
      <c r="A396" s="26" t="s">
        <v>6399</v>
      </c>
      <c r="B396" s="26" t="s">
        <v>6987</v>
      </c>
      <c r="C396" s="26" t="s">
        <v>6742</v>
      </c>
      <c r="D396" s="26" t="s">
        <v>6396</v>
      </c>
      <c r="E396" s="26" t="s">
        <v>6443</v>
      </c>
    </row>
    <row r="397" spans="1:5">
      <c r="A397" s="26" t="s">
        <v>6399</v>
      </c>
      <c r="B397" s="26" t="s">
        <v>6986</v>
      </c>
      <c r="C397" s="26" t="s">
        <v>6742</v>
      </c>
      <c r="D397" s="26" t="s">
        <v>6396</v>
      </c>
      <c r="E397" s="26" t="s">
        <v>6443</v>
      </c>
    </row>
    <row r="398" spans="1:5">
      <c r="A398" s="26" t="s">
        <v>6399</v>
      </c>
      <c r="B398" s="26" t="s">
        <v>6985</v>
      </c>
      <c r="C398" s="26" t="s">
        <v>6742</v>
      </c>
      <c r="D398" s="26" t="s">
        <v>6396</v>
      </c>
      <c r="E398" s="26" t="s">
        <v>6443</v>
      </c>
    </row>
    <row r="399" spans="1:5">
      <c r="A399" s="26" t="s">
        <v>6399</v>
      </c>
      <c r="B399" s="26" t="s">
        <v>1451</v>
      </c>
      <c r="C399" s="26" t="s">
        <v>6984</v>
      </c>
      <c r="D399" s="26" t="s">
        <v>6396</v>
      </c>
      <c r="E399" s="26" t="s">
        <v>6395</v>
      </c>
    </row>
    <row r="400" spans="1:5">
      <c r="A400" s="26" t="s">
        <v>6399</v>
      </c>
      <c r="B400" s="26" t="s">
        <v>6983</v>
      </c>
      <c r="C400" s="26" t="s">
        <v>6566</v>
      </c>
      <c r="D400" s="26" t="s">
        <v>6396</v>
      </c>
      <c r="E400" s="26" t="s">
        <v>6395</v>
      </c>
    </row>
    <row r="401" spans="1:5">
      <c r="A401" s="26" t="s">
        <v>6399</v>
      </c>
      <c r="B401" s="26" t="s">
        <v>6982</v>
      </c>
      <c r="C401" s="26" t="s">
        <v>6566</v>
      </c>
      <c r="D401" s="26" t="s">
        <v>6434</v>
      </c>
      <c r="E401" s="26" t="s">
        <v>6395</v>
      </c>
    </row>
    <row r="402" spans="1:5">
      <c r="A402" s="26" t="s">
        <v>6399</v>
      </c>
      <c r="B402" s="26" t="s">
        <v>6981</v>
      </c>
      <c r="C402" s="26" t="s">
        <v>6566</v>
      </c>
      <c r="D402" s="26" t="s">
        <v>6434</v>
      </c>
      <c r="E402" s="26" t="s">
        <v>6395</v>
      </c>
    </row>
    <row r="403" spans="1:5">
      <c r="A403" s="26" t="s">
        <v>6399</v>
      </c>
      <c r="B403" s="26" t="s">
        <v>6980</v>
      </c>
      <c r="C403" s="26" t="s">
        <v>6979</v>
      </c>
      <c r="D403" s="26" t="s">
        <v>6396</v>
      </c>
      <c r="E403" s="26" t="s">
        <v>6395</v>
      </c>
    </row>
    <row r="404" spans="1:5">
      <c r="A404" s="26" t="s">
        <v>6399</v>
      </c>
      <c r="B404" s="26" t="s">
        <v>6978</v>
      </c>
      <c r="C404" s="26" t="s">
        <v>27</v>
      </c>
      <c r="D404" s="26" t="s">
        <v>6396</v>
      </c>
      <c r="E404" s="26" t="s">
        <v>6395</v>
      </c>
    </row>
    <row r="405" spans="1:5">
      <c r="A405" s="26" t="s">
        <v>6399</v>
      </c>
      <c r="B405" s="26" t="s">
        <v>6977</v>
      </c>
      <c r="C405" s="26" t="s">
        <v>27</v>
      </c>
      <c r="D405" s="26" t="s">
        <v>6396</v>
      </c>
      <c r="E405" s="26" t="s">
        <v>6395</v>
      </c>
    </row>
    <row r="406" spans="1:5">
      <c r="A406" s="26" t="s">
        <v>6399</v>
      </c>
      <c r="B406" s="26" t="s">
        <v>6976</v>
      </c>
      <c r="C406" s="26" t="s">
        <v>27</v>
      </c>
      <c r="D406" s="26" t="s">
        <v>6396</v>
      </c>
      <c r="E406" s="26" t="s">
        <v>6395</v>
      </c>
    </row>
    <row r="407" spans="1:5">
      <c r="A407" s="26" t="s">
        <v>6399</v>
      </c>
      <c r="B407" s="26" t="s">
        <v>20</v>
      </c>
      <c r="C407" s="26" t="s">
        <v>27</v>
      </c>
      <c r="D407" s="26" t="s">
        <v>6396</v>
      </c>
      <c r="E407" s="26" t="s">
        <v>6395</v>
      </c>
    </row>
    <row r="408" spans="1:5">
      <c r="A408" s="26" t="s">
        <v>6399</v>
      </c>
      <c r="B408" s="26" t="s">
        <v>6975</v>
      </c>
      <c r="C408" s="26" t="s">
        <v>27</v>
      </c>
      <c r="D408" s="26" t="s">
        <v>6396</v>
      </c>
      <c r="E408" s="26" t="s">
        <v>6395</v>
      </c>
    </row>
    <row r="409" spans="1:5">
      <c r="A409" s="26" t="s">
        <v>6399</v>
      </c>
      <c r="B409" s="26" t="s">
        <v>2169</v>
      </c>
      <c r="C409" s="26" t="s">
        <v>27</v>
      </c>
      <c r="D409" s="26" t="s">
        <v>6396</v>
      </c>
      <c r="E409" s="26" t="s">
        <v>6395</v>
      </c>
    </row>
    <row r="410" spans="1:5">
      <c r="A410" s="26" t="s">
        <v>6399</v>
      </c>
      <c r="B410" s="26" t="s">
        <v>6974</v>
      </c>
      <c r="C410" s="26" t="s">
        <v>27</v>
      </c>
      <c r="D410" s="26" t="s">
        <v>6396</v>
      </c>
      <c r="E410" s="26" t="s">
        <v>6395</v>
      </c>
    </row>
    <row r="411" spans="1:5">
      <c r="A411" s="26" t="s">
        <v>6399</v>
      </c>
      <c r="B411" s="26" t="s">
        <v>6973</v>
      </c>
      <c r="C411" s="26" t="s">
        <v>6972</v>
      </c>
      <c r="D411" s="26" t="s">
        <v>6396</v>
      </c>
      <c r="E411" s="26" t="s">
        <v>6395</v>
      </c>
    </row>
    <row r="412" spans="1:5">
      <c r="A412" s="26" t="s">
        <v>6399</v>
      </c>
      <c r="B412" s="26" t="s">
        <v>6971</v>
      </c>
      <c r="C412" s="26" t="s">
        <v>6969</v>
      </c>
      <c r="D412" s="26" t="s">
        <v>6396</v>
      </c>
      <c r="E412" s="26" t="s">
        <v>6395</v>
      </c>
    </row>
    <row r="413" spans="1:5">
      <c r="A413" s="26" t="s">
        <v>6399</v>
      </c>
      <c r="B413" s="26" t="s">
        <v>6970</v>
      </c>
      <c r="C413" s="26" t="s">
        <v>6969</v>
      </c>
      <c r="D413" s="26" t="s">
        <v>6434</v>
      </c>
      <c r="E413" s="26" t="s">
        <v>6395</v>
      </c>
    </row>
    <row r="414" spans="1:5">
      <c r="A414" s="26" t="s">
        <v>6399</v>
      </c>
      <c r="B414" s="26" t="s">
        <v>6968</v>
      </c>
      <c r="C414" s="26" t="s">
        <v>976</v>
      </c>
      <c r="D414" s="26" t="s">
        <v>6396</v>
      </c>
      <c r="E414" s="26" t="s">
        <v>6395</v>
      </c>
    </row>
    <row r="415" spans="1:5">
      <c r="A415" s="26" t="s">
        <v>6399</v>
      </c>
      <c r="B415" s="26" t="s">
        <v>6967</v>
      </c>
      <c r="C415" s="26" t="s">
        <v>6560</v>
      </c>
      <c r="D415" s="26" t="s">
        <v>6396</v>
      </c>
      <c r="E415" s="26" t="s">
        <v>6395</v>
      </c>
    </row>
    <row r="416" spans="1:5">
      <c r="A416" s="26" t="s">
        <v>6399</v>
      </c>
      <c r="B416" s="26" t="s">
        <v>6966</v>
      </c>
      <c r="C416" s="26" t="s">
        <v>6560</v>
      </c>
      <c r="D416" s="26" t="s">
        <v>6396</v>
      </c>
      <c r="E416" s="26" t="s">
        <v>6395</v>
      </c>
    </row>
    <row r="417" spans="1:5">
      <c r="A417" s="26" t="s">
        <v>6399</v>
      </c>
      <c r="B417" s="26" t="s">
        <v>6965</v>
      </c>
      <c r="C417" s="26" t="s">
        <v>6560</v>
      </c>
      <c r="D417" s="26" t="s">
        <v>6396</v>
      </c>
      <c r="E417" s="26" t="s">
        <v>6395</v>
      </c>
    </row>
    <row r="418" spans="1:5">
      <c r="A418" s="26" t="s">
        <v>6399</v>
      </c>
      <c r="B418" s="26" t="s">
        <v>6964</v>
      </c>
      <c r="C418" s="26" t="s">
        <v>6560</v>
      </c>
      <c r="D418" s="26" t="s">
        <v>6396</v>
      </c>
      <c r="E418" s="26" t="s">
        <v>6395</v>
      </c>
    </row>
    <row r="419" spans="1:5">
      <c r="A419" s="26" t="s">
        <v>6399</v>
      </c>
      <c r="B419" s="26" t="s">
        <v>6963</v>
      </c>
      <c r="C419" s="26" t="s">
        <v>6560</v>
      </c>
      <c r="D419" s="26" t="s">
        <v>6396</v>
      </c>
      <c r="E419" s="26" t="s">
        <v>6395</v>
      </c>
    </row>
    <row r="420" spans="1:5">
      <c r="A420" s="26" t="s">
        <v>6399</v>
      </c>
      <c r="B420" s="26" t="s">
        <v>6962</v>
      </c>
      <c r="C420" s="26" t="s">
        <v>6560</v>
      </c>
      <c r="D420" s="26" t="s">
        <v>6396</v>
      </c>
      <c r="E420" s="26" t="s">
        <v>6395</v>
      </c>
    </row>
    <row r="421" spans="1:5">
      <c r="A421" s="26" t="s">
        <v>6399</v>
      </c>
      <c r="B421" s="26" t="s">
        <v>6961</v>
      </c>
      <c r="C421" s="26" t="s">
        <v>6560</v>
      </c>
      <c r="D421" s="26" t="s">
        <v>6396</v>
      </c>
      <c r="E421" s="26" t="s">
        <v>6395</v>
      </c>
    </row>
    <row r="422" spans="1:5">
      <c r="A422" s="26" t="s">
        <v>6399</v>
      </c>
      <c r="B422" s="26" t="s">
        <v>6960</v>
      </c>
      <c r="C422" s="26" t="s">
        <v>6560</v>
      </c>
      <c r="D422" s="26" t="s">
        <v>6396</v>
      </c>
      <c r="E422" s="26" t="s">
        <v>6395</v>
      </c>
    </row>
    <row r="423" spans="1:5">
      <c r="A423" s="26" t="s">
        <v>6399</v>
      </c>
      <c r="B423" s="26" t="s">
        <v>6959</v>
      </c>
      <c r="C423" s="26" t="s">
        <v>6560</v>
      </c>
      <c r="D423" s="26" t="s">
        <v>6396</v>
      </c>
      <c r="E423" s="26" t="s">
        <v>6395</v>
      </c>
    </row>
    <row r="424" spans="1:5">
      <c r="A424" s="26" t="s">
        <v>6399</v>
      </c>
      <c r="B424" s="26" t="s">
        <v>6958</v>
      </c>
      <c r="C424" s="26" t="s">
        <v>6560</v>
      </c>
      <c r="D424" s="26" t="s">
        <v>6396</v>
      </c>
      <c r="E424" s="26" t="s">
        <v>6395</v>
      </c>
    </row>
    <row r="425" spans="1:5">
      <c r="A425" s="26" t="s">
        <v>6399</v>
      </c>
      <c r="B425" s="26" t="s">
        <v>6957</v>
      </c>
      <c r="C425" s="26" t="s">
        <v>6560</v>
      </c>
      <c r="D425" s="26" t="s">
        <v>6396</v>
      </c>
      <c r="E425" s="26" t="s">
        <v>6395</v>
      </c>
    </row>
    <row r="426" spans="1:5">
      <c r="A426" s="26" t="s">
        <v>6399</v>
      </c>
      <c r="B426" s="26" t="s">
        <v>6956</v>
      </c>
      <c r="C426" s="26" t="s">
        <v>6560</v>
      </c>
      <c r="D426" s="26" t="s">
        <v>6396</v>
      </c>
      <c r="E426" s="26" t="s">
        <v>6395</v>
      </c>
    </row>
    <row r="427" spans="1:5">
      <c r="A427" s="26" t="s">
        <v>6399</v>
      </c>
      <c r="B427" s="26" t="s">
        <v>6955</v>
      </c>
      <c r="C427" s="26" t="s">
        <v>6560</v>
      </c>
      <c r="D427" s="26" t="s">
        <v>6396</v>
      </c>
      <c r="E427" s="26" t="s">
        <v>6395</v>
      </c>
    </row>
    <row r="428" spans="1:5">
      <c r="A428" s="26" t="s">
        <v>6399</v>
      </c>
      <c r="B428" s="26" t="s">
        <v>6954</v>
      </c>
      <c r="C428" s="26" t="s">
        <v>6950</v>
      </c>
      <c r="D428" s="26" t="s">
        <v>6396</v>
      </c>
      <c r="E428" s="26" t="s">
        <v>6395</v>
      </c>
    </row>
    <row r="429" spans="1:5">
      <c r="A429" s="26" t="s">
        <v>6399</v>
      </c>
      <c r="B429" s="26" t="s">
        <v>6953</v>
      </c>
      <c r="C429" s="26" t="s">
        <v>6950</v>
      </c>
      <c r="D429" s="26" t="s">
        <v>6396</v>
      </c>
      <c r="E429" s="26" t="s">
        <v>6395</v>
      </c>
    </row>
    <row r="430" spans="1:5">
      <c r="A430" s="26" t="s">
        <v>6399</v>
      </c>
      <c r="B430" s="26" t="s">
        <v>6952</v>
      </c>
      <c r="C430" s="26" t="s">
        <v>6950</v>
      </c>
      <c r="D430" s="26" t="s">
        <v>6396</v>
      </c>
      <c r="E430" s="26" t="s">
        <v>6395</v>
      </c>
    </row>
    <row r="431" spans="1:5">
      <c r="A431" s="26" t="s">
        <v>6399</v>
      </c>
      <c r="B431" s="26" t="s">
        <v>2921</v>
      </c>
      <c r="C431" s="26" t="s">
        <v>6950</v>
      </c>
      <c r="D431" s="26" t="s">
        <v>6396</v>
      </c>
      <c r="E431" s="26" t="s">
        <v>6395</v>
      </c>
    </row>
    <row r="432" spans="1:5">
      <c r="A432" s="26" t="s">
        <v>6399</v>
      </c>
      <c r="B432" s="26" t="s">
        <v>3242</v>
      </c>
      <c r="C432" s="26" t="s">
        <v>6950</v>
      </c>
      <c r="D432" s="26" t="s">
        <v>6396</v>
      </c>
      <c r="E432" s="26" t="s">
        <v>6395</v>
      </c>
    </row>
    <row r="433" spans="1:5">
      <c r="A433" s="26" t="s">
        <v>6399</v>
      </c>
      <c r="B433" s="26" t="s">
        <v>6951</v>
      </c>
      <c r="C433" s="26" t="s">
        <v>6950</v>
      </c>
      <c r="D433" s="26" t="s">
        <v>6396</v>
      </c>
      <c r="E433" s="26" t="s">
        <v>6395</v>
      </c>
    </row>
    <row r="434" spans="1:5">
      <c r="A434" s="26" t="s">
        <v>6399</v>
      </c>
      <c r="B434" s="26" t="s">
        <v>6949</v>
      </c>
      <c r="C434" s="26" t="s">
        <v>6948</v>
      </c>
      <c r="D434" s="26" t="s">
        <v>6396</v>
      </c>
      <c r="E434" s="26" t="s">
        <v>6395</v>
      </c>
    </row>
    <row r="435" spans="1:5">
      <c r="A435" s="26" t="s">
        <v>6399</v>
      </c>
      <c r="B435" s="26" t="s">
        <v>6947</v>
      </c>
      <c r="C435" s="26" t="s">
        <v>493</v>
      </c>
      <c r="D435" s="26" t="s">
        <v>6396</v>
      </c>
      <c r="E435" s="26" t="s">
        <v>6395</v>
      </c>
    </row>
    <row r="436" spans="1:5">
      <c r="A436" s="26" t="s">
        <v>6399</v>
      </c>
      <c r="B436" s="26" t="s">
        <v>6946</v>
      </c>
      <c r="C436" s="26" t="s">
        <v>493</v>
      </c>
      <c r="D436" s="26" t="s">
        <v>6396</v>
      </c>
      <c r="E436" s="26" t="s">
        <v>6395</v>
      </c>
    </row>
    <row r="437" spans="1:5">
      <c r="A437" s="26" t="s">
        <v>6399</v>
      </c>
      <c r="B437" s="26" t="s">
        <v>6945</v>
      </c>
      <c r="C437" s="26" t="s">
        <v>493</v>
      </c>
      <c r="D437" s="26" t="s">
        <v>6396</v>
      </c>
      <c r="E437" s="26" t="s">
        <v>6395</v>
      </c>
    </row>
    <row r="438" spans="1:5">
      <c r="A438" s="26" t="s">
        <v>6399</v>
      </c>
      <c r="B438" s="26" t="s">
        <v>6944</v>
      </c>
      <c r="C438" s="26" t="s">
        <v>6943</v>
      </c>
      <c r="D438" s="26" t="s">
        <v>6396</v>
      </c>
      <c r="E438" s="26" t="s">
        <v>6395</v>
      </c>
    </row>
    <row r="439" spans="1:5">
      <c r="A439" s="26" t="s">
        <v>6399</v>
      </c>
      <c r="B439" s="26" t="s">
        <v>6942</v>
      </c>
      <c r="C439" s="26" t="s">
        <v>6940</v>
      </c>
      <c r="D439" s="26" t="s">
        <v>6480</v>
      </c>
      <c r="E439" s="26" t="s">
        <v>6479</v>
      </c>
    </row>
    <row r="440" spans="1:5">
      <c r="A440" s="26" t="s">
        <v>6399</v>
      </c>
      <c r="B440" s="26" t="s">
        <v>6941</v>
      </c>
      <c r="C440" s="26" t="s">
        <v>6940</v>
      </c>
      <c r="D440" s="26" t="s">
        <v>6480</v>
      </c>
      <c r="E440" s="26" t="s">
        <v>6479</v>
      </c>
    </row>
    <row r="441" spans="1:5">
      <c r="A441" s="26" t="s">
        <v>6399</v>
      </c>
      <c r="B441" s="26" t="s">
        <v>6939</v>
      </c>
      <c r="C441" s="26" t="s">
        <v>6938</v>
      </c>
      <c r="D441" s="26" t="s">
        <v>6396</v>
      </c>
      <c r="E441" s="26" t="s">
        <v>6395</v>
      </c>
    </row>
    <row r="442" spans="1:5">
      <c r="A442" s="26" t="s">
        <v>6399</v>
      </c>
      <c r="B442" s="26" t="s">
        <v>6937</v>
      </c>
      <c r="C442" s="26" t="s">
        <v>6935</v>
      </c>
      <c r="D442" s="26" t="s">
        <v>6480</v>
      </c>
      <c r="E442" s="26" t="s">
        <v>6395</v>
      </c>
    </row>
    <row r="443" spans="1:5">
      <c r="A443" s="26" t="s">
        <v>6399</v>
      </c>
      <c r="B443" s="26" t="s">
        <v>6936</v>
      </c>
      <c r="C443" s="26" t="s">
        <v>6935</v>
      </c>
      <c r="D443" s="26" t="s">
        <v>6480</v>
      </c>
      <c r="E443" s="26" t="s">
        <v>6395</v>
      </c>
    </row>
    <row r="444" spans="1:5">
      <c r="A444" s="26" t="s">
        <v>6399</v>
      </c>
      <c r="B444" s="26" t="s">
        <v>6934</v>
      </c>
      <c r="C444" s="26" t="s">
        <v>643</v>
      </c>
      <c r="D444" s="26" t="s">
        <v>6396</v>
      </c>
      <c r="E444" s="26" t="s">
        <v>6395</v>
      </c>
    </row>
    <row r="445" spans="1:5">
      <c r="A445" s="26" t="s">
        <v>6399</v>
      </c>
      <c r="B445" s="26" t="s">
        <v>6933</v>
      </c>
      <c r="C445" s="26" t="s">
        <v>643</v>
      </c>
      <c r="D445" s="26" t="s">
        <v>6396</v>
      </c>
      <c r="E445" s="26" t="s">
        <v>6395</v>
      </c>
    </row>
    <row r="446" spans="1:5">
      <c r="A446" s="26" t="s">
        <v>6399</v>
      </c>
      <c r="B446" s="26" t="s">
        <v>2180</v>
      </c>
      <c r="C446" s="26" t="s">
        <v>643</v>
      </c>
      <c r="D446" s="26" t="s">
        <v>6396</v>
      </c>
      <c r="E446" s="26" t="s">
        <v>6395</v>
      </c>
    </row>
    <row r="447" spans="1:5">
      <c r="A447" s="26" t="s">
        <v>6399</v>
      </c>
      <c r="B447" s="26" t="s">
        <v>6932</v>
      </c>
      <c r="C447" s="26" t="s">
        <v>6555</v>
      </c>
      <c r="D447" s="26" t="s">
        <v>6396</v>
      </c>
      <c r="E447" s="26" t="s">
        <v>6395</v>
      </c>
    </row>
    <row r="448" spans="1:5">
      <c r="A448" s="26" t="s">
        <v>6399</v>
      </c>
      <c r="B448" s="26" t="s">
        <v>6931</v>
      </c>
      <c r="C448" s="26" t="s">
        <v>6555</v>
      </c>
      <c r="D448" s="26" t="s">
        <v>6434</v>
      </c>
      <c r="E448" s="26" t="s">
        <v>6395</v>
      </c>
    </row>
    <row r="449" spans="1:5">
      <c r="A449" s="26" t="s">
        <v>6399</v>
      </c>
      <c r="B449" s="26" t="s">
        <v>6930</v>
      </c>
      <c r="C449" s="26" t="s">
        <v>6555</v>
      </c>
      <c r="D449" s="26" t="s">
        <v>6434</v>
      </c>
      <c r="E449" s="26" t="s">
        <v>6395</v>
      </c>
    </row>
    <row r="450" spans="1:5">
      <c r="A450" s="26" t="s">
        <v>6399</v>
      </c>
      <c r="B450" s="26" t="s">
        <v>6929</v>
      </c>
      <c r="C450" s="26" t="s">
        <v>6555</v>
      </c>
      <c r="D450" s="26" t="s">
        <v>6434</v>
      </c>
      <c r="E450" s="26" t="s">
        <v>6395</v>
      </c>
    </row>
    <row r="451" spans="1:5">
      <c r="A451" s="26" t="s">
        <v>6399</v>
      </c>
      <c r="B451" s="26" t="s">
        <v>6928</v>
      </c>
      <c r="C451" s="26" t="s">
        <v>6924</v>
      </c>
      <c r="D451" s="26" t="s">
        <v>6396</v>
      </c>
      <c r="E451" s="26" t="s">
        <v>6395</v>
      </c>
    </row>
    <row r="452" spans="1:5">
      <c r="A452" s="26" t="s">
        <v>6399</v>
      </c>
      <c r="B452" s="26" t="s">
        <v>6927</v>
      </c>
      <c r="C452" s="26" t="s">
        <v>6924</v>
      </c>
      <c r="D452" s="26" t="s">
        <v>6396</v>
      </c>
      <c r="E452" s="26" t="s">
        <v>6395</v>
      </c>
    </row>
    <row r="453" spans="1:5">
      <c r="A453" s="26" t="s">
        <v>6399</v>
      </c>
      <c r="B453" s="26" t="s">
        <v>6926</v>
      </c>
      <c r="C453" s="26" t="s">
        <v>6924</v>
      </c>
      <c r="D453" s="26" t="s">
        <v>6396</v>
      </c>
      <c r="E453" s="26" t="s">
        <v>6395</v>
      </c>
    </row>
    <row r="454" spans="1:5">
      <c r="A454" s="26" t="s">
        <v>6399</v>
      </c>
      <c r="B454" s="26" t="s">
        <v>6925</v>
      </c>
      <c r="C454" s="26" t="s">
        <v>6924</v>
      </c>
      <c r="D454" s="26" t="s">
        <v>6396</v>
      </c>
      <c r="E454" s="26" t="s">
        <v>6395</v>
      </c>
    </row>
    <row r="455" spans="1:5">
      <c r="A455" s="26" t="s">
        <v>6399</v>
      </c>
      <c r="B455" s="26" t="s">
        <v>1643</v>
      </c>
      <c r="C455" s="26" t="s">
        <v>6552</v>
      </c>
      <c r="D455" s="26" t="s">
        <v>6396</v>
      </c>
      <c r="E455" s="26" t="s">
        <v>6395</v>
      </c>
    </row>
    <row r="456" spans="1:5">
      <c r="A456" s="26" t="s">
        <v>6399</v>
      </c>
      <c r="B456" s="26" t="s">
        <v>6923</v>
      </c>
      <c r="C456" s="26" t="s">
        <v>6552</v>
      </c>
      <c r="D456" s="26" t="s">
        <v>6396</v>
      </c>
      <c r="E456" s="26" t="s">
        <v>6395</v>
      </c>
    </row>
    <row r="457" spans="1:5">
      <c r="A457" s="26" t="s">
        <v>6399</v>
      </c>
      <c r="B457" s="26" t="s">
        <v>2739</v>
      </c>
      <c r="C457" s="26" t="s">
        <v>238</v>
      </c>
      <c r="D457" s="26" t="s">
        <v>6396</v>
      </c>
      <c r="E457" s="26" t="s">
        <v>6395</v>
      </c>
    </row>
    <row r="458" spans="1:5">
      <c r="A458" s="26" t="s">
        <v>6399</v>
      </c>
      <c r="B458" s="26" t="s">
        <v>6922</v>
      </c>
      <c r="C458" s="26" t="s">
        <v>6921</v>
      </c>
      <c r="D458" s="26" t="s">
        <v>6396</v>
      </c>
      <c r="E458" s="26" t="s">
        <v>6395</v>
      </c>
    </row>
    <row r="459" spans="1:5">
      <c r="A459" s="26" t="s">
        <v>6399</v>
      </c>
      <c r="B459" s="26" t="s">
        <v>2207</v>
      </c>
      <c r="C459" s="26" t="s">
        <v>2208</v>
      </c>
      <c r="D459" s="26" t="s">
        <v>6396</v>
      </c>
      <c r="E459" s="26" t="s">
        <v>6395</v>
      </c>
    </row>
    <row r="460" spans="1:5">
      <c r="A460" s="26" t="s">
        <v>6399</v>
      </c>
      <c r="B460" s="26" t="s">
        <v>6920</v>
      </c>
      <c r="C460" s="26" t="s">
        <v>2208</v>
      </c>
      <c r="D460" s="26" t="s">
        <v>6396</v>
      </c>
      <c r="E460" s="26" t="s">
        <v>6395</v>
      </c>
    </row>
    <row r="461" spans="1:5">
      <c r="A461" s="26" t="s">
        <v>6399</v>
      </c>
      <c r="B461" s="26" t="s">
        <v>6919</v>
      </c>
      <c r="C461" s="26" t="s">
        <v>3455</v>
      </c>
      <c r="D461" s="26" t="s">
        <v>6396</v>
      </c>
      <c r="E461" s="26" t="s">
        <v>6443</v>
      </c>
    </row>
    <row r="462" spans="1:5">
      <c r="A462" s="26" t="s">
        <v>6399</v>
      </c>
      <c r="B462" s="26" t="s">
        <v>6918</v>
      </c>
      <c r="C462" s="26" t="s">
        <v>6916</v>
      </c>
      <c r="D462" s="26" t="s">
        <v>6396</v>
      </c>
      <c r="E462" s="26" t="s">
        <v>6395</v>
      </c>
    </row>
    <row r="463" spans="1:5">
      <c r="A463" s="26" t="s">
        <v>6399</v>
      </c>
      <c r="B463" s="26" t="s">
        <v>6917</v>
      </c>
      <c r="C463" s="26" t="s">
        <v>6916</v>
      </c>
      <c r="D463" s="26" t="s">
        <v>6396</v>
      </c>
      <c r="E463" s="26" t="s">
        <v>6395</v>
      </c>
    </row>
    <row r="464" spans="1:5">
      <c r="A464" s="26" t="s">
        <v>6399</v>
      </c>
      <c r="B464" s="26" t="s">
        <v>6915</v>
      </c>
      <c r="C464" s="26" t="s">
        <v>6545</v>
      </c>
      <c r="D464" s="26" t="s">
        <v>6396</v>
      </c>
      <c r="E464" s="26" t="s">
        <v>6395</v>
      </c>
    </row>
    <row r="465" spans="1:5">
      <c r="A465" s="26" t="s">
        <v>6399</v>
      </c>
      <c r="B465" s="26" t="s">
        <v>6914</v>
      </c>
      <c r="C465" s="26" t="s">
        <v>6545</v>
      </c>
      <c r="D465" s="26" t="s">
        <v>6396</v>
      </c>
      <c r="E465" s="26" t="s">
        <v>6395</v>
      </c>
    </row>
    <row r="466" spans="1:5">
      <c r="A466" s="26" t="s">
        <v>6399</v>
      </c>
      <c r="B466" s="26" t="s">
        <v>6913</v>
      </c>
      <c r="C466" s="26" t="s">
        <v>6545</v>
      </c>
      <c r="D466" s="26" t="s">
        <v>6396</v>
      </c>
      <c r="E466" s="26" t="s">
        <v>6395</v>
      </c>
    </row>
    <row r="467" spans="1:5">
      <c r="A467" s="26" t="s">
        <v>6399</v>
      </c>
      <c r="B467" s="26" t="s">
        <v>6912</v>
      </c>
      <c r="C467" s="26" t="s">
        <v>6545</v>
      </c>
      <c r="D467" s="26" t="s">
        <v>6396</v>
      </c>
      <c r="E467" s="26" t="s">
        <v>6395</v>
      </c>
    </row>
    <row r="468" spans="1:5">
      <c r="A468" s="26" t="s">
        <v>6399</v>
      </c>
      <c r="B468" s="26" t="s">
        <v>6911</v>
      </c>
      <c r="C468" s="26" t="s">
        <v>6910</v>
      </c>
      <c r="D468" s="26" t="s">
        <v>6396</v>
      </c>
      <c r="E468" s="26" t="s">
        <v>6395</v>
      </c>
    </row>
    <row r="469" spans="1:5">
      <c r="A469" s="26" t="s">
        <v>6399</v>
      </c>
      <c r="B469" s="26" t="s">
        <v>6909</v>
      </c>
      <c r="C469" s="26" t="s">
        <v>6908</v>
      </c>
      <c r="D469" s="26" t="s">
        <v>6396</v>
      </c>
      <c r="E469" s="26" t="s">
        <v>6395</v>
      </c>
    </row>
    <row r="470" spans="1:5">
      <c r="A470" s="26" t="s">
        <v>6399</v>
      </c>
      <c r="B470" s="26" t="s">
        <v>6907</v>
      </c>
      <c r="C470" s="26" t="s">
        <v>6906</v>
      </c>
      <c r="D470" s="26" t="s">
        <v>6396</v>
      </c>
      <c r="E470" s="26" t="s">
        <v>6395</v>
      </c>
    </row>
    <row r="471" spans="1:5">
      <c r="A471" s="26" t="s">
        <v>6399</v>
      </c>
      <c r="B471" s="26" t="s">
        <v>6905</v>
      </c>
      <c r="C471" s="26" t="s">
        <v>6904</v>
      </c>
      <c r="D471" s="26" t="s">
        <v>6396</v>
      </c>
      <c r="E471" s="26" t="s">
        <v>6395</v>
      </c>
    </row>
    <row r="472" spans="1:5">
      <c r="A472" s="26" t="s">
        <v>6399</v>
      </c>
      <c r="B472" s="26" t="s">
        <v>1824</v>
      </c>
      <c r="C472" s="26" t="s">
        <v>466</v>
      </c>
      <c r="D472" s="26" t="s">
        <v>6396</v>
      </c>
      <c r="E472" s="26" t="s">
        <v>6395</v>
      </c>
    </row>
    <row r="473" spans="1:5">
      <c r="A473" s="26" t="s">
        <v>6399</v>
      </c>
      <c r="B473" s="26" t="s">
        <v>6903</v>
      </c>
      <c r="C473" s="26" t="s">
        <v>466</v>
      </c>
      <c r="D473" s="26" t="s">
        <v>6396</v>
      </c>
      <c r="E473" s="26" t="s">
        <v>6395</v>
      </c>
    </row>
    <row r="474" spans="1:5">
      <c r="A474" s="26" t="s">
        <v>6399</v>
      </c>
      <c r="B474" s="26" t="s">
        <v>1317</v>
      </c>
      <c r="C474" s="26" t="s">
        <v>142</v>
      </c>
      <c r="D474" s="26" t="s">
        <v>6396</v>
      </c>
      <c r="E474" s="26" t="s">
        <v>6395</v>
      </c>
    </row>
    <row r="475" spans="1:5">
      <c r="A475" s="26" t="s">
        <v>6399</v>
      </c>
      <c r="B475" s="26" t="s">
        <v>6902</v>
      </c>
      <c r="C475" s="26" t="s">
        <v>142</v>
      </c>
      <c r="D475" s="26" t="s">
        <v>6396</v>
      </c>
      <c r="E475" s="26" t="s">
        <v>6395</v>
      </c>
    </row>
    <row r="476" spans="1:5">
      <c r="A476" s="26" t="s">
        <v>6399</v>
      </c>
      <c r="B476" s="26" t="s">
        <v>6901</v>
      </c>
      <c r="C476" s="26" t="s">
        <v>142</v>
      </c>
      <c r="D476" s="26" t="s">
        <v>6396</v>
      </c>
      <c r="E476" s="26" t="s">
        <v>6395</v>
      </c>
    </row>
    <row r="477" spans="1:5">
      <c r="A477" s="26" t="s">
        <v>6399</v>
      </c>
      <c r="B477" s="26" t="s">
        <v>6900</v>
      </c>
      <c r="C477" s="26" t="s">
        <v>142</v>
      </c>
      <c r="D477" s="26" t="s">
        <v>6396</v>
      </c>
      <c r="E477" s="26" t="s">
        <v>6395</v>
      </c>
    </row>
    <row r="478" spans="1:5">
      <c r="A478" s="26" t="s">
        <v>6399</v>
      </c>
      <c r="B478" s="26" t="s">
        <v>1320</v>
      </c>
      <c r="C478" s="26" t="s">
        <v>142</v>
      </c>
      <c r="D478" s="26" t="s">
        <v>6396</v>
      </c>
      <c r="E478" s="26" t="s">
        <v>6395</v>
      </c>
    </row>
    <row r="479" spans="1:5">
      <c r="A479" s="26" t="s">
        <v>6399</v>
      </c>
      <c r="B479" s="26" t="s">
        <v>2959</v>
      </c>
      <c r="C479" s="26" t="s">
        <v>360</v>
      </c>
      <c r="D479" s="26" t="s">
        <v>6396</v>
      </c>
      <c r="E479" s="26" t="s">
        <v>6395</v>
      </c>
    </row>
    <row r="480" spans="1:5">
      <c r="A480" s="26" t="s">
        <v>6399</v>
      </c>
      <c r="B480" s="26" t="s">
        <v>1649</v>
      </c>
      <c r="C480" s="26" t="s">
        <v>360</v>
      </c>
      <c r="D480" s="26" t="s">
        <v>6396</v>
      </c>
      <c r="E480" s="26" t="s">
        <v>6395</v>
      </c>
    </row>
    <row r="481" spans="1:5">
      <c r="A481" s="26" t="s">
        <v>6399</v>
      </c>
      <c r="B481" s="26" t="s">
        <v>2072</v>
      </c>
      <c r="C481" s="26" t="s">
        <v>360</v>
      </c>
      <c r="D481" s="26" t="s">
        <v>6396</v>
      </c>
      <c r="E481" s="26" t="s">
        <v>6395</v>
      </c>
    </row>
    <row r="482" spans="1:5">
      <c r="A482" s="26" t="s">
        <v>6399</v>
      </c>
      <c r="B482" s="26" t="s">
        <v>6899</v>
      </c>
      <c r="C482" s="26" t="s">
        <v>360</v>
      </c>
      <c r="D482" s="26" t="s">
        <v>6396</v>
      </c>
      <c r="E482" s="26" t="s">
        <v>6395</v>
      </c>
    </row>
    <row r="483" spans="1:5">
      <c r="A483" s="26" t="s">
        <v>6399</v>
      </c>
      <c r="B483" s="26" t="s">
        <v>6898</v>
      </c>
      <c r="C483" s="26" t="s">
        <v>360</v>
      </c>
      <c r="D483" s="26" t="s">
        <v>6396</v>
      </c>
      <c r="E483" s="26" t="s">
        <v>6395</v>
      </c>
    </row>
    <row r="484" spans="1:5">
      <c r="A484" s="26" t="s">
        <v>6399</v>
      </c>
      <c r="B484" s="26" t="s">
        <v>6897</v>
      </c>
      <c r="C484" s="26" t="s">
        <v>360</v>
      </c>
      <c r="D484" s="26" t="s">
        <v>6396</v>
      </c>
      <c r="E484" s="26" t="s">
        <v>6395</v>
      </c>
    </row>
    <row r="485" spans="1:5">
      <c r="A485" s="26" t="s">
        <v>6399</v>
      </c>
      <c r="B485" s="26" t="s">
        <v>2478</v>
      </c>
      <c r="C485" s="26" t="s">
        <v>6896</v>
      </c>
      <c r="D485" s="26" t="s">
        <v>6396</v>
      </c>
      <c r="E485" s="26" t="s">
        <v>6395</v>
      </c>
    </row>
    <row r="486" spans="1:5">
      <c r="A486" s="26" t="s">
        <v>6399</v>
      </c>
      <c r="B486" s="26" t="s">
        <v>6814</v>
      </c>
      <c r="C486" s="26" t="s">
        <v>6892</v>
      </c>
      <c r="D486" s="26" t="s">
        <v>6396</v>
      </c>
      <c r="E486" s="26" t="s">
        <v>6395</v>
      </c>
    </row>
    <row r="487" spans="1:5">
      <c r="A487" s="26" t="s">
        <v>6399</v>
      </c>
      <c r="B487" s="26" t="s">
        <v>6895</v>
      </c>
      <c r="C487" s="26" t="s">
        <v>6892</v>
      </c>
      <c r="D487" s="26" t="s">
        <v>6434</v>
      </c>
      <c r="E487" s="26" t="s">
        <v>6395</v>
      </c>
    </row>
    <row r="488" spans="1:5">
      <c r="A488" s="26" t="s">
        <v>6399</v>
      </c>
      <c r="B488" s="26" t="s">
        <v>6894</v>
      </c>
      <c r="C488" s="26" t="s">
        <v>6892</v>
      </c>
      <c r="D488" s="26" t="s">
        <v>6434</v>
      </c>
      <c r="E488" s="26" t="s">
        <v>6395</v>
      </c>
    </row>
    <row r="489" spans="1:5">
      <c r="A489" s="26" t="s">
        <v>6399</v>
      </c>
      <c r="B489" s="26" t="s">
        <v>6893</v>
      </c>
      <c r="C489" s="26" t="s">
        <v>6892</v>
      </c>
      <c r="D489" s="26" t="s">
        <v>6434</v>
      </c>
      <c r="E489" s="26" t="s">
        <v>6395</v>
      </c>
    </row>
    <row r="490" spans="1:5">
      <c r="A490" s="26" t="s">
        <v>6399</v>
      </c>
      <c r="B490" s="26" t="s">
        <v>6891</v>
      </c>
      <c r="C490" s="26" t="s">
        <v>541</v>
      </c>
      <c r="D490" s="26" t="s">
        <v>6396</v>
      </c>
      <c r="E490" s="26" t="s">
        <v>6395</v>
      </c>
    </row>
    <row r="491" spans="1:5">
      <c r="A491" s="26" t="s">
        <v>6399</v>
      </c>
      <c r="B491" s="26" t="s">
        <v>6890</v>
      </c>
      <c r="C491" s="26" t="s">
        <v>541</v>
      </c>
      <c r="D491" s="26" t="s">
        <v>6396</v>
      </c>
      <c r="E491" s="26" t="s">
        <v>6395</v>
      </c>
    </row>
    <row r="492" spans="1:5">
      <c r="A492" s="26" t="s">
        <v>6399</v>
      </c>
      <c r="B492" s="26" t="s">
        <v>6889</v>
      </c>
      <c r="C492" s="26" t="s">
        <v>541</v>
      </c>
      <c r="D492" s="26" t="s">
        <v>6396</v>
      </c>
      <c r="E492" s="26" t="s">
        <v>6395</v>
      </c>
    </row>
    <row r="493" spans="1:5">
      <c r="A493" s="26" t="s">
        <v>6399</v>
      </c>
      <c r="B493" s="26" t="s">
        <v>6888</v>
      </c>
      <c r="C493" s="26" t="s">
        <v>541</v>
      </c>
      <c r="D493" s="26" t="s">
        <v>6396</v>
      </c>
      <c r="E493" s="26" t="s">
        <v>6395</v>
      </c>
    </row>
    <row r="494" spans="1:5">
      <c r="A494" s="26" t="s">
        <v>6399</v>
      </c>
      <c r="B494" s="26" t="s">
        <v>6887</v>
      </c>
      <c r="C494" s="26" t="s">
        <v>2198</v>
      </c>
      <c r="D494" s="26" t="s">
        <v>6396</v>
      </c>
      <c r="E494" s="26" t="s">
        <v>6395</v>
      </c>
    </row>
    <row r="495" spans="1:5">
      <c r="A495" s="26" t="s">
        <v>6399</v>
      </c>
      <c r="B495" s="26" t="s">
        <v>2559</v>
      </c>
      <c r="C495" s="26" t="s">
        <v>6886</v>
      </c>
      <c r="D495" s="26" t="s">
        <v>6396</v>
      </c>
      <c r="E495" s="26" t="s">
        <v>6395</v>
      </c>
    </row>
    <row r="496" spans="1:5">
      <c r="A496" s="26" t="s">
        <v>6399</v>
      </c>
      <c r="B496" s="26" t="s">
        <v>6885</v>
      </c>
      <c r="C496" s="26" t="s">
        <v>776</v>
      </c>
      <c r="D496" s="26" t="s">
        <v>6396</v>
      </c>
      <c r="E496" s="26" t="s">
        <v>6395</v>
      </c>
    </row>
    <row r="497" spans="1:5">
      <c r="A497" s="26" t="s">
        <v>6399</v>
      </c>
      <c r="B497" s="26" t="s">
        <v>6884</v>
      </c>
      <c r="C497" s="26" t="s">
        <v>776</v>
      </c>
      <c r="D497" s="26" t="s">
        <v>6396</v>
      </c>
      <c r="E497" s="26" t="s">
        <v>6395</v>
      </c>
    </row>
    <row r="498" spans="1:5">
      <c r="A498" s="26" t="s">
        <v>6399</v>
      </c>
      <c r="B498" s="26" t="s">
        <v>2890</v>
      </c>
      <c r="C498" s="26" t="s">
        <v>776</v>
      </c>
      <c r="D498" s="26" t="s">
        <v>6396</v>
      </c>
      <c r="E498" s="26" t="s">
        <v>6395</v>
      </c>
    </row>
    <row r="499" spans="1:5">
      <c r="A499" s="26" t="s">
        <v>6399</v>
      </c>
      <c r="B499" s="26" t="s">
        <v>6883</v>
      </c>
      <c r="C499" s="26" t="s">
        <v>776</v>
      </c>
      <c r="D499" s="26" t="s">
        <v>6396</v>
      </c>
      <c r="E499" s="26" t="s">
        <v>6395</v>
      </c>
    </row>
    <row r="500" spans="1:5">
      <c r="A500" s="26" t="s">
        <v>6399</v>
      </c>
      <c r="B500" s="26" t="s">
        <v>6882</v>
      </c>
      <c r="C500" s="26" t="s">
        <v>6524</v>
      </c>
      <c r="D500" s="26" t="s">
        <v>6434</v>
      </c>
      <c r="E500" s="26" t="s">
        <v>6395</v>
      </c>
    </row>
    <row r="501" spans="1:5">
      <c r="A501" s="26" t="s">
        <v>6399</v>
      </c>
      <c r="B501" s="26" t="s">
        <v>6881</v>
      </c>
      <c r="C501" s="26" t="s">
        <v>509</v>
      </c>
      <c r="D501" s="26" t="s">
        <v>6396</v>
      </c>
      <c r="E501" s="26" t="s">
        <v>6395</v>
      </c>
    </row>
    <row r="502" spans="1:5">
      <c r="A502" s="26" t="s">
        <v>6399</v>
      </c>
      <c r="B502" s="26" t="s">
        <v>4603</v>
      </c>
      <c r="C502" s="26" t="s">
        <v>509</v>
      </c>
      <c r="D502" s="26" t="s">
        <v>6396</v>
      </c>
      <c r="E502" s="26" t="s">
        <v>6395</v>
      </c>
    </row>
    <row r="503" spans="1:5">
      <c r="A503" s="26" t="s">
        <v>6399</v>
      </c>
      <c r="B503" s="26" t="s">
        <v>2246</v>
      </c>
      <c r="C503" s="26" t="s">
        <v>509</v>
      </c>
      <c r="D503" s="26" t="s">
        <v>6396</v>
      </c>
      <c r="E503" s="26" t="s">
        <v>6395</v>
      </c>
    </row>
    <row r="504" spans="1:5">
      <c r="A504" s="26" t="s">
        <v>6399</v>
      </c>
      <c r="B504" s="26" t="s">
        <v>1305</v>
      </c>
      <c r="C504" s="26" t="s">
        <v>1306</v>
      </c>
      <c r="D504" s="26" t="s">
        <v>6396</v>
      </c>
      <c r="E504" s="26" t="s">
        <v>6395</v>
      </c>
    </row>
    <row r="505" spans="1:5">
      <c r="A505" s="26" t="s">
        <v>6399</v>
      </c>
      <c r="B505" s="26" t="s">
        <v>767</v>
      </c>
      <c r="C505" s="26" t="s">
        <v>660</v>
      </c>
      <c r="D505" s="26" t="s">
        <v>6396</v>
      </c>
      <c r="E505" s="26" t="s">
        <v>6395</v>
      </c>
    </row>
    <row r="506" spans="1:5">
      <c r="A506" s="26" t="s">
        <v>6399</v>
      </c>
      <c r="B506" s="26" t="s">
        <v>6880</v>
      </c>
      <c r="C506" s="26" t="s">
        <v>660</v>
      </c>
      <c r="D506" s="26" t="s">
        <v>6396</v>
      </c>
      <c r="E506" s="26" t="s">
        <v>6395</v>
      </c>
    </row>
    <row r="507" spans="1:5">
      <c r="A507" s="26" t="s">
        <v>6399</v>
      </c>
      <c r="B507" s="26" t="s">
        <v>6879</v>
      </c>
      <c r="C507" s="26" t="s">
        <v>660</v>
      </c>
      <c r="D507" s="26" t="s">
        <v>6396</v>
      </c>
      <c r="E507" s="26" t="s">
        <v>6395</v>
      </c>
    </row>
    <row r="508" spans="1:5">
      <c r="A508" s="26" t="s">
        <v>6399</v>
      </c>
      <c r="B508" s="26" t="s">
        <v>6878</v>
      </c>
      <c r="C508" s="26" t="s">
        <v>660</v>
      </c>
      <c r="D508" s="26" t="s">
        <v>6396</v>
      </c>
      <c r="E508" s="26" t="s">
        <v>6395</v>
      </c>
    </row>
    <row r="509" spans="1:5">
      <c r="A509" s="26" t="s">
        <v>6399</v>
      </c>
      <c r="B509" s="26" t="s">
        <v>2322</v>
      </c>
      <c r="C509" s="26" t="s">
        <v>2323</v>
      </c>
      <c r="D509" s="26" t="s">
        <v>6396</v>
      </c>
      <c r="E509" s="26" t="s">
        <v>6395</v>
      </c>
    </row>
    <row r="510" spans="1:5">
      <c r="A510" s="26" t="s">
        <v>6399</v>
      </c>
      <c r="B510" s="26" t="s">
        <v>6877</v>
      </c>
      <c r="C510" s="26" t="s">
        <v>2323</v>
      </c>
      <c r="D510" s="26" t="s">
        <v>6396</v>
      </c>
      <c r="E510" s="26" t="s">
        <v>6395</v>
      </c>
    </row>
    <row r="511" spans="1:5">
      <c r="A511" s="26" t="s">
        <v>6399</v>
      </c>
      <c r="B511" s="26" t="s">
        <v>6876</v>
      </c>
      <c r="C511" s="26" t="s">
        <v>2272</v>
      </c>
      <c r="D511" s="26" t="s">
        <v>6434</v>
      </c>
      <c r="E511" s="26" t="s">
        <v>6395</v>
      </c>
    </row>
    <row r="512" spans="1:5">
      <c r="A512" s="26" t="s">
        <v>6399</v>
      </c>
      <c r="B512" s="26" t="s">
        <v>1082</v>
      </c>
      <c r="C512" s="26" t="s">
        <v>1083</v>
      </c>
      <c r="D512" s="26" t="s">
        <v>6396</v>
      </c>
      <c r="E512" s="26" t="s">
        <v>6395</v>
      </c>
    </row>
    <row r="513" spans="1:5">
      <c r="A513" s="26" t="s">
        <v>6399</v>
      </c>
      <c r="B513" s="26" t="s">
        <v>6875</v>
      </c>
      <c r="C513" s="26" t="s">
        <v>6872</v>
      </c>
      <c r="D513" s="26" t="s">
        <v>6396</v>
      </c>
      <c r="E513" s="26" t="s">
        <v>6395</v>
      </c>
    </row>
    <row r="514" spans="1:5">
      <c r="A514" s="26" t="s">
        <v>6399</v>
      </c>
      <c r="B514" s="26" t="s">
        <v>6874</v>
      </c>
      <c r="C514" s="26" t="s">
        <v>6872</v>
      </c>
      <c r="D514" s="26" t="s">
        <v>6396</v>
      </c>
      <c r="E514" s="26" t="s">
        <v>6871</v>
      </c>
    </row>
    <row r="515" spans="1:5">
      <c r="A515" s="26" t="s">
        <v>6399</v>
      </c>
      <c r="B515" s="26" t="s">
        <v>6873</v>
      </c>
      <c r="C515" s="26" t="s">
        <v>6872</v>
      </c>
      <c r="D515" s="26" t="s">
        <v>6396</v>
      </c>
      <c r="E515" s="26" t="s">
        <v>6871</v>
      </c>
    </row>
    <row r="516" spans="1:5">
      <c r="A516" s="26" t="s">
        <v>6399</v>
      </c>
      <c r="B516" s="26" t="s">
        <v>2533</v>
      </c>
      <c r="C516" s="26" t="s">
        <v>6870</v>
      </c>
      <c r="D516" s="26" t="s">
        <v>6396</v>
      </c>
      <c r="E516" s="26" t="s">
        <v>6395</v>
      </c>
    </row>
    <row r="517" spans="1:5">
      <c r="A517" s="26" t="s">
        <v>6399</v>
      </c>
      <c r="B517" s="26" t="s">
        <v>6869</v>
      </c>
      <c r="C517" s="26" t="s">
        <v>6868</v>
      </c>
      <c r="D517" s="26" t="s">
        <v>6489</v>
      </c>
      <c r="E517" s="26" t="s">
        <v>6395</v>
      </c>
    </row>
    <row r="518" spans="1:5">
      <c r="A518" s="26" t="s">
        <v>6399</v>
      </c>
      <c r="B518" s="26" t="s">
        <v>6867</v>
      </c>
      <c r="C518" s="26" t="s">
        <v>6866</v>
      </c>
      <c r="D518" s="26" t="s">
        <v>6396</v>
      </c>
      <c r="E518" s="26" t="s">
        <v>6395</v>
      </c>
    </row>
    <row r="519" spans="1:5">
      <c r="A519" s="26" t="s">
        <v>6399</v>
      </c>
      <c r="B519" s="26" t="s">
        <v>6865</v>
      </c>
      <c r="C519" s="26" t="s">
        <v>6864</v>
      </c>
      <c r="D519" s="26" t="s">
        <v>6480</v>
      </c>
      <c r="E519" s="26" t="s">
        <v>6395</v>
      </c>
    </row>
    <row r="520" spans="1:5">
      <c r="A520" s="26" t="s">
        <v>6399</v>
      </c>
      <c r="B520" s="26" t="s">
        <v>6863</v>
      </c>
      <c r="C520" s="26" t="s">
        <v>6862</v>
      </c>
      <c r="D520" s="26" t="s">
        <v>6434</v>
      </c>
      <c r="E520" s="26" t="s">
        <v>6395</v>
      </c>
    </row>
    <row r="521" spans="1:5">
      <c r="A521" s="26" t="s">
        <v>6399</v>
      </c>
      <c r="B521" s="26" t="s">
        <v>6861</v>
      </c>
      <c r="C521" s="26" t="s">
        <v>6860</v>
      </c>
      <c r="D521" s="26" t="s">
        <v>6396</v>
      </c>
      <c r="E521" s="26" t="s">
        <v>6395</v>
      </c>
    </row>
    <row r="522" spans="1:5">
      <c r="A522" s="26" t="s">
        <v>6399</v>
      </c>
      <c r="B522" s="26" t="s">
        <v>6859</v>
      </c>
      <c r="C522" s="26" t="s">
        <v>6857</v>
      </c>
      <c r="D522" s="26" t="s">
        <v>6434</v>
      </c>
      <c r="E522" s="26" t="s">
        <v>6395</v>
      </c>
    </row>
    <row r="523" spans="1:5">
      <c r="A523" s="26" t="s">
        <v>6399</v>
      </c>
      <c r="B523" s="26" t="s">
        <v>6858</v>
      </c>
      <c r="C523" s="26" t="s">
        <v>6857</v>
      </c>
      <c r="D523" s="26" t="s">
        <v>6434</v>
      </c>
      <c r="E523" s="26" t="s">
        <v>6395</v>
      </c>
    </row>
    <row r="524" spans="1:5">
      <c r="A524" s="26" t="s">
        <v>6399</v>
      </c>
      <c r="B524" s="26" t="s">
        <v>6856</v>
      </c>
      <c r="C524" s="26" t="s">
        <v>6855</v>
      </c>
      <c r="D524" s="26" t="s">
        <v>6396</v>
      </c>
      <c r="E524" s="26" t="s">
        <v>6395</v>
      </c>
    </row>
    <row r="525" spans="1:5">
      <c r="A525" s="26" t="s">
        <v>6399</v>
      </c>
      <c r="B525" s="26" t="s">
        <v>6854</v>
      </c>
      <c r="C525" s="26" t="s">
        <v>154</v>
      </c>
      <c r="D525" s="26" t="s">
        <v>6396</v>
      </c>
      <c r="E525" s="26" t="s">
        <v>6395</v>
      </c>
    </row>
    <row r="526" spans="1:5">
      <c r="A526" s="26" t="s">
        <v>6399</v>
      </c>
      <c r="B526" s="26" t="s">
        <v>255</v>
      </c>
      <c r="C526" s="26" t="s">
        <v>154</v>
      </c>
      <c r="D526" s="26" t="s">
        <v>6396</v>
      </c>
      <c r="E526" s="26" t="s">
        <v>6395</v>
      </c>
    </row>
    <row r="527" spans="1:5">
      <c r="A527" s="26" t="s">
        <v>6399</v>
      </c>
      <c r="B527" s="26" t="s">
        <v>375</v>
      </c>
      <c r="C527" s="26" t="s">
        <v>154</v>
      </c>
      <c r="D527" s="26" t="s">
        <v>6396</v>
      </c>
      <c r="E527" s="26" t="s">
        <v>6395</v>
      </c>
    </row>
    <row r="528" spans="1:5">
      <c r="A528" s="26" t="s">
        <v>6399</v>
      </c>
      <c r="B528" s="26" t="s">
        <v>760</v>
      </c>
      <c r="C528" s="26" t="s">
        <v>154</v>
      </c>
      <c r="D528" s="26" t="s">
        <v>6396</v>
      </c>
      <c r="E528" s="26" t="s">
        <v>6395</v>
      </c>
    </row>
    <row r="529" spans="1:5">
      <c r="A529" s="26" t="s">
        <v>6399</v>
      </c>
      <c r="B529" s="26" t="s">
        <v>1143</v>
      </c>
      <c r="C529" s="26" t="s">
        <v>154</v>
      </c>
      <c r="D529" s="26" t="s">
        <v>6396</v>
      </c>
      <c r="E529" s="26" t="s">
        <v>6395</v>
      </c>
    </row>
    <row r="530" spans="1:5">
      <c r="A530" s="26" t="s">
        <v>6399</v>
      </c>
      <c r="B530" s="26" t="s">
        <v>879</v>
      </c>
      <c r="C530" s="26" t="s">
        <v>154</v>
      </c>
      <c r="D530" s="26" t="s">
        <v>6396</v>
      </c>
      <c r="E530" s="26" t="s">
        <v>6395</v>
      </c>
    </row>
    <row r="531" spans="1:5">
      <c r="A531" s="26" t="s">
        <v>6399</v>
      </c>
      <c r="B531" s="26" t="s">
        <v>414</v>
      </c>
      <c r="C531" s="26" t="s">
        <v>154</v>
      </c>
      <c r="D531" s="26" t="s">
        <v>6396</v>
      </c>
      <c r="E531" s="26" t="s">
        <v>6395</v>
      </c>
    </row>
    <row r="532" spans="1:5">
      <c r="A532" s="26" t="s">
        <v>6399</v>
      </c>
      <c r="B532" s="26" t="s">
        <v>1044</v>
      </c>
      <c r="C532" s="26" t="s">
        <v>154</v>
      </c>
      <c r="D532" s="26" t="s">
        <v>6396</v>
      </c>
      <c r="E532" s="26" t="s">
        <v>6395</v>
      </c>
    </row>
    <row r="533" spans="1:5">
      <c r="A533" s="26" t="s">
        <v>6399</v>
      </c>
      <c r="B533" s="26" t="s">
        <v>6853</v>
      </c>
      <c r="C533" s="26" t="s">
        <v>154</v>
      </c>
      <c r="D533" s="26" t="s">
        <v>6396</v>
      </c>
      <c r="E533" s="26" t="s">
        <v>6395</v>
      </c>
    </row>
    <row r="534" spans="1:5">
      <c r="A534" s="26" t="s">
        <v>6399</v>
      </c>
      <c r="B534" s="26" t="s">
        <v>6852</v>
      </c>
      <c r="C534" s="26" t="s">
        <v>154</v>
      </c>
      <c r="D534" s="26" t="s">
        <v>6396</v>
      </c>
      <c r="E534" s="26" t="s">
        <v>6395</v>
      </c>
    </row>
    <row r="535" spans="1:5">
      <c r="A535" s="26" t="s">
        <v>6399</v>
      </c>
      <c r="B535" s="26" t="s">
        <v>3339</v>
      </c>
      <c r="C535" s="26" t="s">
        <v>154</v>
      </c>
      <c r="D535" s="26" t="s">
        <v>6396</v>
      </c>
      <c r="E535" s="26" t="s">
        <v>6395</v>
      </c>
    </row>
    <row r="536" spans="1:5">
      <c r="A536" s="26" t="s">
        <v>6399</v>
      </c>
      <c r="B536" s="26" t="s">
        <v>633</v>
      </c>
      <c r="C536" s="26" t="s">
        <v>154</v>
      </c>
      <c r="D536" s="26" t="s">
        <v>6396</v>
      </c>
      <c r="E536" s="26" t="s">
        <v>6395</v>
      </c>
    </row>
    <row r="537" spans="1:5">
      <c r="A537" s="26" t="s">
        <v>6399</v>
      </c>
      <c r="B537" s="26" t="s">
        <v>1245</v>
      </c>
      <c r="C537" s="26" t="s">
        <v>154</v>
      </c>
      <c r="D537" s="26" t="s">
        <v>6396</v>
      </c>
      <c r="E537" s="26" t="s">
        <v>6395</v>
      </c>
    </row>
    <row r="538" spans="1:5">
      <c r="A538" s="26" t="s">
        <v>6399</v>
      </c>
      <c r="B538" s="26" t="s">
        <v>6851</v>
      </c>
      <c r="C538" s="26" t="s">
        <v>154</v>
      </c>
      <c r="D538" s="26" t="s">
        <v>6396</v>
      </c>
      <c r="E538" s="26" t="s">
        <v>6395</v>
      </c>
    </row>
    <row r="539" spans="1:5">
      <c r="A539" s="26" t="s">
        <v>6399</v>
      </c>
      <c r="B539" s="26" t="s">
        <v>1504</v>
      </c>
      <c r="C539" s="26" t="s">
        <v>154</v>
      </c>
      <c r="D539" s="26" t="s">
        <v>6396</v>
      </c>
      <c r="E539" s="26" t="s">
        <v>6395</v>
      </c>
    </row>
    <row r="540" spans="1:5">
      <c r="A540" s="26" t="s">
        <v>6399</v>
      </c>
      <c r="B540" s="26" t="s">
        <v>640</v>
      </c>
      <c r="C540" s="26" t="s">
        <v>154</v>
      </c>
      <c r="D540" s="26" t="s">
        <v>6396</v>
      </c>
      <c r="E540" s="26" t="s">
        <v>6395</v>
      </c>
    </row>
    <row r="541" spans="1:5">
      <c r="A541" s="26" t="s">
        <v>6399</v>
      </c>
      <c r="B541" s="26" t="s">
        <v>869</v>
      </c>
      <c r="C541" s="26" t="s">
        <v>154</v>
      </c>
      <c r="D541" s="26" t="s">
        <v>6396</v>
      </c>
      <c r="E541" s="26" t="s">
        <v>6395</v>
      </c>
    </row>
    <row r="542" spans="1:5">
      <c r="A542" s="26" t="s">
        <v>6399</v>
      </c>
      <c r="B542" s="26" t="s">
        <v>319</v>
      </c>
      <c r="C542" s="26" t="s">
        <v>154</v>
      </c>
      <c r="D542" s="26" t="s">
        <v>6396</v>
      </c>
      <c r="E542" s="26" t="s">
        <v>6395</v>
      </c>
    </row>
    <row r="543" spans="1:5">
      <c r="A543" s="26" t="s">
        <v>6399</v>
      </c>
      <c r="B543" s="26" t="s">
        <v>6850</v>
      </c>
      <c r="C543" s="26" t="s">
        <v>154</v>
      </c>
      <c r="D543" s="26" t="s">
        <v>6396</v>
      </c>
      <c r="E543" s="26" t="s">
        <v>6395</v>
      </c>
    </row>
    <row r="544" spans="1:5">
      <c r="A544" s="26" t="s">
        <v>6399</v>
      </c>
      <c r="B544" s="26" t="s">
        <v>1336</v>
      </c>
      <c r="C544" s="26" t="s">
        <v>154</v>
      </c>
      <c r="D544" s="26" t="s">
        <v>6396</v>
      </c>
      <c r="E544" s="26" t="s">
        <v>6395</v>
      </c>
    </row>
    <row r="545" spans="1:5">
      <c r="A545" s="26" t="s">
        <v>6399</v>
      </c>
      <c r="B545" s="26" t="s">
        <v>6849</v>
      </c>
      <c r="C545" s="26" t="s">
        <v>154</v>
      </c>
      <c r="D545" s="26" t="s">
        <v>6396</v>
      </c>
      <c r="E545" s="26" t="s">
        <v>6395</v>
      </c>
    </row>
    <row r="546" spans="1:5">
      <c r="A546" s="26" t="s">
        <v>6399</v>
      </c>
      <c r="B546" s="26" t="s">
        <v>1620</v>
      </c>
      <c r="C546" s="26" t="s">
        <v>154</v>
      </c>
      <c r="D546" s="26" t="s">
        <v>6396</v>
      </c>
      <c r="E546" s="26" t="s">
        <v>6395</v>
      </c>
    </row>
    <row r="547" spans="1:5">
      <c r="A547" s="26" t="s">
        <v>6399</v>
      </c>
      <c r="B547" s="26" t="s">
        <v>1048</v>
      </c>
      <c r="C547" s="26" t="s">
        <v>154</v>
      </c>
      <c r="D547" s="26" t="s">
        <v>6396</v>
      </c>
      <c r="E547" s="26" t="s">
        <v>6395</v>
      </c>
    </row>
    <row r="548" spans="1:5">
      <c r="A548" s="26" t="s">
        <v>6399</v>
      </c>
      <c r="B548" s="26" t="s">
        <v>6848</v>
      </c>
      <c r="C548" s="26" t="s">
        <v>188</v>
      </c>
      <c r="D548" s="26" t="s">
        <v>6396</v>
      </c>
      <c r="E548" s="26" t="s">
        <v>6395</v>
      </c>
    </row>
    <row r="549" spans="1:5">
      <c r="A549" s="26" t="s">
        <v>6399</v>
      </c>
      <c r="B549" s="26" t="s">
        <v>180</v>
      </c>
      <c r="C549" s="26" t="s">
        <v>188</v>
      </c>
      <c r="D549" s="26" t="s">
        <v>6396</v>
      </c>
      <c r="E549" s="26" t="s">
        <v>6395</v>
      </c>
    </row>
    <row r="550" spans="1:5">
      <c r="A550" s="26" t="s">
        <v>6399</v>
      </c>
      <c r="B550" s="26" t="s">
        <v>6847</v>
      </c>
      <c r="C550" s="26" t="s">
        <v>6845</v>
      </c>
      <c r="D550" s="26" t="s">
        <v>6396</v>
      </c>
      <c r="E550" s="26" t="s">
        <v>6395</v>
      </c>
    </row>
    <row r="551" spans="1:5">
      <c r="A551" s="26" t="s">
        <v>6399</v>
      </c>
      <c r="B551" s="26" t="s">
        <v>6846</v>
      </c>
      <c r="C551" s="26" t="s">
        <v>6845</v>
      </c>
      <c r="D551" s="26" t="s">
        <v>6396</v>
      </c>
      <c r="E551" s="26" t="s">
        <v>6395</v>
      </c>
    </row>
    <row r="552" spans="1:5">
      <c r="A552" s="26" t="s">
        <v>6399</v>
      </c>
      <c r="B552" s="26" t="s">
        <v>6844</v>
      </c>
      <c r="C552" s="26" t="s">
        <v>6843</v>
      </c>
      <c r="D552" s="26" t="s">
        <v>6396</v>
      </c>
      <c r="E552" s="26" t="s">
        <v>6395</v>
      </c>
    </row>
    <row r="553" spans="1:5">
      <c r="A553" s="26" t="s">
        <v>6399</v>
      </c>
      <c r="B553" s="26" t="s">
        <v>6842</v>
      </c>
      <c r="C553" s="26" t="s">
        <v>6841</v>
      </c>
      <c r="D553" s="26" t="s">
        <v>6396</v>
      </c>
      <c r="E553" s="26" t="s">
        <v>6395</v>
      </c>
    </row>
    <row r="554" spans="1:5">
      <c r="A554" s="26" t="s">
        <v>6399</v>
      </c>
      <c r="B554" s="26" t="s">
        <v>6840</v>
      </c>
      <c r="C554" s="26" t="s">
        <v>6714</v>
      </c>
      <c r="D554" s="26" t="s">
        <v>6396</v>
      </c>
      <c r="E554" s="26" t="s">
        <v>6395</v>
      </c>
    </row>
    <row r="555" spans="1:5">
      <c r="A555" s="26" t="s">
        <v>6399</v>
      </c>
      <c r="B555" s="26" t="s">
        <v>6839</v>
      </c>
      <c r="C555" s="26" t="s">
        <v>6714</v>
      </c>
      <c r="D555" s="26" t="s">
        <v>6396</v>
      </c>
      <c r="E555" s="26" t="s">
        <v>6395</v>
      </c>
    </row>
    <row r="556" spans="1:5">
      <c r="A556" s="26" t="s">
        <v>6399</v>
      </c>
      <c r="B556" s="26" t="s">
        <v>6838</v>
      </c>
      <c r="C556" s="26" t="s">
        <v>6836</v>
      </c>
      <c r="D556" s="26" t="s">
        <v>6396</v>
      </c>
      <c r="E556" s="26" t="s">
        <v>6395</v>
      </c>
    </row>
    <row r="557" spans="1:5">
      <c r="A557" s="26" t="s">
        <v>6399</v>
      </c>
      <c r="B557" s="26" t="s">
        <v>6837</v>
      </c>
      <c r="C557" s="26" t="s">
        <v>6836</v>
      </c>
      <c r="D557" s="26" t="s">
        <v>6396</v>
      </c>
      <c r="E557" s="26" t="s">
        <v>6395</v>
      </c>
    </row>
    <row r="558" spans="1:5">
      <c r="A558" s="26" t="s">
        <v>6399</v>
      </c>
      <c r="B558" s="26" t="s">
        <v>6835</v>
      </c>
      <c r="C558" s="26" t="s">
        <v>6834</v>
      </c>
      <c r="D558" s="26" t="s">
        <v>6396</v>
      </c>
      <c r="E558" s="26" t="s">
        <v>6395</v>
      </c>
    </row>
    <row r="559" spans="1:5">
      <c r="A559" s="26" t="s">
        <v>6399</v>
      </c>
      <c r="B559" s="26" t="s">
        <v>6833</v>
      </c>
      <c r="C559" s="26" t="s">
        <v>6832</v>
      </c>
      <c r="D559" s="26" t="s">
        <v>6396</v>
      </c>
      <c r="E559" s="26" t="s">
        <v>6395</v>
      </c>
    </row>
    <row r="560" spans="1:5">
      <c r="A560" s="26" t="s">
        <v>6399</v>
      </c>
      <c r="B560" s="26" t="s">
        <v>2974</v>
      </c>
      <c r="C560" s="26" t="s">
        <v>2975</v>
      </c>
      <c r="D560" s="26" t="s">
        <v>6480</v>
      </c>
      <c r="E560" s="26" t="s">
        <v>6395</v>
      </c>
    </row>
    <row r="561" spans="1:6">
      <c r="A561" s="26" t="s">
        <v>6399</v>
      </c>
      <c r="B561" s="26" t="s">
        <v>6831</v>
      </c>
      <c r="C561" s="26" t="s">
        <v>6830</v>
      </c>
      <c r="D561" s="26" t="s">
        <v>6480</v>
      </c>
      <c r="E561" s="26" t="s">
        <v>6395</v>
      </c>
    </row>
    <row r="562" spans="1:6">
      <c r="A562" s="26" t="s">
        <v>6399</v>
      </c>
      <c r="B562" s="26" t="s">
        <v>6829</v>
      </c>
      <c r="C562" s="26" t="s">
        <v>6659</v>
      </c>
      <c r="D562" s="26" t="s">
        <v>6396</v>
      </c>
      <c r="E562" s="26" t="s">
        <v>6395</v>
      </c>
      <c r="F562" s="26">
        <v>30</v>
      </c>
    </row>
    <row r="563" spans="1:6">
      <c r="A563" s="26" t="s">
        <v>6399</v>
      </c>
      <c r="B563" s="26" t="s">
        <v>6828</v>
      </c>
      <c r="C563" s="26" t="s">
        <v>6826</v>
      </c>
      <c r="D563" s="26" t="s">
        <v>6480</v>
      </c>
      <c r="E563" s="26" t="s">
        <v>6395</v>
      </c>
      <c r="F563" s="26">
        <v>30</v>
      </c>
    </row>
    <row r="564" spans="1:6">
      <c r="A564" s="26" t="s">
        <v>6399</v>
      </c>
      <c r="B564" s="26" t="s">
        <v>6827</v>
      </c>
      <c r="C564" s="26" t="s">
        <v>6826</v>
      </c>
      <c r="D564" s="26" t="s">
        <v>6480</v>
      </c>
      <c r="E564" s="26" t="s">
        <v>6395</v>
      </c>
      <c r="F564" s="26">
        <v>30</v>
      </c>
    </row>
    <row r="565" spans="1:6">
      <c r="A565" s="26" t="s">
        <v>6399</v>
      </c>
      <c r="B565" s="26" t="s">
        <v>6825</v>
      </c>
      <c r="C565" s="26" t="s">
        <v>6824</v>
      </c>
      <c r="D565" s="26" t="s">
        <v>6480</v>
      </c>
      <c r="E565" s="26" t="s">
        <v>6395</v>
      </c>
      <c r="F565" s="26">
        <v>30</v>
      </c>
    </row>
    <row r="566" spans="1:6">
      <c r="A566" s="26" t="s">
        <v>6399</v>
      </c>
      <c r="B566" s="26" t="s">
        <v>6823</v>
      </c>
      <c r="C566" s="26" t="s">
        <v>6822</v>
      </c>
      <c r="D566" s="26" t="s">
        <v>6396</v>
      </c>
      <c r="E566" s="26" t="s">
        <v>6395</v>
      </c>
      <c r="F566" s="26">
        <v>30</v>
      </c>
    </row>
    <row r="567" spans="1:6">
      <c r="A567" s="26" t="s">
        <v>6399</v>
      </c>
      <c r="B567" s="26" t="s">
        <v>6821</v>
      </c>
      <c r="C567" s="26" t="s">
        <v>6820</v>
      </c>
      <c r="D567" s="26" t="s">
        <v>6489</v>
      </c>
      <c r="E567" s="26" t="s">
        <v>6395</v>
      </c>
      <c r="F567" s="26">
        <v>30</v>
      </c>
    </row>
    <row r="568" spans="1:6">
      <c r="A568" s="26" t="s">
        <v>6399</v>
      </c>
      <c r="B568" s="26" t="s">
        <v>6819</v>
      </c>
      <c r="C568" s="26" t="s">
        <v>1633</v>
      </c>
      <c r="D568" s="26" t="s">
        <v>6396</v>
      </c>
      <c r="E568" s="26" t="s">
        <v>6395</v>
      </c>
      <c r="F568" s="26">
        <v>30</v>
      </c>
    </row>
    <row r="569" spans="1:6">
      <c r="A569" s="26" t="s">
        <v>6399</v>
      </c>
      <c r="B569" s="26" t="s">
        <v>6818</v>
      </c>
      <c r="C569" s="26" t="s">
        <v>6817</v>
      </c>
      <c r="D569" s="26" t="s">
        <v>6396</v>
      </c>
      <c r="E569" s="26" t="s">
        <v>6395</v>
      </c>
      <c r="F569" s="26">
        <v>30</v>
      </c>
    </row>
    <row r="570" spans="1:6">
      <c r="A570" s="26" t="s">
        <v>6399</v>
      </c>
      <c r="B570" s="26" t="s">
        <v>6816</v>
      </c>
      <c r="C570" s="26" t="s">
        <v>6815</v>
      </c>
      <c r="D570" s="26" t="s">
        <v>6396</v>
      </c>
      <c r="E570" s="26" t="s">
        <v>6395</v>
      </c>
      <c r="F570" s="26">
        <v>30</v>
      </c>
    </row>
    <row r="571" spans="1:6">
      <c r="A571" s="26" t="s">
        <v>6399</v>
      </c>
      <c r="B571" s="26" t="s">
        <v>6814</v>
      </c>
      <c r="C571" s="26" t="s">
        <v>265</v>
      </c>
      <c r="D571" s="26" t="s">
        <v>6396</v>
      </c>
      <c r="E571" s="26" t="s">
        <v>6395</v>
      </c>
      <c r="F571" s="26">
        <v>30</v>
      </c>
    </row>
    <row r="572" spans="1:6">
      <c r="A572" s="26" t="s">
        <v>6399</v>
      </c>
      <c r="B572" s="26" t="s">
        <v>1775</v>
      </c>
      <c r="C572" s="26" t="s">
        <v>1776</v>
      </c>
      <c r="D572" s="26" t="s">
        <v>6396</v>
      </c>
      <c r="E572" s="26" t="s">
        <v>6395</v>
      </c>
      <c r="F572" s="26">
        <v>30</v>
      </c>
    </row>
    <row r="573" spans="1:6">
      <c r="A573" s="26" t="s">
        <v>6399</v>
      </c>
      <c r="B573" s="26" t="s">
        <v>6813</v>
      </c>
      <c r="C573" s="26" t="s">
        <v>6812</v>
      </c>
      <c r="D573" s="26" t="s">
        <v>6434</v>
      </c>
      <c r="E573" s="26" t="s">
        <v>6395</v>
      </c>
      <c r="F573" s="26">
        <v>30</v>
      </c>
    </row>
    <row r="574" spans="1:6">
      <c r="A574" s="26" t="s">
        <v>6399</v>
      </c>
      <c r="B574" s="26" t="s">
        <v>6811</v>
      </c>
      <c r="C574" s="26" t="s">
        <v>574</v>
      </c>
      <c r="D574" s="26" t="s">
        <v>6434</v>
      </c>
      <c r="E574" s="26" t="s">
        <v>6395</v>
      </c>
      <c r="F574" s="26">
        <v>30</v>
      </c>
    </row>
    <row r="575" spans="1:6">
      <c r="A575" s="26" t="s">
        <v>6399</v>
      </c>
      <c r="B575" s="26" t="s">
        <v>6810</v>
      </c>
      <c r="C575" s="26" t="s">
        <v>574</v>
      </c>
      <c r="D575" s="26" t="s">
        <v>6434</v>
      </c>
      <c r="E575" s="26" t="s">
        <v>6395</v>
      </c>
      <c r="F575" s="26">
        <v>30</v>
      </c>
    </row>
    <row r="576" spans="1:6">
      <c r="A576" s="26" t="s">
        <v>6399</v>
      </c>
      <c r="B576" s="26" t="s">
        <v>6809</v>
      </c>
      <c r="C576" s="26" t="s">
        <v>574</v>
      </c>
      <c r="D576" s="26" t="s">
        <v>6396</v>
      </c>
      <c r="E576" s="26" t="s">
        <v>6395</v>
      </c>
      <c r="F576" s="26">
        <v>30</v>
      </c>
    </row>
    <row r="577" spans="1:6">
      <c r="A577" s="26" t="s">
        <v>6399</v>
      </c>
      <c r="B577" s="26" t="s">
        <v>573</v>
      </c>
      <c r="C577" s="26" t="s">
        <v>574</v>
      </c>
      <c r="D577" s="26" t="s">
        <v>6396</v>
      </c>
      <c r="E577" s="26" t="s">
        <v>6395</v>
      </c>
      <c r="F577" s="26">
        <v>30</v>
      </c>
    </row>
    <row r="578" spans="1:6">
      <c r="A578" s="26" t="s">
        <v>6399</v>
      </c>
      <c r="B578" s="26" t="s">
        <v>6808</v>
      </c>
      <c r="C578" s="26" t="s">
        <v>6481</v>
      </c>
      <c r="D578" s="26" t="s">
        <v>6480</v>
      </c>
      <c r="E578" s="26" t="s">
        <v>6479</v>
      </c>
      <c r="F578" s="26">
        <v>30</v>
      </c>
    </row>
    <row r="579" spans="1:6">
      <c r="A579" s="26" t="s">
        <v>6399</v>
      </c>
      <c r="B579" s="26" t="s">
        <v>6807</v>
      </c>
      <c r="C579" s="26" t="s">
        <v>6481</v>
      </c>
      <c r="D579" s="26" t="s">
        <v>6396</v>
      </c>
      <c r="E579" s="26" t="s">
        <v>6395</v>
      </c>
      <c r="F579" s="26">
        <v>30</v>
      </c>
    </row>
    <row r="580" spans="1:6">
      <c r="A580" s="26" t="s">
        <v>6399</v>
      </c>
      <c r="B580" s="26" t="s">
        <v>6806</v>
      </c>
      <c r="C580" s="26" t="s">
        <v>6805</v>
      </c>
      <c r="D580" s="26" t="s">
        <v>6396</v>
      </c>
      <c r="E580" s="26" t="s">
        <v>6395</v>
      </c>
      <c r="F580" s="26">
        <v>30</v>
      </c>
    </row>
    <row r="581" spans="1:6">
      <c r="A581" s="26" t="s">
        <v>6399</v>
      </c>
      <c r="B581" s="26" t="s">
        <v>6804</v>
      </c>
      <c r="C581" s="26" t="s">
        <v>6803</v>
      </c>
      <c r="D581" s="26" t="s">
        <v>6396</v>
      </c>
      <c r="E581" s="26" t="s">
        <v>6395</v>
      </c>
      <c r="F581" s="26">
        <v>30</v>
      </c>
    </row>
    <row r="582" spans="1:6">
      <c r="A582" s="26" t="s">
        <v>6399</v>
      </c>
      <c r="B582" s="26" t="s">
        <v>696</v>
      </c>
      <c r="C582" s="26" t="s">
        <v>21</v>
      </c>
      <c r="D582" s="26" t="s">
        <v>6396</v>
      </c>
      <c r="E582" s="26" t="s">
        <v>6395</v>
      </c>
      <c r="F582" s="26">
        <v>30</v>
      </c>
    </row>
    <row r="583" spans="1:6">
      <c r="A583" s="26" t="s">
        <v>6399</v>
      </c>
      <c r="B583" s="26" t="s">
        <v>47</v>
      </c>
      <c r="C583" s="26" t="s">
        <v>21</v>
      </c>
      <c r="D583" s="26" t="s">
        <v>6396</v>
      </c>
      <c r="E583" s="26" t="s">
        <v>6395</v>
      </c>
      <c r="F583" s="26">
        <v>30</v>
      </c>
    </row>
    <row r="584" spans="1:6">
      <c r="A584" s="26" t="s">
        <v>6399</v>
      </c>
      <c r="B584" s="26" t="s">
        <v>6802</v>
      </c>
      <c r="C584" s="26" t="s">
        <v>21</v>
      </c>
      <c r="D584" s="26" t="s">
        <v>6396</v>
      </c>
      <c r="E584" s="26" t="s">
        <v>6395</v>
      </c>
      <c r="F584" s="26">
        <v>30</v>
      </c>
    </row>
    <row r="585" spans="1:6">
      <c r="A585" s="26" t="s">
        <v>6399</v>
      </c>
      <c r="B585" s="26" t="s">
        <v>136</v>
      </c>
      <c r="C585" s="26" t="s">
        <v>21</v>
      </c>
      <c r="D585" s="26" t="s">
        <v>6396</v>
      </c>
      <c r="E585" s="26" t="s">
        <v>6395</v>
      </c>
      <c r="F585" s="26">
        <v>30</v>
      </c>
    </row>
    <row r="586" spans="1:6">
      <c r="A586" s="26" t="s">
        <v>6399</v>
      </c>
      <c r="B586" s="26" t="s">
        <v>6801</v>
      </c>
      <c r="C586" s="26" t="s">
        <v>6800</v>
      </c>
      <c r="D586" s="26" t="s">
        <v>6434</v>
      </c>
      <c r="E586" s="26" t="s">
        <v>6395</v>
      </c>
      <c r="F586" s="26">
        <v>30</v>
      </c>
    </row>
    <row r="587" spans="1:6">
      <c r="A587" s="26" t="s">
        <v>6399</v>
      </c>
      <c r="B587" s="26" t="s">
        <v>6799</v>
      </c>
      <c r="C587" s="26" t="s">
        <v>6473</v>
      </c>
      <c r="D587" s="26" t="s">
        <v>6396</v>
      </c>
      <c r="E587" s="26" t="s">
        <v>6395</v>
      </c>
      <c r="F587" s="26">
        <v>30</v>
      </c>
    </row>
    <row r="588" spans="1:6">
      <c r="A588" s="26" t="s">
        <v>6399</v>
      </c>
      <c r="B588" s="26" t="s">
        <v>134</v>
      </c>
      <c r="C588" s="26" t="s">
        <v>6798</v>
      </c>
      <c r="D588" s="26" t="s">
        <v>6396</v>
      </c>
      <c r="E588" s="26" t="s">
        <v>6395</v>
      </c>
      <c r="F588" s="26">
        <v>30</v>
      </c>
    </row>
    <row r="589" spans="1:6">
      <c r="A589" s="26" t="s">
        <v>6399</v>
      </c>
      <c r="B589" s="26" t="s">
        <v>6797</v>
      </c>
      <c r="C589" s="26" t="s">
        <v>6796</v>
      </c>
      <c r="D589" s="26" t="s">
        <v>6396</v>
      </c>
      <c r="E589" s="26" t="s">
        <v>6395</v>
      </c>
      <c r="F589" s="26">
        <v>30</v>
      </c>
    </row>
    <row r="590" spans="1:6">
      <c r="A590" s="26" t="s">
        <v>6399</v>
      </c>
      <c r="B590" s="26" t="s">
        <v>6795</v>
      </c>
      <c r="C590" s="26" t="s">
        <v>1586</v>
      </c>
      <c r="D590" s="26" t="s">
        <v>6396</v>
      </c>
      <c r="E590" s="26" t="s">
        <v>6395</v>
      </c>
      <c r="F590" s="26">
        <v>30</v>
      </c>
    </row>
    <row r="591" spans="1:6">
      <c r="A591" s="26" t="s">
        <v>6399</v>
      </c>
      <c r="B591" s="26" t="s">
        <v>6423</v>
      </c>
      <c r="C591" s="26" t="s">
        <v>1586</v>
      </c>
      <c r="D591" s="26" t="s">
        <v>6396</v>
      </c>
      <c r="E591" s="26" t="s">
        <v>6395</v>
      </c>
      <c r="F591" s="26">
        <v>30</v>
      </c>
    </row>
    <row r="592" spans="1:6">
      <c r="A592" s="26" t="s">
        <v>6399</v>
      </c>
      <c r="B592" s="26" t="s">
        <v>6794</v>
      </c>
      <c r="C592" s="26" t="s">
        <v>6793</v>
      </c>
      <c r="D592" s="26" t="s">
        <v>6396</v>
      </c>
      <c r="E592" s="26" t="s">
        <v>6395</v>
      </c>
      <c r="F592" s="26">
        <v>30</v>
      </c>
    </row>
    <row r="593" spans="1:6">
      <c r="A593" s="26" t="s">
        <v>6399</v>
      </c>
      <c r="B593" s="26" t="s">
        <v>6792</v>
      </c>
      <c r="C593" s="26" t="s">
        <v>6791</v>
      </c>
      <c r="D593" s="26" t="s">
        <v>6396</v>
      </c>
      <c r="E593" s="26" t="s">
        <v>6395</v>
      </c>
      <c r="F593" s="26">
        <v>30</v>
      </c>
    </row>
    <row r="594" spans="1:6">
      <c r="A594" s="26" t="s">
        <v>6399</v>
      </c>
      <c r="B594" s="26" t="s">
        <v>6790</v>
      </c>
      <c r="C594" s="26" t="s">
        <v>700</v>
      </c>
      <c r="D594" s="26" t="s">
        <v>6396</v>
      </c>
      <c r="E594" s="26" t="s">
        <v>6395</v>
      </c>
      <c r="F594" s="26">
        <v>30</v>
      </c>
    </row>
    <row r="595" spans="1:6">
      <c r="A595" s="26" t="s">
        <v>6399</v>
      </c>
      <c r="B595" s="26" t="s">
        <v>1396</v>
      </c>
      <c r="C595" s="26" t="s">
        <v>146</v>
      </c>
      <c r="D595" s="26" t="s">
        <v>6396</v>
      </c>
      <c r="E595" s="26" t="s">
        <v>6395</v>
      </c>
      <c r="F595" s="26">
        <v>30</v>
      </c>
    </row>
    <row r="596" spans="1:6">
      <c r="A596" s="26" t="s">
        <v>6399</v>
      </c>
      <c r="B596" s="26" t="s">
        <v>6789</v>
      </c>
      <c r="C596" s="26" t="s">
        <v>2465</v>
      </c>
      <c r="D596" s="26" t="s">
        <v>6396</v>
      </c>
      <c r="E596" s="26" t="s">
        <v>6395</v>
      </c>
      <c r="F596" s="26">
        <v>30</v>
      </c>
    </row>
    <row r="597" spans="1:6">
      <c r="A597" s="26" t="s">
        <v>6399</v>
      </c>
      <c r="B597" s="26" t="s">
        <v>2012</v>
      </c>
      <c r="C597" s="26" t="s">
        <v>6788</v>
      </c>
      <c r="D597" s="26" t="s">
        <v>6396</v>
      </c>
      <c r="E597" s="26" t="s">
        <v>6395</v>
      </c>
      <c r="F597" s="26">
        <v>30</v>
      </c>
    </row>
    <row r="598" spans="1:6">
      <c r="A598" s="26" t="s">
        <v>6399</v>
      </c>
      <c r="B598" s="26" t="s">
        <v>6787</v>
      </c>
      <c r="C598" s="26" t="s">
        <v>580</v>
      </c>
      <c r="D598" s="26" t="s">
        <v>6396</v>
      </c>
      <c r="E598" s="26" t="s">
        <v>6395</v>
      </c>
      <c r="F598" s="26">
        <v>30</v>
      </c>
    </row>
    <row r="599" spans="1:6">
      <c r="A599" s="26" t="s">
        <v>6399</v>
      </c>
      <c r="B599" s="26" t="s">
        <v>6786</v>
      </c>
      <c r="C599" s="26" t="s">
        <v>580</v>
      </c>
      <c r="D599" s="26" t="s">
        <v>6396</v>
      </c>
      <c r="E599" s="26" t="s">
        <v>6395</v>
      </c>
      <c r="F599" s="26">
        <v>30</v>
      </c>
    </row>
    <row r="600" spans="1:6">
      <c r="A600" s="26" t="s">
        <v>6399</v>
      </c>
      <c r="B600" s="26" t="s">
        <v>579</v>
      </c>
      <c r="C600" s="26" t="s">
        <v>580</v>
      </c>
      <c r="D600" s="26" t="s">
        <v>6396</v>
      </c>
      <c r="E600" s="26" t="s">
        <v>6395</v>
      </c>
      <c r="F600" s="26">
        <v>30</v>
      </c>
    </row>
    <row r="601" spans="1:6">
      <c r="A601" s="26" t="s">
        <v>6399</v>
      </c>
      <c r="B601" s="26" t="s">
        <v>6785</v>
      </c>
      <c r="C601" s="26" t="s">
        <v>2933</v>
      </c>
      <c r="D601" s="26" t="s">
        <v>6396</v>
      </c>
      <c r="E601" s="26" t="s">
        <v>6395</v>
      </c>
      <c r="F601" s="26">
        <v>30</v>
      </c>
    </row>
    <row r="602" spans="1:6">
      <c r="A602" s="26" t="s">
        <v>6399</v>
      </c>
      <c r="B602" s="26" t="s">
        <v>384</v>
      </c>
      <c r="C602" s="26" t="s">
        <v>42</v>
      </c>
      <c r="D602" s="26" t="s">
        <v>6396</v>
      </c>
      <c r="E602" s="26" t="s">
        <v>6395</v>
      </c>
      <c r="F602" s="26">
        <v>30</v>
      </c>
    </row>
    <row r="603" spans="1:6">
      <c r="A603" s="26" t="s">
        <v>6399</v>
      </c>
      <c r="B603" s="26" t="s">
        <v>1569</v>
      </c>
      <c r="C603" s="26" t="s">
        <v>42</v>
      </c>
      <c r="D603" s="26" t="s">
        <v>6396</v>
      </c>
      <c r="E603" s="26" t="s">
        <v>6395</v>
      </c>
      <c r="F603" s="26">
        <v>30</v>
      </c>
    </row>
    <row r="604" spans="1:6">
      <c r="A604" s="26" t="s">
        <v>6399</v>
      </c>
      <c r="B604" s="26" t="s">
        <v>6784</v>
      </c>
      <c r="C604" s="26" t="s">
        <v>6783</v>
      </c>
      <c r="D604" s="26" t="s">
        <v>6396</v>
      </c>
      <c r="E604" s="26" t="s">
        <v>6395</v>
      </c>
      <c r="F604" s="26">
        <v>30</v>
      </c>
    </row>
    <row r="605" spans="1:6">
      <c r="A605" s="26" t="s">
        <v>6399</v>
      </c>
      <c r="B605" s="26" t="s">
        <v>313</v>
      </c>
      <c r="C605" s="26" t="s">
        <v>6782</v>
      </c>
      <c r="D605" s="26" t="s">
        <v>6396</v>
      </c>
      <c r="E605" s="26" t="s">
        <v>6411</v>
      </c>
      <c r="F605" s="26">
        <v>30</v>
      </c>
    </row>
    <row r="606" spans="1:6">
      <c r="A606" s="26" t="s">
        <v>6399</v>
      </c>
      <c r="B606" s="26" t="s">
        <v>6781</v>
      </c>
      <c r="C606" s="26" t="s">
        <v>6779</v>
      </c>
      <c r="D606" s="26" t="s">
        <v>6396</v>
      </c>
      <c r="E606" s="26" t="s">
        <v>6395</v>
      </c>
      <c r="F606" s="26">
        <v>30</v>
      </c>
    </row>
    <row r="607" spans="1:6">
      <c r="A607" s="26" t="s">
        <v>6399</v>
      </c>
      <c r="B607" s="26" t="s">
        <v>6780</v>
      </c>
      <c r="C607" s="26" t="s">
        <v>6779</v>
      </c>
      <c r="D607" s="26" t="s">
        <v>6396</v>
      </c>
      <c r="E607" s="26" t="s">
        <v>6395</v>
      </c>
      <c r="F607" s="26">
        <v>30</v>
      </c>
    </row>
    <row r="608" spans="1:6">
      <c r="A608" s="26" t="s">
        <v>6399</v>
      </c>
      <c r="B608" s="26" t="s">
        <v>6778</v>
      </c>
      <c r="C608" s="26" t="s">
        <v>6777</v>
      </c>
      <c r="D608" s="26" t="s">
        <v>6396</v>
      </c>
      <c r="E608" s="26" t="s">
        <v>6395</v>
      </c>
      <c r="F608" s="26">
        <v>30</v>
      </c>
    </row>
    <row r="609" spans="1:6">
      <c r="A609" s="26" t="s">
        <v>6399</v>
      </c>
      <c r="B609" s="26" t="s">
        <v>1912</v>
      </c>
      <c r="C609" s="26" t="s">
        <v>650</v>
      </c>
      <c r="D609" s="26" t="s">
        <v>6396</v>
      </c>
      <c r="E609" s="26" t="s">
        <v>6395</v>
      </c>
      <c r="F609" s="26">
        <v>30</v>
      </c>
    </row>
    <row r="610" spans="1:6">
      <c r="A610" s="26" t="s">
        <v>6399</v>
      </c>
      <c r="B610" s="26" t="s">
        <v>6776</v>
      </c>
      <c r="C610" s="26" t="s">
        <v>6768</v>
      </c>
      <c r="D610" s="26" t="s">
        <v>6396</v>
      </c>
      <c r="E610" s="26" t="s">
        <v>6395</v>
      </c>
      <c r="F610" s="26">
        <v>30</v>
      </c>
    </row>
    <row r="611" spans="1:6">
      <c r="A611" s="26" t="s">
        <v>6399</v>
      </c>
      <c r="B611" s="26" t="s">
        <v>6775</v>
      </c>
      <c r="C611" s="26" t="s">
        <v>865</v>
      </c>
      <c r="D611" s="26" t="s">
        <v>6396</v>
      </c>
      <c r="E611" s="26" t="s">
        <v>6395</v>
      </c>
      <c r="F611" s="26">
        <v>30</v>
      </c>
    </row>
    <row r="612" spans="1:6">
      <c r="A612" s="26" t="s">
        <v>6399</v>
      </c>
      <c r="B612" s="26" t="s">
        <v>6774</v>
      </c>
      <c r="C612" s="26" t="s">
        <v>865</v>
      </c>
      <c r="D612" s="26" t="s">
        <v>6396</v>
      </c>
      <c r="E612" s="26" t="s">
        <v>6395</v>
      </c>
      <c r="F612" s="26">
        <v>30</v>
      </c>
    </row>
    <row r="613" spans="1:6">
      <c r="A613" s="26" t="s">
        <v>6399</v>
      </c>
      <c r="B613" s="26" t="s">
        <v>6773</v>
      </c>
      <c r="C613" s="26" t="s">
        <v>865</v>
      </c>
      <c r="D613" s="26" t="s">
        <v>6396</v>
      </c>
      <c r="E613" s="26" t="s">
        <v>6395</v>
      </c>
      <c r="F613" s="26">
        <v>30</v>
      </c>
    </row>
    <row r="614" spans="1:6">
      <c r="A614" s="26" t="s">
        <v>6399</v>
      </c>
      <c r="B614" s="26" t="s">
        <v>6772</v>
      </c>
      <c r="C614" s="26" t="s">
        <v>865</v>
      </c>
      <c r="D614" s="26" t="s">
        <v>6396</v>
      </c>
      <c r="E614" s="26" t="s">
        <v>6395</v>
      </c>
      <c r="F614" s="26">
        <v>30</v>
      </c>
    </row>
    <row r="615" spans="1:6">
      <c r="A615" s="26" t="s">
        <v>6399</v>
      </c>
      <c r="B615" s="26" t="s">
        <v>6771</v>
      </c>
      <c r="C615" s="26" t="s">
        <v>865</v>
      </c>
      <c r="D615" s="26" t="s">
        <v>6396</v>
      </c>
      <c r="E615" s="26" t="s">
        <v>6395</v>
      </c>
    </row>
    <row r="616" spans="1:6">
      <c r="A616" s="26" t="s">
        <v>6399</v>
      </c>
      <c r="B616" s="26" t="s">
        <v>6770</v>
      </c>
      <c r="C616" s="26" t="s">
        <v>865</v>
      </c>
      <c r="D616" s="26" t="s">
        <v>6396</v>
      </c>
      <c r="E616" s="26" t="s">
        <v>6395</v>
      </c>
      <c r="F616" s="26">
        <v>30</v>
      </c>
    </row>
    <row r="617" spans="1:6">
      <c r="A617" s="26" t="s">
        <v>6399</v>
      </c>
      <c r="B617" s="26" t="s">
        <v>6769</v>
      </c>
      <c r="C617" s="26" t="s">
        <v>6768</v>
      </c>
      <c r="D617" s="26" t="s">
        <v>6396</v>
      </c>
      <c r="E617" s="26" t="s">
        <v>6395</v>
      </c>
      <c r="F617" s="26">
        <v>30</v>
      </c>
    </row>
    <row r="618" spans="1:6">
      <c r="A618" s="26" t="s">
        <v>6399</v>
      </c>
      <c r="B618" s="26" t="s">
        <v>6767</v>
      </c>
      <c r="C618" s="26" t="s">
        <v>6407</v>
      </c>
      <c r="D618" s="26" t="s">
        <v>6396</v>
      </c>
      <c r="E618" s="26" t="s">
        <v>6395</v>
      </c>
      <c r="F618" s="26">
        <v>30</v>
      </c>
    </row>
    <row r="619" spans="1:6">
      <c r="A619" s="26" t="s">
        <v>6399</v>
      </c>
      <c r="B619" s="26" t="s">
        <v>6766</v>
      </c>
      <c r="C619" s="26" t="s">
        <v>6765</v>
      </c>
      <c r="D619" s="26" t="s">
        <v>6396</v>
      </c>
      <c r="E619" s="26" t="s">
        <v>6395</v>
      </c>
      <c r="F619" s="26">
        <v>30</v>
      </c>
    </row>
    <row r="620" spans="1:6">
      <c r="A620" s="26" t="s">
        <v>6399</v>
      </c>
      <c r="B620" s="26" t="s">
        <v>6764</v>
      </c>
      <c r="C620" s="26" t="s">
        <v>6763</v>
      </c>
      <c r="D620" s="26" t="s">
        <v>6396</v>
      </c>
      <c r="E620" s="26" t="s">
        <v>6395</v>
      </c>
      <c r="F620" s="26">
        <v>30</v>
      </c>
    </row>
    <row r="621" spans="1:6">
      <c r="A621" s="26" t="s">
        <v>6399</v>
      </c>
      <c r="B621" s="26" t="s">
        <v>36</v>
      </c>
      <c r="C621" s="26" t="s">
        <v>37</v>
      </c>
      <c r="D621" s="26" t="s">
        <v>6396</v>
      </c>
      <c r="E621" s="26" t="s">
        <v>6395</v>
      </c>
      <c r="F621" s="26">
        <v>30</v>
      </c>
    </row>
    <row r="622" spans="1:6">
      <c r="A622" s="26" t="s">
        <v>6399</v>
      </c>
      <c r="B622" s="26" t="s">
        <v>6762</v>
      </c>
      <c r="C622" s="26" t="s">
        <v>221</v>
      </c>
      <c r="D622" s="26" t="s">
        <v>6396</v>
      </c>
      <c r="E622" s="26" t="s">
        <v>6395</v>
      </c>
      <c r="F622" s="26">
        <v>30</v>
      </c>
    </row>
    <row r="623" spans="1:6">
      <c r="A623" s="26" t="s">
        <v>6399</v>
      </c>
      <c r="B623" s="26" t="s">
        <v>6761</v>
      </c>
      <c r="C623" s="26" t="s">
        <v>2757</v>
      </c>
      <c r="D623" s="26" t="s">
        <v>6396</v>
      </c>
      <c r="E623" s="26" t="s">
        <v>6395</v>
      </c>
      <c r="F623" s="26">
        <v>30</v>
      </c>
    </row>
    <row r="624" spans="1:6">
      <c r="A624" s="26" t="s">
        <v>6399</v>
      </c>
      <c r="B624" s="26" t="s">
        <v>30</v>
      </c>
      <c r="C624" s="26" t="s">
        <v>15</v>
      </c>
      <c r="D624" s="26" t="s">
        <v>6396</v>
      </c>
      <c r="E624" s="26" t="s">
        <v>6395</v>
      </c>
      <c r="F624" s="26">
        <v>30</v>
      </c>
    </row>
    <row r="625" spans="1:6">
      <c r="A625" s="26" t="s">
        <v>6399</v>
      </c>
      <c r="B625" s="26" t="s">
        <v>6760</v>
      </c>
      <c r="C625" s="26" t="s">
        <v>1675</v>
      </c>
      <c r="D625" s="26" t="s">
        <v>6396</v>
      </c>
      <c r="E625" s="26" t="s">
        <v>6395</v>
      </c>
      <c r="F625" s="26">
        <v>30</v>
      </c>
    </row>
    <row r="626" spans="1:6">
      <c r="A626" s="26" t="s">
        <v>6399</v>
      </c>
      <c r="B626" s="26" t="s">
        <v>2203</v>
      </c>
      <c r="C626" s="26" t="s">
        <v>1675</v>
      </c>
      <c r="D626" s="26" t="s">
        <v>6396</v>
      </c>
      <c r="E626" s="26" t="s">
        <v>6395</v>
      </c>
      <c r="F626" s="26">
        <v>30</v>
      </c>
    </row>
    <row r="627" spans="1:6">
      <c r="A627" s="26" t="s">
        <v>6399</v>
      </c>
      <c r="B627" s="26" t="s">
        <v>2496</v>
      </c>
      <c r="C627" s="26" t="s">
        <v>6759</v>
      </c>
      <c r="D627" s="26" t="s">
        <v>6396</v>
      </c>
      <c r="E627" s="26" t="s">
        <v>6395</v>
      </c>
      <c r="F627" s="26">
        <v>30</v>
      </c>
    </row>
    <row r="628" spans="1:6">
      <c r="A628" s="26" t="s">
        <v>6399</v>
      </c>
      <c r="B628" s="26" t="s">
        <v>6758</v>
      </c>
      <c r="C628" s="26" t="s">
        <v>6757</v>
      </c>
      <c r="D628" s="26" t="s">
        <v>6396</v>
      </c>
      <c r="E628" s="26" t="s">
        <v>6395</v>
      </c>
      <c r="F628" s="26">
        <v>30</v>
      </c>
    </row>
    <row r="629" spans="1:6">
      <c r="A629" s="26" t="s">
        <v>6399</v>
      </c>
      <c r="B629" s="26" t="s">
        <v>1159</v>
      </c>
      <c r="C629" s="26" t="s">
        <v>1160</v>
      </c>
      <c r="D629" s="26" t="s">
        <v>6396</v>
      </c>
      <c r="E629" s="26" t="s">
        <v>6395</v>
      </c>
      <c r="F629" s="26">
        <v>30</v>
      </c>
    </row>
    <row r="630" spans="1:6">
      <c r="A630" s="26" t="s">
        <v>6399</v>
      </c>
      <c r="B630" s="26" t="s">
        <v>6756</v>
      </c>
      <c r="C630" s="26" t="s">
        <v>847</v>
      </c>
      <c r="D630" s="26" t="s">
        <v>6396</v>
      </c>
      <c r="E630" s="26" t="s">
        <v>6395</v>
      </c>
      <c r="F630" s="26">
        <v>30</v>
      </c>
    </row>
    <row r="631" spans="1:6">
      <c r="A631" s="26" t="s">
        <v>6399</v>
      </c>
      <c r="B631" s="26" t="s">
        <v>6755</v>
      </c>
      <c r="C631" s="26" t="s">
        <v>6596</v>
      </c>
      <c r="D631" s="26" t="s">
        <v>6396</v>
      </c>
      <c r="E631" s="26" t="s">
        <v>6395</v>
      </c>
      <c r="F631" s="26">
        <v>30</v>
      </c>
    </row>
    <row r="632" spans="1:6">
      <c r="A632" s="26" t="s">
        <v>6399</v>
      </c>
      <c r="B632" s="26" t="s">
        <v>6754</v>
      </c>
      <c r="C632" s="26" t="s">
        <v>6596</v>
      </c>
      <c r="D632" s="26" t="s">
        <v>6396</v>
      </c>
      <c r="E632" s="26" t="s">
        <v>6395</v>
      </c>
      <c r="F632" s="26">
        <v>30</v>
      </c>
    </row>
    <row r="633" spans="1:6">
      <c r="A633" s="26" t="s">
        <v>6399</v>
      </c>
      <c r="B633" s="26" t="s">
        <v>3019</v>
      </c>
      <c r="C633" s="26" t="s">
        <v>742</v>
      </c>
      <c r="D633" s="26" t="s">
        <v>6396</v>
      </c>
      <c r="E633" s="26" t="s">
        <v>6395</v>
      </c>
      <c r="F633" s="26">
        <v>30</v>
      </c>
    </row>
    <row r="634" spans="1:6">
      <c r="A634" s="26" t="s">
        <v>6399</v>
      </c>
      <c r="B634" s="26" t="s">
        <v>1005</v>
      </c>
      <c r="C634" s="26" t="s">
        <v>935</v>
      </c>
      <c r="D634" s="26" t="s">
        <v>6396</v>
      </c>
      <c r="E634" s="26" t="s">
        <v>6395</v>
      </c>
      <c r="F634" s="26">
        <v>30</v>
      </c>
    </row>
    <row r="635" spans="1:6">
      <c r="A635" s="26" t="s">
        <v>6399</v>
      </c>
      <c r="B635" s="26" t="s">
        <v>6753</v>
      </c>
      <c r="C635" s="26" t="s">
        <v>1331</v>
      </c>
      <c r="D635" s="26" t="s">
        <v>6396</v>
      </c>
      <c r="E635" s="26" t="s">
        <v>6678</v>
      </c>
      <c r="F635" s="26">
        <v>30</v>
      </c>
    </row>
    <row r="636" spans="1:6">
      <c r="A636" s="26" t="s">
        <v>6399</v>
      </c>
      <c r="B636" s="26" t="s">
        <v>1334</v>
      </c>
      <c r="C636" s="26" t="s">
        <v>1331</v>
      </c>
      <c r="D636" s="26" t="s">
        <v>6396</v>
      </c>
      <c r="E636" s="26" t="s">
        <v>6678</v>
      </c>
      <c r="F636" s="26">
        <v>30</v>
      </c>
    </row>
    <row r="637" spans="1:6">
      <c r="A637" s="26" t="s">
        <v>6399</v>
      </c>
      <c r="B637" s="26" t="s">
        <v>2277</v>
      </c>
      <c r="C637" s="26" t="s">
        <v>524</v>
      </c>
      <c r="D637" s="26" t="s">
        <v>6396</v>
      </c>
      <c r="E637" s="26" t="s">
        <v>6395</v>
      </c>
      <c r="F637" s="26">
        <v>30</v>
      </c>
    </row>
    <row r="638" spans="1:6">
      <c r="A638" s="26" t="s">
        <v>6399</v>
      </c>
      <c r="B638" s="26" t="s">
        <v>6752</v>
      </c>
      <c r="C638" s="26" t="s">
        <v>6751</v>
      </c>
      <c r="D638" s="26" t="s">
        <v>6396</v>
      </c>
      <c r="E638" s="26" t="s">
        <v>6395</v>
      </c>
      <c r="F638" s="26">
        <v>30</v>
      </c>
    </row>
    <row r="639" spans="1:6">
      <c r="A639" s="26" t="s">
        <v>6399</v>
      </c>
      <c r="B639" s="26" t="s">
        <v>2283</v>
      </c>
      <c r="C639" s="26" t="s">
        <v>227</v>
      </c>
      <c r="D639" s="26" t="s">
        <v>6396</v>
      </c>
      <c r="E639" s="26" t="s">
        <v>6395</v>
      </c>
      <c r="F639" s="26">
        <v>30</v>
      </c>
    </row>
    <row r="640" spans="1:6">
      <c r="A640" s="26" t="s">
        <v>6399</v>
      </c>
      <c r="B640" s="26" t="s">
        <v>6750</v>
      </c>
      <c r="C640" s="26" t="s">
        <v>227</v>
      </c>
      <c r="D640" s="26" t="s">
        <v>6396</v>
      </c>
      <c r="E640" s="26" t="s">
        <v>6395</v>
      </c>
      <c r="F640" s="26">
        <v>30</v>
      </c>
    </row>
    <row r="641" spans="1:7">
      <c r="A641" s="26" t="s">
        <v>6399</v>
      </c>
      <c r="B641" s="26" t="s">
        <v>2008</v>
      </c>
      <c r="C641" s="26" t="s">
        <v>227</v>
      </c>
      <c r="D641" s="26" t="s">
        <v>6396</v>
      </c>
      <c r="E641" s="26" t="s">
        <v>6395</v>
      </c>
      <c r="F641" s="26">
        <v>30</v>
      </c>
    </row>
    <row r="642" spans="1:7">
      <c r="A642" s="26" t="s">
        <v>6399</v>
      </c>
      <c r="B642" s="26" t="s">
        <v>2364</v>
      </c>
      <c r="C642" s="26" t="s">
        <v>884</v>
      </c>
      <c r="D642" s="26" t="s">
        <v>6396</v>
      </c>
      <c r="E642" s="26" t="s">
        <v>6395</v>
      </c>
      <c r="F642" s="26">
        <v>30</v>
      </c>
    </row>
    <row r="643" spans="1:7">
      <c r="A643" s="26" t="s">
        <v>6399</v>
      </c>
      <c r="B643" s="26" t="s">
        <v>6749</v>
      </c>
      <c r="C643" s="26" t="s">
        <v>884</v>
      </c>
      <c r="D643" s="26" t="s">
        <v>6396</v>
      </c>
      <c r="E643" s="26" t="s">
        <v>6395</v>
      </c>
      <c r="F643" s="26">
        <v>30</v>
      </c>
    </row>
    <row r="644" spans="1:7">
      <c r="A644" s="26" t="s">
        <v>6399</v>
      </c>
      <c r="B644" s="26" t="s">
        <v>883</v>
      </c>
      <c r="C644" s="26" t="s">
        <v>884</v>
      </c>
      <c r="D644" s="26" t="s">
        <v>6396</v>
      </c>
      <c r="E644" s="26" t="s">
        <v>6395</v>
      </c>
      <c r="F644" s="26">
        <v>30</v>
      </c>
    </row>
    <row r="645" spans="1:7">
      <c r="A645" s="26" t="s">
        <v>6399</v>
      </c>
      <c r="B645" s="26" t="s">
        <v>6748</v>
      </c>
      <c r="C645" s="26" t="s">
        <v>6747</v>
      </c>
      <c r="D645" s="26" t="s">
        <v>6396</v>
      </c>
      <c r="E645" s="26" t="s">
        <v>6395</v>
      </c>
      <c r="F645" s="26">
        <v>30</v>
      </c>
    </row>
    <row r="646" spans="1:7">
      <c r="A646" s="26" t="s">
        <v>6399</v>
      </c>
      <c r="B646" s="26" t="s">
        <v>2093</v>
      </c>
      <c r="C646" s="26" t="s">
        <v>2094</v>
      </c>
      <c r="D646" s="26" t="s">
        <v>6396</v>
      </c>
      <c r="E646" s="26" t="s">
        <v>6395</v>
      </c>
      <c r="F646" s="26">
        <v>30</v>
      </c>
    </row>
    <row r="647" spans="1:7">
      <c r="A647" s="26" t="s">
        <v>6399</v>
      </c>
      <c r="B647" s="26" t="s">
        <v>6746</v>
      </c>
      <c r="C647" s="26" t="s">
        <v>6745</v>
      </c>
      <c r="D647" s="26" t="s">
        <v>6396</v>
      </c>
      <c r="E647" s="26" t="s">
        <v>6395</v>
      </c>
      <c r="F647" s="26">
        <v>30</v>
      </c>
    </row>
    <row r="648" spans="1:7">
      <c r="A648" s="26" t="s">
        <v>6399</v>
      </c>
      <c r="B648" s="26" t="s">
        <v>6744</v>
      </c>
      <c r="C648" s="26" t="s">
        <v>6742</v>
      </c>
      <c r="D648" s="26" t="s">
        <v>6396</v>
      </c>
      <c r="E648" s="26" t="s">
        <v>6443</v>
      </c>
      <c r="F648" s="26">
        <v>30</v>
      </c>
    </row>
    <row r="649" spans="1:7">
      <c r="A649" s="26" t="s">
        <v>6399</v>
      </c>
      <c r="B649" s="26" t="s">
        <v>6743</v>
      </c>
      <c r="C649" s="26" t="s">
        <v>6742</v>
      </c>
      <c r="D649" s="26" t="s">
        <v>6396</v>
      </c>
      <c r="E649" s="26" t="s">
        <v>6443</v>
      </c>
      <c r="F649" s="26">
        <v>30</v>
      </c>
    </row>
    <row r="650" spans="1:7">
      <c r="A650" s="26" t="s">
        <v>6399</v>
      </c>
      <c r="B650" s="26" t="s">
        <v>6741</v>
      </c>
      <c r="C650" s="26" t="s">
        <v>6740</v>
      </c>
      <c r="D650" s="26" t="s">
        <v>6396</v>
      </c>
      <c r="E650" s="26" t="s">
        <v>6395</v>
      </c>
      <c r="F650" s="26">
        <v>30</v>
      </c>
    </row>
    <row r="651" spans="1:7">
      <c r="A651" s="26" t="s">
        <v>6399</v>
      </c>
      <c r="B651" s="26" t="s">
        <v>6739</v>
      </c>
      <c r="C651" s="26" t="s">
        <v>6737</v>
      </c>
      <c r="D651" s="26" t="s">
        <v>6396</v>
      </c>
      <c r="E651" s="26" t="s">
        <v>6443</v>
      </c>
    </row>
    <row r="652" spans="1:7">
      <c r="A652" s="26" t="s">
        <v>6399</v>
      </c>
      <c r="B652" s="26" t="s">
        <v>6738</v>
      </c>
      <c r="C652" s="26" t="s">
        <v>6737</v>
      </c>
      <c r="D652" s="26" t="s">
        <v>6396</v>
      </c>
      <c r="E652" s="26" t="s">
        <v>6395</v>
      </c>
      <c r="F652" s="26">
        <v>30</v>
      </c>
    </row>
    <row r="653" spans="1:7">
      <c r="A653" s="26" t="s">
        <v>6399</v>
      </c>
      <c r="B653" s="26" t="s">
        <v>3253</v>
      </c>
      <c r="C653" s="26" t="s">
        <v>3254</v>
      </c>
      <c r="D653" s="26" t="s">
        <v>6396</v>
      </c>
      <c r="E653" s="26" t="s">
        <v>6395</v>
      </c>
      <c r="F653" s="26">
        <v>30</v>
      </c>
    </row>
    <row r="654" spans="1:7">
      <c r="A654" s="26" t="s">
        <v>6399</v>
      </c>
      <c r="B654" s="26" t="s">
        <v>6736</v>
      </c>
      <c r="C654" s="26" t="s">
        <v>27</v>
      </c>
      <c r="D654" s="26" t="s">
        <v>6396</v>
      </c>
      <c r="E654" s="26" t="s">
        <v>6395</v>
      </c>
      <c r="F654" s="26">
        <v>30</v>
      </c>
    </row>
    <row r="655" spans="1:7">
      <c r="A655" s="26" t="s">
        <v>6399</v>
      </c>
      <c r="B655" s="26" t="s">
        <v>6735</v>
      </c>
      <c r="C655" s="26" t="s">
        <v>27</v>
      </c>
      <c r="D655" s="26" t="s">
        <v>6396</v>
      </c>
      <c r="E655" s="26" t="s">
        <v>6395</v>
      </c>
      <c r="F655" s="26">
        <v>30</v>
      </c>
      <c r="G655" s="26" t="s">
        <v>6585</v>
      </c>
    </row>
    <row r="656" spans="1:7">
      <c r="A656" s="26" t="s">
        <v>6399</v>
      </c>
      <c r="B656" s="26" t="s">
        <v>6734</v>
      </c>
      <c r="C656" s="26" t="s">
        <v>6555</v>
      </c>
      <c r="D656" s="26" t="s">
        <v>6434</v>
      </c>
      <c r="E656" s="26" t="s">
        <v>6395</v>
      </c>
      <c r="F656" s="26">
        <v>30</v>
      </c>
    </row>
    <row r="657" spans="1:6">
      <c r="A657" s="26" t="s">
        <v>6399</v>
      </c>
      <c r="B657" s="26" t="s">
        <v>6733</v>
      </c>
      <c r="C657" s="26" t="s">
        <v>6545</v>
      </c>
      <c r="D657" s="26" t="s">
        <v>6396</v>
      </c>
      <c r="E657" s="26" t="s">
        <v>6395</v>
      </c>
      <c r="F657" s="26">
        <v>30</v>
      </c>
    </row>
    <row r="658" spans="1:6">
      <c r="A658" s="26" t="s">
        <v>6399</v>
      </c>
      <c r="B658" s="26" t="s">
        <v>889</v>
      </c>
      <c r="C658" s="26" t="s">
        <v>6545</v>
      </c>
      <c r="D658" s="26" t="s">
        <v>6396</v>
      </c>
      <c r="E658" s="26" t="s">
        <v>6395</v>
      </c>
      <c r="F658" s="26">
        <v>30</v>
      </c>
    </row>
    <row r="659" spans="1:6">
      <c r="A659" s="26" t="s">
        <v>6399</v>
      </c>
      <c r="B659" s="26" t="s">
        <v>6732</v>
      </c>
      <c r="C659" s="26" t="s">
        <v>6731</v>
      </c>
      <c r="D659" s="26" t="s">
        <v>6396</v>
      </c>
      <c r="E659" s="26" t="s">
        <v>6395</v>
      </c>
      <c r="F659" s="26">
        <v>30</v>
      </c>
    </row>
    <row r="660" spans="1:6">
      <c r="A660" s="26" t="s">
        <v>6399</v>
      </c>
      <c r="B660" s="26" t="s">
        <v>655</v>
      </c>
      <c r="C660" s="26" t="s">
        <v>466</v>
      </c>
      <c r="D660" s="26" t="s">
        <v>6396</v>
      </c>
      <c r="E660" s="26" t="s">
        <v>6395</v>
      </c>
      <c r="F660" s="26">
        <v>30</v>
      </c>
    </row>
    <row r="661" spans="1:6">
      <c r="A661" s="26" t="s">
        <v>6399</v>
      </c>
      <c r="B661" s="26" t="s">
        <v>6730</v>
      </c>
      <c r="C661" s="26" t="s">
        <v>142</v>
      </c>
      <c r="D661" s="26" t="s">
        <v>6396</v>
      </c>
      <c r="E661" s="26" t="s">
        <v>6395</v>
      </c>
      <c r="F661" s="26">
        <v>30</v>
      </c>
    </row>
    <row r="662" spans="1:6">
      <c r="A662" s="26" t="s">
        <v>6399</v>
      </c>
      <c r="B662" s="26" t="s">
        <v>6729</v>
      </c>
      <c r="C662" s="26" t="s">
        <v>142</v>
      </c>
      <c r="D662" s="26" t="s">
        <v>6396</v>
      </c>
      <c r="E662" s="26" t="s">
        <v>6395</v>
      </c>
      <c r="F662" s="26">
        <v>30</v>
      </c>
    </row>
    <row r="663" spans="1:6">
      <c r="A663" s="26" t="s">
        <v>6399</v>
      </c>
      <c r="B663" s="26" t="s">
        <v>426</v>
      </c>
      <c r="C663" s="26" t="s">
        <v>142</v>
      </c>
      <c r="D663" s="26" t="s">
        <v>6396</v>
      </c>
      <c r="E663" s="26" t="s">
        <v>6395</v>
      </c>
      <c r="F663" s="26">
        <v>30</v>
      </c>
    </row>
    <row r="664" spans="1:6">
      <c r="A664" s="26" t="s">
        <v>6399</v>
      </c>
      <c r="B664" s="26" t="s">
        <v>2605</v>
      </c>
      <c r="C664" s="26" t="s">
        <v>541</v>
      </c>
      <c r="D664" s="26" t="s">
        <v>6396</v>
      </c>
      <c r="E664" s="26" t="s">
        <v>6395</v>
      </c>
      <c r="F664" s="26">
        <v>30</v>
      </c>
    </row>
    <row r="665" spans="1:6">
      <c r="A665" s="26" t="s">
        <v>6399</v>
      </c>
      <c r="B665" s="26" t="s">
        <v>2116</v>
      </c>
      <c r="C665" s="26" t="s">
        <v>776</v>
      </c>
      <c r="D665" s="26" t="s">
        <v>6396</v>
      </c>
      <c r="E665" s="26" t="s">
        <v>6395</v>
      </c>
      <c r="F665" s="26">
        <v>30</v>
      </c>
    </row>
    <row r="666" spans="1:6">
      <c r="A666" s="26" t="s">
        <v>6399</v>
      </c>
      <c r="B666" s="26" t="s">
        <v>6728</v>
      </c>
      <c r="C666" s="26" t="s">
        <v>6727</v>
      </c>
      <c r="D666" s="26" t="s">
        <v>6396</v>
      </c>
      <c r="E666" s="26" t="s">
        <v>6395</v>
      </c>
      <c r="F666" s="26">
        <v>30</v>
      </c>
    </row>
    <row r="667" spans="1:6">
      <c r="A667" s="26" t="s">
        <v>6399</v>
      </c>
      <c r="B667" s="26" t="s">
        <v>6726</v>
      </c>
      <c r="C667" s="26" t="s">
        <v>509</v>
      </c>
      <c r="D667" s="26" t="s">
        <v>6396</v>
      </c>
      <c r="E667" s="26" t="s">
        <v>6395</v>
      </c>
      <c r="F667" s="26">
        <v>30</v>
      </c>
    </row>
    <row r="668" spans="1:6">
      <c r="A668" s="26" t="s">
        <v>6399</v>
      </c>
      <c r="B668" s="26" t="s">
        <v>3095</v>
      </c>
      <c r="C668" s="26" t="s">
        <v>509</v>
      </c>
      <c r="D668" s="26" t="s">
        <v>6396</v>
      </c>
      <c r="E668" s="26" t="s">
        <v>6395</v>
      </c>
      <c r="F668" s="26">
        <v>30</v>
      </c>
    </row>
    <row r="669" spans="1:6">
      <c r="A669" s="26" t="s">
        <v>6399</v>
      </c>
      <c r="B669" s="26" t="s">
        <v>508</v>
      </c>
      <c r="C669" s="26" t="s">
        <v>509</v>
      </c>
      <c r="D669" s="26" t="s">
        <v>6396</v>
      </c>
      <c r="E669" s="26" t="s">
        <v>6395</v>
      </c>
      <c r="F669" s="26">
        <v>30</v>
      </c>
    </row>
    <row r="670" spans="1:6">
      <c r="A670" s="26" t="s">
        <v>6399</v>
      </c>
      <c r="B670" s="26" t="s">
        <v>3147</v>
      </c>
      <c r="C670" s="26" t="s">
        <v>2969</v>
      </c>
      <c r="D670" s="26" t="s">
        <v>6396</v>
      </c>
      <c r="E670" s="26" t="s">
        <v>6395</v>
      </c>
      <c r="F670" s="26">
        <v>30</v>
      </c>
    </row>
    <row r="671" spans="1:6">
      <c r="A671" s="26" t="s">
        <v>6399</v>
      </c>
      <c r="B671" s="26" t="s">
        <v>6725</v>
      </c>
      <c r="C671" s="26" t="s">
        <v>2272</v>
      </c>
      <c r="D671" s="26" t="s">
        <v>6396</v>
      </c>
      <c r="E671" s="26" t="s">
        <v>6395</v>
      </c>
      <c r="F671" s="26">
        <v>30</v>
      </c>
    </row>
    <row r="672" spans="1:6">
      <c r="A672" s="26" t="s">
        <v>6399</v>
      </c>
      <c r="B672" s="26" t="s">
        <v>6724</v>
      </c>
      <c r="C672" s="26" t="s">
        <v>2272</v>
      </c>
      <c r="D672" s="26" t="s">
        <v>6396</v>
      </c>
      <c r="E672" s="26" t="s">
        <v>6395</v>
      </c>
      <c r="F672" s="26">
        <v>30</v>
      </c>
    </row>
    <row r="673" spans="1:6">
      <c r="A673" s="26" t="s">
        <v>6399</v>
      </c>
      <c r="B673" s="26" t="s">
        <v>6723</v>
      </c>
      <c r="C673" s="26" t="s">
        <v>2272</v>
      </c>
      <c r="D673" s="26" t="s">
        <v>6396</v>
      </c>
      <c r="E673" s="26" t="s">
        <v>6395</v>
      </c>
      <c r="F673" s="26">
        <v>30</v>
      </c>
    </row>
    <row r="674" spans="1:6">
      <c r="A674" s="26" t="s">
        <v>6399</v>
      </c>
      <c r="B674" s="26" t="s">
        <v>6722</v>
      </c>
      <c r="C674" s="26" t="s">
        <v>2272</v>
      </c>
      <c r="D674" s="26" t="s">
        <v>6434</v>
      </c>
      <c r="E674" s="26" t="s">
        <v>6395</v>
      </c>
      <c r="F674" s="26">
        <v>30</v>
      </c>
    </row>
    <row r="675" spans="1:6">
      <c r="A675" s="26" t="s">
        <v>6399</v>
      </c>
      <c r="B675" s="26" t="s">
        <v>6721</v>
      </c>
      <c r="C675" s="26" t="s">
        <v>2272</v>
      </c>
      <c r="D675" s="26" t="s">
        <v>6396</v>
      </c>
      <c r="E675" s="26" t="s">
        <v>6395</v>
      </c>
      <c r="F675" s="26">
        <v>30</v>
      </c>
    </row>
    <row r="676" spans="1:6">
      <c r="A676" s="26" t="s">
        <v>6399</v>
      </c>
      <c r="B676" s="26" t="s">
        <v>6720</v>
      </c>
      <c r="C676" s="26" t="s">
        <v>2272</v>
      </c>
      <c r="D676" s="26" t="s">
        <v>6396</v>
      </c>
      <c r="E676" s="26" t="s">
        <v>6395</v>
      </c>
      <c r="F676" s="26">
        <v>30</v>
      </c>
    </row>
    <row r="677" spans="1:6">
      <c r="A677" s="26" t="s">
        <v>6399</v>
      </c>
      <c r="B677" s="26" t="s">
        <v>2471</v>
      </c>
      <c r="C677" s="26" t="s">
        <v>2472</v>
      </c>
      <c r="D677" s="26" t="s">
        <v>6396</v>
      </c>
      <c r="E677" s="26" t="s">
        <v>6395</v>
      </c>
      <c r="F677" s="26">
        <v>30</v>
      </c>
    </row>
    <row r="678" spans="1:6">
      <c r="A678" s="26" t="s">
        <v>6399</v>
      </c>
      <c r="B678" s="26" t="s">
        <v>6719</v>
      </c>
      <c r="C678" s="26" t="s">
        <v>6718</v>
      </c>
      <c r="D678" s="26" t="s">
        <v>6396</v>
      </c>
      <c r="E678" s="26" t="s">
        <v>6395</v>
      </c>
      <c r="F678" s="26">
        <v>30</v>
      </c>
    </row>
    <row r="679" spans="1:6">
      <c r="A679" s="26" t="s">
        <v>6399</v>
      </c>
      <c r="B679" s="26" t="s">
        <v>3278</v>
      </c>
      <c r="C679" s="26" t="s">
        <v>3279</v>
      </c>
      <c r="D679" s="26" t="s">
        <v>6396</v>
      </c>
      <c r="E679" s="26" t="s">
        <v>6395</v>
      </c>
      <c r="F679" s="26">
        <v>30</v>
      </c>
    </row>
    <row r="680" spans="1:6">
      <c r="A680" s="26" t="s">
        <v>6399</v>
      </c>
      <c r="B680" s="26" t="s">
        <v>1525</v>
      </c>
      <c r="C680" s="26" t="s">
        <v>154</v>
      </c>
      <c r="D680" s="26" t="s">
        <v>6396</v>
      </c>
      <c r="E680" s="26" t="s">
        <v>6395</v>
      </c>
      <c r="F680" s="26">
        <v>30</v>
      </c>
    </row>
    <row r="681" spans="1:6">
      <c r="A681" s="26" t="s">
        <v>6399</v>
      </c>
      <c r="B681" s="26" t="s">
        <v>259</v>
      </c>
      <c r="C681" s="26" t="s">
        <v>154</v>
      </c>
      <c r="D681" s="26" t="s">
        <v>6396</v>
      </c>
      <c r="E681" s="26" t="s">
        <v>6395</v>
      </c>
      <c r="F681" s="26">
        <v>30</v>
      </c>
    </row>
    <row r="682" spans="1:6">
      <c r="A682" s="26" t="s">
        <v>6399</v>
      </c>
      <c r="B682" s="26" t="s">
        <v>289</v>
      </c>
      <c r="C682" s="26" t="s">
        <v>154</v>
      </c>
      <c r="D682" s="26" t="s">
        <v>6396</v>
      </c>
      <c r="E682" s="26" t="s">
        <v>6395</v>
      </c>
      <c r="F682" s="26">
        <v>30</v>
      </c>
    </row>
    <row r="683" spans="1:6">
      <c r="A683" s="26" t="s">
        <v>6399</v>
      </c>
      <c r="B683" s="26" t="s">
        <v>985</v>
      </c>
      <c r="C683" s="26" t="s">
        <v>154</v>
      </c>
      <c r="D683" s="26" t="s">
        <v>6396</v>
      </c>
      <c r="E683" s="26" t="s">
        <v>6395</v>
      </c>
      <c r="F683" s="26">
        <v>30</v>
      </c>
    </row>
    <row r="684" spans="1:6">
      <c r="A684" s="26" t="s">
        <v>6399</v>
      </c>
      <c r="B684" s="26" t="s">
        <v>2732</v>
      </c>
      <c r="C684" s="26" t="s">
        <v>188</v>
      </c>
      <c r="D684" s="26" t="s">
        <v>6396</v>
      </c>
      <c r="E684" s="26" t="s">
        <v>6395</v>
      </c>
      <c r="F684" s="26">
        <v>30</v>
      </c>
    </row>
    <row r="685" spans="1:6">
      <c r="A685" s="26" t="s">
        <v>6399</v>
      </c>
      <c r="B685" s="26" t="s">
        <v>6717</v>
      </c>
      <c r="C685" s="26" t="s">
        <v>188</v>
      </c>
      <c r="D685" s="26" t="s">
        <v>6396</v>
      </c>
      <c r="E685" s="26" t="s">
        <v>6395</v>
      </c>
      <c r="F685" s="26">
        <v>30</v>
      </c>
    </row>
    <row r="686" spans="1:6">
      <c r="A686" s="26" t="s">
        <v>6399</v>
      </c>
      <c r="B686" s="26" t="s">
        <v>6716</v>
      </c>
      <c r="C686" s="26" t="s">
        <v>188</v>
      </c>
      <c r="D686" s="26" t="s">
        <v>6396</v>
      </c>
      <c r="E686" s="26" t="s">
        <v>6395</v>
      </c>
      <c r="F686" s="26">
        <v>30</v>
      </c>
    </row>
    <row r="687" spans="1:6">
      <c r="A687" s="26" t="s">
        <v>6399</v>
      </c>
      <c r="B687" s="26" t="s">
        <v>6715</v>
      </c>
      <c r="C687" s="26" t="s">
        <v>6714</v>
      </c>
      <c r="D687" s="26" t="s">
        <v>6396</v>
      </c>
      <c r="E687" s="26" t="s">
        <v>6443</v>
      </c>
      <c r="F687" s="26">
        <v>30</v>
      </c>
    </row>
    <row r="688" spans="1:6">
      <c r="A688" s="26" t="s">
        <v>6399</v>
      </c>
      <c r="B688" s="26" t="s">
        <v>6713</v>
      </c>
      <c r="C688" s="26" t="s">
        <v>6712</v>
      </c>
      <c r="D688" s="26" t="s">
        <v>6434</v>
      </c>
      <c r="E688" s="26" t="s">
        <v>6395</v>
      </c>
      <c r="F688" s="26">
        <v>50</v>
      </c>
    </row>
    <row r="689" spans="1:7">
      <c r="A689" s="26" t="s">
        <v>6399</v>
      </c>
      <c r="B689" s="26" t="s">
        <v>6711</v>
      </c>
      <c r="C689" s="26" t="s">
        <v>6710</v>
      </c>
      <c r="D689" s="26" t="s">
        <v>6542</v>
      </c>
      <c r="E689" s="26" t="s">
        <v>6395</v>
      </c>
      <c r="F689" s="26">
        <v>50</v>
      </c>
    </row>
    <row r="690" spans="1:7">
      <c r="A690" s="26" t="s">
        <v>6399</v>
      </c>
      <c r="B690" s="26" t="s">
        <v>6709</v>
      </c>
      <c r="C690" s="26" t="s">
        <v>6499</v>
      </c>
      <c r="D690" s="26" t="s">
        <v>6480</v>
      </c>
      <c r="E690" s="26" t="s">
        <v>6395</v>
      </c>
      <c r="F690" s="26">
        <v>50</v>
      </c>
    </row>
    <row r="691" spans="1:7">
      <c r="A691" s="26" t="s">
        <v>6399</v>
      </c>
      <c r="B691" s="26" t="s">
        <v>6708</v>
      </c>
      <c r="C691" s="26" t="s">
        <v>6499</v>
      </c>
      <c r="D691" s="26" t="s">
        <v>6480</v>
      </c>
      <c r="E691" s="26" t="s">
        <v>6395</v>
      </c>
      <c r="F691" s="26">
        <v>50</v>
      </c>
      <c r="G691" s="26" t="s">
        <v>6707</v>
      </c>
    </row>
    <row r="692" spans="1:7">
      <c r="A692" s="26" t="s">
        <v>6399</v>
      </c>
      <c r="B692" s="26" t="s">
        <v>244</v>
      </c>
      <c r="C692" s="26" t="s">
        <v>6659</v>
      </c>
      <c r="D692" s="26" t="s">
        <v>6396</v>
      </c>
      <c r="E692" s="26" t="s">
        <v>6395</v>
      </c>
      <c r="F692" s="26">
        <v>50</v>
      </c>
    </row>
    <row r="693" spans="1:7">
      <c r="A693" s="26" t="s">
        <v>6399</v>
      </c>
      <c r="B693" s="26" t="s">
        <v>6706</v>
      </c>
      <c r="C693" s="26" t="s">
        <v>6659</v>
      </c>
      <c r="D693" s="26" t="s">
        <v>6396</v>
      </c>
      <c r="E693" s="26" t="s">
        <v>6395</v>
      </c>
      <c r="F693" s="26">
        <v>50</v>
      </c>
    </row>
    <row r="694" spans="1:7">
      <c r="A694" s="26" t="s">
        <v>6399</v>
      </c>
      <c r="B694" s="26" t="s">
        <v>6705</v>
      </c>
      <c r="C694" s="26" t="s">
        <v>6703</v>
      </c>
      <c r="D694" s="26" t="s">
        <v>6434</v>
      </c>
      <c r="E694" s="26" t="s">
        <v>6395</v>
      </c>
      <c r="F694" s="26">
        <v>50</v>
      </c>
    </row>
    <row r="695" spans="1:7">
      <c r="A695" s="26" t="s">
        <v>6399</v>
      </c>
      <c r="B695" s="26" t="s">
        <v>6704</v>
      </c>
      <c r="C695" s="26" t="s">
        <v>6703</v>
      </c>
      <c r="D695" s="26" t="s">
        <v>6434</v>
      </c>
      <c r="E695" s="26" t="s">
        <v>6395</v>
      </c>
      <c r="F695" s="26">
        <v>50</v>
      </c>
    </row>
    <row r="696" spans="1:7">
      <c r="A696" s="26" t="s">
        <v>6399</v>
      </c>
      <c r="B696" s="26" t="s">
        <v>6702</v>
      </c>
      <c r="C696" s="26" t="s">
        <v>6701</v>
      </c>
      <c r="D696" s="26" t="s">
        <v>6480</v>
      </c>
      <c r="E696" s="26" t="s">
        <v>6395</v>
      </c>
      <c r="F696" s="26">
        <v>50</v>
      </c>
    </row>
    <row r="697" spans="1:7">
      <c r="A697" s="26" t="s">
        <v>6399</v>
      </c>
      <c r="B697" s="26" t="s">
        <v>6700</v>
      </c>
      <c r="C697" s="26" t="s">
        <v>6699</v>
      </c>
      <c r="D697" s="26" t="s">
        <v>6480</v>
      </c>
      <c r="E697" s="26" t="s">
        <v>6395</v>
      </c>
      <c r="F697" s="26">
        <v>50</v>
      </c>
    </row>
    <row r="698" spans="1:7">
      <c r="A698" s="26" t="s">
        <v>6399</v>
      </c>
      <c r="B698" s="26" t="s">
        <v>6698</v>
      </c>
      <c r="C698" s="26" t="s">
        <v>6697</v>
      </c>
      <c r="D698" s="26" t="s">
        <v>6480</v>
      </c>
      <c r="E698" s="26" t="s">
        <v>6395</v>
      </c>
      <c r="F698" s="26">
        <v>50</v>
      </c>
    </row>
    <row r="699" spans="1:7">
      <c r="A699" s="26" t="s">
        <v>6399</v>
      </c>
      <c r="B699" s="26" t="s">
        <v>6696</v>
      </c>
      <c r="C699" s="26" t="s">
        <v>6695</v>
      </c>
      <c r="D699" s="26" t="s">
        <v>6542</v>
      </c>
      <c r="E699" s="26" t="s">
        <v>6395</v>
      </c>
      <c r="F699" s="26">
        <v>50</v>
      </c>
    </row>
    <row r="700" spans="1:7">
      <c r="A700" s="26" t="s">
        <v>6399</v>
      </c>
      <c r="B700" s="26" t="s">
        <v>1782</v>
      </c>
      <c r="C700" s="26" t="s">
        <v>6694</v>
      </c>
      <c r="D700" s="26" t="s">
        <v>6396</v>
      </c>
      <c r="E700" s="26" t="s">
        <v>6395</v>
      </c>
      <c r="F700" s="26">
        <v>50</v>
      </c>
    </row>
    <row r="701" spans="1:7">
      <c r="A701" s="26" t="s">
        <v>6399</v>
      </c>
      <c r="B701" s="26" t="s">
        <v>6693</v>
      </c>
      <c r="C701" s="26" t="s">
        <v>1783</v>
      </c>
      <c r="D701" s="26" t="s">
        <v>6396</v>
      </c>
      <c r="E701" s="26" t="s">
        <v>6395</v>
      </c>
      <c r="F701" s="26">
        <v>50</v>
      </c>
    </row>
    <row r="702" spans="1:7">
      <c r="A702" s="26" t="s">
        <v>6399</v>
      </c>
      <c r="B702" s="26" t="s">
        <v>3155</v>
      </c>
      <c r="C702" s="26" t="s">
        <v>6692</v>
      </c>
      <c r="D702" s="26" t="s">
        <v>6396</v>
      </c>
      <c r="E702" s="26" t="s">
        <v>6395</v>
      </c>
      <c r="F702" s="26">
        <v>50</v>
      </c>
    </row>
    <row r="703" spans="1:7">
      <c r="A703" s="26" t="s">
        <v>6399</v>
      </c>
      <c r="B703" s="26" t="s">
        <v>6691</v>
      </c>
      <c r="C703" s="26" t="s">
        <v>6690</v>
      </c>
      <c r="D703" s="26" t="s">
        <v>6396</v>
      </c>
      <c r="E703" s="26" t="s">
        <v>6395</v>
      </c>
      <c r="F703" s="26">
        <v>50</v>
      </c>
    </row>
    <row r="704" spans="1:7" ht="13.9">
      <c r="A704" s="26" t="s">
        <v>6399</v>
      </c>
      <c r="B704" s="26" t="s">
        <v>6689</v>
      </c>
      <c r="C704" s="26" t="s">
        <v>3011</v>
      </c>
      <c r="D704" s="26" t="s">
        <v>6396</v>
      </c>
      <c r="E704" s="39" t="s">
        <v>1611</v>
      </c>
      <c r="F704" s="26">
        <v>50</v>
      </c>
    </row>
    <row r="705" spans="1:6">
      <c r="A705" s="26" t="s">
        <v>6399</v>
      </c>
      <c r="B705" s="26" t="s">
        <v>607</v>
      </c>
      <c r="C705" s="26" t="s">
        <v>592</v>
      </c>
      <c r="D705" s="26" t="s">
        <v>6396</v>
      </c>
      <c r="E705" s="26" t="s">
        <v>6395</v>
      </c>
      <c r="F705" s="26">
        <v>50</v>
      </c>
    </row>
    <row r="706" spans="1:6">
      <c r="A706" s="26" t="s">
        <v>6399</v>
      </c>
      <c r="B706" s="26" t="s">
        <v>6688</v>
      </c>
      <c r="C706" s="26" t="s">
        <v>265</v>
      </c>
      <c r="D706" s="26" t="s">
        <v>6396</v>
      </c>
      <c r="E706" s="26" t="s">
        <v>6395</v>
      </c>
      <c r="F706" s="26">
        <v>50</v>
      </c>
    </row>
    <row r="707" spans="1:6">
      <c r="A707" s="26" t="s">
        <v>6399</v>
      </c>
      <c r="B707" s="26" t="s">
        <v>6687</v>
      </c>
      <c r="C707" s="26" t="s">
        <v>265</v>
      </c>
      <c r="D707" s="26" t="s">
        <v>6396</v>
      </c>
      <c r="E707" s="26" t="s">
        <v>6395</v>
      </c>
      <c r="F707" s="26">
        <v>50</v>
      </c>
    </row>
    <row r="708" spans="1:6">
      <c r="A708" s="26" t="s">
        <v>6399</v>
      </c>
      <c r="B708" s="26" t="s">
        <v>6686</v>
      </c>
      <c r="C708" s="26" t="s">
        <v>6487</v>
      </c>
      <c r="D708" s="26" t="s">
        <v>6396</v>
      </c>
      <c r="E708" s="26" t="s">
        <v>6395</v>
      </c>
      <c r="F708" s="26">
        <v>50</v>
      </c>
    </row>
    <row r="709" spans="1:6">
      <c r="A709" s="26" t="s">
        <v>6399</v>
      </c>
      <c r="B709" s="26" t="s">
        <v>6685</v>
      </c>
      <c r="C709" s="26" t="s">
        <v>1839</v>
      </c>
      <c r="D709" s="26" t="s">
        <v>6434</v>
      </c>
      <c r="E709" s="26" t="s">
        <v>6395</v>
      </c>
      <c r="F709" s="26">
        <v>50</v>
      </c>
    </row>
    <row r="710" spans="1:6">
      <c r="A710" s="26" t="s">
        <v>6399</v>
      </c>
      <c r="B710" s="26" t="s">
        <v>6684</v>
      </c>
      <c r="C710" s="26" t="s">
        <v>6683</v>
      </c>
      <c r="D710" s="26" t="s">
        <v>6396</v>
      </c>
      <c r="E710" s="26" t="s">
        <v>6395</v>
      </c>
      <c r="F710" s="26">
        <v>50</v>
      </c>
    </row>
    <row r="711" spans="1:6">
      <c r="A711" s="26" t="s">
        <v>6399</v>
      </c>
      <c r="B711" s="26" t="s">
        <v>6682</v>
      </c>
      <c r="C711" s="26" t="s">
        <v>6681</v>
      </c>
      <c r="D711" s="26" t="s">
        <v>6396</v>
      </c>
      <c r="E711" s="26" t="s">
        <v>6395</v>
      </c>
      <c r="F711" s="26">
        <v>50</v>
      </c>
    </row>
    <row r="712" spans="1:6">
      <c r="A712" s="26" t="s">
        <v>6399</v>
      </c>
      <c r="B712" s="26" t="s">
        <v>6680</v>
      </c>
      <c r="C712" s="26" t="s">
        <v>574</v>
      </c>
      <c r="D712" s="26" t="s">
        <v>6396</v>
      </c>
      <c r="E712" s="26" t="s">
        <v>6395</v>
      </c>
      <c r="F712" s="26">
        <v>50</v>
      </c>
    </row>
    <row r="713" spans="1:6">
      <c r="A713" s="26" t="s">
        <v>6399</v>
      </c>
      <c r="B713" s="26" t="s">
        <v>6679</v>
      </c>
      <c r="C713" s="26" t="s">
        <v>574</v>
      </c>
      <c r="D713" s="26" t="s">
        <v>6396</v>
      </c>
      <c r="E713" s="26" t="s">
        <v>6395</v>
      </c>
      <c r="F713" s="26">
        <v>50</v>
      </c>
    </row>
    <row r="714" spans="1:6">
      <c r="A714" s="26" t="s">
        <v>6399</v>
      </c>
      <c r="B714" s="26" t="s">
        <v>763</v>
      </c>
      <c r="C714" s="26" t="s">
        <v>21</v>
      </c>
      <c r="D714" s="26" t="s">
        <v>6396</v>
      </c>
      <c r="E714" s="26" t="s">
        <v>6678</v>
      </c>
      <c r="F714" s="26">
        <v>50</v>
      </c>
    </row>
    <row r="715" spans="1:6">
      <c r="A715" s="26" t="s">
        <v>6399</v>
      </c>
      <c r="B715" s="26" t="s">
        <v>1478</v>
      </c>
      <c r="C715" s="26" t="s">
        <v>21</v>
      </c>
      <c r="D715" s="26" t="s">
        <v>6396</v>
      </c>
      <c r="E715" s="26" t="s">
        <v>6395</v>
      </c>
      <c r="F715" s="26">
        <v>50</v>
      </c>
    </row>
    <row r="716" spans="1:6">
      <c r="A716" s="26" t="s">
        <v>6399</v>
      </c>
      <c r="B716" s="26" t="s">
        <v>6677</v>
      </c>
      <c r="C716" s="26" t="s">
        <v>21</v>
      </c>
      <c r="D716" s="26" t="s">
        <v>6396</v>
      </c>
      <c r="E716" s="26" t="s">
        <v>6395</v>
      </c>
      <c r="F716" s="26">
        <v>50</v>
      </c>
    </row>
    <row r="717" spans="1:6">
      <c r="A717" s="26" t="s">
        <v>6399</v>
      </c>
      <c r="B717" s="26" t="s">
        <v>6676</v>
      </c>
      <c r="C717" s="26" t="s">
        <v>478</v>
      </c>
      <c r="D717" s="26" t="s">
        <v>6396</v>
      </c>
      <c r="E717" s="26" t="s">
        <v>6395</v>
      </c>
      <c r="F717" s="26">
        <v>50</v>
      </c>
    </row>
    <row r="718" spans="1:6">
      <c r="A718" s="26" t="s">
        <v>6399</v>
      </c>
      <c r="B718" s="26" t="s">
        <v>6675</v>
      </c>
      <c r="C718" s="26" t="s">
        <v>6473</v>
      </c>
      <c r="D718" s="26" t="s">
        <v>6396</v>
      </c>
      <c r="E718" s="26" t="s">
        <v>6395</v>
      </c>
      <c r="F718" s="26">
        <v>50</v>
      </c>
    </row>
    <row r="719" spans="1:6">
      <c r="A719" s="26" t="s">
        <v>6399</v>
      </c>
      <c r="B719" s="26" t="s">
        <v>6674</v>
      </c>
      <c r="C719" s="26" t="s">
        <v>6473</v>
      </c>
      <c r="D719" s="26" t="s">
        <v>6396</v>
      </c>
      <c r="E719" s="26" t="s">
        <v>6395</v>
      </c>
      <c r="F719" s="26">
        <v>50</v>
      </c>
    </row>
    <row r="720" spans="1:6">
      <c r="A720" s="26" t="s">
        <v>6399</v>
      </c>
      <c r="B720" s="26" t="s">
        <v>6673</v>
      </c>
      <c r="C720" s="26" t="s">
        <v>6473</v>
      </c>
      <c r="D720" s="26" t="s">
        <v>6396</v>
      </c>
      <c r="E720" s="26" t="s">
        <v>6395</v>
      </c>
      <c r="F720" s="26">
        <v>50</v>
      </c>
    </row>
    <row r="721" spans="1:7">
      <c r="A721" s="26" t="s">
        <v>6399</v>
      </c>
      <c r="B721" s="26" t="s">
        <v>2436</v>
      </c>
      <c r="C721" s="26" t="s">
        <v>6473</v>
      </c>
      <c r="D721" s="26" t="s">
        <v>6396</v>
      </c>
      <c r="E721" s="26" t="s">
        <v>6395</v>
      </c>
      <c r="F721" s="26">
        <v>50</v>
      </c>
    </row>
    <row r="722" spans="1:7">
      <c r="A722" s="26" t="s">
        <v>6399</v>
      </c>
      <c r="B722" s="26" t="s">
        <v>820</v>
      </c>
      <c r="C722" s="26" t="s">
        <v>6473</v>
      </c>
      <c r="D722" s="26" t="s">
        <v>6396</v>
      </c>
      <c r="E722" s="26" t="s">
        <v>6395</v>
      </c>
      <c r="F722" s="26">
        <v>50</v>
      </c>
    </row>
    <row r="723" spans="1:7">
      <c r="A723" s="26" t="s">
        <v>6399</v>
      </c>
      <c r="B723" s="26" t="s">
        <v>6672</v>
      </c>
      <c r="C723" s="26" t="s">
        <v>6473</v>
      </c>
      <c r="D723" s="26" t="s">
        <v>6396</v>
      </c>
      <c r="E723" s="26" t="s">
        <v>6395</v>
      </c>
      <c r="F723" s="26">
        <v>50</v>
      </c>
    </row>
    <row r="724" spans="1:7">
      <c r="A724" s="26" t="s">
        <v>6399</v>
      </c>
      <c r="B724" s="26" t="s">
        <v>1585</v>
      </c>
      <c r="C724" s="26" t="s">
        <v>1586</v>
      </c>
      <c r="D724" s="26" t="s">
        <v>6396</v>
      </c>
      <c r="E724" s="26" t="s">
        <v>6395</v>
      </c>
      <c r="F724" s="26">
        <v>50</v>
      </c>
    </row>
    <row r="725" spans="1:7">
      <c r="A725" s="26" t="s">
        <v>6399</v>
      </c>
      <c r="B725" s="26" t="s">
        <v>699</v>
      </c>
      <c r="C725" s="26" t="s">
        <v>700</v>
      </c>
      <c r="D725" s="26" t="s">
        <v>6396</v>
      </c>
      <c r="E725" s="26" t="s">
        <v>6395</v>
      </c>
      <c r="F725" s="26">
        <v>50</v>
      </c>
      <c r="G725" s="26" t="s">
        <v>6671</v>
      </c>
    </row>
    <row r="726" spans="1:7">
      <c r="A726" s="26" t="s">
        <v>6399</v>
      </c>
      <c r="B726" s="26" t="s">
        <v>6670</v>
      </c>
      <c r="C726" s="26" t="s">
        <v>146</v>
      </c>
      <c r="D726" s="26" t="s">
        <v>6396</v>
      </c>
      <c r="E726" s="26" t="s">
        <v>6395</v>
      </c>
      <c r="F726" s="26">
        <v>50</v>
      </c>
    </row>
    <row r="727" spans="1:7">
      <c r="A727" s="26" t="s">
        <v>6399</v>
      </c>
      <c r="B727" s="26" t="s">
        <v>613</v>
      </c>
      <c r="C727" s="26" t="s">
        <v>146</v>
      </c>
      <c r="D727" s="26" t="s">
        <v>6396</v>
      </c>
      <c r="E727" s="26" t="s">
        <v>6395</v>
      </c>
      <c r="F727" s="26">
        <v>50</v>
      </c>
    </row>
    <row r="728" spans="1:7">
      <c r="A728" s="26" t="s">
        <v>6399</v>
      </c>
      <c r="B728" s="26" t="s">
        <v>1406</v>
      </c>
      <c r="C728" s="26" t="s">
        <v>146</v>
      </c>
      <c r="D728" s="26" t="s">
        <v>6396</v>
      </c>
      <c r="E728" s="26" t="s">
        <v>6395</v>
      </c>
      <c r="F728" s="26">
        <v>50</v>
      </c>
    </row>
    <row r="729" spans="1:7">
      <c r="A729" s="26" t="s">
        <v>6399</v>
      </c>
      <c r="B729" s="26" t="s">
        <v>6669</v>
      </c>
      <c r="C729" s="26" t="s">
        <v>6668</v>
      </c>
      <c r="D729" s="26" t="s">
        <v>6396</v>
      </c>
      <c r="E729" s="26" t="s">
        <v>6395</v>
      </c>
      <c r="F729" s="26">
        <v>50</v>
      </c>
    </row>
    <row r="730" spans="1:7">
      <c r="A730" s="26" t="s">
        <v>6399</v>
      </c>
      <c r="B730" s="26" t="s">
        <v>488</v>
      </c>
      <c r="C730" s="26" t="s">
        <v>6667</v>
      </c>
      <c r="D730" s="26" t="s">
        <v>6396</v>
      </c>
      <c r="E730" s="26" t="s">
        <v>6395</v>
      </c>
      <c r="F730" s="26">
        <v>50</v>
      </c>
    </row>
    <row r="731" spans="1:7">
      <c r="A731" s="26" t="s">
        <v>6399</v>
      </c>
      <c r="B731" s="26" t="s">
        <v>2553</v>
      </c>
      <c r="C731" s="26" t="s">
        <v>2554</v>
      </c>
      <c r="D731" s="26" t="s">
        <v>6396</v>
      </c>
      <c r="E731" s="26" t="s">
        <v>6395</v>
      </c>
      <c r="F731" s="26">
        <v>50</v>
      </c>
    </row>
    <row r="732" spans="1:7">
      <c r="A732" s="26" t="s">
        <v>6399</v>
      </c>
      <c r="B732" s="26" t="s">
        <v>6666</v>
      </c>
      <c r="C732" s="26" t="s">
        <v>6665</v>
      </c>
      <c r="D732" s="26" t="s">
        <v>6396</v>
      </c>
      <c r="E732" s="26" t="s">
        <v>6395</v>
      </c>
      <c r="F732" s="26">
        <v>50</v>
      </c>
    </row>
    <row r="733" spans="1:7">
      <c r="A733" s="26" t="s">
        <v>6399</v>
      </c>
      <c r="B733" s="26" t="s">
        <v>6664</v>
      </c>
      <c r="C733" s="26" t="s">
        <v>580</v>
      </c>
      <c r="D733" s="26" t="s">
        <v>6396</v>
      </c>
      <c r="E733" s="26" t="s">
        <v>6395</v>
      </c>
      <c r="F733" s="26">
        <v>50</v>
      </c>
    </row>
    <row r="734" spans="1:7">
      <c r="A734" s="26" t="s">
        <v>6399</v>
      </c>
      <c r="B734" s="26" t="s">
        <v>6663</v>
      </c>
      <c r="C734" s="26" t="s">
        <v>6661</v>
      </c>
      <c r="D734" s="26" t="s">
        <v>6396</v>
      </c>
      <c r="E734" s="26" t="s">
        <v>6395</v>
      </c>
      <c r="F734" s="26">
        <v>50</v>
      </c>
    </row>
    <row r="735" spans="1:7">
      <c r="A735" s="26" t="s">
        <v>6399</v>
      </c>
      <c r="B735" s="26" t="s">
        <v>6662</v>
      </c>
      <c r="C735" s="26" t="s">
        <v>6661</v>
      </c>
      <c r="D735" s="26" t="s">
        <v>6396</v>
      </c>
      <c r="E735" s="26" t="s">
        <v>6395</v>
      </c>
      <c r="F735" s="26">
        <v>50</v>
      </c>
    </row>
    <row r="736" spans="1:7">
      <c r="A736" s="26" t="s">
        <v>6399</v>
      </c>
      <c r="B736" s="26" t="s">
        <v>1206</v>
      </c>
      <c r="C736" s="26" t="s">
        <v>6659</v>
      </c>
      <c r="D736" s="26" t="s">
        <v>6396</v>
      </c>
      <c r="E736" s="26" t="s">
        <v>6395</v>
      </c>
      <c r="F736" s="26">
        <v>50</v>
      </c>
    </row>
    <row r="737" spans="1:6">
      <c r="A737" s="26" t="s">
        <v>6399</v>
      </c>
      <c r="B737" s="26" t="s">
        <v>6660</v>
      </c>
      <c r="C737" s="26" t="s">
        <v>6659</v>
      </c>
      <c r="D737" s="26" t="s">
        <v>6396</v>
      </c>
      <c r="E737" s="26" t="s">
        <v>6395</v>
      </c>
      <c r="F737" s="26">
        <v>50</v>
      </c>
    </row>
    <row r="738" spans="1:6">
      <c r="A738" s="26" t="s">
        <v>6399</v>
      </c>
      <c r="B738" s="26" t="s">
        <v>2688</v>
      </c>
      <c r="C738" s="26" t="s">
        <v>6659</v>
      </c>
      <c r="D738" s="26" t="s">
        <v>6396</v>
      </c>
      <c r="E738" s="26" t="s">
        <v>6395</v>
      </c>
      <c r="F738" s="26">
        <v>50</v>
      </c>
    </row>
    <row r="739" spans="1:6">
      <c r="A739" s="26" t="s">
        <v>6399</v>
      </c>
      <c r="B739" s="26" t="s">
        <v>6658</v>
      </c>
      <c r="C739" s="26" t="s">
        <v>42</v>
      </c>
      <c r="D739" s="26" t="s">
        <v>6396</v>
      </c>
      <c r="E739" s="26" t="s">
        <v>6395</v>
      </c>
      <c r="F739" s="26">
        <v>50</v>
      </c>
    </row>
    <row r="740" spans="1:6">
      <c r="A740" s="26" t="s">
        <v>6399</v>
      </c>
      <c r="B740" s="26" t="s">
        <v>967</v>
      </c>
      <c r="C740" s="26" t="s">
        <v>42</v>
      </c>
      <c r="D740" s="26" t="s">
        <v>6396</v>
      </c>
      <c r="E740" s="26" t="s">
        <v>6395</v>
      </c>
      <c r="F740" s="26">
        <v>50</v>
      </c>
    </row>
    <row r="741" spans="1:6">
      <c r="A741" s="26" t="s">
        <v>6399</v>
      </c>
      <c r="B741" s="26" t="s">
        <v>1797</v>
      </c>
      <c r="C741" s="26" t="s">
        <v>42</v>
      </c>
      <c r="D741" s="26" t="s">
        <v>6396</v>
      </c>
      <c r="E741" s="26" t="s">
        <v>6395</v>
      </c>
      <c r="F741" s="26">
        <v>50</v>
      </c>
    </row>
    <row r="742" spans="1:6">
      <c r="A742" s="26" t="s">
        <v>6399</v>
      </c>
      <c r="B742" s="26" t="s">
        <v>6657</v>
      </c>
      <c r="C742" s="26" t="s">
        <v>6410</v>
      </c>
      <c r="D742" s="26" t="s">
        <v>6396</v>
      </c>
      <c r="E742" s="26" t="s">
        <v>6395</v>
      </c>
      <c r="F742" s="26">
        <v>50</v>
      </c>
    </row>
    <row r="743" spans="1:6">
      <c r="A743" s="26" t="s">
        <v>6399</v>
      </c>
      <c r="B743" s="26" t="s">
        <v>6656</v>
      </c>
      <c r="C743" s="26" t="s">
        <v>209</v>
      </c>
      <c r="D743" s="26" t="s">
        <v>6396</v>
      </c>
      <c r="E743" s="26" t="s">
        <v>6395</v>
      </c>
      <c r="F743" s="26">
        <v>50</v>
      </c>
    </row>
    <row r="744" spans="1:6">
      <c r="A744" s="26" t="s">
        <v>6399</v>
      </c>
      <c r="B744" s="26" t="s">
        <v>208</v>
      </c>
      <c r="C744" s="26" t="s">
        <v>209</v>
      </c>
      <c r="D744" s="26" t="s">
        <v>6396</v>
      </c>
      <c r="E744" s="26" t="s">
        <v>6395</v>
      </c>
      <c r="F744" s="26">
        <v>50</v>
      </c>
    </row>
    <row r="745" spans="1:6">
      <c r="A745" s="26" t="s">
        <v>6399</v>
      </c>
      <c r="B745" s="26" t="s">
        <v>6655</v>
      </c>
      <c r="C745" s="26" t="s">
        <v>209</v>
      </c>
      <c r="D745" s="26" t="s">
        <v>6396</v>
      </c>
      <c r="E745" s="26" t="s">
        <v>6395</v>
      </c>
      <c r="F745" s="26">
        <v>50</v>
      </c>
    </row>
    <row r="746" spans="1:6">
      <c r="A746" s="26" t="s">
        <v>6399</v>
      </c>
      <c r="B746" s="26" t="s">
        <v>212</v>
      </c>
      <c r="C746" s="26" t="s">
        <v>209</v>
      </c>
      <c r="D746" s="26" t="s">
        <v>6396</v>
      </c>
      <c r="E746" s="26" t="s">
        <v>6395</v>
      </c>
      <c r="F746" s="26">
        <v>50</v>
      </c>
    </row>
    <row r="747" spans="1:6">
      <c r="A747" s="26" t="s">
        <v>6399</v>
      </c>
      <c r="B747" s="26" t="s">
        <v>6654</v>
      </c>
      <c r="C747" s="26" t="s">
        <v>209</v>
      </c>
      <c r="D747" s="26" t="s">
        <v>6396</v>
      </c>
      <c r="E747" s="26" t="s">
        <v>6395</v>
      </c>
      <c r="F747" s="26">
        <v>50</v>
      </c>
    </row>
    <row r="748" spans="1:6">
      <c r="A748" s="26" t="s">
        <v>6399</v>
      </c>
      <c r="B748" s="26" t="s">
        <v>6653</v>
      </c>
      <c r="C748" s="26" t="s">
        <v>2629</v>
      </c>
      <c r="D748" s="26" t="s">
        <v>6396</v>
      </c>
      <c r="E748" s="26" t="s">
        <v>6395</v>
      </c>
      <c r="F748" s="26">
        <v>50</v>
      </c>
    </row>
    <row r="749" spans="1:6">
      <c r="A749" s="26" t="s">
        <v>6399</v>
      </c>
      <c r="B749" s="26" t="s">
        <v>6652</v>
      </c>
      <c r="C749" s="26" t="s">
        <v>2629</v>
      </c>
      <c r="D749" s="26" t="s">
        <v>6396</v>
      </c>
      <c r="E749" s="26" t="s">
        <v>6395</v>
      </c>
      <c r="F749" s="26">
        <v>50</v>
      </c>
    </row>
    <row r="750" spans="1:6">
      <c r="A750" s="26" t="s">
        <v>6399</v>
      </c>
      <c r="B750" s="26" t="s">
        <v>6651</v>
      </c>
      <c r="C750" s="26" t="s">
        <v>2629</v>
      </c>
      <c r="D750" s="26" t="s">
        <v>6396</v>
      </c>
      <c r="E750" s="26" t="s">
        <v>6395</v>
      </c>
      <c r="F750" s="26">
        <v>50</v>
      </c>
    </row>
    <row r="751" spans="1:6">
      <c r="A751" s="26" t="s">
        <v>6399</v>
      </c>
      <c r="B751" s="26" t="s">
        <v>6650</v>
      </c>
      <c r="C751" s="26" t="s">
        <v>6649</v>
      </c>
      <c r="D751" s="26" t="s">
        <v>6396</v>
      </c>
      <c r="E751" s="26" t="s">
        <v>6395</v>
      </c>
      <c r="F751" s="26">
        <v>50</v>
      </c>
    </row>
    <row r="752" spans="1:6">
      <c r="A752" s="26" t="s">
        <v>6399</v>
      </c>
      <c r="B752" s="26" t="s">
        <v>6648</v>
      </c>
      <c r="C752" s="26" t="s">
        <v>6646</v>
      </c>
      <c r="D752" s="26" t="s">
        <v>6396</v>
      </c>
      <c r="E752" s="26" t="s">
        <v>6395</v>
      </c>
      <c r="F752" s="26">
        <v>50</v>
      </c>
    </row>
    <row r="753" spans="1:7">
      <c r="A753" s="26" t="s">
        <v>6399</v>
      </c>
      <c r="B753" s="26" t="s">
        <v>6647</v>
      </c>
      <c r="C753" s="26" t="s">
        <v>6646</v>
      </c>
      <c r="D753" s="26" t="s">
        <v>6396</v>
      </c>
      <c r="E753" s="26" t="s">
        <v>6395</v>
      </c>
      <c r="F753" s="26">
        <v>50</v>
      </c>
    </row>
    <row r="754" spans="1:7">
      <c r="A754" s="26" t="s">
        <v>6399</v>
      </c>
      <c r="B754" s="26" t="s">
        <v>6645</v>
      </c>
      <c r="C754" s="26" t="s">
        <v>6644</v>
      </c>
      <c r="D754" s="26" t="s">
        <v>6396</v>
      </c>
      <c r="E754" s="26" t="s">
        <v>6395</v>
      </c>
      <c r="F754" s="26">
        <v>50</v>
      </c>
    </row>
    <row r="755" spans="1:7">
      <c r="A755" s="26" t="s">
        <v>6399</v>
      </c>
      <c r="B755" s="26" t="s">
        <v>6643</v>
      </c>
      <c r="C755" s="26" t="s">
        <v>6462</v>
      </c>
      <c r="D755" s="26" t="s">
        <v>6396</v>
      </c>
      <c r="E755" s="26" t="s">
        <v>6395</v>
      </c>
      <c r="F755" s="26">
        <v>50</v>
      </c>
      <c r="G755" s="26" t="s">
        <v>6642</v>
      </c>
    </row>
    <row r="756" spans="1:7">
      <c r="A756" s="26" t="s">
        <v>6399</v>
      </c>
      <c r="B756" s="26" t="s">
        <v>6641</v>
      </c>
      <c r="C756" s="26" t="s">
        <v>1854</v>
      </c>
      <c r="D756" s="26" t="s">
        <v>6396</v>
      </c>
      <c r="E756" s="26" t="s">
        <v>6395</v>
      </c>
      <c r="F756" s="26">
        <v>50</v>
      </c>
    </row>
    <row r="757" spans="1:7">
      <c r="A757" s="26" t="s">
        <v>6399</v>
      </c>
      <c r="B757" s="26" t="s">
        <v>6640</v>
      </c>
      <c r="C757" s="26" t="s">
        <v>6638</v>
      </c>
      <c r="D757" s="26" t="s">
        <v>6396</v>
      </c>
      <c r="E757" s="26" t="s">
        <v>6395</v>
      </c>
      <c r="F757" s="26">
        <v>50</v>
      </c>
    </row>
    <row r="758" spans="1:7">
      <c r="A758" s="26" t="s">
        <v>6399</v>
      </c>
      <c r="B758" s="26" t="s">
        <v>6639</v>
      </c>
      <c r="C758" s="26" t="s">
        <v>6638</v>
      </c>
      <c r="D758" s="26" t="s">
        <v>6396</v>
      </c>
      <c r="E758" s="26" t="s">
        <v>6395</v>
      </c>
      <c r="F758" s="26">
        <v>50</v>
      </c>
    </row>
    <row r="759" spans="1:7">
      <c r="A759" s="26" t="s">
        <v>6399</v>
      </c>
      <c r="B759" s="26" t="s">
        <v>6637</v>
      </c>
      <c r="C759" s="26" t="s">
        <v>6636</v>
      </c>
      <c r="D759" s="26" t="s">
        <v>6396</v>
      </c>
      <c r="E759" s="26" t="s">
        <v>6395</v>
      </c>
      <c r="F759" s="26">
        <v>50</v>
      </c>
    </row>
    <row r="760" spans="1:7">
      <c r="A760" s="26" t="s">
        <v>6399</v>
      </c>
      <c r="B760" s="26" t="s">
        <v>649</v>
      </c>
      <c r="C760" s="26" t="s">
        <v>650</v>
      </c>
      <c r="D760" s="26" t="s">
        <v>6396</v>
      </c>
      <c r="E760" s="26" t="s">
        <v>6395</v>
      </c>
      <c r="F760" s="26">
        <v>50</v>
      </c>
    </row>
    <row r="761" spans="1:7">
      <c r="A761" s="26" t="s">
        <v>6399</v>
      </c>
      <c r="B761" s="26" t="s">
        <v>6635</v>
      </c>
      <c r="C761" s="26" t="s">
        <v>6458</v>
      </c>
      <c r="D761" s="26" t="s">
        <v>6434</v>
      </c>
      <c r="E761" s="26" t="s">
        <v>6395</v>
      </c>
      <c r="F761" s="26">
        <v>50</v>
      </c>
    </row>
    <row r="762" spans="1:7">
      <c r="A762" s="26" t="s">
        <v>6399</v>
      </c>
      <c r="B762" s="26" t="s">
        <v>244</v>
      </c>
      <c r="C762" s="26" t="s">
        <v>6458</v>
      </c>
      <c r="D762" s="26" t="s">
        <v>6434</v>
      </c>
      <c r="E762" s="26" t="s">
        <v>6395</v>
      </c>
      <c r="F762" s="26">
        <v>50</v>
      </c>
    </row>
    <row r="763" spans="1:7">
      <c r="A763" s="26" t="s">
        <v>6399</v>
      </c>
      <c r="B763" s="26" t="s">
        <v>6634</v>
      </c>
      <c r="C763" s="26" t="s">
        <v>6633</v>
      </c>
      <c r="D763" s="26" t="s">
        <v>6434</v>
      </c>
      <c r="E763" s="26" t="s">
        <v>6395</v>
      </c>
      <c r="F763" s="26">
        <v>50</v>
      </c>
    </row>
    <row r="764" spans="1:7">
      <c r="A764" s="26" t="s">
        <v>6399</v>
      </c>
      <c r="B764" s="26" t="s">
        <v>1548</v>
      </c>
      <c r="C764" s="26" t="s">
        <v>1545</v>
      </c>
      <c r="D764" s="26" t="s">
        <v>6396</v>
      </c>
      <c r="E764" s="26" t="s">
        <v>6395</v>
      </c>
      <c r="F764" s="26">
        <v>50</v>
      </c>
    </row>
    <row r="765" spans="1:7">
      <c r="A765" s="26" t="s">
        <v>6399</v>
      </c>
      <c r="B765" s="26" t="s">
        <v>1653</v>
      </c>
      <c r="C765" s="26" t="s">
        <v>679</v>
      </c>
      <c r="D765" s="26" t="s">
        <v>6396</v>
      </c>
      <c r="E765" s="26" t="s">
        <v>6395</v>
      </c>
      <c r="F765" s="26">
        <v>50</v>
      </c>
    </row>
    <row r="766" spans="1:7">
      <c r="A766" s="26" t="s">
        <v>6399</v>
      </c>
      <c r="B766" s="26" t="s">
        <v>6632</v>
      </c>
      <c r="C766" s="26" t="s">
        <v>679</v>
      </c>
      <c r="D766" s="26" t="s">
        <v>6396</v>
      </c>
      <c r="E766" s="26" t="s">
        <v>6395</v>
      </c>
      <c r="F766" s="26">
        <v>50</v>
      </c>
    </row>
    <row r="767" spans="1:7">
      <c r="A767" s="26" t="s">
        <v>6399</v>
      </c>
      <c r="B767" s="26" t="s">
        <v>3437</v>
      </c>
      <c r="C767" s="26" t="s">
        <v>679</v>
      </c>
      <c r="D767" s="26" t="s">
        <v>6396</v>
      </c>
      <c r="E767" s="26" t="s">
        <v>6395</v>
      </c>
      <c r="F767" s="26">
        <v>50</v>
      </c>
    </row>
    <row r="768" spans="1:7">
      <c r="A768" s="26" t="s">
        <v>6399</v>
      </c>
      <c r="B768" s="26" t="s">
        <v>1509</v>
      </c>
      <c r="C768" s="26" t="s">
        <v>679</v>
      </c>
      <c r="D768" s="26" t="s">
        <v>6396</v>
      </c>
      <c r="E768" s="26" t="s">
        <v>6395</v>
      </c>
      <c r="F768" s="26">
        <v>50</v>
      </c>
    </row>
    <row r="769" spans="1:7">
      <c r="A769" s="26" t="s">
        <v>6399</v>
      </c>
      <c r="B769" s="26" t="s">
        <v>1423</v>
      </c>
      <c r="C769" s="26" t="s">
        <v>679</v>
      </c>
      <c r="D769" s="26" t="s">
        <v>6396</v>
      </c>
      <c r="E769" s="26" t="s">
        <v>6395</v>
      </c>
      <c r="F769" s="26">
        <v>50</v>
      </c>
    </row>
    <row r="770" spans="1:7">
      <c r="A770" s="26" t="s">
        <v>6399</v>
      </c>
      <c r="B770" s="26" t="s">
        <v>1110</v>
      </c>
      <c r="C770" s="26" t="s">
        <v>679</v>
      </c>
      <c r="D770" s="26" t="s">
        <v>6396</v>
      </c>
      <c r="E770" s="26" t="s">
        <v>6395</v>
      </c>
      <c r="F770" s="26">
        <v>50</v>
      </c>
    </row>
    <row r="771" spans="1:7">
      <c r="A771" s="26" t="s">
        <v>6399</v>
      </c>
      <c r="B771" s="26" t="s">
        <v>1820</v>
      </c>
      <c r="C771" s="26" t="s">
        <v>679</v>
      </c>
      <c r="D771" s="26" t="s">
        <v>6396</v>
      </c>
      <c r="E771" s="26" t="s">
        <v>6395</v>
      </c>
      <c r="F771" s="26">
        <v>50</v>
      </c>
    </row>
    <row r="772" spans="1:7">
      <c r="A772" s="26" t="s">
        <v>6399</v>
      </c>
      <c r="B772" s="26" t="s">
        <v>1383</v>
      </c>
      <c r="C772" s="26" t="s">
        <v>6631</v>
      </c>
      <c r="D772" s="26" t="s">
        <v>6396</v>
      </c>
      <c r="E772" s="26" t="s">
        <v>6395</v>
      </c>
      <c r="F772" s="26">
        <v>50</v>
      </c>
    </row>
    <row r="773" spans="1:7">
      <c r="A773" s="26" t="s">
        <v>6399</v>
      </c>
      <c r="B773" s="26" t="s">
        <v>6630</v>
      </c>
      <c r="C773" s="26" t="s">
        <v>6451</v>
      </c>
      <c r="D773" s="26" t="s">
        <v>6396</v>
      </c>
      <c r="E773" s="26" t="s">
        <v>6395</v>
      </c>
      <c r="F773" s="26">
        <v>50</v>
      </c>
    </row>
    <row r="774" spans="1:7">
      <c r="A774" s="26" t="s">
        <v>6399</v>
      </c>
      <c r="B774" s="26" t="s">
        <v>6629</v>
      </c>
      <c r="C774" s="26" t="s">
        <v>6451</v>
      </c>
      <c r="D774" s="26" t="s">
        <v>6396</v>
      </c>
      <c r="E774" s="26" t="s">
        <v>6395</v>
      </c>
      <c r="F774" s="26">
        <v>50</v>
      </c>
    </row>
    <row r="775" spans="1:7">
      <c r="A775" s="26" t="s">
        <v>6399</v>
      </c>
      <c r="B775" s="26" t="s">
        <v>6628</v>
      </c>
      <c r="C775" s="26" t="s">
        <v>6451</v>
      </c>
      <c r="D775" s="26" t="s">
        <v>6396</v>
      </c>
      <c r="E775" s="26" t="s">
        <v>6395</v>
      </c>
      <c r="F775" s="26">
        <v>50</v>
      </c>
    </row>
    <row r="776" spans="1:7">
      <c r="A776" s="26" t="s">
        <v>6399</v>
      </c>
      <c r="B776" s="26" t="s">
        <v>451</v>
      </c>
      <c r="C776" s="26" t="s">
        <v>446</v>
      </c>
      <c r="D776" s="26" t="s">
        <v>6396</v>
      </c>
      <c r="E776" s="26" t="s">
        <v>6395</v>
      </c>
      <c r="F776" s="26">
        <v>50</v>
      </c>
    </row>
    <row r="777" spans="1:7">
      <c r="A777" s="26" t="s">
        <v>6399</v>
      </c>
      <c r="B777" s="26" t="s">
        <v>6627</v>
      </c>
      <c r="C777" s="26" t="s">
        <v>6407</v>
      </c>
      <c r="D777" s="26" t="s">
        <v>6396</v>
      </c>
      <c r="E777" s="26" t="s">
        <v>6395</v>
      </c>
      <c r="F777" s="26">
        <v>50</v>
      </c>
    </row>
    <row r="778" spans="1:7">
      <c r="A778" s="26" t="s">
        <v>6399</v>
      </c>
      <c r="B778" s="26" t="s">
        <v>174</v>
      </c>
      <c r="C778" s="26" t="s">
        <v>175</v>
      </c>
      <c r="D778" s="26" t="s">
        <v>6396</v>
      </c>
      <c r="E778" s="26" t="s">
        <v>6395</v>
      </c>
      <c r="F778" s="26">
        <v>50</v>
      </c>
      <c r="G778" s="26" t="s">
        <v>6626</v>
      </c>
    </row>
    <row r="779" spans="1:7">
      <c r="A779" s="26" t="s">
        <v>6399</v>
      </c>
      <c r="B779" s="26" t="s">
        <v>6625</v>
      </c>
      <c r="C779" s="26" t="s">
        <v>1062</v>
      </c>
      <c r="D779" s="26" t="s">
        <v>6396</v>
      </c>
      <c r="E779" s="26" t="s">
        <v>6395</v>
      </c>
      <c r="F779" s="26">
        <v>50</v>
      </c>
    </row>
    <row r="780" spans="1:7">
      <c r="A780" s="26" t="s">
        <v>6399</v>
      </c>
      <c r="B780" s="26" t="s">
        <v>6624</v>
      </c>
      <c r="C780" s="26" t="s">
        <v>6623</v>
      </c>
      <c r="D780" s="26" t="s">
        <v>6396</v>
      </c>
      <c r="E780" s="26" t="s">
        <v>6395</v>
      </c>
      <c r="F780" s="26">
        <v>50</v>
      </c>
    </row>
    <row r="781" spans="1:7">
      <c r="A781" s="26" t="s">
        <v>6399</v>
      </c>
      <c r="B781" s="26" t="s">
        <v>483</v>
      </c>
      <c r="C781" s="26" t="s">
        <v>484</v>
      </c>
      <c r="D781" s="26" t="s">
        <v>6396</v>
      </c>
      <c r="E781" s="26" t="s">
        <v>6443</v>
      </c>
      <c r="F781" s="26">
        <v>50</v>
      </c>
    </row>
    <row r="782" spans="1:7">
      <c r="A782" s="26" t="s">
        <v>6399</v>
      </c>
      <c r="B782" s="26" t="s">
        <v>6622</v>
      </c>
      <c r="C782" s="26" t="s">
        <v>484</v>
      </c>
      <c r="D782" s="26" t="s">
        <v>6396</v>
      </c>
      <c r="E782" s="26" t="s">
        <v>6395</v>
      </c>
      <c r="F782" s="26">
        <v>50</v>
      </c>
    </row>
    <row r="783" spans="1:7">
      <c r="A783" s="26" t="s">
        <v>6399</v>
      </c>
      <c r="B783" s="26" t="s">
        <v>6621</v>
      </c>
      <c r="C783" s="26" t="s">
        <v>484</v>
      </c>
      <c r="D783" s="26" t="s">
        <v>6396</v>
      </c>
      <c r="E783" s="26" t="s">
        <v>6395</v>
      </c>
      <c r="F783" s="26">
        <v>50</v>
      </c>
    </row>
    <row r="784" spans="1:7">
      <c r="A784" s="26" t="s">
        <v>6399</v>
      </c>
      <c r="B784" s="26" t="s">
        <v>6620</v>
      </c>
      <c r="C784" s="26" t="s">
        <v>6619</v>
      </c>
      <c r="D784" s="26" t="s">
        <v>6480</v>
      </c>
      <c r="E784" s="26" t="s">
        <v>6395</v>
      </c>
      <c r="F784" s="26">
        <v>50</v>
      </c>
    </row>
    <row r="785" spans="1:6">
      <c r="A785" s="26" t="s">
        <v>6399</v>
      </c>
      <c r="B785" s="26" t="s">
        <v>1451</v>
      </c>
      <c r="C785" s="26" t="s">
        <v>1274</v>
      </c>
      <c r="D785" s="26" t="s">
        <v>6396</v>
      </c>
      <c r="E785" s="26" t="s">
        <v>6395</v>
      </c>
      <c r="F785" s="26">
        <v>50</v>
      </c>
    </row>
    <row r="786" spans="1:6">
      <c r="A786" s="26" t="s">
        <v>6399</v>
      </c>
      <c r="B786" s="26" t="s">
        <v>2588</v>
      </c>
      <c r="C786" s="26" t="s">
        <v>1030</v>
      </c>
      <c r="D786" s="26" t="s">
        <v>6396</v>
      </c>
      <c r="E786" s="26" t="s">
        <v>6395</v>
      </c>
      <c r="F786" s="26">
        <v>50</v>
      </c>
    </row>
    <row r="787" spans="1:6">
      <c r="A787" s="26" t="s">
        <v>6399</v>
      </c>
      <c r="B787" s="26" t="s">
        <v>6618</v>
      </c>
      <c r="C787" s="26" t="s">
        <v>6617</v>
      </c>
      <c r="D787" s="26" t="s">
        <v>6480</v>
      </c>
      <c r="E787" s="26" t="s">
        <v>6395</v>
      </c>
      <c r="F787" s="26">
        <v>50</v>
      </c>
    </row>
    <row r="788" spans="1:6">
      <c r="A788" s="26" t="s">
        <v>6399</v>
      </c>
      <c r="B788" s="26" t="s">
        <v>6616</v>
      </c>
      <c r="C788" s="26" t="s">
        <v>6615</v>
      </c>
      <c r="D788" s="26" t="s">
        <v>6480</v>
      </c>
      <c r="E788" s="26" t="s">
        <v>6395</v>
      </c>
      <c r="F788" s="26">
        <v>50</v>
      </c>
    </row>
    <row r="789" spans="1:6">
      <c r="A789" s="26" t="s">
        <v>6399</v>
      </c>
      <c r="B789" s="26" t="s">
        <v>798</v>
      </c>
      <c r="C789" s="26" t="s">
        <v>6614</v>
      </c>
      <c r="D789" s="26" t="s">
        <v>6396</v>
      </c>
      <c r="E789" s="26" t="s">
        <v>6395</v>
      </c>
      <c r="F789" s="26">
        <v>50</v>
      </c>
    </row>
    <row r="790" spans="1:6">
      <c r="A790" s="26" t="s">
        <v>6399</v>
      </c>
      <c r="B790" s="26" t="s">
        <v>6613</v>
      </c>
      <c r="C790" s="26" t="s">
        <v>6611</v>
      </c>
      <c r="D790" s="26" t="s">
        <v>6396</v>
      </c>
      <c r="E790" s="26" t="s">
        <v>6395</v>
      </c>
      <c r="F790" s="26">
        <v>50</v>
      </c>
    </row>
    <row r="791" spans="1:6">
      <c r="A791" s="26" t="s">
        <v>6399</v>
      </c>
      <c r="B791" s="26" t="s">
        <v>6612</v>
      </c>
      <c r="C791" s="26" t="s">
        <v>6611</v>
      </c>
      <c r="D791" s="26" t="s">
        <v>6396</v>
      </c>
      <c r="E791" s="26" t="s">
        <v>6395</v>
      </c>
      <c r="F791" s="26">
        <v>50</v>
      </c>
    </row>
    <row r="792" spans="1:6">
      <c r="A792" s="26" t="s">
        <v>6399</v>
      </c>
      <c r="B792" s="26" t="s">
        <v>6610</v>
      </c>
      <c r="C792" s="26" t="s">
        <v>1675</v>
      </c>
      <c r="D792" s="26" t="s">
        <v>6396</v>
      </c>
      <c r="E792" s="26" t="s">
        <v>6395</v>
      </c>
      <c r="F792" s="26">
        <v>50</v>
      </c>
    </row>
    <row r="793" spans="1:6">
      <c r="A793" s="26" t="s">
        <v>6399</v>
      </c>
      <c r="B793" s="26" t="s">
        <v>1674</v>
      </c>
      <c r="C793" s="26" t="s">
        <v>1675</v>
      </c>
      <c r="D793" s="26" t="s">
        <v>6396</v>
      </c>
      <c r="E793" s="26" t="s">
        <v>6395</v>
      </c>
      <c r="F793" s="26">
        <v>50</v>
      </c>
    </row>
    <row r="794" spans="1:6">
      <c r="A794" s="26" t="s">
        <v>6399</v>
      </c>
      <c r="B794" s="26" t="s">
        <v>6609</v>
      </c>
      <c r="C794" s="26" t="s">
        <v>782</v>
      </c>
      <c r="D794" s="26" t="s">
        <v>6434</v>
      </c>
      <c r="E794" s="26" t="s">
        <v>6395</v>
      </c>
      <c r="F794" s="26">
        <v>50</v>
      </c>
    </row>
    <row r="795" spans="1:6">
      <c r="A795" s="26" t="s">
        <v>6399</v>
      </c>
      <c r="B795" s="26" t="s">
        <v>6608</v>
      </c>
      <c r="C795" s="26" t="s">
        <v>782</v>
      </c>
      <c r="D795" s="26" t="s">
        <v>6396</v>
      </c>
      <c r="E795" s="26" t="s">
        <v>6395</v>
      </c>
      <c r="F795" s="26">
        <v>50</v>
      </c>
    </row>
    <row r="796" spans="1:6">
      <c r="A796" s="26" t="s">
        <v>6399</v>
      </c>
      <c r="B796" s="26" t="s">
        <v>6607</v>
      </c>
      <c r="C796" s="26" t="s">
        <v>847</v>
      </c>
      <c r="D796" s="26" t="s">
        <v>6396</v>
      </c>
      <c r="E796" s="26" t="s">
        <v>6395</v>
      </c>
      <c r="F796" s="26">
        <v>50</v>
      </c>
    </row>
    <row r="797" spans="1:6">
      <c r="A797" s="26" t="s">
        <v>6399</v>
      </c>
      <c r="B797" s="26" t="s">
        <v>6606</v>
      </c>
      <c r="C797" s="26" t="s">
        <v>6605</v>
      </c>
      <c r="D797" s="26" t="s">
        <v>6396</v>
      </c>
      <c r="E797" s="26" t="s">
        <v>6395</v>
      </c>
      <c r="F797" s="26">
        <v>50</v>
      </c>
    </row>
    <row r="798" spans="1:6">
      <c r="A798" s="26" t="s">
        <v>6399</v>
      </c>
      <c r="B798" s="26" t="s">
        <v>6604</v>
      </c>
      <c r="C798" s="26" t="s">
        <v>6603</v>
      </c>
      <c r="D798" s="26" t="s">
        <v>6396</v>
      </c>
      <c r="E798" s="26" t="s">
        <v>6395</v>
      </c>
      <c r="F798" s="26">
        <v>50</v>
      </c>
    </row>
    <row r="799" spans="1:6">
      <c r="A799" s="26" t="s">
        <v>6399</v>
      </c>
      <c r="B799" s="26" t="s">
        <v>6602</v>
      </c>
      <c r="C799" s="26" t="s">
        <v>6601</v>
      </c>
      <c r="D799" s="26" t="s">
        <v>6396</v>
      </c>
      <c r="E799" s="26" t="s">
        <v>6395</v>
      </c>
      <c r="F799" s="26">
        <v>50</v>
      </c>
    </row>
    <row r="800" spans="1:6">
      <c r="A800" s="26" t="s">
        <v>6399</v>
      </c>
      <c r="B800" s="26" t="s">
        <v>6600</v>
      </c>
      <c r="C800" s="26" t="s">
        <v>6599</v>
      </c>
      <c r="D800" s="26" t="s">
        <v>6396</v>
      </c>
      <c r="E800" s="26" t="s">
        <v>6395</v>
      </c>
      <c r="F800" s="26">
        <v>50</v>
      </c>
    </row>
    <row r="801" spans="1:7">
      <c r="A801" s="26" t="s">
        <v>6399</v>
      </c>
      <c r="B801" s="26" t="s">
        <v>749</v>
      </c>
      <c r="C801" s="26" t="s">
        <v>131</v>
      </c>
      <c r="D801" s="26" t="s">
        <v>6396</v>
      </c>
      <c r="E801" s="26" t="s">
        <v>6395</v>
      </c>
      <c r="F801" s="26">
        <v>50</v>
      </c>
      <c r="G801" s="26" t="s">
        <v>6598</v>
      </c>
    </row>
    <row r="802" spans="1:7">
      <c r="A802" s="26" t="s">
        <v>6399</v>
      </c>
      <c r="B802" s="26" t="s">
        <v>6597</v>
      </c>
      <c r="C802" s="26" t="s">
        <v>6596</v>
      </c>
      <c r="D802" s="26" t="s">
        <v>6396</v>
      </c>
      <c r="E802" s="26" t="s">
        <v>6395</v>
      </c>
      <c r="F802" s="26">
        <v>50</v>
      </c>
    </row>
    <row r="803" spans="1:7">
      <c r="A803" s="26" t="s">
        <v>6399</v>
      </c>
      <c r="B803" s="26" t="s">
        <v>6595</v>
      </c>
      <c r="C803" s="26" t="s">
        <v>6441</v>
      </c>
      <c r="D803" s="26" t="s">
        <v>6396</v>
      </c>
      <c r="E803" s="26" t="s">
        <v>6395</v>
      </c>
      <c r="F803" s="26">
        <v>50</v>
      </c>
    </row>
    <row r="804" spans="1:7">
      <c r="A804" s="26" t="s">
        <v>6399</v>
      </c>
      <c r="B804" s="26" t="s">
        <v>6594</v>
      </c>
      <c r="C804" s="26" t="s">
        <v>742</v>
      </c>
      <c r="D804" s="26" t="s">
        <v>6396</v>
      </c>
      <c r="E804" s="26" t="s">
        <v>6395</v>
      </c>
      <c r="F804" s="26">
        <v>50</v>
      </c>
    </row>
    <row r="805" spans="1:7">
      <c r="A805" s="26" t="s">
        <v>6399</v>
      </c>
      <c r="B805" s="26" t="s">
        <v>6593</v>
      </c>
      <c r="C805" s="26" t="s">
        <v>742</v>
      </c>
      <c r="D805" s="26" t="s">
        <v>6396</v>
      </c>
      <c r="E805" s="26" t="s">
        <v>6395</v>
      </c>
      <c r="F805" s="26">
        <v>50</v>
      </c>
    </row>
    <row r="806" spans="1:7">
      <c r="A806" s="26" t="s">
        <v>6399</v>
      </c>
      <c r="B806" s="26" t="s">
        <v>6592</v>
      </c>
      <c r="C806" s="26" t="s">
        <v>6591</v>
      </c>
      <c r="D806" s="26" t="s">
        <v>6396</v>
      </c>
      <c r="E806" s="26" t="s">
        <v>6395</v>
      </c>
      <c r="F806" s="26">
        <v>51</v>
      </c>
    </row>
    <row r="807" spans="1:7">
      <c r="A807" s="26" t="s">
        <v>6399</v>
      </c>
      <c r="B807" s="26" t="s">
        <v>563</v>
      </c>
      <c r="C807" s="26" t="s">
        <v>558</v>
      </c>
      <c r="D807" s="26" t="s">
        <v>6396</v>
      </c>
      <c r="E807" s="26" t="s">
        <v>6411</v>
      </c>
      <c r="F807" s="26">
        <v>50</v>
      </c>
    </row>
    <row r="808" spans="1:7">
      <c r="A808" s="26" t="s">
        <v>6399</v>
      </c>
      <c r="B808" s="26" t="s">
        <v>6590</v>
      </c>
      <c r="C808" s="26" t="s">
        <v>6589</v>
      </c>
      <c r="D808" s="26" t="s">
        <v>6480</v>
      </c>
      <c r="E808" s="26" t="s">
        <v>6395</v>
      </c>
      <c r="F808" s="26">
        <v>50</v>
      </c>
    </row>
    <row r="809" spans="1:7">
      <c r="A809" s="26" t="s">
        <v>6399</v>
      </c>
      <c r="B809" s="26" t="s">
        <v>6588</v>
      </c>
      <c r="C809" s="26" t="s">
        <v>524</v>
      </c>
      <c r="D809" s="26" t="s">
        <v>6396</v>
      </c>
      <c r="E809" s="26" t="s">
        <v>6395</v>
      </c>
      <c r="F809" s="26">
        <v>50</v>
      </c>
    </row>
    <row r="810" spans="1:7">
      <c r="A810" s="26" t="s">
        <v>6399</v>
      </c>
      <c r="B810" s="26" t="s">
        <v>625</v>
      </c>
      <c r="C810" s="26" t="s">
        <v>6587</v>
      </c>
      <c r="D810" s="26" t="s">
        <v>6396</v>
      </c>
      <c r="E810" s="26" t="s">
        <v>6395</v>
      </c>
      <c r="F810" s="26">
        <v>51</v>
      </c>
    </row>
    <row r="811" spans="1:7">
      <c r="A811" s="26" t="s">
        <v>6399</v>
      </c>
      <c r="B811" s="26" t="s">
        <v>2352</v>
      </c>
      <c r="C811" s="26" t="s">
        <v>2353</v>
      </c>
      <c r="D811" s="26" t="s">
        <v>6396</v>
      </c>
      <c r="E811" s="26" t="s">
        <v>6395</v>
      </c>
      <c r="F811" s="26">
        <v>50</v>
      </c>
    </row>
    <row r="812" spans="1:7">
      <c r="A812" s="26" t="s">
        <v>6399</v>
      </c>
      <c r="B812" s="26" t="s">
        <v>6586</v>
      </c>
      <c r="C812" s="26" t="s">
        <v>227</v>
      </c>
      <c r="D812" s="26" t="s">
        <v>6396</v>
      </c>
      <c r="E812" s="26" t="s">
        <v>6395</v>
      </c>
      <c r="F812" s="26">
        <v>50</v>
      </c>
      <c r="G812" s="26" t="s">
        <v>6585</v>
      </c>
    </row>
    <row r="813" spans="1:7">
      <c r="A813" s="26" t="s">
        <v>6399</v>
      </c>
      <c r="B813" s="26" t="s">
        <v>226</v>
      </c>
      <c r="C813" s="26" t="s">
        <v>227</v>
      </c>
      <c r="D813" s="26" t="s">
        <v>6396</v>
      </c>
      <c r="E813" s="26" t="s">
        <v>6395</v>
      </c>
      <c r="F813" s="26">
        <v>50</v>
      </c>
    </row>
    <row r="814" spans="1:7">
      <c r="A814" s="26" t="s">
        <v>6399</v>
      </c>
      <c r="B814" s="26" t="s">
        <v>6584</v>
      </c>
      <c r="C814" s="26" t="s">
        <v>227</v>
      </c>
      <c r="D814" s="26" t="s">
        <v>6396</v>
      </c>
      <c r="E814" s="26" t="s">
        <v>6395</v>
      </c>
      <c r="F814" s="26">
        <v>50</v>
      </c>
    </row>
    <row r="815" spans="1:7">
      <c r="A815" s="26" t="s">
        <v>6399</v>
      </c>
      <c r="B815" s="26" t="s">
        <v>6583</v>
      </c>
      <c r="C815" s="26" t="s">
        <v>721</v>
      </c>
      <c r="D815" s="26" t="s">
        <v>6396</v>
      </c>
      <c r="E815" s="26" t="s">
        <v>6395</v>
      </c>
      <c r="F815" s="26">
        <v>50</v>
      </c>
    </row>
    <row r="816" spans="1:7">
      <c r="A816" s="26" t="s">
        <v>6399</v>
      </c>
      <c r="B816" s="26" t="s">
        <v>6582</v>
      </c>
      <c r="C816" s="26" t="s">
        <v>6581</v>
      </c>
      <c r="D816" s="26" t="s">
        <v>6396</v>
      </c>
      <c r="E816" s="26" t="s">
        <v>6395</v>
      </c>
      <c r="F816" s="26">
        <v>50</v>
      </c>
    </row>
    <row r="817" spans="1:6">
      <c r="A817" s="26" t="s">
        <v>6399</v>
      </c>
      <c r="B817" s="26" t="s">
        <v>6580</v>
      </c>
      <c r="C817" s="26" t="s">
        <v>6579</v>
      </c>
      <c r="D817" s="26" t="s">
        <v>6396</v>
      </c>
      <c r="E817" s="26" t="s">
        <v>6395</v>
      </c>
      <c r="F817" s="26">
        <v>50</v>
      </c>
    </row>
    <row r="818" spans="1:6">
      <c r="A818" s="26" t="s">
        <v>6399</v>
      </c>
      <c r="B818" s="26" t="s">
        <v>6578</v>
      </c>
      <c r="C818" s="26" t="s">
        <v>6577</v>
      </c>
      <c r="D818" s="26" t="s">
        <v>6434</v>
      </c>
      <c r="E818" s="26" t="s">
        <v>6395</v>
      </c>
      <c r="F818" s="26">
        <v>50</v>
      </c>
    </row>
    <row r="819" spans="1:6">
      <c r="A819" s="26" t="s">
        <v>6399</v>
      </c>
      <c r="B819" s="26" t="s">
        <v>6576</v>
      </c>
      <c r="C819" s="26" t="s">
        <v>6575</v>
      </c>
      <c r="D819" s="26" t="s">
        <v>6396</v>
      </c>
      <c r="E819" s="26" t="s">
        <v>6395</v>
      </c>
      <c r="F819" s="26">
        <v>50</v>
      </c>
    </row>
    <row r="820" spans="1:6">
      <c r="A820" s="26" t="s">
        <v>6399</v>
      </c>
      <c r="B820" s="26" t="s">
        <v>6574</v>
      </c>
      <c r="C820" s="26" t="s">
        <v>6572</v>
      </c>
      <c r="D820" s="26" t="s">
        <v>6396</v>
      </c>
      <c r="E820" s="26" t="s">
        <v>6395</v>
      </c>
      <c r="F820" s="26">
        <v>50</v>
      </c>
    </row>
    <row r="821" spans="1:6">
      <c r="A821" s="26" t="s">
        <v>6399</v>
      </c>
      <c r="B821" s="26" t="s">
        <v>6573</v>
      </c>
      <c r="C821" s="26" t="s">
        <v>6572</v>
      </c>
      <c r="D821" s="26" t="s">
        <v>6396</v>
      </c>
      <c r="E821" s="26" t="s">
        <v>6395</v>
      </c>
      <c r="F821" s="26">
        <v>50</v>
      </c>
    </row>
    <row r="822" spans="1:6">
      <c r="A822" s="26" t="s">
        <v>6399</v>
      </c>
      <c r="B822" s="26" t="s">
        <v>6571</v>
      </c>
      <c r="C822" s="26" t="s">
        <v>1490</v>
      </c>
      <c r="D822" s="26" t="s">
        <v>6396</v>
      </c>
      <c r="E822" s="26" t="s">
        <v>6395</v>
      </c>
      <c r="F822" s="26">
        <v>50</v>
      </c>
    </row>
    <row r="823" spans="1:6">
      <c r="A823" s="26" t="s">
        <v>6399</v>
      </c>
      <c r="B823" s="26" t="s">
        <v>6570</v>
      </c>
      <c r="C823" s="26" t="s">
        <v>1490</v>
      </c>
      <c r="D823" s="26" t="s">
        <v>6396</v>
      </c>
      <c r="E823" s="26" t="s">
        <v>6395</v>
      </c>
      <c r="F823" s="26">
        <v>50</v>
      </c>
    </row>
    <row r="824" spans="1:6">
      <c r="A824" s="26" t="s">
        <v>6399</v>
      </c>
      <c r="B824" s="26" t="s">
        <v>6569</v>
      </c>
      <c r="C824" s="26" t="s">
        <v>6568</v>
      </c>
      <c r="D824" s="26" t="s">
        <v>6396</v>
      </c>
      <c r="E824" s="26" t="s">
        <v>6395</v>
      </c>
      <c r="F824" s="26">
        <v>50</v>
      </c>
    </row>
    <row r="825" spans="1:6">
      <c r="A825" s="26" t="s">
        <v>6399</v>
      </c>
      <c r="B825" s="26" t="s">
        <v>6567</v>
      </c>
      <c r="C825" s="26" t="s">
        <v>6566</v>
      </c>
      <c r="D825" s="26" t="s">
        <v>6396</v>
      </c>
      <c r="E825" s="26" t="s">
        <v>6395</v>
      </c>
      <c r="F825" s="26">
        <v>50</v>
      </c>
    </row>
    <row r="826" spans="1:6">
      <c r="A826" s="26" t="s">
        <v>6399</v>
      </c>
      <c r="B826" s="26" t="s">
        <v>523</v>
      </c>
      <c r="C826" s="26" t="s">
        <v>27</v>
      </c>
      <c r="D826" s="26" t="s">
        <v>6396</v>
      </c>
      <c r="E826" s="26" t="s">
        <v>6395</v>
      </c>
      <c r="F826" s="26">
        <v>50</v>
      </c>
    </row>
    <row r="827" spans="1:6">
      <c r="A827" s="26" t="s">
        <v>6399</v>
      </c>
      <c r="B827" s="26" t="s">
        <v>530</v>
      </c>
      <c r="C827" s="26" t="s">
        <v>27</v>
      </c>
      <c r="D827" s="26" t="s">
        <v>6396</v>
      </c>
      <c r="E827" s="26" t="s">
        <v>6395</v>
      </c>
      <c r="F827" s="26">
        <v>50</v>
      </c>
    </row>
    <row r="828" spans="1:6">
      <c r="A828" s="26" t="s">
        <v>6399</v>
      </c>
      <c r="B828" s="26" t="s">
        <v>26</v>
      </c>
      <c r="C828" s="26" t="s">
        <v>27</v>
      </c>
      <c r="D828" s="26" t="s">
        <v>6396</v>
      </c>
      <c r="E828" s="26" t="s">
        <v>6395</v>
      </c>
      <c r="F828" s="26">
        <v>50</v>
      </c>
    </row>
    <row r="829" spans="1:6">
      <c r="A829" s="26" t="s">
        <v>6399</v>
      </c>
      <c r="B829" s="26" t="s">
        <v>3050</v>
      </c>
      <c r="C829" s="26" t="s">
        <v>27</v>
      </c>
      <c r="D829" s="26" t="s">
        <v>6396</v>
      </c>
      <c r="E829" s="26" t="s">
        <v>6395</v>
      </c>
      <c r="F829" s="26">
        <v>50</v>
      </c>
    </row>
    <row r="830" spans="1:6">
      <c r="A830" s="26" t="s">
        <v>6399</v>
      </c>
      <c r="B830" s="26" t="s">
        <v>6565</v>
      </c>
      <c r="C830" s="26" t="s">
        <v>27</v>
      </c>
      <c r="D830" s="26" t="s">
        <v>6396</v>
      </c>
      <c r="E830" s="26" t="s">
        <v>6395</v>
      </c>
      <c r="F830" s="26">
        <v>50</v>
      </c>
    </row>
    <row r="831" spans="1:6">
      <c r="A831" s="26" t="s">
        <v>6399</v>
      </c>
      <c r="B831" s="26" t="s">
        <v>872</v>
      </c>
      <c r="C831" s="26" t="s">
        <v>27</v>
      </c>
      <c r="D831" s="26" t="s">
        <v>6396</v>
      </c>
      <c r="E831" s="26" t="s">
        <v>6395</v>
      </c>
      <c r="F831" s="26">
        <v>50</v>
      </c>
    </row>
    <row r="832" spans="1:6">
      <c r="A832" s="26" t="s">
        <v>6399</v>
      </c>
      <c r="B832" s="26" t="s">
        <v>6564</v>
      </c>
      <c r="C832" s="26" t="s">
        <v>6563</v>
      </c>
      <c r="D832" s="26" t="s">
        <v>6396</v>
      </c>
      <c r="E832" s="26" t="s">
        <v>6395</v>
      </c>
      <c r="F832" s="26">
        <v>50</v>
      </c>
    </row>
    <row r="833" spans="1:6">
      <c r="A833" s="26" t="s">
        <v>6399</v>
      </c>
      <c r="B833" s="26" t="s">
        <v>6562</v>
      </c>
      <c r="C833" s="26" t="s">
        <v>6561</v>
      </c>
      <c r="D833" s="26" t="s">
        <v>6396</v>
      </c>
      <c r="E833" s="26" t="s">
        <v>6395</v>
      </c>
      <c r="F833" s="26">
        <v>50</v>
      </c>
    </row>
    <row r="834" spans="1:6">
      <c r="A834" s="26" t="s">
        <v>6399</v>
      </c>
      <c r="B834" s="26" t="s">
        <v>1806</v>
      </c>
      <c r="C834" s="26" t="s">
        <v>6560</v>
      </c>
      <c r="D834" s="26" t="s">
        <v>6396</v>
      </c>
      <c r="E834" s="26" t="s">
        <v>6395</v>
      </c>
      <c r="F834" s="26">
        <v>50</v>
      </c>
    </row>
    <row r="835" spans="1:6">
      <c r="A835" s="26" t="s">
        <v>6399</v>
      </c>
      <c r="B835" s="26" t="s">
        <v>6559</v>
      </c>
      <c r="C835" s="26" t="s">
        <v>6558</v>
      </c>
      <c r="D835" s="26" t="s">
        <v>6396</v>
      </c>
      <c r="E835" s="26" t="s">
        <v>6395</v>
      </c>
      <c r="F835" s="26">
        <v>50</v>
      </c>
    </row>
    <row r="836" spans="1:6">
      <c r="A836" s="26" t="s">
        <v>6399</v>
      </c>
      <c r="B836" s="26" t="s">
        <v>492</v>
      </c>
      <c r="C836" s="26" t="s">
        <v>493</v>
      </c>
      <c r="D836" s="26" t="s">
        <v>6396</v>
      </c>
      <c r="E836" s="26" t="s">
        <v>6395</v>
      </c>
      <c r="F836" s="26">
        <v>50</v>
      </c>
    </row>
    <row r="837" spans="1:6">
      <c r="A837" s="26" t="s">
        <v>6399</v>
      </c>
      <c r="B837" s="26" t="s">
        <v>6557</v>
      </c>
      <c r="C837" s="26" t="s">
        <v>643</v>
      </c>
      <c r="D837" s="26" t="s">
        <v>6396</v>
      </c>
      <c r="E837" s="26" t="s">
        <v>6395</v>
      </c>
      <c r="F837" s="26">
        <v>50</v>
      </c>
    </row>
    <row r="838" spans="1:6">
      <c r="A838" s="26" t="s">
        <v>6399</v>
      </c>
      <c r="B838" s="26" t="s">
        <v>960</v>
      </c>
      <c r="C838" s="26" t="s">
        <v>643</v>
      </c>
      <c r="D838" s="26" t="s">
        <v>6396</v>
      </c>
      <c r="E838" s="26" t="s">
        <v>6395</v>
      </c>
      <c r="F838" s="26">
        <v>50</v>
      </c>
    </row>
    <row r="839" spans="1:6">
      <c r="A839" s="26" t="s">
        <v>6399</v>
      </c>
      <c r="B839" s="26" t="s">
        <v>1793</v>
      </c>
      <c r="C839" s="26" t="s">
        <v>643</v>
      </c>
      <c r="D839" s="26" t="s">
        <v>6396</v>
      </c>
      <c r="E839" s="26" t="s">
        <v>6395</v>
      </c>
      <c r="F839" s="26">
        <v>50</v>
      </c>
    </row>
    <row r="840" spans="1:6">
      <c r="A840" s="26" t="s">
        <v>6399</v>
      </c>
      <c r="B840" s="26" t="s">
        <v>6556</v>
      </c>
      <c r="C840" s="26" t="s">
        <v>6555</v>
      </c>
      <c r="D840" s="26" t="s">
        <v>6434</v>
      </c>
      <c r="E840" s="26" t="s">
        <v>6395</v>
      </c>
      <c r="F840" s="26">
        <v>50</v>
      </c>
    </row>
    <row r="841" spans="1:6">
      <c r="A841" s="26" t="s">
        <v>6399</v>
      </c>
      <c r="B841" s="26" t="s">
        <v>118</v>
      </c>
      <c r="C841" s="26" t="s">
        <v>6554</v>
      </c>
      <c r="D841" s="26" t="s">
        <v>6396</v>
      </c>
      <c r="E841" s="26" t="s">
        <v>6395</v>
      </c>
      <c r="F841" s="26">
        <v>50</v>
      </c>
    </row>
    <row r="842" spans="1:6">
      <c r="A842" s="26" t="s">
        <v>6399</v>
      </c>
      <c r="B842" s="26" t="s">
        <v>6553</v>
      </c>
      <c r="C842" s="26" t="s">
        <v>6552</v>
      </c>
      <c r="D842" s="26" t="s">
        <v>6396</v>
      </c>
      <c r="E842" s="26" t="s">
        <v>6395</v>
      </c>
      <c r="F842" s="26">
        <v>50</v>
      </c>
    </row>
    <row r="843" spans="1:6">
      <c r="A843" s="26" t="s">
        <v>6399</v>
      </c>
      <c r="B843" s="26" t="s">
        <v>6551</v>
      </c>
      <c r="C843" s="26" t="s">
        <v>238</v>
      </c>
      <c r="D843" s="26" t="s">
        <v>6396</v>
      </c>
      <c r="E843" s="26" t="s">
        <v>6395</v>
      </c>
      <c r="F843" s="26">
        <v>50</v>
      </c>
    </row>
    <row r="844" spans="1:6">
      <c r="A844" s="26" t="s">
        <v>6399</v>
      </c>
      <c r="B844" s="26" t="s">
        <v>6550</v>
      </c>
      <c r="C844" s="26" t="s">
        <v>238</v>
      </c>
      <c r="D844" s="26" t="s">
        <v>6396</v>
      </c>
      <c r="E844" s="26" t="s">
        <v>6395</v>
      </c>
      <c r="F844" s="26">
        <v>50</v>
      </c>
    </row>
    <row r="845" spans="1:6">
      <c r="A845" s="26" t="s">
        <v>6399</v>
      </c>
      <c r="B845" s="26" t="s">
        <v>1686</v>
      </c>
      <c r="C845" s="26" t="s">
        <v>238</v>
      </c>
      <c r="D845" s="26" t="s">
        <v>6396</v>
      </c>
      <c r="E845" s="26" t="s">
        <v>6395</v>
      </c>
      <c r="F845" s="26">
        <v>50</v>
      </c>
    </row>
    <row r="846" spans="1:6">
      <c r="A846" s="26" t="s">
        <v>6399</v>
      </c>
      <c r="B846" s="26" t="s">
        <v>6549</v>
      </c>
      <c r="C846" s="26" t="s">
        <v>238</v>
      </c>
      <c r="D846" s="26" t="s">
        <v>6396</v>
      </c>
      <c r="E846" s="26" t="s">
        <v>6395</v>
      </c>
      <c r="F846" s="26">
        <v>50</v>
      </c>
    </row>
    <row r="847" spans="1:6">
      <c r="A847" s="26" t="s">
        <v>6399</v>
      </c>
      <c r="B847" s="26" t="s">
        <v>6548</v>
      </c>
      <c r="C847" s="26" t="s">
        <v>6547</v>
      </c>
      <c r="D847" s="26" t="s">
        <v>6396</v>
      </c>
      <c r="E847" s="26" t="s">
        <v>6443</v>
      </c>
      <c r="F847" s="26">
        <v>50</v>
      </c>
    </row>
    <row r="848" spans="1:6">
      <c r="A848" s="26" t="s">
        <v>6399</v>
      </c>
      <c r="B848" s="26" t="s">
        <v>6546</v>
      </c>
      <c r="C848" s="26" t="s">
        <v>6545</v>
      </c>
      <c r="D848" s="26" t="s">
        <v>6396</v>
      </c>
      <c r="E848" s="26" t="s">
        <v>6443</v>
      </c>
      <c r="F848" s="26">
        <v>50</v>
      </c>
    </row>
    <row r="849" spans="1:6">
      <c r="A849" s="26" t="s">
        <v>6399</v>
      </c>
      <c r="B849" s="26" t="s">
        <v>834</v>
      </c>
      <c r="C849" s="26" t="s">
        <v>6545</v>
      </c>
      <c r="D849" s="26" t="s">
        <v>6396</v>
      </c>
      <c r="E849" s="26" t="s">
        <v>6443</v>
      </c>
      <c r="F849" s="26">
        <v>50</v>
      </c>
    </row>
    <row r="850" spans="1:6">
      <c r="A850" s="26" t="s">
        <v>6399</v>
      </c>
      <c r="B850" s="26" t="s">
        <v>6544</v>
      </c>
      <c r="C850" s="26" t="s">
        <v>6543</v>
      </c>
      <c r="D850" s="26" t="s">
        <v>6542</v>
      </c>
      <c r="E850" s="26" t="s">
        <v>6395</v>
      </c>
      <c r="F850" s="26">
        <v>50</v>
      </c>
    </row>
    <row r="851" spans="1:6">
      <c r="A851" s="26" t="s">
        <v>6399</v>
      </c>
      <c r="B851" s="26" t="s">
        <v>6541</v>
      </c>
      <c r="C851" s="26" t="s">
        <v>6540</v>
      </c>
      <c r="D851" s="26" t="s">
        <v>6396</v>
      </c>
      <c r="E851" s="26" t="s">
        <v>6395</v>
      </c>
      <c r="F851" s="26">
        <v>50</v>
      </c>
    </row>
    <row r="852" spans="1:6">
      <c r="A852" s="26" t="s">
        <v>6399</v>
      </c>
      <c r="B852" s="26" t="s">
        <v>1229</v>
      </c>
      <c r="C852" s="26" t="s">
        <v>1230</v>
      </c>
      <c r="D852" s="26" t="s">
        <v>6396</v>
      </c>
      <c r="E852" s="26" t="s">
        <v>6395</v>
      </c>
      <c r="F852" s="26">
        <v>50</v>
      </c>
    </row>
    <row r="853" spans="1:6">
      <c r="A853" s="26" t="s">
        <v>6399</v>
      </c>
      <c r="B853" s="26" t="s">
        <v>975</v>
      </c>
      <c r="C853" s="26" t="s">
        <v>466</v>
      </c>
      <c r="D853" s="26" t="s">
        <v>6396</v>
      </c>
      <c r="E853" s="26" t="s">
        <v>6395</v>
      </c>
      <c r="F853" s="26">
        <v>50</v>
      </c>
    </row>
    <row r="854" spans="1:6">
      <c r="A854" s="26" t="s">
        <v>6399</v>
      </c>
      <c r="B854" s="26" t="s">
        <v>546</v>
      </c>
      <c r="C854" s="26" t="s">
        <v>142</v>
      </c>
      <c r="D854" s="26" t="s">
        <v>6396</v>
      </c>
      <c r="E854" s="26" t="s">
        <v>6395</v>
      </c>
      <c r="F854" s="26">
        <v>50</v>
      </c>
    </row>
    <row r="855" spans="1:6">
      <c r="A855" s="26" t="s">
        <v>6399</v>
      </c>
      <c r="B855" s="26" t="s">
        <v>6539</v>
      </c>
      <c r="C855" s="26" t="s">
        <v>142</v>
      </c>
      <c r="D855" s="26" t="s">
        <v>6396</v>
      </c>
      <c r="E855" s="26" t="s">
        <v>6395</v>
      </c>
      <c r="F855" s="26">
        <v>50</v>
      </c>
    </row>
    <row r="856" spans="1:6">
      <c r="A856" s="26" t="s">
        <v>6399</v>
      </c>
      <c r="B856" s="26" t="s">
        <v>6538</v>
      </c>
      <c r="C856" s="26" t="s">
        <v>142</v>
      </c>
      <c r="D856" s="26" t="s">
        <v>6396</v>
      </c>
      <c r="E856" s="26" t="s">
        <v>6395</v>
      </c>
      <c r="F856" s="26">
        <v>50</v>
      </c>
    </row>
    <row r="857" spans="1:6">
      <c r="A857" s="26" t="s">
        <v>6399</v>
      </c>
      <c r="B857" s="26" t="s">
        <v>3704</v>
      </c>
      <c r="C857" s="26" t="s">
        <v>142</v>
      </c>
      <c r="D857" s="26" t="s">
        <v>6396</v>
      </c>
      <c r="E857" s="26" t="s">
        <v>6395</v>
      </c>
      <c r="F857" s="26">
        <v>50</v>
      </c>
    </row>
    <row r="858" spans="1:6">
      <c r="A858" s="26" t="s">
        <v>6399</v>
      </c>
      <c r="B858" s="26" t="s">
        <v>550</v>
      </c>
      <c r="C858" s="26" t="s">
        <v>142</v>
      </c>
      <c r="D858" s="26" t="s">
        <v>6396</v>
      </c>
      <c r="E858" s="26" t="s">
        <v>6395</v>
      </c>
      <c r="F858" s="26">
        <v>50</v>
      </c>
    </row>
    <row r="859" spans="1:6">
      <c r="A859" s="26" t="s">
        <v>6399</v>
      </c>
      <c r="B859" s="26" t="s">
        <v>6537</v>
      </c>
      <c r="C859" s="26" t="s">
        <v>142</v>
      </c>
      <c r="D859" s="26" t="s">
        <v>6396</v>
      </c>
      <c r="E859" s="26" t="s">
        <v>6395</v>
      </c>
      <c r="F859" s="26">
        <v>50</v>
      </c>
    </row>
    <row r="860" spans="1:6">
      <c r="A860" s="26" t="s">
        <v>6399</v>
      </c>
      <c r="B860" s="26" t="s">
        <v>6536</v>
      </c>
      <c r="C860" s="26" t="s">
        <v>6534</v>
      </c>
      <c r="D860" s="26" t="s">
        <v>6480</v>
      </c>
      <c r="E860" s="26" t="s">
        <v>6395</v>
      </c>
      <c r="F860" s="26">
        <v>50</v>
      </c>
    </row>
    <row r="861" spans="1:6">
      <c r="A861" s="26" t="s">
        <v>6399</v>
      </c>
      <c r="B861" s="26" t="s">
        <v>6535</v>
      </c>
      <c r="C861" s="26" t="s">
        <v>6534</v>
      </c>
      <c r="D861" s="26" t="s">
        <v>6480</v>
      </c>
      <c r="E861" s="26" t="s">
        <v>6395</v>
      </c>
      <c r="F861" s="26">
        <v>50</v>
      </c>
    </row>
    <row r="862" spans="1:6">
      <c r="A862" s="26" t="s">
        <v>6399</v>
      </c>
      <c r="B862" s="26" t="s">
        <v>6533</v>
      </c>
      <c r="C862" s="26" t="s">
        <v>360</v>
      </c>
      <c r="D862" s="26" t="s">
        <v>6396</v>
      </c>
      <c r="E862" s="26" t="s">
        <v>6395</v>
      </c>
      <c r="F862" s="26">
        <v>50</v>
      </c>
    </row>
    <row r="863" spans="1:6">
      <c r="A863" s="26" t="s">
        <v>6399</v>
      </c>
      <c r="B863" s="26" t="s">
        <v>2328</v>
      </c>
      <c r="C863" s="26" t="s">
        <v>360</v>
      </c>
      <c r="D863" s="26" t="s">
        <v>6396</v>
      </c>
      <c r="E863" s="26" t="s">
        <v>6395</v>
      </c>
      <c r="F863" s="26">
        <v>50</v>
      </c>
    </row>
    <row r="864" spans="1:6">
      <c r="A864" s="26" t="s">
        <v>6399</v>
      </c>
      <c r="B864" s="26" t="s">
        <v>1626</v>
      </c>
      <c r="C864" s="26" t="s">
        <v>360</v>
      </c>
      <c r="D864" s="26" t="s">
        <v>6396</v>
      </c>
      <c r="E864" s="26" t="s">
        <v>6395</v>
      </c>
      <c r="F864" s="26">
        <v>50</v>
      </c>
    </row>
    <row r="865" spans="1:7">
      <c r="A865" s="26" t="s">
        <v>6399</v>
      </c>
      <c r="B865" s="26" t="s">
        <v>6532</v>
      </c>
      <c r="C865" s="26" t="s">
        <v>541</v>
      </c>
      <c r="D865" s="26" t="s">
        <v>6396</v>
      </c>
      <c r="E865" s="26" t="s">
        <v>6395</v>
      </c>
      <c r="F865" s="26">
        <v>50</v>
      </c>
    </row>
    <row r="866" spans="1:7">
      <c r="A866" s="26" t="s">
        <v>6399</v>
      </c>
      <c r="B866" s="26" t="s">
        <v>3293</v>
      </c>
      <c r="C866" s="26" t="s">
        <v>6531</v>
      </c>
      <c r="D866" s="26" t="s">
        <v>6396</v>
      </c>
      <c r="E866" s="26" t="s">
        <v>6395</v>
      </c>
      <c r="F866" s="26">
        <v>50</v>
      </c>
    </row>
    <row r="867" spans="1:7">
      <c r="A867" s="26" t="s">
        <v>6399</v>
      </c>
      <c r="B867" s="26" t="s">
        <v>1133</v>
      </c>
      <c r="C867" s="26" t="s">
        <v>541</v>
      </c>
      <c r="D867" s="26" t="s">
        <v>6396</v>
      </c>
      <c r="E867" s="26" t="s">
        <v>6395</v>
      </c>
      <c r="F867" s="26">
        <v>50</v>
      </c>
    </row>
    <row r="868" spans="1:7">
      <c r="A868" s="26" t="s">
        <v>6399</v>
      </c>
      <c r="B868" s="26" t="s">
        <v>1984</v>
      </c>
      <c r="C868" s="26" t="s">
        <v>541</v>
      </c>
      <c r="D868" s="26" t="s">
        <v>6396</v>
      </c>
      <c r="E868" s="26" t="s">
        <v>6395</v>
      </c>
      <c r="F868" s="26">
        <v>50</v>
      </c>
    </row>
    <row r="869" spans="1:7">
      <c r="A869" s="26" t="s">
        <v>6399</v>
      </c>
      <c r="B869" s="26" t="s">
        <v>6530</v>
      </c>
      <c r="C869" s="26" t="s">
        <v>541</v>
      </c>
      <c r="D869" s="26" t="s">
        <v>6396</v>
      </c>
      <c r="E869" s="26" t="s">
        <v>6395</v>
      </c>
      <c r="F869" s="26">
        <v>50</v>
      </c>
    </row>
    <row r="870" spans="1:7">
      <c r="A870" s="26" t="s">
        <v>6399</v>
      </c>
      <c r="B870" s="26" t="s">
        <v>6529</v>
      </c>
      <c r="C870" s="26" t="s">
        <v>541</v>
      </c>
      <c r="D870" s="26" t="s">
        <v>6396</v>
      </c>
      <c r="E870" s="26" t="s">
        <v>6395</v>
      </c>
      <c r="F870" s="26">
        <v>50</v>
      </c>
    </row>
    <row r="871" spans="1:7">
      <c r="A871" s="26" t="s">
        <v>6399</v>
      </c>
      <c r="B871" s="26" t="s">
        <v>1138</v>
      </c>
      <c r="C871" s="26" t="s">
        <v>541</v>
      </c>
      <c r="D871" s="26" t="s">
        <v>6396</v>
      </c>
      <c r="E871" s="26" t="s">
        <v>6395</v>
      </c>
      <c r="F871" s="26">
        <v>50</v>
      </c>
      <c r="G871" s="26" t="s">
        <v>6436</v>
      </c>
    </row>
    <row r="872" spans="1:7">
      <c r="A872" s="26" t="s">
        <v>6399</v>
      </c>
      <c r="B872" s="26" t="s">
        <v>2838</v>
      </c>
      <c r="C872" s="26" t="s">
        <v>541</v>
      </c>
      <c r="D872" s="26" t="s">
        <v>6396</v>
      </c>
      <c r="E872" s="26" t="s">
        <v>6395</v>
      </c>
      <c r="F872" s="26">
        <v>50</v>
      </c>
    </row>
    <row r="873" spans="1:7">
      <c r="A873" s="26" t="s">
        <v>6399</v>
      </c>
      <c r="B873" s="26" t="s">
        <v>540</v>
      </c>
      <c r="C873" s="26" t="s">
        <v>541</v>
      </c>
      <c r="D873" s="26" t="s">
        <v>6396</v>
      </c>
      <c r="E873" s="26" t="s">
        <v>6395</v>
      </c>
      <c r="F873" s="26">
        <v>50</v>
      </c>
    </row>
    <row r="874" spans="1:7">
      <c r="A874" s="26" t="s">
        <v>6399</v>
      </c>
      <c r="B874" s="26" t="s">
        <v>6528</v>
      </c>
      <c r="C874" s="26" t="s">
        <v>541</v>
      </c>
      <c r="D874" s="26" t="s">
        <v>6396</v>
      </c>
      <c r="E874" s="26" t="s">
        <v>6395</v>
      </c>
      <c r="F874" s="26">
        <v>50</v>
      </c>
    </row>
    <row r="875" spans="1:7">
      <c r="A875" s="26" t="s">
        <v>6399</v>
      </c>
      <c r="B875" s="26" t="s">
        <v>1484</v>
      </c>
      <c r="C875" s="26" t="s">
        <v>541</v>
      </c>
      <c r="D875" s="26" t="s">
        <v>6396</v>
      </c>
      <c r="E875" s="26" t="s">
        <v>6395</v>
      </c>
      <c r="F875" s="26">
        <v>50</v>
      </c>
    </row>
    <row r="876" spans="1:7">
      <c r="A876" s="26" t="s">
        <v>6399</v>
      </c>
      <c r="B876" s="26" t="s">
        <v>6527</v>
      </c>
      <c r="C876" s="26" t="s">
        <v>6526</v>
      </c>
      <c r="D876" s="26" t="s">
        <v>6396</v>
      </c>
      <c r="E876" s="26" t="s">
        <v>6395</v>
      </c>
      <c r="F876" s="26">
        <v>50</v>
      </c>
    </row>
    <row r="877" spans="1:7">
      <c r="A877" s="26" t="s">
        <v>6399</v>
      </c>
      <c r="B877" s="26" t="s">
        <v>6525</v>
      </c>
      <c r="C877" s="26" t="s">
        <v>6524</v>
      </c>
      <c r="D877" s="26" t="s">
        <v>6396</v>
      </c>
      <c r="E877" s="26" t="s">
        <v>6395</v>
      </c>
      <c r="F877" s="26">
        <v>50</v>
      </c>
    </row>
    <row r="878" spans="1:7">
      <c r="A878" s="26" t="s">
        <v>6399</v>
      </c>
      <c r="B878" s="26" t="s">
        <v>6523</v>
      </c>
      <c r="C878" s="26" t="s">
        <v>509</v>
      </c>
      <c r="D878" s="26" t="s">
        <v>6396</v>
      </c>
      <c r="E878" s="26" t="s">
        <v>6395</v>
      </c>
      <c r="F878" s="26">
        <v>50</v>
      </c>
    </row>
    <row r="879" spans="1:7">
      <c r="A879" s="26" t="s">
        <v>6399</v>
      </c>
      <c r="B879" s="26" t="s">
        <v>6522</v>
      </c>
      <c r="C879" s="26" t="s">
        <v>509</v>
      </c>
      <c r="D879" s="26" t="s">
        <v>6396</v>
      </c>
      <c r="E879" s="26" t="s">
        <v>6395</v>
      </c>
      <c r="F879" s="26">
        <v>50</v>
      </c>
    </row>
    <row r="880" spans="1:7">
      <c r="A880" s="26" t="s">
        <v>6399</v>
      </c>
      <c r="B880" s="26" t="s">
        <v>6521</v>
      </c>
      <c r="C880" s="26" t="s">
        <v>660</v>
      </c>
      <c r="D880" s="26" t="s">
        <v>6396</v>
      </c>
      <c r="E880" s="26" t="s">
        <v>6395</v>
      </c>
      <c r="F880" s="26">
        <v>50</v>
      </c>
    </row>
    <row r="881" spans="1:6">
      <c r="A881" s="26" t="s">
        <v>6399</v>
      </c>
      <c r="B881" s="26" t="s">
        <v>6520</v>
      </c>
      <c r="C881" s="26" t="s">
        <v>2272</v>
      </c>
      <c r="D881" s="26" t="s">
        <v>6434</v>
      </c>
      <c r="E881" s="26" t="s">
        <v>6395</v>
      </c>
      <c r="F881" s="26">
        <v>50</v>
      </c>
    </row>
    <row r="882" spans="1:6">
      <c r="A882" s="26" t="s">
        <v>6399</v>
      </c>
      <c r="B882" s="26" t="s">
        <v>3035</v>
      </c>
      <c r="C882" s="26" t="s">
        <v>3036</v>
      </c>
      <c r="D882" s="26" t="s">
        <v>6396</v>
      </c>
      <c r="E882" s="26" t="s">
        <v>6395</v>
      </c>
      <c r="F882" s="26">
        <v>50</v>
      </c>
    </row>
    <row r="883" spans="1:6">
      <c r="A883" s="26" t="s">
        <v>6399</v>
      </c>
      <c r="B883" s="26" t="s">
        <v>6519</v>
      </c>
      <c r="C883" s="26" t="s">
        <v>6518</v>
      </c>
      <c r="D883" s="26" t="s">
        <v>6396</v>
      </c>
      <c r="E883" s="26" t="s">
        <v>6395</v>
      </c>
      <c r="F883" s="26">
        <v>50</v>
      </c>
    </row>
    <row r="884" spans="1:6">
      <c r="A884" s="26" t="s">
        <v>6399</v>
      </c>
      <c r="B884" s="26" t="s">
        <v>6517</v>
      </c>
      <c r="C884" s="26" t="s">
        <v>6516</v>
      </c>
      <c r="D884" s="26" t="s">
        <v>6396</v>
      </c>
      <c r="E884" s="26" t="s">
        <v>6395</v>
      </c>
      <c r="F884" s="26">
        <v>50</v>
      </c>
    </row>
    <row r="885" spans="1:6">
      <c r="A885" s="26" t="s">
        <v>6399</v>
      </c>
      <c r="B885" s="26" t="s">
        <v>6478</v>
      </c>
      <c r="C885" s="26" t="s">
        <v>6515</v>
      </c>
      <c r="D885" s="26" t="s">
        <v>6434</v>
      </c>
      <c r="E885" s="26" t="s">
        <v>6395</v>
      </c>
      <c r="F885" s="26">
        <v>50</v>
      </c>
    </row>
    <row r="886" spans="1:6">
      <c r="A886" s="26" t="s">
        <v>6399</v>
      </c>
      <c r="B886" s="26" t="s">
        <v>6514</v>
      </c>
      <c r="C886" s="26" t="s">
        <v>6513</v>
      </c>
      <c r="D886" s="26" t="s">
        <v>6480</v>
      </c>
      <c r="E886" s="26" t="s">
        <v>6395</v>
      </c>
      <c r="F886" s="26">
        <v>50</v>
      </c>
    </row>
    <row r="887" spans="1:6">
      <c r="A887" s="26" t="s">
        <v>6399</v>
      </c>
      <c r="B887" s="26" t="s">
        <v>6512</v>
      </c>
      <c r="C887" s="26" t="s">
        <v>6511</v>
      </c>
      <c r="D887" s="26" t="s">
        <v>6480</v>
      </c>
      <c r="E887" s="26" t="s">
        <v>6395</v>
      </c>
      <c r="F887" s="26">
        <v>50</v>
      </c>
    </row>
    <row r="888" spans="1:6">
      <c r="A888" s="26" t="s">
        <v>6399</v>
      </c>
      <c r="B888" s="26" t="s">
        <v>6510</v>
      </c>
      <c r="C888" s="26" t="s">
        <v>6509</v>
      </c>
      <c r="D888" s="26" t="s">
        <v>6396</v>
      </c>
      <c r="E888" s="26" t="s">
        <v>6395</v>
      </c>
      <c r="F888" s="26">
        <v>50</v>
      </c>
    </row>
    <row r="889" spans="1:6">
      <c r="A889" s="26" t="s">
        <v>6399</v>
      </c>
      <c r="B889" s="26" t="s">
        <v>918</v>
      </c>
      <c r="C889" s="26" t="s">
        <v>154</v>
      </c>
      <c r="D889" s="26" t="s">
        <v>6396</v>
      </c>
      <c r="E889" s="26" t="s">
        <v>6395</v>
      </c>
      <c r="F889" s="26">
        <v>50</v>
      </c>
    </row>
    <row r="890" spans="1:6">
      <c r="A890" s="26" t="s">
        <v>6399</v>
      </c>
      <c r="B890" s="26" t="s">
        <v>295</v>
      </c>
      <c r="C890" s="26" t="s">
        <v>154</v>
      </c>
      <c r="D890" s="26" t="s">
        <v>6396</v>
      </c>
      <c r="E890" s="26" t="s">
        <v>6395</v>
      </c>
      <c r="F890" s="26">
        <v>50</v>
      </c>
    </row>
    <row r="891" spans="1:6">
      <c r="A891" s="26" t="s">
        <v>6399</v>
      </c>
      <c r="B891" s="26" t="s">
        <v>638</v>
      </c>
      <c r="C891" s="26" t="s">
        <v>154</v>
      </c>
      <c r="D891" s="26" t="s">
        <v>6396</v>
      </c>
      <c r="E891" s="26" t="s">
        <v>6395</v>
      </c>
      <c r="F891" s="26">
        <v>50</v>
      </c>
    </row>
    <row r="892" spans="1:6">
      <c r="A892" s="26" t="s">
        <v>6399</v>
      </c>
      <c r="B892" s="26" t="s">
        <v>1024</v>
      </c>
      <c r="C892" s="26" t="s">
        <v>154</v>
      </c>
      <c r="D892" s="26" t="s">
        <v>6396</v>
      </c>
      <c r="E892" s="26" t="s">
        <v>6395</v>
      </c>
      <c r="F892" s="26">
        <v>50</v>
      </c>
    </row>
    <row r="893" spans="1:6">
      <c r="A893" s="26" t="s">
        <v>6399</v>
      </c>
      <c r="B893" s="26" t="s">
        <v>3405</v>
      </c>
      <c r="C893" s="26" t="s">
        <v>154</v>
      </c>
      <c r="D893" s="26" t="s">
        <v>6396</v>
      </c>
      <c r="E893" s="26" t="s">
        <v>6395</v>
      </c>
      <c r="F893" s="26">
        <v>50</v>
      </c>
    </row>
    <row r="894" spans="1:6">
      <c r="A894" s="26" t="s">
        <v>6399</v>
      </c>
      <c r="B894" s="26" t="s">
        <v>1078</v>
      </c>
      <c r="C894" s="26" t="s">
        <v>154</v>
      </c>
      <c r="D894" s="26" t="s">
        <v>6396</v>
      </c>
      <c r="E894" s="26" t="s">
        <v>6395</v>
      </c>
      <c r="F894" s="26">
        <v>50</v>
      </c>
    </row>
    <row r="895" spans="1:6">
      <c r="A895" s="26" t="s">
        <v>6399</v>
      </c>
      <c r="B895" s="26" t="s">
        <v>2751</v>
      </c>
      <c r="C895" s="26" t="s">
        <v>188</v>
      </c>
      <c r="D895" s="26" t="s">
        <v>6396</v>
      </c>
      <c r="E895" s="26" t="s">
        <v>6395</v>
      </c>
      <c r="F895" s="26">
        <v>50</v>
      </c>
    </row>
    <row r="896" spans="1:6">
      <c r="A896" s="26" t="s">
        <v>6399</v>
      </c>
      <c r="B896" s="26" t="s">
        <v>6508</v>
      </c>
      <c r="C896" s="26" t="s">
        <v>188</v>
      </c>
      <c r="D896" s="26" t="s">
        <v>6396</v>
      </c>
      <c r="E896" s="26" t="s">
        <v>6395</v>
      </c>
      <c r="F896" s="26">
        <v>50</v>
      </c>
    </row>
    <row r="897" spans="1:7">
      <c r="A897" s="26" t="s">
        <v>6399</v>
      </c>
      <c r="B897" s="26" t="s">
        <v>6507</v>
      </c>
      <c r="C897" s="26" t="s">
        <v>188</v>
      </c>
      <c r="D897" s="26" t="s">
        <v>6396</v>
      </c>
      <c r="E897" s="26" t="s">
        <v>6395</v>
      </c>
      <c r="F897" s="26">
        <v>50</v>
      </c>
    </row>
    <row r="898" spans="1:7">
      <c r="A898" s="26" t="s">
        <v>6399</v>
      </c>
      <c r="B898" s="26" t="s">
        <v>6506</v>
      </c>
      <c r="C898" s="26" t="s">
        <v>188</v>
      </c>
      <c r="D898" s="26" t="s">
        <v>6396</v>
      </c>
      <c r="E898" s="26" t="s">
        <v>6395</v>
      </c>
      <c r="F898" s="26">
        <v>50</v>
      </c>
    </row>
    <row r="899" spans="1:7">
      <c r="A899" s="26" t="s">
        <v>6399</v>
      </c>
      <c r="B899" s="26" t="s">
        <v>1529</v>
      </c>
      <c r="C899" s="26" t="s">
        <v>188</v>
      </c>
      <c r="D899" s="26" t="s">
        <v>6396</v>
      </c>
      <c r="E899" s="26" t="s">
        <v>6395</v>
      </c>
      <c r="F899" s="26">
        <v>50</v>
      </c>
    </row>
    <row r="900" spans="1:7">
      <c r="A900" s="26" t="s">
        <v>6399</v>
      </c>
      <c r="B900" s="26" t="s">
        <v>6505</v>
      </c>
      <c r="C900" s="26" t="s">
        <v>188</v>
      </c>
      <c r="D900" s="26" t="s">
        <v>6396</v>
      </c>
      <c r="E900" s="26" t="s">
        <v>6395</v>
      </c>
      <c r="F900" s="26">
        <v>50</v>
      </c>
    </row>
    <row r="901" spans="1:7">
      <c r="A901" s="26" t="s">
        <v>6399</v>
      </c>
      <c r="B901" s="26" t="s">
        <v>6504</v>
      </c>
      <c r="C901" s="26" t="s">
        <v>188</v>
      </c>
      <c r="D901" s="26" t="s">
        <v>6396</v>
      </c>
      <c r="E901" s="26" t="s">
        <v>6395</v>
      </c>
      <c r="F901" s="26">
        <v>50</v>
      </c>
    </row>
    <row r="902" spans="1:7">
      <c r="A902" s="26" t="s">
        <v>6399</v>
      </c>
      <c r="B902" s="26" t="s">
        <v>6503</v>
      </c>
      <c r="C902" s="26" t="s">
        <v>6502</v>
      </c>
      <c r="D902" s="26" t="s">
        <v>6396</v>
      </c>
      <c r="E902" s="26" t="s">
        <v>6395</v>
      </c>
      <c r="F902" s="26">
        <v>50</v>
      </c>
    </row>
    <row r="903" spans="1:7">
      <c r="A903" s="26" t="s">
        <v>6399</v>
      </c>
      <c r="B903" s="26" t="s">
        <v>1067</v>
      </c>
      <c r="C903" s="26" t="s">
        <v>6501</v>
      </c>
      <c r="D903" s="26" t="s">
        <v>6396</v>
      </c>
      <c r="E903" s="26" t="s">
        <v>6395</v>
      </c>
      <c r="F903" s="26">
        <v>50</v>
      </c>
    </row>
    <row r="904" spans="1:7">
      <c r="A904" s="26" t="s">
        <v>6399</v>
      </c>
      <c r="B904" s="26" t="s">
        <v>6500</v>
      </c>
      <c r="C904" s="26" t="s">
        <v>6499</v>
      </c>
      <c r="D904" s="26" t="s">
        <v>6480</v>
      </c>
      <c r="E904" s="26" t="s">
        <v>6395</v>
      </c>
      <c r="F904" s="26">
        <v>100</v>
      </c>
    </row>
    <row r="905" spans="1:7">
      <c r="A905" s="26" t="s">
        <v>6399</v>
      </c>
      <c r="B905" s="26" t="s">
        <v>409</v>
      </c>
      <c r="C905" s="26" t="s">
        <v>410</v>
      </c>
      <c r="D905" s="26" t="s">
        <v>6396</v>
      </c>
      <c r="E905" s="26" t="s">
        <v>6395</v>
      </c>
      <c r="F905" s="26">
        <v>100</v>
      </c>
    </row>
    <row r="906" spans="1:7">
      <c r="A906" s="26" t="s">
        <v>6399</v>
      </c>
      <c r="B906" s="26" t="s">
        <v>6498</v>
      </c>
      <c r="C906" s="26" t="s">
        <v>6496</v>
      </c>
      <c r="D906" s="26" t="s">
        <v>6396</v>
      </c>
      <c r="E906" s="26" t="s">
        <v>6395</v>
      </c>
      <c r="F906" s="26">
        <v>100</v>
      </c>
    </row>
    <row r="907" spans="1:7">
      <c r="A907" s="26" t="s">
        <v>6399</v>
      </c>
      <c r="B907" s="26" t="s">
        <v>6497</v>
      </c>
      <c r="C907" s="26" t="s">
        <v>6496</v>
      </c>
      <c r="D907" s="26" t="s">
        <v>6396</v>
      </c>
      <c r="E907" s="26" t="s">
        <v>6395</v>
      </c>
      <c r="F907" s="26">
        <v>100</v>
      </c>
    </row>
    <row r="908" spans="1:7">
      <c r="A908" s="26" t="s">
        <v>6399</v>
      </c>
      <c r="B908" s="26" t="s">
        <v>6495</v>
      </c>
      <c r="C908" s="26" t="s">
        <v>410</v>
      </c>
      <c r="D908" s="26" t="s">
        <v>6396</v>
      </c>
      <c r="E908" s="26" t="s">
        <v>6395</v>
      </c>
      <c r="F908" s="26">
        <v>100</v>
      </c>
    </row>
    <row r="909" spans="1:7">
      <c r="A909" s="26" t="s">
        <v>6399</v>
      </c>
      <c r="B909" s="26" t="s">
        <v>6494</v>
      </c>
      <c r="C909" s="26" t="s">
        <v>6493</v>
      </c>
      <c r="D909" s="26" t="s">
        <v>6489</v>
      </c>
      <c r="E909" s="26" t="s">
        <v>6395</v>
      </c>
      <c r="F909" s="26">
        <v>100</v>
      </c>
      <c r="G909" s="26" t="s">
        <v>6492</v>
      </c>
    </row>
    <row r="910" spans="1:7">
      <c r="A910" s="26" t="s">
        <v>6399</v>
      </c>
      <c r="B910" s="26" t="s">
        <v>6491</v>
      </c>
      <c r="C910" s="26" t="s">
        <v>6490</v>
      </c>
      <c r="D910" s="26" t="s">
        <v>6489</v>
      </c>
      <c r="E910" s="26" t="s">
        <v>6395</v>
      </c>
      <c r="F910" s="26">
        <v>100</v>
      </c>
    </row>
    <row r="911" spans="1:7">
      <c r="A911" s="26" t="s">
        <v>6399</v>
      </c>
      <c r="B911" s="26" t="s">
        <v>6488</v>
      </c>
      <c r="C911" s="26" t="s">
        <v>6487</v>
      </c>
      <c r="D911" s="26" t="s">
        <v>6396</v>
      </c>
      <c r="E911" s="26" t="s">
        <v>6395</v>
      </c>
      <c r="F911" s="26">
        <v>100</v>
      </c>
    </row>
    <row r="912" spans="1:7">
      <c r="A912" s="26" t="s">
        <v>6399</v>
      </c>
      <c r="B912" s="26" t="s">
        <v>6486</v>
      </c>
      <c r="C912" s="26" t="s">
        <v>6485</v>
      </c>
      <c r="D912" s="26" t="s">
        <v>6396</v>
      </c>
      <c r="E912" s="26" t="s">
        <v>6395</v>
      </c>
      <c r="F912" s="26">
        <v>100</v>
      </c>
    </row>
    <row r="913" spans="1:7">
      <c r="A913" s="26" t="s">
        <v>6399</v>
      </c>
      <c r="B913" s="26" t="s">
        <v>2036</v>
      </c>
      <c r="C913" s="26" t="s">
        <v>574</v>
      </c>
      <c r="D913" s="26" t="s">
        <v>6396</v>
      </c>
      <c r="E913" s="26" t="s">
        <v>6395</v>
      </c>
      <c r="F913" s="26">
        <v>100</v>
      </c>
    </row>
    <row r="914" spans="1:7">
      <c r="A914" s="26" t="s">
        <v>6399</v>
      </c>
      <c r="B914" s="26" t="s">
        <v>6484</v>
      </c>
      <c r="C914" s="26" t="s">
        <v>6483</v>
      </c>
      <c r="D914" s="26" t="s">
        <v>6396</v>
      </c>
      <c r="E914" s="26" t="s">
        <v>6395</v>
      </c>
      <c r="F914" s="26">
        <v>100</v>
      </c>
    </row>
    <row r="915" spans="1:7">
      <c r="A915" s="26" t="s">
        <v>6399</v>
      </c>
      <c r="B915" s="26" t="s">
        <v>6482</v>
      </c>
      <c r="C915" s="26" t="s">
        <v>6481</v>
      </c>
      <c r="D915" s="26" t="s">
        <v>6480</v>
      </c>
      <c r="E915" s="26" t="s">
        <v>6479</v>
      </c>
      <c r="F915" s="26">
        <v>100</v>
      </c>
    </row>
    <row r="916" spans="1:7">
      <c r="A916" s="26" t="s">
        <v>6399</v>
      </c>
      <c r="B916" s="26" t="s">
        <v>6478</v>
      </c>
      <c r="C916" s="26" t="s">
        <v>2236</v>
      </c>
      <c r="D916" s="26" t="s">
        <v>6396</v>
      </c>
      <c r="E916" s="26" t="s">
        <v>6395</v>
      </c>
      <c r="F916" s="26">
        <v>100</v>
      </c>
      <c r="G916" s="26" t="s">
        <v>6409</v>
      </c>
    </row>
    <row r="917" spans="1:7">
      <c r="A917" s="26" t="s">
        <v>6399</v>
      </c>
      <c r="B917" s="26" t="s">
        <v>6477</v>
      </c>
      <c r="C917" s="26" t="s">
        <v>6476</v>
      </c>
      <c r="D917" s="26" t="s">
        <v>6396</v>
      </c>
      <c r="E917" s="26" t="s">
        <v>6395</v>
      </c>
      <c r="F917" s="26">
        <v>100</v>
      </c>
    </row>
    <row r="918" spans="1:7">
      <c r="A918" s="26" t="s">
        <v>6399</v>
      </c>
      <c r="B918" s="26" t="s">
        <v>6475</v>
      </c>
      <c r="C918" s="26" t="s">
        <v>6473</v>
      </c>
      <c r="D918" s="26" t="s">
        <v>6396</v>
      </c>
      <c r="E918" s="26" t="s">
        <v>6395</v>
      </c>
      <c r="F918" s="26">
        <v>100</v>
      </c>
    </row>
    <row r="919" spans="1:7">
      <c r="A919" s="26" t="s">
        <v>6399</v>
      </c>
      <c r="B919" s="26" t="s">
        <v>6474</v>
      </c>
      <c r="C919" s="26" t="s">
        <v>6473</v>
      </c>
      <c r="D919" s="26" t="s">
        <v>6396</v>
      </c>
      <c r="E919" s="26" t="s">
        <v>6395</v>
      </c>
      <c r="F919" s="26">
        <v>100</v>
      </c>
    </row>
    <row r="920" spans="1:7">
      <c r="A920" s="26" t="s">
        <v>6399</v>
      </c>
      <c r="B920" s="26" t="s">
        <v>6472</v>
      </c>
      <c r="C920" s="26" t="s">
        <v>3189</v>
      </c>
      <c r="D920" s="26" t="s">
        <v>6396</v>
      </c>
      <c r="E920" s="26" t="s">
        <v>6395</v>
      </c>
      <c r="F920" s="26">
        <v>100</v>
      </c>
    </row>
    <row r="921" spans="1:7">
      <c r="A921" s="26" t="s">
        <v>6399</v>
      </c>
      <c r="B921" s="26" t="s">
        <v>2419</v>
      </c>
      <c r="C921" s="26" t="s">
        <v>1586</v>
      </c>
      <c r="D921" s="26" t="s">
        <v>6396</v>
      </c>
      <c r="E921" s="26" t="s">
        <v>6395</v>
      </c>
      <c r="F921" s="26">
        <v>100</v>
      </c>
    </row>
    <row r="922" spans="1:7">
      <c r="A922" s="26" t="s">
        <v>6399</v>
      </c>
      <c r="B922" s="26" t="s">
        <v>6471</v>
      </c>
      <c r="C922" s="26" t="s">
        <v>6470</v>
      </c>
      <c r="D922" s="26" t="s">
        <v>6396</v>
      </c>
      <c r="E922" s="26" t="s">
        <v>6395</v>
      </c>
      <c r="F922" s="26">
        <v>100</v>
      </c>
    </row>
    <row r="923" spans="1:7">
      <c r="A923" s="26" t="s">
        <v>6399</v>
      </c>
      <c r="B923" s="26" t="s">
        <v>1410</v>
      </c>
      <c r="C923" s="26" t="s">
        <v>146</v>
      </c>
      <c r="D923" s="26" t="s">
        <v>6396</v>
      </c>
      <c r="E923" s="26" t="s">
        <v>6395</v>
      </c>
      <c r="F923" s="26">
        <v>100</v>
      </c>
    </row>
    <row r="924" spans="1:7">
      <c r="A924" s="26" t="s">
        <v>6399</v>
      </c>
      <c r="B924" s="26" t="s">
        <v>854</v>
      </c>
      <c r="C924" s="26" t="s">
        <v>6469</v>
      </c>
      <c r="D924" s="26" t="s">
        <v>6396</v>
      </c>
      <c r="E924" s="26" t="s">
        <v>6395</v>
      </c>
      <c r="F924" s="26">
        <v>100</v>
      </c>
    </row>
    <row r="925" spans="1:7">
      <c r="A925" s="26" t="s">
        <v>6399</v>
      </c>
      <c r="B925" s="26" t="s">
        <v>6468</v>
      </c>
      <c r="C925" s="26" t="s">
        <v>42</v>
      </c>
      <c r="D925" s="26" t="s">
        <v>6396</v>
      </c>
      <c r="E925" s="26" t="s">
        <v>6395</v>
      </c>
      <c r="F925" s="26">
        <v>100</v>
      </c>
    </row>
    <row r="926" spans="1:7">
      <c r="A926" s="26" t="s">
        <v>6399</v>
      </c>
      <c r="B926" s="26" t="s">
        <v>1918</v>
      </c>
      <c r="C926" s="26" t="s">
        <v>6410</v>
      </c>
      <c r="D926" s="26" t="s">
        <v>6396</v>
      </c>
      <c r="E926" s="26" t="s">
        <v>6395</v>
      </c>
      <c r="F926" s="26">
        <v>100</v>
      </c>
    </row>
    <row r="927" spans="1:7">
      <c r="A927" s="26" t="s">
        <v>6399</v>
      </c>
      <c r="B927" s="26" t="s">
        <v>6467</v>
      </c>
      <c r="C927" s="26" t="s">
        <v>6410</v>
      </c>
      <c r="D927" s="26" t="s">
        <v>6396</v>
      </c>
      <c r="E927" s="26" t="s">
        <v>6395</v>
      </c>
      <c r="F927" s="26">
        <v>100</v>
      </c>
    </row>
    <row r="928" spans="1:7">
      <c r="A928" s="26" t="s">
        <v>6399</v>
      </c>
      <c r="B928" s="26" t="s">
        <v>6466</v>
      </c>
      <c r="C928" s="26" t="s">
        <v>2629</v>
      </c>
      <c r="D928" s="26" t="s">
        <v>6396</v>
      </c>
      <c r="E928" s="26" t="s">
        <v>6395</v>
      </c>
      <c r="F928" s="26">
        <v>100</v>
      </c>
    </row>
    <row r="929" spans="1:7">
      <c r="A929" s="26" t="s">
        <v>6399</v>
      </c>
      <c r="B929" s="26" t="s">
        <v>2628</v>
      </c>
      <c r="C929" s="26" t="s">
        <v>2629</v>
      </c>
      <c r="D929" s="26" t="s">
        <v>6396</v>
      </c>
      <c r="E929" s="26" t="s">
        <v>6395</v>
      </c>
      <c r="F929" s="26">
        <v>100</v>
      </c>
    </row>
    <row r="930" spans="1:7">
      <c r="A930" s="26" t="s">
        <v>6399</v>
      </c>
      <c r="B930" s="26" t="s">
        <v>6465</v>
      </c>
      <c r="C930" s="26" t="s">
        <v>2629</v>
      </c>
      <c r="D930" s="26" t="s">
        <v>6396</v>
      </c>
      <c r="E930" s="26" t="s">
        <v>6395</v>
      </c>
      <c r="F930" s="26">
        <v>100</v>
      </c>
    </row>
    <row r="931" spans="1:7">
      <c r="A931" s="26" t="s">
        <v>6399</v>
      </c>
      <c r="B931" s="26" t="s">
        <v>6464</v>
      </c>
      <c r="C931" s="26" t="s">
        <v>2629</v>
      </c>
      <c r="D931" s="26" t="s">
        <v>6396</v>
      </c>
      <c r="E931" s="26" t="s">
        <v>6395</v>
      </c>
      <c r="F931" s="26">
        <v>100</v>
      </c>
    </row>
    <row r="932" spans="1:7">
      <c r="A932" s="26" t="s">
        <v>6399</v>
      </c>
      <c r="B932" s="26" t="s">
        <v>6463</v>
      </c>
      <c r="C932" s="26" t="s">
        <v>6462</v>
      </c>
      <c r="D932" s="26" t="s">
        <v>6396</v>
      </c>
      <c r="E932" s="26" t="s">
        <v>6395</v>
      </c>
      <c r="F932" s="26">
        <v>100</v>
      </c>
    </row>
    <row r="933" spans="1:7">
      <c r="A933" s="26" t="s">
        <v>6399</v>
      </c>
      <c r="B933" s="26" t="s">
        <v>6461</v>
      </c>
      <c r="C933" s="26" t="s">
        <v>1366</v>
      </c>
      <c r="D933" s="26" t="s">
        <v>6396</v>
      </c>
      <c r="E933" s="26" t="s">
        <v>6395</v>
      </c>
      <c r="F933" s="26">
        <v>100</v>
      </c>
    </row>
    <row r="934" spans="1:7">
      <c r="A934" s="26" t="s">
        <v>6399</v>
      </c>
      <c r="B934" s="26" t="s">
        <v>4446</v>
      </c>
      <c r="C934" s="26" t="s">
        <v>6460</v>
      </c>
      <c r="D934" s="26" t="s">
        <v>6396</v>
      </c>
      <c r="E934" s="26" t="s">
        <v>6443</v>
      </c>
      <c r="F934" s="26">
        <v>100</v>
      </c>
    </row>
    <row r="935" spans="1:7">
      <c r="A935" s="26" t="s">
        <v>6399</v>
      </c>
      <c r="B935" s="26" t="s">
        <v>2077</v>
      </c>
      <c r="C935" s="26" t="s">
        <v>1854</v>
      </c>
      <c r="D935" s="26" t="s">
        <v>6396</v>
      </c>
      <c r="E935" s="26" t="s">
        <v>6395</v>
      </c>
      <c r="F935" s="26">
        <v>100</v>
      </c>
      <c r="G935" s="26" t="s">
        <v>6409</v>
      </c>
    </row>
    <row r="936" spans="1:7">
      <c r="A936" s="26" t="s">
        <v>6399</v>
      </c>
      <c r="B936" s="26" t="s">
        <v>6459</v>
      </c>
      <c r="C936" s="26" t="s">
        <v>1854</v>
      </c>
      <c r="D936" s="26" t="s">
        <v>6396</v>
      </c>
      <c r="E936" s="26" t="s">
        <v>6395</v>
      </c>
      <c r="F936" s="26">
        <v>100</v>
      </c>
    </row>
    <row r="937" spans="1:7">
      <c r="A937" s="26" t="s">
        <v>6399</v>
      </c>
      <c r="B937" s="26" t="s">
        <v>1401</v>
      </c>
      <c r="C937" s="26" t="s">
        <v>1402</v>
      </c>
      <c r="D937" s="26" t="s">
        <v>6396</v>
      </c>
      <c r="E937" s="26" t="s">
        <v>6395</v>
      </c>
      <c r="F937" s="26">
        <v>100</v>
      </c>
    </row>
    <row r="938" spans="1:7">
      <c r="A938" s="26" t="s">
        <v>6399</v>
      </c>
      <c r="B938" s="26" t="s">
        <v>1259</v>
      </c>
      <c r="C938" s="26" t="s">
        <v>6458</v>
      </c>
      <c r="D938" s="26" t="s">
        <v>6396</v>
      </c>
      <c r="E938" s="26" t="s">
        <v>6395</v>
      </c>
      <c r="F938" s="26">
        <v>100</v>
      </c>
    </row>
    <row r="939" spans="1:7">
      <c r="A939" s="26" t="s">
        <v>6399</v>
      </c>
      <c r="B939" s="26" t="s">
        <v>2121</v>
      </c>
      <c r="C939" s="26" t="s">
        <v>1545</v>
      </c>
      <c r="D939" s="26" t="s">
        <v>6396</v>
      </c>
      <c r="E939" s="26" t="s">
        <v>6395</v>
      </c>
      <c r="F939" s="26">
        <v>100</v>
      </c>
    </row>
    <row r="940" spans="1:7">
      <c r="A940" s="26" t="s">
        <v>6399</v>
      </c>
      <c r="B940" s="26" t="s">
        <v>6457</v>
      </c>
      <c r="C940" s="26" t="s">
        <v>679</v>
      </c>
      <c r="D940" s="26" t="s">
        <v>6396</v>
      </c>
      <c r="E940" s="26" t="s">
        <v>6395</v>
      </c>
      <c r="F940" s="26">
        <v>100</v>
      </c>
    </row>
    <row r="941" spans="1:7">
      <c r="A941" s="26" t="s">
        <v>6399</v>
      </c>
      <c r="B941" s="26" t="s">
        <v>1862</v>
      </c>
      <c r="C941" s="26" t="s">
        <v>679</v>
      </c>
      <c r="D941" s="26" t="s">
        <v>6396</v>
      </c>
      <c r="E941" s="26" t="s">
        <v>6395</v>
      </c>
      <c r="F941" s="26">
        <v>100</v>
      </c>
    </row>
    <row r="942" spans="1:7">
      <c r="A942" s="26" t="s">
        <v>6399</v>
      </c>
      <c r="B942" s="26" t="s">
        <v>6456</v>
      </c>
      <c r="C942" s="26" t="s">
        <v>6451</v>
      </c>
      <c r="D942" s="26" t="s">
        <v>6434</v>
      </c>
      <c r="E942" s="26" t="s">
        <v>6395</v>
      </c>
      <c r="F942" s="26">
        <v>100</v>
      </c>
    </row>
    <row r="943" spans="1:7">
      <c r="A943" s="26" t="s">
        <v>6399</v>
      </c>
      <c r="B943" s="26" t="s">
        <v>6455</v>
      </c>
      <c r="C943" s="26" t="s">
        <v>6451</v>
      </c>
      <c r="D943" s="26" t="s">
        <v>6396</v>
      </c>
      <c r="E943" s="26" t="s">
        <v>6395</v>
      </c>
      <c r="F943" s="26">
        <v>100</v>
      </c>
    </row>
    <row r="944" spans="1:7">
      <c r="A944" s="26" t="s">
        <v>6399</v>
      </c>
      <c r="B944" s="26" t="s">
        <v>6454</v>
      </c>
      <c r="C944" s="26" t="s">
        <v>6451</v>
      </c>
      <c r="D944" s="26" t="s">
        <v>6396</v>
      </c>
      <c r="E944" s="26" t="s">
        <v>6395</v>
      </c>
      <c r="F944" s="26">
        <v>100</v>
      </c>
    </row>
    <row r="945" spans="1:7">
      <c r="A945" s="26" t="s">
        <v>6399</v>
      </c>
      <c r="B945" s="26" t="s">
        <v>6453</v>
      </c>
      <c r="C945" s="26" t="s">
        <v>6451</v>
      </c>
      <c r="D945" s="26" t="s">
        <v>6396</v>
      </c>
      <c r="E945" s="26" t="s">
        <v>6395</v>
      </c>
      <c r="F945" s="26">
        <v>100</v>
      </c>
    </row>
    <row r="946" spans="1:7">
      <c r="A946" s="26" t="s">
        <v>6399</v>
      </c>
      <c r="B946" s="26" t="s">
        <v>6452</v>
      </c>
      <c r="C946" s="26" t="s">
        <v>6451</v>
      </c>
      <c r="D946" s="26" t="s">
        <v>6396</v>
      </c>
      <c r="E946" s="26" t="s">
        <v>6395</v>
      </c>
      <c r="F946" s="26">
        <v>100</v>
      </c>
      <c r="G946" s="26" t="s">
        <v>6409</v>
      </c>
    </row>
    <row r="947" spans="1:7">
      <c r="A947" s="26" t="s">
        <v>6399</v>
      </c>
      <c r="B947" s="26" t="s">
        <v>214</v>
      </c>
      <c r="C947" s="26" t="s">
        <v>215</v>
      </c>
      <c r="D947" s="26" t="s">
        <v>6396</v>
      </c>
      <c r="E947" s="26" t="s">
        <v>6395</v>
      </c>
      <c r="F947" s="26">
        <v>100</v>
      </c>
    </row>
    <row r="948" spans="1:7">
      <c r="A948" s="26" t="s">
        <v>6399</v>
      </c>
      <c r="B948" s="26" t="s">
        <v>55</v>
      </c>
      <c r="C948" s="26" t="s">
        <v>6450</v>
      </c>
      <c r="D948" s="26" t="s">
        <v>6396</v>
      </c>
      <c r="E948" s="26" t="s">
        <v>6395</v>
      </c>
      <c r="F948" s="26">
        <v>100</v>
      </c>
    </row>
    <row r="949" spans="1:7">
      <c r="A949" s="26" t="s">
        <v>6399</v>
      </c>
      <c r="B949" s="26" t="s">
        <v>6449</v>
      </c>
      <c r="C949" s="26" t="s">
        <v>1240</v>
      </c>
      <c r="D949" s="26" t="s">
        <v>6396</v>
      </c>
      <c r="E949" s="26" t="s">
        <v>6395</v>
      </c>
      <c r="F949" s="26">
        <v>100</v>
      </c>
    </row>
    <row r="950" spans="1:7">
      <c r="A950" s="26" t="s">
        <v>6399</v>
      </c>
      <c r="B950" s="26" t="s">
        <v>6448</v>
      </c>
      <c r="C950" s="26" t="s">
        <v>847</v>
      </c>
      <c r="D950" s="26" t="s">
        <v>6396</v>
      </c>
      <c r="E950" s="26" t="s">
        <v>6395</v>
      </c>
      <c r="F950" s="26">
        <v>100</v>
      </c>
    </row>
    <row r="951" spans="1:7">
      <c r="A951" s="26" t="s">
        <v>6399</v>
      </c>
      <c r="B951" s="26" t="s">
        <v>6447</v>
      </c>
      <c r="C951" s="26" t="s">
        <v>847</v>
      </c>
      <c r="D951" s="26" t="s">
        <v>6396</v>
      </c>
      <c r="E951" s="26" t="s">
        <v>6395</v>
      </c>
      <c r="F951" s="26">
        <v>100</v>
      </c>
    </row>
    <row r="952" spans="1:7">
      <c r="A952" s="26" t="s">
        <v>6399</v>
      </c>
      <c r="B952" s="26" t="s">
        <v>846</v>
      </c>
      <c r="C952" s="26" t="s">
        <v>847</v>
      </c>
      <c r="D952" s="26" t="s">
        <v>6396</v>
      </c>
      <c r="E952" s="26" t="s">
        <v>6395</v>
      </c>
      <c r="F952" s="26">
        <v>100</v>
      </c>
    </row>
    <row r="953" spans="1:7">
      <c r="A953" s="26" t="s">
        <v>6399</v>
      </c>
      <c r="B953" s="26" t="s">
        <v>6446</v>
      </c>
      <c r="C953" s="26" t="s">
        <v>6445</v>
      </c>
      <c r="D953" s="26" t="s">
        <v>6396</v>
      </c>
      <c r="E953" s="26" t="s">
        <v>6395</v>
      </c>
      <c r="F953" s="26">
        <v>100</v>
      </c>
    </row>
    <row r="954" spans="1:7">
      <c r="A954" s="26" t="s">
        <v>6399</v>
      </c>
      <c r="B954" s="26" t="s">
        <v>95</v>
      </c>
      <c r="C954" s="26" t="s">
        <v>6444</v>
      </c>
      <c r="D954" s="26" t="s">
        <v>6396</v>
      </c>
      <c r="E954" s="26" t="s">
        <v>6443</v>
      </c>
      <c r="F954" s="26">
        <v>100</v>
      </c>
    </row>
    <row r="955" spans="1:7">
      <c r="A955" s="26" t="s">
        <v>6399</v>
      </c>
      <c r="B955" s="26" t="s">
        <v>1520</v>
      </c>
      <c r="C955" s="26" t="s">
        <v>1372</v>
      </c>
      <c r="D955" s="26" t="s">
        <v>10246</v>
      </c>
      <c r="E955" s="26" t="s">
        <v>6411</v>
      </c>
      <c r="F955" s="26">
        <v>100</v>
      </c>
    </row>
    <row r="956" spans="1:7">
      <c r="A956" s="26" t="s">
        <v>6399</v>
      </c>
      <c r="B956" s="26" t="s">
        <v>6442</v>
      </c>
      <c r="C956" s="26" t="s">
        <v>6441</v>
      </c>
      <c r="D956" s="26" t="s">
        <v>6396</v>
      </c>
      <c r="E956" s="26" t="s">
        <v>6395</v>
      </c>
      <c r="F956" s="26">
        <v>100</v>
      </c>
    </row>
    <row r="957" spans="1:7">
      <c r="A957" s="26" t="s">
        <v>6399</v>
      </c>
      <c r="B957" s="26" t="s">
        <v>6440</v>
      </c>
      <c r="C957" s="26" t="s">
        <v>6439</v>
      </c>
      <c r="D957" s="26" t="s">
        <v>6396</v>
      </c>
      <c r="E957" s="26" t="s">
        <v>6395</v>
      </c>
      <c r="F957" s="26">
        <v>100</v>
      </c>
    </row>
    <row r="958" spans="1:7">
      <c r="A958" s="26" t="s">
        <v>6399</v>
      </c>
      <c r="B958" s="26" t="s">
        <v>1741</v>
      </c>
      <c r="C958" s="26" t="s">
        <v>742</v>
      </c>
      <c r="D958" s="26" t="s">
        <v>6396</v>
      </c>
      <c r="E958" s="26" t="s">
        <v>6395</v>
      </c>
      <c r="F958" s="26">
        <v>100</v>
      </c>
    </row>
    <row r="959" spans="1:7">
      <c r="A959" s="26" t="s">
        <v>6399</v>
      </c>
      <c r="B959" s="26" t="s">
        <v>6438</v>
      </c>
      <c r="C959" s="26" t="s">
        <v>558</v>
      </c>
      <c r="D959" s="26" t="s">
        <v>6396</v>
      </c>
      <c r="E959" s="26" t="s">
        <v>6395</v>
      </c>
      <c r="F959" s="26">
        <v>100</v>
      </c>
    </row>
    <row r="960" spans="1:7">
      <c r="A960" s="26" t="s">
        <v>6399</v>
      </c>
      <c r="B960" s="26" t="s">
        <v>6437</v>
      </c>
      <c r="C960" s="26" t="s">
        <v>558</v>
      </c>
      <c r="D960" s="26" t="s">
        <v>6396</v>
      </c>
      <c r="E960" s="26" t="s">
        <v>6395</v>
      </c>
      <c r="F960" s="26">
        <v>100</v>
      </c>
    </row>
    <row r="961" spans="1:7">
      <c r="A961" s="26" t="s">
        <v>6399</v>
      </c>
      <c r="B961" s="26" t="s">
        <v>2912</v>
      </c>
      <c r="C961" s="26" t="s">
        <v>935</v>
      </c>
      <c r="D961" s="26" t="s">
        <v>6396</v>
      </c>
      <c r="E961" s="26" t="s">
        <v>6395</v>
      </c>
      <c r="F961" s="26">
        <v>100</v>
      </c>
    </row>
    <row r="962" spans="1:7">
      <c r="A962" s="26" t="s">
        <v>6399</v>
      </c>
      <c r="B962" s="26" t="s">
        <v>4710</v>
      </c>
      <c r="C962" s="26" t="s">
        <v>935</v>
      </c>
      <c r="D962" s="26" t="s">
        <v>6396</v>
      </c>
      <c r="E962" s="26" t="s">
        <v>6395</v>
      </c>
      <c r="F962" s="26">
        <v>100</v>
      </c>
    </row>
    <row r="963" spans="1:7">
      <c r="A963" s="26" t="s">
        <v>6399</v>
      </c>
      <c r="B963" s="26" t="s">
        <v>2088</v>
      </c>
      <c r="C963" s="26" t="s">
        <v>935</v>
      </c>
      <c r="D963" s="26" t="s">
        <v>6396</v>
      </c>
      <c r="E963" s="26" t="s">
        <v>6395</v>
      </c>
      <c r="F963" s="26">
        <v>100</v>
      </c>
    </row>
    <row r="964" spans="1:7">
      <c r="A964" s="26" t="s">
        <v>6399</v>
      </c>
      <c r="B964" s="26" t="s">
        <v>934</v>
      </c>
      <c r="C964" s="26" t="s">
        <v>935</v>
      </c>
      <c r="D964" s="26" t="s">
        <v>6396</v>
      </c>
      <c r="E964" s="26" t="s">
        <v>6411</v>
      </c>
      <c r="F964" s="26">
        <v>100</v>
      </c>
    </row>
    <row r="965" spans="1:7">
      <c r="A965" s="26" t="s">
        <v>6399</v>
      </c>
      <c r="B965" s="26" t="s">
        <v>3059</v>
      </c>
      <c r="C965" s="26" t="s">
        <v>1331</v>
      </c>
      <c r="D965" s="26" t="s">
        <v>6396</v>
      </c>
      <c r="E965" s="26" t="s">
        <v>6395</v>
      </c>
      <c r="F965" s="26">
        <v>100</v>
      </c>
      <c r="G965" s="26" t="s">
        <v>6436</v>
      </c>
    </row>
    <row r="966" spans="1:7">
      <c r="A966" s="26" t="s">
        <v>6399</v>
      </c>
      <c r="B966" s="26" t="s">
        <v>1165</v>
      </c>
      <c r="C966" s="26" t="s">
        <v>227</v>
      </c>
      <c r="D966" s="26" t="s">
        <v>6396</v>
      </c>
      <c r="E966" s="26" t="s">
        <v>6395</v>
      </c>
      <c r="F966" s="26">
        <v>100</v>
      </c>
    </row>
    <row r="967" spans="1:7">
      <c r="A967" s="26" t="s">
        <v>6399</v>
      </c>
      <c r="B967" s="26" t="s">
        <v>6435</v>
      </c>
      <c r="C967" s="26" t="s">
        <v>227</v>
      </c>
      <c r="D967" s="26" t="s">
        <v>6434</v>
      </c>
      <c r="E967" s="26" t="s">
        <v>6395</v>
      </c>
      <c r="F967" s="26">
        <v>100</v>
      </c>
    </row>
    <row r="968" spans="1:7">
      <c r="A968" s="26" t="s">
        <v>6399</v>
      </c>
      <c r="B968" s="26" t="s">
        <v>6433</v>
      </c>
      <c r="C968" s="26" t="s">
        <v>941</v>
      </c>
      <c r="D968" s="26" t="s">
        <v>6396</v>
      </c>
      <c r="E968" s="26" t="s">
        <v>6432</v>
      </c>
      <c r="F968" s="26">
        <v>100</v>
      </c>
    </row>
    <row r="969" spans="1:7">
      <c r="A969" s="26" t="s">
        <v>6399</v>
      </c>
      <c r="B969" s="26" t="s">
        <v>6431</v>
      </c>
      <c r="C969" s="26" t="s">
        <v>1744</v>
      </c>
      <c r="D969" s="26" t="s">
        <v>6396</v>
      </c>
      <c r="E969" s="26" t="s">
        <v>6395</v>
      </c>
      <c r="F969" s="26">
        <v>100</v>
      </c>
    </row>
    <row r="970" spans="1:7">
      <c r="A970" s="26" t="s">
        <v>6399</v>
      </c>
      <c r="B970" s="26" t="s">
        <v>6430</v>
      </c>
      <c r="C970" s="26" t="s">
        <v>6429</v>
      </c>
      <c r="D970" s="26" t="s">
        <v>6396</v>
      </c>
      <c r="E970" s="26" t="s">
        <v>6395</v>
      </c>
      <c r="F970" s="26">
        <v>100</v>
      </c>
    </row>
    <row r="971" spans="1:7">
      <c r="A971" s="26" t="s">
        <v>6399</v>
      </c>
      <c r="B971" s="26" t="s">
        <v>6428</v>
      </c>
      <c r="C971" s="26" t="s">
        <v>6427</v>
      </c>
      <c r="D971" s="26" t="s">
        <v>6396</v>
      </c>
      <c r="E971" s="26" t="s">
        <v>6395</v>
      </c>
      <c r="F971" s="26">
        <v>100</v>
      </c>
    </row>
    <row r="972" spans="1:7">
      <c r="A972" s="26" t="s">
        <v>6399</v>
      </c>
      <c r="B972" s="26" t="s">
        <v>2617</v>
      </c>
      <c r="C972" s="26" t="s">
        <v>1490</v>
      </c>
      <c r="D972" s="26" t="s">
        <v>6396</v>
      </c>
      <c r="E972" s="26" t="s">
        <v>6395</v>
      </c>
      <c r="F972" s="26">
        <v>100</v>
      </c>
    </row>
    <row r="973" spans="1:7">
      <c r="A973" s="26" t="s">
        <v>6399</v>
      </c>
      <c r="B973" s="26" t="s">
        <v>6426</v>
      </c>
      <c r="C973" s="26" t="s">
        <v>6425</v>
      </c>
      <c r="D973" s="26" t="s">
        <v>6396</v>
      </c>
      <c r="E973" s="26" t="s">
        <v>6395</v>
      </c>
      <c r="F973" s="26">
        <v>100</v>
      </c>
    </row>
    <row r="974" spans="1:7">
      <c r="A974" s="26" t="s">
        <v>6399</v>
      </c>
      <c r="B974" s="26" t="s">
        <v>2184</v>
      </c>
      <c r="C974" s="26" t="s">
        <v>2185</v>
      </c>
      <c r="D974" s="26" t="s">
        <v>6396</v>
      </c>
      <c r="E974" s="26" t="s">
        <v>6395</v>
      </c>
      <c r="F974" s="26">
        <v>100</v>
      </c>
    </row>
    <row r="975" spans="1:7">
      <c r="A975" s="26" t="s">
        <v>6399</v>
      </c>
      <c r="B975" s="26" t="s">
        <v>6424</v>
      </c>
      <c r="C975" s="26" t="s">
        <v>2185</v>
      </c>
      <c r="D975" s="26" t="s">
        <v>6396</v>
      </c>
      <c r="E975" s="26" t="s">
        <v>6395</v>
      </c>
      <c r="F975" s="26">
        <v>100</v>
      </c>
      <c r="G975" s="26" t="s">
        <v>6409</v>
      </c>
    </row>
    <row r="976" spans="1:7">
      <c r="A976" s="26" t="s">
        <v>6399</v>
      </c>
      <c r="B976" s="26" t="s">
        <v>6423</v>
      </c>
      <c r="C976" s="26" t="s">
        <v>2185</v>
      </c>
      <c r="D976" s="26" t="s">
        <v>6396</v>
      </c>
      <c r="E976" s="26" t="s">
        <v>6395</v>
      </c>
      <c r="F976" s="26">
        <v>100</v>
      </c>
    </row>
    <row r="977" spans="1:7">
      <c r="A977" s="26" t="s">
        <v>6399</v>
      </c>
      <c r="B977" s="26" t="s">
        <v>2485</v>
      </c>
      <c r="C977" s="26" t="s">
        <v>6422</v>
      </c>
      <c r="D977" s="26" t="s">
        <v>6396</v>
      </c>
      <c r="E977" s="26" t="s">
        <v>6411</v>
      </c>
      <c r="F977" s="26">
        <v>100</v>
      </c>
    </row>
    <row r="978" spans="1:7">
      <c r="A978" s="26" t="s">
        <v>6399</v>
      </c>
      <c r="B978" s="26" t="s">
        <v>6421</v>
      </c>
      <c r="C978" s="26" t="s">
        <v>238</v>
      </c>
      <c r="D978" s="26" t="s">
        <v>6396</v>
      </c>
      <c r="E978" s="26" t="s">
        <v>6395</v>
      </c>
      <c r="F978" s="26">
        <v>100</v>
      </c>
      <c r="G978" s="26" t="s">
        <v>6409</v>
      </c>
    </row>
    <row r="979" spans="1:7">
      <c r="A979" s="26" t="s">
        <v>6399</v>
      </c>
      <c r="B979" s="26" t="s">
        <v>2100</v>
      </c>
      <c r="C979" s="26" t="s">
        <v>6420</v>
      </c>
      <c r="D979" s="26" t="s">
        <v>6396</v>
      </c>
      <c r="E979" s="26" t="s">
        <v>6395</v>
      </c>
      <c r="F979" s="26">
        <v>100</v>
      </c>
    </row>
    <row r="980" spans="1:7">
      <c r="A980" s="26" t="s">
        <v>6399</v>
      </c>
      <c r="B980" s="26" t="s">
        <v>791</v>
      </c>
      <c r="C980" s="26" t="s">
        <v>142</v>
      </c>
      <c r="D980" s="26" t="s">
        <v>6396</v>
      </c>
      <c r="E980" s="26" t="s">
        <v>6395</v>
      </c>
      <c r="F980" s="26">
        <v>100</v>
      </c>
      <c r="G980" s="26" t="s">
        <v>6409</v>
      </c>
    </row>
    <row r="981" spans="1:7">
      <c r="A981" s="26" t="s">
        <v>6399</v>
      </c>
      <c r="B981" s="26" t="s">
        <v>6419</v>
      </c>
      <c r="C981" s="26" t="s">
        <v>360</v>
      </c>
      <c r="D981" s="26" t="s">
        <v>6396</v>
      </c>
      <c r="E981" s="26" t="s">
        <v>6395</v>
      </c>
      <c r="F981" s="26">
        <v>100</v>
      </c>
    </row>
    <row r="982" spans="1:7">
      <c r="A982" s="26" t="s">
        <v>6399</v>
      </c>
      <c r="B982" s="26" t="s">
        <v>6418</v>
      </c>
      <c r="C982" s="26" t="s">
        <v>2198</v>
      </c>
      <c r="D982" s="26" t="s">
        <v>6396</v>
      </c>
      <c r="E982" s="26" t="s">
        <v>6395</v>
      </c>
      <c r="F982" s="26">
        <v>100</v>
      </c>
    </row>
    <row r="983" spans="1:7">
      <c r="A983" s="26" t="s">
        <v>6399</v>
      </c>
      <c r="B983" s="26" t="s">
        <v>2637</v>
      </c>
      <c r="C983" s="26" t="s">
        <v>776</v>
      </c>
      <c r="D983" s="26" t="s">
        <v>6396</v>
      </c>
      <c r="E983" s="26" t="s">
        <v>6395</v>
      </c>
      <c r="F983" s="26">
        <v>100</v>
      </c>
    </row>
    <row r="984" spans="1:7">
      <c r="A984" s="26" t="s">
        <v>6399</v>
      </c>
      <c r="B984" s="26" t="s">
        <v>6417</v>
      </c>
      <c r="C984" s="26" t="s">
        <v>776</v>
      </c>
      <c r="D984" s="26" t="s">
        <v>6396</v>
      </c>
      <c r="E984" s="26" t="s">
        <v>6395</v>
      </c>
      <c r="F984" s="26">
        <v>100</v>
      </c>
    </row>
    <row r="985" spans="1:7">
      <c r="A985" s="26" t="s">
        <v>6399</v>
      </c>
      <c r="B985" s="26" t="s">
        <v>711</v>
      </c>
      <c r="C985" s="26" t="s">
        <v>509</v>
      </c>
      <c r="D985" s="26" t="s">
        <v>6396</v>
      </c>
      <c r="E985" s="26" t="s">
        <v>6395</v>
      </c>
      <c r="F985" s="26">
        <v>100</v>
      </c>
      <c r="G985" s="26" t="s">
        <v>6409</v>
      </c>
    </row>
    <row r="986" spans="1:7">
      <c r="A986" s="26" t="s">
        <v>6399</v>
      </c>
      <c r="B986" s="26" t="s">
        <v>716</v>
      </c>
      <c r="C986" s="26" t="s">
        <v>509</v>
      </c>
      <c r="D986" s="26" t="s">
        <v>6396</v>
      </c>
      <c r="E986" s="26" t="s">
        <v>6395</v>
      </c>
      <c r="F986" s="26">
        <v>100</v>
      </c>
    </row>
    <row r="987" spans="1:7">
      <c r="A987" s="26" t="s">
        <v>6399</v>
      </c>
      <c r="B987" s="26" t="s">
        <v>6416</v>
      </c>
      <c r="C987" s="26" t="s">
        <v>509</v>
      </c>
      <c r="D987" s="26" t="s">
        <v>6396</v>
      </c>
      <c r="E987" s="26" t="s">
        <v>6395</v>
      </c>
      <c r="F987" s="26">
        <v>100</v>
      </c>
      <c r="G987" s="26" t="s">
        <v>6409</v>
      </c>
    </row>
    <row r="988" spans="1:7">
      <c r="A988" s="26" t="s">
        <v>6399</v>
      </c>
      <c r="B988" s="26" t="s">
        <v>6415</v>
      </c>
      <c r="C988" s="26" t="s">
        <v>509</v>
      </c>
      <c r="D988" s="26" t="s">
        <v>6396</v>
      </c>
      <c r="E988" s="26" t="s">
        <v>6395</v>
      </c>
      <c r="F988" s="26">
        <v>100</v>
      </c>
      <c r="G988" s="26" t="s">
        <v>6409</v>
      </c>
    </row>
    <row r="989" spans="1:7">
      <c r="A989" s="26" t="s">
        <v>6399</v>
      </c>
      <c r="B989" s="26" t="s">
        <v>2968</v>
      </c>
      <c r="C989" s="26" t="s">
        <v>2969</v>
      </c>
      <c r="D989" s="26" t="s">
        <v>6396</v>
      </c>
      <c r="E989" s="26" t="s">
        <v>6395</v>
      </c>
      <c r="F989" s="26">
        <v>100</v>
      </c>
    </row>
    <row r="990" spans="1:7">
      <c r="A990" s="26" t="s">
        <v>6399</v>
      </c>
      <c r="B990" s="26" t="s">
        <v>6414</v>
      </c>
      <c r="C990" s="26" t="s">
        <v>3036</v>
      </c>
      <c r="D990" s="26" t="s">
        <v>6396</v>
      </c>
      <c r="E990" s="26" t="s">
        <v>6395</v>
      </c>
      <c r="F990" s="26">
        <v>100</v>
      </c>
    </row>
    <row r="991" spans="1:7">
      <c r="A991" s="26" t="s">
        <v>6399</v>
      </c>
      <c r="B991" s="26" t="s">
        <v>6413</v>
      </c>
      <c r="C991" s="26" t="s">
        <v>188</v>
      </c>
      <c r="D991" s="26" t="s">
        <v>6396</v>
      </c>
      <c r="E991" s="26" t="s">
        <v>6395</v>
      </c>
      <c r="F991" s="26">
        <v>100</v>
      </c>
    </row>
    <row r="992" spans="1:7">
      <c r="A992" s="26" t="s">
        <v>6399</v>
      </c>
      <c r="B992" s="26" t="s">
        <v>1553</v>
      </c>
      <c r="C992" s="26" t="s">
        <v>188</v>
      </c>
      <c r="D992" s="26" t="s">
        <v>6396</v>
      </c>
      <c r="E992" s="26" t="s">
        <v>6395</v>
      </c>
      <c r="F992" s="26">
        <v>100</v>
      </c>
    </row>
    <row r="993" spans="1:7">
      <c r="A993" s="26" t="s">
        <v>6399</v>
      </c>
      <c r="B993" s="26" t="s">
        <v>6412</v>
      </c>
      <c r="C993" s="26" t="s">
        <v>188</v>
      </c>
      <c r="D993" s="26" t="s">
        <v>6396</v>
      </c>
      <c r="E993" s="26" t="s">
        <v>6395</v>
      </c>
      <c r="F993" s="26">
        <v>100</v>
      </c>
    </row>
    <row r="994" spans="1:7">
      <c r="A994" s="26" t="s">
        <v>6399</v>
      </c>
      <c r="B994" s="26" t="s">
        <v>2161</v>
      </c>
      <c r="C994" s="26" t="s">
        <v>188</v>
      </c>
      <c r="D994" s="26" t="s">
        <v>6396</v>
      </c>
      <c r="E994" s="26" t="s">
        <v>6395</v>
      </c>
      <c r="F994" s="26">
        <v>100</v>
      </c>
    </row>
    <row r="995" spans="1:7">
      <c r="A995" s="26" t="s">
        <v>6399</v>
      </c>
      <c r="B995" s="26" t="s">
        <v>342</v>
      </c>
      <c r="C995" s="26" t="s">
        <v>188</v>
      </c>
      <c r="D995" s="26" t="s">
        <v>6396</v>
      </c>
      <c r="E995" s="26" t="s">
        <v>6395</v>
      </c>
      <c r="F995" s="26">
        <v>100</v>
      </c>
    </row>
    <row r="996" spans="1:7">
      <c r="A996" s="26" t="s">
        <v>6399</v>
      </c>
      <c r="B996" s="26" t="s">
        <v>198</v>
      </c>
      <c r="C996" s="26" t="s">
        <v>199</v>
      </c>
      <c r="D996" s="26" t="s">
        <v>6396</v>
      </c>
      <c r="E996" s="26" t="s">
        <v>6411</v>
      </c>
      <c r="F996" s="26">
        <v>100</v>
      </c>
    </row>
    <row r="997" spans="1:7">
      <c r="A997" s="26" t="s">
        <v>6399</v>
      </c>
      <c r="B997" s="26" t="s">
        <v>828</v>
      </c>
      <c r="C997" s="26" t="s">
        <v>6410</v>
      </c>
      <c r="D997" s="26" t="s">
        <v>6396</v>
      </c>
      <c r="E997" s="26" t="s">
        <v>6395</v>
      </c>
      <c r="F997" s="26">
        <v>200</v>
      </c>
      <c r="G997" s="26" t="s">
        <v>6409</v>
      </c>
    </row>
    <row r="998" spans="1:7">
      <c r="A998" s="26" t="s">
        <v>6399</v>
      </c>
      <c r="B998" s="26" t="s">
        <v>1853</v>
      </c>
      <c r="C998" s="26" t="s">
        <v>1854</v>
      </c>
      <c r="D998" s="26" t="s">
        <v>6396</v>
      </c>
      <c r="E998" s="26" t="s">
        <v>6395</v>
      </c>
      <c r="F998" s="26">
        <v>200</v>
      </c>
    </row>
    <row r="999" spans="1:7">
      <c r="A999" s="26" t="s">
        <v>6399</v>
      </c>
      <c r="B999" s="26" t="s">
        <v>6408</v>
      </c>
      <c r="C999" s="26" t="s">
        <v>6407</v>
      </c>
      <c r="D999" s="26" t="s">
        <v>6396</v>
      </c>
      <c r="E999" s="26" t="s">
        <v>6395</v>
      </c>
      <c r="F999" s="26">
        <v>200</v>
      </c>
    </row>
    <row r="1000" spans="1:7">
      <c r="A1000" s="26" t="s">
        <v>6399</v>
      </c>
      <c r="B1000" s="26" t="s">
        <v>6406</v>
      </c>
      <c r="C1000" s="26" t="s">
        <v>6405</v>
      </c>
      <c r="D1000" s="26" t="s">
        <v>6396</v>
      </c>
      <c r="E1000" s="26" t="s">
        <v>6395</v>
      </c>
      <c r="F1000" s="26">
        <v>200</v>
      </c>
    </row>
    <row r="1001" spans="1:7">
      <c r="A1001" s="26" t="s">
        <v>6399</v>
      </c>
      <c r="B1001" s="26" t="s">
        <v>674</v>
      </c>
      <c r="C1001" s="26" t="s">
        <v>675</v>
      </c>
      <c r="D1001" s="26" t="s">
        <v>6396</v>
      </c>
      <c r="E1001" s="26" t="s">
        <v>6395</v>
      </c>
      <c r="F1001" s="26" t="s">
        <v>6394</v>
      </c>
    </row>
    <row r="1002" spans="1:7">
      <c r="A1002" s="26" t="s">
        <v>6399</v>
      </c>
      <c r="B1002" s="26" t="s">
        <v>6404</v>
      </c>
      <c r="C1002" s="26" t="s">
        <v>6403</v>
      </c>
      <c r="D1002" s="26" t="s">
        <v>6396</v>
      </c>
      <c r="E1002" s="26" t="s">
        <v>6395</v>
      </c>
      <c r="F1002" s="26" t="s">
        <v>6394</v>
      </c>
    </row>
    <row r="1003" spans="1:7">
      <c r="A1003" s="26" t="s">
        <v>6399</v>
      </c>
      <c r="B1003" s="26" t="s">
        <v>6402</v>
      </c>
      <c r="C1003" s="26" t="s">
        <v>6400</v>
      </c>
      <c r="D1003" s="26" t="s">
        <v>6396</v>
      </c>
      <c r="E1003" s="26" t="s">
        <v>6395</v>
      </c>
      <c r="F1003" s="26" t="s">
        <v>6394</v>
      </c>
    </row>
    <row r="1004" spans="1:7">
      <c r="A1004" s="26" t="s">
        <v>6399</v>
      </c>
      <c r="B1004" s="26" t="s">
        <v>6401</v>
      </c>
      <c r="C1004" s="26" t="s">
        <v>6400</v>
      </c>
      <c r="D1004" s="26" t="s">
        <v>6396</v>
      </c>
      <c r="E1004" s="26" t="s">
        <v>6395</v>
      </c>
      <c r="F1004" s="26" t="s">
        <v>6394</v>
      </c>
    </row>
    <row r="1005" spans="1:7">
      <c r="A1005" s="26" t="s">
        <v>6399</v>
      </c>
      <c r="B1005" s="26" t="s">
        <v>6398</v>
      </c>
      <c r="C1005" s="26" t="s">
        <v>6397</v>
      </c>
      <c r="D1005" s="26" t="s">
        <v>6396</v>
      </c>
      <c r="E1005" s="26" t="s">
        <v>6395</v>
      </c>
      <c r="F1005" s="26" t="s">
        <v>6394</v>
      </c>
    </row>
    <row r="1006" spans="1:7">
      <c r="A1006" s="26" t="s">
        <v>7408</v>
      </c>
      <c r="B1006" s="26" t="s">
        <v>7409</v>
      </c>
      <c r="C1006" s="26" t="s">
        <v>188</v>
      </c>
      <c r="D1006" s="26" t="s">
        <v>6396</v>
      </c>
      <c r="E1006" s="26" t="s">
        <v>6395</v>
      </c>
    </row>
    <row r="1007" spans="1:7">
      <c r="A1007" s="26" t="s">
        <v>7408</v>
      </c>
      <c r="B1007" s="26" t="s">
        <v>934</v>
      </c>
      <c r="C1007" s="26" t="s">
        <v>935</v>
      </c>
      <c r="D1007" s="26" t="s">
        <v>6396</v>
      </c>
      <c r="E1007" s="26">
        <v>0</v>
      </c>
      <c r="F1007" s="26" t="s">
        <v>7410</v>
      </c>
    </row>
    <row r="1008" spans="1:7">
      <c r="A1008" s="26" t="s">
        <v>7408</v>
      </c>
      <c r="B1008" s="26" t="s">
        <v>7411</v>
      </c>
      <c r="C1008" s="26" t="s">
        <v>7412</v>
      </c>
      <c r="D1008" s="26" t="s">
        <v>6396</v>
      </c>
      <c r="E1008" s="26" t="s">
        <v>6395</v>
      </c>
    </row>
    <row r="1009" spans="1:6">
      <c r="A1009" s="26" t="s">
        <v>7408</v>
      </c>
      <c r="B1009" s="26" t="s">
        <v>7413</v>
      </c>
      <c r="C1009" s="26" t="s">
        <v>7414</v>
      </c>
      <c r="D1009" s="26" t="s">
        <v>6396</v>
      </c>
      <c r="E1009" s="26" t="s">
        <v>6443</v>
      </c>
    </row>
    <row r="1010" spans="1:6">
      <c r="A1010" s="26" t="s">
        <v>7408</v>
      </c>
      <c r="B1010" s="26" t="s">
        <v>7415</v>
      </c>
      <c r="C1010" s="26" t="s">
        <v>7416</v>
      </c>
      <c r="D1010" s="26" t="s">
        <v>6396</v>
      </c>
      <c r="E1010" s="26" t="s">
        <v>6395</v>
      </c>
    </row>
    <row r="1011" spans="1:6">
      <c r="A1011" s="26" t="s">
        <v>7408</v>
      </c>
      <c r="B1011" s="26" t="s">
        <v>1553</v>
      </c>
      <c r="C1011" s="26" t="s">
        <v>188</v>
      </c>
      <c r="D1011" s="26" t="s">
        <v>6396</v>
      </c>
      <c r="E1011" s="26">
        <v>0</v>
      </c>
      <c r="F1011" s="26" t="s">
        <v>7410</v>
      </c>
    </row>
    <row r="1012" spans="1:6">
      <c r="A1012" s="26" t="s">
        <v>7408</v>
      </c>
      <c r="B1012" s="26" t="s">
        <v>7417</v>
      </c>
      <c r="C1012" s="26" t="s">
        <v>188</v>
      </c>
      <c r="D1012" s="26" t="s">
        <v>6396</v>
      </c>
      <c r="E1012" s="26" t="s">
        <v>6395</v>
      </c>
    </row>
    <row r="1013" spans="1:6">
      <c r="A1013" s="26" t="s">
        <v>7408</v>
      </c>
      <c r="B1013" s="26" t="s">
        <v>7418</v>
      </c>
      <c r="C1013" s="26" t="s">
        <v>7419</v>
      </c>
      <c r="D1013" s="26" t="s">
        <v>6396</v>
      </c>
      <c r="E1013" s="26">
        <v>0</v>
      </c>
      <c r="F1013" s="26" t="s">
        <v>7410</v>
      </c>
    </row>
    <row r="1014" spans="1:6">
      <c r="A1014" s="26" t="s">
        <v>7408</v>
      </c>
      <c r="B1014" s="26" t="s">
        <v>7420</v>
      </c>
      <c r="C1014" s="26" t="s">
        <v>7421</v>
      </c>
      <c r="D1014" s="26" t="s">
        <v>6396</v>
      </c>
      <c r="E1014" s="26" t="s">
        <v>6443</v>
      </c>
    </row>
    <row r="1015" spans="1:6">
      <c r="A1015" s="26" t="s">
        <v>7408</v>
      </c>
      <c r="B1015" s="26" t="s">
        <v>7422</v>
      </c>
      <c r="C1015" s="26" t="s">
        <v>7423</v>
      </c>
      <c r="D1015" s="26" t="s">
        <v>6396</v>
      </c>
      <c r="E1015" s="26" t="s">
        <v>6443</v>
      </c>
    </row>
    <row r="1016" spans="1:6">
      <c r="A1016" s="26" t="s">
        <v>7408</v>
      </c>
      <c r="B1016" s="26" t="s">
        <v>192</v>
      </c>
      <c r="C1016" s="26" t="s">
        <v>2057</v>
      </c>
      <c r="D1016" s="26" t="s">
        <v>6396</v>
      </c>
      <c r="E1016" s="26" t="s">
        <v>6479</v>
      </c>
      <c r="F1016" s="26" t="s">
        <v>7410</v>
      </c>
    </row>
    <row r="1017" spans="1:6">
      <c r="A1017" s="26" t="s">
        <v>7408</v>
      </c>
      <c r="B1017" s="26" t="s">
        <v>6913</v>
      </c>
      <c r="C1017" s="26" t="s">
        <v>6545</v>
      </c>
      <c r="D1017" s="26" t="s">
        <v>6396</v>
      </c>
      <c r="E1017" s="26" t="s">
        <v>6443</v>
      </c>
    </row>
    <row r="1018" spans="1:6">
      <c r="A1018" s="26" t="s">
        <v>7408</v>
      </c>
      <c r="B1018" s="26" t="s">
        <v>7424</v>
      </c>
      <c r="C1018" s="26" t="s">
        <v>7425</v>
      </c>
      <c r="D1018" s="26" t="s">
        <v>6396</v>
      </c>
      <c r="E1018" s="26" t="s">
        <v>6443</v>
      </c>
    </row>
    <row r="1019" spans="1:6">
      <c r="A1019" s="26" t="s">
        <v>7408</v>
      </c>
      <c r="B1019" s="26" t="s">
        <v>7426</v>
      </c>
      <c r="C1019" s="26" t="s">
        <v>7427</v>
      </c>
      <c r="D1019" s="26" t="s">
        <v>6396</v>
      </c>
      <c r="E1019" s="26" t="s">
        <v>6443</v>
      </c>
    </row>
    <row r="1020" spans="1:6">
      <c r="A1020" s="26" t="s">
        <v>7408</v>
      </c>
      <c r="B1020" s="26" t="s">
        <v>7428</v>
      </c>
      <c r="C1020" s="26" t="s">
        <v>509</v>
      </c>
      <c r="D1020" s="26" t="s">
        <v>6396</v>
      </c>
      <c r="E1020" s="26" t="s">
        <v>6395</v>
      </c>
    </row>
    <row r="1021" spans="1:6">
      <c r="A1021" s="26" t="s">
        <v>7408</v>
      </c>
      <c r="B1021" s="26" t="s">
        <v>640</v>
      </c>
      <c r="C1021" s="26" t="s">
        <v>154</v>
      </c>
      <c r="D1021" s="26" t="s">
        <v>6396</v>
      </c>
      <c r="E1021" s="26" t="s">
        <v>6395</v>
      </c>
    </row>
    <row r="1022" spans="1:6">
      <c r="A1022" s="26" t="s">
        <v>7408</v>
      </c>
      <c r="B1022" s="26" t="s">
        <v>6776</v>
      </c>
      <c r="C1022" s="26" t="s">
        <v>6768</v>
      </c>
      <c r="D1022" s="26" t="s">
        <v>6396</v>
      </c>
      <c r="E1022" s="26" t="s">
        <v>6443</v>
      </c>
    </row>
    <row r="1023" spans="1:6">
      <c r="A1023" s="26" t="s">
        <v>7408</v>
      </c>
      <c r="B1023" s="26" t="s">
        <v>7429</v>
      </c>
      <c r="C1023" s="26" t="s">
        <v>7430</v>
      </c>
      <c r="D1023" s="26" t="s">
        <v>6396</v>
      </c>
      <c r="E1023" s="26" t="s">
        <v>6443</v>
      </c>
    </row>
    <row r="1024" spans="1:6">
      <c r="A1024" s="26" t="s">
        <v>7408</v>
      </c>
      <c r="B1024" s="26" t="s">
        <v>7431</v>
      </c>
      <c r="C1024" s="26" t="s">
        <v>1854</v>
      </c>
      <c r="D1024" s="26" t="s">
        <v>6396</v>
      </c>
      <c r="E1024" s="26" t="s">
        <v>6395</v>
      </c>
    </row>
    <row r="1025" spans="1:5">
      <c r="A1025" s="26" t="s">
        <v>7408</v>
      </c>
      <c r="B1025" s="26" t="s">
        <v>1005</v>
      </c>
      <c r="C1025" s="26" t="s">
        <v>935</v>
      </c>
      <c r="D1025" s="26" t="s">
        <v>6396</v>
      </c>
      <c r="E1025" s="26" t="s">
        <v>6395</v>
      </c>
    </row>
    <row r="1026" spans="1:5">
      <c r="A1026" s="26" t="s">
        <v>7408</v>
      </c>
      <c r="B1026" s="26" t="s">
        <v>250</v>
      </c>
      <c r="C1026" s="26" t="s">
        <v>42</v>
      </c>
      <c r="D1026" s="26" t="s">
        <v>6396</v>
      </c>
      <c r="E1026" s="26" t="s">
        <v>6443</v>
      </c>
    </row>
    <row r="1027" spans="1:5">
      <c r="A1027" s="26" t="s">
        <v>7408</v>
      </c>
      <c r="B1027" s="26" t="s">
        <v>6504</v>
      </c>
      <c r="C1027" s="26" t="s">
        <v>188</v>
      </c>
      <c r="D1027" s="26" t="s">
        <v>6396</v>
      </c>
      <c r="E1027" s="26" t="s">
        <v>6443</v>
      </c>
    </row>
    <row r="1028" spans="1:5">
      <c r="A1028" s="26" t="s">
        <v>7408</v>
      </c>
      <c r="B1028" s="26" t="s">
        <v>6528</v>
      </c>
      <c r="C1028" s="26" t="s">
        <v>541</v>
      </c>
      <c r="D1028" s="26" t="s">
        <v>6396</v>
      </c>
      <c r="E1028" s="26" t="s">
        <v>6395</v>
      </c>
    </row>
    <row r="1029" spans="1:5">
      <c r="A1029" s="26" t="s">
        <v>7408</v>
      </c>
      <c r="B1029" s="26" t="s">
        <v>7432</v>
      </c>
      <c r="C1029" s="26" t="s">
        <v>466</v>
      </c>
      <c r="D1029" s="26" t="s">
        <v>6396</v>
      </c>
      <c r="E1029" s="26" t="s">
        <v>6395</v>
      </c>
    </row>
    <row r="1030" spans="1:5">
      <c r="A1030" s="26" t="s">
        <v>7408</v>
      </c>
      <c r="B1030" s="26" t="s">
        <v>7433</v>
      </c>
      <c r="C1030" s="26" t="s">
        <v>7434</v>
      </c>
      <c r="D1030" s="26" t="s">
        <v>6396</v>
      </c>
      <c r="E1030" s="26" t="s">
        <v>6395</v>
      </c>
    </row>
    <row r="1031" spans="1:5">
      <c r="A1031" s="26" t="s">
        <v>7408</v>
      </c>
      <c r="B1031" s="26" t="s">
        <v>7435</v>
      </c>
      <c r="C1031" s="26" t="s">
        <v>6473</v>
      </c>
      <c r="D1031" s="26" t="s">
        <v>6396</v>
      </c>
      <c r="E1031" s="26" t="s">
        <v>6395</v>
      </c>
    </row>
    <row r="1032" spans="1:5">
      <c r="A1032" s="26" t="s">
        <v>7408</v>
      </c>
      <c r="B1032" s="26" t="s">
        <v>763</v>
      </c>
      <c r="C1032" s="26" t="s">
        <v>21</v>
      </c>
      <c r="D1032" s="26" t="s">
        <v>6396</v>
      </c>
      <c r="E1032" s="26" t="s">
        <v>6395</v>
      </c>
    </row>
    <row r="1033" spans="1:5">
      <c r="A1033" s="26" t="s">
        <v>7408</v>
      </c>
      <c r="B1033" s="26" t="s">
        <v>6467</v>
      </c>
      <c r="C1033" s="26" t="s">
        <v>6410</v>
      </c>
      <c r="D1033" s="26" t="s">
        <v>6396</v>
      </c>
      <c r="E1033" s="26" t="s">
        <v>6395</v>
      </c>
    </row>
    <row r="1034" spans="1:5">
      <c r="A1034" s="26" t="s">
        <v>7408</v>
      </c>
      <c r="B1034" s="26" t="s">
        <v>7436</v>
      </c>
      <c r="C1034" s="26" t="s">
        <v>7437</v>
      </c>
      <c r="D1034" s="26" t="s">
        <v>6396</v>
      </c>
      <c r="E1034" s="26" t="s">
        <v>6395</v>
      </c>
    </row>
    <row r="1035" spans="1:5">
      <c r="A1035" s="26" t="s">
        <v>7408</v>
      </c>
      <c r="B1035" s="26" t="s">
        <v>6565</v>
      </c>
      <c r="C1035" s="26" t="s">
        <v>27</v>
      </c>
      <c r="D1035" s="26" t="s">
        <v>6396</v>
      </c>
      <c r="E1035" s="26" t="s">
        <v>6395</v>
      </c>
    </row>
    <row r="1036" spans="1:5">
      <c r="A1036" s="26" t="s">
        <v>7408</v>
      </c>
      <c r="B1036" s="26" t="s">
        <v>7438</v>
      </c>
      <c r="C1036" s="26" t="s">
        <v>7439</v>
      </c>
      <c r="D1036" s="26" t="s">
        <v>6396</v>
      </c>
      <c r="E1036" s="26" t="s">
        <v>6443</v>
      </c>
    </row>
    <row r="1037" spans="1:5">
      <c r="A1037" s="26" t="s">
        <v>7408</v>
      </c>
      <c r="B1037" s="26" t="s">
        <v>7440</v>
      </c>
      <c r="C1037" s="26" t="s">
        <v>154</v>
      </c>
      <c r="D1037" s="26" t="s">
        <v>6396</v>
      </c>
      <c r="E1037" s="26" t="s">
        <v>6395</v>
      </c>
    </row>
    <row r="1038" spans="1:5">
      <c r="A1038" s="26" t="s">
        <v>7408</v>
      </c>
      <c r="B1038" s="26" t="s">
        <v>1824</v>
      </c>
      <c r="C1038" s="26" t="s">
        <v>466</v>
      </c>
      <c r="D1038" s="26" t="s">
        <v>6396</v>
      </c>
      <c r="E1038" s="26" t="s">
        <v>6395</v>
      </c>
    </row>
    <row r="1039" spans="1:5">
      <c r="A1039" s="26" t="s">
        <v>7408</v>
      </c>
      <c r="B1039" s="26" t="s">
        <v>7441</v>
      </c>
      <c r="C1039" s="26" t="s">
        <v>7442</v>
      </c>
      <c r="D1039" s="26" t="s">
        <v>6396</v>
      </c>
      <c r="E1039" s="26" t="s">
        <v>8749</v>
      </c>
    </row>
    <row r="1040" spans="1:5">
      <c r="A1040" s="26" t="s">
        <v>7408</v>
      </c>
      <c r="B1040" s="26" t="s">
        <v>7443</v>
      </c>
      <c r="C1040" s="26" t="s">
        <v>884</v>
      </c>
      <c r="D1040" s="26" t="s">
        <v>6396</v>
      </c>
      <c r="E1040" s="26" t="s">
        <v>8749</v>
      </c>
    </row>
    <row r="1041" spans="1:6">
      <c r="A1041" s="26" t="s">
        <v>7408</v>
      </c>
      <c r="B1041" s="26" t="s">
        <v>7444</v>
      </c>
      <c r="C1041" s="26" t="s">
        <v>7445</v>
      </c>
      <c r="D1041" s="26" t="s">
        <v>6396</v>
      </c>
      <c r="E1041" s="26" t="s">
        <v>8749</v>
      </c>
    </row>
    <row r="1042" spans="1:6">
      <c r="A1042" s="26" t="s">
        <v>7408</v>
      </c>
      <c r="B1042" s="26" t="s">
        <v>546</v>
      </c>
      <c r="C1042" s="26" t="s">
        <v>427</v>
      </c>
      <c r="D1042" s="26" t="s">
        <v>6396</v>
      </c>
      <c r="E1042" s="26">
        <v>0</v>
      </c>
      <c r="F1042" s="26" t="s">
        <v>7410</v>
      </c>
    </row>
    <row r="1043" spans="1:6">
      <c r="A1043" s="26" t="s">
        <v>7408</v>
      </c>
      <c r="B1043" s="26" t="s">
        <v>711</v>
      </c>
      <c r="C1043" s="26" t="s">
        <v>509</v>
      </c>
      <c r="D1043" s="26" t="s">
        <v>6396</v>
      </c>
      <c r="E1043" s="26">
        <v>0</v>
      </c>
      <c r="F1043" s="26" t="s">
        <v>7410</v>
      </c>
    </row>
    <row r="1044" spans="1:6">
      <c r="A1044" s="26" t="s">
        <v>7408</v>
      </c>
      <c r="B1044" s="26" t="s">
        <v>6778</v>
      </c>
      <c r="C1044" s="26" t="s">
        <v>6777</v>
      </c>
      <c r="D1044" s="26" t="s">
        <v>6396</v>
      </c>
      <c r="E1044" s="26" t="s">
        <v>6395</v>
      </c>
    </row>
    <row r="1045" spans="1:6">
      <c r="A1045" s="26" t="s">
        <v>7408</v>
      </c>
      <c r="B1045" s="26" t="s">
        <v>7446</v>
      </c>
      <c r="C1045" s="26" t="s">
        <v>7447</v>
      </c>
      <c r="D1045" s="26" t="s">
        <v>6396</v>
      </c>
      <c r="E1045" s="26" t="s">
        <v>6395</v>
      </c>
    </row>
    <row r="1046" spans="1:6">
      <c r="A1046" s="26" t="s">
        <v>7408</v>
      </c>
      <c r="B1046" s="26" t="s">
        <v>7448</v>
      </c>
      <c r="C1046" s="26" t="s">
        <v>7449</v>
      </c>
      <c r="D1046" s="26" t="s">
        <v>6396</v>
      </c>
      <c r="E1046" s="26" t="s">
        <v>6395</v>
      </c>
    </row>
    <row r="1047" spans="1:6">
      <c r="A1047" s="26" t="s">
        <v>7408</v>
      </c>
      <c r="B1047" s="26" t="s">
        <v>7450</v>
      </c>
      <c r="C1047" s="26" t="s">
        <v>6575</v>
      </c>
      <c r="D1047" s="26" t="s">
        <v>6396</v>
      </c>
      <c r="E1047" s="26" t="s">
        <v>6395</v>
      </c>
    </row>
    <row r="1048" spans="1:6">
      <c r="A1048" s="26" t="s">
        <v>7408</v>
      </c>
      <c r="B1048" s="26" t="s">
        <v>7451</v>
      </c>
      <c r="C1048" s="26" t="s">
        <v>3262</v>
      </c>
      <c r="D1048" s="26" t="s">
        <v>6396</v>
      </c>
      <c r="E1048" s="26" t="s">
        <v>6395</v>
      </c>
    </row>
    <row r="1049" spans="1:6">
      <c r="A1049" s="26" t="s">
        <v>7408</v>
      </c>
      <c r="B1049" s="26" t="s">
        <v>7452</v>
      </c>
      <c r="C1049" s="26" t="s">
        <v>7453</v>
      </c>
      <c r="D1049" s="26" t="s">
        <v>6396</v>
      </c>
      <c r="E1049" s="26" t="s">
        <v>8749</v>
      </c>
    </row>
    <row r="1050" spans="1:6">
      <c r="A1050" s="26" t="s">
        <v>7408</v>
      </c>
      <c r="B1050" s="26" t="s">
        <v>2368</v>
      </c>
      <c r="C1050" s="26" t="s">
        <v>884</v>
      </c>
      <c r="D1050" s="26" t="s">
        <v>6396</v>
      </c>
      <c r="E1050" s="26" t="s">
        <v>8749</v>
      </c>
    </row>
    <row r="1051" spans="1:6">
      <c r="A1051" s="26" t="s">
        <v>7408</v>
      </c>
      <c r="B1051" s="26" t="s">
        <v>7454</v>
      </c>
      <c r="C1051" s="26" t="s">
        <v>7437</v>
      </c>
      <c r="D1051" s="26" t="s">
        <v>6396</v>
      </c>
      <c r="E1051" s="26" t="s">
        <v>6395</v>
      </c>
    </row>
    <row r="1052" spans="1:6">
      <c r="A1052" s="26" t="s">
        <v>7408</v>
      </c>
      <c r="B1052" s="26" t="s">
        <v>6934</v>
      </c>
      <c r="C1052" s="26" t="s">
        <v>643</v>
      </c>
      <c r="D1052" s="26" t="s">
        <v>6396</v>
      </c>
      <c r="E1052" s="26" t="s">
        <v>6395</v>
      </c>
    </row>
    <row r="1053" spans="1:6">
      <c r="A1053" s="26" t="s">
        <v>7408</v>
      </c>
      <c r="B1053" s="26" t="s">
        <v>7455</v>
      </c>
      <c r="C1053" s="26" t="s">
        <v>7456</v>
      </c>
      <c r="D1053" s="26" t="s">
        <v>6396</v>
      </c>
      <c r="E1053" s="26" t="s">
        <v>6395</v>
      </c>
    </row>
    <row r="1054" spans="1:6">
      <c r="A1054" s="26" t="s">
        <v>7408</v>
      </c>
      <c r="B1054" s="26" t="s">
        <v>7457</v>
      </c>
      <c r="C1054" s="26" t="s">
        <v>7458</v>
      </c>
      <c r="D1054" s="26" t="s">
        <v>6396</v>
      </c>
      <c r="E1054" s="26" t="s">
        <v>6443</v>
      </c>
    </row>
    <row r="1055" spans="1:6">
      <c r="A1055" s="26" t="s">
        <v>7408</v>
      </c>
      <c r="B1055" s="26" t="s">
        <v>7170</v>
      </c>
      <c r="C1055" s="26" t="s">
        <v>7459</v>
      </c>
      <c r="D1055" s="26" t="s">
        <v>6396</v>
      </c>
      <c r="E1055" s="26" t="s">
        <v>8749</v>
      </c>
    </row>
    <row r="1056" spans="1:6">
      <c r="A1056" s="26" t="s">
        <v>7408</v>
      </c>
      <c r="B1056" s="26" t="s">
        <v>7132</v>
      </c>
      <c r="C1056" s="26" t="s">
        <v>7131</v>
      </c>
      <c r="D1056" s="26" t="s">
        <v>6396</v>
      </c>
      <c r="E1056" s="26" t="s">
        <v>6443</v>
      </c>
    </row>
    <row r="1057" spans="1:6">
      <c r="A1057" s="26" t="s">
        <v>7408</v>
      </c>
      <c r="B1057" s="26" t="s">
        <v>7460</v>
      </c>
      <c r="C1057" s="26" t="s">
        <v>7461</v>
      </c>
      <c r="D1057" s="26" t="s">
        <v>6396</v>
      </c>
      <c r="E1057" s="26" t="s">
        <v>6443</v>
      </c>
    </row>
    <row r="1058" spans="1:6">
      <c r="A1058" s="26" t="s">
        <v>7408</v>
      </c>
      <c r="B1058" s="26" t="s">
        <v>7462</v>
      </c>
      <c r="C1058" s="26" t="s">
        <v>7205</v>
      </c>
      <c r="D1058" s="26" t="s">
        <v>6396</v>
      </c>
      <c r="E1058" s="26" t="s">
        <v>6443</v>
      </c>
    </row>
    <row r="1059" spans="1:6">
      <c r="A1059" s="26" t="s">
        <v>7408</v>
      </c>
      <c r="B1059" s="26" t="s">
        <v>7463</v>
      </c>
      <c r="C1059" s="26" t="s">
        <v>7464</v>
      </c>
      <c r="D1059" s="26" t="s">
        <v>6396</v>
      </c>
      <c r="E1059" s="26" t="s">
        <v>6395</v>
      </c>
    </row>
    <row r="1060" spans="1:6">
      <c r="A1060" s="26" t="s">
        <v>7408</v>
      </c>
      <c r="B1060" s="26" t="s">
        <v>7465</v>
      </c>
      <c r="C1060" s="26" t="s">
        <v>7466</v>
      </c>
      <c r="D1060" s="26" t="s">
        <v>6396</v>
      </c>
      <c r="E1060" s="26" t="s">
        <v>6443</v>
      </c>
    </row>
    <row r="1061" spans="1:6">
      <c r="A1061" s="26" t="s">
        <v>7408</v>
      </c>
      <c r="B1061" s="26" t="s">
        <v>7467</v>
      </c>
      <c r="C1061" s="26" t="s">
        <v>7468</v>
      </c>
      <c r="D1061" s="26" t="s">
        <v>6396</v>
      </c>
      <c r="E1061" s="26" t="s">
        <v>6443</v>
      </c>
    </row>
    <row r="1062" spans="1:6">
      <c r="A1062" s="26" t="s">
        <v>7408</v>
      </c>
      <c r="B1062" s="26" t="s">
        <v>7469</v>
      </c>
      <c r="C1062" s="26" t="s">
        <v>7470</v>
      </c>
      <c r="D1062" s="26" t="s">
        <v>6396</v>
      </c>
      <c r="E1062" s="26" t="s">
        <v>6395</v>
      </c>
    </row>
    <row r="1063" spans="1:6">
      <c r="A1063" s="26" t="s">
        <v>7408</v>
      </c>
      <c r="B1063" s="26" t="s">
        <v>7471</v>
      </c>
      <c r="C1063" s="26" t="s">
        <v>7472</v>
      </c>
      <c r="D1063" s="26" t="s">
        <v>6396</v>
      </c>
      <c r="E1063" s="26" t="s">
        <v>6395</v>
      </c>
    </row>
    <row r="1064" spans="1:6">
      <c r="A1064" s="26" t="s">
        <v>7408</v>
      </c>
      <c r="B1064" s="26" t="s">
        <v>7473</v>
      </c>
      <c r="C1064" s="26" t="s">
        <v>7474</v>
      </c>
      <c r="D1064" s="26" t="s">
        <v>6396</v>
      </c>
      <c r="E1064" s="26">
        <v>0</v>
      </c>
      <c r="F1064" s="26" t="s">
        <v>7410</v>
      </c>
    </row>
    <row r="1065" spans="1:6">
      <c r="A1065" s="26" t="s">
        <v>7408</v>
      </c>
      <c r="B1065" s="26" t="s">
        <v>7475</v>
      </c>
      <c r="C1065" s="26" t="s">
        <v>7476</v>
      </c>
      <c r="D1065" s="26" t="s">
        <v>6396</v>
      </c>
      <c r="E1065" s="26" t="s">
        <v>6443</v>
      </c>
    </row>
    <row r="1066" spans="1:6">
      <c r="A1066" s="26" t="s">
        <v>7408</v>
      </c>
      <c r="B1066" s="26" t="s">
        <v>7477</v>
      </c>
      <c r="C1066" s="26" t="s">
        <v>776</v>
      </c>
      <c r="D1066" s="26" t="s">
        <v>6396</v>
      </c>
      <c r="E1066" s="26" t="s">
        <v>6443</v>
      </c>
    </row>
    <row r="1067" spans="1:6">
      <c r="A1067" s="26" t="s">
        <v>7408</v>
      </c>
      <c r="B1067" s="26" t="s">
        <v>2322</v>
      </c>
      <c r="C1067" s="26" t="s">
        <v>2323</v>
      </c>
      <c r="D1067" s="26" t="s">
        <v>6396</v>
      </c>
      <c r="E1067" s="26" t="s">
        <v>8749</v>
      </c>
    </row>
    <row r="1068" spans="1:6">
      <c r="A1068" s="26" t="s">
        <v>7408</v>
      </c>
      <c r="B1068" s="26" t="s">
        <v>147</v>
      </c>
      <c r="C1068" s="26" t="s">
        <v>148</v>
      </c>
      <c r="D1068" s="26" t="s">
        <v>6396</v>
      </c>
      <c r="E1068" s="26" t="s">
        <v>6395</v>
      </c>
    </row>
    <row r="1069" spans="1:6">
      <c r="A1069" s="26" t="s">
        <v>7408</v>
      </c>
      <c r="B1069" s="26" t="s">
        <v>7478</v>
      </c>
      <c r="C1069" s="26" t="s">
        <v>466</v>
      </c>
      <c r="D1069" s="26" t="s">
        <v>6396</v>
      </c>
      <c r="E1069" s="26" t="s">
        <v>6395</v>
      </c>
    </row>
    <row r="1070" spans="1:6">
      <c r="A1070" s="26" t="s">
        <v>7408</v>
      </c>
      <c r="B1070" s="26" t="s">
        <v>7479</v>
      </c>
      <c r="C1070" s="26" t="s">
        <v>7480</v>
      </c>
      <c r="D1070" s="26" t="s">
        <v>6396</v>
      </c>
      <c r="E1070" s="26" t="s">
        <v>6443</v>
      </c>
    </row>
    <row r="1071" spans="1:6">
      <c r="A1071" s="26" t="s">
        <v>7408</v>
      </c>
      <c r="B1071" s="26" t="s">
        <v>7481</v>
      </c>
      <c r="C1071" s="26" t="s">
        <v>7482</v>
      </c>
      <c r="D1071" s="26" t="s">
        <v>6396</v>
      </c>
      <c r="E1071" s="26" t="s">
        <v>6443</v>
      </c>
    </row>
    <row r="1072" spans="1:6">
      <c r="A1072" s="26" t="s">
        <v>7408</v>
      </c>
      <c r="B1072" s="26" t="s">
        <v>7483</v>
      </c>
      <c r="C1072" s="26" t="s">
        <v>6690</v>
      </c>
      <c r="D1072" s="26" t="s">
        <v>6396</v>
      </c>
      <c r="E1072" s="26" t="s">
        <v>6443</v>
      </c>
    </row>
    <row r="1073" spans="1:6">
      <c r="A1073" s="26" t="s">
        <v>7408</v>
      </c>
      <c r="B1073" s="26" t="s">
        <v>6915</v>
      </c>
      <c r="C1073" s="26" t="s">
        <v>6545</v>
      </c>
      <c r="D1073" s="26" t="s">
        <v>6396</v>
      </c>
      <c r="E1073" s="26" t="s">
        <v>6443</v>
      </c>
    </row>
    <row r="1074" spans="1:6">
      <c r="A1074" s="26" t="s">
        <v>7408</v>
      </c>
      <c r="B1074" s="26" t="s">
        <v>7484</v>
      </c>
      <c r="C1074" s="26" t="s">
        <v>7485</v>
      </c>
      <c r="D1074" s="26" t="s">
        <v>6396</v>
      </c>
      <c r="E1074" s="26" t="s">
        <v>6395</v>
      </c>
    </row>
    <row r="1075" spans="1:6">
      <c r="A1075" s="26" t="s">
        <v>7408</v>
      </c>
      <c r="B1075" s="26" t="s">
        <v>6756</v>
      </c>
      <c r="C1075" s="26" t="s">
        <v>847</v>
      </c>
      <c r="D1075" s="26" t="s">
        <v>6396</v>
      </c>
      <c r="E1075" s="26">
        <v>0</v>
      </c>
      <c r="F1075" s="26" t="s">
        <v>7410</v>
      </c>
    </row>
    <row r="1076" spans="1:6">
      <c r="A1076" s="26" t="s">
        <v>7408</v>
      </c>
      <c r="B1076" s="26" t="s">
        <v>6736</v>
      </c>
      <c r="C1076" s="26" t="s">
        <v>27</v>
      </c>
      <c r="D1076" s="26" t="s">
        <v>6396</v>
      </c>
      <c r="E1076" s="26" t="s">
        <v>6395</v>
      </c>
    </row>
    <row r="1077" spans="1:6">
      <c r="A1077" s="26" t="s">
        <v>7408</v>
      </c>
      <c r="B1077" s="26" t="s">
        <v>1770</v>
      </c>
      <c r="C1077" s="26" t="s">
        <v>7486</v>
      </c>
      <c r="D1077" s="26" t="s">
        <v>6396</v>
      </c>
      <c r="E1077" s="26" t="s">
        <v>6443</v>
      </c>
    </row>
    <row r="1078" spans="1:6">
      <c r="A1078" s="26" t="s">
        <v>7408</v>
      </c>
      <c r="B1078" s="26" t="s">
        <v>7487</v>
      </c>
      <c r="C1078" s="26" t="s">
        <v>524</v>
      </c>
      <c r="D1078" s="26" t="s">
        <v>6396</v>
      </c>
      <c r="E1078" s="26" t="s">
        <v>6395</v>
      </c>
    </row>
    <row r="1079" spans="1:6">
      <c r="A1079" s="26" t="s">
        <v>7408</v>
      </c>
      <c r="B1079" s="26" t="s">
        <v>3267</v>
      </c>
      <c r="C1079" s="26" t="s">
        <v>3268</v>
      </c>
      <c r="D1079" s="26" t="s">
        <v>6396</v>
      </c>
      <c r="E1079" s="26" t="s">
        <v>6395</v>
      </c>
    </row>
    <row r="1080" spans="1:6">
      <c r="A1080" s="26" t="s">
        <v>7408</v>
      </c>
      <c r="B1080" s="26" t="s">
        <v>6569</v>
      </c>
      <c r="C1080" s="26" t="s">
        <v>7474</v>
      </c>
      <c r="D1080" s="26" t="s">
        <v>6396</v>
      </c>
      <c r="E1080" s="26" t="s">
        <v>6443</v>
      </c>
    </row>
    <row r="1081" spans="1:6">
      <c r="A1081" s="26" t="s">
        <v>7408</v>
      </c>
      <c r="B1081" s="26" t="s">
        <v>7488</v>
      </c>
      <c r="C1081" s="26" t="s">
        <v>7489</v>
      </c>
      <c r="D1081" s="26" t="s">
        <v>6396</v>
      </c>
      <c r="E1081" s="26" t="s">
        <v>6443</v>
      </c>
    </row>
    <row r="1082" spans="1:6">
      <c r="A1082" s="26" t="s">
        <v>7408</v>
      </c>
      <c r="B1082" s="26" t="s">
        <v>95</v>
      </c>
      <c r="C1082" s="26" t="s">
        <v>51</v>
      </c>
      <c r="D1082" s="26" t="s">
        <v>6396</v>
      </c>
      <c r="E1082" s="26">
        <v>0</v>
      </c>
      <c r="F1082" s="26" t="s">
        <v>7490</v>
      </c>
    </row>
    <row r="1083" spans="1:6">
      <c r="A1083" s="26" t="s">
        <v>7408</v>
      </c>
      <c r="B1083" s="26" t="s">
        <v>7491</v>
      </c>
      <c r="C1083" s="26" t="s">
        <v>509</v>
      </c>
      <c r="D1083" s="26" t="s">
        <v>6396</v>
      </c>
      <c r="E1083" s="26" t="s">
        <v>6395</v>
      </c>
    </row>
    <row r="1084" spans="1:6">
      <c r="A1084" s="26" t="s">
        <v>7408</v>
      </c>
      <c r="B1084" s="26" t="s">
        <v>523</v>
      </c>
      <c r="C1084" s="26" t="s">
        <v>27</v>
      </c>
      <c r="D1084" s="26" t="s">
        <v>6396</v>
      </c>
      <c r="E1084" s="26" t="s">
        <v>6395</v>
      </c>
    </row>
    <row r="1085" spans="1:6">
      <c r="A1085" s="26" t="s">
        <v>7408</v>
      </c>
      <c r="B1085" s="26" t="s">
        <v>75</v>
      </c>
      <c r="C1085" s="26" t="s">
        <v>51</v>
      </c>
      <c r="D1085" s="26" t="s">
        <v>6396</v>
      </c>
      <c r="E1085" s="26" t="s">
        <v>6443</v>
      </c>
    </row>
    <row r="1086" spans="1:6">
      <c r="A1086" s="26" t="s">
        <v>7408</v>
      </c>
      <c r="B1086" s="26" t="s">
        <v>7492</v>
      </c>
      <c r="C1086" s="26" t="s">
        <v>1783</v>
      </c>
      <c r="D1086" s="26" t="s">
        <v>6396</v>
      </c>
      <c r="E1086" s="26" t="s">
        <v>6443</v>
      </c>
    </row>
    <row r="1087" spans="1:6">
      <c r="A1087" s="26" t="s">
        <v>7408</v>
      </c>
      <c r="B1087" s="26" t="s">
        <v>7318</v>
      </c>
      <c r="C1087" s="26" t="s">
        <v>6815</v>
      </c>
      <c r="D1087" s="26" t="s">
        <v>6396</v>
      </c>
      <c r="E1087" s="26" t="s">
        <v>6443</v>
      </c>
    </row>
    <row r="1088" spans="1:6">
      <c r="A1088" s="26" t="s">
        <v>7408</v>
      </c>
      <c r="B1088" s="26" t="s">
        <v>6784</v>
      </c>
      <c r="C1088" s="26" t="s">
        <v>6783</v>
      </c>
      <c r="D1088" s="26" t="s">
        <v>6396</v>
      </c>
      <c r="E1088" s="26" t="s">
        <v>6395</v>
      </c>
    </row>
    <row r="1089" spans="1:6">
      <c r="A1089" s="26" t="s">
        <v>7408</v>
      </c>
      <c r="B1089" s="26" t="s">
        <v>7493</v>
      </c>
      <c r="C1089" s="26" t="s">
        <v>6596</v>
      </c>
      <c r="D1089" s="26" t="s">
        <v>6396</v>
      </c>
      <c r="E1089" s="26" t="s">
        <v>6395</v>
      </c>
    </row>
    <row r="1090" spans="1:6">
      <c r="A1090" s="26" t="s">
        <v>7408</v>
      </c>
      <c r="B1090" s="26" t="s">
        <v>1782</v>
      </c>
      <c r="C1090" s="26" t="s">
        <v>1783</v>
      </c>
      <c r="D1090" s="26" t="s">
        <v>6396</v>
      </c>
      <c r="E1090" s="26">
        <v>0</v>
      </c>
      <c r="F1090" s="26" t="s">
        <v>7410</v>
      </c>
    </row>
    <row r="1091" spans="1:6">
      <c r="A1091" s="26" t="s">
        <v>7408</v>
      </c>
      <c r="B1091" s="26" t="s">
        <v>7494</v>
      </c>
      <c r="C1091" s="26" t="s">
        <v>7461</v>
      </c>
      <c r="D1091" s="26" t="s">
        <v>6396</v>
      </c>
      <c r="E1091" s="26" t="s">
        <v>6443</v>
      </c>
    </row>
    <row r="1092" spans="1:6">
      <c r="A1092" s="26" t="s">
        <v>7408</v>
      </c>
      <c r="B1092" s="26" t="s">
        <v>306</v>
      </c>
      <c r="C1092" s="26" t="s">
        <v>307</v>
      </c>
      <c r="D1092" s="26" t="s">
        <v>6396</v>
      </c>
      <c r="E1092" s="26" t="s">
        <v>6395</v>
      </c>
    </row>
    <row r="1093" spans="1:6">
      <c r="A1093" s="26" t="s">
        <v>7408</v>
      </c>
      <c r="B1093" s="26" t="s">
        <v>7495</v>
      </c>
      <c r="C1093" s="26" t="s">
        <v>7496</v>
      </c>
      <c r="D1093" s="26" t="s">
        <v>6396</v>
      </c>
      <c r="E1093" s="26" t="s">
        <v>6443</v>
      </c>
    </row>
    <row r="1094" spans="1:6">
      <c r="A1094" s="26" t="s">
        <v>7408</v>
      </c>
      <c r="B1094" s="26" t="s">
        <v>7497</v>
      </c>
      <c r="C1094" s="26" t="s">
        <v>209</v>
      </c>
      <c r="D1094" s="26" t="s">
        <v>6396</v>
      </c>
      <c r="E1094" s="26" t="s">
        <v>6443</v>
      </c>
    </row>
    <row r="1095" spans="1:6">
      <c r="A1095" s="26" t="s">
        <v>7408</v>
      </c>
      <c r="B1095" s="26" t="s">
        <v>620</v>
      </c>
      <c r="C1095" s="26" t="s">
        <v>621</v>
      </c>
      <c r="D1095" s="26" t="s">
        <v>6396</v>
      </c>
      <c r="E1095" s="26" t="s">
        <v>6443</v>
      </c>
    </row>
    <row r="1096" spans="1:6">
      <c r="A1096" s="26" t="s">
        <v>7408</v>
      </c>
      <c r="B1096" s="26" t="s">
        <v>7498</v>
      </c>
      <c r="C1096" s="26" t="s">
        <v>7265</v>
      </c>
      <c r="D1096" s="26" t="s">
        <v>6396</v>
      </c>
      <c r="E1096" s="26" t="s">
        <v>6443</v>
      </c>
    </row>
    <row r="1097" spans="1:6">
      <c r="A1097" s="26" t="s">
        <v>7408</v>
      </c>
      <c r="B1097" s="26" t="s">
        <v>7499</v>
      </c>
      <c r="C1097" s="26" t="s">
        <v>7500</v>
      </c>
      <c r="D1097" s="26" t="s">
        <v>6396</v>
      </c>
      <c r="E1097" s="26">
        <v>0</v>
      </c>
      <c r="F1097" s="26" t="s">
        <v>7410</v>
      </c>
    </row>
    <row r="1098" spans="1:6">
      <c r="A1098" s="26" t="s">
        <v>7408</v>
      </c>
      <c r="B1098" s="26" t="s">
        <v>7501</v>
      </c>
      <c r="C1098" s="26" t="s">
        <v>7502</v>
      </c>
      <c r="D1098" s="26" t="s">
        <v>6396</v>
      </c>
      <c r="E1098" s="26" t="s">
        <v>6443</v>
      </c>
    </row>
    <row r="1099" spans="1:6">
      <c r="A1099" s="26" t="s">
        <v>7408</v>
      </c>
      <c r="B1099" s="26" t="s">
        <v>2230</v>
      </c>
      <c r="C1099" s="26" t="s">
        <v>227</v>
      </c>
      <c r="D1099" s="26" t="s">
        <v>6396</v>
      </c>
      <c r="E1099" s="26" t="s">
        <v>6395</v>
      </c>
    </row>
    <row r="1100" spans="1:6">
      <c r="A1100" s="26" t="s">
        <v>7408</v>
      </c>
      <c r="B1100" s="26" t="s">
        <v>2207</v>
      </c>
      <c r="C1100" s="26" t="s">
        <v>2208</v>
      </c>
      <c r="D1100" s="26" t="s">
        <v>6396</v>
      </c>
      <c r="E1100" s="26" t="s">
        <v>6395</v>
      </c>
    </row>
    <row r="1101" spans="1:6">
      <c r="A1101" s="26" t="s">
        <v>7408</v>
      </c>
      <c r="B1101" s="26" t="s">
        <v>7503</v>
      </c>
      <c r="C1101" s="26" t="s">
        <v>7504</v>
      </c>
      <c r="D1101" s="26" t="s">
        <v>6396</v>
      </c>
      <c r="E1101" s="26" t="s">
        <v>6395</v>
      </c>
    </row>
    <row r="1102" spans="1:6">
      <c r="A1102" s="26" t="s">
        <v>7408</v>
      </c>
      <c r="B1102" s="26" t="s">
        <v>1719</v>
      </c>
      <c r="C1102" s="26" t="s">
        <v>592</v>
      </c>
      <c r="D1102" s="26" t="s">
        <v>6396</v>
      </c>
      <c r="E1102" s="26" t="s">
        <v>6395</v>
      </c>
    </row>
    <row r="1103" spans="1:6">
      <c r="A1103" s="26" t="s">
        <v>7408</v>
      </c>
      <c r="B1103" s="26" t="s">
        <v>7505</v>
      </c>
      <c r="C1103" s="26" t="s">
        <v>7458</v>
      </c>
      <c r="D1103" s="26" t="s">
        <v>6396</v>
      </c>
      <c r="E1103" s="26">
        <v>0</v>
      </c>
      <c r="F1103" s="26" t="s">
        <v>7410</v>
      </c>
    </row>
    <row r="1104" spans="1:6">
      <c r="A1104" s="26" t="s">
        <v>7408</v>
      </c>
      <c r="B1104" s="26" t="s">
        <v>883</v>
      </c>
      <c r="C1104" s="26" t="s">
        <v>884</v>
      </c>
      <c r="D1104" s="26" t="s">
        <v>6396</v>
      </c>
      <c r="E1104" s="26" t="s">
        <v>6395</v>
      </c>
    </row>
    <row r="1105" spans="1:6">
      <c r="A1105" s="26" t="s">
        <v>7408</v>
      </c>
      <c r="B1105" s="26" t="s">
        <v>7506</v>
      </c>
      <c r="C1105" s="26" t="s">
        <v>7507</v>
      </c>
      <c r="D1105" s="26" t="s">
        <v>6396</v>
      </c>
      <c r="E1105" s="26" t="s">
        <v>6395</v>
      </c>
    </row>
    <row r="1106" spans="1:6">
      <c r="A1106" s="26" t="s">
        <v>7408</v>
      </c>
      <c r="B1106" s="26" t="s">
        <v>1529</v>
      </c>
      <c r="C1106" s="26" t="s">
        <v>188</v>
      </c>
      <c r="D1106" s="26" t="s">
        <v>6396</v>
      </c>
      <c r="E1106" s="26" t="s">
        <v>6443</v>
      </c>
    </row>
    <row r="1107" spans="1:6">
      <c r="A1107" s="26" t="s">
        <v>7408</v>
      </c>
      <c r="B1107" s="26" t="s">
        <v>7508</v>
      </c>
      <c r="C1107" s="26" t="s">
        <v>2629</v>
      </c>
      <c r="D1107" s="26" t="s">
        <v>6396</v>
      </c>
      <c r="E1107" s="26" t="s">
        <v>6395</v>
      </c>
    </row>
    <row r="1108" spans="1:6">
      <c r="A1108" s="26" t="s">
        <v>7408</v>
      </c>
      <c r="B1108" s="26" t="s">
        <v>7509</v>
      </c>
      <c r="C1108" s="26" t="s">
        <v>7510</v>
      </c>
      <c r="D1108" s="26" t="s">
        <v>6396</v>
      </c>
      <c r="E1108" s="26" t="s">
        <v>6443</v>
      </c>
    </row>
    <row r="1109" spans="1:6">
      <c r="A1109" s="26" t="s">
        <v>7408</v>
      </c>
      <c r="B1109" s="26" t="s">
        <v>3141</v>
      </c>
      <c r="C1109" s="26" t="s">
        <v>884</v>
      </c>
      <c r="D1109" s="26" t="s">
        <v>6396</v>
      </c>
      <c r="E1109" s="26" t="s">
        <v>8749</v>
      </c>
    </row>
    <row r="1110" spans="1:6">
      <c r="A1110" s="26" t="s">
        <v>7408</v>
      </c>
      <c r="B1110" s="26" t="s">
        <v>7511</v>
      </c>
      <c r="C1110" s="26" t="s">
        <v>7512</v>
      </c>
      <c r="D1110" s="26" t="s">
        <v>6396</v>
      </c>
      <c r="E1110" s="26" t="s">
        <v>6395</v>
      </c>
    </row>
    <row r="1111" spans="1:6">
      <c r="A1111" s="26" t="s">
        <v>7408</v>
      </c>
      <c r="B1111" s="26" t="s">
        <v>7513</v>
      </c>
      <c r="C1111" s="26" t="s">
        <v>7514</v>
      </c>
      <c r="D1111" s="26" t="s">
        <v>6396</v>
      </c>
      <c r="E1111" s="26">
        <v>0</v>
      </c>
      <c r="F1111" s="26" t="s">
        <v>7410</v>
      </c>
    </row>
    <row r="1112" spans="1:6">
      <c r="A1112" s="26" t="s">
        <v>7408</v>
      </c>
      <c r="B1112" s="26" t="s">
        <v>7515</v>
      </c>
      <c r="C1112" s="26" t="s">
        <v>7516</v>
      </c>
      <c r="D1112" s="26" t="s">
        <v>6396</v>
      </c>
      <c r="E1112" s="26" t="s">
        <v>6395</v>
      </c>
    </row>
    <row r="1113" spans="1:6">
      <c r="A1113" s="26" t="s">
        <v>7408</v>
      </c>
      <c r="B1113" s="26" t="s">
        <v>1133</v>
      </c>
      <c r="C1113" s="26" t="s">
        <v>541</v>
      </c>
      <c r="D1113" s="26" t="s">
        <v>6396</v>
      </c>
      <c r="E1113" s="26" t="s">
        <v>6395</v>
      </c>
    </row>
    <row r="1114" spans="1:6">
      <c r="A1114" s="26" t="s">
        <v>7408</v>
      </c>
      <c r="B1114" s="26" t="s">
        <v>7517</v>
      </c>
      <c r="C1114" s="26" t="s">
        <v>7458</v>
      </c>
      <c r="D1114" s="26" t="s">
        <v>6396</v>
      </c>
      <c r="E1114" s="26" t="s">
        <v>6443</v>
      </c>
    </row>
    <row r="1115" spans="1:6">
      <c r="A1115" s="26" t="s">
        <v>7408</v>
      </c>
      <c r="B1115" s="26" t="s">
        <v>7388</v>
      </c>
      <c r="C1115" s="26" t="s">
        <v>7387</v>
      </c>
      <c r="D1115" s="26" t="s">
        <v>6396</v>
      </c>
      <c r="E1115" s="26" t="s">
        <v>6443</v>
      </c>
    </row>
    <row r="1116" spans="1:6">
      <c r="A1116" s="26" t="s">
        <v>7408</v>
      </c>
      <c r="B1116" s="26" t="s">
        <v>7150</v>
      </c>
      <c r="C1116" s="26" t="s">
        <v>7149</v>
      </c>
      <c r="D1116" s="26" t="s">
        <v>6396</v>
      </c>
      <c r="E1116" s="26" t="s">
        <v>8749</v>
      </c>
    </row>
    <row r="1117" spans="1:6">
      <c r="A1117" s="26" t="s">
        <v>7408</v>
      </c>
      <c r="B1117" s="26" t="s">
        <v>1867</v>
      </c>
      <c r="C1117" s="26" t="s">
        <v>621</v>
      </c>
      <c r="D1117" s="26" t="s">
        <v>6396</v>
      </c>
      <c r="E1117" s="26" t="s">
        <v>6395</v>
      </c>
    </row>
    <row r="1118" spans="1:6">
      <c r="A1118" s="26" t="s">
        <v>7408</v>
      </c>
      <c r="B1118" s="26" t="s">
        <v>7518</v>
      </c>
      <c r="C1118" s="26" t="s">
        <v>7519</v>
      </c>
      <c r="D1118" s="26" t="s">
        <v>6396</v>
      </c>
      <c r="E1118" s="26" t="s">
        <v>8749</v>
      </c>
    </row>
    <row r="1119" spans="1:6">
      <c r="A1119" s="26" t="s">
        <v>7408</v>
      </c>
      <c r="B1119" s="26" t="s">
        <v>7520</v>
      </c>
      <c r="C1119" s="26" t="s">
        <v>7521</v>
      </c>
      <c r="D1119" s="26" t="s">
        <v>6396</v>
      </c>
      <c r="E1119" s="26" t="s">
        <v>6443</v>
      </c>
    </row>
    <row r="1120" spans="1:6">
      <c r="A1120" s="26" t="s">
        <v>7408</v>
      </c>
      <c r="B1120" s="26" t="s">
        <v>6715</v>
      </c>
      <c r="C1120" s="26" t="s">
        <v>484</v>
      </c>
      <c r="D1120" s="26" t="s">
        <v>6396</v>
      </c>
      <c r="E1120" s="26" t="s">
        <v>6443</v>
      </c>
    </row>
    <row r="1121" spans="1:6">
      <c r="A1121" s="26" t="s">
        <v>7408</v>
      </c>
      <c r="B1121" s="26" t="s">
        <v>6785</v>
      </c>
      <c r="C1121" s="26" t="s">
        <v>2933</v>
      </c>
      <c r="D1121" s="26" t="s">
        <v>6396</v>
      </c>
      <c r="E1121" s="26" t="s">
        <v>6443</v>
      </c>
    </row>
    <row r="1122" spans="1:6">
      <c r="A1122" s="26" t="s">
        <v>7408</v>
      </c>
      <c r="B1122" s="26" t="s">
        <v>7522</v>
      </c>
      <c r="C1122" s="26" t="s">
        <v>7523</v>
      </c>
      <c r="D1122" s="26" t="s">
        <v>6396</v>
      </c>
      <c r="E1122" s="26" t="s">
        <v>6395</v>
      </c>
    </row>
    <row r="1123" spans="1:6">
      <c r="A1123" s="26" t="s">
        <v>7408</v>
      </c>
      <c r="B1123" s="26" t="s">
        <v>7524</v>
      </c>
      <c r="C1123" s="26" t="s">
        <v>7525</v>
      </c>
      <c r="D1123" s="26" t="s">
        <v>6396</v>
      </c>
      <c r="E1123" s="26">
        <v>0</v>
      </c>
      <c r="F1123" s="26" t="s">
        <v>7490</v>
      </c>
    </row>
    <row r="1124" spans="1:6">
      <c r="A1124" s="26" t="s">
        <v>7408</v>
      </c>
      <c r="B1124" s="26" t="s">
        <v>2866</v>
      </c>
      <c r="C1124" s="26" t="s">
        <v>2867</v>
      </c>
      <c r="D1124" s="26" t="s">
        <v>6396</v>
      </c>
      <c r="E1124" s="26" t="s">
        <v>6395</v>
      </c>
    </row>
    <row r="1125" spans="1:6">
      <c r="A1125" s="26" t="s">
        <v>7408</v>
      </c>
      <c r="B1125" s="26" t="s">
        <v>879</v>
      </c>
      <c r="C1125" s="26" t="s">
        <v>154</v>
      </c>
      <c r="D1125" s="26" t="s">
        <v>6396</v>
      </c>
      <c r="E1125" s="26" t="s">
        <v>6395</v>
      </c>
    </row>
    <row r="1126" spans="1:6">
      <c r="A1126" s="26" t="s">
        <v>7408</v>
      </c>
      <c r="B1126" s="26" t="s">
        <v>7526</v>
      </c>
      <c r="C1126" s="26" t="s">
        <v>7527</v>
      </c>
      <c r="D1126" s="26" t="s">
        <v>6396</v>
      </c>
      <c r="E1126" s="26" t="s">
        <v>6443</v>
      </c>
    </row>
    <row r="1127" spans="1:6">
      <c r="A1127" s="26" t="s">
        <v>7408</v>
      </c>
      <c r="B1127" s="26" t="s">
        <v>150</v>
      </c>
      <c r="C1127" s="26" t="s">
        <v>2057</v>
      </c>
      <c r="D1127" s="26" t="s">
        <v>6396</v>
      </c>
      <c r="E1127" s="26" t="s">
        <v>10253</v>
      </c>
      <c r="F1127" s="26" t="s">
        <v>7410</v>
      </c>
    </row>
    <row r="1128" spans="1:6">
      <c r="A1128" s="26" t="s">
        <v>7408</v>
      </c>
      <c r="B1128" s="26" t="s">
        <v>41</v>
      </c>
      <c r="C1128" s="26" t="s">
        <v>42</v>
      </c>
      <c r="D1128" s="26" t="s">
        <v>6396</v>
      </c>
      <c r="E1128" s="26" t="s">
        <v>6443</v>
      </c>
    </row>
    <row r="1129" spans="1:6">
      <c r="A1129" s="26" t="s">
        <v>7408</v>
      </c>
      <c r="B1129" s="26" t="s">
        <v>7528</v>
      </c>
      <c r="C1129" s="26" t="s">
        <v>154</v>
      </c>
      <c r="D1129" s="26" t="s">
        <v>6396</v>
      </c>
      <c r="E1129" s="26" t="s">
        <v>6395</v>
      </c>
    </row>
    <row r="1130" spans="1:6">
      <c r="A1130" s="26" t="s">
        <v>7408</v>
      </c>
      <c r="B1130" s="26" t="s">
        <v>3823</v>
      </c>
      <c r="C1130" s="26" t="s">
        <v>7529</v>
      </c>
      <c r="D1130" s="26" t="s">
        <v>6396</v>
      </c>
      <c r="E1130" s="26" t="s">
        <v>6395</v>
      </c>
    </row>
    <row r="1131" spans="1:6">
      <c r="A1131" s="26" t="s">
        <v>7408</v>
      </c>
      <c r="B1131" s="26" t="s">
        <v>7530</v>
      </c>
      <c r="C1131" s="26" t="s">
        <v>3262</v>
      </c>
      <c r="D1131" s="26" t="s">
        <v>6396</v>
      </c>
      <c r="E1131" s="26" t="s">
        <v>6395</v>
      </c>
    </row>
    <row r="1132" spans="1:6">
      <c r="A1132" s="26" t="s">
        <v>7408</v>
      </c>
      <c r="B1132" s="26" t="s">
        <v>7531</v>
      </c>
      <c r="C1132" s="26" t="s">
        <v>3262</v>
      </c>
      <c r="D1132" s="26" t="s">
        <v>6396</v>
      </c>
      <c r="E1132" s="26" t="s">
        <v>6395</v>
      </c>
    </row>
    <row r="1133" spans="1:6">
      <c r="A1133" s="26" t="s">
        <v>7408</v>
      </c>
      <c r="B1133" s="26" t="s">
        <v>7532</v>
      </c>
      <c r="C1133" s="26" t="s">
        <v>3262</v>
      </c>
      <c r="D1133" s="26" t="s">
        <v>6396</v>
      </c>
      <c r="E1133" s="26" t="s">
        <v>6395</v>
      </c>
    </row>
    <row r="1134" spans="1:6">
      <c r="A1134" s="26" t="s">
        <v>7408</v>
      </c>
      <c r="B1134" s="26" t="s">
        <v>696</v>
      </c>
      <c r="C1134" s="26" t="s">
        <v>21</v>
      </c>
      <c r="D1134" s="26" t="s">
        <v>6396</v>
      </c>
      <c r="E1134" s="26" t="s">
        <v>6395</v>
      </c>
    </row>
    <row r="1135" spans="1:6">
      <c r="A1135" s="26" t="s">
        <v>7408</v>
      </c>
      <c r="B1135" s="26" t="s">
        <v>7533</v>
      </c>
      <c r="C1135" s="26" t="s">
        <v>7534</v>
      </c>
      <c r="D1135" s="26" t="s">
        <v>6396</v>
      </c>
      <c r="E1135" s="26" t="s">
        <v>6443</v>
      </c>
    </row>
    <row r="1136" spans="1:6">
      <c r="A1136" s="26" t="s">
        <v>7408</v>
      </c>
      <c r="B1136" s="26" t="s">
        <v>7535</v>
      </c>
      <c r="C1136" s="26" t="s">
        <v>7536</v>
      </c>
      <c r="D1136" s="26" t="s">
        <v>6396</v>
      </c>
      <c r="E1136" s="26" t="s">
        <v>6443</v>
      </c>
    </row>
    <row r="1137" spans="1:6">
      <c r="A1137" s="26" t="s">
        <v>7408</v>
      </c>
      <c r="B1137" s="26" t="s">
        <v>1569</v>
      </c>
      <c r="C1137" s="26" t="s">
        <v>42</v>
      </c>
      <c r="D1137" s="26" t="s">
        <v>6396</v>
      </c>
      <c r="E1137" s="26" t="s">
        <v>6395</v>
      </c>
    </row>
    <row r="1138" spans="1:6">
      <c r="A1138" s="26" t="s">
        <v>7408</v>
      </c>
      <c r="B1138" s="26" t="s">
        <v>259</v>
      </c>
      <c r="C1138" s="26" t="s">
        <v>154</v>
      </c>
      <c r="D1138" s="26" t="s">
        <v>6396</v>
      </c>
      <c r="E1138" s="26" t="s">
        <v>6395</v>
      </c>
    </row>
    <row r="1139" spans="1:6">
      <c r="A1139" s="26" t="s">
        <v>7408</v>
      </c>
      <c r="B1139" s="26" t="s">
        <v>7537</v>
      </c>
      <c r="C1139" s="26" t="s">
        <v>7538</v>
      </c>
      <c r="D1139" s="26" t="s">
        <v>6396</v>
      </c>
      <c r="E1139" s="26" t="s">
        <v>6395</v>
      </c>
    </row>
    <row r="1140" spans="1:6">
      <c r="A1140" s="26" t="s">
        <v>7408</v>
      </c>
      <c r="B1140" s="26" t="s">
        <v>7539</v>
      </c>
      <c r="C1140" s="26" t="s">
        <v>7539</v>
      </c>
      <c r="D1140" s="26" t="s">
        <v>6396</v>
      </c>
      <c r="E1140" s="26" t="s">
        <v>6443</v>
      </c>
    </row>
    <row r="1141" spans="1:6">
      <c r="A1141" s="26" t="s">
        <v>7408</v>
      </c>
      <c r="B1141" s="26" t="s">
        <v>7540</v>
      </c>
      <c r="C1141" s="26" t="s">
        <v>6815</v>
      </c>
      <c r="D1141" s="26" t="s">
        <v>6396</v>
      </c>
      <c r="E1141" s="26" t="s">
        <v>6443</v>
      </c>
    </row>
    <row r="1142" spans="1:6">
      <c r="A1142" s="26" t="s">
        <v>7408</v>
      </c>
      <c r="B1142" s="26" t="s">
        <v>6643</v>
      </c>
      <c r="C1142" s="26" t="s">
        <v>3455</v>
      </c>
      <c r="D1142" s="26" t="s">
        <v>6396</v>
      </c>
      <c r="E1142" s="26" t="s">
        <v>6443</v>
      </c>
    </row>
    <row r="1143" spans="1:6">
      <c r="A1143" s="26" t="s">
        <v>7408</v>
      </c>
      <c r="B1143" s="26" t="s">
        <v>6546</v>
      </c>
      <c r="C1143" s="26" t="s">
        <v>6545</v>
      </c>
      <c r="D1143" s="26" t="s">
        <v>6396</v>
      </c>
      <c r="E1143" s="26" t="s">
        <v>6443</v>
      </c>
    </row>
    <row r="1144" spans="1:6">
      <c r="A1144" s="26" t="s">
        <v>7408</v>
      </c>
      <c r="B1144" s="26" t="s">
        <v>7541</v>
      </c>
      <c r="C1144" s="26" t="s">
        <v>7542</v>
      </c>
      <c r="D1144" s="26" t="s">
        <v>6396</v>
      </c>
      <c r="E1144" s="26">
        <v>0</v>
      </c>
      <c r="F1144" s="26" t="s">
        <v>7410</v>
      </c>
    </row>
    <row r="1145" spans="1:6">
      <c r="A1145" s="26" t="s">
        <v>7408</v>
      </c>
      <c r="B1145" s="26" t="s">
        <v>7543</v>
      </c>
      <c r="C1145" s="26" t="s">
        <v>7544</v>
      </c>
      <c r="D1145" s="26" t="s">
        <v>6396</v>
      </c>
      <c r="E1145" s="26" t="s">
        <v>6395</v>
      </c>
    </row>
    <row r="1146" spans="1:6">
      <c r="A1146" s="26" t="s">
        <v>7408</v>
      </c>
      <c r="B1146" s="26" t="s">
        <v>7545</v>
      </c>
      <c r="C1146" s="26" t="s">
        <v>7544</v>
      </c>
      <c r="D1146" s="26" t="s">
        <v>6396</v>
      </c>
      <c r="E1146" s="26" t="s">
        <v>6395</v>
      </c>
    </row>
    <row r="1147" spans="1:6">
      <c r="A1147" s="26" t="s">
        <v>7408</v>
      </c>
      <c r="B1147" s="26" t="s">
        <v>414</v>
      </c>
      <c r="C1147" s="26" t="s">
        <v>154</v>
      </c>
      <c r="D1147" s="26" t="s">
        <v>6396</v>
      </c>
      <c r="E1147" s="26" t="s">
        <v>8749</v>
      </c>
    </row>
    <row r="1148" spans="1:6">
      <c r="A1148" s="26" t="s">
        <v>7408</v>
      </c>
      <c r="B1148" s="26" t="s">
        <v>7546</v>
      </c>
      <c r="C1148" s="26" t="s">
        <v>484</v>
      </c>
      <c r="D1148" s="26" t="s">
        <v>6396</v>
      </c>
      <c r="E1148" s="26">
        <v>0</v>
      </c>
      <c r="F1148" s="26" t="s">
        <v>7410</v>
      </c>
    </row>
    <row r="1149" spans="1:6">
      <c r="A1149" s="26" t="s">
        <v>7408</v>
      </c>
      <c r="B1149" s="26" t="s">
        <v>7547</v>
      </c>
      <c r="C1149" s="26" t="s">
        <v>7188</v>
      </c>
      <c r="D1149" s="26" t="s">
        <v>6396</v>
      </c>
      <c r="E1149" s="26" t="s">
        <v>6443</v>
      </c>
    </row>
    <row r="1150" spans="1:6">
      <c r="A1150" s="26" t="s">
        <v>7408</v>
      </c>
      <c r="B1150" s="26" t="s">
        <v>497</v>
      </c>
      <c r="C1150" s="26" t="s">
        <v>21</v>
      </c>
      <c r="D1150" s="26" t="s">
        <v>6396</v>
      </c>
      <c r="E1150" s="26" t="s">
        <v>6395</v>
      </c>
    </row>
    <row r="1151" spans="1:6">
      <c r="A1151" s="26" t="s">
        <v>7408</v>
      </c>
      <c r="B1151" s="26" t="s">
        <v>7548</v>
      </c>
      <c r="C1151" s="26" t="s">
        <v>154</v>
      </c>
      <c r="D1151" s="26" t="s">
        <v>6396</v>
      </c>
      <c r="E1151" s="26" t="s">
        <v>6395</v>
      </c>
    </row>
    <row r="1152" spans="1:6">
      <c r="A1152" s="26" t="s">
        <v>7408</v>
      </c>
      <c r="B1152" s="26" t="s">
        <v>2067</v>
      </c>
      <c r="C1152" s="26" t="s">
        <v>484</v>
      </c>
      <c r="D1152" s="26" t="s">
        <v>6396</v>
      </c>
      <c r="E1152" s="26" t="s">
        <v>8749</v>
      </c>
    </row>
    <row r="1153" spans="1:5">
      <c r="A1153" s="26" t="s">
        <v>7408</v>
      </c>
      <c r="B1153" s="26" t="s">
        <v>7549</v>
      </c>
      <c r="C1153" s="26" t="s">
        <v>7550</v>
      </c>
      <c r="D1153" s="26" t="s">
        <v>6396</v>
      </c>
      <c r="E1153" s="26" t="s">
        <v>6395</v>
      </c>
    </row>
    <row r="1154" spans="1:5">
      <c r="A1154" s="26" t="s">
        <v>7408</v>
      </c>
      <c r="B1154" s="26" t="s">
        <v>7551</v>
      </c>
      <c r="C1154" s="26" t="s">
        <v>2400</v>
      </c>
      <c r="D1154" s="26" t="s">
        <v>6396</v>
      </c>
      <c r="E1154" s="26" t="s">
        <v>6395</v>
      </c>
    </row>
    <row r="1155" spans="1:5">
      <c r="A1155" s="26" t="s">
        <v>7408</v>
      </c>
      <c r="B1155" s="26" t="s">
        <v>7552</v>
      </c>
      <c r="C1155" s="26" t="s">
        <v>7173</v>
      </c>
      <c r="D1155" s="26" t="s">
        <v>6396</v>
      </c>
      <c r="E1155" s="26" t="s">
        <v>6443</v>
      </c>
    </row>
    <row r="1156" spans="1:5">
      <c r="A1156" s="26" t="s">
        <v>7408</v>
      </c>
      <c r="B1156" s="26" t="s">
        <v>7553</v>
      </c>
      <c r="C1156" s="26" t="s">
        <v>7205</v>
      </c>
      <c r="D1156" s="26" t="s">
        <v>6396</v>
      </c>
      <c r="E1156" s="26" t="s">
        <v>6443</v>
      </c>
    </row>
    <row r="1157" spans="1:5">
      <c r="A1157" s="26" t="s">
        <v>7408</v>
      </c>
      <c r="B1157" s="26" t="s">
        <v>7554</v>
      </c>
      <c r="C1157" s="26" t="s">
        <v>6690</v>
      </c>
      <c r="D1157" s="26" t="s">
        <v>6396</v>
      </c>
      <c r="E1157" s="26" t="s">
        <v>6443</v>
      </c>
    </row>
    <row r="1158" spans="1:5">
      <c r="A1158" s="26" t="s">
        <v>7408</v>
      </c>
      <c r="B1158" s="26" t="s">
        <v>7266</v>
      </c>
      <c r="C1158" s="26" t="s">
        <v>7265</v>
      </c>
      <c r="D1158" s="26" t="s">
        <v>6396</v>
      </c>
      <c r="E1158" s="26" t="s">
        <v>6443</v>
      </c>
    </row>
    <row r="1159" spans="1:5">
      <c r="A1159" s="26" t="s">
        <v>7408</v>
      </c>
      <c r="B1159" s="26" t="s">
        <v>7555</v>
      </c>
      <c r="C1159" s="26" t="s">
        <v>7556</v>
      </c>
      <c r="D1159" s="26" t="s">
        <v>6396</v>
      </c>
      <c r="E1159" s="26" t="s">
        <v>6443</v>
      </c>
    </row>
    <row r="1160" spans="1:5">
      <c r="A1160" s="26" t="s">
        <v>7408</v>
      </c>
      <c r="B1160" s="26" t="s">
        <v>7557</v>
      </c>
      <c r="C1160" s="26" t="s">
        <v>7558</v>
      </c>
      <c r="D1160" s="26" t="s">
        <v>6396</v>
      </c>
      <c r="E1160" s="26" t="s">
        <v>6443</v>
      </c>
    </row>
    <row r="1161" spans="1:5">
      <c r="A1161" s="26" t="s">
        <v>7408</v>
      </c>
      <c r="B1161" s="26" t="s">
        <v>7559</v>
      </c>
      <c r="C1161" s="26" t="s">
        <v>7560</v>
      </c>
      <c r="D1161" s="26" t="s">
        <v>6396</v>
      </c>
      <c r="E1161" s="26" t="s">
        <v>6443</v>
      </c>
    </row>
    <row r="1162" spans="1:5">
      <c r="A1162" s="26" t="s">
        <v>7408</v>
      </c>
      <c r="B1162" s="26" t="s">
        <v>7561</v>
      </c>
      <c r="C1162" s="26" t="s">
        <v>707</v>
      </c>
      <c r="D1162" s="26" t="s">
        <v>6396</v>
      </c>
      <c r="E1162" s="26" t="s">
        <v>6395</v>
      </c>
    </row>
    <row r="1163" spans="1:5">
      <c r="A1163" s="26" t="s">
        <v>7408</v>
      </c>
      <c r="B1163" s="26" t="s">
        <v>6673</v>
      </c>
      <c r="C1163" s="26" t="s">
        <v>6473</v>
      </c>
      <c r="D1163" s="26" t="s">
        <v>6396</v>
      </c>
      <c r="E1163" s="26" t="s">
        <v>6395</v>
      </c>
    </row>
    <row r="1164" spans="1:5">
      <c r="A1164" s="26" t="s">
        <v>7408</v>
      </c>
      <c r="B1164" s="26" t="s">
        <v>1563</v>
      </c>
      <c r="C1164" s="26" t="s">
        <v>1564</v>
      </c>
      <c r="D1164" s="26" t="s">
        <v>6396</v>
      </c>
      <c r="E1164" s="26" t="s">
        <v>6443</v>
      </c>
    </row>
    <row r="1165" spans="1:5">
      <c r="A1165" s="26" t="s">
        <v>7408</v>
      </c>
      <c r="B1165" s="26" t="s">
        <v>7562</v>
      </c>
      <c r="C1165" s="26" t="s">
        <v>7563</v>
      </c>
      <c r="D1165" s="26" t="s">
        <v>6396</v>
      </c>
      <c r="E1165" s="26" t="s">
        <v>6443</v>
      </c>
    </row>
    <row r="1166" spans="1:5">
      <c r="A1166" s="26" t="s">
        <v>7408</v>
      </c>
      <c r="B1166" s="26" t="s">
        <v>7564</v>
      </c>
      <c r="C1166" s="26" t="s">
        <v>6815</v>
      </c>
      <c r="D1166" s="26" t="s">
        <v>6396</v>
      </c>
      <c r="E1166" s="26" t="s">
        <v>6443</v>
      </c>
    </row>
    <row r="1167" spans="1:5">
      <c r="A1167" s="26" t="s">
        <v>7408</v>
      </c>
      <c r="B1167" s="26" t="s">
        <v>7565</v>
      </c>
      <c r="C1167" s="26" t="s">
        <v>7566</v>
      </c>
      <c r="D1167" s="26" t="s">
        <v>6396</v>
      </c>
      <c r="E1167" s="26" t="s">
        <v>6443</v>
      </c>
    </row>
    <row r="1168" spans="1:5">
      <c r="A1168" s="26" t="s">
        <v>7408</v>
      </c>
      <c r="B1168" s="26" t="s">
        <v>6920</v>
      </c>
      <c r="C1168" s="26" t="s">
        <v>7567</v>
      </c>
      <c r="D1168" s="26" t="s">
        <v>6396</v>
      </c>
      <c r="E1168" s="26" t="s">
        <v>6443</v>
      </c>
    </row>
    <row r="1169" spans="1:6">
      <c r="A1169" s="26" t="s">
        <v>7408</v>
      </c>
      <c r="B1169" s="26" t="s">
        <v>6920</v>
      </c>
      <c r="C1169" s="26" t="s">
        <v>7512</v>
      </c>
      <c r="D1169" s="26" t="s">
        <v>6396</v>
      </c>
      <c r="E1169" s="26" t="s">
        <v>6443</v>
      </c>
    </row>
    <row r="1170" spans="1:6">
      <c r="A1170" s="26" t="s">
        <v>7408</v>
      </c>
      <c r="B1170" s="26" t="s">
        <v>7568</v>
      </c>
      <c r="C1170" s="26" t="s">
        <v>7569</v>
      </c>
      <c r="D1170" s="26" t="s">
        <v>6396</v>
      </c>
      <c r="E1170" s="26" t="s">
        <v>6443</v>
      </c>
    </row>
    <row r="1171" spans="1:6">
      <c r="A1171" s="26" t="s">
        <v>7408</v>
      </c>
      <c r="B1171" s="26" t="s">
        <v>7218</v>
      </c>
      <c r="C1171" s="26" t="s">
        <v>7217</v>
      </c>
      <c r="D1171" s="26" t="s">
        <v>6396</v>
      </c>
      <c r="E1171" s="26" t="s">
        <v>6443</v>
      </c>
    </row>
    <row r="1172" spans="1:6">
      <c r="A1172" s="26" t="s">
        <v>7408</v>
      </c>
      <c r="B1172" s="26" t="s">
        <v>7570</v>
      </c>
      <c r="C1172" s="26" t="s">
        <v>7571</v>
      </c>
      <c r="D1172" s="26" t="s">
        <v>6396</v>
      </c>
      <c r="E1172" s="26" t="s">
        <v>6443</v>
      </c>
    </row>
    <row r="1173" spans="1:6">
      <c r="A1173" s="26" t="s">
        <v>7408</v>
      </c>
      <c r="B1173" s="26" t="s">
        <v>7572</v>
      </c>
      <c r="C1173" s="26" t="s">
        <v>209</v>
      </c>
      <c r="D1173" s="26" t="s">
        <v>6396</v>
      </c>
      <c r="E1173" s="26" t="s">
        <v>6443</v>
      </c>
    </row>
    <row r="1174" spans="1:6">
      <c r="A1174" s="26" t="s">
        <v>7408</v>
      </c>
      <c r="B1174" s="26" t="s">
        <v>7573</v>
      </c>
      <c r="C1174" s="26" t="s">
        <v>7574</v>
      </c>
      <c r="D1174" s="26" t="s">
        <v>6396</v>
      </c>
      <c r="E1174" s="26" t="s">
        <v>6395</v>
      </c>
    </row>
    <row r="1175" spans="1:6">
      <c r="A1175" s="26" t="s">
        <v>7408</v>
      </c>
      <c r="B1175" s="26" t="s">
        <v>7575</v>
      </c>
      <c r="C1175" s="26" t="s">
        <v>7576</v>
      </c>
      <c r="D1175" s="26" t="s">
        <v>6396</v>
      </c>
      <c r="E1175" s="26" t="s">
        <v>6395</v>
      </c>
    </row>
    <row r="1176" spans="1:6">
      <c r="A1176" s="26" t="s">
        <v>7408</v>
      </c>
      <c r="B1176" s="26" t="s">
        <v>7577</v>
      </c>
      <c r="C1176" s="26" t="s">
        <v>6524</v>
      </c>
      <c r="D1176" s="26" t="s">
        <v>6396</v>
      </c>
      <c r="E1176" s="26" t="s">
        <v>6395</v>
      </c>
    </row>
    <row r="1177" spans="1:6">
      <c r="A1177" s="26" t="s">
        <v>7408</v>
      </c>
      <c r="B1177" s="26" t="s">
        <v>7578</v>
      </c>
      <c r="C1177" s="26" t="s">
        <v>7579</v>
      </c>
      <c r="D1177" s="26" t="s">
        <v>6396</v>
      </c>
      <c r="E1177" s="26" t="s">
        <v>6395</v>
      </c>
    </row>
    <row r="1178" spans="1:6">
      <c r="A1178" s="26" t="s">
        <v>7408</v>
      </c>
      <c r="B1178" s="26" t="s">
        <v>7580</v>
      </c>
      <c r="C1178" s="26" t="s">
        <v>188</v>
      </c>
      <c r="D1178" s="26" t="s">
        <v>6396</v>
      </c>
      <c r="E1178" s="26" t="s">
        <v>6395</v>
      </c>
    </row>
    <row r="1179" spans="1:6">
      <c r="A1179" s="26" t="s">
        <v>7408</v>
      </c>
      <c r="B1179" s="26" t="s">
        <v>7581</v>
      </c>
      <c r="C1179" s="26" t="s">
        <v>7582</v>
      </c>
      <c r="D1179" s="26" t="s">
        <v>6396</v>
      </c>
      <c r="E1179" s="26" t="s">
        <v>6395</v>
      </c>
    </row>
    <row r="1180" spans="1:6">
      <c r="A1180" s="26" t="s">
        <v>7408</v>
      </c>
      <c r="B1180" s="26" t="s">
        <v>7583</v>
      </c>
      <c r="C1180" s="26" t="s">
        <v>7584</v>
      </c>
      <c r="D1180" s="26" t="s">
        <v>6396</v>
      </c>
      <c r="E1180" s="26" t="s">
        <v>8749</v>
      </c>
    </row>
    <row r="1181" spans="1:6">
      <c r="A1181" s="26" t="s">
        <v>7408</v>
      </c>
      <c r="B1181" s="26" t="s">
        <v>1489</v>
      </c>
      <c r="C1181" s="26" t="s">
        <v>7529</v>
      </c>
      <c r="D1181" s="26" t="s">
        <v>6396</v>
      </c>
      <c r="E1181" s="26" t="s">
        <v>6395</v>
      </c>
    </row>
    <row r="1182" spans="1:6">
      <c r="A1182" s="26" t="s">
        <v>7408</v>
      </c>
      <c r="B1182" s="26" t="s">
        <v>7585</v>
      </c>
      <c r="C1182" s="26" t="s">
        <v>7586</v>
      </c>
      <c r="D1182" s="26" t="s">
        <v>6396</v>
      </c>
      <c r="E1182" s="26" t="s">
        <v>6395</v>
      </c>
    </row>
    <row r="1183" spans="1:6">
      <c r="A1183" s="26" t="s">
        <v>7408</v>
      </c>
      <c r="B1183" s="26" t="s">
        <v>6656</v>
      </c>
      <c r="C1183" s="26" t="s">
        <v>209</v>
      </c>
      <c r="D1183" s="26" t="s">
        <v>6396</v>
      </c>
      <c r="E1183" s="26">
        <v>0</v>
      </c>
      <c r="F1183" s="26" t="s">
        <v>7410</v>
      </c>
    </row>
    <row r="1184" spans="1:6">
      <c r="A1184" s="26" t="s">
        <v>7408</v>
      </c>
      <c r="B1184" s="26" t="s">
        <v>7587</v>
      </c>
      <c r="C1184" s="26" t="s">
        <v>188</v>
      </c>
      <c r="D1184" s="26" t="s">
        <v>6396</v>
      </c>
      <c r="E1184" s="26" t="s">
        <v>6443</v>
      </c>
    </row>
    <row r="1185" spans="1:6">
      <c r="A1185" s="26" t="s">
        <v>7408</v>
      </c>
      <c r="B1185" s="26" t="s">
        <v>7588</v>
      </c>
      <c r="C1185" s="26" t="s">
        <v>7589</v>
      </c>
      <c r="D1185" s="26" t="s">
        <v>6396</v>
      </c>
      <c r="E1185" s="26" t="s">
        <v>6443</v>
      </c>
    </row>
    <row r="1186" spans="1:6">
      <c r="A1186" s="26" t="s">
        <v>7408</v>
      </c>
      <c r="B1186" s="26" t="s">
        <v>2062</v>
      </c>
      <c r="C1186" s="26" t="s">
        <v>2063</v>
      </c>
      <c r="D1186" s="26" t="s">
        <v>6396</v>
      </c>
      <c r="E1186" s="26" t="s">
        <v>6395</v>
      </c>
      <c r="F1186" s="26" t="s">
        <v>7410</v>
      </c>
    </row>
    <row r="1187" spans="1:6">
      <c r="A1187" s="26" t="s">
        <v>7408</v>
      </c>
      <c r="B1187" s="26" t="s">
        <v>3469</v>
      </c>
      <c r="C1187" s="26" t="s">
        <v>154</v>
      </c>
      <c r="D1187" s="26" t="s">
        <v>6396</v>
      </c>
      <c r="E1187" s="26" t="s">
        <v>6395</v>
      </c>
    </row>
    <row r="1188" spans="1:6">
      <c r="A1188" s="26" t="s">
        <v>7408</v>
      </c>
      <c r="B1188" s="26" t="s">
        <v>7590</v>
      </c>
      <c r="C1188" s="26" t="s">
        <v>209</v>
      </c>
      <c r="D1188" s="26" t="s">
        <v>6396</v>
      </c>
      <c r="E1188" s="26" t="s">
        <v>6443</v>
      </c>
    </row>
    <row r="1189" spans="1:6">
      <c r="A1189" s="26" t="s">
        <v>7408</v>
      </c>
      <c r="B1189" s="26" t="s">
        <v>573</v>
      </c>
      <c r="C1189" s="26" t="s">
        <v>574</v>
      </c>
      <c r="D1189" s="26" t="s">
        <v>6396</v>
      </c>
      <c r="E1189" s="26" t="s">
        <v>6395</v>
      </c>
    </row>
    <row r="1190" spans="1:6">
      <c r="A1190" s="26" t="s">
        <v>7408</v>
      </c>
      <c r="B1190" s="26" t="s">
        <v>7591</v>
      </c>
      <c r="C1190" s="26" t="s">
        <v>7592</v>
      </c>
      <c r="D1190" s="26" t="s">
        <v>6396</v>
      </c>
      <c r="E1190" s="26" t="s">
        <v>6443</v>
      </c>
    </row>
    <row r="1191" spans="1:6">
      <c r="A1191" s="26" t="s">
        <v>7408</v>
      </c>
      <c r="B1191" s="26" t="s">
        <v>7593</v>
      </c>
      <c r="C1191" s="26" t="s">
        <v>7594</v>
      </c>
      <c r="D1191" s="26" t="s">
        <v>6396</v>
      </c>
      <c r="E1191" s="26" t="s">
        <v>6443</v>
      </c>
    </row>
    <row r="1192" spans="1:6">
      <c r="A1192" s="26" t="s">
        <v>7408</v>
      </c>
      <c r="B1192" s="26" t="s">
        <v>7595</v>
      </c>
      <c r="C1192" s="26" t="s">
        <v>7596</v>
      </c>
      <c r="D1192" s="26" t="s">
        <v>6396</v>
      </c>
      <c r="E1192" s="26" t="s">
        <v>6395</v>
      </c>
    </row>
    <row r="1193" spans="1:6">
      <c r="A1193" s="26" t="s">
        <v>7408</v>
      </c>
      <c r="B1193" s="26" t="s">
        <v>6918</v>
      </c>
      <c r="C1193" s="26" t="s">
        <v>6916</v>
      </c>
      <c r="D1193" s="26" t="s">
        <v>6396</v>
      </c>
      <c r="E1193" s="26" t="s">
        <v>6443</v>
      </c>
    </row>
    <row r="1194" spans="1:6">
      <c r="A1194" s="26" t="s">
        <v>7408</v>
      </c>
      <c r="B1194" s="26" t="s">
        <v>2921</v>
      </c>
      <c r="C1194" s="26" t="s">
        <v>6473</v>
      </c>
      <c r="D1194" s="26" t="s">
        <v>6396</v>
      </c>
      <c r="E1194" s="26" t="s">
        <v>6395</v>
      </c>
    </row>
    <row r="1195" spans="1:6">
      <c r="A1195" s="26" t="s">
        <v>7408</v>
      </c>
      <c r="B1195" s="26" t="s">
        <v>7597</v>
      </c>
      <c r="C1195" s="26" t="s">
        <v>3262</v>
      </c>
      <c r="D1195" s="26" t="s">
        <v>6396</v>
      </c>
      <c r="E1195" s="26" t="s">
        <v>6395</v>
      </c>
    </row>
    <row r="1196" spans="1:6">
      <c r="A1196" s="26" t="s">
        <v>7408</v>
      </c>
      <c r="B1196" s="26" t="s">
        <v>7092</v>
      </c>
      <c r="C1196" s="26" t="s">
        <v>1274</v>
      </c>
      <c r="D1196" s="26" t="s">
        <v>6396</v>
      </c>
      <c r="E1196" s="26" t="s">
        <v>6395</v>
      </c>
    </row>
    <row r="1197" spans="1:6">
      <c r="A1197" s="26" t="s">
        <v>7408</v>
      </c>
      <c r="B1197" s="26" t="s">
        <v>7598</v>
      </c>
      <c r="C1197" s="26" t="s">
        <v>7599</v>
      </c>
      <c r="D1197" s="26" t="s">
        <v>6396</v>
      </c>
      <c r="E1197" s="26">
        <v>0</v>
      </c>
      <c r="F1197" s="26" t="s">
        <v>7410</v>
      </c>
    </row>
    <row r="1198" spans="1:6">
      <c r="A1198" s="26" t="s">
        <v>7408</v>
      </c>
      <c r="B1198" s="26" t="s">
        <v>2927</v>
      </c>
      <c r="C1198" s="26" t="s">
        <v>1351</v>
      </c>
      <c r="D1198" s="26" t="s">
        <v>6396</v>
      </c>
      <c r="E1198" s="26" t="s">
        <v>6395</v>
      </c>
    </row>
    <row r="1199" spans="1:6">
      <c r="A1199" s="26" t="s">
        <v>7408</v>
      </c>
      <c r="B1199" s="26" t="s">
        <v>1626</v>
      </c>
      <c r="C1199" s="26" t="s">
        <v>7600</v>
      </c>
      <c r="D1199" s="26" t="s">
        <v>6396</v>
      </c>
      <c r="E1199" s="26">
        <v>0</v>
      </c>
      <c r="F1199" s="26" t="s">
        <v>7410</v>
      </c>
    </row>
    <row r="1200" spans="1:6">
      <c r="A1200" s="26" t="s">
        <v>7408</v>
      </c>
      <c r="B1200" s="26" t="s">
        <v>1044</v>
      </c>
      <c r="C1200" s="26" t="s">
        <v>154</v>
      </c>
      <c r="D1200" s="26" t="s">
        <v>6396</v>
      </c>
      <c r="E1200" s="26" t="s">
        <v>6395</v>
      </c>
    </row>
    <row r="1201" spans="1:6">
      <c r="A1201" s="26" t="s">
        <v>7408</v>
      </c>
      <c r="B1201" s="26" t="s">
        <v>7601</v>
      </c>
      <c r="C1201" s="26" t="s">
        <v>7602</v>
      </c>
      <c r="D1201" s="26" t="s">
        <v>6396</v>
      </c>
      <c r="E1201" s="26" t="s">
        <v>6443</v>
      </c>
    </row>
    <row r="1202" spans="1:6">
      <c r="A1202" s="26" t="s">
        <v>7408</v>
      </c>
      <c r="B1202" s="26" t="s">
        <v>7603</v>
      </c>
      <c r="C1202" s="26" t="s">
        <v>3262</v>
      </c>
      <c r="D1202" s="26" t="s">
        <v>6396</v>
      </c>
      <c r="E1202" s="26" t="s">
        <v>6443</v>
      </c>
    </row>
    <row r="1203" spans="1:6">
      <c r="A1203" s="26" t="s">
        <v>7408</v>
      </c>
      <c r="B1203" s="26" t="s">
        <v>7604</v>
      </c>
      <c r="C1203" s="26" t="s">
        <v>7466</v>
      </c>
      <c r="D1203" s="26" t="s">
        <v>6396</v>
      </c>
      <c r="E1203" s="26" t="s">
        <v>6443</v>
      </c>
    </row>
    <row r="1204" spans="1:6">
      <c r="A1204" s="26" t="s">
        <v>7408</v>
      </c>
      <c r="B1204" s="26" t="s">
        <v>2751</v>
      </c>
      <c r="C1204" s="26" t="s">
        <v>6815</v>
      </c>
      <c r="D1204" s="26" t="s">
        <v>6396</v>
      </c>
      <c r="E1204" s="26" t="s">
        <v>6395</v>
      </c>
    </row>
    <row r="1205" spans="1:6">
      <c r="A1205" s="26" t="s">
        <v>7408</v>
      </c>
      <c r="B1205" s="26" t="s">
        <v>6551</v>
      </c>
      <c r="C1205" s="26" t="s">
        <v>238</v>
      </c>
      <c r="D1205" s="26" t="s">
        <v>6396</v>
      </c>
      <c r="E1205" s="26" t="s">
        <v>6395</v>
      </c>
    </row>
    <row r="1206" spans="1:6">
      <c r="A1206" s="26" t="s">
        <v>7408</v>
      </c>
      <c r="B1206" s="26" t="s">
        <v>2116</v>
      </c>
      <c r="C1206" s="26" t="s">
        <v>776</v>
      </c>
      <c r="D1206" s="26" t="s">
        <v>6396</v>
      </c>
      <c r="E1206" s="26" t="s">
        <v>6395</v>
      </c>
    </row>
    <row r="1207" spans="1:6">
      <c r="A1207" s="26" t="s">
        <v>7408</v>
      </c>
      <c r="B1207" s="26" t="s">
        <v>7605</v>
      </c>
      <c r="C1207" s="26" t="s">
        <v>3319</v>
      </c>
      <c r="D1207" s="26" t="s">
        <v>6396</v>
      </c>
      <c r="E1207" s="26" t="s">
        <v>6395</v>
      </c>
    </row>
    <row r="1208" spans="1:6">
      <c r="A1208" s="26" t="s">
        <v>7408</v>
      </c>
      <c r="B1208" s="26" t="s">
        <v>7606</v>
      </c>
      <c r="C1208" s="26" t="s">
        <v>7607</v>
      </c>
      <c r="D1208" s="26" t="s">
        <v>6396</v>
      </c>
      <c r="E1208" s="26" t="s">
        <v>6395</v>
      </c>
    </row>
    <row r="1209" spans="1:6">
      <c r="A1209" s="26" t="s">
        <v>7408</v>
      </c>
      <c r="B1209" s="26" t="s">
        <v>7608</v>
      </c>
      <c r="C1209" s="26" t="s">
        <v>2969</v>
      </c>
      <c r="D1209" s="26" t="s">
        <v>6396</v>
      </c>
      <c r="E1209" s="26">
        <v>0</v>
      </c>
      <c r="F1209" s="26" t="s">
        <v>7410</v>
      </c>
    </row>
    <row r="1210" spans="1:6">
      <c r="A1210" s="26" t="s">
        <v>7408</v>
      </c>
      <c r="B1210" s="26" t="s">
        <v>2520</v>
      </c>
      <c r="C1210" s="26" t="s">
        <v>1545</v>
      </c>
      <c r="D1210" s="26" t="s">
        <v>6396</v>
      </c>
      <c r="E1210" s="26" t="s">
        <v>6395</v>
      </c>
    </row>
    <row r="1211" spans="1:6">
      <c r="A1211" s="26" t="s">
        <v>7408</v>
      </c>
      <c r="B1211" s="26" t="s">
        <v>7609</v>
      </c>
      <c r="C1211" s="26" t="s">
        <v>7610</v>
      </c>
      <c r="D1211" s="26" t="s">
        <v>6396</v>
      </c>
      <c r="E1211" s="26" t="s">
        <v>6443</v>
      </c>
    </row>
    <row r="1212" spans="1:6">
      <c r="A1212" s="26" t="s">
        <v>7408</v>
      </c>
      <c r="B1212" s="26" t="s">
        <v>7611</v>
      </c>
      <c r="C1212" s="26" t="s">
        <v>7612</v>
      </c>
      <c r="D1212" s="26" t="s">
        <v>6396</v>
      </c>
      <c r="E1212" s="26" t="s">
        <v>6395</v>
      </c>
    </row>
    <row r="1213" spans="1:6">
      <c r="A1213" s="26" t="s">
        <v>7408</v>
      </c>
      <c r="B1213" s="26" t="s">
        <v>7613</v>
      </c>
      <c r="C1213" s="26" t="s">
        <v>7614</v>
      </c>
      <c r="D1213" s="26" t="s">
        <v>6396</v>
      </c>
      <c r="E1213" s="26" t="s">
        <v>6443</v>
      </c>
    </row>
    <row r="1214" spans="1:6">
      <c r="A1214" s="26" t="s">
        <v>7408</v>
      </c>
      <c r="B1214" s="26" t="s">
        <v>7615</v>
      </c>
      <c r="C1214" s="26" t="s">
        <v>7616</v>
      </c>
      <c r="D1214" s="26" t="s">
        <v>6396</v>
      </c>
      <c r="E1214" s="26" t="s">
        <v>6443</v>
      </c>
    </row>
    <row r="1215" spans="1:6">
      <c r="A1215" s="26" t="s">
        <v>7408</v>
      </c>
      <c r="B1215" s="26" t="s">
        <v>6719</v>
      </c>
      <c r="C1215" s="26" t="s">
        <v>7617</v>
      </c>
      <c r="D1215" s="26" t="s">
        <v>6396</v>
      </c>
      <c r="E1215" s="26" t="s">
        <v>6395</v>
      </c>
    </row>
    <row r="1216" spans="1:6">
      <c r="A1216" s="26" t="s">
        <v>7408</v>
      </c>
      <c r="B1216" s="26" t="s">
        <v>7618</v>
      </c>
      <c r="C1216" s="26" t="s">
        <v>7619</v>
      </c>
      <c r="D1216" s="26" t="s">
        <v>6396</v>
      </c>
      <c r="E1216" s="26" t="s">
        <v>6443</v>
      </c>
    </row>
    <row r="1217" spans="1:6">
      <c r="A1217" s="26" t="s">
        <v>7408</v>
      </c>
      <c r="B1217" s="26" t="s">
        <v>7620</v>
      </c>
      <c r="C1217" s="26" t="s">
        <v>209</v>
      </c>
      <c r="D1217" s="26" t="s">
        <v>6396</v>
      </c>
      <c r="E1217" s="26">
        <v>0</v>
      </c>
      <c r="F1217" s="26" t="s">
        <v>7410</v>
      </c>
    </row>
    <row r="1218" spans="1:6">
      <c r="A1218" s="26" t="s">
        <v>7408</v>
      </c>
      <c r="B1218" s="26" t="s">
        <v>2565</v>
      </c>
      <c r="C1218" s="26" t="s">
        <v>679</v>
      </c>
      <c r="D1218" s="26" t="s">
        <v>6396</v>
      </c>
      <c r="E1218" s="26" t="s">
        <v>6395</v>
      </c>
    </row>
    <row r="1219" spans="1:6">
      <c r="A1219" s="26" t="s">
        <v>7408</v>
      </c>
      <c r="B1219" s="26" t="s">
        <v>7621</v>
      </c>
      <c r="C1219" s="26" t="s">
        <v>6742</v>
      </c>
      <c r="D1219" s="26" t="s">
        <v>6396</v>
      </c>
      <c r="E1219" s="26">
        <v>0</v>
      </c>
      <c r="F1219" s="26" t="s">
        <v>7410</v>
      </c>
    </row>
    <row r="1220" spans="1:6">
      <c r="A1220" s="26" t="s">
        <v>7408</v>
      </c>
      <c r="B1220" s="26" t="s">
        <v>7622</v>
      </c>
      <c r="C1220" s="26" t="s">
        <v>7558</v>
      </c>
      <c r="D1220" s="26" t="s">
        <v>6396</v>
      </c>
      <c r="E1220" s="26" t="s">
        <v>6443</v>
      </c>
    </row>
    <row r="1221" spans="1:6">
      <c r="A1221" s="26" t="s">
        <v>7408</v>
      </c>
      <c r="B1221" s="26" t="s">
        <v>7623</v>
      </c>
      <c r="C1221" s="26" t="s">
        <v>7466</v>
      </c>
      <c r="D1221" s="26" t="s">
        <v>6396</v>
      </c>
      <c r="E1221" s="26" t="s">
        <v>6443</v>
      </c>
    </row>
    <row r="1222" spans="1:6">
      <c r="A1222" s="26" t="s">
        <v>7408</v>
      </c>
      <c r="B1222" s="26" t="s">
        <v>7624</v>
      </c>
      <c r="C1222" s="26" t="s">
        <v>6690</v>
      </c>
      <c r="D1222" s="26" t="s">
        <v>6396</v>
      </c>
      <c r="E1222" s="26" t="s">
        <v>6443</v>
      </c>
    </row>
    <row r="1223" spans="1:6">
      <c r="A1223" s="26" t="s">
        <v>7408</v>
      </c>
      <c r="B1223" s="26" t="s">
        <v>7625</v>
      </c>
      <c r="C1223" s="26" t="s">
        <v>7626</v>
      </c>
      <c r="D1223" s="26" t="s">
        <v>6396</v>
      </c>
      <c r="E1223" s="26" t="s">
        <v>6395</v>
      </c>
    </row>
    <row r="1224" spans="1:6">
      <c r="A1224" s="26" t="s">
        <v>7408</v>
      </c>
      <c r="B1224" s="26" t="s">
        <v>834</v>
      </c>
      <c r="C1224" s="26" t="s">
        <v>7627</v>
      </c>
      <c r="D1224" s="26" t="s">
        <v>6396</v>
      </c>
      <c r="E1224" s="26" t="s">
        <v>6443</v>
      </c>
    </row>
    <row r="1225" spans="1:6">
      <c r="A1225" s="26" t="s">
        <v>7408</v>
      </c>
      <c r="B1225" s="26" t="s">
        <v>7628</v>
      </c>
      <c r="C1225" s="26" t="s">
        <v>7629</v>
      </c>
      <c r="D1225" s="26" t="s">
        <v>6396</v>
      </c>
      <c r="E1225" s="26" t="s">
        <v>6443</v>
      </c>
    </row>
    <row r="1226" spans="1:6">
      <c r="A1226" s="26" t="s">
        <v>7408</v>
      </c>
      <c r="B1226" s="26" t="s">
        <v>7630</v>
      </c>
      <c r="C1226" s="26" t="s">
        <v>7631</v>
      </c>
      <c r="D1226" s="26" t="s">
        <v>6396</v>
      </c>
      <c r="E1226" s="26">
        <v>0</v>
      </c>
      <c r="F1226" s="26" t="s">
        <v>7410</v>
      </c>
    </row>
    <row r="1227" spans="1:6">
      <c r="A1227" s="26" t="s">
        <v>7408</v>
      </c>
      <c r="B1227" s="26" t="s">
        <v>7632</v>
      </c>
      <c r="C1227" s="26" t="s">
        <v>7633</v>
      </c>
      <c r="D1227" s="26" t="s">
        <v>6396</v>
      </c>
      <c r="E1227" s="26" t="s">
        <v>6395</v>
      </c>
    </row>
    <row r="1228" spans="1:6">
      <c r="A1228" s="26" t="s">
        <v>7408</v>
      </c>
      <c r="B1228" s="26" t="s">
        <v>7634</v>
      </c>
      <c r="C1228" s="26" t="s">
        <v>7447</v>
      </c>
      <c r="D1228" s="26" t="s">
        <v>6396</v>
      </c>
      <c r="E1228" s="26" t="s">
        <v>6443</v>
      </c>
    </row>
    <row r="1229" spans="1:6">
      <c r="A1229" s="26" t="s">
        <v>7408</v>
      </c>
      <c r="B1229" s="26" t="s">
        <v>7635</v>
      </c>
      <c r="C1229" s="26" t="s">
        <v>7636</v>
      </c>
      <c r="D1229" s="26" t="s">
        <v>6396</v>
      </c>
      <c r="E1229" s="26">
        <v>0</v>
      </c>
      <c r="F1229" s="26" t="s">
        <v>7410</v>
      </c>
    </row>
    <row r="1230" spans="1:6">
      <c r="A1230" s="26" t="s">
        <v>7408</v>
      </c>
      <c r="B1230" s="26" t="s">
        <v>208</v>
      </c>
      <c r="C1230" s="26" t="s">
        <v>209</v>
      </c>
      <c r="D1230" s="26" t="s">
        <v>6396</v>
      </c>
      <c r="E1230" s="26" t="s">
        <v>6443</v>
      </c>
    </row>
    <row r="1231" spans="1:6">
      <c r="A1231" s="26" t="s">
        <v>7408</v>
      </c>
      <c r="B1231" s="26" t="s">
        <v>7637</v>
      </c>
      <c r="C1231" s="26" t="s">
        <v>2208</v>
      </c>
      <c r="D1231" s="26" t="s">
        <v>6396</v>
      </c>
      <c r="E1231" s="26" t="s">
        <v>6443</v>
      </c>
    </row>
    <row r="1232" spans="1:6">
      <c r="A1232" s="26" t="s">
        <v>7408</v>
      </c>
      <c r="B1232" s="26" t="s">
        <v>7638</v>
      </c>
      <c r="C1232" s="26" t="s">
        <v>7504</v>
      </c>
      <c r="D1232" s="26" t="s">
        <v>6396</v>
      </c>
      <c r="E1232" s="26" t="s">
        <v>6443</v>
      </c>
    </row>
    <row r="1233" spans="1:5">
      <c r="A1233" s="26" t="s">
        <v>7408</v>
      </c>
      <c r="B1233" s="26" t="s">
        <v>7639</v>
      </c>
      <c r="C1233" s="26" t="s">
        <v>782</v>
      </c>
      <c r="D1233" s="26" t="s">
        <v>6396</v>
      </c>
      <c r="E1233" s="26" t="s">
        <v>6395</v>
      </c>
    </row>
    <row r="1234" spans="1:5">
      <c r="A1234" s="26" t="s">
        <v>7408</v>
      </c>
      <c r="B1234" s="26" t="s">
        <v>1296</v>
      </c>
      <c r="C1234" s="26" t="s">
        <v>6389</v>
      </c>
      <c r="D1234" s="26" t="s">
        <v>6396</v>
      </c>
      <c r="E1234" s="26" t="s">
        <v>6443</v>
      </c>
    </row>
    <row r="1235" spans="1:5">
      <c r="A1235" s="26" t="s">
        <v>7408</v>
      </c>
      <c r="B1235" s="26" t="s">
        <v>3147</v>
      </c>
      <c r="C1235" s="26" t="s">
        <v>7640</v>
      </c>
      <c r="D1235" s="26" t="s">
        <v>6396</v>
      </c>
      <c r="E1235" s="26" t="s">
        <v>6443</v>
      </c>
    </row>
    <row r="1236" spans="1:5">
      <c r="A1236" s="26" t="s">
        <v>7408</v>
      </c>
      <c r="B1236" s="26" t="s">
        <v>7641</v>
      </c>
      <c r="C1236" s="26" t="s">
        <v>227</v>
      </c>
      <c r="D1236" s="26" t="s">
        <v>6396</v>
      </c>
      <c r="E1236" s="26" t="s">
        <v>6395</v>
      </c>
    </row>
    <row r="1237" spans="1:5">
      <c r="A1237" s="26" t="s">
        <v>7408</v>
      </c>
      <c r="B1237" s="26" t="s">
        <v>550</v>
      </c>
      <c r="C1237" s="26" t="s">
        <v>427</v>
      </c>
      <c r="D1237" s="26" t="s">
        <v>6396</v>
      </c>
      <c r="E1237" s="26" t="s">
        <v>6395</v>
      </c>
    </row>
    <row r="1238" spans="1:5">
      <c r="A1238" s="26" t="s">
        <v>7408</v>
      </c>
      <c r="B1238" s="26" t="s">
        <v>7258</v>
      </c>
      <c r="C1238" s="26" t="s">
        <v>7257</v>
      </c>
      <c r="D1238" s="26" t="s">
        <v>6396</v>
      </c>
      <c r="E1238" s="26" t="s">
        <v>6443</v>
      </c>
    </row>
    <row r="1239" spans="1:5">
      <c r="A1239" s="26" t="s">
        <v>7408</v>
      </c>
      <c r="B1239" s="26" t="s">
        <v>36</v>
      </c>
      <c r="C1239" s="26" t="s">
        <v>37</v>
      </c>
      <c r="D1239" s="26" t="s">
        <v>6396</v>
      </c>
      <c r="E1239" s="26" t="s">
        <v>6395</v>
      </c>
    </row>
    <row r="1240" spans="1:5">
      <c r="A1240" s="26" t="s">
        <v>7408</v>
      </c>
      <c r="B1240" s="26" t="s">
        <v>7422</v>
      </c>
      <c r="C1240" s="26" t="s">
        <v>7423</v>
      </c>
      <c r="D1240" s="26" t="s">
        <v>6396</v>
      </c>
      <c r="E1240" s="26" t="s">
        <v>6443</v>
      </c>
    </row>
    <row r="1241" spans="1:5">
      <c r="A1241" s="26" t="s">
        <v>7408</v>
      </c>
      <c r="B1241" s="26" t="s">
        <v>7642</v>
      </c>
      <c r="C1241" s="26" t="s">
        <v>6690</v>
      </c>
      <c r="D1241" s="26" t="s">
        <v>6396</v>
      </c>
      <c r="E1241" s="26" t="s">
        <v>6443</v>
      </c>
    </row>
    <row r="1242" spans="1:5">
      <c r="A1242" s="26" t="s">
        <v>7408</v>
      </c>
      <c r="B1242" s="26" t="s">
        <v>7643</v>
      </c>
      <c r="C1242" s="26" t="s">
        <v>6815</v>
      </c>
      <c r="D1242" s="26" t="s">
        <v>6396</v>
      </c>
      <c r="E1242" s="26" t="s">
        <v>6443</v>
      </c>
    </row>
    <row r="1243" spans="1:5">
      <c r="A1243" s="26" t="s">
        <v>7408</v>
      </c>
      <c r="B1243" s="26" t="s">
        <v>7644</v>
      </c>
      <c r="C1243" s="26" t="s">
        <v>209</v>
      </c>
      <c r="D1243" s="26" t="s">
        <v>6396</v>
      </c>
      <c r="E1243" s="26" t="s">
        <v>6443</v>
      </c>
    </row>
    <row r="1244" spans="1:5">
      <c r="A1244" s="26" t="s">
        <v>7408</v>
      </c>
      <c r="B1244" s="26" t="s">
        <v>6944</v>
      </c>
      <c r="C1244" s="26" t="s">
        <v>7645</v>
      </c>
      <c r="D1244" s="26" t="s">
        <v>6396</v>
      </c>
      <c r="E1244" s="26" t="s">
        <v>6395</v>
      </c>
    </row>
    <row r="1245" spans="1:5">
      <c r="A1245" s="26" t="s">
        <v>7408</v>
      </c>
      <c r="B1245" s="26" t="s">
        <v>6986</v>
      </c>
      <c r="C1245" s="26" t="s">
        <v>7646</v>
      </c>
      <c r="D1245" s="26" t="s">
        <v>6396</v>
      </c>
      <c r="E1245" s="26" t="s">
        <v>6443</v>
      </c>
    </row>
    <row r="1246" spans="1:5">
      <c r="A1246" s="26" t="s">
        <v>7408</v>
      </c>
      <c r="B1246" s="26" t="s">
        <v>1024</v>
      </c>
      <c r="C1246" s="26" t="s">
        <v>154</v>
      </c>
      <c r="D1246" s="26" t="s">
        <v>6396</v>
      </c>
      <c r="E1246" s="26" t="s">
        <v>6395</v>
      </c>
    </row>
    <row r="1247" spans="1:5">
      <c r="A1247" s="26" t="s">
        <v>7408</v>
      </c>
      <c r="B1247" s="26" t="s">
        <v>7647</v>
      </c>
      <c r="C1247" s="26" t="s">
        <v>7648</v>
      </c>
      <c r="D1247" s="26" t="s">
        <v>6396</v>
      </c>
      <c r="E1247" s="26" t="s">
        <v>6395</v>
      </c>
    </row>
    <row r="1248" spans="1:5">
      <c r="A1248" s="26" t="s">
        <v>7408</v>
      </c>
      <c r="B1248" s="26" t="s">
        <v>6530</v>
      </c>
      <c r="C1248" s="26" t="s">
        <v>541</v>
      </c>
      <c r="D1248" s="26" t="s">
        <v>6396</v>
      </c>
      <c r="E1248" s="26" t="s">
        <v>6395</v>
      </c>
    </row>
    <row r="1249" spans="1:6">
      <c r="A1249" s="26" t="s">
        <v>7408</v>
      </c>
      <c r="B1249" s="26" t="s">
        <v>7649</v>
      </c>
      <c r="C1249" s="26" t="s">
        <v>7650</v>
      </c>
      <c r="D1249" s="26" t="s">
        <v>6396</v>
      </c>
      <c r="E1249" s="26" t="s">
        <v>6443</v>
      </c>
    </row>
    <row r="1250" spans="1:6">
      <c r="A1250" s="26" t="s">
        <v>7408</v>
      </c>
      <c r="B1250" s="26" t="s">
        <v>7651</v>
      </c>
      <c r="C1250" s="26" t="s">
        <v>7652</v>
      </c>
      <c r="D1250" s="26" t="s">
        <v>6396</v>
      </c>
      <c r="E1250" s="26" t="s">
        <v>6443</v>
      </c>
    </row>
    <row r="1251" spans="1:6">
      <c r="A1251" s="26" t="s">
        <v>7408</v>
      </c>
      <c r="B1251" s="26" t="s">
        <v>7653</v>
      </c>
      <c r="C1251" s="26" t="s">
        <v>209</v>
      </c>
      <c r="D1251" s="26" t="s">
        <v>6396</v>
      </c>
      <c r="E1251" s="26">
        <v>0</v>
      </c>
      <c r="F1251" s="26" t="s">
        <v>7410</v>
      </c>
    </row>
    <row r="1252" spans="1:6">
      <c r="A1252" s="26" t="s">
        <v>7408</v>
      </c>
      <c r="B1252" s="26" t="s">
        <v>7654</v>
      </c>
      <c r="C1252" s="26" t="s">
        <v>3262</v>
      </c>
      <c r="D1252" s="26" t="s">
        <v>6396</v>
      </c>
      <c r="E1252" s="26" t="s">
        <v>6395</v>
      </c>
    </row>
    <row r="1253" spans="1:6">
      <c r="A1253" s="26" t="s">
        <v>7408</v>
      </c>
      <c r="B1253" s="26" t="s">
        <v>2478</v>
      </c>
      <c r="C1253" s="26" t="s">
        <v>7655</v>
      </c>
      <c r="D1253" s="26" t="s">
        <v>6396</v>
      </c>
      <c r="E1253" s="26" t="s">
        <v>6395</v>
      </c>
    </row>
    <row r="1254" spans="1:6">
      <c r="A1254" s="26" t="s">
        <v>7408</v>
      </c>
      <c r="B1254" s="26" t="s">
        <v>7656</v>
      </c>
      <c r="C1254" s="26" t="s">
        <v>7657</v>
      </c>
      <c r="D1254" s="26" t="s">
        <v>6396</v>
      </c>
      <c r="E1254" s="26" t="s">
        <v>6443</v>
      </c>
    </row>
    <row r="1255" spans="1:6">
      <c r="A1255" s="26" t="s">
        <v>7408</v>
      </c>
      <c r="B1255" s="26" t="s">
        <v>7189</v>
      </c>
      <c r="C1255" s="26" t="s">
        <v>7042</v>
      </c>
      <c r="D1255" s="26" t="s">
        <v>6396</v>
      </c>
      <c r="E1255" s="26" t="s">
        <v>6443</v>
      </c>
    </row>
    <row r="1256" spans="1:6">
      <c r="A1256" s="26" t="s">
        <v>7408</v>
      </c>
      <c r="B1256" s="26" t="s">
        <v>7658</v>
      </c>
      <c r="C1256" s="26" t="s">
        <v>7659</v>
      </c>
      <c r="D1256" s="26" t="s">
        <v>6396</v>
      </c>
      <c r="E1256" s="26" t="s">
        <v>6395</v>
      </c>
    </row>
    <row r="1257" spans="1:6">
      <c r="A1257" s="26" t="s">
        <v>7408</v>
      </c>
      <c r="B1257" s="26" t="s">
        <v>1447</v>
      </c>
      <c r="C1257" s="26" t="s">
        <v>509</v>
      </c>
      <c r="D1257" s="26" t="s">
        <v>6396</v>
      </c>
      <c r="E1257" s="26" t="s">
        <v>6395</v>
      </c>
    </row>
    <row r="1258" spans="1:6">
      <c r="A1258" s="26" t="s">
        <v>7408</v>
      </c>
      <c r="B1258" s="26" t="s">
        <v>7660</v>
      </c>
      <c r="C1258" s="26" t="s">
        <v>7661</v>
      </c>
      <c r="D1258" s="26" t="s">
        <v>6396</v>
      </c>
      <c r="E1258" s="26" t="s">
        <v>6443</v>
      </c>
    </row>
    <row r="1259" spans="1:6">
      <c r="A1259" s="26" t="s">
        <v>7408</v>
      </c>
      <c r="B1259" s="26" t="s">
        <v>7662</v>
      </c>
      <c r="C1259" s="26" t="s">
        <v>121</v>
      </c>
      <c r="D1259" s="26" t="s">
        <v>6396</v>
      </c>
      <c r="E1259" s="26" t="s">
        <v>6443</v>
      </c>
    </row>
    <row r="1260" spans="1:6">
      <c r="A1260" s="26" t="s">
        <v>7408</v>
      </c>
      <c r="B1260" s="26" t="s">
        <v>7663</v>
      </c>
      <c r="C1260" s="26" t="s">
        <v>6545</v>
      </c>
      <c r="D1260" s="26" t="s">
        <v>6396</v>
      </c>
      <c r="E1260" s="26">
        <v>0</v>
      </c>
      <c r="F1260" s="26" t="s">
        <v>7410</v>
      </c>
    </row>
    <row r="1261" spans="1:6">
      <c r="A1261" s="26" t="s">
        <v>7408</v>
      </c>
      <c r="B1261" s="26" t="s">
        <v>7664</v>
      </c>
      <c r="C1261" s="26" t="s">
        <v>7665</v>
      </c>
      <c r="D1261" s="26" t="s">
        <v>6396</v>
      </c>
      <c r="E1261" s="26" t="s">
        <v>6395</v>
      </c>
    </row>
    <row r="1262" spans="1:6">
      <c r="A1262" s="26" t="s">
        <v>7408</v>
      </c>
      <c r="B1262" s="26" t="s">
        <v>1293</v>
      </c>
      <c r="C1262" s="26" t="s">
        <v>360</v>
      </c>
      <c r="D1262" s="26" t="s">
        <v>6396</v>
      </c>
      <c r="E1262" s="26" t="s">
        <v>6395</v>
      </c>
    </row>
    <row r="1263" spans="1:6">
      <c r="A1263" s="26" t="s">
        <v>7408</v>
      </c>
      <c r="B1263" s="26" t="s">
        <v>7666</v>
      </c>
      <c r="C1263" s="26" t="s">
        <v>7480</v>
      </c>
      <c r="D1263" s="26" t="s">
        <v>6396</v>
      </c>
      <c r="E1263" s="26" t="s">
        <v>6443</v>
      </c>
    </row>
    <row r="1264" spans="1:6">
      <c r="A1264" s="26" t="s">
        <v>7408</v>
      </c>
      <c r="B1264" s="26" t="s">
        <v>1317</v>
      </c>
      <c r="C1264" s="26" t="s">
        <v>427</v>
      </c>
      <c r="D1264" s="26" t="s">
        <v>6396</v>
      </c>
      <c r="E1264" s="26" t="s">
        <v>6395</v>
      </c>
    </row>
    <row r="1265" spans="1:5">
      <c r="A1265" s="26" t="s">
        <v>7408</v>
      </c>
      <c r="B1265" s="26" t="s">
        <v>7667</v>
      </c>
      <c r="C1265" s="26" t="s">
        <v>7439</v>
      </c>
      <c r="D1265" s="26" t="s">
        <v>6396</v>
      </c>
      <c r="E1265" s="26" t="s">
        <v>6443</v>
      </c>
    </row>
    <row r="1266" spans="1:5">
      <c r="A1266" s="26" t="s">
        <v>7408</v>
      </c>
      <c r="B1266" s="26" t="s">
        <v>7668</v>
      </c>
      <c r="C1266" s="26" t="s">
        <v>6815</v>
      </c>
      <c r="D1266" s="26" t="s">
        <v>6396</v>
      </c>
      <c r="E1266" s="26" t="s">
        <v>6443</v>
      </c>
    </row>
    <row r="1267" spans="1:5">
      <c r="A1267" s="26" t="s">
        <v>7408</v>
      </c>
      <c r="B1267" s="26" t="s">
        <v>7669</v>
      </c>
      <c r="C1267" s="26" t="s">
        <v>7596</v>
      </c>
      <c r="D1267" s="26" t="s">
        <v>6396</v>
      </c>
      <c r="E1267" s="26" t="s">
        <v>6395</v>
      </c>
    </row>
    <row r="1268" spans="1:5">
      <c r="A1268" s="26" t="s">
        <v>7408</v>
      </c>
      <c r="B1268" s="26" t="s">
        <v>7670</v>
      </c>
      <c r="C1268" s="26" t="s">
        <v>1545</v>
      </c>
      <c r="D1268" s="26" t="s">
        <v>6396</v>
      </c>
      <c r="E1268" s="26" t="s">
        <v>6395</v>
      </c>
    </row>
    <row r="1269" spans="1:5">
      <c r="A1269" s="26" t="s">
        <v>7408</v>
      </c>
      <c r="B1269" s="26" t="s">
        <v>2767</v>
      </c>
      <c r="C1269" s="26" t="s">
        <v>1274</v>
      </c>
      <c r="D1269" s="26" t="s">
        <v>6396</v>
      </c>
      <c r="E1269" s="26" t="s">
        <v>6395</v>
      </c>
    </row>
    <row r="1270" spans="1:5">
      <c r="A1270" s="26" t="s">
        <v>7408</v>
      </c>
      <c r="B1270" s="26" t="s">
        <v>6917</v>
      </c>
      <c r="C1270" s="26" t="s">
        <v>7602</v>
      </c>
      <c r="D1270" s="26" t="s">
        <v>6396</v>
      </c>
      <c r="E1270" s="26" t="s">
        <v>6443</v>
      </c>
    </row>
    <row r="1271" spans="1:5">
      <c r="A1271" s="26" t="s">
        <v>7408</v>
      </c>
      <c r="B1271" s="26" t="s">
        <v>6758</v>
      </c>
      <c r="C1271" s="26" t="s">
        <v>6757</v>
      </c>
      <c r="D1271" s="26" t="s">
        <v>6396</v>
      </c>
      <c r="E1271" s="26" t="s">
        <v>6443</v>
      </c>
    </row>
    <row r="1272" spans="1:5">
      <c r="A1272" s="26" t="s">
        <v>7408</v>
      </c>
      <c r="B1272" s="26" t="s">
        <v>7671</v>
      </c>
      <c r="C1272" s="26" t="s">
        <v>6545</v>
      </c>
      <c r="D1272" s="26" t="s">
        <v>6396</v>
      </c>
      <c r="E1272" s="26" t="s">
        <v>6443</v>
      </c>
    </row>
    <row r="1273" spans="1:5">
      <c r="A1273" s="26" t="s">
        <v>7408</v>
      </c>
      <c r="B1273" s="26" t="s">
        <v>7672</v>
      </c>
      <c r="C1273" s="26" t="s">
        <v>7458</v>
      </c>
      <c r="D1273" s="26" t="s">
        <v>6396</v>
      </c>
      <c r="E1273" s="26" t="s">
        <v>6443</v>
      </c>
    </row>
    <row r="1274" spans="1:5">
      <c r="A1274" s="26" t="s">
        <v>7408</v>
      </c>
      <c r="B1274" s="26" t="s">
        <v>7673</v>
      </c>
      <c r="C1274" s="26" t="s">
        <v>7674</v>
      </c>
      <c r="D1274" s="26" t="s">
        <v>6396</v>
      </c>
      <c r="E1274" s="26" t="s">
        <v>8749</v>
      </c>
    </row>
    <row r="1275" spans="1:5">
      <c r="A1275" s="26" t="s">
        <v>7408</v>
      </c>
      <c r="B1275" s="26" t="s">
        <v>2395</v>
      </c>
      <c r="C1275" s="26" t="s">
        <v>679</v>
      </c>
      <c r="D1275" s="26" t="s">
        <v>6396</v>
      </c>
      <c r="E1275" s="26" t="s">
        <v>6395</v>
      </c>
    </row>
    <row r="1276" spans="1:5">
      <c r="A1276" s="26" t="s">
        <v>7408</v>
      </c>
      <c r="B1276" s="26" t="s">
        <v>7675</v>
      </c>
      <c r="C1276" s="26" t="s">
        <v>7676</v>
      </c>
      <c r="D1276" s="26" t="s">
        <v>6396</v>
      </c>
      <c r="E1276" s="26" t="s">
        <v>8749</v>
      </c>
    </row>
    <row r="1277" spans="1:5">
      <c r="A1277" s="26" t="s">
        <v>7408</v>
      </c>
      <c r="B1277" s="26" t="s">
        <v>7677</v>
      </c>
      <c r="C1277" s="26" t="s">
        <v>7678</v>
      </c>
      <c r="D1277" s="26" t="s">
        <v>6396</v>
      </c>
      <c r="E1277" s="26" t="s">
        <v>6443</v>
      </c>
    </row>
    <row r="1278" spans="1:5">
      <c r="A1278" s="26" t="s">
        <v>7408</v>
      </c>
      <c r="B1278" s="26" t="s">
        <v>7679</v>
      </c>
      <c r="C1278" s="26" t="s">
        <v>7680</v>
      </c>
      <c r="D1278" s="26" t="s">
        <v>6396</v>
      </c>
      <c r="E1278" s="26" t="s">
        <v>6443</v>
      </c>
    </row>
    <row r="1279" spans="1:5">
      <c r="A1279" s="26" t="s">
        <v>7408</v>
      </c>
      <c r="B1279" s="26" t="s">
        <v>716</v>
      </c>
      <c r="C1279" s="26" t="s">
        <v>509</v>
      </c>
      <c r="D1279" s="26" t="s">
        <v>6396</v>
      </c>
      <c r="E1279" s="26" t="s">
        <v>6395</v>
      </c>
    </row>
    <row r="1280" spans="1:5">
      <c r="A1280" s="26" t="s">
        <v>7408</v>
      </c>
      <c r="B1280" s="26" t="s">
        <v>7681</v>
      </c>
      <c r="C1280" s="26" t="s">
        <v>7387</v>
      </c>
      <c r="D1280" s="26" t="s">
        <v>6396</v>
      </c>
      <c r="E1280" s="26" t="s">
        <v>6443</v>
      </c>
    </row>
    <row r="1281" spans="1:6">
      <c r="A1281" s="26" t="s">
        <v>7408</v>
      </c>
      <c r="B1281" s="26" t="s">
        <v>1029</v>
      </c>
      <c r="C1281" s="26" t="s">
        <v>1030</v>
      </c>
      <c r="D1281" s="26" t="s">
        <v>6396</v>
      </c>
      <c r="E1281" s="26" t="s">
        <v>6395</v>
      </c>
    </row>
    <row r="1282" spans="1:6">
      <c r="A1282" s="26" t="s">
        <v>7408</v>
      </c>
      <c r="B1282" s="26" t="s">
        <v>1245</v>
      </c>
      <c r="C1282" s="26" t="s">
        <v>154</v>
      </c>
      <c r="D1282" s="26" t="s">
        <v>6396</v>
      </c>
      <c r="E1282" s="26" t="s">
        <v>6395</v>
      </c>
    </row>
    <row r="1283" spans="1:6">
      <c r="A1283" s="26" t="s">
        <v>7408</v>
      </c>
      <c r="B1283" s="26" t="s">
        <v>7682</v>
      </c>
      <c r="C1283" s="26" t="s">
        <v>7078</v>
      </c>
      <c r="D1283" s="26" t="s">
        <v>6396</v>
      </c>
      <c r="E1283" s="26" t="s">
        <v>6395</v>
      </c>
    </row>
    <row r="1284" spans="1:6">
      <c r="A1284" s="26" t="s">
        <v>7408</v>
      </c>
      <c r="B1284" s="26" t="s">
        <v>7683</v>
      </c>
      <c r="C1284" s="26" t="s">
        <v>7684</v>
      </c>
      <c r="D1284" s="26" t="s">
        <v>6396</v>
      </c>
      <c r="E1284" s="26">
        <v>0</v>
      </c>
      <c r="F1284" s="26" t="s">
        <v>7410</v>
      </c>
    </row>
    <row r="1285" spans="1:6">
      <c r="A1285" s="26" t="s">
        <v>7408</v>
      </c>
      <c r="B1285" s="26" t="s">
        <v>7685</v>
      </c>
      <c r="C1285" s="26" t="s">
        <v>7686</v>
      </c>
      <c r="D1285" s="26" t="s">
        <v>6396</v>
      </c>
      <c r="E1285" s="26" t="s">
        <v>6443</v>
      </c>
    </row>
    <row r="1286" spans="1:6">
      <c r="A1286" s="26" t="s">
        <v>7408</v>
      </c>
      <c r="B1286" s="26" t="s">
        <v>2588</v>
      </c>
      <c r="C1286" s="26" t="s">
        <v>1030</v>
      </c>
      <c r="D1286" s="26" t="s">
        <v>6396</v>
      </c>
      <c r="E1286" s="26" t="s">
        <v>6395</v>
      </c>
    </row>
    <row r="1287" spans="1:6">
      <c r="A1287" s="26" t="s">
        <v>7408</v>
      </c>
      <c r="B1287" s="26" t="s">
        <v>2838</v>
      </c>
      <c r="C1287" s="26" t="s">
        <v>541</v>
      </c>
      <c r="D1287" s="26" t="s">
        <v>6396</v>
      </c>
      <c r="E1287" s="26">
        <v>0</v>
      </c>
      <c r="F1287" s="26" t="s">
        <v>7490</v>
      </c>
    </row>
    <row r="1288" spans="1:6">
      <c r="A1288" s="26" t="s">
        <v>7408</v>
      </c>
      <c r="B1288" s="26" t="s">
        <v>7687</v>
      </c>
      <c r="C1288" s="26" t="s">
        <v>7461</v>
      </c>
      <c r="D1288" s="26" t="s">
        <v>6396</v>
      </c>
      <c r="E1288" s="26" t="s">
        <v>6443</v>
      </c>
    </row>
    <row r="1289" spans="1:6">
      <c r="A1289" s="26" t="s">
        <v>7408</v>
      </c>
      <c r="B1289" s="26" t="s">
        <v>7688</v>
      </c>
      <c r="C1289" s="26" t="s">
        <v>7689</v>
      </c>
      <c r="D1289" s="26" t="s">
        <v>6396</v>
      </c>
      <c r="E1289" s="26" t="s">
        <v>6443</v>
      </c>
    </row>
    <row r="1290" spans="1:6">
      <c r="A1290" s="26" t="s">
        <v>7408</v>
      </c>
      <c r="B1290" s="26" t="s">
        <v>7690</v>
      </c>
      <c r="C1290" s="26" t="s">
        <v>3262</v>
      </c>
      <c r="D1290" s="26" t="s">
        <v>6396</v>
      </c>
      <c r="E1290" s="26" t="s">
        <v>6395</v>
      </c>
    </row>
    <row r="1291" spans="1:6">
      <c r="A1291" s="26" t="s">
        <v>7408</v>
      </c>
      <c r="B1291" s="26" t="s">
        <v>2375</v>
      </c>
      <c r="C1291" s="26" t="s">
        <v>884</v>
      </c>
      <c r="D1291" s="26" t="s">
        <v>6396</v>
      </c>
      <c r="E1291" s="26" t="s">
        <v>6395</v>
      </c>
    </row>
    <row r="1292" spans="1:6">
      <c r="A1292" s="26" t="s">
        <v>7408</v>
      </c>
      <c r="B1292" s="26" t="s">
        <v>7691</v>
      </c>
      <c r="C1292" s="26" t="s">
        <v>7692</v>
      </c>
      <c r="D1292" s="26" t="s">
        <v>6396</v>
      </c>
      <c r="E1292" s="26" t="s">
        <v>6395</v>
      </c>
    </row>
    <row r="1293" spans="1:6">
      <c r="A1293" s="26" t="s">
        <v>7408</v>
      </c>
      <c r="B1293" s="26" t="s">
        <v>7693</v>
      </c>
      <c r="C1293" s="26" t="s">
        <v>7678</v>
      </c>
      <c r="D1293" s="26" t="s">
        <v>6396</v>
      </c>
      <c r="E1293" s="26" t="s">
        <v>6443</v>
      </c>
    </row>
    <row r="1294" spans="1:6">
      <c r="A1294" s="26" t="s">
        <v>7408</v>
      </c>
      <c r="B1294" s="26" t="s">
        <v>7694</v>
      </c>
      <c r="C1294" s="26" t="s">
        <v>7695</v>
      </c>
      <c r="D1294" s="26" t="s">
        <v>6396</v>
      </c>
      <c r="E1294" s="26" t="s">
        <v>6443</v>
      </c>
    </row>
    <row r="1295" spans="1:6">
      <c r="A1295" s="26" t="s">
        <v>7408</v>
      </c>
      <c r="B1295" s="26" t="s">
        <v>7696</v>
      </c>
      <c r="C1295" s="26" t="s">
        <v>1068</v>
      </c>
      <c r="D1295" s="26" t="s">
        <v>6396</v>
      </c>
      <c r="E1295" s="26" t="s">
        <v>6395</v>
      </c>
    </row>
    <row r="1296" spans="1:6">
      <c r="A1296" s="26" t="s">
        <v>7408</v>
      </c>
      <c r="B1296" s="26" t="s">
        <v>1434</v>
      </c>
      <c r="C1296" s="26" t="s">
        <v>1435</v>
      </c>
      <c r="D1296" s="26" t="s">
        <v>6396</v>
      </c>
      <c r="E1296" s="26" t="s">
        <v>6395</v>
      </c>
    </row>
    <row r="1297" spans="1:6">
      <c r="A1297" s="26" t="s">
        <v>7408</v>
      </c>
      <c r="B1297" s="26" t="s">
        <v>1959</v>
      </c>
      <c r="C1297" s="26" t="s">
        <v>348</v>
      </c>
      <c r="D1297" s="26" t="s">
        <v>6396</v>
      </c>
      <c r="E1297" s="26" t="s">
        <v>6395</v>
      </c>
    </row>
    <row r="1298" spans="1:6">
      <c r="A1298" s="26" t="s">
        <v>7408</v>
      </c>
      <c r="B1298" s="26" t="s">
        <v>7697</v>
      </c>
      <c r="C1298" s="26" t="s">
        <v>209</v>
      </c>
      <c r="D1298" s="26" t="s">
        <v>6396</v>
      </c>
      <c r="E1298" s="26" t="s">
        <v>6395</v>
      </c>
    </row>
    <row r="1299" spans="1:6">
      <c r="A1299" s="26" t="s">
        <v>7408</v>
      </c>
      <c r="B1299" s="26" t="s">
        <v>7698</v>
      </c>
      <c r="C1299" s="26" t="s">
        <v>7237</v>
      </c>
      <c r="D1299" s="26" t="s">
        <v>6396</v>
      </c>
      <c r="E1299" s="26" t="s">
        <v>6395</v>
      </c>
    </row>
    <row r="1300" spans="1:6">
      <c r="A1300" s="26" t="s">
        <v>7408</v>
      </c>
      <c r="B1300" s="26" t="s">
        <v>7699</v>
      </c>
      <c r="C1300" s="26" t="s">
        <v>1313</v>
      </c>
      <c r="D1300" s="26" t="s">
        <v>6396</v>
      </c>
      <c r="E1300" s="26" t="s">
        <v>6395</v>
      </c>
    </row>
    <row r="1301" spans="1:6">
      <c r="A1301" s="26" t="s">
        <v>7408</v>
      </c>
      <c r="B1301" s="26" t="s">
        <v>2553</v>
      </c>
      <c r="C1301" s="26" t="s">
        <v>2554</v>
      </c>
      <c r="D1301" s="26" t="s">
        <v>6396</v>
      </c>
      <c r="E1301" s="26" t="s">
        <v>6395</v>
      </c>
    </row>
    <row r="1302" spans="1:6">
      <c r="A1302" s="26" t="s">
        <v>7408</v>
      </c>
      <c r="B1302" s="26" t="s">
        <v>2072</v>
      </c>
      <c r="C1302" s="26" t="s">
        <v>360</v>
      </c>
      <c r="D1302" s="26" t="s">
        <v>6396</v>
      </c>
      <c r="E1302" s="26" t="s">
        <v>6443</v>
      </c>
    </row>
    <row r="1303" spans="1:6">
      <c r="A1303" s="26" t="s">
        <v>7408</v>
      </c>
      <c r="B1303" s="26" t="s">
        <v>2180</v>
      </c>
      <c r="C1303" s="26" t="s">
        <v>643</v>
      </c>
      <c r="D1303" s="26" t="s">
        <v>6396</v>
      </c>
      <c r="E1303" s="26" t="s">
        <v>6395</v>
      </c>
    </row>
    <row r="1304" spans="1:6">
      <c r="A1304" s="26" t="s">
        <v>7408</v>
      </c>
      <c r="B1304" s="26" t="s">
        <v>7700</v>
      </c>
      <c r="C1304" s="26" t="s">
        <v>7701</v>
      </c>
      <c r="D1304" s="26" t="s">
        <v>6396</v>
      </c>
      <c r="E1304" s="26" t="s">
        <v>6395</v>
      </c>
    </row>
    <row r="1305" spans="1:6">
      <c r="A1305" s="26" t="s">
        <v>7408</v>
      </c>
      <c r="B1305" s="26" t="s">
        <v>6655</v>
      </c>
      <c r="C1305" s="26" t="s">
        <v>209</v>
      </c>
      <c r="D1305" s="26" t="s">
        <v>6396</v>
      </c>
      <c r="E1305" s="26">
        <v>0</v>
      </c>
      <c r="F1305" s="26" t="s">
        <v>7410</v>
      </c>
    </row>
    <row r="1306" spans="1:6">
      <c r="A1306" s="26" t="s">
        <v>7408</v>
      </c>
      <c r="B1306" s="26" t="s">
        <v>6851</v>
      </c>
      <c r="C1306" s="26" t="s">
        <v>154</v>
      </c>
      <c r="D1306" s="26" t="s">
        <v>6396</v>
      </c>
      <c r="E1306" s="26" t="s">
        <v>6395</v>
      </c>
    </row>
    <row r="1307" spans="1:6">
      <c r="A1307" s="26" t="s">
        <v>7408</v>
      </c>
      <c r="B1307" s="26" t="s">
        <v>1845</v>
      </c>
      <c r="C1307" s="26" t="s">
        <v>1545</v>
      </c>
      <c r="D1307" s="26" t="s">
        <v>6396</v>
      </c>
      <c r="E1307" s="26" t="s">
        <v>8749</v>
      </c>
    </row>
    <row r="1308" spans="1:6">
      <c r="A1308" s="26" t="s">
        <v>7408</v>
      </c>
      <c r="B1308" s="26" t="s">
        <v>3506</v>
      </c>
      <c r="C1308" s="26" t="s">
        <v>1545</v>
      </c>
      <c r="D1308" s="26" t="s">
        <v>6396</v>
      </c>
      <c r="E1308" s="26" t="s">
        <v>6395</v>
      </c>
    </row>
    <row r="1309" spans="1:6">
      <c r="A1309" s="26" t="s">
        <v>7408</v>
      </c>
      <c r="B1309" s="26" t="s">
        <v>2436</v>
      </c>
      <c r="C1309" s="26" t="s">
        <v>6473</v>
      </c>
      <c r="D1309" s="26" t="s">
        <v>6396</v>
      </c>
      <c r="E1309" s="26">
        <v>0</v>
      </c>
      <c r="F1309" s="26" t="s">
        <v>7410</v>
      </c>
    </row>
    <row r="1310" spans="1:6">
      <c r="A1310" s="26" t="s">
        <v>7408</v>
      </c>
      <c r="B1310" s="26" t="s">
        <v>7702</v>
      </c>
      <c r="C1310" s="26" t="s">
        <v>7703</v>
      </c>
      <c r="D1310" s="26" t="s">
        <v>6396</v>
      </c>
      <c r="E1310" s="26" t="s">
        <v>6395</v>
      </c>
    </row>
    <row r="1311" spans="1:6">
      <c r="A1311" s="26" t="s">
        <v>7408</v>
      </c>
      <c r="B1311" s="26" t="s">
        <v>7704</v>
      </c>
      <c r="C1311" s="26" t="s">
        <v>7705</v>
      </c>
      <c r="D1311" s="26" t="s">
        <v>6396</v>
      </c>
      <c r="E1311" s="26">
        <v>0</v>
      </c>
      <c r="F1311" s="26" t="s">
        <v>7410</v>
      </c>
    </row>
    <row r="1312" spans="1:6">
      <c r="A1312" s="26" t="s">
        <v>7408</v>
      </c>
      <c r="B1312" s="26" t="s">
        <v>6726</v>
      </c>
      <c r="C1312" s="26" t="s">
        <v>509</v>
      </c>
      <c r="D1312" s="26" t="s">
        <v>6396</v>
      </c>
      <c r="E1312" s="26">
        <v>0</v>
      </c>
      <c r="F1312" s="26" t="s">
        <v>7410</v>
      </c>
    </row>
    <row r="1313" spans="1:5">
      <c r="A1313" s="26" t="s">
        <v>7408</v>
      </c>
      <c r="B1313" s="26" t="s">
        <v>7706</v>
      </c>
      <c r="C1313" s="26" t="s">
        <v>7461</v>
      </c>
      <c r="D1313" s="26" t="s">
        <v>6396</v>
      </c>
      <c r="E1313" s="26" t="s">
        <v>6395</v>
      </c>
    </row>
    <row r="1314" spans="1:5">
      <c r="A1314" s="26" t="s">
        <v>7408</v>
      </c>
      <c r="B1314" s="26" t="s">
        <v>7707</v>
      </c>
      <c r="C1314" s="26" t="s">
        <v>227</v>
      </c>
      <c r="D1314" s="26" t="s">
        <v>6396</v>
      </c>
      <c r="E1314" s="26" t="s">
        <v>6395</v>
      </c>
    </row>
    <row r="1315" spans="1:5">
      <c r="A1315" s="26" t="s">
        <v>7408</v>
      </c>
      <c r="B1315" s="26" t="s">
        <v>625</v>
      </c>
      <c r="C1315" s="26" t="s">
        <v>626</v>
      </c>
      <c r="D1315" s="26" t="s">
        <v>6396</v>
      </c>
      <c r="E1315" s="26" t="s">
        <v>6395</v>
      </c>
    </row>
    <row r="1316" spans="1:5">
      <c r="A1316" s="26" t="s">
        <v>7408</v>
      </c>
      <c r="B1316" s="26" t="s">
        <v>7708</v>
      </c>
      <c r="C1316" s="26" t="s">
        <v>209</v>
      </c>
      <c r="D1316" s="26" t="s">
        <v>6396</v>
      </c>
      <c r="E1316" s="26" t="s">
        <v>6443</v>
      </c>
    </row>
    <row r="1317" spans="1:5">
      <c r="A1317" s="26" t="s">
        <v>7408</v>
      </c>
      <c r="B1317" s="26" t="s">
        <v>7709</v>
      </c>
      <c r="C1317" s="26" t="s">
        <v>6757</v>
      </c>
      <c r="D1317" s="26" t="s">
        <v>6396</v>
      </c>
      <c r="E1317" s="26" t="s">
        <v>6443</v>
      </c>
    </row>
    <row r="1318" spans="1:5">
      <c r="A1318" s="26" t="s">
        <v>7408</v>
      </c>
      <c r="B1318" s="26" t="s">
        <v>7710</v>
      </c>
      <c r="C1318" s="26" t="s">
        <v>7711</v>
      </c>
      <c r="D1318" s="26" t="s">
        <v>6396</v>
      </c>
      <c r="E1318" s="26" t="s">
        <v>6443</v>
      </c>
    </row>
    <row r="1319" spans="1:5">
      <c r="A1319" s="26" t="s">
        <v>7408</v>
      </c>
      <c r="B1319" s="26" t="s">
        <v>7712</v>
      </c>
      <c r="C1319" s="26" t="s">
        <v>7584</v>
      </c>
      <c r="D1319" s="26" t="s">
        <v>6396</v>
      </c>
      <c r="E1319" s="26" t="s">
        <v>6395</v>
      </c>
    </row>
    <row r="1320" spans="1:5">
      <c r="A1320" s="26" t="s">
        <v>7408</v>
      </c>
      <c r="B1320" s="26" t="s">
        <v>889</v>
      </c>
      <c r="C1320" s="26" t="s">
        <v>7713</v>
      </c>
      <c r="D1320" s="26" t="s">
        <v>6396</v>
      </c>
      <c r="E1320" s="26" t="s">
        <v>6443</v>
      </c>
    </row>
    <row r="1321" spans="1:5">
      <c r="A1321" s="26" t="s">
        <v>7408</v>
      </c>
      <c r="B1321" s="26" t="s">
        <v>7714</v>
      </c>
      <c r="C1321" s="26" t="s">
        <v>7715</v>
      </c>
      <c r="D1321" s="26" t="s">
        <v>6396</v>
      </c>
      <c r="E1321" s="26" t="s">
        <v>6395</v>
      </c>
    </row>
    <row r="1322" spans="1:5">
      <c r="A1322" s="26" t="s">
        <v>7408</v>
      </c>
      <c r="B1322" s="26" t="s">
        <v>1848</v>
      </c>
      <c r="C1322" s="26" t="s">
        <v>1545</v>
      </c>
      <c r="D1322" s="26" t="s">
        <v>6396</v>
      </c>
      <c r="E1322" s="26" t="s">
        <v>8749</v>
      </c>
    </row>
    <row r="1323" spans="1:5">
      <c r="A1323" s="26" t="s">
        <v>7408</v>
      </c>
      <c r="B1323" s="26" t="s">
        <v>7716</v>
      </c>
      <c r="C1323" s="26" t="s">
        <v>209</v>
      </c>
      <c r="D1323" s="26" t="s">
        <v>6396</v>
      </c>
      <c r="E1323" s="26" t="s">
        <v>6443</v>
      </c>
    </row>
    <row r="1324" spans="1:5">
      <c r="A1324" s="26" t="s">
        <v>7408</v>
      </c>
      <c r="B1324" s="26" t="s">
        <v>6919</v>
      </c>
      <c r="C1324" s="26" t="s">
        <v>3455</v>
      </c>
      <c r="D1324" s="26" t="s">
        <v>6396</v>
      </c>
      <c r="E1324" s="26" t="s">
        <v>6443</v>
      </c>
    </row>
    <row r="1325" spans="1:5">
      <c r="A1325" s="26" t="s">
        <v>7408</v>
      </c>
      <c r="B1325" s="26" t="s">
        <v>7717</v>
      </c>
      <c r="C1325" s="26" t="s">
        <v>209</v>
      </c>
      <c r="D1325" s="26" t="s">
        <v>6396</v>
      </c>
      <c r="E1325" s="26" t="s">
        <v>6443</v>
      </c>
    </row>
    <row r="1326" spans="1:5">
      <c r="A1326" s="26" t="s">
        <v>7408</v>
      </c>
      <c r="B1326" s="26" t="s">
        <v>869</v>
      </c>
      <c r="C1326" s="26" t="s">
        <v>154</v>
      </c>
      <c r="D1326" s="26" t="s">
        <v>6396</v>
      </c>
      <c r="E1326" s="26" t="s">
        <v>6395</v>
      </c>
    </row>
    <row r="1327" spans="1:5">
      <c r="A1327" s="26" t="s">
        <v>7408</v>
      </c>
      <c r="B1327" s="26" t="s">
        <v>7718</v>
      </c>
      <c r="C1327" s="26" t="s">
        <v>7719</v>
      </c>
      <c r="D1327" s="26" t="s">
        <v>6396</v>
      </c>
      <c r="E1327" s="26" t="s">
        <v>8749</v>
      </c>
    </row>
    <row r="1328" spans="1:5">
      <c r="A1328" s="26" t="s">
        <v>7408</v>
      </c>
      <c r="B1328" s="26" t="s">
        <v>7720</v>
      </c>
      <c r="C1328" s="26" t="s">
        <v>7205</v>
      </c>
      <c r="D1328" s="26" t="s">
        <v>6396</v>
      </c>
      <c r="E1328" s="26" t="s">
        <v>6443</v>
      </c>
    </row>
    <row r="1329" spans="1:6">
      <c r="A1329" s="26" t="s">
        <v>7408</v>
      </c>
      <c r="B1329" s="26" t="s">
        <v>7721</v>
      </c>
      <c r="C1329" s="26" t="s">
        <v>209</v>
      </c>
      <c r="D1329" s="26" t="s">
        <v>6396</v>
      </c>
      <c r="E1329" s="26">
        <v>0</v>
      </c>
      <c r="F1329" s="26" t="s">
        <v>7410</v>
      </c>
    </row>
    <row r="1330" spans="1:6">
      <c r="A1330" s="26" t="s">
        <v>7408</v>
      </c>
      <c r="B1330" s="26" t="s">
        <v>7722</v>
      </c>
      <c r="C1330" s="26" t="s">
        <v>6545</v>
      </c>
      <c r="D1330" s="26" t="s">
        <v>6396</v>
      </c>
      <c r="E1330" s="26" t="s">
        <v>6443</v>
      </c>
    </row>
    <row r="1331" spans="1:6">
      <c r="A1331" s="26" t="s">
        <v>7408</v>
      </c>
      <c r="B1331" s="26" t="s">
        <v>2533</v>
      </c>
      <c r="C1331" s="26" t="s">
        <v>7723</v>
      </c>
      <c r="D1331" s="26" t="s">
        <v>6396</v>
      </c>
      <c r="E1331" s="26" t="s">
        <v>6395</v>
      </c>
    </row>
    <row r="1332" spans="1:6">
      <c r="A1332" s="26" t="s">
        <v>7408</v>
      </c>
      <c r="B1332" s="26" t="s">
        <v>319</v>
      </c>
      <c r="C1332" s="26" t="s">
        <v>154</v>
      </c>
      <c r="D1332" s="26" t="s">
        <v>6396</v>
      </c>
      <c r="E1332" s="26" t="s">
        <v>6395</v>
      </c>
    </row>
    <row r="1333" spans="1:6">
      <c r="A1333" s="26" t="s">
        <v>7408</v>
      </c>
      <c r="B1333" s="26" t="s">
        <v>7724</v>
      </c>
      <c r="C1333" s="26" t="s">
        <v>188</v>
      </c>
      <c r="D1333" s="26" t="s">
        <v>6396</v>
      </c>
      <c r="E1333" s="26" t="s">
        <v>6443</v>
      </c>
    </row>
    <row r="1334" spans="1:6">
      <c r="A1334" s="26" t="s">
        <v>7408</v>
      </c>
      <c r="B1334" s="26" t="s">
        <v>7725</v>
      </c>
      <c r="C1334" s="26" t="s">
        <v>7715</v>
      </c>
      <c r="D1334" s="26" t="s">
        <v>6396</v>
      </c>
      <c r="E1334" s="26" t="s">
        <v>6443</v>
      </c>
    </row>
    <row r="1335" spans="1:6">
      <c r="A1335" s="26" t="s">
        <v>7408</v>
      </c>
      <c r="B1335" s="26" t="s">
        <v>7726</v>
      </c>
      <c r="C1335" s="26" t="s">
        <v>7727</v>
      </c>
      <c r="D1335" s="26" t="s">
        <v>6396</v>
      </c>
      <c r="E1335" s="26" t="s">
        <v>6395</v>
      </c>
    </row>
    <row r="1336" spans="1:6">
      <c r="A1336" s="26" t="s">
        <v>7408</v>
      </c>
      <c r="B1336" s="26" t="s">
        <v>7728</v>
      </c>
      <c r="C1336" s="26" t="s">
        <v>3262</v>
      </c>
      <c r="D1336" s="26" t="s">
        <v>6396</v>
      </c>
      <c r="E1336" s="26" t="s">
        <v>6395</v>
      </c>
    </row>
    <row r="1337" spans="1:6">
      <c r="A1337" s="26" t="s">
        <v>7408</v>
      </c>
      <c r="B1337" s="26" t="s">
        <v>7729</v>
      </c>
      <c r="C1337" s="26" t="s">
        <v>7730</v>
      </c>
      <c r="D1337" s="26" t="s">
        <v>6396</v>
      </c>
      <c r="E1337" s="26" t="s">
        <v>6395</v>
      </c>
    </row>
    <row r="1338" spans="1:6">
      <c r="A1338" s="26" t="s">
        <v>7408</v>
      </c>
      <c r="B1338" s="26" t="s">
        <v>212</v>
      </c>
      <c r="C1338" s="26" t="s">
        <v>209</v>
      </c>
      <c r="D1338" s="26" t="s">
        <v>6396</v>
      </c>
      <c r="E1338" s="26">
        <v>0</v>
      </c>
      <c r="F1338" s="26" t="s">
        <v>7410</v>
      </c>
    </row>
    <row r="1339" spans="1:6">
      <c r="A1339" s="26" t="s">
        <v>7408</v>
      </c>
      <c r="B1339" s="26" t="s">
        <v>7731</v>
      </c>
      <c r="C1339" s="26" t="s">
        <v>7732</v>
      </c>
      <c r="D1339" s="26" t="s">
        <v>6396</v>
      </c>
      <c r="E1339" s="26" t="s">
        <v>6443</v>
      </c>
    </row>
    <row r="1340" spans="1:6">
      <c r="A1340" s="26" t="s">
        <v>7408</v>
      </c>
      <c r="B1340" s="26" t="s">
        <v>7733</v>
      </c>
      <c r="C1340" s="26" t="s">
        <v>7461</v>
      </c>
      <c r="D1340" s="26" t="s">
        <v>6396</v>
      </c>
      <c r="E1340" s="26" t="s">
        <v>6395</v>
      </c>
    </row>
    <row r="1341" spans="1:6">
      <c r="A1341" s="26" t="s">
        <v>7408</v>
      </c>
      <c r="B1341" s="26" t="s">
        <v>6412</v>
      </c>
      <c r="C1341" s="26" t="s">
        <v>188</v>
      </c>
      <c r="D1341" s="26" t="s">
        <v>6396</v>
      </c>
      <c r="E1341" s="26">
        <v>0</v>
      </c>
      <c r="F1341" s="26" t="s">
        <v>7410</v>
      </c>
    </row>
    <row r="1342" spans="1:6">
      <c r="A1342" s="26" t="s">
        <v>7408</v>
      </c>
      <c r="B1342" s="26" t="s">
        <v>6890</v>
      </c>
      <c r="C1342" s="26" t="s">
        <v>541</v>
      </c>
      <c r="D1342" s="26" t="s">
        <v>6396</v>
      </c>
      <c r="E1342" s="26" t="s">
        <v>6395</v>
      </c>
    </row>
    <row r="1343" spans="1:6">
      <c r="A1343" s="26" t="s">
        <v>7408</v>
      </c>
      <c r="B1343" s="26" t="s">
        <v>7734</v>
      </c>
      <c r="C1343" s="26" t="s">
        <v>7735</v>
      </c>
      <c r="D1343" s="26" t="s">
        <v>6396</v>
      </c>
      <c r="E1343" s="26" t="s">
        <v>6443</v>
      </c>
    </row>
    <row r="1344" spans="1:6">
      <c r="A1344" s="26" t="s">
        <v>7408</v>
      </c>
      <c r="B1344" s="26" t="s">
        <v>7736</v>
      </c>
      <c r="C1344" s="26" t="s">
        <v>209</v>
      </c>
      <c r="D1344" s="26" t="s">
        <v>6396</v>
      </c>
      <c r="E1344" s="26">
        <v>0</v>
      </c>
      <c r="F1344" s="26" t="s">
        <v>7410</v>
      </c>
    </row>
    <row r="1345" spans="1:6">
      <c r="A1345" s="26" t="s">
        <v>7408</v>
      </c>
      <c r="B1345" s="26" t="s">
        <v>540</v>
      </c>
      <c r="C1345" s="26" t="s">
        <v>541</v>
      </c>
      <c r="D1345" s="26" t="s">
        <v>6396</v>
      </c>
      <c r="E1345" s="26" t="s">
        <v>6395</v>
      </c>
    </row>
    <row r="1346" spans="1:6">
      <c r="A1346" s="26" t="s">
        <v>7408</v>
      </c>
      <c r="B1346" s="26" t="s">
        <v>1977</v>
      </c>
      <c r="C1346" s="26" t="s">
        <v>1978</v>
      </c>
      <c r="D1346" s="26" t="s">
        <v>6396</v>
      </c>
      <c r="E1346" s="26" t="s">
        <v>6395</v>
      </c>
    </row>
    <row r="1347" spans="1:6">
      <c r="A1347" s="26" t="s">
        <v>7408</v>
      </c>
      <c r="B1347" s="26" t="s">
        <v>7737</v>
      </c>
      <c r="C1347" s="26" t="s">
        <v>7445</v>
      </c>
      <c r="D1347" s="26" t="s">
        <v>6396</v>
      </c>
      <c r="E1347" s="26" t="s">
        <v>8749</v>
      </c>
    </row>
    <row r="1348" spans="1:6">
      <c r="A1348" s="26" t="s">
        <v>7408</v>
      </c>
      <c r="B1348" s="26" t="s">
        <v>226</v>
      </c>
      <c r="C1348" s="26" t="s">
        <v>227</v>
      </c>
      <c r="D1348" s="26" t="s">
        <v>6396</v>
      </c>
      <c r="E1348" s="26" t="s">
        <v>6395</v>
      </c>
    </row>
    <row r="1349" spans="1:6">
      <c r="A1349" s="26" t="s">
        <v>7408</v>
      </c>
      <c r="B1349" s="26" t="s">
        <v>232</v>
      </c>
      <c r="C1349" s="26" t="s">
        <v>233</v>
      </c>
      <c r="D1349" s="26" t="s">
        <v>6396</v>
      </c>
      <c r="E1349" s="26" t="s">
        <v>6395</v>
      </c>
    </row>
    <row r="1350" spans="1:6">
      <c r="A1350" s="26" t="s">
        <v>7408</v>
      </c>
      <c r="B1350" s="26" t="s">
        <v>7738</v>
      </c>
      <c r="C1350" s="26" t="s">
        <v>7739</v>
      </c>
      <c r="D1350" s="26" t="s">
        <v>6396</v>
      </c>
      <c r="E1350" s="26" t="s">
        <v>6395</v>
      </c>
    </row>
    <row r="1351" spans="1:6">
      <c r="A1351" s="26" t="s">
        <v>7408</v>
      </c>
      <c r="B1351" s="26" t="s">
        <v>7740</v>
      </c>
      <c r="C1351" s="26" t="s">
        <v>7558</v>
      </c>
      <c r="D1351" s="26" t="s">
        <v>6396</v>
      </c>
      <c r="E1351" s="26" t="s">
        <v>6443</v>
      </c>
    </row>
    <row r="1352" spans="1:6">
      <c r="A1352" s="26" t="s">
        <v>7408</v>
      </c>
      <c r="B1352" s="26" t="s">
        <v>6939</v>
      </c>
      <c r="C1352" s="26" t="s">
        <v>6938</v>
      </c>
      <c r="D1352" s="26" t="s">
        <v>6396</v>
      </c>
      <c r="E1352" s="26" t="s">
        <v>6395</v>
      </c>
    </row>
    <row r="1353" spans="1:6">
      <c r="A1353" s="26" t="s">
        <v>7408</v>
      </c>
      <c r="B1353" s="26" t="s">
        <v>7741</v>
      </c>
      <c r="C1353" s="26" t="s">
        <v>7742</v>
      </c>
      <c r="D1353" s="26" t="s">
        <v>6396</v>
      </c>
      <c r="E1353" s="26" t="s">
        <v>6443</v>
      </c>
    </row>
    <row r="1354" spans="1:6">
      <c r="A1354" s="26" t="s">
        <v>7408</v>
      </c>
      <c r="B1354" s="26" t="s">
        <v>7743</v>
      </c>
      <c r="C1354" s="26" t="s">
        <v>1545</v>
      </c>
      <c r="D1354" s="26" t="s">
        <v>6396</v>
      </c>
      <c r="E1354" s="26" t="s">
        <v>6395</v>
      </c>
    </row>
    <row r="1355" spans="1:6">
      <c r="A1355" s="26" t="s">
        <v>7408</v>
      </c>
      <c r="B1355" s="26" t="s">
        <v>7744</v>
      </c>
      <c r="C1355" s="26" t="s">
        <v>7020</v>
      </c>
      <c r="D1355" s="26" t="s">
        <v>6396</v>
      </c>
      <c r="E1355" s="26" t="s">
        <v>6395</v>
      </c>
    </row>
    <row r="1356" spans="1:6">
      <c r="A1356" s="26" t="s">
        <v>7408</v>
      </c>
      <c r="B1356" s="26" t="s">
        <v>7745</v>
      </c>
      <c r="C1356" s="26" t="s">
        <v>7746</v>
      </c>
      <c r="D1356" s="26" t="s">
        <v>6396</v>
      </c>
      <c r="E1356" s="26" t="s">
        <v>6443</v>
      </c>
    </row>
    <row r="1357" spans="1:6">
      <c r="A1357" s="26" t="s">
        <v>7408</v>
      </c>
      <c r="B1357" s="26" t="s">
        <v>7747</v>
      </c>
      <c r="C1357" s="26" t="s">
        <v>209</v>
      </c>
      <c r="D1357" s="26" t="s">
        <v>6396</v>
      </c>
      <c r="E1357" s="26">
        <v>0</v>
      </c>
      <c r="F1357" s="26" t="s">
        <v>7410</v>
      </c>
    </row>
    <row r="1358" spans="1:6">
      <c r="A1358" s="26" t="s">
        <v>7408</v>
      </c>
      <c r="B1358" s="26" t="s">
        <v>483</v>
      </c>
      <c r="C1358" s="26" t="s">
        <v>2057</v>
      </c>
      <c r="D1358" s="26" t="s">
        <v>6396</v>
      </c>
      <c r="E1358" s="26">
        <v>0</v>
      </c>
      <c r="F1358" s="26" t="s">
        <v>7490</v>
      </c>
    </row>
    <row r="1359" spans="1:6">
      <c r="A1359" s="26" t="s">
        <v>7408</v>
      </c>
      <c r="B1359" s="26" t="s">
        <v>7748</v>
      </c>
      <c r="C1359" s="26" t="s">
        <v>7749</v>
      </c>
      <c r="D1359" s="26" t="s">
        <v>6396</v>
      </c>
      <c r="E1359" s="26" t="s">
        <v>6443</v>
      </c>
    </row>
    <row r="1360" spans="1:6">
      <c r="A1360" s="26" t="s">
        <v>7408</v>
      </c>
      <c r="B1360" s="26" t="s">
        <v>7750</v>
      </c>
      <c r="C1360" s="26" t="s">
        <v>7751</v>
      </c>
      <c r="D1360" s="26" t="s">
        <v>6396</v>
      </c>
      <c r="E1360" s="26">
        <v>0</v>
      </c>
      <c r="F1360" s="26" t="s">
        <v>7410</v>
      </c>
    </row>
    <row r="1361" spans="1:6">
      <c r="A1361" s="26" t="s">
        <v>7408</v>
      </c>
      <c r="B1361" s="26" t="s">
        <v>2460</v>
      </c>
      <c r="C1361" s="26" t="s">
        <v>2461</v>
      </c>
      <c r="D1361" s="26" t="s">
        <v>6396</v>
      </c>
      <c r="E1361" s="26" t="s">
        <v>6395</v>
      </c>
    </row>
    <row r="1362" spans="1:6">
      <c r="A1362" s="26" t="s">
        <v>7408</v>
      </c>
      <c r="B1362" s="26" t="s">
        <v>7752</v>
      </c>
      <c r="C1362" s="26" t="s">
        <v>209</v>
      </c>
      <c r="D1362" s="26" t="s">
        <v>6396</v>
      </c>
      <c r="E1362" s="26" t="s">
        <v>6395</v>
      </c>
    </row>
    <row r="1363" spans="1:6">
      <c r="A1363" s="26" t="s">
        <v>7408</v>
      </c>
      <c r="B1363" s="26" t="s">
        <v>7753</v>
      </c>
      <c r="C1363" s="26" t="s">
        <v>209</v>
      </c>
      <c r="D1363" s="26" t="s">
        <v>6396</v>
      </c>
      <c r="E1363" s="26" t="s">
        <v>6443</v>
      </c>
    </row>
    <row r="1364" spans="1:6">
      <c r="A1364" s="26" t="s">
        <v>7408</v>
      </c>
      <c r="B1364" s="26" t="s">
        <v>7754</v>
      </c>
      <c r="C1364" s="26" t="s">
        <v>3262</v>
      </c>
      <c r="D1364" s="26" t="s">
        <v>6396</v>
      </c>
      <c r="E1364" s="26" t="s">
        <v>6443</v>
      </c>
    </row>
    <row r="1365" spans="1:6">
      <c r="A1365" s="26" t="s">
        <v>7408</v>
      </c>
      <c r="B1365" s="26" t="s">
        <v>7755</v>
      </c>
      <c r="C1365" s="26" t="s">
        <v>7629</v>
      </c>
      <c r="D1365" s="26" t="s">
        <v>6396</v>
      </c>
      <c r="E1365" s="26" t="s">
        <v>6443</v>
      </c>
    </row>
    <row r="1366" spans="1:6">
      <c r="A1366" s="26" t="s">
        <v>7408</v>
      </c>
      <c r="B1366" s="26" t="s">
        <v>7756</v>
      </c>
      <c r="C1366" s="26" t="s">
        <v>6815</v>
      </c>
      <c r="D1366" s="26" t="s">
        <v>6396</v>
      </c>
      <c r="E1366" s="26" t="s">
        <v>6443</v>
      </c>
    </row>
    <row r="1367" spans="1:6">
      <c r="A1367" s="26" t="s">
        <v>7408</v>
      </c>
      <c r="B1367" s="26" t="s">
        <v>7757</v>
      </c>
      <c r="C1367" s="26" t="s">
        <v>1466</v>
      </c>
      <c r="D1367" s="26" t="s">
        <v>6396</v>
      </c>
      <c r="E1367" s="26" t="s">
        <v>6395</v>
      </c>
    </row>
    <row r="1368" spans="1:6">
      <c r="A1368" s="26" t="s">
        <v>7408</v>
      </c>
      <c r="B1368" s="26" t="s">
        <v>3405</v>
      </c>
      <c r="C1368" s="26" t="s">
        <v>7758</v>
      </c>
      <c r="D1368" s="26" t="s">
        <v>6396</v>
      </c>
      <c r="E1368" s="26" t="s">
        <v>6395</v>
      </c>
    </row>
    <row r="1369" spans="1:6">
      <c r="A1369" s="26" t="s">
        <v>7408</v>
      </c>
      <c r="B1369" s="26" t="s">
        <v>7759</v>
      </c>
      <c r="C1369" s="26" t="s">
        <v>7727</v>
      </c>
      <c r="D1369" s="26" t="s">
        <v>6396</v>
      </c>
      <c r="E1369" s="26" t="s">
        <v>6443</v>
      </c>
    </row>
    <row r="1370" spans="1:6">
      <c r="A1370" s="26" t="s">
        <v>7408</v>
      </c>
      <c r="B1370" s="26" t="s">
        <v>7760</v>
      </c>
      <c r="C1370" s="26" t="s">
        <v>7761</v>
      </c>
      <c r="D1370" s="26" t="s">
        <v>6396</v>
      </c>
      <c r="E1370" s="26" t="s">
        <v>6395</v>
      </c>
    </row>
    <row r="1371" spans="1:6">
      <c r="A1371" s="26" t="s">
        <v>7408</v>
      </c>
      <c r="B1371" s="26" t="s">
        <v>7762</v>
      </c>
      <c r="C1371" s="26" t="s">
        <v>7763</v>
      </c>
      <c r="D1371" s="26" t="s">
        <v>6396</v>
      </c>
      <c r="E1371" s="26" t="s">
        <v>6395</v>
      </c>
    </row>
    <row r="1372" spans="1:6">
      <c r="A1372" s="26" t="s">
        <v>7408</v>
      </c>
      <c r="B1372" s="26" t="s">
        <v>7764</v>
      </c>
      <c r="C1372" s="26" t="s">
        <v>7765</v>
      </c>
      <c r="D1372" s="26" t="s">
        <v>6396</v>
      </c>
      <c r="E1372" s="26" t="s">
        <v>6395</v>
      </c>
    </row>
    <row r="1373" spans="1:6">
      <c r="A1373" s="26" t="s">
        <v>7408</v>
      </c>
      <c r="B1373" s="26" t="s">
        <v>7766</v>
      </c>
      <c r="C1373" s="26" t="s">
        <v>7449</v>
      </c>
      <c r="D1373" s="26" t="s">
        <v>6396</v>
      </c>
      <c r="E1373" s="26" t="s">
        <v>8749</v>
      </c>
    </row>
    <row r="1374" spans="1:6">
      <c r="A1374" s="26" t="s">
        <v>7408</v>
      </c>
      <c r="B1374" s="26" t="s">
        <v>6595</v>
      </c>
      <c r="C1374" s="26" t="s">
        <v>6441</v>
      </c>
      <c r="D1374" s="26" t="s">
        <v>6396</v>
      </c>
      <c r="E1374" s="26">
        <v>0</v>
      </c>
      <c r="F1374" s="26" t="s">
        <v>7410</v>
      </c>
    </row>
    <row r="1375" spans="1:6">
      <c r="A1375" s="26" t="s">
        <v>7408</v>
      </c>
      <c r="B1375" s="26" t="s">
        <v>7767</v>
      </c>
      <c r="C1375" s="26" t="s">
        <v>6815</v>
      </c>
      <c r="D1375" s="26" t="s">
        <v>6396</v>
      </c>
      <c r="E1375" s="26" t="s">
        <v>6443</v>
      </c>
    </row>
    <row r="1376" spans="1:6">
      <c r="A1376" s="26" t="s">
        <v>7408</v>
      </c>
      <c r="B1376" s="26" t="s">
        <v>7121</v>
      </c>
      <c r="C1376" s="26" t="s">
        <v>7120</v>
      </c>
      <c r="D1376" s="26" t="s">
        <v>6396</v>
      </c>
      <c r="E1376" s="26" t="s">
        <v>6395</v>
      </c>
    </row>
    <row r="1377" spans="1:6">
      <c r="A1377" s="26" t="s">
        <v>7408</v>
      </c>
      <c r="B1377" s="26" t="s">
        <v>7768</v>
      </c>
      <c r="C1377" s="26" t="s">
        <v>7769</v>
      </c>
      <c r="D1377" s="26" t="s">
        <v>6396</v>
      </c>
      <c r="E1377" s="26" t="s">
        <v>6395</v>
      </c>
    </row>
    <row r="1378" spans="1:6">
      <c r="A1378" s="26" t="s">
        <v>7408</v>
      </c>
      <c r="B1378" s="26" t="s">
        <v>530</v>
      </c>
      <c r="C1378" s="26" t="s">
        <v>27</v>
      </c>
      <c r="D1378" s="26" t="s">
        <v>6396</v>
      </c>
      <c r="E1378" s="26">
        <v>0</v>
      </c>
      <c r="F1378" s="26" t="s">
        <v>7410</v>
      </c>
    </row>
    <row r="1379" spans="1:6">
      <c r="A1379" s="26" t="s">
        <v>7408</v>
      </c>
      <c r="B1379" s="26" t="s">
        <v>7330</v>
      </c>
      <c r="C1379" s="26" t="s">
        <v>7770</v>
      </c>
      <c r="D1379" s="26" t="s">
        <v>6396</v>
      </c>
      <c r="E1379" s="26" t="s">
        <v>6443</v>
      </c>
    </row>
    <row r="1380" spans="1:6">
      <c r="A1380" s="26" t="s">
        <v>7408</v>
      </c>
      <c r="B1380" s="26" t="s">
        <v>6680</v>
      </c>
      <c r="C1380" s="26" t="s">
        <v>574</v>
      </c>
      <c r="D1380" s="26" t="s">
        <v>6396</v>
      </c>
      <c r="E1380" s="26" t="s">
        <v>6395</v>
      </c>
    </row>
    <row r="1381" spans="1:6">
      <c r="A1381" s="26" t="s">
        <v>7408</v>
      </c>
      <c r="B1381" s="26" t="s">
        <v>7771</v>
      </c>
      <c r="C1381" s="26" t="s">
        <v>3262</v>
      </c>
      <c r="D1381" s="26" t="s">
        <v>6396</v>
      </c>
      <c r="E1381" s="26" t="s">
        <v>6395</v>
      </c>
    </row>
    <row r="1382" spans="1:6">
      <c r="A1382" s="26" t="s">
        <v>7408</v>
      </c>
      <c r="B1382" s="26" t="s">
        <v>7772</v>
      </c>
      <c r="C1382" s="26" t="s">
        <v>148</v>
      </c>
      <c r="D1382" s="26" t="s">
        <v>6396</v>
      </c>
      <c r="E1382" s="26" t="s">
        <v>6395</v>
      </c>
    </row>
    <row r="1383" spans="1:6">
      <c r="A1383" s="26" t="s">
        <v>7408</v>
      </c>
      <c r="B1383" s="26" t="s">
        <v>7773</v>
      </c>
      <c r="C1383" s="26" t="s">
        <v>6545</v>
      </c>
      <c r="D1383" s="26" t="s">
        <v>6396</v>
      </c>
      <c r="E1383" s="26" t="s">
        <v>6443</v>
      </c>
    </row>
    <row r="1384" spans="1:6">
      <c r="A1384" s="26" t="s">
        <v>7408</v>
      </c>
      <c r="B1384" s="26" t="s">
        <v>7294</v>
      </c>
      <c r="C1384" s="26" t="s">
        <v>7592</v>
      </c>
      <c r="D1384" s="26" t="s">
        <v>6396</v>
      </c>
      <c r="E1384" s="26" t="s">
        <v>6443</v>
      </c>
    </row>
    <row r="1385" spans="1:6">
      <c r="A1385" s="26" t="s">
        <v>7408</v>
      </c>
      <c r="B1385" s="26" t="s">
        <v>6597</v>
      </c>
      <c r="C1385" s="26" t="s">
        <v>6596</v>
      </c>
      <c r="D1385" s="26" t="s">
        <v>6396</v>
      </c>
      <c r="E1385" s="26">
        <v>0</v>
      </c>
      <c r="F1385" s="26" t="s">
        <v>7410</v>
      </c>
    </row>
    <row r="1386" spans="1:6">
      <c r="A1386" s="26" t="s">
        <v>7408</v>
      </c>
      <c r="B1386" s="26" t="s">
        <v>7774</v>
      </c>
      <c r="C1386" s="26" t="s">
        <v>7461</v>
      </c>
      <c r="D1386" s="26" t="s">
        <v>6396</v>
      </c>
      <c r="E1386" s="26" t="s">
        <v>6395</v>
      </c>
    </row>
    <row r="1387" spans="1:6">
      <c r="A1387" s="26" t="s">
        <v>7408</v>
      </c>
      <c r="B1387" s="26" t="s">
        <v>1732</v>
      </c>
      <c r="C1387" s="26" t="s">
        <v>466</v>
      </c>
      <c r="D1387" s="26" t="s">
        <v>6396</v>
      </c>
      <c r="E1387" s="26" t="s">
        <v>6395</v>
      </c>
    </row>
    <row r="1388" spans="1:6">
      <c r="A1388" s="26" t="s">
        <v>7408</v>
      </c>
      <c r="B1388" s="26" t="s">
        <v>7775</v>
      </c>
      <c r="C1388" s="26" t="s">
        <v>6815</v>
      </c>
      <c r="D1388" s="26" t="s">
        <v>6396</v>
      </c>
      <c r="E1388" s="26" t="s">
        <v>6443</v>
      </c>
    </row>
    <row r="1389" spans="1:6">
      <c r="A1389" s="26" t="s">
        <v>7408</v>
      </c>
      <c r="B1389" s="26" t="s">
        <v>7776</v>
      </c>
      <c r="C1389" s="26" t="s">
        <v>7777</v>
      </c>
      <c r="D1389" s="26" t="s">
        <v>6396</v>
      </c>
      <c r="E1389" s="26" t="s">
        <v>6443</v>
      </c>
    </row>
    <row r="1390" spans="1:6">
      <c r="A1390" s="26" t="s">
        <v>7408</v>
      </c>
      <c r="B1390" s="26" t="s">
        <v>7778</v>
      </c>
      <c r="C1390" s="26" t="s">
        <v>7156</v>
      </c>
      <c r="D1390" s="26" t="s">
        <v>6396</v>
      </c>
      <c r="E1390" s="26" t="s">
        <v>6395</v>
      </c>
    </row>
    <row r="1391" spans="1:6">
      <c r="A1391" s="26" t="s">
        <v>7408</v>
      </c>
      <c r="B1391" s="26" t="s">
        <v>7186</v>
      </c>
      <c r="C1391" s="26" t="s">
        <v>7779</v>
      </c>
      <c r="D1391" s="26" t="s">
        <v>6396</v>
      </c>
      <c r="E1391" s="26" t="s">
        <v>6443</v>
      </c>
    </row>
    <row r="1392" spans="1:6">
      <c r="A1392" s="26" t="s">
        <v>7408</v>
      </c>
      <c r="B1392" s="26" t="s">
        <v>7780</v>
      </c>
      <c r="C1392" s="26" t="s">
        <v>7602</v>
      </c>
      <c r="D1392" s="26" t="s">
        <v>6396</v>
      </c>
      <c r="E1392" s="26" t="s">
        <v>6443</v>
      </c>
    </row>
    <row r="1393" spans="1:6">
      <c r="A1393" s="26" t="s">
        <v>7408</v>
      </c>
      <c r="B1393" s="26" t="s">
        <v>6604</v>
      </c>
      <c r="C1393" s="26" t="s">
        <v>7781</v>
      </c>
      <c r="D1393" s="26" t="s">
        <v>6396</v>
      </c>
      <c r="E1393" s="26" t="s">
        <v>6443</v>
      </c>
    </row>
    <row r="1394" spans="1:6">
      <c r="A1394" s="26" t="s">
        <v>7408</v>
      </c>
      <c r="B1394" s="26" t="s">
        <v>7782</v>
      </c>
      <c r="C1394" s="26" t="s">
        <v>7783</v>
      </c>
      <c r="D1394" s="26" t="s">
        <v>6396</v>
      </c>
      <c r="E1394" s="26">
        <v>0</v>
      </c>
      <c r="F1394" s="26" t="s">
        <v>7410</v>
      </c>
    </row>
    <row r="1395" spans="1:6">
      <c r="A1395" s="26" t="s">
        <v>7408</v>
      </c>
      <c r="B1395" s="26" t="s">
        <v>6790</v>
      </c>
      <c r="C1395" s="26" t="s">
        <v>700</v>
      </c>
      <c r="D1395" s="26" t="s">
        <v>6396</v>
      </c>
      <c r="E1395" s="26" t="s">
        <v>6395</v>
      </c>
    </row>
    <row r="1396" spans="1:6">
      <c r="A1396" s="26" t="s">
        <v>7408</v>
      </c>
      <c r="B1396" s="26" t="s">
        <v>7784</v>
      </c>
      <c r="C1396" s="26" t="s">
        <v>121</v>
      </c>
      <c r="D1396" s="26" t="s">
        <v>6396</v>
      </c>
      <c r="E1396" s="26" t="s">
        <v>6443</v>
      </c>
    </row>
    <row r="1397" spans="1:6">
      <c r="A1397" s="26" t="s">
        <v>7408</v>
      </c>
      <c r="B1397" s="26" t="s">
        <v>7785</v>
      </c>
      <c r="C1397" s="26" t="s">
        <v>7786</v>
      </c>
      <c r="D1397" s="26" t="s">
        <v>6396</v>
      </c>
      <c r="E1397" s="26" t="s">
        <v>6395</v>
      </c>
    </row>
    <row r="1398" spans="1:6">
      <c r="A1398" s="26" t="s">
        <v>7408</v>
      </c>
      <c r="B1398" s="26" t="s">
        <v>7787</v>
      </c>
      <c r="C1398" s="26" t="s">
        <v>154</v>
      </c>
      <c r="D1398" s="26" t="s">
        <v>6396</v>
      </c>
      <c r="E1398" s="26" t="s">
        <v>6395</v>
      </c>
    </row>
    <row r="1399" spans="1:6">
      <c r="A1399" s="26" t="s">
        <v>7408</v>
      </c>
      <c r="B1399" s="26" t="s">
        <v>426</v>
      </c>
      <c r="C1399" s="26" t="s">
        <v>7788</v>
      </c>
      <c r="D1399" s="26" t="s">
        <v>6396</v>
      </c>
      <c r="E1399" s="26" t="s">
        <v>6395</v>
      </c>
    </row>
    <row r="1400" spans="1:6">
      <c r="A1400" s="26" t="s">
        <v>7408</v>
      </c>
      <c r="B1400" s="26" t="s">
        <v>2527</v>
      </c>
      <c r="C1400" s="26" t="s">
        <v>1545</v>
      </c>
      <c r="D1400" s="26" t="s">
        <v>6396</v>
      </c>
      <c r="E1400" s="26" t="s">
        <v>6395</v>
      </c>
    </row>
    <row r="1401" spans="1:6">
      <c r="A1401" s="26" t="s">
        <v>7408</v>
      </c>
      <c r="B1401" s="26" t="s">
        <v>7789</v>
      </c>
      <c r="C1401" s="26" t="s">
        <v>7427</v>
      </c>
      <c r="D1401" s="26" t="s">
        <v>6396</v>
      </c>
      <c r="E1401" s="26" t="s">
        <v>6443</v>
      </c>
    </row>
    <row r="1402" spans="1:6">
      <c r="A1402" s="26" t="s">
        <v>7408</v>
      </c>
      <c r="B1402" s="26" t="s">
        <v>7790</v>
      </c>
      <c r="C1402" s="26" t="s">
        <v>209</v>
      </c>
      <c r="D1402" s="26" t="s">
        <v>6396</v>
      </c>
      <c r="E1402" s="26" t="s">
        <v>6443</v>
      </c>
    </row>
    <row r="1403" spans="1:6">
      <c r="A1403" s="26" t="s">
        <v>7408</v>
      </c>
      <c r="B1403" s="26" t="s">
        <v>7791</v>
      </c>
      <c r="C1403" s="26" t="s">
        <v>7792</v>
      </c>
      <c r="D1403" s="26" t="s">
        <v>6396</v>
      </c>
      <c r="E1403" s="26" t="s">
        <v>6443</v>
      </c>
    </row>
    <row r="1404" spans="1:6">
      <c r="A1404" s="26" t="s">
        <v>7408</v>
      </c>
      <c r="B1404" s="26" t="s">
        <v>7793</v>
      </c>
      <c r="C1404" s="26" t="s">
        <v>7794</v>
      </c>
      <c r="D1404" s="26" t="s">
        <v>6396</v>
      </c>
      <c r="E1404" s="26" t="s">
        <v>6443</v>
      </c>
    </row>
    <row r="1405" spans="1:6">
      <c r="A1405" s="26" t="s">
        <v>7408</v>
      </c>
      <c r="B1405" s="26" t="s">
        <v>2968</v>
      </c>
      <c r="C1405" s="26" t="s">
        <v>2969</v>
      </c>
      <c r="D1405" s="26" t="s">
        <v>6396</v>
      </c>
      <c r="E1405" s="26">
        <v>0</v>
      </c>
      <c r="F1405" s="26" t="s">
        <v>7490</v>
      </c>
    </row>
    <row r="1406" spans="1:6">
      <c r="A1406" s="26" t="s">
        <v>7408</v>
      </c>
      <c r="B1406" s="26" t="s">
        <v>7795</v>
      </c>
      <c r="C1406" s="26" t="s">
        <v>7674</v>
      </c>
      <c r="D1406" s="26" t="s">
        <v>6396</v>
      </c>
      <c r="E1406" s="26" t="s">
        <v>6443</v>
      </c>
    </row>
    <row r="1407" spans="1:6">
      <c r="A1407" s="26" t="s">
        <v>7408</v>
      </c>
      <c r="B1407" s="26" t="s">
        <v>6949</v>
      </c>
      <c r="C1407" s="26" t="s">
        <v>6948</v>
      </c>
      <c r="D1407" s="26" t="s">
        <v>6396</v>
      </c>
      <c r="E1407" s="26" t="s">
        <v>6395</v>
      </c>
    </row>
    <row r="1408" spans="1:6">
      <c r="A1408" s="26" t="s">
        <v>7408</v>
      </c>
      <c r="B1408" s="26" t="s">
        <v>1465</v>
      </c>
      <c r="C1408" s="26" t="s">
        <v>1466</v>
      </c>
      <c r="D1408" s="26" t="s">
        <v>6396</v>
      </c>
      <c r="E1408" s="26" t="s">
        <v>6395</v>
      </c>
    </row>
    <row r="1409" spans="1:6">
      <c r="A1409" s="26" t="s">
        <v>7408</v>
      </c>
      <c r="B1409" s="26" t="s">
        <v>7796</v>
      </c>
      <c r="C1409" s="26" t="s">
        <v>466</v>
      </c>
      <c r="D1409" s="26" t="s">
        <v>6396</v>
      </c>
      <c r="E1409" s="26" t="s">
        <v>6395</v>
      </c>
    </row>
    <row r="1410" spans="1:6">
      <c r="A1410" s="26" t="s">
        <v>7408</v>
      </c>
      <c r="B1410" s="26" t="s">
        <v>1509</v>
      </c>
      <c r="C1410" s="26" t="s">
        <v>679</v>
      </c>
      <c r="D1410" s="26" t="s">
        <v>6396</v>
      </c>
      <c r="E1410" s="26" t="s">
        <v>6395</v>
      </c>
    </row>
    <row r="1411" spans="1:6">
      <c r="A1411" s="26" t="s">
        <v>7408</v>
      </c>
      <c r="B1411" s="26" t="s">
        <v>7797</v>
      </c>
      <c r="C1411" s="26" t="s">
        <v>7798</v>
      </c>
      <c r="D1411" s="26" t="s">
        <v>6396</v>
      </c>
      <c r="E1411" s="26" t="s">
        <v>6395</v>
      </c>
    </row>
    <row r="1412" spans="1:6">
      <c r="A1412" s="26" t="s">
        <v>7408</v>
      </c>
      <c r="B1412" s="26" t="s">
        <v>7799</v>
      </c>
      <c r="C1412" s="26" t="s">
        <v>7800</v>
      </c>
      <c r="D1412" s="26" t="s">
        <v>6396</v>
      </c>
      <c r="E1412" s="26" t="s">
        <v>6443</v>
      </c>
    </row>
    <row r="1413" spans="1:6">
      <c r="A1413" s="26" t="s">
        <v>7408</v>
      </c>
      <c r="B1413" s="26" t="s">
        <v>7801</v>
      </c>
      <c r="C1413" s="26" t="s">
        <v>7173</v>
      </c>
      <c r="D1413" s="26" t="s">
        <v>6396</v>
      </c>
      <c r="E1413" s="26" t="s">
        <v>6443</v>
      </c>
    </row>
    <row r="1414" spans="1:6">
      <c r="A1414" s="26" t="s">
        <v>7408</v>
      </c>
      <c r="B1414" s="26" t="s">
        <v>6794</v>
      </c>
      <c r="C1414" s="26" t="s">
        <v>6793</v>
      </c>
      <c r="D1414" s="26" t="s">
        <v>6396</v>
      </c>
      <c r="E1414" s="26" t="s">
        <v>6443</v>
      </c>
    </row>
    <row r="1415" spans="1:6">
      <c r="A1415" s="26" t="s">
        <v>7408</v>
      </c>
      <c r="B1415" s="26" t="s">
        <v>6654</v>
      </c>
      <c r="C1415" s="26" t="s">
        <v>209</v>
      </c>
      <c r="D1415" s="26" t="s">
        <v>6396</v>
      </c>
      <c r="E1415" s="26">
        <v>0</v>
      </c>
      <c r="F1415" s="26" t="s">
        <v>7410</v>
      </c>
    </row>
    <row r="1416" spans="1:6">
      <c r="A1416" s="26" t="s">
        <v>7408</v>
      </c>
      <c r="B1416" s="26" t="s">
        <v>7802</v>
      </c>
      <c r="C1416" s="26" t="s">
        <v>7803</v>
      </c>
      <c r="D1416" s="26" t="s">
        <v>6396</v>
      </c>
      <c r="E1416" s="26" t="s">
        <v>6443</v>
      </c>
    </row>
    <row r="1417" spans="1:6">
      <c r="A1417" s="26" t="s">
        <v>7408</v>
      </c>
      <c r="B1417" s="26" t="s">
        <v>6912</v>
      </c>
      <c r="C1417" s="26" t="s">
        <v>6545</v>
      </c>
      <c r="D1417" s="26" t="s">
        <v>6396</v>
      </c>
      <c r="E1417" s="26" t="s">
        <v>6443</v>
      </c>
    </row>
    <row r="1418" spans="1:6">
      <c r="A1418" s="26" t="s">
        <v>7408</v>
      </c>
      <c r="B1418" s="26" t="s">
        <v>820</v>
      </c>
      <c r="C1418" s="26" t="s">
        <v>6473</v>
      </c>
      <c r="D1418" s="26" t="s">
        <v>6396</v>
      </c>
      <c r="E1418" s="26" t="s">
        <v>6443</v>
      </c>
    </row>
    <row r="1419" spans="1:6">
      <c r="A1419" s="26" t="s">
        <v>7408</v>
      </c>
      <c r="B1419" s="26" t="s">
        <v>301</v>
      </c>
      <c r="C1419" s="26" t="s">
        <v>7804</v>
      </c>
      <c r="D1419" s="26" t="s">
        <v>6396</v>
      </c>
      <c r="E1419" s="26" t="s">
        <v>6443</v>
      </c>
    </row>
    <row r="1420" spans="1:6">
      <c r="A1420" s="26" t="s">
        <v>7408</v>
      </c>
      <c r="B1420" s="26" t="s">
        <v>7805</v>
      </c>
      <c r="C1420" s="26" t="s">
        <v>7439</v>
      </c>
      <c r="D1420" s="26" t="s">
        <v>6396</v>
      </c>
      <c r="E1420" s="26" t="s">
        <v>6443</v>
      </c>
    </row>
    <row r="1421" spans="1:6">
      <c r="A1421" s="26" t="s">
        <v>7408</v>
      </c>
      <c r="B1421" s="26" t="s">
        <v>6498</v>
      </c>
      <c r="C1421" s="26" t="s">
        <v>7763</v>
      </c>
      <c r="D1421" s="26" t="s">
        <v>6396</v>
      </c>
      <c r="E1421" s="26" t="s">
        <v>6395</v>
      </c>
    </row>
    <row r="1422" spans="1:6">
      <c r="A1422" s="26" t="s">
        <v>7408</v>
      </c>
      <c r="B1422" s="26" t="s">
        <v>6650</v>
      </c>
      <c r="C1422" s="26" t="s">
        <v>7806</v>
      </c>
      <c r="D1422" s="26" t="s">
        <v>6396</v>
      </c>
      <c r="E1422" s="26">
        <v>0</v>
      </c>
      <c r="F1422" s="26" t="s">
        <v>7410</v>
      </c>
    </row>
    <row r="1423" spans="1:6">
      <c r="A1423" s="26" t="s">
        <v>7408</v>
      </c>
      <c r="B1423" s="26" t="s">
        <v>7807</v>
      </c>
      <c r="C1423" s="26" t="s">
        <v>6560</v>
      </c>
      <c r="D1423" s="26" t="s">
        <v>6396</v>
      </c>
      <c r="E1423" s="26" t="s">
        <v>6395</v>
      </c>
    </row>
    <row r="1424" spans="1:6">
      <c r="A1424" s="26" t="s">
        <v>7408</v>
      </c>
      <c r="B1424" s="26" t="s">
        <v>7808</v>
      </c>
      <c r="C1424" s="26" t="s">
        <v>7809</v>
      </c>
      <c r="D1424" s="26" t="s">
        <v>6396</v>
      </c>
      <c r="E1424" s="26" t="s">
        <v>6443</v>
      </c>
    </row>
    <row r="1425" spans="1:6">
      <c r="A1425" s="26" t="s">
        <v>7408</v>
      </c>
      <c r="B1425" s="26" t="s">
        <v>7810</v>
      </c>
      <c r="C1425" s="26" t="s">
        <v>209</v>
      </c>
      <c r="D1425" s="26" t="s">
        <v>6396</v>
      </c>
      <c r="E1425" s="26">
        <v>0</v>
      </c>
      <c r="F1425" s="26" t="s">
        <v>7410</v>
      </c>
    </row>
    <row r="1426" spans="1:6">
      <c r="A1426" s="26" t="s">
        <v>7408</v>
      </c>
      <c r="B1426" s="26" t="s">
        <v>7811</v>
      </c>
      <c r="C1426" s="26" t="s">
        <v>209</v>
      </c>
      <c r="D1426" s="26" t="s">
        <v>6396</v>
      </c>
      <c r="E1426" s="26" t="s">
        <v>6443</v>
      </c>
    </row>
    <row r="1427" spans="1:6">
      <c r="A1427" s="26" t="s">
        <v>7408</v>
      </c>
      <c r="B1427" s="26" t="s">
        <v>7812</v>
      </c>
      <c r="C1427" s="26" t="s">
        <v>7592</v>
      </c>
      <c r="D1427" s="26" t="s">
        <v>6396</v>
      </c>
      <c r="E1427" s="26" t="s">
        <v>6443</v>
      </c>
    </row>
    <row r="1428" spans="1:6">
      <c r="A1428" s="26" t="s">
        <v>7408</v>
      </c>
      <c r="B1428" s="26" t="s">
        <v>6780</v>
      </c>
      <c r="C1428" s="26" t="s">
        <v>6779</v>
      </c>
      <c r="D1428" s="26" t="s">
        <v>6396</v>
      </c>
      <c r="E1428" s="26" t="s">
        <v>6395</v>
      </c>
    </row>
    <row r="1429" spans="1:6">
      <c r="A1429" s="26" t="s">
        <v>7408</v>
      </c>
      <c r="B1429" s="26" t="s">
        <v>7813</v>
      </c>
      <c r="C1429" s="26" t="s">
        <v>2208</v>
      </c>
      <c r="D1429" s="26" t="s">
        <v>6396</v>
      </c>
      <c r="E1429" s="26" t="s">
        <v>6443</v>
      </c>
    </row>
    <row r="1430" spans="1:6">
      <c r="A1430" s="26" t="s">
        <v>7408</v>
      </c>
      <c r="B1430" s="26" t="s">
        <v>7277</v>
      </c>
      <c r="C1430" s="26" t="s">
        <v>7814</v>
      </c>
      <c r="D1430" s="26" t="s">
        <v>6396</v>
      </c>
      <c r="E1430" s="26" t="s">
        <v>6395</v>
      </c>
    </row>
    <row r="1431" spans="1:6">
      <c r="A1431" s="26" t="s">
        <v>7408</v>
      </c>
      <c r="B1431" s="26" t="s">
        <v>7119</v>
      </c>
      <c r="C1431" s="26" t="s">
        <v>484</v>
      </c>
      <c r="D1431" s="26" t="s">
        <v>6396</v>
      </c>
      <c r="E1431" s="26" t="s">
        <v>6395</v>
      </c>
    </row>
    <row r="1432" spans="1:6">
      <c r="A1432" s="26" t="s">
        <v>7408</v>
      </c>
      <c r="B1432" s="26" t="s">
        <v>7815</v>
      </c>
      <c r="C1432" s="26" t="s">
        <v>3262</v>
      </c>
      <c r="D1432" s="26" t="s">
        <v>6396</v>
      </c>
      <c r="E1432" s="26" t="s">
        <v>6443</v>
      </c>
    </row>
    <row r="1433" spans="1:6">
      <c r="A1433" s="26" t="s">
        <v>7408</v>
      </c>
      <c r="B1433" s="26" t="s">
        <v>7182</v>
      </c>
      <c r="C1433" s="26" t="s">
        <v>935</v>
      </c>
      <c r="D1433" s="26" t="s">
        <v>6396</v>
      </c>
      <c r="E1433" s="26" t="s">
        <v>6395</v>
      </c>
    </row>
    <row r="1434" spans="1:6">
      <c r="A1434" s="26" t="s">
        <v>7408</v>
      </c>
      <c r="B1434" s="26" t="s">
        <v>7816</v>
      </c>
      <c r="C1434" s="26" t="s">
        <v>6815</v>
      </c>
      <c r="D1434" s="26" t="s">
        <v>6396</v>
      </c>
      <c r="E1434" s="26" t="s">
        <v>6443</v>
      </c>
    </row>
    <row r="1435" spans="1:6">
      <c r="A1435" s="26" t="s">
        <v>7408</v>
      </c>
      <c r="B1435" s="26" t="s">
        <v>7817</v>
      </c>
      <c r="C1435" s="26" t="s">
        <v>7818</v>
      </c>
      <c r="D1435" s="26" t="s">
        <v>6396</v>
      </c>
      <c r="E1435" s="26" t="s">
        <v>6443</v>
      </c>
    </row>
    <row r="1436" spans="1:6">
      <c r="A1436" s="26" t="s">
        <v>7408</v>
      </c>
      <c r="B1436" s="26" t="s">
        <v>7819</v>
      </c>
      <c r="C1436" s="26" t="s">
        <v>6768</v>
      </c>
      <c r="D1436" s="26" t="s">
        <v>6396</v>
      </c>
      <c r="E1436" s="26">
        <v>0</v>
      </c>
      <c r="F1436" s="26" t="s">
        <v>7410</v>
      </c>
    </row>
    <row r="1437" spans="1:6">
      <c r="A1437" s="26" t="s">
        <v>7408</v>
      </c>
      <c r="B1437" s="26" t="s">
        <v>7820</v>
      </c>
      <c r="C1437" s="26" t="s">
        <v>209</v>
      </c>
      <c r="D1437" s="26" t="s">
        <v>6396</v>
      </c>
      <c r="E1437" s="26" t="s">
        <v>6443</v>
      </c>
    </row>
    <row r="1438" spans="1:6">
      <c r="A1438" s="26" t="s">
        <v>7408</v>
      </c>
      <c r="B1438" s="26" t="s">
        <v>7821</v>
      </c>
      <c r="C1438" s="26" t="s">
        <v>7486</v>
      </c>
      <c r="D1438" s="26" t="s">
        <v>6396</v>
      </c>
      <c r="E1438" s="26">
        <v>0</v>
      </c>
      <c r="F1438" s="26" t="s">
        <v>7490</v>
      </c>
    </row>
    <row r="1439" spans="1:6">
      <c r="A1439" s="26" t="s">
        <v>7408</v>
      </c>
      <c r="B1439" s="26" t="s">
        <v>7822</v>
      </c>
      <c r="C1439" s="26" t="s">
        <v>1351</v>
      </c>
      <c r="D1439" s="26" t="s">
        <v>6396</v>
      </c>
      <c r="E1439" s="26" t="s">
        <v>6395</v>
      </c>
    </row>
    <row r="1440" spans="1:6">
      <c r="A1440" s="26" t="s">
        <v>7408</v>
      </c>
      <c r="B1440" s="26" t="s">
        <v>6850</v>
      </c>
      <c r="C1440" s="26" t="s">
        <v>154</v>
      </c>
      <c r="D1440" s="26" t="s">
        <v>6396</v>
      </c>
      <c r="E1440" s="26" t="s">
        <v>6395</v>
      </c>
    </row>
    <row r="1441" spans="1:6">
      <c r="A1441" s="26" t="s">
        <v>7408</v>
      </c>
      <c r="B1441" s="26" t="s">
        <v>7823</v>
      </c>
      <c r="C1441" s="26" t="s">
        <v>7205</v>
      </c>
      <c r="D1441" s="26" t="s">
        <v>6396</v>
      </c>
      <c r="E1441" s="26" t="s">
        <v>6443</v>
      </c>
    </row>
    <row r="1442" spans="1:6">
      <c r="A1442" s="26" t="s">
        <v>7408</v>
      </c>
      <c r="B1442" s="26" t="s">
        <v>7824</v>
      </c>
      <c r="C1442" s="26" t="s">
        <v>209</v>
      </c>
      <c r="D1442" s="26" t="s">
        <v>6396</v>
      </c>
      <c r="E1442" s="26" t="s">
        <v>6443</v>
      </c>
    </row>
    <row r="1443" spans="1:6">
      <c r="A1443" s="26" t="s">
        <v>7408</v>
      </c>
      <c r="B1443" s="26" t="s">
        <v>6548</v>
      </c>
      <c r="C1443" s="26" t="s">
        <v>6547</v>
      </c>
      <c r="D1443" s="26" t="s">
        <v>6396</v>
      </c>
      <c r="E1443" s="26">
        <v>0</v>
      </c>
      <c r="F1443" s="26" t="s">
        <v>7410</v>
      </c>
    </row>
    <row r="1444" spans="1:6">
      <c r="A1444" s="26" t="s">
        <v>7408</v>
      </c>
      <c r="B1444" s="26" t="s">
        <v>7825</v>
      </c>
      <c r="C1444" s="26" t="s">
        <v>7826</v>
      </c>
      <c r="D1444" s="26" t="s">
        <v>6396</v>
      </c>
      <c r="E1444" s="26" t="s">
        <v>8749</v>
      </c>
    </row>
    <row r="1445" spans="1:6">
      <c r="A1445" s="26" t="s">
        <v>7408</v>
      </c>
      <c r="B1445" s="26" t="s">
        <v>7827</v>
      </c>
      <c r="C1445" s="26" t="s">
        <v>7828</v>
      </c>
      <c r="D1445" s="26" t="s">
        <v>6396</v>
      </c>
      <c r="E1445" s="26" t="s">
        <v>8749</v>
      </c>
    </row>
    <row r="1446" spans="1:6">
      <c r="A1446" s="26" t="s">
        <v>7408</v>
      </c>
      <c r="B1446" s="26" t="s">
        <v>7829</v>
      </c>
      <c r="C1446" s="26" t="s">
        <v>7830</v>
      </c>
      <c r="D1446" s="26" t="s">
        <v>6396</v>
      </c>
      <c r="E1446" s="26" t="s">
        <v>6395</v>
      </c>
    </row>
    <row r="1447" spans="1:6">
      <c r="A1447" s="26" t="s">
        <v>7408</v>
      </c>
      <c r="B1447" s="26" t="s">
        <v>7831</v>
      </c>
      <c r="C1447" s="26" t="s">
        <v>7832</v>
      </c>
      <c r="D1447" s="26" t="s">
        <v>6396</v>
      </c>
      <c r="E1447" s="26" t="s">
        <v>6395</v>
      </c>
    </row>
    <row r="1448" spans="1:6">
      <c r="A1448" s="26" t="s">
        <v>7408</v>
      </c>
      <c r="B1448" s="26" t="s">
        <v>7833</v>
      </c>
      <c r="C1448" s="26" t="s">
        <v>7834</v>
      </c>
      <c r="D1448" s="26" t="s">
        <v>6396</v>
      </c>
      <c r="E1448" s="26" t="s">
        <v>6395</v>
      </c>
    </row>
    <row r="1449" spans="1:6">
      <c r="A1449" s="26" t="s">
        <v>7408</v>
      </c>
      <c r="B1449" s="26" t="s">
        <v>1350</v>
      </c>
      <c r="C1449" s="26" t="s">
        <v>1351</v>
      </c>
      <c r="D1449" s="26" t="s">
        <v>6396</v>
      </c>
      <c r="E1449" s="26" t="s">
        <v>6395</v>
      </c>
    </row>
    <row r="1450" spans="1:6">
      <c r="A1450" s="26" t="s">
        <v>7408</v>
      </c>
      <c r="B1450" s="26" t="s">
        <v>2088</v>
      </c>
      <c r="C1450" s="26" t="s">
        <v>935</v>
      </c>
      <c r="D1450" s="26" t="s">
        <v>6396</v>
      </c>
      <c r="E1450" s="26">
        <v>0</v>
      </c>
      <c r="F1450" s="26" t="s">
        <v>7410</v>
      </c>
    </row>
    <row r="1451" spans="1:6">
      <c r="A1451" s="26" t="s">
        <v>7408</v>
      </c>
      <c r="B1451" s="26" t="s">
        <v>7835</v>
      </c>
      <c r="C1451" s="26" t="s">
        <v>7836</v>
      </c>
      <c r="D1451" s="26" t="s">
        <v>6396</v>
      </c>
      <c r="E1451" s="26" t="s">
        <v>6443</v>
      </c>
    </row>
    <row r="1452" spans="1:6">
      <c r="A1452" s="26" t="s">
        <v>7408</v>
      </c>
      <c r="B1452" s="26" t="s">
        <v>7837</v>
      </c>
      <c r="C1452" s="26" t="s">
        <v>3262</v>
      </c>
      <c r="D1452" s="26" t="s">
        <v>6396</v>
      </c>
      <c r="E1452" s="26" t="s">
        <v>6395</v>
      </c>
    </row>
    <row r="1453" spans="1:6">
      <c r="A1453" s="26" t="s">
        <v>7408</v>
      </c>
      <c r="B1453" s="26" t="s">
        <v>7180</v>
      </c>
      <c r="C1453" s="26" t="s">
        <v>7838</v>
      </c>
      <c r="D1453" s="26" t="s">
        <v>6396</v>
      </c>
      <c r="E1453" s="26" t="s">
        <v>6443</v>
      </c>
    </row>
    <row r="1454" spans="1:6">
      <c r="A1454" s="26" t="s">
        <v>7408</v>
      </c>
      <c r="B1454" s="26" t="s">
        <v>7839</v>
      </c>
      <c r="C1454" s="26" t="s">
        <v>7482</v>
      </c>
      <c r="D1454" s="26" t="s">
        <v>6396</v>
      </c>
      <c r="E1454" s="26" t="s">
        <v>6443</v>
      </c>
    </row>
    <row r="1455" spans="1:6">
      <c r="A1455" s="26" t="s">
        <v>7408</v>
      </c>
      <c r="B1455" s="26" t="s">
        <v>6693</v>
      </c>
      <c r="C1455" s="26" t="s">
        <v>1783</v>
      </c>
      <c r="D1455" s="26" t="s">
        <v>6396</v>
      </c>
      <c r="E1455" s="26">
        <v>0</v>
      </c>
      <c r="F1455" s="26" t="s">
        <v>7410</v>
      </c>
    </row>
    <row r="1456" spans="1:6">
      <c r="A1456" s="26" t="s">
        <v>7408</v>
      </c>
      <c r="B1456" s="26" t="s">
        <v>7840</v>
      </c>
      <c r="C1456" s="26" t="s">
        <v>7841</v>
      </c>
      <c r="D1456" s="26" t="s">
        <v>6396</v>
      </c>
      <c r="E1456" s="26" t="s">
        <v>6443</v>
      </c>
    </row>
    <row r="1457" spans="1:6">
      <c r="A1457" s="26" t="s">
        <v>7408</v>
      </c>
      <c r="B1457" s="26" t="s">
        <v>433</v>
      </c>
      <c r="C1457" s="26" t="s">
        <v>434</v>
      </c>
      <c r="D1457" s="26" t="s">
        <v>6396</v>
      </c>
      <c r="E1457" s="26" t="s">
        <v>8749</v>
      </c>
    </row>
    <row r="1458" spans="1:6">
      <c r="A1458" s="26" t="s">
        <v>7408</v>
      </c>
      <c r="B1458" s="26" t="s">
        <v>7842</v>
      </c>
      <c r="C1458" s="26" t="s">
        <v>7843</v>
      </c>
      <c r="D1458" s="26" t="s">
        <v>6396</v>
      </c>
      <c r="E1458" s="26">
        <v>0</v>
      </c>
      <c r="F1458" s="26" t="s">
        <v>7410</v>
      </c>
    </row>
    <row r="1459" spans="1:6">
      <c r="A1459" s="26" t="s">
        <v>7408</v>
      </c>
      <c r="B1459" s="26" t="s">
        <v>7844</v>
      </c>
      <c r="C1459" s="26" t="s">
        <v>7237</v>
      </c>
      <c r="D1459" s="26" t="s">
        <v>6396</v>
      </c>
      <c r="E1459" s="26" t="s">
        <v>6395</v>
      </c>
    </row>
    <row r="1460" spans="1:6">
      <c r="A1460" s="26" t="s">
        <v>7408</v>
      </c>
      <c r="B1460" s="26" t="s">
        <v>30</v>
      </c>
      <c r="C1460" s="26" t="s">
        <v>15</v>
      </c>
      <c r="D1460" s="26" t="s">
        <v>6396</v>
      </c>
      <c r="E1460" s="26" t="s">
        <v>6395</v>
      </c>
    </row>
    <row r="1461" spans="1:6">
      <c r="A1461" s="26" t="s">
        <v>7408</v>
      </c>
      <c r="B1461" s="26" t="s">
        <v>7845</v>
      </c>
      <c r="C1461" s="26" t="s">
        <v>7846</v>
      </c>
      <c r="D1461" s="26" t="s">
        <v>6396</v>
      </c>
      <c r="E1461" s="26" t="s">
        <v>6443</v>
      </c>
    </row>
    <row r="1462" spans="1:6">
      <c r="A1462" s="26" t="s">
        <v>7408</v>
      </c>
      <c r="B1462" s="26" t="s">
        <v>7847</v>
      </c>
      <c r="C1462" s="26" t="s">
        <v>7732</v>
      </c>
      <c r="D1462" s="26" t="s">
        <v>6396</v>
      </c>
      <c r="E1462" s="26" t="s">
        <v>6443</v>
      </c>
    </row>
    <row r="1463" spans="1:6">
      <c r="A1463" s="26" t="s">
        <v>7408</v>
      </c>
      <c r="B1463" s="26" t="s">
        <v>674</v>
      </c>
      <c r="C1463" s="26" t="s">
        <v>675</v>
      </c>
      <c r="D1463" s="26" t="s">
        <v>6396</v>
      </c>
      <c r="E1463" s="26">
        <v>0</v>
      </c>
      <c r="F1463" s="26" t="s">
        <v>7410</v>
      </c>
    </row>
    <row r="1464" spans="1:6">
      <c r="A1464" s="26" t="s">
        <v>7408</v>
      </c>
      <c r="B1464" s="26" t="s">
        <v>214</v>
      </c>
      <c r="C1464" s="26" t="s">
        <v>215</v>
      </c>
      <c r="D1464" s="26" t="s">
        <v>6396</v>
      </c>
      <c r="E1464" s="26" t="s">
        <v>6395</v>
      </c>
    </row>
    <row r="1465" spans="1:6">
      <c r="A1465" s="26" t="s">
        <v>7408</v>
      </c>
      <c r="B1465" s="26" t="s">
        <v>6818</v>
      </c>
      <c r="C1465" s="26" t="s">
        <v>2198</v>
      </c>
      <c r="D1465" s="26" t="s">
        <v>6396</v>
      </c>
      <c r="E1465" s="26" t="s">
        <v>6395</v>
      </c>
    </row>
    <row r="1466" spans="1:6">
      <c r="A1466" s="26" t="s">
        <v>7408</v>
      </c>
      <c r="B1466" s="26" t="s">
        <v>1478</v>
      </c>
      <c r="C1466" s="26" t="s">
        <v>21</v>
      </c>
      <c r="D1466" s="26" t="s">
        <v>6396</v>
      </c>
      <c r="E1466" s="26" t="s">
        <v>6395</v>
      </c>
    </row>
    <row r="1467" spans="1:6">
      <c r="A1467" s="26" t="s">
        <v>7408</v>
      </c>
      <c r="B1467" s="26" t="s">
        <v>7848</v>
      </c>
      <c r="C1467" s="26" t="s">
        <v>1313</v>
      </c>
      <c r="D1467" s="26" t="s">
        <v>6396</v>
      </c>
      <c r="E1467" s="26" t="s">
        <v>6395</v>
      </c>
    </row>
    <row r="1468" spans="1:6">
      <c r="A1468" s="26" t="s">
        <v>7408</v>
      </c>
      <c r="B1468" s="26" t="s">
        <v>7849</v>
      </c>
      <c r="C1468" s="26" t="s">
        <v>7427</v>
      </c>
      <c r="D1468" s="26" t="s">
        <v>6396</v>
      </c>
      <c r="E1468" s="26" t="s">
        <v>6443</v>
      </c>
    </row>
    <row r="1469" spans="1:6">
      <c r="A1469" s="26" t="s">
        <v>7408</v>
      </c>
      <c r="B1469" s="26" t="s">
        <v>1591</v>
      </c>
      <c r="C1469" s="26" t="s">
        <v>221</v>
      </c>
      <c r="D1469" s="26" t="s">
        <v>6396</v>
      </c>
      <c r="E1469" s="26" t="s">
        <v>6395</v>
      </c>
    </row>
    <row r="1470" spans="1:6">
      <c r="A1470" s="26" t="s">
        <v>7408</v>
      </c>
      <c r="B1470" s="26" t="s">
        <v>7281</v>
      </c>
      <c r="C1470" s="26" t="s">
        <v>707</v>
      </c>
      <c r="D1470" s="26" t="s">
        <v>6396</v>
      </c>
      <c r="E1470" s="26" t="s">
        <v>6395</v>
      </c>
    </row>
    <row r="1471" spans="1:6">
      <c r="A1471" s="26" t="s">
        <v>7408</v>
      </c>
      <c r="B1471" s="26" t="s">
        <v>7850</v>
      </c>
      <c r="C1471" s="26" t="s">
        <v>3477</v>
      </c>
      <c r="D1471" s="26" t="s">
        <v>6396</v>
      </c>
      <c r="E1471" s="26" t="s">
        <v>8749</v>
      </c>
    </row>
    <row r="1472" spans="1:6">
      <c r="A1472" s="26" t="s">
        <v>7408</v>
      </c>
      <c r="B1472" s="26" t="s">
        <v>7851</v>
      </c>
      <c r="C1472" s="26" t="s">
        <v>7461</v>
      </c>
      <c r="D1472" s="26" t="s">
        <v>6396</v>
      </c>
      <c r="E1472" s="26" t="s">
        <v>6443</v>
      </c>
    </row>
    <row r="1473" spans="1:5">
      <c r="A1473" s="26" t="s">
        <v>7408</v>
      </c>
      <c r="B1473" s="26" t="s">
        <v>7852</v>
      </c>
      <c r="C1473" s="26" t="s">
        <v>7853</v>
      </c>
      <c r="D1473" s="26" t="s">
        <v>6396</v>
      </c>
      <c r="E1473" s="26" t="s">
        <v>6395</v>
      </c>
    </row>
    <row r="1474" spans="1:5">
      <c r="A1474" s="26" t="s">
        <v>7408</v>
      </c>
      <c r="B1474" s="26" t="s">
        <v>781</v>
      </c>
      <c r="C1474" s="26" t="s">
        <v>782</v>
      </c>
      <c r="D1474" s="26" t="s">
        <v>6396</v>
      </c>
      <c r="E1474" s="26" t="s">
        <v>6395</v>
      </c>
    </row>
    <row r="1475" spans="1:5">
      <c r="A1475" s="26" t="s">
        <v>7408</v>
      </c>
      <c r="B1475" s="26" t="s">
        <v>7854</v>
      </c>
      <c r="C1475" s="26" t="s">
        <v>2554</v>
      </c>
      <c r="D1475" s="26" t="s">
        <v>6396</v>
      </c>
      <c r="E1475" s="26" t="s">
        <v>8749</v>
      </c>
    </row>
    <row r="1476" spans="1:5">
      <c r="A1476" s="26" t="s">
        <v>7408</v>
      </c>
      <c r="B1476" s="26" t="s">
        <v>7855</v>
      </c>
      <c r="C1476" s="26" t="s">
        <v>6777</v>
      </c>
      <c r="D1476" s="26" t="s">
        <v>6396</v>
      </c>
      <c r="E1476" s="26" t="s">
        <v>6395</v>
      </c>
    </row>
    <row r="1477" spans="1:5">
      <c r="A1477" s="26" t="s">
        <v>7408</v>
      </c>
      <c r="B1477" s="26" t="s">
        <v>967</v>
      </c>
      <c r="C1477" s="26" t="s">
        <v>42</v>
      </c>
      <c r="D1477" s="26" t="s">
        <v>6396</v>
      </c>
      <c r="E1477" s="26" t="s">
        <v>6443</v>
      </c>
    </row>
    <row r="1478" spans="1:5">
      <c r="A1478" s="26" t="s">
        <v>7408</v>
      </c>
      <c r="B1478" s="26" t="s">
        <v>7856</v>
      </c>
      <c r="C1478" s="26" t="s">
        <v>2208</v>
      </c>
      <c r="D1478" s="26" t="s">
        <v>6396</v>
      </c>
      <c r="E1478" s="26" t="s">
        <v>6443</v>
      </c>
    </row>
    <row r="1479" spans="1:5">
      <c r="A1479" s="26" t="s">
        <v>7408</v>
      </c>
      <c r="B1479" s="26" t="s">
        <v>7857</v>
      </c>
      <c r="C1479" s="26" t="s">
        <v>7858</v>
      </c>
      <c r="D1479" s="26" t="s">
        <v>6396</v>
      </c>
      <c r="E1479" s="26" t="s">
        <v>6443</v>
      </c>
    </row>
    <row r="1480" spans="1:5">
      <c r="A1480" s="26" t="s">
        <v>7408</v>
      </c>
      <c r="B1480" s="26" t="s">
        <v>2172</v>
      </c>
      <c r="C1480" s="26" t="s">
        <v>27</v>
      </c>
      <c r="D1480" s="26" t="s">
        <v>6396</v>
      </c>
      <c r="E1480" s="26" t="s">
        <v>6395</v>
      </c>
    </row>
    <row r="1481" spans="1:5">
      <c r="A1481" s="26" t="s">
        <v>7408</v>
      </c>
      <c r="B1481" s="26" t="s">
        <v>7859</v>
      </c>
      <c r="C1481" s="26" t="s">
        <v>121</v>
      </c>
      <c r="D1481" s="26" t="s">
        <v>6396</v>
      </c>
      <c r="E1481" s="26" t="s">
        <v>6443</v>
      </c>
    </row>
    <row r="1482" spans="1:5">
      <c r="A1482" s="26" t="s">
        <v>7408</v>
      </c>
      <c r="B1482" s="26" t="s">
        <v>7860</v>
      </c>
      <c r="C1482" s="26" t="s">
        <v>209</v>
      </c>
      <c r="D1482" s="26" t="s">
        <v>6396</v>
      </c>
      <c r="E1482" s="26" t="s">
        <v>6443</v>
      </c>
    </row>
    <row r="1483" spans="1:5">
      <c r="A1483" s="26" t="s">
        <v>7408</v>
      </c>
      <c r="B1483" s="26" t="s">
        <v>2859</v>
      </c>
      <c r="C1483" s="26" t="s">
        <v>7017</v>
      </c>
      <c r="D1483" s="26" t="s">
        <v>6396</v>
      </c>
      <c r="E1483" s="26" t="s">
        <v>8749</v>
      </c>
    </row>
    <row r="1484" spans="1:5">
      <c r="A1484" s="26" t="s">
        <v>7408</v>
      </c>
      <c r="B1484" s="26" t="s">
        <v>894</v>
      </c>
      <c r="C1484" s="26" t="s">
        <v>42</v>
      </c>
      <c r="D1484" s="26" t="s">
        <v>6396</v>
      </c>
      <c r="E1484" s="26" t="s">
        <v>6443</v>
      </c>
    </row>
    <row r="1485" spans="1:5">
      <c r="A1485" s="26" t="s">
        <v>7408</v>
      </c>
      <c r="B1485" s="26" t="s">
        <v>7861</v>
      </c>
      <c r="C1485" s="26" t="s">
        <v>6793</v>
      </c>
      <c r="D1485" s="26" t="s">
        <v>6396</v>
      </c>
      <c r="E1485" s="26" t="s">
        <v>6443</v>
      </c>
    </row>
    <row r="1486" spans="1:5">
      <c r="A1486" s="26" t="s">
        <v>7408</v>
      </c>
      <c r="B1486" s="26" t="s">
        <v>7862</v>
      </c>
      <c r="C1486" s="26" t="s">
        <v>7863</v>
      </c>
      <c r="D1486" s="26" t="s">
        <v>6396</v>
      </c>
      <c r="E1486" s="26" t="s">
        <v>6443</v>
      </c>
    </row>
    <row r="1487" spans="1:5">
      <c r="A1487" s="26" t="s">
        <v>7408</v>
      </c>
      <c r="B1487" s="26" t="s">
        <v>7864</v>
      </c>
      <c r="C1487" s="26" t="s">
        <v>707</v>
      </c>
      <c r="D1487" s="26" t="s">
        <v>6396</v>
      </c>
      <c r="E1487" s="26" t="s">
        <v>6395</v>
      </c>
    </row>
    <row r="1488" spans="1:5">
      <c r="A1488" s="26" t="s">
        <v>7408</v>
      </c>
      <c r="B1488" s="26" t="s">
        <v>7865</v>
      </c>
      <c r="C1488" s="26" t="s">
        <v>7866</v>
      </c>
      <c r="D1488" s="26" t="s">
        <v>6396</v>
      </c>
      <c r="E1488" s="26" t="s">
        <v>8749</v>
      </c>
    </row>
    <row r="1489" spans="1:6">
      <c r="A1489" s="26" t="s">
        <v>7408</v>
      </c>
      <c r="B1489" s="26" t="s">
        <v>180</v>
      </c>
      <c r="C1489" s="26" t="s">
        <v>181</v>
      </c>
      <c r="D1489" s="26" t="s">
        <v>6396</v>
      </c>
      <c r="E1489" s="26" t="s">
        <v>6395</v>
      </c>
    </row>
    <row r="1490" spans="1:6">
      <c r="A1490" s="26" t="s">
        <v>7408</v>
      </c>
      <c r="B1490" s="26" t="s">
        <v>7867</v>
      </c>
      <c r="C1490" s="26" t="s">
        <v>209</v>
      </c>
      <c r="D1490" s="26" t="s">
        <v>6396</v>
      </c>
      <c r="E1490" s="26" t="s">
        <v>6395</v>
      </c>
    </row>
    <row r="1491" spans="1:6">
      <c r="A1491" s="26" t="s">
        <v>7408</v>
      </c>
      <c r="B1491" s="26" t="s">
        <v>6453</v>
      </c>
      <c r="C1491" s="26" t="s">
        <v>541</v>
      </c>
      <c r="D1491" s="26" t="s">
        <v>6396</v>
      </c>
      <c r="E1491" s="26">
        <v>0</v>
      </c>
      <c r="F1491" s="26" t="s">
        <v>7490</v>
      </c>
    </row>
    <row r="1492" spans="1:6">
      <c r="A1492" s="26" t="s">
        <v>7408</v>
      </c>
      <c r="B1492" s="26" t="s">
        <v>7868</v>
      </c>
      <c r="C1492" s="26" t="s">
        <v>6815</v>
      </c>
      <c r="D1492" s="26" t="s">
        <v>6396</v>
      </c>
      <c r="E1492" s="26" t="s">
        <v>6443</v>
      </c>
    </row>
    <row r="1493" spans="1:6">
      <c r="A1493" s="26" t="s">
        <v>7408</v>
      </c>
      <c r="B1493" s="26" t="s">
        <v>1336</v>
      </c>
      <c r="C1493" s="26" t="s">
        <v>154</v>
      </c>
      <c r="D1493" s="26" t="s">
        <v>6396</v>
      </c>
      <c r="E1493" s="26" t="s">
        <v>6395</v>
      </c>
    </row>
    <row r="1494" spans="1:6">
      <c r="A1494" s="26" t="s">
        <v>7408</v>
      </c>
      <c r="B1494" s="26" t="s">
        <v>7869</v>
      </c>
      <c r="C1494" s="26" t="s">
        <v>7629</v>
      </c>
      <c r="D1494" s="26" t="s">
        <v>6396</v>
      </c>
      <c r="E1494" s="26" t="s">
        <v>6443</v>
      </c>
    </row>
    <row r="1495" spans="1:6">
      <c r="A1495" s="26" t="s">
        <v>7408</v>
      </c>
      <c r="B1495" s="26" t="s">
        <v>7870</v>
      </c>
      <c r="C1495" s="26" t="s">
        <v>6742</v>
      </c>
      <c r="D1495" s="26" t="s">
        <v>6396</v>
      </c>
      <c r="E1495" s="26" t="s">
        <v>6443</v>
      </c>
    </row>
    <row r="1496" spans="1:6">
      <c r="A1496" s="26" t="s">
        <v>7408</v>
      </c>
      <c r="B1496" s="26" t="s">
        <v>7871</v>
      </c>
      <c r="C1496" s="26" t="s">
        <v>7872</v>
      </c>
      <c r="D1496" s="26" t="s">
        <v>6396</v>
      </c>
      <c r="E1496" s="26" t="s">
        <v>6443</v>
      </c>
    </row>
    <row r="1497" spans="1:6">
      <c r="A1497" s="26" t="s">
        <v>7408</v>
      </c>
      <c r="B1497" s="26" t="s">
        <v>7873</v>
      </c>
      <c r="C1497" s="26" t="s">
        <v>7512</v>
      </c>
      <c r="D1497" s="26" t="s">
        <v>6396</v>
      </c>
      <c r="E1497" s="26" t="s">
        <v>6395</v>
      </c>
    </row>
    <row r="1498" spans="1:6">
      <c r="A1498" s="26" t="s">
        <v>7408</v>
      </c>
      <c r="B1498" s="26" t="s">
        <v>7874</v>
      </c>
      <c r="C1498" s="26" t="s">
        <v>7875</v>
      </c>
      <c r="D1498" s="26" t="s">
        <v>6396</v>
      </c>
      <c r="E1498" s="26" t="s">
        <v>6443</v>
      </c>
    </row>
    <row r="1499" spans="1:6">
      <c r="A1499" s="26" t="s">
        <v>7408</v>
      </c>
      <c r="B1499" s="26" t="s">
        <v>7874</v>
      </c>
      <c r="C1499" s="26" t="s">
        <v>6547</v>
      </c>
      <c r="D1499" s="26" t="s">
        <v>6396</v>
      </c>
      <c r="E1499" s="26" t="s">
        <v>6443</v>
      </c>
    </row>
    <row r="1500" spans="1:6">
      <c r="A1500" s="26" t="s">
        <v>7408</v>
      </c>
      <c r="B1500" s="26" t="s">
        <v>7876</v>
      </c>
      <c r="C1500" s="26" t="s">
        <v>209</v>
      </c>
      <c r="D1500" s="26" t="s">
        <v>6396</v>
      </c>
      <c r="E1500" s="26">
        <v>0</v>
      </c>
      <c r="F1500" s="26" t="s">
        <v>7490</v>
      </c>
    </row>
    <row r="1501" spans="1:6">
      <c r="A1501" s="26" t="s">
        <v>7408</v>
      </c>
      <c r="B1501" s="26" t="s">
        <v>7289</v>
      </c>
      <c r="C1501" s="26" t="s">
        <v>457</v>
      </c>
      <c r="D1501" s="26" t="s">
        <v>6396</v>
      </c>
      <c r="E1501" s="26" t="s">
        <v>6395</v>
      </c>
    </row>
    <row r="1502" spans="1:6">
      <c r="A1502" s="26" t="s">
        <v>7408</v>
      </c>
      <c r="B1502" s="26" t="s">
        <v>6849</v>
      </c>
      <c r="C1502" s="26" t="s">
        <v>154</v>
      </c>
      <c r="D1502" s="26" t="s">
        <v>6396</v>
      </c>
      <c r="E1502" s="26" t="s">
        <v>6395</v>
      </c>
    </row>
    <row r="1503" spans="1:6">
      <c r="A1503" s="26" t="s">
        <v>7408</v>
      </c>
      <c r="B1503" s="26" t="s">
        <v>7877</v>
      </c>
      <c r="C1503" s="26" t="s">
        <v>7461</v>
      </c>
      <c r="D1503" s="26" t="s">
        <v>6396</v>
      </c>
      <c r="E1503" s="26" t="s">
        <v>6443</v>
      </c>
    </row>
    <row r="1504" spans="1:6">
      <c r="A1504" s="26" t="s">
        <v>7408</v>
      </c>
      <c r="B1504" s="26" t="s">
        <v>7878</v>
      </c>
      <c r="C1504" s="26" t="s">
        <v>3262</v>
      </c>
      <c r="D1504" s="26" t="s">
        <v>6396</v>
      </c>
      <c r="E1504" s="26" t="s">
        <v>6395</v>
      </c>
    </row>
    <row r="1505" spans="1:6">
      <c r="A1505" s="26" t="s">
        <v>7408</v>
      </c>
      <c r="B1505" s="26" t="s">
        <v>7879</v>
      </c>
      <c r="C1505" s="26" t="s">
        <v>7534</v>
      </c>
      <c r="D1505" s="26" t="s">
        <v>6396</v>
      </c>
      <c r="E1505" s="26" t="s">
        <v>6443</v>
      </c>
    </row>
    <row r="1506" spans="1:6">
      <c r="A1506" s="26" t="s">
        <v>7408</v>
      </c>
      <c r="B1506" s="26" t="s">
        <v>7880</v>
      </c>
      <c r="C1506" s="26" t="s">
        <v>7881</v>
      </c>
      <c r="D1506" s="26" t="s">
        <v>6396</v>
      </c>
      <c r="E1506" s="26" t="s">
        <v>6443</v>
      </c>
    </row>
    <row r="1507" spans="1:6">
      <c r="A1507" s="26" t="s">
        <v>7408</v>
      </c>
      <c r="B1507" s="26" t="s">
        <v>7882</v>
      </c>
      <c r="C1507" s="26" t="s">
        <v>7387</v>
      </c>
      <c r="D1507" s="26" t="s">
        <v>6396</v>
      </c>
      <c r="E1507" s="26" t="s">
        <v>6443</v>
      </c>
    </row>
    <row r="1508" spans="1:6">
      <c r="A1508" s="26" t="s">
        <v>7408</v>
      </c>
      <c r="B1508" s="26" t="s">
        <v>2399</v>
      </c>
      <c r="C1508" s="26" t="s">
        <v>2400</v>
      </c>
      <c r="D1508" s="26" t="s">
        <v>6396</v>
      </c>
      <c r="E1508" s="26" t="s">
        <v>8749</v>
      </c>
    </row>
    <row r="1509" spans="1:6">
      <c r="A1509" s="26" t="s">
        <v>7408</v>
      </c>
      <c r="B1509" s="26" t="s">
        <v>872</v>
      </c>
      <c r="C1509" s="26" t="s">
        <v>27</v>
      </c>
      <c r="D1509" s="26" t="s">
        <v>6396</v>
      </c>
      <c r="E1509" s="26" t="s">
        <v>6395</v>
      </c>
    </row>
    <row r="1510" spans="1:6">
      <c r="A1510" s="26" t="s">
        <v>7408</v>
      </c>
      <c r="B1510" s="26" t="s">
        <v>872</v>
      </c>
      <c r="C1510" s="26" t="s">
        <v>27</v>
      </c>
      <c r="D1510" s="26" t="s">
        <v>6396</v>
      </c>
      <c r="E1510" s="26" t="s">
        <v>6395</v>
      </c>
    </row>
    <row r="1511" spans="1:6">
      <c r="A1511" s="26" t="s">
        <v>7408</v>
      </c>
      <c r="B1511" s="26" t="s">
        <v>7883</v>
      </c>
      <c r="C1511" s="26" t="s">
        <v>7205</v>
      </c>
      <c r="D1511" s="26" t="s">
        <v>6396</v>
      </c>
      <c r="E1511" s="26" t="s">
        <v>6443</v>
      </c>
    </row>
    <row r="1512" spans="1:6">
      <c r="A1512" s="26" t="s">
        <v>7408</v>
      </c>
      <c r="B1512" s="26" t="s">
        <v>2246</v>
      </c>
      <c r="C1512" s="26" t="s">
        <v>509</v>
      </c>
      <c r="D1512" s="26" t="s">
        <v>6396</v>
      </c>
      <c r="E1512" s="26" t="s">
        <v>6395</v>
      </c>
    </row>
    <row r="1513" spans="1:6">
      <c r="A1513" s="26" t="s">
        <v>7408</v>
      </c>
      <c r="B1513" s="26" t="s">
        <v>7884</v>
      </c>
      <c r="C1513" s="26" t="s">
        <v>3262</v>
      </c>
      <c r="D1513" s="26" t="s">
        <v>6396</v>
      </c>
      <c r="E1513" s="26" t="s">
        <v>6395</v>
      </c>
    </row>
    <row r="1514" spans="1:6">
      <c r="A1514" s="26" t="s">
        <v>7408</v>
      </c>
      <c r="B1514" s="26" t="s">
        <v>706</v>
      </c>
      <c r="C1514" s="26" t="s">
        <v>707</v>
      </c>
      <c r="D1514" s="26" t="s">
        <v>6396</v>
      </c>
      <c r="E1514" s="26" t="s">
        <v>6395</v>
      </c>
    </row>
    <row r="1515" spans="1:6">
      <c r="A1515" s="26" t="s">
        <v>7408</v>
      </c>
      <c r="B1515" s="26" t="s">
        <v>7885</v>
      </c>
      <c r="C1515" s="26" t="s">
        <v>1062</v>
      </c>
      <c r="D1515" s="26" t="s">
        <v>6396</v>
      </c>
      <c r="E1515" s="26" t="s">
        <v>6395</v>
      </c>
    </row>
    <row r="1516" spans="1:6">
      <c r="A1516" s="26" t="s">
        <v>7408</v>
      </c>
      <c r="B1516" s="26" t="s">
        <v>1067</v>
      </c>
      <c r="C1516" s="26" t="s">
        <v>21</v>
      </c>
      <c r="D1516" s="26" t="s">
        <v>6396</v>
      </c>
      <c r="E1516" s="26" t="s">
        <v>6395</v>
      </c>
    </row>
    <row r="1517" spans="1:6">
      <c r="A1517" s="26" t="s">
        <v>7408</v>
      </c>
      <c r="B1517" s="26" t="s">
        <v>2517</v>
      </c>
      <c r="C1517" s="26" t="s">
        <v>1545</v>
      </c>
      <c r="D1517" s="26" t="s">
        <v>6396</v>
      </c>
      <c r="E1517" s="26" t="s">
        <v>6395</v>
      </c>
    </row>
    <row r="1518" spans="1:6">
      <c r="A1518" s="26" t="s">
        <v>7408</v>
      </c>
      <c r="B1518" s="26" t="s">
        <v>2404</v>
      </c>
      <c r="C1518" s="26" t="s">
        <v>7886</v>
      </c>
      <c r="D1518" s="26" t="s">
        <v>6396</v>
      </c>
      <c r="E1518" s="26" t="s">
        <v>8749</v>
      </c>
    </row>
    <row r="1519" spans="1:6">
      <c r="A1519" s="26" t="s">
        <v>7408</v>
      </c>
      <c r="B1519" s="26" t="s">
        <v>6955</v>
      </c>
      <c r="C1519" s="26" t="s">
        <v>6560</v>
      </c>
      <c r="D1519" s="26" t="s">
        <v>6396</v>
      </c>
      <c r="E1519" s="26" t="s">
        <v>8749</v>
      </c>
    </row>
    <row r="1520" spans="1:6">
      <c r="A1520" s="26" t="s">
        <v>7408</v>
      </c>
      <c r="B1520" s="26" t="s">
        <v>7887</v>
      </c>
      <c r="C1520" s="26" t="s">
        <v>209</v>
      </c>
      <c r="D1520" s="26" t="s">
        <v>6396</v>
      </c>
      <c r="E1520" s="26">
        <v>0</v>
      </c>
      <c r="F1520" s="26" t="s">
        <v>7410</v>
      </c>
    </row>
    <row r="1521" spans="1:6">
      <c r="A1521" s="26" t="s">
        <v>7408</v>
      </c>
      <c r="B1521" s="26" t="s">
        <v>7888</v>
      </c>
      <c r="C1521" s="26" t="s">
        <v>7889</v>
      </c>
      <c r="D1521" s="26" t="s">
        <v>6396</v>
      </c>
      <c r="E1521" s="26" t="s">
        <v>6443</v>
      </c>
    </row>
    <row r="1522" spans="1:6">
      <c r="A1522" s="26" t="s">
        <v>7408</v>
      </c>
      <c r="B1522" s="26" t="s">
        <v>2688</v>
      </c>
      <c r="C1522" s="26" t="s">
        <v>245</v>
      </c>
      <c r="D1522" s="26" t="s">
        <v>6396</v>
      </c>
      <c r="E1522" s="26" t="s">
        <v>6395</v>
      </c>
    </row>
    <row r="1523" spans="1:6">
      <c r="A1523" s="26" t="s">
        <v>7408</v>
      </c>
      <c r="B1523" s="26" t="s">
        <v>7890</v>
      </c>
      <c r="C1523" s="26" t="s">
        <v>21</v>
      </c>
      <c r="D1523" s="26" t="s">
        <v>6396</v>
      </c>
      <c r="E1523" s="26" t="s">
        <v>6395</v>
      </c>
    </row>
    <row r="1524" spans="1:6">
      <c r="A1524" s="26" t="s">
        <v>7408</v>
      </c>
      <c r="B1524" s="26" t="s">
        <v>7891</v>
      </c>
      <c r="C1524" s="26" t="s">
        <v>7892</v>
      </c>
      <c r="D1524" s="26" t="s">
        <v>6396</v>
      </c>
      <c r="E1524" s="26" t="s">
        <v>6443</v>
      </c>
    </row>
    <row r="1525" spans="1:6">
      <c r="A1525" s="26" t="s">
        <v>7408</v>
      </c>
      <c r="B1525" s="26" t="s">
        <v>7122</v>
      </c>
      <c r="C1525" s="26" t="s">
        <v>37</v>
      </c>
      <c r="D1525" s="26" t="s">
        <v>6396</v>
      </c>
      <c r="E1525" s="26" t="s">
        <v>6395</v>
      </c>
    </row>
    <row r="1526" spans="1:6">
      <c r="A1526" s="26" t="s">
        <v>7408</v>
      </c>
      <c r="B1526" s="26" t="s">
        <v>7893</v>
      </c>
      <c r="D1526" s="26" t="s">
        <v>6396</v>
      </c>
      <c r="E1526" s="26" t="s">
        <v>6443</v>
      </c>
    </row>
    <row r="1527" spans="1:6">
      <c r="A1527" s="26" t="s">
        <v>7408</v>
      </c>
      <c r="B1527" s="26" t="s">
        <v>1793</v>
      </c>
      <c r="C1527" s="26" t="s">
        <v>643</v>
      </c>
      <c r="D1527" s="26" t="s">
        <v>6396</v>
      </c>
      <c r="E1527" s="26" t="s">
        <v>6395</v>
      </c>
    </row>
    <row r="1528" spans="1:6">
      <c r="A1528" s="26" t="s">
        <v>7408</v>
      </c>
      <c r="B1528" s="26" t="s">
        <v>7894</v>
      </c>
      <c r="C1528" s="26" t="s">
        <v>7895</v>
      </c>
      <c r="D1528" s="26" t="s">
        <v>6396</v>
      </c>
      <c r="E1528" s="26" t="s">
        <v>6443</v>
      </c>
    </row>
    <row r="1529" spans="1:6">
      <c r="A1529" s="26" t="s">
        <v>7408</v>
      </c>
      <c r="B1529" s="26" t="s">
        <v>7896</v>
      </c>
      <c r="C1529" s="26" t="s">
        <v>238</v>
      </c>
      <c r="D1529" s="26" t="s">
        <v>6396</v>
      </c>
      <c r="E1529" s="26" t="s">
        <v>6443</v>
      </c>
    </row>
    <row r="1530" spans="1:6">
      <c r="A1530" s="26" t="s">
        <v>7408</v>
      </c>
      <c r="B1530" s="26" t="s">
        <v>7897</v>
      </c>
      <c r="C1530" s="26" t="s">
        <v>7898</v>
      </c>
      <c r="D1530" s="26" t="s">
        <v>6396</v>
      </c>
      <c r="E1530" s="26" t="s">
        <v>6443</v>
      </c>
    </row>
    <row r="1531" spans="1:6">
      <c r="A1531" s="26" t="s">
        <v>7408</v>
      </c>
      <c r="B1531" s="26" t="s">
        <v>732</v>
      </c>
      <c r="C1531" s="26" t="s">
        <v>154</v>
      </c>
      <c r="D1531" s="26" t="s">
        <v>6396</v>
      </c>
      <c r="E1531" s="26" t="s">
        <v>8749</v>
      </c>
    </row>
    <row r="1532" spans="1:6">
      <c r="A1532" s="26" t="s">
        <v>7408</v>
      </c>
      <c r="B1532" s="26" t="s">
        <v>6430</v>
      </c>
      <c r="C1532" s="26" t="s">
        <v>6429</v>
      </c>
      <c r="D1532" s="26" t="s">
        <v>6396</v>
      </c>
      <c r="E1532" s="26">
        <v>0</v>
      </c>
      <c r="F1532" s="26" t="s">
        <v>7410</v>
      </c>
    </row>
    <row r="1533" spans="1:6">
      <c r="A1533" s="26" t="s">
        <v>7408</v>
      </c>
      <c r="B1533" s="26" t="s">
        <v>7899</v>
      </c>
      <c r="C1533" s="26" t="s">
        <v>2548</v>
      </c>
      <c r="D1533" s="26" t="s">
        <v>6396</v>
      </c>
      <c r="E1533" s="26" t="s">
        <v>6395</v>
      </c>
    </row>
    <row r="1534" spans="1:6">
      <c r="A1534" s="26" t="s">
        <v>7408</v>
      </c>
      <c r="B1534" s="26" t="s">
        <v>6505</v>
      </c>
      <c r="C1534" s="26" t="s">
        <v>188</v>
      </c>
      <c r="D1534" s="26" t="s">
        <v>6396</v>
      </c>
      <c r="E1534" s="26" t="s">
        <v>6443</v>
      </c>
    </row>
    <row r="1535" spans="1:6">
      <c r="A1535" s="26" t="s">
        <v>7408</v>
      </c>
      <c r="B1535" s="26" t="s">
        <v>579</v>
      </c>
      <c r="C1535" s="26" t="s">
        <v>580</v>
      </c>
      <c r="D1535" s="26" t="s">
        <v>6396</v>
      </c>
      <c r="E1535" s="26" t="s">
        <v>6395</v>
      </c>
    </row>
    <row r="1536" spans="1:6">
      <c r="A1536" s="26" t="s">
        <v>7408</v>
      </c>
      <c r="B1536" s="26" t="s">
        <v>7900</v>
      </c>
      <c r="C1536" s="26" t="s">
        <v>7901</v>
      </c>
      <c r="D1536" s="26" t="s">
        <v>6396</v>
      </c>
      <c r="E1536" s="26" t="s">
        <v>6443</v>
      </c>
    </row>
    <row r="1537" spans="1:6">
      <c r="A1537" s="26" t="s">
        <v>7408</v>
      </c>
      <c r="B1537" s="26" t="s">
        <v>7902</v>
      </c>
      <c r="C1537" s="26" t="s">
        <v>7427</v>
      </c>
      <c r="D1537" s="26" t="s">
        <v>6396</v>
      </c>
      <c r="E1537" s="26" t="s">
        <v>6443</v>
      </c>
    </row>
    <row r="1538" spans="1:6">
      <c r="A1538" s="26" t="s">
        <v>7408</v>
      </c>
      <c r="B1538" s="26" t="s">
        <v>1585</v>
      </c>
      <c r="C1538" s="26" t="s">
        <v>245</v>
      </c>
      <c r="D1538" s="26" t="s">
        <v>6396</v>
      </c>
      <c r="E1538" s="26">
        <v>0</v>
      </c>
      <c r="F1538" s="26" t="s">
        <v>7410</v>
      </c>
    </row>
    <row r="1539" spans="1:6">
      <c r="A1539" s="26" t="s">
        <v>7408</v>
      </c>
      <c r="B1539" s="26" t="s">
        <v>7903</v>
      </c>
      <c r="C1539" s="26" t="s">
        <v>7904</v>
      </c>
      <c r="D1539" s="26" t="s">
        <v>6396</v>
      </c>
      <c r="E1539" s="26" t="s">
        <v>6443</v>
      </c>
    </row>
    <row r="1540" spans="1:6">
      <c r="A1540" s="26" t="s">
        <v>7408</v>
      </c>
      <c r="B1540" s="26" t="s">
        <v>7905</v>
      </c>
      <c r="C1540" s="26" t="s">
        <v>209</v>
      </c>
      <c r="D1540" s="26" t="s">
        <v>6396</v>
      </c>
      <c r="E1540" s="26" t="s">
        <v>6443</v>
      </c>
    </row>
    <row r="1541" spans="1:6">
      <c r="A1541" s="26" t="s">
        <v>7408</v>
      </c>
      <c r="B1541" s="26" t="s">
        <v>7906</v>
      </c>
      <c r="C1541" s="26" t="s">
        <v>209</v>
      </c>
      <c r="D1541" s="26" t="s">
        <v>6396</v>
      </c>
      <c r="E1541" s="26" t="s">
        <v>6443</v>
      </c>
    </row>
    <row r="1542" spans="1:6">
      <c r="A1542" s="26" t="s">
        <v>7408</v>
      </c>
      <c r="B1542" s="26" t="s">
        <v>7238</v>
      </c>
      <c r="C1542" s="26" t="s">
        <v>7237</v>
      </c>
      <c r="D1542" s="26" t="s">
        <v>6396</v>
      </c>
      <c r="E1542" s="26" t="s">
        <v>6395</v>
      </c>
    </row>
    <row r="1543" spans="1:6">
      <c r="A1543" s="26" t="s">
        <v>7408</v>
      </c>
      <c r="B1543" s="26" t="s">
        <v>6691</v>
      </c>
      <c r="C1543" s="26" t="s">
        <v>6690</v>
      </c>
      <c r="D1543" s="26" t="s">
        <v>6396</v>
      </c>
      <c r="E1543" s="26" t="s">
        <v>6395</v>
      </c>
    </row>
    <row r="1544" spans="1:6">
      <c r="A1544" s="26" t="s">
        <v>7408</v>
      </c>
      <c r="B1544" s="26" t="s">
        <v>7907</v>
      </c>
      <c r="C1544" s="26" t="s">
        <v>7908</v>
      </c>
      <c r="D1544" s="26" t="s">
        <v>6396</v>
      </c>
      <c r="E1544" s="26">
        <v>0</v>
      </c>
      <c r="F1544" s="26" t="s">
        <v>7410</v>
      </c>
    </row>
    <row r="1545" spans="1:6">
      <c r="A1545" s="26" t="s">
        <v>7408</v>
      </c>
      <c r="B1545" s="26" t="s">
        <v>7909</v>
      </c>
      <c r="C1545" s="26" t="s">
        <v>7538</v>
      </c>
      <c r="D1545" s="26" t="s">
        <v>6396</v>
      </c>
      <c r="E1545" s="26" t="s">
        <v>6395</v>
      </c>
    </row>
    <row r="1546" spans="1:6">
      <c r="A1546" s="26" t="s">
        <v>7408</v>
      </c>
      <c r="B1546" s="26" t="s">
        <v>7910</v>
      </c>
      <c r="C1546" s="26" t="s">
        <v>7911</v>
      </c>
      <c r="D1546" s="26" t="s">
        <v>6396</v>
      </c>
      <c r="E1546" s="26" t="s">
        <v>6395</v>
      </c>
    </row>
    <row r="1547" spans="1:6">
      <c r="A1547" s="26" t="s">
        <v>7408</v>
      </c>
      <c r="B1547" s="26" t="s">
        <v>7912</v>
      </c>
      <c r="C1547" s="26" t="s">
        <v>7913</v>
      </c>
      <c r="D1547" s="26" t="s">
        <v>6396</v>
      </c>
      <c r="E1547" s="26" t="s">
        <v>6395</v>
      </c>
    </row>
    <row r="1548" spans="1:6">
      <c r="A1548" s="26" t="s">
        <v>7408</v>
      </c>
      <c r="B1548" s="26" t="s">
        <v>949</v>
      </c>
      <c r="C1548" s="26" t="s">
        <v>950</v>
      </c>
      <c r="D1548" s="26" t="s">
        <v>6396</v>
      </c>
      <c r="E1548" s="26" t="s">
        <v>6395</v>
      </c>
    </row>
    <row r="1549" spans="1:6">
      <c r="A1549" s="26" t="s">
        <v>7408</v>
      </c>
      <c r="B1549" s="26" t="s">
        <v>47</v>
      </c>
      <c r="C1549" s="26" t="s">
        <v>21</v>
      </c>
      <c r="D1549" s="26" t="s">
        <v>6396</v>
      </c>
      <c r="E1549" s="26" t="s">
        <v>6395</v>
      </c>
    </row>
    <row r="1550" spans="1:6">
      <c r="A1550" s="26" t="s">
        <v>7408</v>
      </c>
      <c r="B1550" s="26" t="s">
        <v>7914</v>
      </c>
      <c r="C1550" s="26" t="s">
        <v>7732</v>
      </c>
      <c r="D1550" s="26" t="s">
        <v>6396</v>
      </c>
      <c r="E1550" s="26" t="s">
        <v>6443</v>
      </c>
    </row>
    <row r="1551" spans="1:6">
      <c r="A1551" s="26" t="s">
        <v>7408</v>
      </c>
      <c r="B1551" s="26" t="s">
        <v>7915</v>
      </c>
      <c r="C1551" s="26" t="s">
        <v>7916</v>
      </c>
      <c r="D1551" s="26" t="s">
        <v>6396</v>
      </c>
      <c r="E1551" s="26" t="s">
        <v>6443</v>
      </c>
    </row>
    <row r="1552" spans="1:6">
      <c r="A1552" s="26" t="s">
        <v>7408</v>
      </c>
      <c r="B1552" s="26" t="s">
        <v>7917</v>
      </c>
      <c r="C1552" s="26" t="s">
        <v>6547</v>
      </c>
      <c r="D1552" s="26" t="s">
        <v>6396</v>
      </c>
      <c r="E1552" s="26" t="s">
        <v>6443</v>
      </c>
    </row>
    <row r="1553" spans="1:5">
      <c r="A1553" s="26" t="s">
        <v>7408</v>
      </c>
      <c r="B1553" s="26" t="s">
        <v>7918</v>
      </c>
      <c r="C1553" s="26" t="s">
        <v>7919</v>
      </c>
      <c r="D1553" s="26" t="s">
        <v>6396</v>
      </c>
      <c r="E1553" s="26" t="s">
        <v>6443</v>
      </c>
    </row>
    <row r="1554" spans="1:5">
      <c r="A1554" s="26" t="s">
        <v>7408</v>
      </c>
      <c r="B1554" s="26" t="s">
        <v>7164</v>
      </c>
      <c r="C1554" s="26" t="s">
        <v>3455</v>
      </c>
      <c r="D1554" s="26" t="s">
        <v>6396</v>
      </c>
      <c r="E1554" s="26" t="s">
        <v>6443</v>
      </c>
    </row>
    <row r="1555" spans="1:5">
      <c r="A1555" s="26" t="s">
        <v>7408</v>
      </c>
      <c r="B1555" s="26" t="s">
        <v>7920</v>
      </c>
      <c r="C1555" s="26" t="s">
        <v>7921</v>
      </c>
      <c r="D1555" s="26" t="s">
        <v>6396</v>
      </c>
      <c r="E1555" s="26" t="s">
        <v>6443</v>
      </c>
    </row>
    <row r="1556" spans="1:5">
      <c r="A1556" s="26" t="s">
        <v>7408</v>
      </c>
      <c r="B1556" s="26" t="s">
        <v>7922</v>
      </c>
      <c r="C1556" s="26" t="s">
        <v>7689</v>
      </c>
      <c r="D1556" s="26" t="s">
        <v>6396</v>
      </c>
      <c r="E1556" s="26" t="s">
        <v>6443</v>
      </c>
    </row>
    <row r="1557" spans="1:5">
      <c r="A1557" s="26" t="s">
        <v>7408</v>
      </c>
      <c r="B1557" s="26" t="s">
        <v>7923</v>
      </c>
      <c r="C1557" s="26" t="s">
        <v>209</v>
      </c>
      <c r="D1557" s="26" t="s">
        <v>6396</v>
      </c>
      <c r="E1557" s="26" t="s">
        <v>6443</v>
      </c>
    </row>
    <row r="1558" spans="1:5">
      <c r="A1558" s="26" t="s">
        <v>7408</v>
      </c>
      <c r="B1558" s="26" t="s">
        <v>59</v>
      </c>
      <c r="C1558" s="26" t="s">
        <v>51</v>
      </c>
      <c r="D1558" s="26" t="s">
        <v>6396</v>
      </c>
      <c r="E1558" s="26" t="s">
        <v>6443</v>
      </c>
    </row>
    <row r="1559" spans="1:5">
      <c r="A1559" s="26" t="s">
        <v>7408</v>
      </c>
      <c r="B1559" s="26" t="s">
        <v>7924</v>
      </c>
      <c r="C1559" s="26" t="s">
        <v>7447</v>
      </c>
      <c r="D1559" s="26" t="s">
        <v>6396</v>
      </c>
      <c r="E1559" s="26" t="s">
        <v>6395</v>
      </c>
    </row>
    <row r="1560" spans="1:5">
      <c r="A1560" s="26" t="s">
        <v>7408</v>
      </c>
      <c r="B1560" s="26" t="s">
        <v>7925</v>
      </c>
      <c r="C1560" s="26" t="s">
        <v>7427</v>
      </c>
      <c r="D1560" s="26" t="s">
        <v>6396</v>
      </c>
      <c r="E1560" s="26" t="s">
        <v>6443</v>
      </c>
    </row>
    <row r="1561" spans="1:5">
      <c r="A1561" s="26" t="s">
        <v>7408</v>
      </c>
      <c r="B1561" s="26" t="s">
        <v>7926</v>
      </c>
      <c r="C1561" s="26" t="s">
        <v>7927</v>
      </c>
      <c r="D1561" s="26" t="s">
        <v>6396</v>
      </c>
      <c r="E1561" s="26" t="s">
        <v>6395</v>
      </c>
    </row>
    <row r="1562" spans="1:5">
      <c r="A1562" s="26" t="s">
        <v>7408</v>
      </c>
      <c r="B1562" s="26" t="s">
        <v>7928</v>
      </c>
      <c r="C1562" s="26" t="s">
        <v>7732</v>
      </c>
      <c r="D1562" s="26" t="s">
        <v>6396</v>
      </c>
      <c r="E1562" s="26" t="s">
        <v>6443</v>
      </c>
    </row>
    <row r="1563" spans="1:5">
      <c r="A1563" s="26" t="s">
        <v>7408</v>
      </c>
      <c r="B1563" s="26" t="s">
        <v>6741</v>
      </c>
      <c r="C1563" s="26" t="s">
        <v>7929</v>
      </c>
      <c r="D1563" s="26" t="s">
        <v>6396</v>
      </c>
      <c r="E1563" s="26" t="s">
        <v>6395</v>
      </c>
    </row>
    <row r="1564" spans="1:5">
      <c r="A1564" s="26" t="s">
        <v>7408</v>
      </c>
      <c r="B1564" s="26" t="s">
        <v>2012</v>
      </c>
      <c r="C1564" s="26" t="s">
        <v>7930</v>
      </c>
      <c r="D1564" s="26" t="s">
        <v>6396</v>
      </c>
      <c r="E1564" s="26" t="s">
        <v>6443</v>
      </c>
    </row>
    <row r="1565" spans="1:5">
      <c r="A1565" s="26" t="s">
        <v>7408</v>
      </c>
      <c r="B1565" s="26" t="s">
        <v>7931</v>
      </c>
      <c r="C1565" s="26" t="s">
        <v>7916</v>
      </c>
      <c r="D1565" s="26" t="s">
        <v>6396</v>
      </c>
      <c r="E1565" s="26" t="s">
        <v>6443</v>
      </c>
    </row>
    <row r="1566" spans="1:5">
      <c r="A1566" s="26" t="s">
        <v>7408</v>
      </c>
      <c r="B1566" s="26" t="s">
        <v>7932</v>
      </c>
      <c r="C1566" s="26" t="s">
        <v>209</v>
      </c>
      <c r="D1566" s="26" t="s">
        <v>6396</v>
      </c>
      <c r="E1566" s="26" t="s">
        <v>6443</v>
      </c>
    </row>
    <row r="1567" spans="1:5">
      <c r="A1567" s="26" t="s">
        <v>7408</v>
      </c>
      <c r="B1567" s="26" t="s">
        <v>7933</v>
      </c>
      <c r="C1567" s="26" t="s">
        <v>2465</v>
      </c>
      <c r="D1567" s="26" t="s">
        <v>6396</v>
      </c>
      <c r="E1567" s="26" t="s">
        <v>6395</v>
      </c>
    </row>
    <row r="1568" spans="1:5">
      <c r="A1568" s="26" t="s">
        <v>7408</v>
      </c>
      <c r="B1568" s="26" t="s">
        <v>6706</v>
      </c>
      <c r="C1568" s="26" t="s">
        <v>245</v>
      </c>
      <c r="D1568" s="26" t="s">
        <v>6396</v>
      </c>
      <c r="E1568" s="26" t="s">
        <v>6395</v>
      </c>
    </row>
    <row r="1569" spans="1:6">
      <c r="A1569" s="26" t="s">
        <v>7408</v>
      </c>
      <c r="B1569" s="26" t="s">
        <v>324</v>
      </c>
      <c r="C1569" s="26" t="s">
        <v>7934</v>
      </c>
      <c r="D1569" s="26" t="s">
        <v>6396</v>
      </c>
      <c r="E1569" s="26" t="s">
        <v>6395</v>
      </c>
    </row>
    <row r="1570" spans="1:6">
      <c r="A1570" s="26" t="s">
        <v>7408</v>
      </c>
      <c r="B1570" s="26" t="s">
        <v>7024</v>
      </c>
      <c r="C1570" s="26" t="s">
        <v>227</v>
      </c>
      <c r="D1570" s="26" t="s">
        <v>6396</v>
      </c>
      <c r="E1570" s="26" t="s">
        <v>6395</v>
      </c>
    </row>
    <row r="1571" spans="1:6">
      <c r="A1571" s="26" t="s">
        <v>7408</v>
      </c>
      <c r="B1571" s="26" t="s">
        <v>7935</v>
      </c>
      <c r="C1571" s="26" t="s">
        <v>7936</v>
      </c>
      <c r="D1571" s="26" t="s">
        <v>6396</v>
      </c>
      <c r="E1571" s="26" t="s">
        <v>6443</v>
      </c>
    </row>
    <row r="1572" spans="1:6">
      <c r="A1572" s="26" t="s">
        <v>7408</v>
      </c>
      <c r="B1572" s="26" t="s">
        <v>6893</v>
      </c>
      <c r="C1572" s="26" t="s">
        <v>7937</v>
      </c>
      <c r="D1572" s="26" t="s">
        <v>6396</v>
      </c>
      <c r="E1572" s="26" t="s">
        <v>6395</v>
      </c>
    </row>
    <row r="1573" spans="1:6">
      <c r="A1573" s="26" t="s">
        <v>7408</v>
      </c>
      <c r="B1573" s="26" t="s">
        <v>3399</v>
      </c>
      <c r="C1573" s="26" t="s">
        <v>3400</v>
      </c>
      <c r="D1573" s="26" t="s">
        <v>6396</v>
      </c>
      <c r="E1573" s="26" t="s">
        <v>6395</v>
      </c>
    </row>
    <row r="1574" spans="1:6">
      <c r="A1574" s="26" t="s">
        <v>7408</v>
      </c>
      <c r="B1574" s="26" t="s">
        <v>607</v>
      </c>
      <c r="C1574" s="26" t="s">
        <v>7938</v>
      </c>
      <c r="D1574" s="26" t="s">
        <v>6396</v>
      </c>
      <c r="E1574" s="26">
        <v>0</v>
      </c>
      <c r="F1574" s="26" t="s">
        <v>7410</v>
      </c>
    </row>
    <row r="1575" spans="1:6">
      <c r="A1575" s="26" t="s">
        <v>7408</v>
      </c>
      <c r="B1575" s="26" t="s">
        <v>7280</v>
      </c>
      <c r="C1575" s="26" t="s">
        <v>707</v>
      </c>
      <c r="D1575" s="26" t="s">
        <v>6396</v>
      </c>
      <c r="E1575" s="26" t="s">
        <v>6395</v>
      </c>
    </row>
    <row r="1576" spans="1:6">
      <c r="A1576" s="26" t="s">
        <v>7408</v>
      </c>
      <c r="B1576" s="26" t="s">
        <v>7939</v>
      </c>
      <c r="C1576" s="26" t="s">
        <v>7940</v>
      </c>
      <c r="D1576" s="26" t="s">
        <v>6396</v>
      </c>
      <c r="E1576" s="26" t="s">
        <v>6443</v>
      </c>
    </row>
    <row r="1577" spans="1:6">
      <c r="A1577" s="26" t="s">
        <v>7408</v>
      </c>
      <c r="B1577" s="26" t="s">
        <v>1078</v>
      </c>
      <c r="C1577" s="26" t="s">
        <v>154</v>
      </c>
      <c r="D1577" s="26" t="s">
        <v>6396</v>
      </c>
      <c r="E1577" s="26" t="s">
        <v>6395</v>
      </c>
    </row>
    <row r="1578" spans="1:6">
      <c r="A1578" s="26" t="s">
        <v>7408</v>
      </c>
      <c r="B1578" s="26" t="s">
        <v>642</v>
      </c>
      <c r="C1578" s="26" t="s">
        <v>643</v>
      </c>
      <c r="D1578" s="26" t="s">
        <v>6396</v>
      </c>
      <c r="E1578" s="26" t="s">
        <v>6395</v>
      </c>
    </row>
    <row r="1579" spans="1:6">
      <c r="A1579" s="26" t="s">
        <v>7942</v>
      </c>
      <c r="B1579" s="26" t="s">
        <v>7943</v>
      </c>
      <c r="C1579" s="26" t="s">
        <v>3319</v>
      </c>
      <c r="D1579" s="26" t="s">
        <v>6396</v>
      </c>
      <c r="E1579" s="26" t="s">
        <v>6395</v>
      </c>
    </row>
    <row r="1580" spans="1:6">
      <c r="A1580" s="26" t="s">
        <v>7942</v>
      </c>
      <c r="B1580" s="26" t="s">
        <v>693</v>
      </c>
      <c r="D1580" s="26" t="s">
        <v>6396</v>
      </c>
      <c r="E1580" s="26" t="s">
        <v>6395</v>
      </c>
    </row>
    <row r="1581" spans="1:6">
      <c r="A1581" s="26" t="s">
        <v>7942</v>
      </c>
      <c r="B1581" s="26" t="s">
        <v>255</v>
      </c>
      <c r="D1581" s="26" t="s">
        <v>6396</v>
      </c>
      <c r="E1581" s="26" t="s">
        <v>6395</v>
      </c>
    </row>
    <row r="1582" spans="1:6">
      <c r="A1582" s="26" t="s">
        <v>7942</v>
      </c>
      <c r="B1582" s="26" t="s">
        <v>6606</v>
      </c>
      <c r="D1582" s="26" t="s">
        <v>6396</v>
      </c>
      <c r="E1582" s="26" t="s">
        <v>6395</v>
      </c>
    </row>
    <row r="1583" spans="1:6">
      <c r="A1583" s="26" t="s">
        <v>7942</v>
      </c>
      <c r="B1583" s="26" t="s">
        <v>2368</v>
      </c>
      <c r="D1583" s="26" t="s">
        <v>6396</v>
      </c>
      <c r="E1583" s="26" t="s">
        <v>6395</v>
      </c>
    </row>
    <row r="1584" spans="1:6">
      <c r="A1584" s="26" t="s">
        <v>7942</v>
      </c>
      <c r="B1584" s="26" t="s">
        <v>1451</v>
      </c>
      <c r="D1584" s="26" t="s">
        <v>6396</v>
      </c>
      <c r="E1584" s="26" t="s">
        <v>6395</v>
      </c>
    </row>
    <row r="1585" spans="1:5">
      <c r="A1585" s="26" t="s">
        <v>7942</v>
      </c>
      <c r="B1585" s="26" t="s">
        <v>6622</v>
      </c>
      <c r="D1585" s="26" t="s">
        <v>6396</v>
      </c>
      <c r="E1585" s="26" t="s">
        <v>6395</v>
      </c>
    </row>
    <row r="1586" spans="1:5">
      <c r="A1586" s="26" t="s">
        <v>7942</v>
      </c>
      <c r="B1586" s="26" t="s">
        <v>7465</v>
      </c>
      <c r="D1586" s="26" t="s">
        <v>6396</v>
      </c>
      <c r="E1586" s="26" t="s">
        <v>6443</v>
      </c>
    </row>
    <row r="1587" spans="1:5">
      <c r="A1587" s="26" t="s">
        <v>7942</v>
      </c>
      <c r="B1587" s="26" t="s">
        <v>946</v>
      </c>
      <c r="D1587" s="26" t="s">
        <v>6396</v>
      </c>
      <c r="E1587" s="26" t="s">
        <v>6395</v>
      </c>
    </row>
    <row r="1588" spans="1:5">
      <c r="A1588" s="26" t="s">
        <v>7942</v>
      </c>
      <c r="B1588" s="26" t="s">
        <v>6915</v>
      </c>
      <c r="D1588" s="26" t="s">
        <v>6396</v>
      </c>
      <c r="E1588" s="26" t="s">
        <v>6443</v>
      </c>
    </row>
    <row r="1589" spans="1:5">
      <c r="A1589" s="26" t="s">
        <v>7942</v>
      </c>
      <c r="B1589" s="26" t="s">
        <v>7483</v>
      </c>
      <c r="D1589" s="26" t="s">
        <v>6396</v>
      </c>
      <c r="E1589" s="26" t="s">
        <v>6443</v>
      </c>
    </row>
    <row r="1590" spans="1:5">
      <c r="A1590" s="26" t="s">
        <v>7942</v>
      </c>
      <c r="B1590" s="26" t="s">
        <v>6569</v>
      </c>
      <c r="D1590" s="26" t="s">
        <v>6396</v>
      </c>
      <c r="E1590" s="26" t="s">
        <v>6443</v>
      </c>
    </row>
    <row r="1591" spans="1:5">
      <c r="A1591" s="26" t="s">
        <v>7942</v>
      </c>
      <c r="B1591" s="26" t="s">
        <v>7475</v>
      </c>
      <c r="D1591" s="26" t="s">
        <v>6396</v>
      </c>
      <c r="E1591" s="26" t="s">
        <v>6443</v>
      </c>
    </row>
    <row r="1592" spans="1:5">
      <c r="A1592" s="26" t="s">
        <v>7942</v>
      </c>
      <c r="B1592" s="26" t="s">
        <v>7944</v>
      </c>
      <c r="D1592" s="26" t="s">
        <v>6396</v>
      </c>
      <c r="E1592" s="26" t="s">
        <v>6395</v>
      </c>
    </row>
    <row r="1593" spans="1:5">
      <c r="A1593" s="26" t="s">
        <v>7942</v>
      </c>
      <c r="B1593" s="26" t="s">
        <v>2322</v>
      </c>
      <c r="D1593" s="26" t="s">
        <v>6396</v>
      </c>
      <c r="E1593" s="26" t="s">
        <v>6871</v>
      </c>
    </row>
    <row r="1594" spans="1:5">
      <c r="A1594" s="26" t="s">
        <v>7942</v>
      </c>
      <c r="B1594" s="26" t="s">
        <v>7945</v>
      </c>
      <c r="D1594" s="26" t="s">
        <v>6396</v>
      </c>
      <c r="E1594" s="26" t="s">
        <v>6395</v>
      </c>
    </row>
    <row r="1595" spans="1:5">
      <c r="A1595" s="26" t="s">
        <v>7942</v>
      </c>
      <c r="B1595" s="26" t="s">
        <v>7946</v>
      </c>
      <c r="D1595" s="26" t="s">
        <v>6396</v>
      </c>
      <c r="E1595" s="26" t="s">
        <v>6443</v>
      </c>
    </row>
    <row r="1596" spans="1:5">
      <c r="A1596" s="26" t="s">
        <v>7942</v>
      </c>
      <c r="B1596" s="26" t="s">
        <v>6784</v>
      </c>
      <c r="D1596" s="26" t="s">
        <v>6396</v>
      </c>
      <c r="E1596" s="26" t="s">
        <v>6395</v>
      </c>
    </row>
    <row r="1597" spans="1:5">
      <c r="A1597" s="26" t="s">
        <v>7942</v>
      </c>
      <c r="B1597" s="26" t="s">
        <v>7947</v>
      </c>
      <c r="D1597" s="26" t="s">
        <v>6396</v>
      </c>
      <c r="E1597" s="26" t="s">
        <v>6395</v>
      </c>
    </row>
    <row r="1598" spans="1:5">
      <c r="A1598" s="26" t="s">
        <v>7942</v>
      </c>
      <c r="B1598" s="26" t="s">
        <v>7948</v>
      </c>
      <c r="D1598" s="26" t="s">
        <v>6396</v>
      </c>
      <c r="E1598" s="26" t="s">
        <v>6395</v>
      </c>
    </row>
    <row r="1599" spans="1:5">
      <c r="A1599" s="26" t="s">
        <v>7942</v>
      </c>
      <c r="B1599" s="26" t="s">
        <v>7949</v>
      </c>
      <c r="D1599" s="26" t="s">
        <v>6396</v>
      </c>
      <c r="E1599" s="26" t="s">
        <v>6395</v>
      </c>
    </row>
    <row r="1600" spans="1:5">
      <c r="A1600" s="26" t="s">
        <v>7942</v>
      </c>
      <c r="B1600" s="26" t="s">
        <v>6929</v>
      </c>
      <c r="D1600" s="26" t="s">
        <v>6396</v>
      </c>
      <c r="E1600" s="26" t="s">
        <v>6395</v>
      </c>
    </row>
    <row r="1601" spans="1:5">
      <c r="A1601" s="26" t="s">
        <v>7942</v>
      </c>
      <c r="B1601" s="26" t="s">
        <v>1782</v>
      </c>
      <c r="D1601" s="26" t="s">
        <v>6396</v>
      </c>
      <c r="E1601" s="26" t="s">
        <v>6443</v>
      </c>
    </row>
    <row r="1602" spans="1:5">
      <c r="A1602" s="26" t="s">
        <v>7942</v>
      </c>
      <c r="B1602" s="26" t="s">
        <v>7950</v>
      </c>
      <c r="D1602" s="26" t="s">
        <v>6396</v>
      </c>
      <c r="E1602" s="26" t="s">
        <v>6395</v>
      </c>
    </row>
    <row r="1603" spans="1:5">
      <c r="A1603" s="26" t="s">
        <v>7942</v>
      </c>
      <c r="B1603" s="26" t="s">
        <v>7951</v>
      </c>
      <c r="D1603" s="26" t="s">
        <v>6396</v>
      </c>
      <c r="E1603" s="26" t="s">
        <v>6443</v>
      </c>
    </row>
    <row r="1604" spans="1:5">
      <c r="A1604" s="26" t="s">
        <v>7942</v>
      </c>
      <c r="B1604" s="26" t="s">
        <v>7952</v>
      </c>
      <c r="D1604" s="26" t="s">
        <v>6396</v>
      </c>
      <c r="E1604" s="26" t="s">
        <v>6443</v>
      </c>
    </row>
    <row r="1605" spans="1:5">
      <c r="A1605" s="26" t="s">
        <v>7942</v>
      </c>
      <c r="B1605" s="26" t="s">
        <v>7953</v>
      </c>
      <c r="D1605" s="26" t="s">
        <v>6396</v>
      </c>
      <c r="E1605" s="26" t="s">
        <v>6395</v>
      </c>
    </row>
    <row r="1606" spans="1:5">
      <c r="A1606" s="26" t="s">
        <v>7942</v>
      </c>
      <c r="B1606" s="26" t="s">
        <v>7284</v>
      </c>
      <c r="D1606" s="26" t="s">
        <v>6396</v>
      </c>
      <c r="E1606" s="26" t="s">
        <v>6395</v>
      </c>
    </row>
    <row r="1607" spans="1:5">
      <c r="A1607" s="26" t="s">
        <v>7942</v>
      </c>
      <c r="B1607" s="26" t="s">
        <v>7954</v>
      </c>
      <c r="D1607" s="26" t="s">
        <v>6396</v>
      </c>
      <c r="E1607" s="26" t="s">
        <v>6395</v>
      </c>
    </row>
    <row r="1608" spans="1:5">
      <c r="A1608" s="26" t="s">
        <v>7942</v>
      </c>
      <c r="B1608" s="26" t="s">
        <v>7955</v>
      </c>
      <c r="D1608" s="26" t="s">
        <v>6396</v>
      </c>
      <c r="E1608" s="26" t="s">
        <v>6395</v>
      </c>
    </row>
    <row r="1609" spans="1:5">
      <c r="A1609" s="26" t="s">
        <v>7942</v>
      </c>
      <c r="B1609" s="26" t="s">
        <v>7956</v>
      </c>
      <c r="D1609" s="26" t="s">
        <v>6396</v>
      </c>
      <c r="E1609" s="26" t="s">
        <v>7957</v>
      </c>
    </row>
    <row r="1610" spans="1:5">
      <c r="A1610" s="26" t="s">
        <v>7942</v>
      </c>
      <c r="B1610" s="26" t="s">
        <v>7958</v>
      </c>
      <c r="D1610" s="26" t="s">
        <v>6396</v>
      </c>
      <c r="E1610" s="26" t="s">
        <v>6395</v>
      </c>
    </row>
    <row r="1611" spans="1:5">
      <c r="A1611" s="26" t="s">
        <v>7942</v>
      </c>
      <c r="B1611" s="26" t="s">
        <v>7959</v>
      </c>
      <c r="D1611" s="26" t="s">
        <v>6396</v>
      </c>
      <c r="E1611" s="26" t="s">
        <v>6443</v>
      </c>
    </row>
    <row r="1612" spans="1:5">
      <c r="A1612" s="26" t="s">
        <v>7942</v>
      </c>
      <c r="B1612" s="26" t="s">
        <v>7234</v>
      </c>
      <c r="D1612" s="26" t="s">
        <v>6396</v>
      </c>
      <c r="E1612" s="26" t="s">
        <v>6443</v>
      </c>
    </row>
    <row r="1613" spans="1:5">
      <c r="A1613" s="26" t="s">
        <v>7942</v>
      </c>
      <c r="B1613" s="26" t="s">
        <v>1867</v>
      </c>
      <c r="D1613" s="26" t="s">
        <v>6396</v>
      </c>
      <c r="E1613" s="26" t="s">
        <v>6395</v>
      </c>
    </row>
    <row r="1614" spans="1:5">
      <c r="A1614" s="26" t="s">
        <v>7942</v>
      </c>
      <c r="B1614" s="26" t="s">
        <v>1529</v>
      </c>
      <c r="D1614" s="26" t="s">
        <v>6396</v>
      </c>
      <c r="E1614" s="26" t="s">
        <v>6395</v>
      </c>
    </row>
    <row r="1615" spans="1:5">
      <c r="A1615" s="26" t="s">
        <v>7942</v>
      </c>
      <c r="B1615" s="26" t="s">
        <v>7960</v>
      </c>
      <c r="D1615" s="26" t="s">
        <v>6396</v>
      </c>
      <c r="E1615" s="26" t="s">
        <v>6395</v>
      </c>
    </row>
    <row r="1616" spans="1:5">
      <c r="A1616" s="26" t="s">
        <v>7942</v>
      </c>
      <c r="B1616" s="26" t="s">
        <v>7961</v>
      </c>
      <c r="D1616" s="26" t="s">
        <v>6396</v>
      </c>
      <c r="E1616" s="26" t="s">
        <v>6395</v>
      </c>
    </row>
    <row r="1617" spans="1:5">
      <c r="A1617" s="26" t="s">
        <v>7942</v>
      </c>
      <c r="B1617" s="26" t="s">
        <v>7509</v>
      </c>
      <c r="D1617" s="26" t="s">
        <v>6396</v>
      </c>
      <c r="E1617" s="26" t="s">
        <v>6443</v>
      </c>
    </row>
    <row r="1618" spans="1:5">
      <c r="A1618" s="26" t="s">
        <v>7942</v>
      </c>
      <c r="B1618" s="26" t="s">
        <v>7962</v>
      </c>
      <c r="D1618" s="26" t="s">
        <v>6396</v>
      </c>
      <c r="E1618" s="26" t="s">
        <v>6395</v>
      </c>
    </row>
    <row r="1619" spans="1:5">
      <c r="A1619" s="26" t="s">
        <v>7942</v>
      </c>
      <c r="B1619" s="26" t="s">
        <v>1709</v>
      </c>
      <c r="D1619" s="26" t="s">
        <v>6396</v>
      </c>
      <c r="E1619" s="26" t="s">
        <v>6395</v>
      </c>
    </row>
    <row r="1620" spans="1:5">
      <c r="A1620" s="26" t="s">
        <v>7942</v>
      </c>
      <c r="B1620" s="26" t="s">
        <v>7388</v>
      </c>
      <c r="D1620" s="26" t="s">
        <v>6396</v>
      </c>
      <c r="E1620" s="26" t="s">
        <v>6443</v>
      </c>
    </row>
    <row r="1621" spans="1:5">
      <c r="A1621" s="26" t="s">
        <v>7942</v>
      </c>
      <c r="B1621" s="26" t="s">
        <v>6463</v>
      </c>
      <c r="D1621" s="26" t="s">
        <v>6396</v>
      </c>
      <c r="E1621" s="26" t="s">
        <v>6395</v>
      </c>
    </row>
    <row r="1622" spans="1:5">
      <c r="A1622" s="26" t="s">
        <v>7942</v>
      </c>
      <c r="B1622" s="26" t="s">
        <v>7134</v>
      </c>
      <c r="D1622" s="26" t="s">
        <v>6396</v>
      </c>
      <c r="E1622" s="26" t="s">
        <v>6395</v>
      </c>
    </row>
    <row r="1623" spans="1:5">
      <c r="A1623" s="26" t="s">
        <v>7942</v>
      </c>
      <c r="B1623" s="26" t="s">
        <v>7963</v>
      </c>
      <c r="D1623" s="26" t="s">
        <v>6396</v>
      </c>
      <c r="E1623" s="26" t="s">
        <v>6395</v>
      </c>
    </row>
    <row r="1624" spans="1:5">
      <c r="A1624" s="26" t="s">
        <v>7942</v>
      </c>
      <c r="B1624" s="26" t="s">
        <v>883</v>
      </c>
      <c r="D1624" s="26" t="s">
        <v>6396</v>
      </c>
      <c r="E1624" s="26" t="s">
        <v>6395</v>
      </c>
    </row>
    <row r="1625" spans="1:5">
      <c r="A1625" s="26" t="s">
        <v>7942</v>
      </c>
      <c r="B1625" s="26" t="s">
        <v>7964</v>
      </c>
      <c r="D1625" s="26" t="s">
        <v>6396</v>
      </c>
      <c r="E1625" s="26" t="s">
        <v>6443</v>
      </c>
    </row>
    <row r="1626" spans="1:5">
      <c r="A1626" s="26" t="s">
        <v>7942</v>
      </c>
      <c r="B1626" s="26" t="s">
        <v>7965</v>
      </c>
      <c r="D1626" s="26" t="s">
        <v>6396</v>
      </c>
      <c r="E1626" s="26" t="s">
        <v>6395</v>
      </c>
    </row>
    <row r="1627" spans="1:5">
      <c r="A1627" s="26" t="s">
        <v>7942</v>
      </c>
      <c r="B1627" s="26" t="s">
        <v>259</v>
      </c>
      <c r="D1627" s="26" t="s">
        <v>6396</v>
      </c>
      <c r="E1627" s="26" t="s">
        <v>6395</v>
      </c>
    </row>
    <row r="1628" spans="1:5">
      <c r="A1628" s="26" t="s">
        <v>7942</v>
      </c>
      <c r="B1628" s="26" t="s">
        <v>6546</v>
      </c>
      <c r="D1628" s="26" t="s">
        <v>6396</v>
      </c>
      <c r="E1628" s="26" t="s">
        <v>6443</v>
      </c>
    </row>
    <row r="1629" spans="1:5">
      <c r="A1629" s="26" t="s">
        <v>7942</v>
      </c>
      <c r="B1629" s="26" t="s">
        <v>7966</v>
      </c>
      <c r="D1629" s="26" t="s">
        <v>6396</v>
      </c>
      <c r="E1629" s="26" t="s">
        <v>6395</v>
      </c>
    </row>
    <row r="1630" spans="1:5">
      <c r="A1630" s="26" t="s">
        <v>7942</v>
      </c>
      <c r="B1630" s="26" t="s">
        <v>7967</v>
      </c>
      <c r="D1630" s="26" t="s">
        <v>6396</v>
      </c>
      <c r="E1630" s="26" t="s">
        <v>6443</v>
      </c>
    </row>
    <row r="1631" spans="1:5">
      <c r="A1631" s="26" t="s">
        <v>7942</v>
      </c>
      <c r="B1631" s="26" t="s">
        <v>3823</v>
      </c>
      <c r="D1631" s="26" t="s">
        <v>6396</v>
      </c>
      <c r="E1631" s="26" t="s">
        <v>6395</v>
      </c>
    </row>
    <row r="1632" spans="1:5">
      <c r="A1632" s="26" t="s">
        <v>7942</v>
      </c>
      <c r="B1632" s="26" t="s">
        <v>6643</v>
      </c>
      <c r="D1632" s="26" t="s">
        <v>6396</v>
      </c>
      <c r="E1632" s="26" t="s">
        <v>6395</v>
      </c>
    </row>
    <row r="1633" spans="1:5">
      <c r="A1633" s="26" t="s">
        <v>7942</v>
      </c>
      <c r="B1633" s="26" t="s">
        <v>150</v>
      </c>
      <c r="D1633" s="26" t="s">
        <v>6396</v>
      </c>
      <c r="E1633" s="26" t="s">
        <v>10253</v>
      </c>
    </row>
    <row r="1634" spans="1:5">
      <c r="A1634" s="26" t="s">
        <v>7942</v>
      </c>
      <c r="B1634" s="26" t="s">
        <v>7968</v>
      </c>
      <c r="D1634" s="26" t="s">
        <v>6396</v>
      </c>
      <c r="E1634" s="26" t="s">
        <v>6395</v>
      </c>
    </row>
    <row r="1635" spans="1:5">
      <c r="A1635" s="26" t="s">
        <v>7942</v>
      </c>
      <c r="B1635" s="26" t="s">
        <v>7969</v>
      </c>
      <c r="D1635" s="26" t="s">
        <v>6396</v>
      </c>
      <c r="E1635" s="26" t="s">
        <v>6395</v>
      </c>
    </row>
    <row r="1636" spans="1:5">
      <c r="A1636" s="26" t="s">
        <v>7942</v>
      </c>
      <c r="B1636" s="26" t="s">
        <v>7970</v>
      </c>
      <c r="D1636" s="26" t="s">
        <v>6396</v>
      </c>
      <c r="E1636" s="26" t="s">
        <v>6443</v>
      </c>
    </row>
    <row r="1637" spans="1:5">
      <c r="A1637" s="26" t="s">
        <v>7942</v>
      </c>
      <c r="B1637" s="26" t="s">
        <v>6413</v>
      </c>
      <c r="D1637" s="26" t="s">
        <v>6396</v>
      </c>
      <c r="E1637" s="26" t="s">
        <v>6443</v>
      </c>
    </row>
    <row r="1638" spans="1:5">
      <c r="A1638" s="26" t="s">
        <v>7942</v>
      </c>
      <c r="B1638" s="26" t="s">
        <v>3501</v>
      </c>
      <c r="D1638" s="26" t="s">
        <v>6396</v>
      </c>
      <c r="E1638" s="26" t="s">
        <v>6395</v>
      </c>
    </row>
    <row r="1639" spans="1:5">
      <c r="A1639" s="26" t="s">
        <v>7942</v>
      </c>
      <c r="B1639" s="26" t="s">
        <v>2067</v>
      </c>
      <c r="D1639" s="26" t="s">
        <v>6396</v>
      </c>
      <c r="E1639" s="26" t="s">
        <v>6395</v>
      </c>
    </row>
    <row r="1640" spans="1:5">
      <c r="A1640" s="26" t="s">
        <v>7942</v>
      </c>
      <c r="B1640" s="26" t="s">
        <v>2036</v>
      </c>
      <c r="D1640" s="26" t="s">
        <v>6396</v>
      </c>
      <c r="E1640" s="26" t="s">
        <v>6395</v>
      </c>
    </row>
    <row r="1641" spans="1:5">
      <c r="A1641" s="26" t="s">
        <v>7942</v>
      </c>
      <c r="B1641" s="26" t="s">
        <v>7266</v>
      </c>
      <c r="D1641" s="26" t="s">
        <v>6396</v>
      </c>
      <c r="E1641" s="26" t="s">
        <v>6395</v>
      </c>
    </row>
    <row r="1642" spans="1:5">
      <c r="A1642" s="26" t="s">
        <v>7942</v>
      </c>
      <c r="B1642" s="26" t="s">
        <v>6574</v>
      </c>
      <c r="D1642" s="26" t="s">
        <v>6396</v>
      </c>
      <c r="E1642" s="26" t="s">
        <v>6395</v>
      </c>
    </row>
    <row r="1643" spans="1:5">
      <c r="A1643" s="26" t="s">
        <v>7942</v>
      </c>
      <c r="B1643" s="26" t="s">
        <v>7971</v>
      </c>
      <c r="D1643" s="26" t="s">
        <v>6396</v>
      </c>
      <c r="E1643" s="26" t="s">
        <v>6395</v>
      </c>
    </row>
    <row r="1644" spans="1:5">
      <c r="A1644" s="26" t="s">
        <v>7942</v>
      </c>
      <c r="B1644" s="26" t="s">
        <v>7972</v>
      </c>
      <c r="D1644" s="26" t="s">
        <v>6396</v>
      </c>
      <c r="E1644" s="26" t="s">
        <v>6395</v>
      </c>
    </row>
    <row r="1645" spans="1:5">
      <c r="A1645" s="26" t="s">
        <v>7942</v>
      </c>
      <c r="B1645" s="26" t="s">
        <v>497</v>
      </c>
      <c r="D1645" s="26" t="s">
        <v>6396</v>
      </c>
      <c r="E1645" s="26" t="s">
        <v>6395</v>
      </c>
    </row>
    <row r="1646" spans="1:5">
      <c r="A1646" s="26" t="s">
        <v>7942</v>
      </c>
      <c r="B1646" s="26" t="s">
        <v>7973</v>
      </c>
      <c r="D1646" s="26" t="s">
        <v>6396</v>
      </c>
      <c r="E1646" s="26" t="s">
        <v>6443</v>
      </c>
    </row>
    <row r="1647" spans="1:5">
      <c r="A1647" s="26" t="s">
        <v>7942</v>
      </c>
      <c r="B1647" s="26" t="s">
        <v>7218</v>
      </c>
      <c r="D1647" s="26" t="s">
        <v>6396</v>
      </c>
      <c r="E1647" s="26" t="s">
        <v>6443</v>
      </c>
    </row>
    <row r="1648" spans="1:5">
      <c r="A1648" s="26" t="s">
        <v>7942</v>
      </c>
      <c r="B1648" s="26" t="s">
        <v>7547</v>
      </c>
      <c r="D1648" s="26" t="s">
        <v>6396</v>
      </c>
      <c r="E1648" s="26" t="s">
        <v>6443</v>
      </c>
    </row>
    <row r="1649" spans="1:5">
      <c r="A1649" s="26" t="s">
        <v>7942</v>
      </c>
      <c r="B1649" s="26" t="s">
        <v>7974</v>
      </c>
      <c r="D1649" s="26" t="s">
        <v>6396</v>
      </c>
      <c r="E1649" s="26" t="s">
        <v>6395</v>
      </c>
    </row>
    <row r="1650" spans="1:5">
      <c r="A1650" s="26" t="s">
        <v>7942</v>
      </c>
      <c r="B1650" s="26" t="s">
        <v>7583</v>
      </c>
      <c r="D1650" s="26" t="s">
        <v>6396</v>
      </c>
      <c r="E1650" s="26" t="s">
        <v>6395</v>
      </c>
    </row>
    <row r="1651" spans="1:5">
      <c r="A1651" s="26" t="s">
        <v>7942</v>
      </c>
      <c r="B1651" s="26" t="s">
        <v>7975</v>
      </c>
      <c r="D1651" s="26" t="s">
        <v>6396</v>
      </c>
      <c r="E1651" s="26" t="s">
        <v>6443</v>
      </c>
    </row>
    <row r="1652" spans="1:5">
      <c r="A1652" s="26" t="s">
        <v>7942</v>
      </c>
      <c r="B1652" s="26" t="s">
        <v>7591</v>
      </c>
      <c r="D1652" s="26" t="s">
        <v>6396</v>
      </c>
      <c r="E1652" s="26" t="s">
        <v>6443</v>
      </c>
    </row>
    <row r="1653" spans="1:5">
      <c r="A1653" s="26" t="s">
        <v>7942</v>
      </c>
      <c r="B1653" s="26" t="s">
        <v>6918</v>
      </c>
      <c r="D1653" s="26" t="s">
        <v>6396</v>
      </c>
      <c r="E1653" s="26" t="s">
        <v>6395</v>
      </c>
    </row>
    <row r="1654" spans="1:5">
      <c r="A1654" s="26" t="s">
        <v>7942</v>
      </c>
      <c r="B1654" s="26" t="s">
        <v>1949</v>
      </c>
      <c r="D1654" s="26" t="s">
        <v>6396</v>
      </c>
      <c r="E1654" s="26" t="s">
        <v>6871</v>
      </c>
    </row>
    <row r="1655" spans="1:5">
      <c r="A1655" s="26" t="s">
        <v>7942</v>
      </c>
      <c r="B1655" s="26" t="s">
        <v>1044</v>
      </c>
      <c r="D1655" s="26" t="s">
        <v>6396</v>
      </c>
      <c r="E1655" s="26" t="s">
        <v>6395</v>
      </c>
    </row>
    <row r="1656" spans="1:5">
      <c r="A1656" s="26" t="s">
        <v>7942</v>
      </c>
      <c r="B1656" s="26" t="s">
        <v>7604</v>
      </c>
      <c r="D1656" s="26" t="s">
        <v>6396</v>
      </c>
      <c r="E1656" s="26" t="s">
        <v>6443</v>
      </c>
    </row>
    <row r="1657" spans="1:5">
      <c r="A1657" s="26" t="s">
        <v>7942</v>
      </c>
      <c r="B1657" s="26" t="s">
        <v>2751</v>
      </c>
      <c r="D1657" s="26" t="s">
        <v>6396</v>
      </c>
      <c r="E1657" s="26" t="s">
        <v>6395</v>
      </c>
    </row>
    <row r="1658" spans="1:5">
      <c r="A1658" s="26" t="s">
        <v>7942</v>
      </c>
      <c r="B1658" s="26" t="s">
        <v>2370</v>
      </c>
      <c r="D1658" s="26" t="s">
        <v>6396</v>
      </c>
      <c r="E1658" s="26" t="s">
        <v>6395</v>
      </c>
    </row>
    <row r="1659" spans="1:5">
      <c r="A1659" s="26" t="s">
        <v>7942</v>
      </c>
      <c r="B1659" s="26" t="s">
        <v>7202</v>
      </c>
      <c r="D1659" s="26" t="s">
        <v>6396</v>
      </c>
      <c r="E1659" s="26" t="s">
        <v>6395</v>
      </c>
    </row>
    <row r="1660" spans="1:5">
      <c r="A1660" s="26" t="s">
        <v>7942</v>
      </c>
      <c r="B1660" s="26" t="s">
        <v>2283</v>
      </c>
      <c r="D1660" s="26" t="s">
        <v>6396</v>
      </c>
      <c r="E1660" s="26" t="s">
        <v>6395</v>
      </c>
    </row>
    <row r="1661" spans="1:5">
      <c r="A1661" s="26" t="s">
        <v>7942</v>
      </c>
      <c r="B1661" s="26" t="s">
        <v>2927</v>
      </c>
      <c r="D1661" s="26" t="s">
        <v>6396</v>
      </c>
      <c r="E1661" s="26" t="s">
        <v>6871</v>
      </c>
    </row>
    <row r="1662" spans="1:5">
      <c r="A1662" s="26" t="s">
        <v>7942</v>
      </c>
      <c r="B1662" s="26" t="s">
        <v>7976</v>
      </c>
      <c r="D1662" s="26" t="s">
        <v>6396</v>
      </c>
      <c r="E1662" s="26" t="s">
        <v>6395</v>
      </c>
    </row>
    <row r="1663" spans="1:5">
      <c r="A1663" s="26" t="s">
        <v>7942</v>
      </c>
      <c r="B1663" s="26" t="s">
        <v>7977</v>
      </c>
      <c r="D1663" s="26" t="s">
        <v>6396</v>
      </c>
      <c r="E1663" s="26" t="s">
        <v>6443</v>
      </c>
    </row>
    <row r="1664" spans="1:5">
      <c r="A1664" s="26" t="s">
        <v>7942</v>
      </c>
      <c r="B1664" s="26" t="s">
        <v>7978</v>
      </c>
      <c r="D1664" s="26" t="s">
        <v>6396</v>
      </c>
      <c r="E1664" s="26" t="s">
        <v>6443</v>
      </c>
    </row>
    <row r="1665" spans="1:5">
      <c r="A1665" s="26" t="s">
        <v>7942</v>
      </c>
      <c r="B1665" s="26" t="s">
        <v>7979</v>
      </c>
      <c r="D1665" s="26" t="s">
        <v>6396</v>
      </c>
      <c r="E1665" s="26" t="s">
        <v>6395</v>
      </c>
    </row>
    <row r="1666" spans="1:5">
      <c r="A1666" s="26" t="s">
        <v>7942</v>
      </c>
      <c r="B1666" s="26" t="s">
        <v>7980</v>
      </c>
      <c r="D1666" s="26" t="s">
        <v>6396</v>
      </c>
      <c r="E1666" s="26" t="s">
        <v>6395</v>
      </c>
    </row>
    <row r="1667" spans="1:5">
      <c r="A1667" s="26" t="s">
        <v>7942</v>
      </c>
      <c r="B1667" s="26" t="s">
        <v>7981</v>
      </c>
      <c r="D1667" s="26" t="s">
        <v>6396</v>
      </c>
      <c r="E1667" s="26" t="s">
        <v>6395</v>
      </c>
    </row>
    <row r="1668" spans="1:5">
      <c r="A1668" s="26" t="s">
        <v>7942</v>
      </c>
      <c r="B1668" s="26" t="s">
        <v>2642</v>
      </c>
      <c r="D1668" s="26" t="s">
        <v>6396</v>
      </c>
      <c r="E1668" s="26" t="s">
        <v>6395</v>
      </c>
    </row>
    <row r="1669" spans="1:5">
      <c r="A1669" s="26" t="s">
        <v>7942</v>
      </c>
      <c r="B1669" s="26" t="s">
        <v>7982</v>
      </c>
      <c r="D1669" s="26" t="s">
        <v>6396</v>
      </c>
      <c r="E1669" s="26" t="s">
        <v>6443</v>
      </c>
    </row>
    <row r="1670" spans="1:5">
      <c r="A1670" s="26" t="s">
        <v>7942</v>
      </c>
      <c r="B1670" s="26" t="s">
        <v>3339</v>
      </c>
      <c r="D1670" s="26" t="s">
        <v>6396</v>
      </c>
      <c r="E1670" s="26" t="s">
        <v>6395</v>
      </c>
    </row>
    <row r="1671" spans="1:5">
      <c r="A1671" s="26" t="s">
        <v>7942</v>
      </c>
      <c r="B1671" s="26" t="s">
        <v>2565</v>
      </c>
      <c r="D1671" s="26" t="s">
        <v>6396</v>
      </c>
      <c r="E1671" s="26" t="s">
        <v>6395</v>
      </c>
    </row>
    <row r="1672" spans="1:5">
      <c r="A1672" s="26" t="s">
        <v>7942</v>
      </c>
      <c r="B1672" s="26" t="s">
        <v>208</v>
      </c>
      <c r="D1672" s="26" t="s">
        <v>6396</v>
      </c>
      <c r="E1672" s="26" t="s">
        <v>6443</v>
      </c>
    </row>
    <row r="1673" spans="1:5">
      <c r="A1673" s="26" t="s">
        <v>7942</v>
      </c>
      <c r="B1673" s="26" t="s">
        <v>2380</v>
      </c>
      <c r="D1673" s="26" t="s">
        <v>6396</v>
      </c>
      <c r="E1673" s="26" t="s">
        <v>6395</v>
      </c>
    </row>
    <row r="1674" spans="1:5">
      <c r="A1674" s="26" t="s">
        <v>7942</v>
      </c>
      <c r="B1674" s="26" t="s">
        <v>7635</v>
      </c>
      <c r="D1674" s="26" t="s">
        <v>6396</v>
      </c>
      <c r="E1674" s="26" t="s">
        <v>6395</v>
      </c>
    </row>
    <row r="1675" spans="1:5">
      <c r="A1675" s="26" t="s">
        <v>7942</v>
      </c>
      <c r="B1675" s="26" t="s">
        <v>7983</v>
      </c>
      <c r="D1675" s="26" t="s">
        <v>6396</v>
      </c>
      <c r="E1675" s="26" t="s">
        <v>6443</v>
      </c>
    </row>
    <row r="1676" spans="1:5">
      <c r="A1676" s="26" t="s">
        <v>7942</v>
      </c>
      <c r="B1676" s="26" t="s">
        <v>633</v>
      </c>
      <c r="D1676" s="26" t="s">
        <v>6396</v>
      </c>
      <c r="E1676" s="26" t="s">
        <v>6395</v>
      </c>
    </row>
    <row r="1677" spans="1:5">
      <c r="A1677" s="26" t="s">
        <v>7942</v>
      </c>
      <c r="B1677" s="26" t="s">
        <v>7984</v>
      </c>
      <c r="D1677" s="26" t="s">
        <v>6396</v>
      </c>
      <c r="E1677" s="26" t="s">
        <v>6395</v>
      </c>
    </row>
    <row r="1678" spans="1:5">
      <c r="A1678" s="26" t="s">
        <v>7942</v>
      </c>
      <c r="B1678" s="26" t="s">
        <v>7985</v>
      </c>
      <c r="D1678" s="26" t="s">
        <v>6396</v>
      </c>
      <c r="E1678" s="26" t="s">
        <v>6395</v>
      </c>
    </row>
    <row r="1679" spans="1:5">
      <c r="A1679" s="26" t="s">
        <v>7942</v>
      </c>
      <c r="B1679" s="26" t="s">
        <v>1296</v>
      </c>
      <c r="D1679" s="26" t="s">
        <v>6396</v>
      </c>
      <c r="E1679" s="26" t="s">
        <v>6443</v>
      </c>
    </row>
    <row r="1680" spans="1:5">
      <c r="A1680" s="26" t="s">
        <v>7942</v>
      </c>
      <c r="B1680" s="26" t="s">
        <v>834</v>
      </c>
      <c r="D1680" s="26" t="s">
        <v>6396</v>
      </c>
      <c r="E1680" s="26" t="s">
        <v>6443</v>
      </c>
    </row>
    <row r="1681" spans="1:5">
      <c r="A1681" s="26" t="s">
        <v>7942</v>
      </c>
      <c r="B1681" s="26" t="s">
        <v>7986</v>
      </c>
      <c r="D1681" s="26" t="s">
        <v>6396</v>
      </c>
      <c r="E1681" s="26" t="s">
        <v>6443</v>
      </c>
    </row>
    <row r="1682" spans="1:5">
      <c r="A1682" s="26" t="s">
        <v>7942</v>
      </c>
      <c r="B1682" s="26" t="s">
        <v>7987</v>
      </c>
      <c r="D1682" s="26" t="s">
        <v>6396</v>
      </c>
      <c r="E1682" s="26" t="s">
        <v>6395</v>
      </c>
    </row>
    <row r="1683" spans="1:5">
      <c r="A1683" s="26" t="s">
        <v>7942</v>
      </c>
      <c r="B1683" s="26" t="s">
        <v>36</v>
      </c>
      <c r="D1683" s="26" t="s">
        <v>6396</v>
      </c>
      <c r="E1683" s="26" t="s">
        <v>6395</v>
      </c>
    </row>
    <row r="1684" spans="1:5">
      <c r="A1684" s="26" t="s">
        <v>7942</v>
      </c>
      <c r="B1684" s="26" t="s">
        <v>6567</v>
      </c>
      <c r="D1684" s="26" t="s">
        <v>6396</v>
      </c>
      <c r="E1684" s="26" t="s">
        <v>6395</v>
      </c>
    </row>
    <row r="1685" spans="1:5">
      <c r="A1685" s="26" t="s">
        <v>7942</v>
      </c>
      <c r="B1685" s="26" t="s">
        <v>7988</v>
      </c>
      <c r="D1685" s="26" t="s">
        <v>6396</v>
      </c>
      <c r="E1685" s="26" t="s">
        <v>6395</v>
      </c>
    </row>
    <row r="1686" spans="1:5">
      <c r="A1686" s="26" t="s">
        <v>7942</v>
      </c>
      <c r="B1686" s="26" t="s">
        <v>7989</v>
      </c>
      <c r="D1686" s="26" t="s">
        <v>6396</v>
      </c>
      <c r="E1686" s="26" t="s">
        <v>6395</v>
      </c>
    </row>
    <row r="1687" spans="1:5">
      <c r="A1687" s="26" t="s">
        <v>7942</v>
      </c>
      <c r="B1687" s="26" t="s">
        <v>7990</v>
      </c>
      <c r="D1687" s="26" t="s">
        <v>6396</v>
      </c>
      <c r="E1687" s="26" t="s">
        <v>6443</v>
      </c>
    </row>
    <row r="1688" spans="1:5">
      <c r="A1688" s="26" t="s">
        <v>7942</v>
      </c>
      <c r="B1688" s="26" t="s">
        <v>7991</v>
      </c>
      <c r="D1688" s="26" t="s">
        <v>6396</v>
      </c>
      <c r="E1688" s="26" t="s">
        <v>6871</v>
      </c>
    </row>
    <row r="1689" spans="1:5">
      <c r="A1689" s="26" t="s">
        <v>7942</v>
      </c>
      <c r="B1689" s="26" t="s">
        <v>6767</v>
      </c>
      <c r="D1689" s="26" t="s">
        <v>6396</v>
      </c>
      <c r="E1689" s="26" t="s">
        <v>6395</v>
      </c>
    </row>
    <row r="1690" spans="1:5">
      <c r="A1690" s="26" t="s">
        <v>7942</v>
      </c>
      <c r="B1690" s="26" t="s">
        <v>6913</v>
      </c>
      <c r="D1690" s="26" t="s">
        <v>6396</v>
      </c>
      <c r="E1690" s="26" t="s">
        <v>6443</v>
      </c>
    </row>
    <row r="1691" spans="1:5">
      <c r="A1691" s="26" t="s">
        <v>7942</v>
      </c>
      <c r="B1691" s="26" t="s">
        <v>7992</v>
      </c>
      <c r="D1691" s="26" t="s">
        <v>6396</v>
      </c>
      <c r="E1691" s="26" t="s">
        <v>6443</v>
      </c>
    </row>
    <row r="1692" spans="1:5">
      <c r="A1692" s="26" t="s">
        <v>7942</v>
      </c>
      <c r="B1692" s="26" t="s">
        <v>7993</v>
      </c>
      <c r="D1692" s="26" t="s">
        <v>6396</v>
      </c>
      <c r="E1692" s="26" t="s">
        <v>6395</v>
      </c>
    </row>
    <row r="1693" spans="1:5">
      <c r="A1693" s="26" t="s">
        <v>7942</v>
      </c>
      <c r="B1693" s="26" t="s">
        <v>7994</v>
      </c>
      <c r="D1693" s="26" t="s">
        <v>6396</v>
      </c>
      <c r="E1693" s="26" t="s">
        <v>6395</v>
      </c>
    </row>
    <row r="1694" spans="1:5">
      <c r="A1694" s="26" t="s">
        <v>7942</v>
      </c>
      <c r="B1694" s="26" t="s">
        <v>7995</v>
      </c>
      <c r="D1694" s="26" t="s">
        <v>6396</v>
      </c>
      <c r="E1694" s="26" t="s">
        <v>6395</v>
      </c>
    </row>
    <row r="1695" spans="1:5">
      <c r="A1695" s="26" t="s">
        <v>7942</v>
      </c>
      <c r="B1695" s="26" t="s">
        <v>7189</v>
      </c>
      <c r="D1695" s="26" t="s">
        <v>6396</v>
      </c>
      <c r="E1695" s="26" t="s">
        <v>6443</v>
      </c>
    </row>
    <row r="1696" spans="1:5">
      <c r="A1696" s="26" t="s">
        <v>7942</v>
      </c>
      <c r="B1696" s="26" t="s">
        <v>7996</v>
      </c>
      <c r="D1696" s="26" t="s">
        <v>6396</v>
      </c>
      <c r="E1696" s="26" t="s">
        <v>6443</v>
      </c>
    </row>
    <row r="1697" spans="1:5">
      <c r="A1697" s="26" t="s">
        <v>7942</v>
      </c>
      <c r="B1697" s="26" t="s">
        <v>2019</v>
      </c>
      <c r="D1697" s="26" t="s">
        <v>6396</v>
      </c>
      <c r="E1697" s="26" t="s">
        <v>6395</v>
      </c>
    </row>
    <row r="1698" spans="1:5">
      <c r="A1698" s="26" t="s">
        <v>7942</v>
      </c>
      <c r="B1698" s="26" t="s">
        <v>7997</v>
      </c>
      <c r="D1698" s="26" t="s">
        <v>6396</v>
      </c>
      <c r="E1698" s="26" t="s">
        <v>6395</v>
      </c>
    </row>
    <row r="1699" spans="1:5">
      <c r="A1699" s="26" t="s">
        <v>7942</v>
      </c>
      <c r="B1699" s="26" t="s">
        <v>720</v>
      </c>
      <c r="D1699" s="26" t="s">
        <v>6396</v>
      </c>
      <c r="E1699" s="26" t="s">
        <v>6395</v>
      </c>
    </row>
    <row r="1700" spans="1:5">
      <c r="A1700" s="26" t="s">
        <v>7942</v>
      </c>
      <c r="B1700" s="26" t="s">
        <v>7667</v>
      </c>
      <c r="D1700" s="26" t="s">
        <v>6396</v>
      </c>
      <c r="E1700" s="26" t="s">
        <v>6443</v>
      </c>
    </row>
    <row r="1701" spans="1:5">
      <c r="A1701" s="26" t="s">
        <v>7942</v>
      </c>
      <c r="B1701" s="26" t="s">
        <v>7998</v>
      </c>
      <c r="D1701" s="26" t="s">
        <v>6396</v>
      </c>
      <c r="E1701" s="26" t="s">
        <v>6443</v>
      </c>
    </row>
    <row r="1702" spans="1:5">
      <c r="A1702" s="26" t="s">
        <v>7942</v>
      </c>
      <c r="B1702" s="26" t="s">
        <v>2767</v>
      </c>
      <c r="D1702" s="26" t="s">
        <v>6396</v>
      </c>
      <c r="E1702" s="26" t="s">
        <v>6395</v>
      </c>
    </row>
    <row r="1703" spans="1:5">
      <c r="A1703" s="26" t="s">
        <v>7942</v>
      </c>
      <c r="B1703" s="26" t="s">
        <v>7683</v>
      </c>
      <c r="D1703" s="26" t="s">
        <v>6396</v>
      </c>
      <c r="E1703" s="26" t="s">
        <v>6443</v>
      </c>
    </row>
    <row r="1704" spans="1:5">
      <c r="A1704" s="26" t="s">
        <v>7942</v>
      </c>
      <c r="B1704" s="26" t="s">
        <v>6764</v>
      </c>
      <c r="D1704" s="26" t="s">
        <v>6396</v>
      </c>
      <c r="E1704" s="26" t="s">
        <v>6395</v>
      </c>
    </row>
    <row r="1705" spans="1:5">
      <c r="A1705" s="26" t="s">
        <v>7942</v>
      </c>
      <c r="B1705" s="26" t="s">
        <v>7040</v>
      </c>
      <c r="D1705" s="26" t="s">
        <v>6396</v>
      </c>
      <c r="E1705" s="26" t="s">
        <v>6395</v>
      </c>
    </row>
    <row r="1706" spans="1:5">
      <c r="A1706" s="26" t="s">
        <v>7942</v>
      </c>
      <c r="B1706" s="26" t="s">
        <v>7671</v>
      </c>
      <c r="D1706" s="26" t="s">
        <v>6396</v>
      </c>
      <c r="E1706" s="26" t="s">
        <v>6443</v>
      </c>
    </row>
    <row r="1707" spans="1:5">
      <c r="A1707" s="26" t="s">
        <v>7942</v>
      </c>
      <c r="B1707" s="26" t="s">
        <v>7999</v>
      </c>
      <c r="D1707" s="26" t="s">
        <v>6396</v>
      </c>
      <c r="E1707" s="26" t="s">
        <v>6395</v>
      </c>
    </row>
    <row r="1708" spans="1:5">
      <c r="A1708" s="26" t="s">
        <v>7942</v>
      </c>
      <c r="B1708" s="26" t="s">
        <v>6758</v>
      </c>
      <c r="D1708" s="26" t="s">
        <v>6396</v>
      </c>
      <c r="E1708" s="26" t="s">
        <v>6443</v>
      </c>
    </row>
    <row r="1709" spans="1:5">
      <c r="A1709" s="26" t="s">
        <v>7942</v>
      </c>
      <c r="B1709" s="26" t="s">
        <v>8000</v>
      </c>
      <c r="D1709" s="26" t="s">
        <v>6396</v>
      </c>
      <c r="E1709" s="26" t="s">
        <v>6395</v>
      </c>
    </row>
    <row r="1710" spans="1:5">
      <c r="A1710" s="26" t="s">
        <v>7942</v>
      </c>
      <c r="B1710" s="26" t="s">
        <v>8001</v>
      </c>
      <c r="D1710" s="26" t="s">
        <v>6396</v>
      </c>
      <c r="E1710" s="26" t="s">
        <v>6395</v>
      </c>
    </row>
    <row r="1711" spans="1:5">
      <c r="A1711" s="26" t="s">
        <v>7942</v>
      </c>
      <c r="B1711" s="26" t="s">
        <v>8002</v>
      </c>
      <c r="D1711" s="26" t="s">
        <v>6396</v>
      </c>
      <c r="E1711" s="26" t="s">
        <v>6443</v>
      </c>
    </row>
    <row r="1712" spans="1:5">
      <c r="A1712" s="26" t="s">
        <v>7942</v>
      </c>
      <c r="B1712" s="26" t="s">
        <v>8003</v>
      </c>
      <c r="D1712" s="26" t="s">
        <v>6396</v>
      </c>
      <c r="E1712" s="26" t="s">
        <v>6395</v>
      </c>
    </row>
    <row r="1713" spans="1:5">
      <c r="A1713" s="26" t="s">
        <v>7942</v>
      </c>
      <c r="B1713" s="26" t="s">
        <v>8004</v>
      </c>
      <c r="D1713" s="26" t="s">
        <v>6396</v>
      </c>
      <c r="E1713" s="26" t="s">
        <v>6871</v>
      </c>
    </row>
    <row r="1714" spans="1:5">
      <c r="A1714" s="26" t="s">
        <v>7942</v>
      </c>
      <c r="B1714" s="26" t="s">
        <v>8005</v>
      </c>
      <c r="D1714" s="26" t="s">
        <v>6396</v>
      </c>
      <c r="E1714" s="26" t="s">
        <v>6395</v>
      </c>
    </row>
    <row r="1715" spans="1:5">
      <c r="A1715" s="26" t="s">
        <v>7942</v>
      </c>
      <c r="B1715" s="26" t="s">
        <v>8006</v>
      </c>
      <c r="D1715" s="26" t="s">
        <v>6396</v>
      </c>
      <c r="E1715" s="26" t="s">
        <v>6395</v>
      </c>
    </row>
    <row r="1716" spans="1:5">
      <c r="A1716" s="26" t="s">
        <v>7942</v>
      </c>
      <c r="B1716" s="26" t="s">
        <v>2588</v>
      </c>
      <c r="D1716" s="26" t="s">
        <v>6396</v>
      </c>
      <c r="E1716" s="26" t="s">
        <v>6395</v>
      </c>
    </row>
    <row r="1717" spans="1:5">
      <c r="A1717" s="26" t="s">
        <v>7942</v>
      </c>
      <c r="B1717" s="26" t="s">
        <v>8007</v>
      </c>
      <c r="D1717" s="26" t="s">
        <v>6396</v>
      </c>
      <c r="E1717" s="26" t="s">
        <v>6395</v>
      </c>
    </row>
    <row r="1718" spans="1:5">
      <c r="A1718" s="26" t="s">
        <v>7942</v>
      </c>
      <c r="B1718" s="26" t="s">
        <v>8008</v>
      </c>
      <c r="D1718" s="26" t="s">
        <v>6396</v>
      </c>
      <c r="E1718" s="26" t="s">
        <v>6395</v>
      </c>
    </row>
    <row r="1719" spans="1:5">
      <c r="A1719" s="26" t="s">
        <v>7942</v>
      </c>
      <c r="B1719" s="26" t="s">
        <v>7073</v>
      </c>
      <c r="D1719" s="26" t="s">
        <v>6396</v>
      </c>
      <c r="E1719" s="26" t="s">
        <v>6871</v>
      </c>
    </row>
    <row r="1720" spans="1:5">
      <c r="A1720" s="26" t="s">
        <v>7942</v>
      </c>
      <c r="B1720" s="26" t="s">
        <v>8009</v>
      </c>
      <c r="D1720" s="26" t="s">
        <v>6396</v>
      </c>
      <c r="E1720" s="26" t="s">
        <v>6395</v>
      </c>
    </row>
    <row r="1721" spans="1:5">
      <c r="A1721" s="26" t="s">
        <v>7942</v>
      </c>
      <c r="B1721" s="26" t="s">
        <v>1901</v>
      </c>
      <c r="D1721" s="26" t="s">
        <v>6396</v>
      </c>
      <c r="E1721" s="26" t="s">
        <v>6395</v>
      </c>
    </row>
    <row r="1722" spans="1:5">
      <c r="A1722" s="26" t="s">
        <v>7942</v>
      </c>
      <c r="B1722" s="26" t="s">
        <v>8010</v>
      </c>
      <c r="D1722" s="26" t="s">
        <v>6396</v>
      </c>
      <c r="E1722" s="26" t="s">
        <v>6395</v>
      </c>
    </row>
    <row r="1723" spans="1:5">
      <c r="A1723" s="26" t="s">
        <v>7942</v>
      </c>
      <c r="B1723" s="26" t="s">
        <v>6881</v>
      </c>
      <c r="D1723" s="26" t="s">
        <v>6396</v>
      </c>
      <c r="E1723" s="26" t="s">
        <v>6395</v>
      </c>
    </row>
    <row r="1724" spans="1:5">
      <c r="A1724" s="26" t="s">
        <v>7942</v>
      </c>
      <c r="B1724" s="26" t="s">
        <v>2471</v>
      </c>
      <c r="D1724" s="26" t="s">
        <v>6396</v>
      </c>
      <c r="E1724" s="26" t="s">
        <v>6395</v>
      </c>
    </row>
    <row r="1725" spans="1:5">
      <c r="A1725" s="26" t="s">
        <v>7942</v>
      </c>
      <c r="B1725" s="26" t="s">
        <v>2352</v>
      </c>
      <c r="D1725" s="26" t="s">
        <v>6396</v>
      </c>
      <c r="E1725" s="26" t="s">
        <v>6395</v>
      </c>
    </row>
    <row r="1726" spans="1:5">
      <c r="A1726" s="26" t="s">
        <v>7942</v>
      </c>
      <c r="B1726" s="26" t="s">
        <v>8011</v>
      </c>
      <c r="D1726" s="26" t="s">
        <v>6396</v>
      </c>
      <c r="E1726" s="26" t="s">
        <v>6395</v>
      </c>
    </row>
    <row r="1727" spans="1:5">
      <c r="A1727" s="26" t="s">
        <v>7942</v>
      </c>
      <c r="B1727" s="26" t="s">
        <v>7712</v>
      </c>
      <c r="D1727" s="26" t="s">
        <v>6396</v>
      </c>
      <c r="E1727" s="26" t="s">
        <v>6443</v>
      </c>
    </row>
    <row r="1728" spans="1:5">
      <c r="A1728" s="26" t="s">
        <v>7942</v>
      </c>
      <c r="B1728" s="26" t="s">
        <v>7722</v>
      </c>
      <c r="D1728" s="26" t="s">
        <v>6396</v>
      </c>
      <c r="E1728" s="26" t="s">
        <v>6443</v>
      </c>
    </row>
    <row r="1729" spans="1:5">
      <c r="A1729" s="26" t="s">
        <v>7942</v>
      </c>
      <c r="B1729" s="26" t="s">
        <v>319</v>
      </c>
      <c r="D1729" s="26" t="s">
        <v>6396</v>
      </c>
      <c r="E1729" s="26" t="s">
        <v>6395</v>
      </c>
    </row>
    <row r="1730" spans="1:5">
      <c r="A1730" s="26" t="s">
        <v>7942</v>
      </c>
      <c r="B1730" s="26" t="s">
        <v>8012</v>
      </c>
      <c r="D1730" s="26" t="s">
        <v>6396</v>
      </c>
      <c r="E1730" s="26" t="s">
        <v>6395</v>
      </c>
    </row>
    <row r="1731" spans="1:5">
      <c r="A1731" s="26" t="s">
        <v>7942</v>
      </c>
      <c r="B1731" s="26" t="s">
        <v>4603</v>
      </c>
      <c r="D1731" s="26" t="s">
        <v>6396</v>
      </c>
      <c r="E1731" s="26" t="s">
        <v>6395</v>
      </c>
    </row>
    <row r="1732" spans="1:5">
      <c r="A1732" s="26" t="s">
        <v>7942</v>
      </c>
      <c r="B1732" s="26" t="s">
        <v>8013</v>
      </c>
      <c r="D1732" s="26" t="s">
        <v>6396</v>
      </c>
      <c r="E1732" s="26" t="s">
        <v>6871</v>
      </c>
    </row>
    <row r="1733" spans="1:5">
      <c r="A1733" s="26" t="s">
        <v>7942</v>
      </c>
      <c r="B1733" s="26" t="s">
        <v>8014</v>
      </c>
      <c r="D1733" s="26" t="s">
        <v>6396</v>
      </c>
      <c r="E1733" s="26" t="s">
        <v>6443</v>
      </c>
    </row>
    <row r="1734" spans="1:5">
      <c r="A1734" s="26" t="s">
        <v>7942</v>
      </c>
      <c r="B1734" s="26" t="s">
        <v>6919</v>
      </c>
      <c r="D1734" s="26" t="s">
        <v>6396</v>
      </c>
      <c r="E1734" s="26" t="s">
        <v>6443</v>
      </c>
    </row>
    <row r="1735" spans="1:5">
      <c r="A1735" s="26" t="s">
        <v>7942</v>
      </c>
      <c r="B1735" s="26" t="s">
        <v>889</v>
      </c>
      <c r="D1735" s="26" t="s">
        <v>6396</v>
      </c>
      <c r="E1735" s="26" t="s">
        <v>6443</v>
      </c>
    </row>
    <row r="1736" spans="1:5">
      <c r="A1736" s="26" t="s">
        <v>7942</v>
      </c>
      <c r="B1736" s="26" t="s">
        <v>7720</v>
      </c>
      <c r="D1736" s="26" t="s">
        <v>6396</v>
      </c>
      <c r="E1736" s="26" t="s">
        <v>6443</v>
      </c>
    </row>
    <row r="1737" spans="1:5">
      <c r="A1737" s="26" t="s">
        <v>7942</v>
      </c>
      <c r="B1737" s="26" t="s">
        <v>8015</v>
      </c>
      <c r="D1737" s="26" t="s">
        <v>6396</v>
      </c>
      <c r="E1737" s="26" t="s">
        <v>6443</v>
      </c>
    </row>
    <row r="1738" spans="1:5">
      <c r="A1738" s="26" t="s">
        <v>7942</v>
      </c>
      <c r="B1738" s="26" t="s">
        <v>640</v>
      </c>
      <c r="D1738" s="26" t="s">
        <v>6396</v>
      </c>
      <c r="E1738" s="26" t="s">
        <v>6443</v>
      </c>
    </row>
    <row r="1739" spans="1:5">
      <c r="A1739" s="26" t="s">
        <v>7942</v>
      </c>
      <c r="B1739" s="26" t="s">
        <v>6960</v>
      </c>
      <c r="D1739" s="26" t="s">
        <v>6396</v>
      </c>
      <c r="E1739" s="26" t="s">
        <v>6395</v>
      </c>
    </row>
    <row r="1740" spans="1:5">
      <c r="A1740" s="26" t="s">
        <v>7942</v>
      </c>
      <c r="B1740" s="26" t="s">
        <v>8016</v>
      </c>
      <c r="D1740" s="26" t="s">
        <v>6396</v>
      </c>
      <c r="E1740" s="26" t="s">
        <v>6443</v>
      </c>
    </row>
    <row r="1741" spans="1:5">
      <c r="A1741" s="26" t="s">
        <v>7942</v>
      </c>
      <c r="B1741" s="26" t="s">
        <v>8017</v>
      </c>
      <c r="D1741" s="26" t="s">
        <v>6396</v>
      </c>
      <c r="E1741" s="26" t="s">
        <v>6443</v>
      </c>
    </row>
    <row r="1742" spans="1:5">
      <c r="A1742" s="26" t="s">
        <v>7942</v>
      </c>
      <c r="B1742" s="26" t="s">
        <v>8018</v>
      </c>
      <c r="D1742" s="26" t="s">
        <v>6396</v>
      </c>
      <c r="E1742" s="26" t="s">
        <v>6395</v>
      </c>
    </row>
    <row r="1743" spans="1:5">
      <c r="A1743" s="26" t="s">
        <v>7942</v>
      </c>
      <c r="B1743" s="26" t="s">
        <v>7615</v>
      </c>
      <c r="D1743" s="26" t="s">
        <v>6396</v>
      </c>
      <c r="E1743" s="26" t="s">
        <v>6443</v>
      </c>
    </row>
    <row r="1744" spans="1:5">
      <c r="A1744" s="26" t="s">
        <v>7942</v>
      </c>
      <c r="B1744" s="26" t="s">
        <v>8019</v>
      </c>
      <c r="D1744" s="26" t="s">
        <v>6396</v>
      </c>
      <c r="E1744" s="26" t="s">
        <v>6395</v>
      </c>
    </row>
    <row r="1745" spans="1:5">
      <c r="A1745" s="26" t="s">
        <v>7942</v>
      </c>
      <c r="B1745" s="26" t="s">
        <v>8020</v>
      </c>
      <c r="D1745" s="26" t="s">
        <v>6396</v>
      </c>
      <c r="E1745" s="26" t="s">
        <v>6395</v>
      </c>
    </row>
    <row r="1746" spans="1:5">
      <c r="A1746" s="26" t="s">
        <v>7942</v>
      </c>
      <c r="B1746" s="26" t="s">
        <v>8021</v>
      </c>
      <c r="D1746" s="26" t="s">
        <v>6396</v>
      </c>
      <c r="E1746" s="26" t="s">
        <v>6395</v>
      </c>
    </row>
    <row r="1747" spans="1:5">
      <c r="A1747" s="26" t="s">
        <v>7942</v>
      </c>
      <c r="B1747" s="26" t="s">
        <v>250</v>
      </c>
      <c r="D1747" s="26" t="s">
        <v>6396</v>
      </c>
      <c r="E1747" s="26" t="s">
        <v>6443</v>
      </c>
    </row>
    <row r="1748" spans="1:5">
      <c r="A1748" s="26" t="s">
        <v>7942</v>
      </c>
      <c r="B1748" s="26" t="s">
        <v>226</v>
      </c>
      <c r="D1748" s="26" t="s">
        <v>6396</v>
      </c>
      <c r="E1748" s="26" t="s">
        <v>6395</v>
      </c>
    </row>
    <row r="1749" spans="1:5">
      <c r="A1749" s="26" t="s">
        <v>7942</v>
      </c>
      <c r="B1749" s="26" t="s">
        <v>8022</v>
      </c>
      <c r="D1749" s="26" t="s">
        <v>6396</v>
      </c>
      <c r="E1749" s="26" t="s">
        <v>6443</v>
      </c>
    </row>
    <row r="1750" spans="1:5">
      <c r="A1750" s="26" t="s">
        <v>7942</v>
      </c>
      <c r="B1750" s="26" t="s">
        <v>232</v>
      </c>
      <c r="D1750" s="26" t="s">
        <v>6396</v>
      </c>
      <c r="E1750" s="26" t="s">
        <v>6395</v>
      </c>
    </row>
    <row r="1751" spans="1:5">
      <c r="A1751" s="26" t="s">
        <v>7942</v>
      </c>
      <c r="B1751" s="26" t="s">
        <v>798</v>
      </c>
      <c r="D1751" s="26" t="s">
        <v>6396</v>
      </c>
      <c r="E1751" s="26" t="s">
        <v>6395</v>
      </c>
    </row>
    <row r="1752" spans="1:5">
      <c r="A1752" s="26" t="s">
        <v>7942</v>
      </c>
      <c r="B1752" s="26" t="s">
        <v>8023</v>
      </c>
      <c r="D1752" s="26" t="s">
        <v>6396</v>
      </c>
      <c r="E1752" s="26" t="s">
        <v>6395</v>
      </c>
    </row>
    <row r="1753" spans="1:5">
      <c r="A1753" s="26" t="s">
        <v>7942</v>
      </c>
      <c r="B1753" s="26" t="s">
        <v>1611</v>
      </c>
      <c r="D1753" s="26" t="s">
        <v>6396</v>
      </c>
      <c r="E1753" s="26" t="s">
        <v>6871</v>
      </c>
    </row>
    <row r="1754" spans="1:5">
      <c r="A1754" s="26" t="s">
        <v>7942</v>
      </c>
      <c r="B1754" s="26" t="s">
        <v>8024</v>
      </c>
      <c r="D1754" s="26" t="s">
        <v>6396</v>
      </c>
      <c r="E1754" s="26" t="s">
        <v>6395</v>
      </c>
    </row>
    <row r="1755" spans="1:5">
      <c r="A1755" s="26" t="s">
        <v>7942</v>
      </c>
      <c r="B1755" s="26" t="s">
        <v>8025</v>
      </c>
      <c r="D1755" s="26" t="s">
        <v>6396</v>
      </c>
      <c r="E1755" s="26" t="s">
        <v>6443</v>
      </c>
    </row>
    <row r="1756" spans="1:5">
      <c r="A1756" s="26" t="s">
        <v>7942</v>
      </c>
      <c r="B1756" s="26" t="s">
        <v>8026</v>
      </c>
      <c r="D1756" s="26" t="s">
        <v>6396</v>
      </c>
      <c r="E1756" s="26" t="s">
        <v>6395</v>
      </c>
    </row>
    <row r="1757" spans="1:5">
      <c r="A1757" s="26" t="s">
        <v>7942</v>
      </c>
      <c r="B1757" s="26" t="s">
        <v>8027</v>
      </c>
      <c r="D1757" s="26" t="s">
        <v>6396</v>
      </c>
      <c r="E1757" s="26" t="s">
        <v>6395</v>
      </c>
    </row>
    <row r="1758" spans="1:5">
      <c r="A1758" s="26" t="s">
        <v>7942</v>
      </c>
      <c r="B1758" s="26" t="s">
        <v>540</v>
      </c>
      <c r="D1758" s="26" t="s">
        <v>6396</v>
      </c>
      <c r="E1758" s="26" t="s">
        <v>6395</v>
      </c>
    </row>
    <row r="1759" spans="1:5">
      <c r="A1759" s="26" t="s">
        <v>7942</v>
      </c>
      <c r="B1759" s="26" t="s">
        <v>8028</v>
      </c>
      <c r="D1759" s="26" t="s">
        <v>6396</v>
      </c>
      <c r="E1759" s="26" t="s">
        <v>6443</v>
      </c>
    </row>
    <row r="1760" spans="1:5">
      <c r="A1760" s="26" t="s">
        <v>7942</v>
      </c>
      <c r="B1760" s="26" t="s">
        <v>8029</v>
      </c>
      <c r="D1760" s="26" t="s">
        <v>6396</v>
      </c>
      <c r="E1760" s="26" t="s">
        <v>6443</v>
      </c>
    </row>
    <row r="1761" spans="1:5">
      <c r="A1761" s="26" t="s">
        <v>7942</v>
      </c>
      <c r="B1761" s="26" t="s">
        <v>8030</v>
      </c>
      <c r="D1761" s="26" t="s">
        <v>6396</v>
      </c>
      <c r="E1761" s="26" t="s">
        <v>6443</v>
      </c>
    </row>
    <row r="1762" spans="1:5">
      <c r="A1762" s="26" t="s">
        <v>7942</v>
      </c>
      <c r="B1762" s="26" t="s">
        <v>7186</v>
      </c>
      <c r="D1762" s="26" t="s">
        <v>6396</v>
      </c>
      <c r="E1762" s="26" t="s">
        <v>6443</v>
      </c>
    </row>
    <row r="1763" spans="1:5">
      <c r="A1763" s="26" t="s">
        <v>7942</v>
      </c>
      <c r="B1763" s="26" t="s">
        <v>8031</v>
      </c>
      <c r="D1763" s="26" t="s">
        <v>6396</v>
      </c>
      <c r="E1763" s="26" t="s">
        <v>6395</v>
      </c>
    </row>
    <row r="1764" spans="1:5">
      <c r="A1764" s="26" t="s">
        <v>7942</v>
      </c>
      <c r="B1764" s="26" t="s">
        <v>8032</v>
      </c>
      <c r="D1764" s="26" t="s">
        <v>6396</v>
      </c>
      <c r="E1764" s="26" t="s">
        <v>6443</v>
      </c>
    </row>
    <row r="1765" spans="1:5">
      <c r="A1765" s="26" t="s">
        <v>7942</v>
      </c>
      <c r="B1765" s="26" t="s">
        <v>8033</v>
      </c>
      <c r="D1765" s="26" t="s">
        <v>6396</v>
      </c>
      <c r="E1765" s="26" t="s">
        <v>6395</v>
      </c>
    </row>
    <row r="1766" spans="1:5">
      <c r="A1766" s="26" t="s">
        <v>7942</v>
      </c>
      <c r="B1766" s="26" t="s">
        <v>483</v>
      </c>
      <c r="D1766" s="26" t="s">
        <v>6396</v>
      </c>
      <c r="E1766" s="26" t="s">
        <v>6443</v>
      </c>
    </row>
    <row r="1767" spans="1:5">
      <c r="A1767" s="26" t="s">
        <v>7942</v>
      </c>
      <c r="B1767" s="26" t="s">
        <v>6604</v>
      </c>
      <c r="D1767" s="26" t="s">
        <v>6396</v>
      </c>
      <c r="E1767" s="26" t="s">
        <v>6443</v>
      </c>
    </row>
    <row r="1768" spans="1:5">
      <c r="A1768" s="26" t="s">
        <v>7942</v>
      </c>
      <c r="B1768" s="26" t="s">
        <v>8034</v>
      </c>
      <c r="D1768" s="26" t="s">
        <v>6396</v>
      </c>
      <c r="E1768" s="26" t="s">
        <v>6443</v>
      </c>
    </row>
    <row r="1769" spans="1:5">
      <c r="A1769" s="26" t="s">
        <v>7942</v>
      </c>
      <c r="B1769" s="26" t="s">
        <v>8035</v>
      </c>
      <c r="D1769" s="26" t="s">
        <v>6396</v>
      </c>
      <c r="E1769" s="26" t="s">
        <v>6443</v>
      </c>
    </row>
    <row r="1770" spans="1:5">
      <c r="A1770" s="26" t="s">
        <v>7942</v>
      </c>
      <c r="B1770" s="26" t="s">
        <v>530</v>
      </c>
      <c r="D1770" s="26" t="s">
        <v>6396</v>
      </c>
      <c r="E1770" s="26" t="s">
        <v>6395</v>
      </c>
    </row>
    <row r="1771" spans="1:5">
      <c r="A1771" s="26" t="s">
        <v>7942</v>
      </c>
      <c r="B1771" s="26" t="s">
        <v>8036</v>
      </c>
      <c r="D1771" s="26" t="s">
        <v>6396</v>
      </c>
      <c r="E1771" s="26" t="s">
        <v>6395</v>
      </c>
    </row>
    <row r="1772" spans="1:5">
      <c r="A1772" s="26" t="s">
        <v>7942</v>
      </c>
      <c r="B1772" s="26" t="s">
        <v>6939</v>
      </c>
      <c r="D1772" s="26" t="s">
        <v>6396</v>
      </c>
      <c r="E1772" s="26" t="s">
        <v>6395</v>
      </c>
    </row>
    <row r="1773" spans="1:5">
      <c r="A1773" s="26" t="s">
        <v>7942</v>
      </c>
      <c r="B1773" s="26" t="s">
        <v>7318</v>
      </c>
      <c r="D1773" s="26" t="s">
        <v>6396</v>
      </c>
      <c r="E1773" s="26" t="s">
        <v>6443</v>
      </c>
    </row>
    <row r="1774" spans="1:5">
      <c r="A1774" s="26" t="s">
        <v>7942</v>
      </c>
      <c r="B1774" s="26" t="s">
        <v>8037</v>
      </c>
      <c r="D1774" s="26" t="s">
        <v>6396</v>
      </c>
      <c r="E1774" s="26" t="s">
        <v>6395</v>
      </c>
    </row>
    <row r="1775" spans="1:5">
      <c r="A1775" s="26" t="s">
        <v>7942</v>
      </c>
      <c r="B1775" s="26" t="s">
        <v>8038</v>
      </c>
      <c r="D1775" s="26" t="s">
        <v>6396</v>
      </c>
      <c r="E1775" s="26" t="s">
        <v>6395</v>
      </c>
    </row>
    <row r="1776" spans="1:5">
      <c r="A1776" s="26" t="s">
        <v>7942</v>
      </c>
      <c r="B1776" s="26" t="s">
        <v>8039</v>
      </c>
      <c r="D1776" s="26" t="s">
        <v>6396</v>
      </c>
      <c r="E1776" s="26" t="s">
        <v>6395</v>
      </c>
    </row>
    <row r="1777" spans="1:6">
      <c r="A1777" s="26" t="s">
        <v>7942</v>
      </c>
      <c r="B1777" s="26" t="s">
        <v>8040</v>
      </c>
      <c r="D1777" s="26" t="s">
        <v>6396</v>
      </c>
      <c r="E1777" s="26" t="s">
        <v>6395</v>
      </c>
    </row>
    <row r="1778" spans="1:6">
      <c r="A1778" s="26" t="s">
        <v>7942</v>
      </c>
      <c r="B1778" s="26" t="s">
        <v>8041</v>
      </c>
      <c r="D1778" s="26" t="s">
        <v>6396</v>
      </c>
      <c r="E1778" s="26" t="s">
        <v>6395</v>
      </c>
    </row>
    <row r="1779" spans="1:6">
      <c r="A1779" s="26" t="s">
        <v>7942</v>
      </c>
      <c r="B1779" s="26" t="s">
        <v>8042</v>
      </c>
      <c r="D1779" s="26" t="s">
        <v>6396</v>
      </c>
      <c r="E1779" s="26" t="s">
        <v>6395</v>
      </c>
      <c r="F1779" s="26">
        <v>50</v>
      </c>
    </row>
    <row r="1780" spans="1:6">
      <c r="A1780" s="26" t="s">
        <v>7942</v>
      </c>
      <c r="B1780" s="26" t="s">
        <v>7755</v>
      </c>
      <c r="D1780" s="26" t="s">
        <v>6396</v>
      </c>
      <c r="E1780" s="26" t="s">
        <v>6443</v>
      </c>
    </row>
    <row r="1781" spans="1:6">
      <c r="A1781" s="26" t="s">
        <v>7942</v>
      </c>
      <c r="B1781" s="26" t="s">
        <v>8043</v>
      </c>
      <c r="D1781" s="26" t="s">
        <v>6396</v>
      </c>
      <c r="E1781" s="26" t="s">
        <v>6395</v>
      </c>
    </row>
    <row r="1782" spans="1:6">
      <c r="A1782" s="26" t="s">
        <v>7942</v>
      </c>
      <c r="B1782" s="26" t="s">
        <v>8044</v>
      </c>
      <c r="D1782" s="26" t="s">
        <v>6396</v>
      </c>
      <c r="E1782" s="26" t="s">
        <v>6395</v>
      </c>
    </row>
    <row r="1783" spans="1:6">
      <c r="A1783" s="26" t="s">
        <v>7942</v>
      </c>
      <c r="B1783" s="26" t="s">
        <v>8045</v>
      </c>
      <c r="D1783" s="26" t="s">
        <v>6396</v>
      </c>
      <c r="E1783" s="26" t="s">
        <v>6443</v>
      </c>
    </row>
    <row r="1784" spans="1:6">
      <c r="A1784" s="26" t="s">
        <v>7942</v>
      </c>
      <c r="B1784" s="26" t="s">
        <v>8046</v>
      </c>
      <c r="D1784" s="26" t="s">
        <v>6396</v>
      </c>
      <c r="E1784" s="26" t="s">
        <v>6443</v>
      </c>
    </row>
    <row r="1785" spans="1:6">
      <c r="A1785" s="26" t="s">
        <v>7942</v>
      </c>
      <c r="B1785" s="26" t="s">
        <v>301</v>
      </c>
      <c r="D1785" s="26" t="s">
        <v>6396</v>
      </c>
      <c r="E1785" s="26" t="s">
        <v>6443</v>
      </c>
    </row>
    <row r="1786" spans="1:6">
      <c r="A1786" s="26" t="s">
        <v>7942</v>
      </c>
      <c r="B1786" s="26" t="s">
        <v>6912</v>
      </c>
      <c r="D1786" s="26" t="s">
        <v>6396</v>
      </c>
      <c r="E1786" s="26" t="s">
        <v>6443</v>
      </c>
    </row>
    <row r="1787" spans="1:6">
      <c r="A1787" s="26" t="s">
        <v>7942</v>
      </c>
      <c r="B1787" s="26" t="s">
        <v>7272</v>
      </c>
      <c r="D1787" s="26" t="s">
        <v>6396</v>
      </c>
      <c r="E1787" s="26" t="s">
        <v>6395</v>
      </c>
    </row>
    <row r="1788" spans="1:6">
      <c r="A1788" s="26" t="s">
        <v>7942</v>
      </c>
      <c r="B1788" s="26" t="s">
        <v>418</v>
      </c>
      <c r="D1788" s="26" t="s">
        <v>6396</v>
      </c>
      <c r="E1788" s="26" t="s">
        <v>6395</v>
      </c>
    </row>
    <row r="1789" spans="1:6">
      <c r="A1789" s="26" t="s">
        <v>7942</v>
      </c>
      <c r="B1789" s="26" t="s">
        <v>7119</v>
      </c>
      <c r="D1789" s="26" t="s">
        <v>6396</v>
      </c>
      <c r="E1789" s="26" t="s">
        <v>6395</v>
      </c>
    </row>
    <row r="1790" spans="1:6">
      <c r="A1790" s="26" t="s">
        <v>7942</v>
      </c>
      <c r="B1790" s="26" t="s">
        <v>8047</v>
      </c>
      <c r="D1790" s="26" t="s">
        <v>6396</v>
      </c>
      <c r="E1790" s="26" t="s">
        <v>6395</v>
      </c>
    </row>
    <row r="1791" spans="1:6">
      <c r="A1791" s="26" t="s">
        <v>7942</v>
      </c>
      <c r="B1791" s="26" t="s">
        <v>8048</v>
      </c>
      <c r="D1791" s="26" t="s">
        <v>6396</v>
      </c>
      <c r="E1791" s="26" t="s">
        <v>6395</v>
      </c>
    </row>
    <row r="1792" spans="1:6">
      <c r="A1792" s="26" t="s">
        <v>7942</v>
      </c>
      <c r="B1792" s="26" t="s">
        <v>153</v>
      </c>
      <c r="D1792" s="26" t="s">
        <v>6396</v>
      </c>
      <c r="E1792" s="26" t="s">
        <v>6395</v>
      </c>
    </row>
    <row r="1793" spans="1:5">
      <c r="A1793" s="26" t="s">
        <v>7942</v>
      </c>
      <c r="B1793" s="26" t="s">
        <v>6517</v>
      </c>
      <c r="D1793" s="26" t="s">
        <v>6396</v>
      </c>
      <c r="E1793" s="26" t="s">
        <v>6395</v>
      </c>
    </row>
    <row r="1794" spans="1:5">
      <c r="A1794" s="26" t="s">
        <v>7942</v>
      </c>
      <c r="B1794" s="26" t="s">
        <v>6794</v>
      </c>
      <c r="D1794" s="26" t="s">
        <v>6396</v>
      </c>
      <c r="E1794" s="26" t="s">
        <v>6443</v>
      </c>
    </row>
    <row r="1795" spans="1:5">
      <c r="A1795" s="26" t="s">
        <v>7942</v>
      </c>
      <c r="B1795" s="26" t="s">
        <v>8049</v>
      </c>
      <c r="D1795" s="26" t="s">
        <v>6396</v>
      </c>
      <c r="E1795" s="26" t="s">
        <v>6395</v>
      </c>
    </row>
    <row r="1796" spans="1:5">
      <c r="A1796" s="26" t="s">
        <v>7942</v>
      </c>
      <c r="B1796" s="26" t="s">
        <v>7808</v>
      </c>
      <c r="D1796" s="26" t="s">
        <v>6396</v>
      </c>
      <c r="E1796" s="26" t="s">
        <v>6443</v>
      </c>
    </row>
    <row r="1797" spans="1:5">
      <c r="A1797" s="26" t="s">
        <v>7942</v>
      </c>
      <c r="B1797" s="26" t="s">
        <v>8050</v>
      </c>
      <c r="D1797" s="26" t="s">
        <v>6396</v>
      </c>
      <c r="E1797" s="26" t="s">
        <v>6443</v>
      </c>
    </row>
    <row r="1798" spans="1:5">
      <c r="A1798" s="26" t="s">
        <v>7942</v>
      </c>
      <c r="B1798" s="26" t="s">
        <v>820</v>
      </c>
      <c r="D1798" s="26" t="s">
        <v>6396</v>
      </c>
      <c r="E1798" s="26" t="s">
        <v>6443</v>
      </c>
    </row>
    <row r="1799" spans="1:5">
      <c r="A1799" s="26" t="s">
        <v>7942</v>
      </c>
      <c r="B1799" s="26" t="s">
        <v>8051</v>
      </c>
      <c r="D1799" s="26" t="s">
        <v>6396</v>
      </c>
      <c r="E1799" s="26" t="s">
        <v>6443</v>
      </c>
    </row>
    <row r="1800" spans="1:5">
      <c r="A1800" s="26" t="s">
        <v>7942</v>
      </c>
      <c r="B1800" s="26" t="s">
        <v>8052</v>
      </c>
      <c r="D1800" s="26" t="s">
        <v>6396</v>
      </c>
      <c r="E1800" s="26" t="s">
        <v>6443</v>
      </c>
    </row>
    <row r="1801" spans="1:5">
      <c r="A1801" s="26" t="s">
        <v>7942</v>
      </c>
      <c r="B1801" s="26" t="s">
        <v>6548</v>
      </c>
      <c r="D1801" s="26" t="s">
        <v>6396</v>
      </c>
      <c r="E1801" s="26" t="s">
        <v>6443</v>
      </c>
    </row>
    <row r="1802" spans="1:5">
      <c r="A1802" s="26" t="s">
        <v>7942</v>
      </c>
      <c r="B1802" s="26" t="s">
        <v>8053</v>
      </c>
      <c r="D1802" s="26" t="s">
        <v>6396</v>
      </c>
      <c r="E1802" s="26" t="s">
        <v>6395</v>
      </c>
    </row>
    <row r="1803" spans="1:5">
      <c r="A1803" s="26" t="s">
        <v>7942</v>
      </c>
      <c r="B1803" s="26" t="s">
        <v>8054</v>
      </c>
      <c r="D1803" s="26" t="s">
        <v>6396</v>
      </c>
      <c r="E1803" s="26" t="s">
        <v>6395</v>
      </c>
    </row>
    <row r="1804" spans="1:5">
      <c r="A1804" s="26" t="s">
        <v>7942</v>
      </c>
      <c r="B1804" s="26" t="s">
        <v>2721</v>
      </c>
      <c r="D1804" s="26" t="s">
        <v>6396</v>
      </c>
      <c r="E1804" s="26" t="s">
        <v>6395</v>
      </c>
    </row>
    <row r="1805" spans="1:5">
      <c r="A1805" s="26" t="s">
        <v>7942</v>
      </c>
      <c r="B1805" s="26" t="s">
        <v>8055</v>
      </c>
      <c r="D1805" s="26" t="s">
        <v>6396</v>
      </c>
      <c r="E1805" s="26" t="s">
        <v>6395</v>
      </c>
    </row>
    <row r="1806" spans="1:5">
      <c r="A1806" s="26" t="s">
        <v>7942</v>
      </c>
      <c r="B1806" s="26" t="s">
        <v>8056</v>
      </c>
      <c r="D1806" s="26" t="s">
        <v>6396</v>
      </c>
      <c r="E1806" s="26" t="s">
        <v>6395</v>
      </c>
    </row>
    <row r="1807" spans="1:5">
      <c r="A1807" s="26" t="s">
        <v>7942</v>
      </c>
      <c r="B1807" s="26" t="s">
        <v>1350</v>
      </c>
      <c r="D1807" s="26" t="s">
        <v>6396</v>
      </c>
      <c r="E1807" s="26" t="s">
        <v>6871</v>
      </c>
    </row>
    <row r="1808" spans="1:5">
      <c r="A1808" s="26" t="s">
        <v>7942</v>
      </c>
      <c r="B1808" s="26" t="s">
        <v>8057</v>
      </c>
      <c r="D1808" s="26" t="s">
        <v>6396</v>
      </c>
      <c r="E1808" s="26" t="s">
        <v>6395</v>
      </c>
    </row>
    <row r="1809" spans="1:5">
      <c r="A1809" s="26" t="s">
        <v>7942</v>
      </c>
      <c r="B1809" s="26" t="s">
        <v>8058</v>
      </c>
      <c r="D1809" s="26" t="s">
        <v>6396</v>
      </c>
      <c r="E1809" s="26" t="s">
        <v>6395</v>
      </c>
    </row>
    <row r="1810" spans="1:5">
      <c r="A1810" s="26" t="s">
        <v>7942</v>
      </c>
      <c r="B1810" s="26" t="s">
        <v>6478</v>
      </c>
      <c r="D1810" s="26" t="s">
        <v>6396</v>
      </c>
      <c r="E1810" s="26" t="s">
        <v>6395</v>
      </c>
    </row>
    <row r="1811" spans="1:5">
      <c r="A1811" s="26" t="s">
        <v>7942</v>
      </c>
      <c r="B1811" s="26" t="s">
        <v>8059</v>
      </c>
      <c r="D1811" s="26" t="s">
        <v>6396</v>
      </c>
      <c r="E1811" s="26" t="s">
        <v>6395</v>
      </c>
    </row>
    <row r="1812" spans="1:5">
      <c r="A1812" s="26" t="s">
        <v>7942</v>
      </c>
      <c r="B1812" s="26" t="s">
        <v>7823</v>
      </c>
      <c r="D1812" s="26" t="s">
        <v>6396</v>
      </c>
      <c r="E1812" s="26" t="s">
        <v>6443</v>
      </c>
    </row>
    <row r="1813" spans="1:5">
      <c r="A1813" s="26" t="s">
        <v>7942</v>
      </c>
      <c r="B1813" s="26" t="s">
        <v>8060</v>
      </c>
      <c r="D1813" s="26" t="s">
        <v>6396</v>
      </c>
      <c r="E1813" s="26" t="s">
        <v>6871</v>
      </c>
    </row>
    <row r="1814" spans="1:5">
      <c r="A1814" s="26" t="s">
        <v>7942</v>
      </c>
      <c r="B1814" s="26" t="s">
        <v>8061</v>
      </c>
      <c r="D1814" s="26" t="s">
        <v>6396</v>
      </c>
      <c r="E1814" s="26" t="s">
        <v>6395</v>
      </c>
    </row>
    <row r="1815" spans="1:5">
      <c r="A1815" s="26" t="s">
        <v>7942</v>
      </c>
      <c r="B1815" s="26" t="s">
        <v>8062</v>
      </c>
      <c r="D1815" s="26" t="s">
        <v>6396</v>
      </c>
      <c r="E1815" s="26" t="s">
        <v>6395</v>
      </c>
    </row>
    <row r="1816" spans="1:5">
      <c r="A1816" s="26" t="s">
        <v>7942</v>
      </c>
      <c r="B1816" s="26" t="s">
        <v>8063</v>
      </c>
      <c r="D1816" s="26" t="s">
        <v>6396</v>
      </c>
      <c r="E1816" s="26" t="s">
        <v>6395</v>
      </c>
    </row>
    <row r="1817" spans="1:5">
      <c r="A1817" s="26" t="s">
        <v>7942</v>
      </c>
      <c r="B1817" s="26" t="s">
        <v>7153</v>
      </c>
      <c r="D1817" s="26" t="s">
        <v>6396</v>
      </c>
      <c r="E1817" s="26" t="s">
        <v>6395</v>
      </c>
    </row>
    <row r="1818" spans="1:5">
      <c r="A1818" s="26" t="s">
        <v>7942</v>
      </c>
      <c r="B1818" s="26" t="s">
        <v>7108</v>
      </c>
      <c r="D1818" s="26" t="s">
        <v>6396</v>
      </c>
      <c r="E1818" s="26" t="s">
        <v>6395</v>
      </c>
    </row>
    <row r="1819" spans="1:5">
      <c r="A1819" s="26" t="s">
        <v>7942</v>
      </c>
      <c r="B1819" s="26" t="s">
        <v>1591</v>
      </c>
      <c r="D1819" s="26" t="s">
        <v>6396</v>
      </c>
      <c r="E1819" s="26" t="s">
        <v>6395</v>
      </c>
    </row>
    <row r="1820" spans="1:5">
      <c r="A1820" s="26" t="s">
        <v>7942</v>
      </c>
      <c r="B1820" s="26" t="s">
        <v>8064</v>
      </c>
      <c r="D1820" s="26" t="s">
        <v>6396</v>
      </c>
      <c r="E1820" s="26" t="s">
        <v>6395</v>
      </c>
    </row>
    <row r="1821" spans="1:5">
      <c r="A1821" s="26" t="s">
        <v>7942</v>
      </c>
      <c r="B1821" s="26" t="s">
        <v>2277</v>
      </c>
      <c r="D1821" s="26" t="s">
        <v>6396</v>
      </c>
      <c r="E1821" s="26" t="s">
        <v>6395</v>
      </c>
    </row>
    <row r="1822" spans="1:5">
      <c r="A1822" s="26" t="s">
        <v>7942</v>
      </c>
      <c r="B1822" s="26" t="s">
        <v>7854</v>
      </c>
      <c r="D1822" s="26" t="s">
        <v>6396</v>
      </c>
      <c r="E1822" s="26" t="s">
        <v>6395</v>
      </c>
    </row>
    <row r="1823" spans="1:5">
      <c r="A1823" s="26" t="s">
        <v>7942</v>
      </c>
      <c r="B1823" s="26" t="s">
        <v>8065</v>
      </c>
      <c r="D1823" s="26" t="s">
        <v>6396</v>
      </c>
      <c r="E1823" s="26" t="s">
        <v>6395</v>
      </c>
    </row>
    <row r="1824" spans="1:5">
      <c r="A1824" s="26" t="s">
        <v>7942</v>
      </c>
      <c r="B1824" s="26" t="s">
        <v>2859</v>
      </c>
      <c r="D1824" s="26" t="s">
        <v>6396</v>
      </c>
      <c r="E1824" s="26" t="s">
        <v>6395</v>
      </c>
    </row>
    <row r="1825" spans="1:5">
      <c r="A1825" s="26" t="s">
        <v>7942</v>
      </c>
      <c r="B1825" s="26" t="s">
        <v>370</v>
      </c>
      <c r="D1825" s="26" t="s">
        <v>6396</v>
      </c>
      <c r="E1825" s="26" t="s">
        <v>6395</v>
      </c>
    </row>
    <row r="1826" spans="1:5">
      <c r="A1826" s="26" t="s">
        <v>7942</v>
      </c>
      <c r="B1826" s="26" t="s">
        <v>8066</v>
      </c>
      <c r="D1826" s="26" t="s">
        <v>6396</v>
      </c>
      <c r="E1826" s="26" t="s">
        <v>6395</v>
      </c>
    </row>
    <row r="1827" spans="1:5">
      <c r="A1827" s="26" t="s">
        <v>7942</v>
      </c>
      <c r="B1827" s="26" t="s">
        <v>8067</v>
      </c>
      <c r="D1827" s="26" t="s">
        <v>6396</v>
      </c>
      <c r="E1827" s="26" t="s">
        <v>6395</v>
      </c>
    </row>
    <row r="1828" spans="1:5">
      <c r="A1828" s="26" t="s">
        <v>7942</v>
      </c>
      <c r="B1828" s="26" t="s">
        <v>8068</v>
      </c>
      <c r="D1828" s="26" t="s">
        <v>6396</v>
      </c>
      <c r="E1828" s="26" t="s">
        <v>6395</v>
      </c>
    </row>
    <row r="1829" spans="1:5">
      <c r="A1829" s="26" t="s">
        <v>7942</v>
      </c>
      <c r="B1829" s="26" t="s">
        <v>781</v>
      </c>
      <c r="D1829" s="26" t="s">
        <v>6396</v>
      </c>
      <c r="E1829" s="26" t="s">
        <v>6395</v>
      </c>
    </row>
    <row r="1830" spans="1:5">
      <c r="A1830" s="26" t="s">
        <v>7942</v>
      </c>
      <c r="B1830" s="26" t="s">
        <v>6453</v>
      </c>
      <c r="D1830" s="26" t="s">
        <v>6396</v>
      </c>
      <c r="E1830" s="26" t="s">
        <v>6395</v>
      </c>
    </row>
    <row r="1831" spans="1:5">
      <c r="A1831" s="26" t="s">
        <v>7942</v>
      </c>
      <c r="B1831" s="26" t="s">
        <v>8069</v>
      </c>
      <c r="D1831" s="26" t="s">
        <v>6396</v>
      </c>
      <c r="E1831" s="26" t="s">
        <v>6395</v>
      </c>
    </row>
    <row r="1832" spans="1:5">
      <c r="A1832" s="26" t="s">
        <v>7942</v>
      </c>
      <c r="B1832" s="26" t="s">
        <v>6693</v>
      </c>
      <c r="D1832" s="26" t="s">
        <v>6396</v>
      </c>
      <c r="E1832" s="26" t="s">
        <v>6443</v>
      </c>
    </row>
    <row r="1833" spans="1:5">
      <c r="A1833" s="26" t="s">
        <v>7942</v>
      </c>
      <c r="B1833" s="26" t="s">
        <v>8070</v>
      </c>
      <c r="D1833" s="26" t="s">
        <v>6396</v>
      </c>
      <c r="E1833" s="26" t="s">
        <v>6443</v>
      </c>
    </row>
    <row r="1834" spans="1:5">
      <c r="A1834" s="26" t="s">
        <v>7942</v>
      </c>
      <c r="B1834" s="26" t="s">
        <v>8071</v>
      </c>
      <c r="D1834" s="26" t="s">
        <v>6396</v>
      </c>
      <c r="E1834" s="26" t="s">
        <v>6443</v>
      </c>
    </row>
    <row r="1835" spans="1:5">
      <c r="A1835" s="26" t="s">
        <v>7942</v>
      </c>
      <c r="B1835" s="26" t="s">
        <v>7868</v>
      </c>
      <c r="D1835" s="26" t="s">
        <v>6396</v>
      </c>
      <c r="E1835" s="26" t="s">
        <v>6443</v>
      </c>
    </row>
    <row r="1836" spans="1:5">
      <c r="A1836" s="26" t="s">
        <v>7942</v>
      </c>
      <c r="B1836" s="26" t="s">
        <v>8072</v>
      </c>
      <c r="D1836" s="26" t="s">
        <v>6396</v>
      </c>
      <c r="E1836" s="26" t="s">
        <v>6443</v>
      </c>
    </row>
    <row r="1837" spans="1:5">
      <c r="A1837" s="26" t="s">
        <v>7942</v>
      </c>
      <c r="B1837" s="26" t="s">
        <v>8073</v>
      </c>
      <c r="D1837" s="26" t="s">
        <v>6396</v>
      </c>
      <c r="E1837" s="26" t="s">
        <v>6395</v>
      </c>
    </row>
    <row r="1838" spans="1:5">
      <c r="A1838" s="26" t="s">
        <v>7942</v>
      </c>
      <c r="B1838" s="26" t="s">
        <v>8074</v>
      </c>
      <c r="D1838" s="26" t="s">
        <v>6396</v>
      </c>
      <c r="E1838" s="26" t="s">
        <v>6395</v>
      </c>
    </row>
    <row r="1839" spans="1:5">
      <c r="A1839" s="26" t="s">
        <v>7942</v>
      </c>
      <c r="B1839" s="26" t="s">
        <v>8075</v>
      </c>
      <c r="D1839" s="26" t="s">
        <v>6396</v>
      </c>
      <c r="E1839" s="26" t="s">
        <v>6395</v>
      </c>
    </row>
    <row r="1840" spans="1:5">
      <c r="A1840" s="26" t="s">
        <v>7942</v>
      </c>
      <c r="B1840" s="26" t="s">
        <v>2460</v>
      </c>
      <c r="D1840" s="26" t="s">
        <v>6396</v>
      </c>
      <c r="E1840" s="26" t="s">
        <v>6395</v>
      </c>
    </row>
    <row r="1841" spans="1:5">
      <c r="A1841" s="26" t="s">
        <v>7942</v>
      </c>
      <c r="B1841" s="26" t="s">
        <v>2271</v>
      </c>
      <c r="D1841" s="26" t="s">
        <v>6396</v>
      </c>
      <c r="E1841" s="26" t="s">
        <v>6395</v>
      </c>
    </row>
    <row r="1842" spans="1:5">
      <c r="A1842" s="26" t="s">
        <v>7942</v>
      </c>
      <c r="B1842" s="26" t="s">
        <v>8076</v>
      </c>
      <c r="D1842" s="26" t="s">
        <v>6396</v>
      </c>
      <c r="E1842" s="26" t="s">
        <v>6395</v>
      </c>
    </row>
    <row r="1843" spans="1:5">
      <c r="A1843" s="26" t="s">
        <v>7942</v>
      </c>
      <c r="B1843" s="26" t="s">
        <v>6565</v>
      </c>
      <c r="D1843" s="26" t="s">
        <v>6396</v>
      </c>
      <c r="E1843" s="26" t="s">
        <v>6395</v>
      </c>
    </row>
    <row r="1844" spans="1:5">
      <c r="A1844" s="26" t="s">
        <v>7942</v>
      </c>
      <c r="B1844" s="26" t="s">
        <v>6905</v>
      </c>
      <c r="D1844" s="26" t="s">
        <v>6396</v>
      </c>
      <c r="E1844" s="26" t="s">
        <v>6395</v>
      </c>
    </row>
    <row r="1845" spans="1:5">
      <c r="A1845" s="26" t="s">
        <v>7942</v>
      </c>
      <c r="B1845" s="26" t="s">
        <v>8077</v>
      </c>
      <c r="D1845" s="26" t="s">
        <v>6396</v>
      </c>
      <c r="E1845" s="26" t="s">
        <v>6395</v>
      </c>
    </row>
    <row r="1846" spans="1:5">
      <c r="A1846" s="26" t="s">
        <v>7942</v>
      </c>
      <c r="B1846" s="26" t="s">
        <v>914</v>
      </c>
      <c r="D1846" s="26" t="s">
        <v>6396</v>
      </c>
      <c r="E1846" s="26" t="s">
        <v>6395</v>
      </c>
    </row>
    <row r="1847" spans="1:5">
      <c r="A1847" s="26" t="s">
        <v>7942</v>
      </c>
      <c r="B1847" s="26" t="s">
        <v>8078</v>
      </c>
      <c r="D1847" s="26" t="s">
        <v>6396</v>
      </c>
      <c r="E1847" s="26" t="s">
        <v>6443</v>
      </c>
    </row>
    <row r="1848" spans="1:5">
      <c r="A1848" s="26" t="s">
        <v>7942</v>
      </c>
      <c r="B1848" s="26" t="s">
        <v>1336</v>
      </c>
      <c r="D1848" s="26" t="s">
        <v>6396</v>
      </c>
      <c r="E1848" s="26" t="s">
        <v>6395</v>
      </c>
    </row>
    <row r="1849" spans="1:5">
      <c r="A1849" s="26" t="s">
        <v>7942</v>
      </c>
      <c r="B1849" s="26" t="s">
        <v>7869</v>
      </c>
      <c r="D1849" s="26" t="s">
        <v>6396</v>
      </c>
      <c r="E1849" s="26" t="s">
        <v>6443</v>
      </c>
    </row>
    <row r="1850" spans="1:5">
      <c r="A1850" s="26" t="s">
        <v>7942</v>
      </c>
      <c r="B1850" s="26" t="s">
        <v>6816</v>
      </c>
      <c r="D1850" s="26" t="s">
        <v>6396</v>
      </c>
      <c r="E1850" s="26" t="s">
        <v>6395</v>
      </c>
    </row>
    <row r="1851" spans="1:5">
      <c r="A1851" s="26" t="s">
        <v>7942</v>
      </c>
      <c r="B1851" s="26" t="s">
        <v>8079</v>
      </c>
      <c r="D1851" s="26" t="s">
        <v>6396</v>
      </c>
      <c r="E1851" s="26" t="s">
        <v>6443</v>
      </c>
    </row>
    <row r="1852" spans="1:5">
      <c r="A1852" s="26" t="s">
        <v>7942</v>
      </c>
      <c r="B1852" s="26" t="s">
        <v>8080</v>
      </c>
      <c r="D1852" s="26" t="s">
        <v>6396</v>
      </c>
      <c r="E1852" s="26" t="s">
        <v>6395</v>
      </c>
    </row>
    <row r="1853" spans="1:5">
      <c r="A1853" s="26" t="s">
        <v>7942</v>
      </c>
      <c r="B1853" s="26" t="s">
        <v>8081</v>
      </c>
      <c r="D1853" s="26" t="s">
        <v>6396</v>
      </c>
      <c r="E1853" s="26" t="s">
        <v>6395</v>
      </c>
    </row>
    <row r="1854" spans="1:5">
      <c r="A1854" s="26" t="s">
        <v>7942</v>
      </c>
      <c r="B1854" s="26" t="s">
        <v>8082</v>
      </c>
      <c r="D1854" s="26" t="s">
        <v>6396</v>
      </c>
      <c r="E1854" s="26" t="s">
        <v>6395</v>
      </c>
    </row>
    <row r="1855" spans="1:5">
      <c r="A1855" s="26" t="s">
        <v>7942</v>
      </c>
      <c r="B1855" s="26" t="s">
        <v>8083</v>
      </c>
      <c r="D1855" s="26" t="s">
        <v>6396</v>
      </c>
      <c r="E1855" s="26" t="s">
        <v>6395</v>
      </c>
    </row>
    <row r="1856" spans="1:5">
      <c r="A1856" s="26" t="s">
        <v>7942</v>
      </c>
      <c r="B1856" s="26" t="s">
        <v>579</v>
      </c>
      <c r="D1856" s="26" t="s">
        <v>6396</v>
      </c>
      <c r="E1856" s="26" t="s">
        <v>6395</v>
      </c>
    </row>
    <row r="1857" spans="1:5">
      <c r="A1857" s="26" t="s">
        <v>7942</v>
      </c>
      <c r="B1857" s="26" t="s">
        <v>7896</v>
      </c>
      <c r="D1857" s="26" t="s">
        <v>6396</v>
      </c>
      <c r="E1857" s="26" t="s">
        <v>6395</v>
      </c>
    </row>
    <row r="1858" spans="1:5">
      <c r="A1858" s="26" t="s">
        <v>7942</v>
      </c>
      <c r="B1858" s="26" t="s">
        <v>6550</v>
      </c>
      <c r="D1858" s="26" t="s">
        <v>6396</v>
      </c>
      <c r="E1858" s="26" t="s">
        <v>6395</v>
      </c>
    </row>
    <row r="1859" spans="1:5">
      <c r="A1859" s="26" t="s">
        <v>7942</v>
      </c>
      <c r="B1859" s="26" t="s">
        <v>7285</v>
      </c>
      <c r="D1859" s="26" t="s">
        <v>6396</v>
      </c>
      <c r="E1859" s="26" t="s">
        <v>6395</v>
      </c>
    </row>
    <row r="1860" spans="1:5">
      <c r="A1860" s="26" t="s">
        <v>7942</v>
      </c>
      <c r="B1860" s="26" t="s">
        <v>8084</v>
      </c>
      <c r="D1860" s="26" t="s">
        <v>6396</v>
      </c>
      <c r="E1860" s="26" t="s">
        <v>6871</v>
      </c>
    </row>
    <row r="1861" spans="1:5">
      <c r="A1861" s="26" t="s">
        <v>7942</v>
      </c>
      <c r="B1861" s="26" t="s">
        <v>706</v>
      </c>
      <c r="D1861" s="26" t="s">
        <v>6396</v>
      </c>
      <c r="E1861" s="26" t="s">
        <v>6395</v>
      </c>
    </row>
    <row r="1862" spans="1:5">
      <c r="A1862" s="26" t="s">
        <v>7942</v>
      </c>
      <c r="B1862" s="26" t="s">
        <v>8085</v>
      </c>
      <c r="D1862" s="26" t="s">
        <v>6396</v>
      </c>
      <c r="E1862" s="26" t="s">
        <v>6443</v>
      </c>
    </row>
    <row r="1863" spans="1:5">
      <c r="A1863" s="26" t="s">
        <v>7942</v>
      </c>
      <c r="B1863" s="26" t="s">
        <v>2404</v>
      </c>
      <c r="D1863" s="26" t="s">
        <v>6396</v>
      </c>
      <c r="E1863" s="26" t="s">
        <v>6395</v>
      </c>
    </row>
    <row r="1864" spans="1:5">
      <c r="A1864" s="26" t="s">
        <v>7942</v>
      </c>
      <c r="B1864" s="26" t="s">
        <v>8086</v>
      </c>
      <c r="D1864" s="26" t="s">
        <v>6396</v>
      </c>
      <c r="E1864" s="26" t="s">
        <v>6443</v>
      </c>
    </row>
    <row r="1865" spans="1:5">
      <c r="A1865" s="26" t="s">
        <v>7942</v>
      </c>
      <c r="B1865" s="26" t="s">
        <v>8087</v>
      </c>
      <c r="D1865" s="26" t="s">
        <v>6396</v>
      </c>
      <c r="E1865" s="26" t="s">
        <v>6395</v>
      </c>
    </row>
    <row r="1866" spans="1:5">
      <c r="A1866" s="26" t="s">
        <v>7942</v>
      </c>
      <c r="B1866" s="26" t="s">
        <v>8088</v>
      </c>
      <c r="D1866" s="26" t="s">
        <v>6396</v>
      </c>
      <c r="E1866" s="26" t="s">
        <v>6395</v>
      </c>
    </row>
    <row r="1867" spans="1:5">
      <c r="A1867" s="26" t="s">
        <v>7942</v>
      </c>
      <c r="B1867" s="26" t="s">
        <v>8089</v>
      </c>
      <c r="D1867" s="26" t="s">
        <v>6396</v>
      </c>
      <c r="E1867" s="26" t="s">
        <v>6395</v>
      </c>
    </row>
    <row r="1868" spans="1:5">
      <c r="A1868" s="26" t="s">
        <v>7942</v>
      </c>
      <c r="B1868" s="26" t="s">
        <v>7270</v>
      </c>
      <c r="D1868" s="26" t="s">
        <v>6396</v>
      </c>
      <c r="E1868" s="26" t="s">
        <v>6395</v>
      </c>
    </row>
    <row r="1869" spans="1:5">
      <c r="A1869" s="26" t="s">
        <v>7942</v>
      </c>
      <c r="B1869" s="26" t="s">
        <v>8090</v>
      </c>
      <c r="D1869" s="26" t="s">
        <v>6396</v>
      </c>
      <c r="E1869" s="26" t="s">
        <v>6395</v>
      </c>
    </row>
    <row r="1870" spans="1:5">
      <c r="A1870" s="26" t="s">
        <v>7942</v>
      </c>
      <c r="B1870" s="26" t="s">
        <v>8091</v>
      </c>
      <c r="D1870" s="26" t="s">
        <v>6396</v>
      </c>
      <c r="E1870" s="26" t="s">
        <v>6395</v>
      </c>
    </row>
    <row r="1871" spans="1:5">
      <c r="A1871" s="26" t="s">
        <v>7942</v>
      </c>
      <c r="B1871" s="26" t="s">
        <v>6652</v>
      </c>
      <c r="D1871" s="26" t="s">
        <v>6396</v>
      </c>
      <c r="E1871" s="26" t="s">
        <v>6443</v>
      </c>
    </row>
    <row r="1872" spans="1:5">
      <c r="A1872" s="26" t="s">
        <v>7942</v>
      </c>
      <c r="B1872" s="26" t="s">
        <v>8092</v>
      </c>
      <c r="D1872" s="26" t="s">
        <v>6396</v>
      </c>
      <c r="E1872" s="26" t="s">
        <v>6443</v>
      </c>
    </row>
    <row r="1873" spans="1:5">
      <c r="A1873" s="26" t="s">
        <v>7942</v>
      </c>
      <c r="B1873" s="26" t="s">
        <v>8093</v>
      </c>
      <c r="D1873" s="26" t="s">
        <v>6396</v>
      </c>
      <c r="E1873" s="26" t="s">
        <v>6443</v>
      </c>
    </row>
    <row r="1874" spans="1:5">
      <c r="A1874" s="26" t="s">
        <v>7942</v>
      </c>
      <c r="B1874" s="26" t="s">
        <v>8094</v>
      </c>
      <c r="D1874" s="26" t="s">
        <v>6396</v>
      </c>
      <c r="E1874" s="26" t="s">
        <v>6395</v>
      </c>
    </row>
    <row r="1875" spans="1:5">
      <c r="A1875" s="26" t="s">
        <v>7942</v>
      </c>
      <c r="B1875" s="26" t="s">
        <v>1780</v>
      </c>
      <c r="D1875" s="26" t="s">
        <v>6396</v>
      </c>
      <c r="E1875" s="26" t="s">
        <v>6395</v>
      </c>
    </row>
    <row r="1876" spans="1:5">
      <c r="A1876" s="26" t="s">
        <v>7942</v>
      </c>
      <c r="B1876" s="26" t="s">
        <v>8095</v>
      </c>
      <c r="D1876" s="26" t="s">
        <v>6396</v>
      </c>
      <c r="E1876" s="26" t="s">
        <v>6395</v>
      </c>
    </row>
    <row r="1877" spans="1:5">
      <c r="A1877" s="26" t="s">
        <v>7942</v>
      </c>
      <c r="B1877" s="26" t="s">
        <v>8096</v>
      </c>
      <c r="D1877" s="26" t="s">
        <v>6396</v>
      </c>
      <c r="E1877" s="26" t="s">
        <v>6871</v>
      </c>
    </row>
    <row r="1878" spans="1:5">
      <c r="A1878" s="26" t="s">
        <v>7942</v>
      </c>
      <c r="B1878" s="26" t="s">
        <v>8097</v>
      </c>
      <c r="D1878" s="26" t="s">
        <v>6396</v>
      </c>
      <c r="E1878" s="26" t="s">
        <v>6395</v>
      </c>
    </row>
    <row r="1879" spans="1:5">
      <c r="A1879" s="26" t="s">
        <v>7942</v>
      </c>
      <c r="B1879" s="26" t="s">
        <v>3399</v>
      </c>
      <c r="D1879" s="26" t="s">
        <v>6396</v>
      </c>
      <c r="E1879" s="26" t="s">
        <v>6395</v>
      </c>
    </row>
    <row r="1880" spans="1:5">
      <c r="A1880" s="26" t="s">
        <v>7942</v>
      </c>
      <c r="B1880" s="26" t="s">
        <v>8098</v>
      </c>
      <c r="D1880" s="26" t="s">
        <v>6396</v>
      </c>
      <c r="E1880" s="26" t="s">
        <v>6395</v>
      </c>
    </row>
    <row r="1881" spans="1:5">
      <c r="A1881" s="26" t="s">
        <v>7942</v>
      </c>
      <c r="B1881" s="26" t="s">
        <v>1273</v>
      </c>
      <c r="D1881" s="26" t="s">
        <v>6396</v>
      </c>
      <c r="E1881" s="26" t="s">
        <v>6395</v>
      </c>
    </row>
    <row r="1882" spans="1:5">
      <c r="A1882" s="26" t="s">
        <v>7942</v>
      </c>
      <c r="B1882" s="26" t="s">
        <v>7239</v>
      </c>
      <c r="D1882" s="26" t="s">
        <v>6396</v>
      </c>
      <c r="E1882" s="26" t="s">
        <v>6395</v>
      </c>
    </row>
    <row r="1883" spans="1:5">
      <c r="A1883" s="26" t="s">
        <v>7942</v>
      </c>
      <c r="B1883" s="26" t="s">
        <v>7925</v>
      </c>
      <c r="D1883" s="26" t="s">
        <v>6396</v>
      </c>
      <c r="E1883" s="26" t="s">
        <v>6443</v>
      </c>
    </row>
    <row r="1884" spans="1:5">
      <c r="A1884" s="26" t="s">
        <v>7942</v>
      </c>
      <c r="B1884" s="26" t="s">
        <v>8099</v>
      </c>
      <c r="D1884" s="26" t="s">
        <v>6396</v>
      </c>
      <c r="E1884" s="26" t="s">
        <v>6395</v>
      </c>
    </row>
    <row r="1885" spans="1:5">
      <c r="A1885" s="26" t="s">
        <v>7942</v>
      </c>
      <c r="B1885" s="26" t="s">
        <v>8100</v>
      </c>
      <c r="D1885" s="26" t="s">
        <v>6396</v>
      </c>
      <c r="E1885" s="26" t="s">
        <v>6395</v>
      </c>
    </row>
    <row r="1886" spans="1:5">
      <c r="A1886" s="26" t="s">
        <v>7942</v>
      </c>
      <c r="B1886" s="26" t="s">
        <v>8101</v>
      </c>
      <c r="D1886" s="26" t="s">
        <v>6396</v>
      </c>
      <c r="E1886" s="26" t="s">
        <v>6395</v>
      </c>
    </row>
    <row r="1887" spans="1:5">
      <c r="A1887" s="26" t="s">
        <v>7942</v>
      </c>
      <c r="B1887" s="26" t="s">
        <v>8102</v>
      </c>
      <c r="D1887" s="26" t="s">
        <v>6396</v>
      </c>
      <c r="E1887" s="26" t="s">
        <v>6395</v>
      </c>
    </row>
    <row r="1888" spans="1:5">
      <c r="A1888" s="26" t="s">
        <v>7942</v>
      </c>
      <c r="B1888" s="26" t="s">
        <v>8103</v>
      </c>
      <c r="D1888" s="26" t="s">
        <v>6396</v>
      </c>
      <c r="E1888" s="26" t="s">
        <v>6395</v>
      </c>
    </row>
    <row r="1889" spans="1:5">
      <c r="A1889" s="26" t="s">
        <v>7942</v>
      </c>
      <c r="B1889" s="26" t="s">
        <v>8104</v>
      </c>
      <c r="D1889" s="26" t="s">
        <v>6480</v>
      </c>
      <c r="E1889" s="26" t="s">
        <v>6395</v>
      </c>
    </row>
    <row r="1890" spans="1:5">
      <c r="A1890" s="26" t="s">
        <v>7942</v>
      </c>
      <c r="B1890" s="26" t="s">
        <v>8105</v>
      </c>
      <c r="D1890" s="26" t="s">
        <v>6480</v>
      </c>
      <c r="E1890" s="26" t="s">
        <v>6395</v>
      </c>
    </row>
    <row r="1891" spans="1:5">
      <c r="A1891" s="26" t="s">
        <v>7942</v>
      </c>
      <c r="B1891" s="26" t="s">
        <v>8106</v>
      </c>
      <c r="D1891" s="26" t="s">
        <v>6480</v>
      </c>
      <c r="E1891" s="26" t="s">
        <v>6395</v>
      </c>
    </row>
    <row r="1892" spans="1:5">
      <c r="A1892" s="26" t="s">
        <v>7942</v>
      </c>
      <c r="B1892" s="26" t="s">
        <v>8107</v>
      </c>
      <c r="D1892" s="26" t="s">
        <v>6480</v>
      </c>
      <c r="E1892" s="26" t="s">
        <v>6395</v>
      </c>
    </row>
    <row r="1893" spans="1:5">
      <c r="A1893" s="26" t="s">
        <v>7942</v>
      </c>
      <c r="B1893" s="26" t="s">
        <v>8108</v>
      </c>
      <c r="D1893" s="26" t="s">
        <v>6480</v>
      </c>
      <c r="E1893" s="26" t="s">
        <v>6395</v>
      </c>
    </row>
    <row r="1894" spans="1:5">
      <c r="A1894" s="26" t="s">
        <v>7942</v>
      </c>
      <c r="B1894" s="26" t="s">
        <v>8109</v>
      </c>
      <c r="D1894" s="26" t="s">
        <v>6480</v>
      </c>
      <c r="E1894" s="26" t="s">
        <v>6395</v>
      </c>
    </row>
    <row r="1895" spans="1:5">
      <c r="A1895" s="26" t="s">
        <v>7942</v>
      </c>
      <c r="B1895" s="26" t="s">
        <v>8110</v>
      </c>
      <c r="D1895" s="26" t="s">
        <v>6480</v>
      </c>
      <c r="E1895" s="26" t="s">
        <v>6395</v>
      </c>
    </row>
    <row r="1896" spans="1:5">
      <c r="A1896" s="26" t="s">
        <v>7942</v>
      </c>
      <c r="B1896" s="26" t="s">
        <v>8111</v>
      </c>
      <c r="D1896" s="26" t="s">
        <v>6480</v>
      </c>
      <c r="E1896" s="26" t="s">
        <v>6395</v>
      </c>
    </row>
    <row r="1897" spans="1:5">
      <c r="A1897" s="26" t="s">
        <v>7942</v>
      </c>
      <c r="B1897" s="26" t="s">
        <v>8112</v>
      </c>
      <c r="D1897" s="26" t="s">
        <v>6480</v>
      </c>
      <c r="E1897" s="26" t="s">
        <v>6395</v>
      </c>
    </row>
    <row r="1898" spans="1:5">
      <c r="A1898" s="26" t="s">
        <v>7942</v>
      </c>
      <c r="B1898" s="26" t="s">
        <v>8113</v>
      </c>
      <c r="D1898" s="26" t="s">
        <v>6480</v>
      </c>
      <c r="E1898" s="26" t="s">
        <v>6395</v>
      </c>
    </row>
    <row r="1899" spans="1:5">
      <c r="A1899" s="26" t="s">
        <v>7942</v>
      </c>
      <c r="B1899" s="26" t="s">
        <v>8114</v>
      </c>
      <c r="D1899" s="26" t="s">
        <v>6480</v>
      </c>
      <c r="E1899" s="26" t="s">
        <v>6395</v>
      </c>
    </row>
    <row r="1900" spans="1:5">
      <c r="A1900" s="26" t="s">
        <v>7942</v>
      </c>
      <c r="B1900" s="26" t="s">
        <v>6616</v>
      </c>
      <c r="D1900" s="26" t="s">
        <v>6480</v>
      </c>
      <c r="E1900" s="26" t="s">
        <v>6395</v>
      </c>
    </row>
    <row r="1901" spans="1:5">
      <c r="A1901" s="26" t="s">
        <v>7942</v>
      </c>
      <c r="B1901" s="26" t="s">
        <v>8115</v>
      </c>
      <c r="D1901" s="26" t="s">
        <v>8116</v>
      </c>
      <c r="E1901" s="26" t="s">
        <v>6395</v>
      </c>
    </row>
    <row r="1902" spans="1:5">
      <c r="A1902" s="26" t="s">
        <v>7942</v>
      </c>
      <c r="B1902" s="26" t="s">
        <v>8117</v>
      </c>
      <c r="D1902" s="26" t="s">
        <v>6489</v>
      </c>
      <c r="E1902" s="26" t="s">
        <v>6395</v>
      </c>
    </row>
    <row r="1903" spans="1:5">
      <c r="A1903" s="26" t="s">
        <v>7942</v>
      </c>
      <c r="B1903" s="26" t="s">
        <v>187</v>
      </c>
      <c r="D1903" s="26" t="s">
        <v>6489</v>
      </c>
      <c r="E1903" s="26" t="s">
        <v>6395</v>
      </c>
    </row>
    <row r="1904" spans="1:5">
      <c r="A1904" s="26" t="s">
        <v>7942</v>
      </c>
      <c r="B1904" s="26" t="s">
        <v>8118</v>
      </c>
      <c r="D1904" s="26" t="s">
        <v>6489</v>
      </c>
      <c r="E1904" s="26" t="s">
        <v>6395</v>
      </c>
    </row>
    <row r="1905" spans="1:6">
      <c r="A1905" s="26" t="s">
        <v>7942</v>
      </c>
      <c r="B1905" s="26" t="s">
        <v>8119</v>
      </c>
      <c r="D1905" s="26" t="s">
        <v>6480</v>
      </c>
      <c r="E1905" s="26" t="s">
        <v>6395</v>
      </c>
    </row>
    <row r="1906" spans="1:6">
      <c r="A1906" s="26" t="s">
        <v>7942</v>
      </c>
      <c r="B1906" s="26" t="s">
        <v>7372</v>
      </c>
      <c r="D1906" s="26" t="s">
        <v>6480</v>
      </c>
      <c r="E1906" s="26" t="s">
        <v>6395</v>
      </c>
    </row>
    <row r="1907" spans="1:6">
      <c r="A1907" s="26" t="s">
        <v>7942</v>
      </c>
      <c r="B1907" s="26" t="s">
        <v>7819</v>
      </c>
      <c r="D1907" s="26" t="s">
        <v>6396</v>
      </c>
      <c r="E1907" s="26" t="s">
        <v>6443</v>
      </c>
    </row>
    <row r="1908" spans="1:6">
      <c r="A1908" s="26" t="s">
        <v>7942</v>
      </c>
      <c r="B1908" s="26" t="s">
        <v>8120</v>
      </c>
      <c r="D1908" s="26" t="s">
        <v>6396</v>
      </c>
      <c r="E1908" s="26" t="s">
        <v>6395</v>
      </c>
      <c r="F1908" s="26">
        <v>100</v>
      </c>
    </row>
    <row r="1909" spans="1:6">
      <c r="A1909" s="26" t="s">
        <v>7942</v>
      </c>
      <c r="B1909" s="26" t="s">
        <v>3131</v>
      </c>
      <c r="D1909" s="26" t="s">
        <v>6396</v>
      </c>
      <c r="E1909" s="26" t="s">
        <v>6395</v>
      </c>
      <c r="F1909" s="26">
        <v>50</v>
      </c>
    </row>
    <row r="1910" spans="1:6">
      <c r="A1910" s="26" t="s">
        <v>7942</v>
      </c>
      <c r="B1910" s="26" t="s">
        <v>1585</v>
      </c>
      <c r="D1910" s="26" t="s">
        <v>6396</v>
      </c>
      <c r="E1910" s="26" t="s">
        <v>6395</v>
      </c>
    </row>
    <row r="1911" spans="1:6">
      <c r="A1911" s="26" t="s">
        <v>7942</v>
      </c>
      <c r="B1911" s="26" t="s">
        <v>7277</v>
      </c>
      <c r="D1911" s="26" t="s">
        <v>6396</v>
      </c>
      <c r="E1911" s="26" t="s">
        <v>6395</v>
      </c>
    </row>
    <row r="1912" spans="1:6">
      <c r="A1912" s="26" t="s">
        <v>7942</v>
      </c>
      <c r="B1912" s="26" t="s">
        <v>6756</v>
      </c>
      <c r="D1912" s="26" t="s">
        <v>6396</v>
      </c>
      <c r="E1912" s="26" t="s">
        <v>6395</v>
      </c>
    </row>
    <row r="1913" spans="1:6">
      <c r="A1913" s="26" t="s">
        <v>7942</v>
      </c>
      <c r="B1913" s="26" t="s">
        <v>7071</v>
      </c>
      <c r="D1913" s="26" t="s">
        <v>6396</v>
      </c>
      <c r="E1913" s="26" t="s">
        <v>6395</v>
      </c>
    </row>
    <row r="1914" spans="1:6">
      <c r="A1914" s="26" t="s">
        <v>7942</v>
      </c>
      <c r="B1914" s="26" t="s">
        <v>1737</v>
      </c>
      <c r="D1914" s="26" t="s">
        <v>6396</v>
      </c>
      <c r="E1914" s="26" t="s">
        <v>6395</v>
      </c>
    </row>
    <row r="1915" spans="1:6">
      <c r="A1915" s="26" t="s">
        <v>7942</v>
      </c>
      <c r="B1915" s="26" t="s">
        <v>749</v>
      </c>
      <c r="D1915" s="26" t="s">
        <v>6396</v>
      </c>
      <c r="E1915" s="26" t="s">
        <v>6395</v>
      </c>
    </row>
    <row r="1916" spans="1:6">
      <c r="A1916" s="26" t="s">
        <v>7942</v>
      </c>
      <c r="B1916" s="26" t="s">
        <v>2193</v>
      </c>
      <c r="D1916" s="26" t="s">
        <v>6396</v>
      </c>
      <c r="E1916" s="26" t="s">
        <v>6395</v>
      </c>
    </row>
    <row r="1917" spans="1:6">
      <c r="A1917" s="26" t="s">
        <v>7942</v>
      </c>
      <c r="B1917" s="26" t="s">
        <v>1743</v>
      </c>
      <c r="D1917" s="26" t="s">
        <v>6396</v>
      </c>
      <c r="E1917" s="26" t="s">
        <v>6395</v>
      </c>
    </row>
    <row r="1918" spans="1:6">
      <c r="A1918" s="26" t="s">
        <v>7942</v>
      </c>
      <c r="B1918" s="26" t="s">
        <v>26</v>
      </c>
      <c r="D1918" s="26" t="s">
        <v>6396</v>
      </c>
      <c r="E1918" s="26" t="s">
        <v>6395</v>
      </c>
    </row>
    <row r="1919" spans="1:6">
      <c r="A1919" s="26" t="s">
        <v>7942</v>
      </c>
      <c r="B1919" s="26" t="s">
        <v>6945</v>
      </c>
      <c r="D1919" s="26" t="s">
        <v>6396</v>
      </c>
      <c r="E1919" s="26" t="s">
        <v>6395</v>
      </c>
    </row>
    <row r="1920" spans="1:6">
      <c r="A1920" s="26" t="s">
        <v>7942</v>
      </c>
      <c r="B1920" s="26" t="s">
        <v>8121</v>
      </c>
      <c r="D1920" s="26" t="s">
        <v>6396</v>
      </c>
      <c r="E1920" s="26" t="s">
        <v>6395</v>
      </c>
    </row>
    <row r="1921" spans="1:6">
      <c r="A1921" s="26" t="s">
        <v>7942</v>
      </c>
      <c r="B1921" s="26" t="s">
        <v>7311</v>
      </c>
      <c r="D1921" s="26" t="s">
        <v>6396</v>
      </c>
      <c r="E1921" s="26" t="s">
        <v>6395</v>
      </c>
    </row>
    <row r="1922" spans="1:6">
      <c r="A1922" s="26" t="s">
        <v>7942</v>
      </c>
      <c r="B1922" s="26" t="s">
        <v>8122</v>
      </c>
      <c r="D1922" s="26" t="s">
        <v>6396</v>
      </c>
      <c r="E1922" s="26" t="s">
        <v>6395</v>
      </c>
    </row>
    <row r="1923" spans="1:6">
      <c r="A1923" s="26" t="s">
        <v>7942</v>
      </c>
      <c r="B1923" s="26" t="s">
        <v>8123</v>
      </c>
      <c r="D1923" s="26" t="s">
        <v>6396</v>
      </c>
      <c r="E1923" s="26" t="s">
        <v>6395</v>
      </c>
    </row>
    <row r="1924" spans="1:6">
      <c r="A1924" s="26" t="s">
        <v>7942</v>
      </c>
      <c r="B1924" s="26" t="s">
        <v>6880</v>
      </c>
      <c r="D1924" s="26" t="s">
        <v>6396</v>
      </c>
      <c r="E1924" s="26" t="s">
        <v>6395</v>
      </c>
    </row>
    <row r="1925" spans="1:6">
      <c r="A1925" s="26" t="s">
        <v>7942</v>
      </c>
      <c r="B1925" s="26" t="s">
        <v>8124</v>
      </c>
      <c r="D1925" s="26" t="s">
        <v>6396</v>
      </c>
      <c r="E1925" s="26" t="s">
        <v>6395</v>
      </c>
    </row>
    <row r="1926" spans="1:6">
      <c r="A1926" s="26" t="s">
        <v>7942</v>
      </c>
      <c r="B1926" s="26" t="s">
        <v>8125</v>
      </c>
      <c r="C1926" s="26" t="s">
        <v>884</v>
      </c>
      <c r="D1926" s="26" t="s">
        <v>6396</v>
      </c>
      <c r="E1926" s="26" t="s">
        <v>6395</v>
      </c>
    </row>
    <row r="1927" spans="1:6">
      <c r="A1927" s="26" t="s">
        <v>7942</v>
      </c>
      <c r="B1927" s="26" t="s">
        <v>8126</v>
      </c>
      <c r="C1927" s="26" t="s">
        <v>8127</v>
      </c>
      <c r="D1927" s="26" t="s">
        <v>6396</v>
      </c>
      <c r="E1927" s="26" t="s">
        <v>6395</v>
      </c>
    </row>
    <row r="1928" spans="1:6">
      <c r="A1928" s="26" t="s">
        <v>7942</v>
      </c>
      <c r="B1928" s="26" t="s">
        <v>8128</v>
      </c>
      <c r="C1928" s="26" t="s">
        <v>8129</v>
      </c>
      <c r="D1928" s="26" t="s">
        <v>6396</v>
      </c>
      <c r="E1928" s="26" t="s">
        <v>6395</v>
      </c>
      <c r="F1928" s="26" t="s">
        <v>8130</v>
      </c>
    </row>
    <row r="1929" spans="1:6">
      <c r="A1929" s="26" t="s">
        <v>7942</v>
      </c>
      <c r="B1929" s="26" t="s">
        <v>8131</v>
      </c>
      <c r="C1929" s="26" t="s">
        <v>8132</v>
      </c>
      <c r="D1929" s="26" t="s">
        <v>6396</v>
      </c>
      <c r="E1929" s="26" t="s">
        <v>8133</v>
      </c>
    </row>
    <row r="1930" spans="1:6">
      <c r="A1930" s="26" t="s">
        <v>7942</v>
      </c>
      <c r="B1930" s="26" t="s">
        <v>8134</v>
      </c>
      <c r="C1930" s="26" t="s">
        <v>8135</v>
      </c>
      <c r="D1930" s="26" t="s">
        <v>6396</v>
      </c>
      <c r="E1930" s="26" t="s">
        <v>8133</v>
      </c>
    </row>
    <row r="1931" spans="1:6">
      <c r="A1931" s="26" t="s">
        <v>7942</v>
      </c>
      <c r="B1931" s="26" t="s">
        <v>8136</v>
      </c>
      <c r="C1931" s="26" t="s">
        <v>8127</v>
      </c>
      <c r="D1931" s="26" t="s">
        <v>6396</v>
      </c>
      <c r="E1931" s="26" t="s">
        <v>8133</v>
      </c>
    </row>
    <row r="1932" spans="1:6">
      <c r="A1932" s="26" t="s">
        <v>7942</v>
      </c>
      <c r="B1932" s="26" t="s">
        <v>8137</v>
      </c>
      <c r="C1932" s="26" t="s">
        <v>8127</v>
      </c>
      <c r="D1932" s="26" t="s">
        <v>6396</v>
      </c>
      <c r="E1932" s="26" t="s">
        <v>1611</v>
      </c>
    </row>
    <row r="1933" spans="1:6">
      <c r="A1933" s="26" t="s">
        <v>7942</v>
      </c>
      <c r="B1933" s="26" t="s">
        <v>8138</v>
      </c>
      <c r="C1933" s="26" t="s">
        <v>8139</v>
      </c>
      <c r="D1933" s="26" t="s">
        <v>6480</v>
      </c>
      <c r="E1933" s="26" t="s">
        <v>6395</v>
      </c>
    </row>
    <row r="1934" spans="1:6">
      <c r="A1934" s="26" t="s">
        <v>7942</v>
      </c>
      <c r="B1934" s="26" t="s">
        <v>8140</v>
      </c>
      <c r="C1934" s="26" t="s">
        <v>8141</v>
      </c>
      <c r="D1934" s="26" t="s">
        <v>6480</v>
      </c>
      <c r="E1934" s="26" t="s">
        <v>6395</v>
      </c>
    </row>
    <row r="1935" spans="1:6">
      <c r="A1935" s="26" t="s">
        <v>7942</v>
      </c>
      <c r="B1935" s="26" t="s">
        <v>7191</v>
      </c>
      <c r="C1935" s="26" t="s">
        <v>42</v>
      </c>
      <c r="D1935" s="26" t="s">
        <v>6396</v>
      </c>
      <c r="E1935" s="26" t="s">
        <v>6395</v>
      </c>
    </row>
    <row r="1936" spans="1:6">
      <c r="A1936" s="26" t="s">
        <v>7942</v>
      </c>
      <c r="B1936" s="26" t="s">
        <v>8142</v>
      </c>
      <c r="C1936" s="26" t="s">
        <v>8127</v>
      </c>
      <c r="D1936" s="26" t="s">
        <v>6396</v>
      </c>
      <c r="E1936" s="26" t="s">
        <v>6395</v>
      </c>
    </row>
    <row r="1937" spans="1:6">
      <c r="A1937" s="26" t="s">
        <v>7942</v>
      </c>
      <c r="B1937" s="26" t="s">
        <v>1853</v>
      </c>
      <c r="C1937" s="26" t="s">
        <v>1854</v>
      </c>
      <c r="D1937" s="26" t="s">
        <v>6396</v>
      </c>
      <c r="E1937" s="26" t="s">
        <v>6395</v>
      </c>
      <c r="F1937" s="26" t="s">
        <v>8143</v>
      </c>
    </row>
    <row r="1938" spans="1:6">
      <c r="A1938" s="26" t="s">
        <v>7942</v>
      </c>
      <c r="B1938" s="26" t="s">
        <v>1820</v>
      </c>
      <c r="C1938" s="26" t="s">
        <v>679</v>
      </c>
      <c r="D1938" s="26" t="s">
        <v>6396</v>
      </c>
      <c r="E1938" s="26" t="s">
        <v>6395</v>
      </c>
    </row>
    <row r="1939" spans="1:6">
      <c r="A1939" s="26" t="s">
        <v>7942</v>
      </c>
      <c r="B1939" s="26" t="s">
        <v>8144</v>
      </c>
      <c r="C1939" s="26" t="s">
        <v>2057</v>
      </c>
      <c r="D1939" s="26" t="s">
        <v>6396</v>
      </c>
      <c r="E1939" s="26" t="s">
        <v>6395</v>
      </c>
      <c r="F1939" s="26" t="s">
        <v>8143</v>
      </c>
    </row>
    <row r="1940" spans="1:6">
      <c r="A1940" s="26" t="s">
        <v>7942</v>
      </c>
      <c r="B1940" s="26" t="s">
        <v>8145</v>
      </c>
      <c r="C1940" s="26" t="s">
        <v>7331</v>
      </c>
      <c r="D1940" s="26" t="s">
        <v>6396</v>
      </c>
      <c r="E1940" s="26" t="s">
        <v>6443</v>
      </c>
    </row>
    <row r="1941" spans="1:6">
      <c r="A1941" s="26" t="s">
        <v>7942</v>
      </c>
      <c r="B1941" s="26" t="s">
        <v>846</v>
      </c>
      <c r="C1941" s="26" t="s">
        <v>847</v>
      </c>
      <c r="D1941" s="26" t="s">
        <v>6396</v>
      </c>
      <c r="E1941" s="26" t="s">
        <v>6443</v>
      </c>
      <c r="F1941" s="26" t="s">
        <v>8143</v>
      </c>
    </row>
    <row r="1942" spans="1:6">
      <c r="A1942" s="26" t="s">
        <v>7942</v>
      </c>
      <c r="B1942" s="26" t="s">
        <v>342</v>
      </c>
      <c r="C1942" s="26" t="s">
        <v>8146</v>
      </c>
      <c r="D1942" s="26" t="s">
        <v>6396</v>
      </c>
      <c r="E1942" s="26" t="s">
        <v>6395</v>
      </c>
      <c r="F1942" s="26" t="s">
        <v>8143</v>
      </c>
    </row>
    <row r="1943" spans="1:6">
      <c r="A1943" s="26" t="s">
        <v>7942</v>
      </c>
      <c r="B1943" s="26" t="s">
        <v>65</v>
      </c>
      <c r="C1943" s="26" t="s">
        <v>6444</v>
      </c>
      <c r="D1943" s="26" t="s">
        <v>6396</v>
      </c>
      <c r="E1943" s="26" t="s">
        <v>6395</v>
      </c>
      <c r="F1943" s="26" t="s">
        <v>8143</v>
      </c>
    </row>
    <row r="1944" spans="1:6">
      <c r="A1944" s="26" t="s">
        <v>7942</v>
      </c>
      <c r="B1944" s="26" t="s">
        <v>8147</v>
      </c>
      <c r="C1944" s="26" t="s">
        <v>8148</v>
      </c>
      <c r="D1944" s="26" t="s">
        <v>6396</v>
      </c>
      <c r="E1944" s="26" t="s">
        <v>7957</v>
      </c>
      <c r="F1944" s="26" t="s">
        <v>8149</v>
      </c>
    </row>
    <row r="1945" spans="1:6">
      <c r="A1945" s="26" t="s">
        <v>7942</v>
      </c>
      <c r="B1945" s="26" t="s">
        <v>8150</v>
      </c>
      <c r="C1945" s="26" t="s">
        <v>8151</v>
      </c>
      <c r="D1945" s="26" t="s">
        <v>6396</v>
      </c>
      <c r="E1945" s="26" t="s">
        <v>6395</v>
      </c>
      <c r="F1945" s="26" t="s">
        <v>8143</v>
      </c>
    </row>
    <row r="1946" spans="1:6">
      <c r="A1946" s="26" t="s">
        <v>7942</v>
      </c>
      <c r="B1946" s="26" t="s">
        <v>8152</v>
      </c>
      <c r="C1946" s="26" t="s">
        <v>8153</v>
      </c>
      <c r="D1946" s="26" t="s">
        <v>6396</v>
      </c>
      <c r="E1946" s="26" t="s">
        <v>6395</v>
      </c>
      <c r="F1946" s="26" t="s">
        <v>8143</v>
      </c>
    </row>
    <row r="1947" spans="1:6">
      <c r="A1947" s="26" t="s">
        <v>7942</v>
      </c>
      <c r="B1947" s="26" t="s">
        <v>1478</v>
      </c>
      <c r="C1947" s="26" t="s">
        <v>21</v>
      </c>
      <c r="D1947" s="26" t="s">
        <v>6396</v>
      </c>
      <c r="E1947" s="26" t="s">
        <v>6395</v>
      </c>
    </row>
    <row r="1948" spans="1:6">
      <c r="A1948" s="26" t="s">
        <v>7942</v>
      </c>
      <c r="B1948" s="26" t="s">
        <v>8154</v>
      </c>
      <c r="C1948" s="26" t="s">
        <v>8155</v>
      </c>
      <c r="D1948" s="26" t="s">
        <v>6396</v>
      </c>
      <c r="E1948" s="26" t="s">
        <v>6395</v>
      </c>
    </row>
    <row r="1949" spans="1:6">
      <c r="A1949" s="26" t="s">
        <v>7942</v>
      </c>
      <c r="B1949" s="26" t="s">
        <v>7912</v>
      </c>
      <c r="C1949" s="26" t="s">
        <v>8156</v>
      </c>
      <c r="D1949" s="26" t="s">
        <v>6396</v>
      </c>
      <c r="E1949" s="26" t="s">
        <v>6395</v>
      </c>
    </row>
    <row r="1950" spans="1:6">
      <c r="A1950" s="26" t="s">
        <v>7942</v>
      </c>
      <c r="B1950" s="26" t="s">
        <v>3181</v>
      </c>
      <c r="C1950" s="26" t="s">
        <v>3182</v>
      </c>
      <c r="D1950" s="26" t="s">
        <v>6396</v>
      </c>
      <c r="E1950" s="26" t="s">
        <v>6395</v>
      </c>
    </row>
    <row r="1951" spans="1:6">
      <c r="A1951" s="26" t="s">
        <v>7942</v>
      </c>
      <c r="B1951" s="26" t="s">
        <v>8157</v>
      </c>
      <c r="C1951" s="26" t="s">
        <v>8158</v>
      </c>
      <c r="D1951" s="26" t="s">
        <v>6396</v>
      </c>
      <c r="E1951" s="26" t="s">
        <v>6395</v>
      </c>
    </row>
    <row r="1952" spans="1:6">
      <c r="A1952" s="26" t="s">
        <v>7942</v>
      </c>
      <c r="B1952" s="26" t="s">
        <v>8159</v>
      </c>
      <c r="C1952" s="26" t="s">
        <v>8160</v>
      </c>
      <c r="D1952" s="26" t="s">
        <v>6396</v>
      </c>
      <c r="E1952" s="26" t="s">
        <v>8161</v>
      </c>
    </row>
    <row r="1953" spans="1:5">
      <c r="A1953" s="26" t="s">
        <v>7942</v>
      </c>
      <c r="B1953" s="26" t="s">
        <v>8162</v>
      </c>
      <c r="C1953" s="26" t="s">
        <v>8160</v>
      </c>
      <c r="D1953" s="26" t="s">
        <v>6396</v>
      </c>
      <c r="E1953" s="26" t="s">
        <v>6871</v>
      </c>
    </row>
    <row r="1954" spans="1:5">
      <c r="A1954" s="26" t="s">
        <v>7942</v>
      </c>
      <c r="B1954" s="26" t="s">
        <v>8163</v>
      </c>
      <c r="C1954" s="26" t="s">
        <v>8164</v>
      </c>
      <c r="D1954" s="26" t="s">
        <v>6480</v>
      </c>
      <c r="E1954" s="26" t="s">
        <v>6395</v>
      </c>
    </row>
    <row r="1955" spans="1:5">
      <c r="A1955" s="26" t="s">
        <v>7942</v>
      </c>
      <c r="B1955" s="26" t="s">
        <v>7822</v>
      </c>
      <c r="C1955" s="26" t="s">
        <v>1351</v>
      </c>
      <c r="D1955" s="26" t="s">
        <v>6396</v>
      </c>
      <c r="E1955" s="26" t="s">
        <v>6871</v>
      </c>
    </row>
    <row r="1956" spans="1:5">
      <c r="A1956" s="26" t="s">
        <v>7942</v>
      </c>
      <c r="B1956" s="26" t="s">
        <v>7309</v>
      </c>
      <c r="C1956" s="26" t="s">
        <v>592</v>
      </c>
      <c r="D1956" s="26" t="s">
        <v>6396</v>
      </c>
      <c r="E1956" s="26" t="s">
        <v>6395</v>
      </c>
    </row>
    <row r="1957" spans="1:5">
      <c r="A1957" s="26" t="s">
        <v>7942</v>
      </c>
      <c r="B1957" s="26" t="s">
        <v>8007</v>
      </c>
      <c r="C1957" s="26" t="s">
        <v>7633</v>
      </c>
      <c r="D1957" s="26" t="s">
        <v>6396</v>
      </c>
      <c r="E1957" s="26" t="s">
        <v>6395</v>
      </c>
    </row>
    <row r="1958" spans="1:5">
      <c r="A1958" s="26" t="s">
        <v>7942</v>
      </c>
      <c r="B1958" s="26" t="s">
        <v>8008</v>
      </c>
      <c r="C1958" s="26" t="s">
        <v>8165</v>
      </c>
      <c r="D1958" s="26" t="s">
        <v>6396</v>
      </c>
      <c r="E1958" s="26" t="s">
        <v>8166</v>
      </c>
    </row>
    <row r="1959" spans="1:5">
      <c r="A1959" s="26" t="s">
        <v>7942</v>
      </c>
      <c r="B1959" s="26" t="s">
        <v>8167</v>
      </c>
      <c r="C1959" s="26" t="s">
        <v>8168</v>
      </c>
      <c r="D1959" s="26" t="s">
        <v>6396</v>
      </c>
      <c r="E1959" s="26" t="s">
        <v>6395</v>
      </c>
    </row>
    <row r="1960" spans="1:5">
      <c r="A1960" s="26" t="s">
        <v>7942</v>
      </c>
      <c r="B1960" s="26" t="s">
        <v>8169</v>
      </c>
      <c r="C1960" s="26" t="s">
        <v>915</v>
      </c>
      <c r="D1960" s="26" t="s">
        <v>6396</v>
      </c>
      <c r="E1960" s="26" t="s">
        <v>6395</v>
      </c>
    </row>
    <row r="1961" spans="1:5">
      <c r="A1961" s="26" t="s">
        <v>7942</v>
      </c>
      <c r="B1961" s="26" t="s">
        <v>7924</v>
      </c>
      <c r="C1961" s="26" t="s">
        <v>7447</v>
      </c>
      <c r="D1961" s="26" t="s">
        <v>6396</v>
      </c>
      <c r="E1961" s="26" t="s">
        <v>6443</v>
      </c>
    </row>
    <row r="1962" spans="1:5">
      <c r="A1962" s="26" t="s">
        <v>7942</v>
      </c>
      <c r="B1962" s="26" t="s">
        <v>8170</v>
      </c>
      <c r="C1962" s="26" t="s">
        <v>8171</v>
      </c>
      <c r="D1962" s="26" t="s">
        <v>6396</v>
      </c>
      <c r="E1962" s="26" t="s">
        <v>6395</v>
      </c>
    </row>
    <row r="1963" spans="1:5">
      <c r="A1963" s="26" t="s">
        <v>7942</v>
      </c>
      <c r="B1963" s="26" t="s">
        <v>8172</v>
      </c>
      <c r="C1963" s="26" t="s">
        <v>7640</v>
      </c>
      <c r="D1963" s="26" t="s">
        <v>6396</v>
      </c>
      <c r="E1963" s="26" t="s">
        <v>6443</v>
      </c>
    </row>
    <row r="1964" spans="1:5">
      <c r="A1964" s="26" t="s">
        <v>7942</v>
      </c>
      <c r="B1964" s="26" t="s">
        <v>8173</v>
      </c>
      <c r="C1964" s="26" t="s">
        <v>8174</v>
      </c>
      <c r="D1964" s="26" t="s">
        <v>6396</v>
      </c>
      <c r="E1964" s="26" t="s">
        <v>6395</v>
      </c>
    </row>
    <row r="1965" spans="1:5">
      <c r="A1965" s="26" t="s">
        <v>7942</v>
      </c>
      <c r="B1965" s="26" t="s">
        <v>4739</v>
      </c>
      <c r="C1965" s="26" t="s">
        <v>7416</v>
      </c>
      <c r="D1965" s="26" t="s">
        <v>6396</v>
      </c>
      <c r="E1965" s="26" t="s">
        <v>6395</v>
      </c>
    </row>
    <row r="1966" spans="1:5">
      <c r="A1966" s="26" t="s">
        <v>7942</v>
      </c>
      <c r="B1966" s="26" t="s">
        <v>8175</v>
      </c>
      <c r="C1966" s="26" t="s">
        <v>8176</v>
      </c>
      <c r="D1966" s="26" t="s">
        <v>6396</v>
      </c>
      <c r="E1966" s="26" t="s">
        <v>6395</v>
      </c>
    </row>
    <row r="1967" spans="1:5">
      <c r="A1967" s="26" t="s">
        <v>7942</v>
      </c>
      <c r="B1967" s="26" t="s">
        <v>6600</v>
      </c>
      <c r="C1967" s="26" t="s">
        <v>27</v>
      </c>
      <c r="D1967" s="26" t="s">
        <v>6396</v>
      </c>
      <c r="E1967" s="26" t="s">
        <v>6395</v>
      </c>
    </row>
    <row r="1968" spans="1:5">
      <c r="A1968" s="26" t="s">
        <v>7942</v>
      </c>
      <c r="B1968" s="26" t="s">
        <v>8177</v>
      </c>
      <c r="C1968" s="26" t="s">
        <v>8178</v>
      </c>
      <c r="D1968" s="26" t="s">
        <v>6396</v>
      </c>
      <c r="E1968" s="26" t="s">
        <v>6395</v>
      </c>
    </row>
    <row r="1969" spans="1:5">
      <c r="A1969" s="26" t="s">
        <v>7942</v>
      </c>
      <c r="B1969" s="26" t="s">
        <v>7454</v>
      </c>
      <c r="C1969" s="26" t="s">
        <v>8179</v>
      </c>
      <c r="D1969" s="26" t="s">
        <v>6396</v>
      </c>
      <c r="E1969" s="26" t="s">
        <v>6395</v>
      </c>
    </row>
    <row r="1970" spans="1:5">
      <c r="A1970" s="26" t="s">
        <v>7942</v>
      </c>
      <c r="B1970" s="26" t="s">
        <v>7436</v>
      </c>
      <c r="C1970" s="26" t="s">
        <v>8179</v>
      </c>
      <c r="D1970" s="26" t="s">
        <v>6396</v>
      </c>
      <c r="E1970" s="26" t="s">
        <v>6395</v>
      </c>
    </row>
    <row r="1971" spans="1:5">
      <c r="A1971" s="26" t="s">
        <v>7942</v>
      </c>
      <c r="B1971" s="26" t="s">
        <v>8180</v>
      </c>
      <c r="C1971" s="26" t="s">
        <v>8181</v>
      </c>
      <c r="D1971" s="26" t="s">
        <v>6396</v>
      </c>
      <c r="E1971" s="26" t="s">
        <v>6395</v>
      </c>
    </row>
    <row r="1972" spans="1:5">
      <c r="A1972" s="26" t="s">
        <v>7942</v>
      </c>
      <c r="B1972" s="26" t="s">
        <v>2404</v>
      </c>
      <c r="C1972" s="26" t="s">
        <v>8179</v>
      </c>
      <c r="D1972" s="26" t="s">
        <v>6396</v>
      </c>
      <c r="E1972" s="26" t="s">
        <v>6395</v>
      </c>
    </row>
    <row r="1973" spans="1:5">
      <c r="A1973" s="26" t="s">
        <v>7942</v>
      </c>
      <c r="B1973" s="26" t="s">
        <v>7766</v>
      </c>
      <c r="C1973" s="26" t="s">
        <v>7449</v>
      </c>
      <c r="D1973" s="26" t="s">
        <v>6396</v>
      </c>
      <c r="E1973" s="26" t="s">
        <v>6395</v>
      </c>
    </row>
    <row r="1974" spans="1:5">
      <c r="A1974" s="26" t="s">
        <v>7942</v>
      </c>
      <c r="B1974" s="26" t="s">
        <v>8182</v>
      </c>
      <c r="C1974" s="26" t="s">
        <v>8179</v>
      </c>
      <c r="D1974" s="26" t="s">
        <v>6396</v>
      </c>
      <c r="E1974" s="26" t="s">
        <v>6395</v>
      </c>
    </row>
    <row r="1975" spans="1:5">
      <c r="A1975" s="26" t="s">
        <v>7942</v>
      </c>
      <c r="B1975" s="26" t="s">
        <v>3495</v>
      </c>
      <c r="C1975" s="26" t="s">
        <v>7003</v>
      </c>
      <c r="D1975" s="26" t="s">
        <v>6396</v>
      </c>
      <c r="E1975" s="26" t="s">
        <v>6395</v>
      </c>
    </row>
    <row r="1976" spans="1:5">
      <c r="A1976" s="26" t="s">
        <v>7942</v>
      </c>
      <c r="B1976" s="26" t="s">
        <v>2077</v>
      </c>
      <c r="C1976" s="26" t="s">
        <v>8179</v>
      </c>
      <c r="D1976" s="26" t="s">
        <v>6396</v>
      </c>
      <c r="E1976" s="26" t="s">
        <v>6395</v>
      </c>
    </row>
    <row r="1977" spans="1:5">
      <c r="A1977" s="26" t="s">
        <v>7942</v>
      </c>
      <c r="B1977" s="26" t="s">
        <v>8183</v>
      </c>
      <c r="C1977" s="26" t="s">
        <v>8179</v>
      </c>
      <c r="D1977" s="26" t="s">
        <v>6396</v>
      </c>
      <c r="E1977" s="26" t="s">
        <v>6395</v>
      </c>
    </row>
    <row r="1978" spans="1:5">
      <c r="A1978" s="26" t="s">
        <v>7942</v>
      </c>
      <c r="B1978" s="26" t="s">
        <v>8184</v>
      </c>
      <c r="C1978" s="26" t="s">
        <v>8129</v>
      </c>
      <c r="D1978" s="26" t="s">
        <v>6396</v>
      </c>
      <c r="E1978" s="26" t="s">
        <v>6678</v>
      </c>
    </row>
    <row r="1979" spans="1:5">
      <c r="A1979" s="26" t="s">
        <v>7942</v>
      </c>
      <c r="B1979" s="26" t="s">
        <v>8185</v>
      </c>
      <c r="C1979" s="26" t="s">
        <v>7257</v>
      </c>
      <c r="D1979" s="26" t="s">
        <v>6396</v>
      </c>
      <c r="E1979" s="26" t="s">
        <v>6395</v>
      </c>
    </row>
    <row r="1980" spans="1:5">
      <c r="A1980" s="26" t="s">
        <v>7942</v>
      </c>
      <c r="B1980" s="26" t="s">
        <v>8186</v>
      </c>
      <c r="C1980" s="26" t="s">
        <v>7257</v>
      </c>
      <c r="D1980" s="26" t="s">
        <v>6396</v>
      </c>
      <c r="E1980" s="26" t="s">
        <v>8187</v>
      </c>
    </row>
    <row r="1981" spans="1:5">
      <c r="A1981" s="26" t="s">
        <v>7942</v>
      </c>
      <c r="B1981" s="26" t="s">
        <v>8188</v>
      </c>
      <c r="C1981" s="26" t="s">
        <v>7257</v>
      </c>
      <c r="D1981" s="26" t="s">
        <v>6396</v>
      </c>
      <c r="E1981" s="26" t="s">
        <v>8187</v>
      </c>
    </row>
    <row r="1982" spans="1:5">
      <c r="A1982" s="26" t="s">
        <v>7942</v>
      </c>
      <c r="B1982" s="26" t="s">
        <v>2744</v>
      </c>
      <c r="C1982" s="26" t="s">
        <v>7257</v>
      </c>
      <c r="D1982" s="26" t="s">
        <v>6396</v>
      </c>
      <c r="E1982" s="26" t="s">
        <v>6443</v>
      </c>
    </row>
    <row r="1983" spans="1:5">
      <c r="A1983" s="26" t="s">
        <v>7942</v>
      </c>
      <c r="B1983" s="26" t="s">
        <v>8189</v>
      </c>
      <c r="C1983" s="26" t="s">
        <v>8190</v>
      </c>
      <c r="D1983" s="26" t="s">
        <v>6396</v>
      </c>
      <c r="E1983" s="26" t="s">
        <v>6443</v>
      </c>
    </row>
    <row r="1984" spans="1:5">
      <c r="A1984" s="26" t="s">
        <v>7942</v>
      </c>
      <c r="B1984" s="26" t="s">
        <v>7894</v>
      </c>
      <c r="C1984" s="26" t="s">
        <v>8191</v>
      </c>
      <c r="D1984" s="26" t="s">
        <v>6396</v>
      </c>
      <c r="E1984" s="26" t="s">
        <v>6443</v>
      </c>
    </row>
    <row r="1985" spans="1:6">
      <c r="A1985" s="26" t="s">
        <v>7942</v>
      </c>
      <c r="B1985" s="26" t="s">
        <v>8192</v>
      </c>
      <c r="C1985" s="26" t="s">
        <v>8193</v>
      </c>
      <c r="D1985" s="26" t="s">
        <v>6396</v>
      </c>
      <c r="E1985" s="26" t="s">
        <v>7957</v>
      </c>
    </row>
    <row r="1986" spans="1:6">
      <c r="A1986" s="26" t="s">
        <v>7942</v>
      </c>
      <c r="B1986" s="26" t="s">
        <v>8194</v>
      </c>
      <c r="C1986" s="26" t="s">
        <v>8195</v>
      </c>
      <c r="D1986" s="26" t="s">
        <v>6396</v>
      </c>
      <c r="E1986" s="26" t="s">
        <v>6395</v>
      </c>
    </row>
    <row r="1987" spans="1:6">
      <c r="A1987" s="26" t="s">
        <v>7942</v>
      </c>
      <c r="B1987" s="26" t="s">
        <v>2781</v>
      </c>
      <c r="C1987" s="26" t="s">
        <v>265</v>
      </c>
      <c r="D1987" s="26" t="s">
        <v>6396</v>
      </c>
      <c r="E1987" s="26" t="s">
        <v>6395</v>
      </c>
    </row>
    <row r="1988" spans="1:6">
      <c r="A1988" s="26" t="s">
        <v>7942</v>
      </c>
      <c r="B1988" s="26" t="s">
        <v>922</v>
      </c>
      <c r="C1988" s="26" t="s">
        <v>478</v>
      </c>
      <c r="D1988" s="26" t="s">
        <v>6396</v>
      </c>
      <c r="E1988" s="26" t="s">
        <v>6395</v>
      </c>
    </row>
    <row r="1989" spans="1:6">
      <c r="A1989" s="26" t="s">
        <v>7942</v>
      </c>
      <c r="B1989" s="26" t="s">
        <v>426</v>
      </c>
      <c r="C1989" s="26" t="s">
        <v>8196</v>
      </c>
      <c r="D1989" s="26" t="s">
        <v>6396</v>
      </c>
      <c r="E1989" s="26" t="s">
        <v>6395</v>
      </c>
    </row>
    <row r="1990" spans="1:6">
      <c r="A1990" s="26" t="s">
        <v>7942</v>
      </c>
      <c r="B1990" s="26" t="s">
        <v>8197</v>
      </c>
      <c r="C1990" s="26" t="s">
        <v>478</v>
      </c>
      <c r="D1990" s="26" t="s">
        <v>6396</v>
      </c>
      <c r="E1990" s="26" t="s">
        <v>6395</v>
      </c>
    </row>
    <row r="1991" spans="1:6">
      <c r="A1991" s="26" t="s">
        <v>7942</v>
      </c>
      <c r="B1991" s="26" t="s">
        <v>8198</v>
      </c>
      <c r="C1991" s="26" t="s">
        <v>484</v>
      </c>
      <c r="D1991" s="26" t="s">
        <v>6396</v>
      </c>
      <c r="E1991" s="26" t="s">
        <v>6395</v>
      </c>
    </row>
    <row r="1992" spans="1:6">
      <c r="A1992" s="26" t="s">
        <v>7942</v>
      </c>
      <c r="B1992" s="26" t="s">
        <v>8199</v>
      </c>
      <c r="C1992" s="26" t="s">
        <v>865</v>
      </c>
      <c r="D1992" s="26" t="s">
        <v>6396</v>
      </c>
      <c r="E1992" s="26" t="s">
        <v>6395</v>
      </c>
    </row>
    <row r="1993" spans="1:6">
      <c r="A1993" s="26" t="s">
        <v>7942</v>
      </c>
      <c r="B1993" s="26" t="s">
        <v>5071</v>
      </c>
      <c r="C1993" s="26" t="s">
        <v>8200</v>
      </c>
      <c r="D1993" s="26" t="s">
        <v>6396</v>
      </c>
      <c r="E1993" s="26" t="s">
        <v>1611</v>
      </c>
      <c r="F1993" s="26" t="s">
        <v>8143</v>
      </c>
    </row>
    <row r="1994" spans="1:6">
      <c r="A1994" s="26" t="s">
        <v>7942</v>
      </c>
      <c r="B1994" s="26" t="s">
        <v>8201</v>
      </c>
      <c r="C1994" s="26" t="s">
        <v>8202</v>
      </c>
      <c r="D1994" s="26" t="s">
        <v>6396</v>
      </c>
      <c r="E1994" s="26" t="s">
        <v>6395</v>
      </c>
    </row>
    <row r="1995" spans="1:6">
      <c r="A1995" s="26" t="s">
        <v>7942</v>
      </c>
      <c r="B1995" s="26" t="s">
        <v>8203</v>
      </c>
      <c r="C1995" s="26" t="s">
        <v>8204</v>
      </c>
      <c r="D1995" s="26" t="s">
        <v>6396</v>
      </c>
      <c r="E1995" s="26" t="s">
        <v>6395</v>
      </c>
    </row>
    <row r="1996" spans="1:6">
      <c r="A1996" s="26" t="s">
        <v>7942</v>
      </c>
      <c r="B1996" s="26" t="s">
        <v>8205</v>
      </c>
      <c r="C1996" s="26" t="s">
        <v>8206</v>
      </c>
      <c r="D1996" s="26" t="s">
        <v>6434</v>
      </c>
      <c r="E1996" s="26" t="s">
        <v>6395</v>
      </c>
    </row>
    <row r="1997" spans="1:6">
      <c r="A1997" s="26" t="s">
        <v>7942</v>
      </c>
      <c r="B1997" s="26" t="s">
        <v>6478</v>
      </c>
      <c r="C1997" s="26" t="s">
        <v>6515</v>
      </c>
      <c r="D1997" s="26" t="s">
        <v>6434</v>
      </c>
      <c r="E1997" s="26" t="s">
        <v>6395</v>
      </c>
    </row>
    <row r="1998" spans="1:6">
      <c r="A1998" s="26" t="s">
        <v>7942</v>
      </c>
      <c r="B1998" s="26" t="s">
        <v>940</v>
      </c>
      <c r="C1998" s="26" t="s">
        <v>8202</v>
      </c>
      <c r="D1998" s="26" t="s">
        <v>6396</v>
      </c>
      <c r="E1998" s="26" t="s">
        <v>6395</v>
      </c>
    </row>
    <row r="1999" spans="1:6">
      <c r="A1999" s="26" t="s">
        <v>7942</v>
      </c>
      <c r="B1999" s="26" t="s">
        <v>8207</v>
      </c>
      <c r="C1999" s="26" t="s">
        <v>8202</v>
      </c>
      <c r="D1999" s="26" t="s">
        <v>6396</v>
      </c>
      <c r="E1999" s="26" t="s">
        <v>6395</v>
      </c>
    </row>
    <row r="2000" spans="1:6">
      <c r="A2000" s="26" t="s">
        <v>7942</v>
      </c>
      <c r="B2000" s="26" t="s">
        <v>8208</v>
      </c>
      <c r="C2000" s="26" t="s">
        <v>484</v>
      </c>
      <c r="D2000" s="26" t="s">
        <v>6396</v>
      </c>
      <c r="E2000" s="26" t="s">
        <v>6395</v>
      </c>
    </row>
    <row r="2001" spans="1:6">
      <c r="A2001" s="26" t="s">
        <v>7942</v>
      </c>
      <c r="B2001" s="26" t="s">
        <v>994</v>
      </c>
      <c r="C2001" s="26" t="s">
        <v>8209</v>
      </c>
      <c r="D2001" s="26" t="s">
        <v>6396</v>
      </c>
      <c r="E2001" s="26" t="s">
        <v>6395</v>
      </c>
    </row>
    <row r="2002" spans="1:6">
      <c r="A2002" s="26" t="s">
        <v>7942</v>
      </c>
      <c r="B2002" s="26" t="s">
        <v>8210</v>
      </c>
      <c r="C2002" s="26" t="s">
        <v>484</v>
      </c>
      <c r="D2002" s="26" t="s">
        <v>6396</v>
      </c>
      <c r="E2002" s="26" t="s">
        <v>6395</v>
      </c>
    </row>
    <row r="2003" spans="1:6">
      <c r="A2003" s="26" t="s">
        <v>7942</v>
      </c>
      <c r="B2003" s="26" t="s">
        <v>8211</v>
      </c>
      <c r="C2003" s="26" t="s">
        <v>116</v>
      </c>
      <c r="D2003" s="26" t="s">
        <v>6396</v>
      </c>
      <c r="E2003" s="26" t="s">
        <v>6395</v>
      </c>
    </row>
    <row r="2004" spans="1:6">
      <c r="A2004" s="26" t="s">
        <v>7942</v>
      </c>
      <c r="B2004" s="26" t="s">
        <v>8212</v>
      </c>
      <c r="C2004" s="26" t="s">
        <v>116</v>
      </c>
      <c r="D2004" s="26" t="s">
        <v>6396</v>
      </c>
      <c r="E2004" s="26" t="s">
        <v>6395</v>
      </c>
    </row>
    <row r="2005" spans="1:6">
      <c r="A2005" s="26" t="s">
        <v>7942</v>
      </c>
      <c r="B2005" s="26" t="s">
        <v>7089</v>
      </c>
      <c r="C2005" s="26" t="s">
        <v>7088</v>
      </c>
      <c r="D2005" s="26" t="s">
        <v>6396</v>
      </c>
      <c r="E2005" s="26" t="s">
        <v>8187</v>
      </c>
    </row>
    <row r="2006" spans="1:6">
      <c r="A2006" s="26" t="s">
        <v>7942</v>
      </c>
      <c r="B2006" s="26" t="s">
        <v>8213</v>
      </c>
      <c r="C2006" s="26" t="s">
        <v>8214</v>
      </c>
      <c r="D2006" s="26" t="s">
        <v>6396</v>
      </c>
      <c r="E2006" s="26" t="s">
        <v>8187</v>
      </c>
    </row>
    <row r="2007" spans="1:6">
      <c r="A2007" s="26" t="s">
        <v>7942</v>
      </c>
      <c r="B2007" s="26" t="s">
        <v>8215</v>
      </c>
      <c r="C2007" s="26" t="s">
        <v>8216</v>
      </c>
      <c r="D2007" s="26" t="s">
        <v>6396</v>
      </c>
      <c r="E2007" s="26" t="s">
        <v>6395</v>
      </c>
    </row>
    <row r="2008" spans="1:6">
      <c r="A2008" s="26" t="s">
        <v>7942</v>
      </c>
      <c r="B2008" s="26" t="s">
        <v>7060</v>
      </c>
      <c r="C2008" s="26" t="s">
        <v>8217</v>
      </c>
      <c r="D2008" s="26" t="s">
        <v>6396</v>
      </c>
      <c r="E2008" s="26" t="s">
        <v>6395</v>
      </c>
    </row>
    <row r="2009" spans="1:6">
      <c r="A2009" s="26" t="s">
        <v>7942</v>
      </c>
      <c r="B2009" s="26" t="s">
        <v>212</v>
      </c>
      <c r="C2009" s="26" t="s">
        <v>209</v>
      </c>
      <c r="D2009" s="26" t="s">
        <v>6396</v>
      </c>
      <c r="E2009" s="26" t="s">
        <v>6395</v>
      </c>
    </row>
    <row r="2010" spans="1:6">
      <c r="A2010" s="26" t="s">
        <v>7942</v>
      </c>
      <c r="B2010" s="26" t="s">
        <v>7564</v>
      </c>
      <c r="C2010" s="26" t="s">
        <v>6815</v>
      </c>
      <c r="D2010" s="26" t="s">
        <v>6396</v>
      </c>
      <c r="E2010" s="26" t="s">
        <v>6395</v>
      </c>
    </row>
    <row r="2011" spans="1:6">
      <c r="A2011" s="26" t="s">
        <v>7942</v>
      </c>
      <c r="B2011" s="26" t="s">
        <v>7670</v>
      </c>
      <c r="C2011" s="26" t="s">
        <v>1545</v>
      </c>
      <c r="D2011" s="26" t="s">
        <v>6396</v>
      </c>
      <c r="E2011" s="26" t="s">
        <v>6395</v>
      </c>
    </row>
    <row r="2012" spans="1:6">
      <c r="A2012" s="26" t="s">
        <v>7942</v>
      </c>
      <c r="B2012" s="26" t="s">
        <v>2529</v>
      </c>
      <c r="C2012" s="26" t="s">
        <v>1545</v>
      </c>
      <c r="D2012" s="26" t="s">
        <v>6396</v>
      </c>
      <c r="E2012" s="26" t="s">
        <v>6395</v>
      </c>
    </row>
    <row r="2013" spans="1:6">
      <c r="A2013" s="26" t="s">
        <v>7942</v>
      </c>
      <c r="B2013" s="26" t="s">
        <v>3019</v>
      </c>
      <c r="C2013" s="26" t="s">
        <v>742</v>
      </c>
      <c r="D2013" s="26" t="s">
        <v>6396</v>
      </c>
      <c r="E2013" s="26" t="s">
        <v>6395</v>
      </c>
    </row>
    <row r="2014" spans="1:6">
      <c r="A2014" s="26" t="s">
        <v>7942</v>
      </c>
      <c r="B2014" s="26" t="s">
        <v>3257</v>
      </c>
      <c r="C2014" s="26" t="s">
        <v>742</v>
      </c>
      <c r="D2014" s="26" t="s">
        <v>6396</v>
      </c>
      <c r="E2014" s="26" t="s">
        <v>6395</v>
      </c>
    </row>
    <row r="2015" spans="1:6">
      <c r="A2015" s="26" t="s">
        <v>7942</v>
      </c>
      <c r="B2015" s="26" t="s">
        <v>8218</v>
      </c>
      <c r="C2015" s="26" t="s">
        <v>8219</v>
      </c>
      <c r="D2015" s="26" t="s">
        <v>6396</v>
      </c>
      <c r="E2015" s="26" t="s">
        <v>6395</v>
      </c>
      <c r="F2015" s="26" t="s">
        <v>8149</v>
      </c>
    </row>
    <row r="2016" spans="1:6">
      <c r="A2016" s="26" t="s">
        <v>7942</v>
      </c>
      <c r="B2016" s="26" t="s">
        <v>8220</v>
      </c>
      <c r="C2016" s="26" t="s">
        <v>3132</v>
      </c>
      <c r="D2016" s="26" t="s">
        <v>6396</v>
      </c>
      <c r="E2016" s="26" t="s">
        <v>6395</v>
      </c>
      <c r="F2016" s="26" t="s">
        <v>8149</v>
      </c>
    </row>
    <row r="2017" spans="1:6">
      <c r="A2017" s="26" t="s">
        <v>7942</v>
      </c>
      <c r="B2017" s="26" t="s">
        <v>8221</v>
      </c>
      <c r="C2017" s="26" t="s">
        <v>8155</v>
      </c>
      <c r="D2017" s="26" t="s">
        <v>6396</v>
      </c>
      <c r="E2017" s="26" t="s">
        <v>6395</v>
      </c>
    </row>
    <row r="2018" spans="1:6">
      <c r="A2018" s="26" t="s">
        <v>7942</v>
      </c>
      <c r="B2018" s="26" t="s">
        <v>7317</v>
      </c>
      <c r="C2018" s="26" t="s">
        <v>6815</v>
      </c>
      <c r="D2018" s="26" t="s">
        <v>6396</v>
      </c>
      <c r="E2018" s="26" t="s">
        <v>6443</v>
      </c>
    </row>
    <row r="2019" spans="1:6">
      <c r="A2019" s="26" t="s">
        <v>7942</v>
      </c>
      <c r="B2019" s="26" t="s">
        <v>6471</v>
      </c>
      <c r="C2019" s="26" t="s">
        <v>6470</v>
      </c>
      <c r="D2019" s="26" t="s">
        <v>6396</v>
      </c>
      <c r="E2019" s="26" t="s">
        <v>6395</v>
      </c>
      <c r="F2019" s="26" t="s">
        <v>8149</v>
      </c>
    </row>
    <row r="2020" spans="1:6">
      <c r="A2020" s="26" t="s">
        <v>7942</v>
      </c>
      <c r="B2020" s="26" t="s">
        <v>625</v>
      </c>
      <c r="C2020" s="26" t="s">
        <v>679</v>
      </c>
      <c r="D2020" s="26" t="s">
        <v>6396</v>
      </c>
      <c r="E2020" s="26" t="s">
        <v>6395</v>
      </c>
      <c r="F2020" s="26" t="s">
        <v>8149</v>
      </c>
    </row>
    <row r="2021" spans="1:6">
      <c r="A2021" s="26" t="s">
        <v>7942</v>
      </c>
      <c r="B2021" s="26" t="s">
        <v>8222</v>
      </c>
      <c r="C2021" s="26" t="s">
        <v>8223</v>
      </c>
      <c r="D2021" s="26" t="s">
        <v>6396</v>
      </c>
      <c r="E2021" s="26" t="s">
        <v>8161</v>
      </c>
      <c r="F2021" s="26" t="s">
        <v>8149</v>
      </c>
    </row>
    <row r="2022" spans="1:6">
      <c r="A2022" s="26" t="s">
        <v>7942</v>
      </c>
      <c r="B2022" s="26" t="s">
        <v>95</v>
      </c>
      <c r="C2022" s="26" t="s">
        <v>6444</v>
      </c>
      <c r="D2022" s="26" t="s">
        <v>6396</v>
      </c>
      <c r="E2022" s="26" t="s">
        <v>6395</v>
      </c>
      <c r="F2022" s="26" t="s">
        <v>8149</v>
      </c>
    </row>
    <row r="2023" spans="1:6">
      <c r="A2023" s="26" t="s">
        <v>7942</v>
      </c>
      <c r="B2023" s="26" t="s">
        <v>7821</v>
      </c>
      <c r="C2023" s="26" t="s">
        <v>484</v>
      </c>
      <c r="D2023" s="26" t="s">
        <v>6396</v>
      </c>
      <c r="E2023" s="26" t="s">
        <v>6395</v>
      </c>
      <c r="F2023" s="26" t="s">
        <v>8143</v>
      </c>
    </row>
    <row r="2024" spans="1:6">
      <c r="A2024" s="26" t="s">
        <v>7942</v>
      </c>
      <c r="B2024" s="26" t="s">
        <v>6621</v>
      </c>
      <c r="C2024" s="26" t="s">
        <v>484</v>
      </c>
      <c r="D2024" s="26" t="s">
        <v>6396</v>
      </c>
      <c r="E2024" s="26" t="s">
        <v>6443</v>
      </c>
    </row>
    <row r="2025" spans="1:6">
      <c r="A2025" s="26" t="s">
        <v>7942</v>
      </c>
      <c r="B2025" s="26" t="s">
        <v>6719</v>
      </c>
      <c r="C2025" s="26" t="s">
        <v>6718</v>
      </c>
      <c r="D2025" s="26" t="s">
        <v>6396</v>
      </c>
      <c r="E2025" s="26" t="s">
        <v>6395</v>
      </c>
    </row>
    <row r="2026" spans="1:6">
      <c r="A2026" s="26" t="s">
        <v>7942</v>
      </c>
      <c r="B2026" s="26" t="s">
        <v>6655</v>
      </c>
      <c r="C2026" s="26" t="s">
        <v>209</v>
      </c>
      <c r="D2026" s="26" t="s">
        <v>6396</v>
      </c>
      <c r="E2026" s="26" t="s">
        <v>6443</v>
      </c>
    </row>
    <row r="2027" spans="1:6">
      <c r="A2027" s="26" t="s">
        <v>7942</v>
      </c>
      <c r="B2027" s="26" t="s">
        <v>8224</v>
      </c>
      <c r="C2027" s="26" t="s">
        <v>8225</v>
      </c>
      <c r="D2027" s="26" t="s">
        <v>6396</v>
      </c>
      <c r="E2027" s="26" t="s">
        <v>6443</v>
      </c>
      <c r="F2027" s="26" t="s">
        <v>8143</v>
      </c>
    </row>
    <row r="2028" spans="1:6">
      <c r="A2028" s="26" t="s">
        <v>7942</v>
      </c>
      <c r="B2028" s="26" t="s">
        <v>192</v>
      </c>
      <c r="C2028" s="26" t="s">
        <v>484</v>
      </c>
      <c r="D2028" s="26" t="s">
        <v>6396</v>
      </c>
      <c r="E2028" s="26" t="s">
        <v>6479</v>
      </c>
      <c r="F2028" s="26" t="s">
        <v>8149</v>
      </c>
    </row>
    <row r="2029" spans="1:6">
      <c r="A2029" s="26" t="s">
        <v>7942</v>
      </c>
      <c r="B2029" s="26" t="s">
        <v>7811</v>
      </c>
      <c r="C2029" s="26" t="s">
        <v>209</v>
      </c>
      <c r="D2029" s="26" t="s">
        <v>6396</v>
      </c>
      <c r="E2029" s="26" t="s">
        <v>6443</v>
      </c>
      <c r="F2029" s="26" t="s">
        <v>8149</v>
      </c>
    </row>
    <row r="2030" spans="1:6">
      <c r="A2030" s="26" t="s">
        <v>7942</v>
      </c>
      <c r="B2030" s="26" t="s">
        <v>6426</v>
      </c>
      <c r="C2030" s="26" t="s">
        <v>6742</v>
      </c>
      <c r="D2030" s="26" t="s">
        <v>6396</v>
      </c>
      <c r="E2030" s="26" t="s">
        <v>6443</v>
      </c>
      <c r="F2030" s="26" t="s">
        <v>8149</v>
      </c>
    </row>
    <row r="2031" spans="1:6">
      <c r="A2031" s="26" t="s">
        <v>7942</v>
      </c>
      <c r="B2031" s="26" t="s">
        <v>8226</v>
      </c>
      <c r="C2031" s="26" t="s">
        <v>8227</v>
      </c>
      <c r="D2031" s="26" t="s">
        <v>6396</v>
      </c>
      <c r="E2031" s="26" t="s">
        <v>8161</v>
      </c>
      <c r="F2031" s="26" t="s">
        <v>8149</v>
      </c>
    </row>
    <row r="2032" spans="1:6">
      <c r="A2032" s="26" t="s">
        <v>7942</v>
      </c>
      <c r="B2032" s="26" t="s">
        <v>8228</v>
      </c>
      <c r="C2032" s="26" t="s">
        <v>8160</v>
      </c>
      <c r="D2032" s="26" t="s">
        <v>6396</v>
      </c>
      <c r="E2032" s="26" t="s">
        <v>8161</v>
      </c>
      <c r="F2032" s="26" t="s">
        <v>8149</v>
      </c>
    </row>
    <row r="2033" spans="1:7">
      <c r="A2033" s="26" t="s">
        <v>7942</v>
      </c>
      <c r="B2033" s="26" t="s">
        <v>711</v>
      </c>
      <c r="C2033" s="26" t="s">
        <v>6872</v>
      </c>
      <c r="D2033" s="26" t="s">
        <v>6396</v>
      </c>
      <c r="E2033" s="26" t="s">
        <v>6871</v>
      </c>
    </row>
    <row r="2034" spans="1:7">
      <c r="A2034" s="26" t="s">
        <v>7942</v>
      </c>
      <c r="B2034" s="26" t="s">
        <v>8229</v>
      </c>
      <c r="C2034" s="26" t="s">
        <v>484</v>
      </c>
      <c r="D2034" s="26" t="s">
        <v>6396</v>
      </c>
      <c r="E2034" s="26" t="s">
        <v>6395</v>
      </c>
      <c r="F2034" s="26" t="s">
        <v>8143</v>
      </c>
    </row>
    <row r="2035" spans="1:7">
      <c r="A2035" s="26" t="s">
        <v>7942</v>
      </c>
      <c r="B2035" s="26" t="s">
        <v>2088</v>
      </c>
      <c r="C2035" s="26" t="s">
        <v>935</v>
      </c>
      <c r="D2035" s="26" t="s">
        <v>6396</v>
      </c>
      <c r="E2035" s="26" t="s">
        <v>6395</v>
      </c>
    </row>
    <row r="2036" spans="1:7">
      <c r="A2036" s="26" t="s">
        <v>7942</v>
      </c>
      <c r="B2036" s="26" t="s">
        <v>8230</v>
      </c>
      <c r="C2036" s="26" t="s">
        <v>8231</v>
      </c>
      <c r="D2036" s="26" t="s">
        <v>6396</v>
      </c>
      <c r="E2036" s="26" t="s">
        <v>7957</v>
      </c>
      <c r="F2036" s="26" t="s">
        <v>8149</v>
      </c>
    </row>
    <row r="2037" spans="1:7">
      <c r="A2037" s="26" t="s">
        <v>7942</v>
      </c>
      <c r="B2037" s="26" t="s">
        <v>8232</v>
      </c>
      <c r="C2037" s="26" t="s">
        <v>8233</v>
      </c>
      <c r="D2037" s="26" t="s">
        <v>6396</v>
      </c>
      <c r="E2037" s="26" t="s">
        <v>8133</v>
      </c>
    </row>
    <row r="2038" spans="1:7">
      <c r="A2038" s="26" t="s">
        <v>7942</v>
      </c>
      <c r="B2038" s="26" t="s">
        <v>8234</v>
      </c>
      <c r="C2038" s="26" t="s">
        <v>484</v>
      </c>
      <c r="D2038" s="26" t="s">
        <v>6396</v>
      </c>
      <c r="E2038" s="26" t="s">
        <v>6443</v>
      </c>
    </row>
    <row r="2039" spans="1:7">
      <c r="A2039" s="26" t="s">
        <v>7942</v>
      </c>
      <c r="B2039" s="26" t="s">
        <v>8235</v>
      </c>
      <c r="C2039" s="26" t="s">
        <v>8236</v>
      </c>
      <c r="D2039" s="26" t="s">
        <v>6396</v>
      </c>
      <c r="E2039" s="26" t="s">
        <v>6395</v>
      </c>
    </row>
    <row r="2040" spans="1:7">
      <c r="A2040" s="26" t="s">
        <v>7942</v>
      </c>
      <c r="B2040" s="26" t="s">
        <v>8237</v>
      </c>
      <c r="C2040" s="26" t="s">
        <v>1331</v>
      </c>
      <c r="D2040" s="26" t="s">
        <v>6396</v>
      </c>
      <c r="E2040" s="26" t="s">
        <v>6678</v>
      </c>
    </row>
    <row r="2041" spans="1:7">
      <c r="A2041" s="26" t="s">
        <v>7942</v>
      </c>
      <c r="B2041" s="26" t="s">
        <v>8238</v>
      </c>
      <c r="C2041" s="26" t="s">
        <v>6502</v>
      </c>
      <c r="D2041" s="26" t="s">
        <v>6396</v>
      </c>
      <c r="E2041" s="26" t="s">
        <v>6395</v>
      </c>
    </row>
    <row r="2042" spans="1:7">
      <c r="A2042" s="26" t="s">
        <v>7942</v>
      </c>
      <c r="B2042" s="26" t="s">
        <v>466</v>
      </c>
      <c r="C2042" s="26" t="s">
        <v>1824</v>
      </c>
      <c r="D2042" s="26" t="s">
        <v>6396</v>
      </c>
      <c r="E2042" s="26" t="s">
        <v>6395</v>
      </c>
    </row>
    <row r="2043" spans="1:7">
      <c r="A2043" s="26" t="s">
        <v>8239</v>
      </c>
      <c r="B2043" s="26" t="s">
        <v>8240</v>
      </c>
      <c r="C2043" s="26" t="s">
        <v>6473</v>
      </c>
      <c r="D2043" s="26" t="s">
        <v>6396</v>
      </c>
      <c r="E2043" s="26" t="s">
        <v>6395</v>
      </c>
    </row>
    <row r="2044" spans="1:7">
      <c r="A2044" s="26" t="s">
        <v>8239</v>
      </c>
      <c r="B2044" s="26" t="s">
        <v>8241</v>
      </c>
      <c r="D2044" s="26" t="s">
        <v>8242</v>
      </c>
      <c r="E2044" s="26" t="s">
        <v>6432</v>
      </c>
      <c r="F2044" s="26" t="s">
        <v>8243</v>
      </c>
      <c r="G2044" s="26" t="s">
        <v>8244</v>
      </c>
    </row>
    <row r="2045" spans="1:7">
      <c r="A2045" s="26" t="s">
        <v>8239</v>
      </c>
      <c r="B2045" s="26" t="s">
        <v>8245</v>
      </c>
      <c r="C2045" s="26" t="s">
        <v>776</v>
      </c>
      <c r="D2045" s="26" t="s">
        <v>6489</v>
      </c>
      <c r="E2045" s="26" t="s">
        <v>6395</v>
      </c>
    </row>
    <row r="2046" spans="1:7">
      <c r="A2046" s="26" t="s">
        <v>8239</v>
      </c>
      <c r="B2046" s="26" t="s">
        <v>8246</v>
      </c>
      <c r="C2046" s="26" t="s">
        <v>8247</v>
      </c>
      <c r="D2046" s="26" t="s">
        <v>6480</v>
      </c>
      <c r="E2046" s="26" t="s">
        <v>6395</v>
      </c>
      <c r="F2046" s="26" t="s">
        <v>8248</v>
      </c>
    </row>
    <row r="2047" spans="1:7">
      <c r="A2047" s="26" t="s">
        <v>8239</v>
      </c>
      <c r="B2047" s="26" t="s">
        <v>7347</v>
      </c>
      <c r="D2047" s="26" t="s">
        <v>6489</v>
      </c>
      <c r="E2047" s="26" t="s">
        <v>10240</v>
      </c>
    </row>
    <row r="2048" spans="1:7">
      <c r="A2048" s="26" t="s">
        <v>8239</v>
      </c>
      <c r="B2048" s="26" t="s">
        <v>772</v>
      </c>
      <c r="C2048" s="26" t="s">
        <v>8249</v>
      </c>
      <c r="D2048" s="26" t="s">
        <v>6489</v>
      </c>
      <c r="E2048" s="26" t="s">
        <v>6395</v>
      </c>
    </row>
    <row r="2049" spans="1:7">
      <c r="A2049" s="26" t="s">
        <v>8239</v>
      </c>
      <c r="B2049" s="26" t="s">
        <v>8250</v>
      </c>
      <c r="C2049" s="26" t="s">
        <v>8251</v>
      </c>
      <c r="D2049" s="26" t="s">
        <v>6480</v>
      </c>
      <c r="E2049" s="26" t="s">
        <v>6395</v>
      </c>
    </row>
    <row r="2050" spans="1:7">
      <c r="A2050" s="26" t="s">
        <v>8239</v>
      </c>
      <c r="B2050" s="26" t="s">
        <v>8252</v>
      </c>
      <c r="C2050" s="26" t="s">
        <v>592</v>
      </c>
      <c r="D2050" s="26" t="s">
        <v>6396</v>
      </c>
      <c r="E2050" s="26" t="s">
        <v>6395</v>
      </c>
    </row>
    <row r="2051" spans="1:7">
      <c r="A2051" s="26" t="s">
        <v>8239</v>
      </c>
      <c r="B2051" s="26" t="s">
        <v>8253</v>
      </c>
      <c r="C2051" s="26" t="s">
        <v>348</v>
      </c>
      <c r="D2051" s="26" t="s">
        <v>6396</v>
      </c>
      <c r="E2051" s="26" t="s">
        <v>6395</v>
      </c>
    </row>
    <row r="2052" spans="1:7">
      <c r="A2052" s="26" t="s">
        <v>8239</v>
      </c>
      <c r="B2052" s="26" t="s">
        <v>8254</v>
      </c>
      <c r="D2052" s="26" t="s">
        <v>8242</v>
      </c>
      <c r="E2052" s="26" t="s">
        <v>6432</v>
      </c>
      <c r="F2052" s="26" t="s">
        <v>8243</v>
      </c>
    </row>
    <row r="2053" spans="1:7">
      <c r="A2053" s="26" t="s">
        <v>8239</v>
      </c>
      <c r="B2053" s="26" t="s">
        <v>8255</v>
      </c>
      <c r="D2053" s="26" t="s">
        <v>6489</v>
      </c>
      <c r="E2053" s="26" t="s">
        <v>8256</v>
      </c>
      <c r="F2053" s="26" t="s">
        <v>8130</v>
      </c>
      <c r="G2053" s="26" t="s">
        <v>8257</v>
      </c>
    </row>
    <row r="2054" spans="1:7">
      <c r="A2054" s="26" t="s">
        <v>8239</v>
      </c>
      <c r="B2054" s="26" t="s">
        <v>8258</v>
      </c>
      <c r="C2054" s="26" t="s">
        <v>8259</v>
      </c>
      <c r="D2054" s="26" t="s">
        <v>6489</v>
      </c>
      <c r="E2054" s="26" t="s">
        <v>8256</v>
      </c>
      <c r="F2054" s="26" t="s">
        <v>8130</v>
      </c>
      <c r="G2054" s="26" t="s">
        <v>8260</v>
      </c>
    </row>
    <row r="2055" spans="1:7">
      <c r="A2055" s="26" t="s">
        <v>8239</v>
      </c>
      <c r="B2055" s="26" t="s">
        <v>8261</v>
      </c>
      <c r="C2055" s="26" t="s">
        <v>8262</v>
      </c>
      <c r="D2055" s="26" t="s">
        <v>6396</v>
      </c>
      <c r="E2055" s="26" t="s">
        <v>6395</v>
      </c>
    </row>
    <row r="2056" spans="1:7">
      <c r="A2056" s="26" t="s">
        <v>8239</v>
      </c>
      <c r="B2056" s="26" t="s">
        <v>8263</v>
      </c>
      <c r="C2056" s="26" t="s">
        <v>1117</v>
      </c>
      <c r="D2056" s="26" t="s">
        <v>6489</v>
      </c>
      <c r="E2056" s="26" t="s">
        <v>6395</v>
      </c>
    </row>
    <row r="2057" spans="1:7">
      <c r="A2057" s="26" t="s">
        <v>8239</v>
      </c>
      <c r="B2057" s="26" t="s">
        <v>8264</v>
      </c>
      <c r="C2057" s="26" t="s">
        <v>6509</v>
      </c>
      <c r="D2057" s="26" t="s">
        <v>6396</v>
      </c>
      <c r="E2057" s="26" t="s">
        <v>6395</v>
      </c>
    </row>
    <row r="2058" spans="1:7">
      <c r="A2058" s="26" t="s">
        <v>8239</v>
      </c>
      <c r="B2058" s="26" t="s">
        <v>8152</v>
      </c>
      <c r="C2058" s="26" t="s">
        <v>6403</v>
      </c>
      <c r="D2058" s="26" t="s">
        <v>6396</v>
      </c>
      <c r="E2058" s="26" t="s">
        <v>6395</v>
      </c>
      <c r="F2058" s="26" t="s">
        <v>8248</v>
      </c>
    </row>
    <row r="2059" spans="1:7">
      <c r="A2059" s="26" t="s">
        <v>8239</v>
      </c>
      <c r="B2059" s="26" t="s">
        <v>8265</v>
      </c>
      <c r="D2059" s="26" t="s">
        <v>6489</v>
      </c>
      <c r="E2059" s="26" t="s">
        <v>8256</v>
      </c>
      <c r="F2059" s="26" t="s">
        <v>8130</v>
      </c>
      <c r="G2059" s="26" t="s">
        <v>8266</v>
      </c>
    </row>
    <row r="2060" spans="1:7">
      <c r="A2060" s="26" t="s">
        <v>8239</v>
      </c>
      <c r="B2060" s="26" t="s">
        <v>8267</v>
      </c>
      <c r="D2060" s="26" t="s">
        <v>8268</v>
      </c>
      <c r="E2060" s="26" t="s">
        <v>10241</v>
      </c>
      <c r="F2060" s="26" t="s">
        <v>8243</v>
      </c>
    </row>
    <row r="2061" spans="1:7">
      <c r="A2061" s="26" t="s">
        <v>8239</v>
      </c>
      <c r="B2061" s="26" t="b">
        <v>1</v>
      </c>
      <c r="C2061" s="26" t="s">
        <v>42</v>
      </c>
      <c r="D2061" s="26" t="s">
        <v>6489</v>
      </c>
      <c r="E2061" s="26" t="s">
        <v>6395</v>
      </c>
    </row>
    <row r="2062" spans="1:7">
      <c r="A2062" s="26" t="s">
        <v>8239</v>
      </c>
      <c r="B2062" s="26" t="s">
        <v>8269</v>
      </c>
      <c r="C2062" s="26" t="s">
        <v>6712</v>
      </c>
      <c r="D2062" s="26" t="s">
        <v>6489</v>
      </c>
      <c r="E2062" s="26" t="s">
        <v>6395</v>
      </c>
    </row>
    <row r="2063" spans="1:7">
      <c r="A2063" s="26" t="s">
        <v>8239</v>
      </c>
      <c r="B2063" s="26" t="s">
        <v>8270</v>
      </c>
      <c r="C2063" s="26" t="s">
        <v>8271</v>
      </c>
      <c r="D2063" s="26" t="s">
        <v>6489</v>
      </c>
      <c r="E2063" s="26" t="s">
        <v>6395</v>
      </c>
    </row>
    <row r="2064" spans="1:7">
      <c r="A2064" s="26" t="s">
        <v>8239</v>
      </c>
      <c r="B2064" s="26" t="s">
        <v>8272</v>
      </c>
      <c r="C2064" s="26" t="s">
        <v>8273</v>
      </c>
      <c r="D2064" s="26" t="s">
        <v>8242</v>
      </c>
      <c r="E2064" s="26" t="s">
        <v>6395</v>
      </c>
    </row>
    <row r="2065" spans="1:6">
      <c r="A2065" s="26" t="s">
        <v>8239</v>
      </c>
      <c r="B2065" s="26" t="s">
        <v>546</v>
      </c>
      <c r="C2065" s="26" t="s">
        <v>142</v>
      </c>
      <c r="D2065" s="26" t="s">
        <v>6396</v>
      </c>
      <c r="E2065" s="26" t="s">
        <v>6395</v>
      </c>
    </row>
    <row r="2066" spans="1:6">
      <c r="A2066" s="26" t="s">
        <v>8239</v>
      </c>
      <c r="B2066" s="26" t="s">
        <v>711</v>
      </c>
      <c r="C2066" s="26" t="s">
        <v>509</v>
      </c>
      <c r="D2066" s="26" t="s">
        <v>6396</v>
      </c>
      <c r="E2066" s="26" t="s">
        <v>6395</v>
      </c>
      <c r="F2066" s="26" t="s">
        <v>8248</v>
      </c>
    </row>
    <row r="2067" spans="1:6">
      <c r="A2067" s="26" t="s">
        <v>8239</v>
      </c>
      <c r="B2067" s="26" t="s">
        <v>6778</v>
      </c>
      <c r="C2067" s="26" t="s">
        <v>6777</v>
      </c>
      <c r="D2067" s="26" t="s">
        <v>6396</v>
      </c>
      <c r="E2067" s="26" t="s">
        <v>6395</v>
      </c>
    </row>
    <row r="2068" spans="1:6">
      <c r="A2068" s="26" t="s">
        <v>8239</v>
      </c>
      <c r="B2068" s="26" t="s">
        <v>1451</v>
      </c>
      <c r="C2068" s="26" t="s">
        <v>8262</v>
      </c>
      <c r="D2068" s="26" t="s">
        <v>6396</v>
      </c>
      <c r="E2068" s="26" t="s">
        <v>6395</v>
      </c>
    </row>
    <row r="2069" spans="1:6">
      <c r="A2069" s="26" t="s">
        <v>8239</v>
      </c>
      <c r="B2069" s="26" t="s">
        <v>7450</v>
      </c>
      <c r="C2069" s="26" t="s">
        <v>7763</v>
      </c>
      <c r="D2069" s="26" t="s">
        <v>6396</v>
      </c>
      <c r="E2069" s="26" t="s">
        <v>6395</v>
      </c>
    </row>
    <row r="2070" spans="1:6">
      <c r="A2070" s="26" t="s">
        <v>8239</v>
      </c>
      <c r="B2070" s="26" t="s">
        <v>3510</v>
      </c>
      <c r="C2070" s="26" t="s">
        <v>1545</v>
      </c>
      <c r="D2070" s="26" t="s">
        <v>6396</v>
      </c>
      <c r="E2070" s="26" t="s">
        <v>6395</v>
      </c>
    </row>
    <row r="2071" spans="1:6">
      <c r="A2071" s="26" t="s">
        <v>8239</v>
      </c>
      <c r="B2071" s="26" t="s">
        <v>2368</v>
      </c>
      <c r="C2071" s="26" t="s">
        <v>884</v>
      </c>
      <c r="D2071" s="26" t="s">
        <v>6396</v>
      </c>
      <c r="E2071" s="26" t="s">
        <v>6395</v>
      </c>
    </row>
    <row r="2072" spans="1:6">
      <c r="A2072" s="26" t="s">
        <v>8239</v>
      </c>
      <c r="B2072" s="26" t="s">
        <v>8274</v>
      </c>
      <c r="C2072" s="26" t="s">
        <v>8275</v>
      </c>
      <c r="D2072" s="26" t="s">
        <v>6396</v>
      </c>
      <c r="E2072" s="26" t="s">
        <v>6395</v>
      </c>
    </row>
    <row r="2073" spans="1:6">
      <c r="A2073" s="26" t="s">
        <v>8239</v>
      </c>
      <c r="B2073" s="26" t="s">
        <v>8276</v>
      </c>
      <c r="C2073" s="26" t="s">
        <v>8277</v>
      </c>
      <c r="D2073" s="26" t="s">
        <v>6396</v>
      </c>
      <c r="E2073" s="26" t="s">
        <v>6395</v>
      </c>
    </row>
    <row r="2074" spans="1:6">
      <c r="A2074" s="26" t="s">
        <v>8239</v>
      </c>
      <c r="B2074" s="26" t="s">
        <v>6426</v>
      </c>
      <c r="C2074" s="26" t="s">
        <v>7727</v>
      </c>
      <c r="D2074" s="26" t="s">
        <v>6396</v>
      </c>
      <c r="E2074" s="26" t="s">
        <v>6443</v>
      </c>
      <c r="F2074" s="26" t="s">
        <v>8248</v>
      </c>
    </row>
    <row r="2075" spans="1:6">
      <c r="A2075" s="26" t="s">
        <v>8239</v>
      </c>
      <c r="B2075" s="26" t="s">
        <v>6421</v>
      </c>
      <c r="C2075" s="26" t="s">
        <v>238</v>
      </c>
      <c r="D2075" s="26" t="s">
        <v>6396</v>
      </c>
      <c r="E2075" s="26" t="s">
        <v>6395</v>
      </c>
    </row>
    <row r="2076" spans="1:6">
      <c r="A2076" s="26" t="s">
        <v>8239</v>
      </c>
      <c r="B2076" s="26" t="s">
        <v>7454</v>
      </c>
      <c r="C2076" s="26" t="s">
        <v>7378</v>
      </c>
      <c r="D2076" s="26" t="s">
        <v>6396</v>
      </c>
      <c r="E2076" s="26" t="s">
        <v>6395</v>
      </c>
    </row>
    <row r="2077" spans="1:6">
      <c r="A2077" s="26" t="s">
        <v>8239</v>
      </c>
      <c r="B2077" s="26" t="s">
        <v>6994</v>
      </c>
      <c r="C2077" s="26" t="s">
        <v>6993</v>
      </c>
      <c r="D2077" s="26" t="s">
        <v>6396</v>
      </c>
      <c r="E2077" s="26" t="s">
        <v>6395</v>
      </c>
    </row>
    <row r="2078" spans="1:6">
      <c r="A2078" s="26" t="s">
        <v>8239</v>
      </c>
      <c r="B2078" s="26" t="s">
        <v>6606</v>
      </c>
      <c r="C2078" s="26" t="s">
        <v>8278</v>
      </c>
      <c r="D2078" s="26" t="s">
        <v>6396</v>
      </c>
      <c r="E2078" s="26" t="s">
        <v>6395</v>
      </c>
    </row>
    <row r="2079" spans="1:6">
      <c r="A2079" s="26" t="s">
        <v>8239</v>
      </c>
      <c r="B2079" s="26" t="s">
        <v>7170</v>
      </c>
      <c r="C2079" s="26" t="s">
        <v>7459</v>
      </c>
      <c r="D2079" s="26" t="s">
        <v>6396</v>
      </c>
      <c r="E2079" s="26" t="s">
        <v>6395</v>
      </c>
    </row>
    <row r="2080" spans="1:6">
      <c r="A2080" s="26" t="s">
        <v>8239</v>
      </c>
      <c r="B2080" s="26" t="s">
        <v>8279</v>
      </c>
      <c r="C2080" s="26" t="s">
        <v>8280</v>
      </c>
      <c r="D2080" s="26" t="s">
        <v>6396</v>
      </c>
      <c r="E2080" s="26" t="s">
        <v>6395</v>
      </c>
    </row>
    <row r="2081" spans="1:6">
      <c r="A2081" s="26" t="s">
        <v>8239</v>
      </c>
      <c r="B2081" s="26" t="s">
        <v>7074</v>
      </c>
      <c r="C2081" s="26" t="s">
        <v>935</v>
      </c>
      <c r="D2081" s="26" t="s">
        <v>6396</v>
      </c>
      <c r="E2081" s="26" t="s">
        <v>6395</v>
      </c>
      <c r="F2081" s="26" t="s">
        <v>8281</v>
      </c>
    </row>
    <row r="2082" spans="1:6">
      <c r="A2082" s="26" t="s">
        <v>8239</v>
      </c>
      <c r="B2082" s="26" t="s">
        <v>7463</v>
      </c>
      <c r="C2082" s="26" t="s">
        <v>6979</v>
      </c>
      <c r="D2082" s="26" t="s">
        <v>6396</v>
      </c>
      <c r="E2082" s="26" t="s">
        <v>6395</v>
      </c>
    </row>
    <row r="2083" spans="1:6">
      <c r="A2083" s="26" t="s">
        <v>8239</v>
      </c>
      <c r="B2083" s="26" t="s">
        <v>7469</v>
      </c>
      <c r="C2083" s="26" t="s">
        <v>7470</v>
      </c>
      <c r="D2083" s="26" t="s">
        <v>6396</v>
      </c>
      <c r="E2083" s="26" t="s">
        <v>6395</v>
      </c>
    </row>
    <row r="2084" spans="1:6">
      <c r="A2084" s="26" t="s">
        <v>8239</v>
      </c>
      <c r="B2084" s="26" t="s">
        <v>7471</v>
      </c>
      <c r="C2084" s="26" t="s">
        <v>8282</v>
      </c>
      <c r="D2084" s="26" t="s">
        <v>6396</v>
      </c>
      <c r="E2084" s="26" t="s">
        <v>6395</v>
      </c>
    </row>
    <row r="2085" spans="1:6">
      <c r="A2085" s="26" t="s">
        <v>8239</v>
      </c>
      <c r="B2085" s="26" t="s">
        <v>7475</v>
      </c>
      <c r="C2085" s="26" t="s">
        <v>7476</v>
      </c>
      <c r="D2085" s="26" t="s">
        <v>6396</v>
      </c>
      <c r="E2085" s="26" t="s">
        <v>6443</v>
      </c>
    </row>
    <row r="2086" spans="1:6">
      <c r="A2086" s="26" t="s">
        <v>8239</v>
      </c>
      <c r="B2086" s="26" t="s">
        <v>8120</v>
      </c>
      <c r="C2086" s="26" t="s">
        <v>8283</v>
      </c>
      <c r="D2086" s="26" t="s">
        <v>6396</v>
      </c>
      <c r="E2086" s="26" t="s">
        <v>7957</v>
      </c>
      <c r="F2086" s="26" t="s">
        <v>8243</v>
      </c>
    </row>
    <row r="2087" spans="1:6">
      <c r="A2087" s="26" t="s">
        <v>8239</v>
      </c>
      <c r="B2087" s="26" t="s">
        <v>6519</v>
      </c>
      <c r="C2087" s="26" t="s">
        <v>6518</v>
      </c>
      <c r="D2087" s="26" t="s">
        <v>6396</v>
      </c>
      <c r="E2087" s="26" t="s">
        <v>6395</v>
      </c>
    </row>
    <row r="2088" spans="1:6">
      <c r="A2088" s="26" t="s">
        <v>8239</v>
      </c>
      <c r="B2088" s="26" t="s">
        <v>1912</v>
      </c>
      <c r="C2088" s="26" t="s">
        <v>650</v>
      </c>
      <c r="D2088" s="26" t="s">
        <v>6396</v>
      </c>
      <c r="E2088" s="26" t="s">
        <v>6395</v>
      </c>
    </row>
    <row r="2089" spans="1:6">
      <c r="A2089" s="26" t="s">
        <v>8239</v>
      </c>
      <c r="B2089" s="26" t="s">
        <v>1714</v>
      </c>
      <c r="C2089" s="26" t="s">
        <v>679</v>
      </c>
      <c r="D2089" s="26" t="s">
        <v>6396</v>
      </c>
      <c r="E2089" s="26" t="s">
        <v>6395</v>
      </c>
    </row>
    <row r="2090" spans="1:6">
      <c r="A2090" s="26" t="s">
        <v>8239</v>
      </c>
      <c r="B2090" s="26" t="s">
        <v>7312</v>
      </c>
      <c r="C2090" s="26" t="s">
        <v>592</v>
      </c>
      <c r="D2090" s="26" t="s">
        <v>6396</v>
      </c>
      <c r="E2090" s="26" t="s">
        <v>6395</v>
      </c>
    </row>
    <row r="2091" spans="1:6">
      <c r="A2091" s="26" t="s">
        <v>8239</v>
      </c>
      <c r="B2091" s="26" t="s">
        <v>8284</v>
      </c>
      <c r="C2091" s="26" t="s">
        <v>8285</v>
      </c>
      <c r="D2091" s="26" t="s">
        <v>6396</v>
      </c>
      <c r="E2091" s="26" t="s">
        <v>8286</v>
      </c>
    </row>
    <row r="2092" spans="1:6">
      <c r="A2092" s="26" t="s">
        <v>8239</v>
      </c>
      <c r="B2092" s="26" t="s">
        <v>8186</v>
      </c>
      <c r="C2092" s="26" t="s">
        <v>7257</v>
      </c>
      <c r="D2092" s="26" t="s">
        <v>6396</v>
      </c>
      <c r="E2092" s="26" t="s">
        <v>6443</v>
      </c>
    </row>
    <row r="2093" spans="1:6">
      <c r="A2093" s="26" t="s">
        <v>8239</v>
      </c>
      <c r="B2093" s="26" t="s">
        <v>8287</v>
      </c>
      <c r="C2093" s="26" t="s">
        <v>8288</v>
      </c>
      <c r="D2093" s="26" t="s">
        <v>6396</v>
      </c>
      <c r="E2093" s="26" t="s">
        <v>6395</v>
      </c>
    </row>
    <row r="2094" spans="1:6">
      <c r="A2094" s="26" t="s">
        <v>8239</v>
      </c>
      <c r="B2094" s="26" t="s">
        <v>7483</v>
      </c>
      <c r="C2094" s="26" t="s">
        <v>7329</v>
      </c>
      <c r="D2094" s="26" t="s">
        <v>6396</v>
      </c>
      <c r="E2094" s="26" t="s">
        <v>6443</v>
      </c>
    </row>
    <row r="2095" spans="1:6">
      <c r="A2095" s="26" t="s">
        <v>8239</v>
      </c>
      <c r="B2095" s="26" t="s">
        <v>8289</v>
      </c>
      <c r="C2095" s="26" t="s">
        <v>884</v>
      </c>
      <c r="D2095" s="26" t="s">
        <v>6396</v>
      </c>
      <c r="E2095" s="26" t="s">
        <v>6395</v>
      </c>
    </row>
    <row r="2096" spans="1:6">
      <c r="A2096" s="26" t="s">
        <v>8239</v>
      </c>
      <c r="B2096" s="26" t="s">
        <v>6915</v>
      </c>
      <c r="C2096" s="26" t="s">
        <v>6545</v>
      </c>
      <c r="D2096" s="26" t="s">
        <v>6396</v>
      </c>
      <c r="E2096" s="26" t="s">
        <v>6443</v>
      </c>
    </row>
    <row r="2097" spans="1:6">
      <c r="A2097" s="26" t="s">
        <v>8239</v>
      </c>
      <c r="B2097" s="26" t="s">
        <v>295</v>
      </c>
      <c r="C2097" s="26" t="s">
        <v>154</v>
      </c>
      <c r="D2097" s="26" t="s">
        <v>6396</v>
      </c>
      <c r="E2097" s="26" t="s">
        <v>6395</v>
      </c>
    </row>
    <row r="2098" spans="1:6">
      <c r="A2098" s="26" t="s">
        <v>8239</v>
      </c>
      <c r="B2098" s="26" t="s">
        <v>8290</v>
      </c>
      <c r="C2098" s="26" t="s">
        <v>8291</v>
      </c>
      <c r="D2098" s="26" t="s">
        <v>6396</v>
      </c>
      <c r="E2098" s="26" t="s">
        <v>8286</v>
      </c>
    </row>
    <row r="2099" spans="1:6">
      <c r="A2099" s="26" t="s">
        <v>8239</v>
      </c>
      <c r="B2099" s="26" t="s">
        <v>6756</v>
      </c>
      <c r="C2099" s="26" t="s">
        <v>847</v>
      </c>
      <c r="D2099" s="26" t="s">
        <v>6396</v>
      </c>
      <c r="E2099" s="26" t="s">
        <v>6443</v>
      </c>
    </row>
    <row r="2100" spans="1:6">
      <c r="A2100" s="26" t="s">
        <v>8239</v>
      </c>
      <c r="B2100" s="26" t="s">
        <v>7334</v>
      </c>
      <c r="C2100" s="26" t="s">
        <v>8292</v>
      </c>
      <c r="D2100" s="26" t="s">
        <v>6396</v>
      </c>
      <c r="E2100" s="26" t="s">
        <v>6395</v>
      </c>
    </row>
    <row r="2101" spans="1:6">
      <c r="A2101" s="26" t="s">
        <v>8239</v>
      </c>
      <c r="B2101" s="26" t="s">
        <v>6523</v>
      </c>
      <c r="C2101" s="26" t="s">
        <v>27</v>
      </c>
      <c r="D2101" s="26" t="s">
        <v>6396</v>
      </c>
      <c r="E2101" s="26" t="s">
        <v>6395</v>
      </c>
    </row>
    <row r="2102" spans="1:6">
      <c r="A2102" s="26" t="s">
        <v>8239</v>
      </c>
      <c r="B2102" s="26" t="s">
        <v>8293</v>
      </c>
      <c r="C2102" s="26" t="s">
        <v>1457</v>
      </c>
      <c r="D2102" s="26" t="s">
        <v>6396</v>
      </c>
      <c r="E2102" s="26" t="s">
        <v>6395</v>
      </c>
    </row>
    <row r="2103" spans="1:6">
      <c r="A2103" s="26" t="s">
        <v>8239</v>
      </c>
      <c r="B2103" s="26" t="s">
        <v>4710</v>
      </c>
      <c r="C2103" s="26" t="s">
        <v>10237</v>
      </c>
      <c r="D2103" s="26" t="s">
        <v>6396</v>
      </c>
      <c r="E2103" s="26" t="s">
        <v>6432</v>
      </c>
      <c r="F2103" s="26" t="s">
        <v>8248</v>
      </c>
    </row>
    <row r="2104" spans="1:6">
      <c r="A2104" s="26" t="s">
        <v>8239</v>
      </c>
      <c r="B2104" s="26" t="s">
        <v>6569</v>
      </c>
      <c r="C2104" s="26" t="s">
        <v>8294</v>
      </c>
      <c r="D2104" s="26" t="s">
        <v>6396</v>
      </c>
      <c r="E2104" s="26" t="s">
        <v>6395</v>
      </c>
    </row>
    <row r="2105" spans="1:6">
      <c r="A2105" s="26" t="s">
        <v>8239</v>
      </c>
      <c r="B2105" s="26" t="s">
        <v>95</v>
      </c>
      <c r="C2105" s="26" t="s">
        <v>51</v>
      </c>
      <c r="D2105" s="26" t="s">
        <v>6396</v>
      </c>
      <c r="E2105" s="26" t="s">
        <v>6443</v>
      </c>
      <c r="F2105" s="26" t="s">
        <v>8248</v>
      </c>
    </row>
    <row r="2106" spans="1:6">
      <c r="A2106" s="26" t="s">
        <v>8239</v>
      </c>
      <c r="B2106" s="26" t="s">
        <v>359</v>
      </c>
      <c r="C2106" s="26" t="s">
        <v>360</v>
      </c>
      <c r="D2106" s="26" t="s">
        <v>6396</v>
      </c>
      <c r="E2106" s="26" t="s">
        <v>6395</v>
      </c>
    </row>
    <row r="2107" spans="1:6">
      <c r="A2107" s="26" t="s">
        <v>8239</v>
      </c>
      <c r="B2107" s="26" t="s">
        <v>8295</v>
      </c>
      <c r="C2107" s="26" t="s">
        <v>7416</v>
      </c>
      <c r="D2107" s="26" t="s">
        <v>6396</v>
      </c>
      <c r="E2107" s="26" t="s">
        <v>6395</v>
      </c>
    </row>
    <row r="2108" spans="1:6">
      <c r="A2108" s="26" t="s">
        <v>8239</v>
      </c>
      <c r="B2108" s="26" t="s">
        <v>523</v>
      </c>
      <c r="C2108" s="26" t="s">
        <v>27</v>
      </c>
      <c r="D2108" s="26" t="s">
        <v>6396</v>
      </c>
      <c r="E2108" s="26" t="s">
        <v>6395</v>
      </c>
    </row>
    <row r="2109" spans="1:6">
      <c r="A2109" s="26" t="s">
        <v>8239</v>
      </c>
      <c r="B2109" s="26" t="s">
        <v>8296</v>
      </c>
      <c r="C2109" s="26" t="s">
        <v>6796</v>
      </c>
      <c r="D2109" s="26" t="s">
        <v>6396</v>
      </c>
      <c r="E2109" s="26" t="s">
        <v>6395</v>
      </c>
    </row>
    <row r="2110" spans="1:6">
      <c r="A2110" s="26" t="s">
        <v>8239</v>
      </c>
      <c r="B2110" s="26" t="s">
        <v>8297</v>
      </c>
      <c r="C2110" s="26" t="s">
        <v>8298</v>
      </c>
      <c r="D2110" s="26" t="s">
        <v>6396</v>
      </c>
      <c r="E2110" s="26" t="s">
        <v>6395</v>
      </c>
      <c r="F2110" s="26" t="s">
        <v>8248</v>
      </c>
    </row>
    <row r="2111" spans="1:6">
      <c r="A2111" s="26" t="s">
        <v>8239</v>
      </c>
      <c r="B2111" s="26" t="s">
        <v>7318</v>
      </c>
      <c r="C2111" s="26" t="s">
        <v>6815</v>
      </c>
      <c r="D2111" s="26" t="s">
        <v>6396</v>
      </c>
      <c r="E2111" s="26" t="s">
        <v>6443</v>
      </c>
    </row>
    <row r="2112" spans="1:6">
      <c r="A2112" s="26" t="s">
        <v>8239</v>
      </c>
      <c r="B2112" s="26" t="s">
        <v>445</v>
      </c>
      <c r="C2112" s="26" t="s">
        <v>6558</v>
      </c>
      <c r="D2112" s="26" t="s">
        <v>6396</v>
      </c>
      <c r="E2112" s="26" t="s">
        <v>6395</v>
      </c>
    </row>
    <row r="2113" spans="1:6">
      <c r="A2113" s="26" t="s">
        <v>8239</v>
      </c>
      <c r="B2113" s="26" t="s">
        <v>6657</v>
      </c>
      <c r="C2113" s="26" t="s">
        <v>6410</v>
      </c>
      <c r="D2113" s="26" t="s">
        <v>6396</v>
      </c>
      <c r="E2113" s="26" t="s">
        <v>6395</v>
      </c>
    </row>
    <row r="2114" spans="1:6">
      <c r="A2114" s="26" t="s">
        <v>8239</v>
      </c>
      <c r="B2114" s="26" t="s">
        <v>6784</v>
      </c>
      <c r="C2114" s="26" t="s">
        <v>6783</v>
      </c>
      <c r="D2114" s="26" t="s">
        <v>6396</v>
      </c>
      <c r="E2114" s="26" t="s">
        <v>6443</v>
      </c>
    </row>
    <row r="2115" spans="1:6">
      <c r="A2115" s="26" t="s">
        <v>8239</v>
      </c>
      <c r="B2115" s="26" t="s">
        <v>7138</v>
      </c>
      <c r="C2115" s="26" t="s">
        <v>2548</v>
      </c>
      <c r="D2115" s="26" t="s">
        <v>6396</v>
      </c>
      <c r="E2115" s="26" t="s">
        <v>6395</v>
      </c>
    </row>
    <row r="2116" spans="1:6">
      <c r="A2116" s="26" t="s">
        <v>8239</v>
      </c>
      <c r="B2116" s="26" t="s">
        <v>8299</v>
      </c>
      <c r="C2116" s="26" t="s">
        <v>7327</v>
      </c>
      <c r="D2116" s="26" t="s">
        <v>6396</v>
      </c>
      <c r="E2116" s="26" t="s">
        <v>6443</v>
      </c>
    </row>
    <row r="2117" spans="1:6">
      <c r="A2117" s="26" t="s">
        <v>8239</v>
      </c>
      <c r="B2117" s="26" t="s">
        <v>1782</v>
      </c>
      <c r="C2117" s="26" t="s">
        <v>1783</v>
      </c>
      <c r="D2117" s="26" t="s">
        <v>6396</v>
      </c>
      <c r="E2117" s="26" t="s">
        <v>6443</v>
      </c>
    </row>
    <row r="2118" spans="1:6">
      <c r="A2118" s="26" t="s">
        <v>8239</v>
      </c>
      <c r="B2118" s="26" t="s">
        <v>934</v>
      </c>
      <c r="C2118" s="26" t="s">
        <v>8300</v>
      </c>
      <c r="D2118" s="26" t="s">
        <v>6396</v>
      </c>
      <c r="E2118" s="26" t="s">
        <v>6432</v>
      </c>
      <c r="F2118" s="26" t="s">
        <v>8243</v>
      </c>
    </row>
    <row r="2119" spans="1:6">
      <c r="A2119" s="26" t="s">
        <v>8239</v>
      </c>
      <c r="B2119" s="26" t="s">
        <v>2121</v>
      </c>
      <c r="C2119" s="26" t="s">
        <v>1545</v>
      </c>
      <c r="D2119" s="26" t="s">
        <v>6396</v>
      </c>
      <c r="E2119" s="26" t="s">
        <v>6395</v>
      </c>
    </row>
    <row r="2120" spans="1:6">
      <c r="A2120" s="26" t="s">
        <v>8239</v>
      </c>
      <c r="B2120" s="26" t="s">
        <v>8301</v>
      </c>
      <c r="C2120" s="26" t="s">
        <v>8302</v>
      </c>
      <c r="D2120" s="26" t="s">
        <v>6396</v>
      </c>
      <c r="E2120" s="26" t="s">
        <v>8286</v>
      </c>
    </row>
    <row r="2121" spans="1:6">
      <c r="A2121" s="26" t="s">
        <v>8239</v>
      </c>
      <c r="B2121" s="26" t="s">
        <v>7087</v>
      </c>
      <c r="C2121" s="26" t="s">
        <v>1030</v>
      </c>
      <c r="D2121" s="26" t="s">
        <v>6396</v>
      </c>
      <c r="E2121" s="26" t="s">
        <v>6395</v>
      </c>
    </row>
    <row r="2122" spans="1:6">
      <c r="A2122" s="26" t="s">
        <v>8239</v>
      </c>
      <c r="B2122" s="26" t="s">
        <v>332</v>
      </c>
      <c r="C2122" s="26" t="s">
        <v>333</v>
      </c>
      <c r="D2122" s="26" t="s">
        <v>6396</v>
      </c>
      <c r="E2122" s="26" t="s">
        <v>6432</v>
      </c>
      <c r="F2122" s="26" t="s">
        <v>8243</v>
      </c>
    </row>
    <row r="2123" spans="1:6">
      <c r="A2123" s="26" t="s">
        <v>8239</v>
      </c>
      <c r="B2123" s="26" t="s">
        <v>2230</v>
      </c>
      <c r="C2123" s="26" t="s">
        <v>227</v>
      </c>
      <c r="D2123" s="26" t="s">
        <v>6396</v>
      </c>
      <c r="E2123" s="26" t="s">
        <v>6395</v>
      </c>
    </row>
    <row r="2124" spans="1:6">
      <c r="A2124" s="26" t="s">
        <v>8239</v>
      </c>
      <c r="B2124" s="26" t="s">
        <v>7284</v>
      </c>
      <c r="C2124" s="26" t="s">
        <v>434</v>
      </c>
      <c r="D2124" s="26" t="s">
        <v>6396</v>
      </c>
      <c r="E2124" s="26" t="s">
        <v>8286</v>
      </c>
    </row>
    <row r="2125" spans="1:6">
      <c r="A2125" s="26" t="s">
        <v>8239</v>
      </c>
      <c r="B2125" s="26" t="s">
        <v>2207</v>
      </c>
      <c r="C2125" s="26" t="s">
        <v>2208</v>
      </c>
      <c r="D2125" s="26" t="s">
        <v>6396</v>
      </c>
      <c r="E2125" s="26" t="s">
        <v>6395</v>
      </c>
    </row>
    <row r="2126" spans="1:6">
      <c r="A2126" s="26" t="s">
        <v>8239</v>
      </c>
      <c r="B2126" s="26" t="s">
        <v>7503</v>
      </c>
      <c r="C2126" s="26" t="s">
        <v>7504</v>
      </c>
      <c r="D2126" s="26" t="s">
        <v>6396</v>
      </c>
      <c r="E2126" s="26" t="s">
        <v>6395</v>
      </c>
    </row>
    <row r="2127" spans="1:6">
      <c r="A2127" s="26" t="s">
        <v>8239</v>
      </c>
      <c r="B2127" s="26" t="s">
        <v>1719</v>
      </c>
      <c r="C2127" s="26" t="s">
        <v>592</v>
      </c>
      <c r="D2127" s="26" t="s">
        <v>6396</v>
      </c>
      <c r="E2127" s="26" t="s">
        <v>6395</v>
      </c>
    </row>
    <row r="2128" spans="1:6">
      <c r="A2128" s="26" t="s">
        <v>8239</v>
      </c>
      <c r="B2128" s="26" t="s">
        <v>6465</v>
      </c>
      <c r="C2128" s="26" t="s">
        <v>2629</v>
      </c>
      <c r="D2128" s="26" t="s">
        <v>6396</v>
      </c>
      <c r="E2128" s="26" t="s">
        <v>6395</v>
      </c>
      <c r="F2128" s="26" t="s">
        <v>8248</v>
      </c>
    </row>
    <row r="2129" spans="1:7">
      <c r="A2129" s="26" t="s">
        <v>8239</v>
      </c>
      <c r="B2129" s="26" t="s">
        <v>8303</v>
      </c>
      <c r="C2129" s="26" t="s">
        <v>2225</v>
      </c>
      <c r="D2129" s="26" t="s">
        <v>6396</v>
      </c>
      <c r="E2129" s="26" t="s">
        <v>8286</v>
      </c>
    </row>
    <row r="2130" spans="1:7">
      <c r="A2130" s="26" t="s">
        <v>8239</v>
      </c>
      <c r="B2130" s="26" t="s">
        <v>883</v>
      </c>
      <c r="C2130" s="26" t="s">
        <v>884</v>
      </c>
      <c r="D2130" s="26" t="s">
        <v>6396</v>
      </c>
      <c r="E2130" s="26" t="s">
        <v>6395</v>
      </c>
    </row>
    <row r="2131" spans="1:7">
      <c r="A2131" s="26" t="s">
        <v>8239</v>
      </c>
      <c r="B2131" s="26" t="s">
        <v>8304</v>
      </c>
      <c r="C2131" s="26" t="s">
        <v>8305</v>
      </c>
      <c r="D2131" s="26" t="s">
        <v>6396</v>
      </c>
      <c r="E2131" s="26" t="s">
        <v>6395</v>
      </c>
      <c r="F2131" s="26" t="s">
        <v>8248</v>
      </c>
    </row>
    <row r="2132" spans="1:7">
      <c r="A2132" s="26" t="s">
        <v>8239</v>
      </c>
      <c r="B2132" s="26" t="s">
        <v>8306</v>
      </c>
      <c r="C2132" s="26" t="s">
        <v>8307</v>
      </c>
      <c r="D2132" s="26" t="s">
        <v>6396</v>
      </c>
      <c r="E2132" s="26" t="s">
        <v>6395</v>
      </c>
    </row>
    <row r="2133" spans="1:7">
      <c r="A2133" s="26" t="s">
        <v>8239</v>
      </c>
      <c r="B2133" s="26" t="s">
        <v>1529</v>
      </c>
      <c r="C2133" s="26" t="s">
        <v>188</v>
      </c>
      <c r="D2133" s="26" t="s">
        <v>6396</v>
      </c>
      <c r="E2133" s="26" t="s">
        <v>6395</v>
      </c>
    </row>
    <row r="2134" spans="1:7">
      <c r="A2134" s="26" t="s">
        <v>8239</v>
      </c>
      <c r="B2134" s="26" t="s">
        <v>1576</v>
      </c>
      <c r="C2134" s="26" t="s">
        <v>227</v>
      </c>
      <c r="D2134" s="26" t="s">
        <v>6396</v>
      </c>
      <c r="E2134" s="26" t="s">
        <v>6395</v>
      </c>
    </row>
    <row r="2135" spans="1:7">
      <c r="A2135" s="26" t="s">
        <v>8239</v>
      </c>
      <c r="B2135" s="26" t="s">
        <v>7960</v>
      </c>
      <c r="C2135" s="26" t="s">
        <v>238</v>
      </c>
      <c r="D2135" s="26" t="s">
        <v>6396</v>
      </c>
      <c r="E2135" s="26" t="s">
        <v>8256</v>
      </c>
      <c r="F2135" s="26" t="s">
        <v>8248</v>
      </c>
      <c r="G2135" s="26" t="s">
        <v>8308</v>
      </c>
    </row>
    <row r="2136" spans="1:7">
      <c r="A2136" s="26" t="s">
        <v>8239</v>
      </c>
      <c r="B2136" s="26" t="s">
        <v>8309</v>
      </c>
      <c r="C2136" s="26" t="s">
        <v>42</v>
      </c>
      <c r="D2136" s="26" t="s">
        <v>6396</v>
      </c>
      <c r="E2136" s="26" t="s">
        <v>6395</v>
      </c>
    </row>
    <row r="2137" spans="1:7">
      <c r="A2137" s="26" t="s">
        <v>8239</v>
      </c>
      <c r="B2137" s="26" t="s">
        <v>8310</v>
      </c>
      <c r="C2137" s="26" t="s">
        <v>2658</v>
      </c>
      <c r="D2137" s="26" t="s">
        <v>6396</v>
      </c>
      <c r="E2137" s="26" t="s">
        <v>6395</v>
      </c>
    </row>
    <row r="2138" spans="1:7">
      <c r="A2138" s="26" t="s">
        <v>8239</v>
      </c>
      <c r="B2138" s="26" t="s">
        <v>8311</v>
      </c>
      <c r="C2138" s="26" t="s">
        <v>27</v>
      </c>
      <c r="D2138" s="26" t="s">
        <v>6396</v>
      </c>
      <c r="E2138" s="26" t="s">
        <v>6395</v>
      </c>
    </row>
    <row r="2139" spans="1:7">
      <c r="A2139" s="26" t="s">
        <v>8239</v>
      </c>
      <c r="B2139" s="26" t="s">
        <v>1200</v>
      </c>
      <c r="C2139" s="26" t="s">
        <v>265</v>
      </c>
      <c r="D2139" s="26" t="s">
        <v>6396</v>
      </c>
      <c r="E2139" s="26" t="s">
        <v>6395</v>
      </c>
    </row>
    <row r="2140" spans="1:7">
      <c r="A2140" s="26" t="s">
        <v>8239</v>
      </c>
      <c r="B2140" s="26" t="s">
        <v>342</v>
      </c>
      <c r="C2140" s="26" t="s">
        <v>8312</v>
      </c>
      <c r="D2140" s="26" t="s">
        <v>6396</v>
      </c>
      <c r="E2140" s="26" t="s">
        <v>6432</v>
      </c>
      <c r="F2140" s="26" t="s">
        <v>8243</v>
      </c>
    </row>
    <row r="2141" spans="1:7">
      <c r="A2141" s="26" t="s">
        <v>8239</v>
      </c>
      <c r="B2141" s="26" t="s">
        <v>7411</v>
      </c>
      <c r="C2141" s="26" t="s">
        <v>7412</v>
      </c>
      <c r="D2141" s="26" t="s">
        <v>6396</v>
      </c>
      <c r="E2141" s="26" t="s">
        <v>6443</v>
      </c>
    </row>
    <row r="2142" spans="1:7">
      <c r="A2142" s="26" t="s">
        <v>8239</v>
      </c>
      <c r="B2142" s="26" t="s">
        <v>1133</v>
      </c>
      <c r="C2142" s="26" t="s">
        <v>541</v>
      </c>
      <c r="D2142" s="26" t="s">
        <v>6396</v>
      </c>
      <c r="E2142" s="26" t="s">
        <v>6395</v>
      </c>
    </row>
    <row r="2143" spans="1:7">
      <c r="A2143" s="26" t="s">
        <v>8239</v>
      </c>
      <c r="B2143" s="26" t="s">
        <v>930</v>
      </c>
      <c r="C2143" s="26" t="s">
        <v>7078</v>
      </c>
      <c r="D2143" s="26" t="s">
        <v>6396</v>
      </c>
      <c r="E2143" s="26" t="s">
        <v>6395</v>
      </c>
    </row>
    <row r="2144" spans="1:7">
      <c r="A2144" s="26" t="s">
        <v>8239</v>
      </c>
      <c r="B2144" s="26" t="s">
        <v>7388</v>
      </c>
      <c r="C2144" s="26" t="s">
        <v>7387</v>
      </c>
      <c r="D2144" s="26" t="s">
        <v>6396</v>
      </c>
      <c r="E2144" s="26" t="s">
        <v>6443</v>
      </c>
    </row>
    <row r="2145" spans="1:5">
      <c r="A2145" s="26" t="s">
        <v>8239</v>
      </c>
      <c r="B2145" s="26" t="s">
        <v>1867</v>
      </c>
      <c r="C2145" s="26" t="s">
        <v>621</v>
      </c>
      <c r="D2145" s="26" t="s">
        <v>6396</v>
      </c>
      <c r="E2145" s="26" t="s">
        <v>6395</v>
      </c>
    </row>
    <row r="2146" spans="1:5">
      <c r="A2146" s="26" t="s">
        <v>8239</v>
      </c>
      <c r="B2146" s="26" t="s">
        <v>8313</v>
      </c>
      <c r="C2146" s="26" t="s">
        <v>493</v>
      </c>
      <c r="D2146" s="26" t="s">
        <v>6396</v>
      </c>
      <c r="E2146" s="26" t="s">
        <v>6395</v>
      </c>
    </row>
    <row r="2147" spans="1:5">
      <c r="A2147" s="26" t="s">
        <v>8239</v>
      </c>
      <c r="B2147" s="26" t="s">
        <v>1495</v>
      </c>
      <c r="C2147" s="26" t="s">
        <v>446</v>
      </c>
      <c r="D2147" s="26" t="s">
        <v>6396</v>
      </c>
      <c r="E2147" s="26" t="s">
        <v>6395</v>
      </c>
    </row>
    <row r="2148" spans="1:5">
      <c r="A2148" s="26" t="s">
        <v>8239</v>
      </c>
      <c r="B2148" s="26" t="s">
        <v>6682</v>
      </c>
      <c r="C2148" s="26" t="s">
        <v>466</v>
      </c>
      <c r="D2148" s="26" t="s">
        <v>6396</v>
      </c>
      <c r="E2148" s="26" t="s">
        <v>6395</v>
      </c>
    </row>
    <row r="2149" spans="1:5">
      <c r="A2149" s="26" t="s">
        <v>8239</v>
      </c>
      <c r="B2149" s="26" t="s">
        <v>2711</v>
      </c>
      <c r="C2149" s="26" t="s">
        <v>478</v>
      </c>
      <c r="D2149" s="26" t="s">
        <v>6396</v>
      </c>
      <c r="E2149" s="26" t="s">
        <v>6395</v>
      </c>
    </row>
    <row r="2150" spans="1:5">
      <c r="A2150" s="26" t="s">
        <v>8239</v>
      </c>
      <c r="B2150" s="26" t="s">
        <v>7962</v>
      </c>
      <c r="C2150" s="26" t="s">
        <v>6560</v>
      </c>
      <c r="D2150" s="26" t="s">
        <v>6396</v>
      </c>
      <c r="E2150" s="26" t="s">
        <v>6395</v>
      </c>
    </row>
    <row r="2151" spans="1:5">
      <c r="A2151" s="26" t="s">
        <v>8239</v>
      </c>
      <c r="B2151" s="26" t="s">
        <v>6785</v>
      </c>
      <c r="C2151" s="26" t="s">
        <v>2933</v>
      </c>
      <c r="D2151" s="26" t="s">
        <v>6396</v>
      </c>
      <c r="E2151" s="26" t="s">
        <v>6443</v>
      </c>
    </row>
    <row r="2152" spans="1:5">
      <c r="A2152" s="26" t="s">
        <v>8239</v>
      </c>
      <c r="B2152" s="26" t="s">
        <v>6674</v>
      </c>
      <c r="C2152" s="26" t="s">
        <v>6473</v>
      </c>
      <c r="D2152" s="26" t="s">
        <v>6396</v>
      </c>
      <c r="E2152" s="26" t="s">
        <v>6395</v>
      </c>
    </row>
    <row r="2153" spans="1:5">
      <c r="A2153" s="26" t="s">
        <v>8239</v>
      </c>
      <c r="B2153" s="26" t="s">
        <v>2866</v>
      </c>
      <c r="C2153" s="26" t="s">
        <v>2867</v>
      </c>
      <c r="D2153" s="26" t="s">
        <v>6396</v>
      </c>
      <c r="E2153" s="26" t="s">
        <v>6395</v>
      </c>
    </row>
    <row r="2154" spans="1:5">
      <c r="A2154" s="26" t="s">
        <v>8239</v>
      </c>
      <c r="B2154" s="26" t="s">
        <v>41</v>
      </c>
      <c r="C2154" s="26" t="s">
        <v>42</v>
      </c>
      <c r="D2154" s="26" t="s">
        <v>6396</v>
      </c>
      <c r="E2154" s="26" t="s">
        <v>6443</v>
      </c>
    </row>
    <row r="2155" spans="1:5">
      <c r="A2155" s="26" t="s">
        <v>8239</v>
      </c>
      <c r="B2155" s="26" t="s">
        <v>7528</v>
      </c>
      <c r="C2155" s="26" t="s">
        <v>154</v>
      </c>
      <c r="D2155" s="26" t="s">
        <v>6396</v>
      </c>
      <c r="E2155" s="26" t="s">
        <v>6395</v>
      </c>
    </row>
    <row r="2156" spans="1:5">
      <c r="A2156" s="26" t="s">
        <v>8239</v>
      </c>
      <c r="B2156" s="26" t="s">
        <v>3823</v>
      </c>
      <c r="C2156" s="26" t="s">
        <v>6392</v>
      </c>
      <c r="D2156" s="26" t="s">
        <v>6396</v>
      </c>
      <c r="E2156" s="26" t="s">
        <v>6395</v>
      </c>
    </row>
    <row r="2157" spans="1:5">
      <c r="A2157" s="26" t="s">
        <v>8239</v>
      </c>
      <c r="B2157" s="26" t="s">
        <v>1383</v>
      </c>
      <c r="C2157" s="26" t="s">
        <v>8314</v>
      </c>
      <c r="D2157" s="26" t="s">
        <v>6396</v>
      </c>
      <c r="E2157" s="26" t="s">
        <v>6395</v>
      </c>
    </row>
    <row r="2158" spans="1:5">
      <c r="A2158" s="26" t="s">
        <v>8239</v>
      </c>
      <c r="B2158" s="26" t="s">
        <v>7154</v>
      </c>
      <c r="C2158" s="26" t="s">
        <v>1545</v>
      </c>
      <c r="D2158" s="26" t="s">
        <v>6396</v>
      </c>
      <c r="E2158" s="26" t="s">
        <v>6395</v>
      </c>
    </row>
    <row r="2159" spans="1:5">
      <c r="A2159" s="26" t="s">
        <v>8239</v>
      </c>
      <c r="B2159" s="26" t="s">
        <v>8315</v>
      </c>
      <c r="C2159" s="26" t="s">
        <v>742</v>
      </c>
      <c r="D2159" s="26" t="s">
        <v>6396</v>
      </c>
      <c r="E2159" s="26" t="s">
        <v>6395</v>
      </c>
    </row>
    <row r="2160" spans="1:5">
      <c r="A2160" s="26" t="s">
        <v>8239</v>
      </c>
      <c r="B2160" s="26" t="s">
        <v>6621</v>
      </c>
      <c r="C2160" s="26" t="s">
        <v>6742</v>
      </c>
      <c r="D2160" s="26" t="s">
        <v>6396</v>
      </c>
      <c r="E2160" s="26" t="s">
        <v>6443</v>
      </c>
    </row>
    <row r="2161" spans="1:6">
      <c r="A2161" s="26" t="s">
        <v>8239</v>
      </c>
      <c r="B2161" s="26" t="s">
        <v>1569</v>
      </c>
      <c r="C2161" s="26" t="s">
        <v>42</v>
      </c>
      <c r="D2161" s="26" t="s">
        <v>6396</v>
      </c>
      <c r="E2161" s="26" t="s">
        <v>6395</v>
      </c>
    </row>
    <row r="2162" spans="1:6">
      <c r="A2162" s="26" t="s">
        <v>8239</v>
      </c>
      <c r="B2162" s="26" t="s">
        <v>259</v>
      </c>
      <c r="C2162" s="26" t="s">
        <v>154</v>
      </c>
      <c r="D2162" s="26" t="s">
        <v>6396</v>
      </c>
      <c r="E2162" s="26" t="s">
        <v>6395</v>
      </c>
    </row>
    <row r="2163" spans="1:6">
      <c r="A2163" s="26" t="s">
        <v>8239</v>
      </c>
      <c r="B2163" s="26" t="s">
        <v>8316</v>
      </c>
      <c r="C2163" s="26" t="s">
        <v>8317</v>
      </c>
      <c r="D2163" s="26" t="s">
        <v>6396</v>
      </c>
      <c r="E2163" s="26" t="s">
        <v>6443</v>
      </c>
    </row>
    <row r="2164" spans="1:6">
      <c r="A2164" s="26" t="s">
        <v>8239</v>
      </c>
      <c r="B2164" s="26" t="s">
        <v>8318</v>
      </c>
      <c r="C2164" s="26" t="s">
        <v>7327</v>
      </c>
      <c r="D2164" s="26" t="s">
        <v>6396</v>
      </c>
      <c r="E2164" s="26" t="s">
        <v>6443</v>
      </c>
    </row>
    <row r="2165" spans="1:6">
      <c r="A2165" s="26" t="s">
        <v>8239</v>
      </c>
      <c r="B2165" s="26" t="s">
        <v>7133</v>
      </c>
      <c r="C2165" s="26" t="s">
        <v>6407</v>
      </c>
      <c r="D2165" s="26" t="s">
        <v>6396</v>
      </c>
      <c r="E2165" s="26" t="s">
        <v>6395</v>
      </c>
    </row>
    <row r="2166" spans="1:6">
      <c r="A2166" s="26" t="s">
        <v>8239</v>
      </c>
      <c r="B2166" s="26" t="s">
        <v>6413</v>
      </c>
      <c r="C2166" s="26" t="s">
        <v>188</v>
      </c>
      <c r="D2166" s="26" t="s">
        <v>6396</v>
      </c>
      <c r="E2166" s="26" t="s">
        <v>6443</v>
      </c>
      <c r="F2166" s="26" t="s">
        <v>8248</v>
      </c>
    </row>
    <row r="2167" spans="1:6">
      <c r="A2167" s="26" t="s">
        <v>8239</v>
      </c>
      <c r="B2167" s="26" t="s">
        <v>6643</v>
      </c>
      <c r="C2167" s="26" t="s">
        <v>3455</v>
      </c>
      <c r="D2167" s="26" t="s">
        <v>6396</v>
      </c>
      <c r="E2167" s="26" t="s">
        <v>6443</v>
      </c>
    </row>
    <row r="2168" spans="1:6">
      <c r="A2168" s="26" t="s">
        <v>8239</v>
      </c>
      <c r="B2168" s="26" t="s">
        <v>6546</v>
      </c>
      <c r="C2168" s="26" t="s">
        <v>6545</v>
      </c>
      <c r="D2168" s="26" t="s">
        <v>6396</v>
      </c>
      <c r="E2168" s="26" t="s">
        <v>6443</v>
      </c>
    </row>
    <row r="2169" spans="1:6">
      <c r="A2169" s="26" t="s">
        <v>8239</v>
      </c>
      <c r="B2169" s="26" t="s">
        <v>8319</v>
      </c>
      <c r="C2169" s="26" t="s">
        <v>493</v>
      </c>
      <c r="D2169" s="26" t="s">
        <v>6396</v>
      </c>
      <c r="E2169" s="26" t="s">
        <v>6395</v>
      </c>
    </row>
    <row r="2170" spans="1:6">
      <c r="A2170" s="26" t="s">
        <v>8239</v>
      </c>
      <c r="B2170" s="26" t="s">
        <v>414</v>
      </c>
      <c r="C2170" s="26" t="s">
        <v>154</v>
      </c>
      <c r="D2170" s="26" t="s">
        <v>6396</v>
      </c>
      <c r="E2170" s="26" t="s">
        <v>6395</v>
      </c>
    </row>
    <row r="2171" spans="1:6">
      <c r="A2171" s="26" t="s">
        <v>8239</v>
      </c>
      <c r="B2171" s="26" t="s">
        <v>638</v>
      </c>
      <c r="C2171" s="26" t="s">
        <v>154</v>
      </c>
      <c r="D2171" s="26" t="s">
        <v>6396</v>
      </c>
      <c r="E2171" s="26" t="s">
        <v>6395</v>
      </c>
    </row>
    <row r="2172" spans="1:6">
      <c r="A2172" s="26" t="s">
        <v>8239</v>
      </c>
      <c r="B2172" s="26" t="s">
        <v>2912</v>
      </c>
      <c r="C2172" s="26" t="s">
        <v>935</v>
      </c>
      <c r="D2172" s="26" t="s">
        <v>6396</v>
      </c>
      <c r="E2172" s="26" t="s">
        <v>6395</v>
      </c>
      <c r="F2172" s="26" t="s">
        <v>8320</v>
      </c>
    </row>
    <row r="2173" spans="1:6">
      <c r="A2173" s="26" t="s">
        <v>8239</v>
      </c>
      <c r="B2173" s="26" t="s">
        <v>8321</v>
      </c>
      <c r="C2173" s="26" t="s">
        <v>8277</v>
      </c>
      <c r="D2173" s="26" t="s">
        <v>6396</v>
      </c>
      <c r="E2173" s="26" t="s">
        <v>6443</v>
      </c>
    </row>
    <row r="2174" spans="1:6">
      <c r="A2174" s="26" t="s">
        <v>8239</v>
      </c>
      <c r="B2174" s="26" t="s">
        <v>1206</v>
      </c>
      <c r="C2174" s="26" t="s">
        <v>8262</v>
      </c>
      <c r="D2174" s="26" t="s">
        <v>6396</v>
      </c>
      <c r="E2174" s="26" t="s">
        <v>6395</v>
      </c>
    </row>
    <row r="2175" spans="1:6">
      <c r="A2175" s="26" t="s">
        <v>8239</v>
      </c>
      <c r="B2175" s="26" t="s">
        <v>8322</v>
      </c>
      <c r="C2175" s="26" t="s">
        <v>8323</v>
      </c>
      <c r="D2175" s="26" t="s">
        <v>6396</v>
      </c>
      <c r="E2175" s="26" t="s">
        <v>6395</v>
      </c>
    </row>
    <row r="2176" spans="1:6">
      <c r="A2176" s="26" t="s">
        <v>8239</v>
      </c>
      <c r="B2176" s="26" t="s">
        <v>2067</v>
      </c>
      <c r="C2176" s="26" t="s">
        <v>8324</v>
      </c>
      <c r="D2176" s="26" t="s">
        <v>6396</v>
      </c>
      <c r="E2176" s="26" t="s">
        <v>6395</v>
      </c>
    </row>
    <row r="2177" spans="1:6">
      <c r="A2177" s="26" t="s">
        <v>8239</v>
      </c>
      <c r="B2177" s="26" t="s">
        <v>2036</v>
      </c>
      <c r="C2177" s="26" t="s">
        <v>574</v>
      </c>
      <c r="D2177" s="26" t="s">
        <v>6396</v>
      </c>
      <c r="E2177" s="26" t="s">
        <v>6395</v>
      </c>
      <c r="F2177" s="26" t="s">
        <v>8320</v>
      </c>
    </row>
    <row r="2178" spans="1:6">
      <c r="A2178" s="26" t="s">
        <v>8239</v>
      </c>
      <c r="B2178" s="26" t="s">
        <v>7266</v>
      </c>
      <c r="C2178" s="26" t="s">
        <v>7265</v>
      </c>
      <c r="D2178" s="26" t="s">
        <v>6396</v>
      </c>
      <c r="E2178" s="26" t="s">
        <v>6443</v>
      </c>
    </row>
    <row r="2179" spans="1:6">
      <c r="A2179" s="26" t="s">
        <v>8239</v>
      </c>
      <c r="B2179" s="26" t="s">
        <v>688</v>
      </c>
      <c r="C2179" s="26" t="s">
        <v>2208</v>
      </c>
      <c r="D2179" s="26" t="s">
        <v>6396</v>
      </c>
      <c r="E2179" s="26" t="s">
        <v>6395</v>
      </c>
    </row>
    <row r="2180" spans="1:6">
      <c r="A2180" s="26" t="s">
        <v>8239</v>
      </c>
      <c r="B2180" s="26" t="s">
        <v>6533</v>
      </c>
      <c r="C2180" s="26" t="s">
        <v>360</v>
      </c>
      <c r="D2180" s="26" t="s">
        <v>6396</v>
      </c>
      <c r="E2180" s="26" t="s">
        <v>6395</v>
      </c>
    </row>
    <row r="2181" spans="1:6">
      <c r="A2181" s="26" t="s">
        <v>8239</v>
      </c>
      <c r="B2181" s="26" t="s">
        <v>6673</v>
      </c>
      <c r="C2181" s="26" t="s">
        <v>6473</v>
      </c>
      <c r="D2181" s="26" t="s">
        <v>6396</v>
      </c>
      <c r="E2181" s="26" t="s">
        <v>6395</v>
      </c>
    </row>
    <row r="2182" spans="1:6">
      <c r="A2182" s="26" t="s">
        <v>8239</v>
      </c>
      <c r="B2182" s="26" t="s">
        <v>1563</v>
      </c>
      <c r="C2182" s="26" t="s">
        <v>941</v>
      </c>
      <c r="D2182" s="26" t="s">
        <v>6396</v>
      </c>
      <c r="E2182" s="26" t="s">
        <v>6411</v>
      </c>
      <c r="F2182" s="26" t="s">
        <v>8130</v>
      </c>
    </row>
    <row r="2183" spans="1:6">
      <c r="A2183" s="26" t="s">
        <v>8239</v>
      </c>
      <c r="B2183" s="26" t="s">
        <v>7218</v>
      </c>
      <c r="C2183" s="26" t="s">
        <v>7217</v>
      </c>
      <c r="D2183" s="26" t="s">
        <v>6396</v>
      </c>
      <c r="E2183" s="26" t="s">
        <v>6443</v>
      </c>
    </row>
    <row r="2184" spans="1:6">
      <c r="A2184" s="26" t="s">
        <v>8239</v>
      </c>
      <c r="B2184" s="26" t="s">
        <v>8325</v>
      </c>
      <c r="C2184" s="26" t="s">
        <v>8326</v>
      </c>
      <c r="D2184" s="26" t="s">
        <v>6396</v>
      </c>
      <c r="E2184" s="26" t="s">
        <v>6395</v>
      </c>
    </row>
    <row r="2185" spans="1:6">
      <c r="A2185" s="26" t="s">
        <v>8239</v>
      </c>
      <c r="B2185" s="26" t="s">
        <v>8327</v>
      </c>
      <c r="C2185" s="26" t="s">
        <v>8328</v>
      </c>
      <c r="D2185" s="26" t="s">
        <v>6396</v>
      </c>
      <c r="E2185" s="26" t="s">
        <v>6443</v>
      </c>
    </row>
    <row r="2186" spans="1:6">
      <c r="A2186" s="26" t="s">
        <v>8239</v>
      </c>
      <c r="B2186" s="26" t="s">
        <v>2642</v>
      </c>
      <c r="C2186" s="26" t="s">
        <v>2643</v>
      </c>
      <c r="D2186" s="26" t="s">
        <v>6396</v>
      </c>
      <c r="E2186" s="26" t="s">
        <v>6395</v>
      </c>
    </row>
    <row r="2187" spans="1:6">
      <c r="A2187" s="26" t="s">
        <v>8239</v>
      </c>
      <c r="B2187" s="26" t="s">
        <v>8329</v>
      </c>
      <c r="C2187" s="26" t="s">
        <v>8330</v>
      </c>
      <c r="D2187" s="26" t="s">
        <v>6396</v>
      </c>
      <c r="E2187" s="26" t="s">
        <v>6395</v>
      </c>
    </row>
    <row r="2188" spans="1:6">
      <c r="A2188" s="26" t="s">
        <v>8239</v>
      </c>
      <c r="B2188" s="26" t="s">
        <v>8331</v>
      </c>
      <c r="C2188" s="26" t="s">
        <v>2198</v>
      </c>
      <c r="D2188" s="26" t="s">
        <v>6396</v>
      </c>
      <c r="E2188" s="26" t="s">
        <v>6395</v>
      </c>
    </row>
    <row r="2189" spans="1:6">
      <c r="A2189" s="26" t="s">
        <v>8239</v>
      </c>
      <c r="B2189" s="26" t="s">
        <v>8332</v>
      </c>
      <c r="C2189" s="26" t="s">
        <v>7156</v>
      </c>
      <c r="D2189" s="26" t="s">
        <v>6396</v>
      </c>
      <c r="E2189" s="26" t="s">
        <v>6395</v>
      </c>
    </row>
    <row r="2190" spans="1:6">
      <c r="A2190" s="26" t="s">
        <v>8239</v>
      </c>
      <c r="B2190" s="26" t="s">
        <v>1600</v>
      </c>
      <c r="C2190" s="26" t="s">
        <v>1601</v>
      </c>
      <c r="D2190" s="26" t="s">
        <v>6396</v>
      </c>
      <c r="E2190" s="26" t="s">
        <v>6395</v>
      </c>
    </row>
    <row r="2191" spans="1:6">
      <c r="A2191" s="26" t="s">
        <v>8239</v>
      </c>
      <c r="B2191" s="26" t="s">
        <v>3298</v>
      </c>
      <c r="C2191" s="26" t="s">
        <v>6473</v>
      </c>
      <c r="D2191" s="26" t="s">
        <v>6396</v>
      </c>
      <c r="E2191" s="26" t="s">
        <v>6395</v>
      </c>
    </row>
    <row r="2192" spans="1:6">
      <c r="A2192" s="26" t="s">
        <v>8239</v>
      </c>
      <c r="B2192" s="26" t="s">
        <v>573</v>
      </c>
      <c r="C2192" s="26" t="s">
        <v>360</v>
      </c>
      <c r="D2192" s="26" t="s">
        <v>6396</v>
      </c>
      <c r="E2192" s="26" t="s">
        <v>6395</v>
      </c>
    </row>
    <row r="2193" spans="1:5">
      <c r="A2193" s="26" t="s">
        <v>8239</v>
      </c>
      <c r="B2193" s="26" t="s">
        <v>7591</v>
      </c>
      <c r="C2193" s="26" t="s">
        <v>8333</v>
      </c>
      <c r="D2193" s="26" t="s">
        <v>6396</v>
      </c>
      <c r="E2193" s="26" t="s">
        <v>6443</v>
      </c>
    </row>
    <row r="2194" spans="1:5">
      <c r="A2194" s="26" t="s">
        <v>8239</v>
      </c>
      <c r="B2194" s="26" t="s">
        <v>1722</v>
      </c>
      <c r="C2194" s="26" t="s">
        <v>592</v>
      </c>
      <c r="D2194" s="26" t="s">
        <v>6396</v>
      </c>
      <c r="E2194" s="26" t="s">
        <v>6395</v>
      </c>
    </row>
    <row r="2195" spans="1:5">
      <c r="A2195" s="26" t="s">
        <v>8239</v>
      </c>
      <c r="B2195" s="26" t="s">
        <v>2739</v>
      </c>
      <c r="C2195" s="26" t="s">
        <v>238</v>
      </c>
      <c r="D2195" s="26" t="s">
        <v>6396</v>
      </c>
      <c r="E2195" s="26" t="s">
        <v>6443</v>
      </c>
    </row>
    <row r="2196" spans="1:5">
      <c r="A2196" s="26" t="s">
        <v>8239</v>
      </c>
      <c r="B2196" s="26" t="s">
        <v>2744</v>
      </c>
      <c r="C2196" s="26" t="s">
        <v>2745</v>
      </c>
      <c r="D2196" s="26" t="s">
        <v>6396</v>
      </c>
      <c r="E2196" s="26" t="s">
        <v>6443</v>
      </c>
    </row>
    <row r="2197" spans="1:5">
      <c r="A2197" s="26" t="s">
        <v>8239</v>
      </c>
      <c r="B2197" s="26" t="s">
        <v>7593</v>
      </c>
      <c r="C2197" s="26" t="s">
        <v>7594</v>
      </c>
      <c r="D2197" s="26" t="s">
        <v>6396</v>
      </c>
      <c r="E2197" s="26" t="s">
        <v>6443</v>
      </c>
    </row>
    <row r="2198" spans="1:5">
      <c r="A2198" s="26" t="s">
        <v>8239</v>
      </c>
      <c r="B2198" s="26" t="s">
        <v>2921</v>
      </c>
      <c r="C2198" s="26" t="s">
        <v>6473</v>
      </c>
      <c r="D2198" s="26" t="s">
        <v>6396</v>
      </c>
      <c r="E2198" s="26" t="s">
        <v>6395</v>
      </c>
    </row>
    <row r="2199" spans="1:5">
      <c r="A2199" s="26" t="s">
        <v>8239</v>
      </c>
      <c r="B2199" s="26" t="s">
        <v>2547</v>
      </c>
      <c r="C2199" s="26" t="s">
        <v>2548</v>
      </c>
      <c r="D2199" s="26" t="s">
        <v>6396</v>
      </c>
      <c r="E2199" s="26" t="s">
        <v>6395</v>
      </c>
    </row>
    <row r="2200" spans="1:5">
      <c r="A2200" s="26" t="s">
        <v>8239</v>
      </c>
      <c r="B2200" s="26" t="s">
        <v>8334</v>
      </c>
      <c r="C2200" s="26" t="s">
        <v>7327</v>
      </c>
      <c r="D2200" s="26" t="s">
        <v>6396</v>
      </c>
      <c r="E2200" s="26" t="s">
        <v>6395</v>
      </c>
    </row>
    <row r="2201" spans="1:5">
      <c r="A2201" s="26" t="s">
        <v>8239</v>
      </c>
      <c r="B2201" s="26" t="s">
        <v>409</v>
      </c>
      <c r="C2201" s="26" t="s">
        <v>410</v>
      </c>
      <c r="D2201" s="26" t="s">
        <v>6396</v>
      </c>
      <c r="E2201" s="26" t="s">
        <v>6395</v>
      </c>
    </row>
    <row r="2202" spans="1:5">
      <c r="A2202" s="26" t="s">
        <v>8239</v>
      </c>
      <c r="B2202" s="26" t="s">
        <v>1626</v>
      </c>
      <c r="C2202" s="26" t="s">
        <v>360</v>
      </c>
      <c r="D2202" s="26" t="s">
        <v>6396</v>
      </c>
      <c r="E2202" s="26" t="s">
        <v>6395</v>
      </c>
    </row>
    <row r="2203" spans="1:5">
      <c r="A2203" s="26" t="s">
        <v>8239</v>
      </c>
      <c r="B2203" s="26" t="s">
        <v>1949</v>
      </c>
      <c r="C2203" s="26" t="s">
        <v>1950</v>
      </c>
      <c r="D2203" s="26" t="s">
        <v>6396</v>
      </c>
      <c r="E2203" s="26" t="s">
        <v>6395</v>
      </c>
    </row>
    <row r="2204" spans="1:5">
      <c r="A2204" s="26" t="s">
        <v>8239</v>
      </c>
      <c r="B2204" s="26" t="s">
        <v>6995</v>
      </c>
      <c r="C2204" s="26" t="s">
        <v>7173</v>
      </c>
      <c r="D2204" s="26" t="s">
        <v>6396</v>
      </c>
      <c r="E2204" s="26" t="s">
        <v>6395</v>
      </c>
    </row>
    <row r="2205" spans="1:5">
      <c r="A2205" s="26" t="s">
        <v>8239</v>
      </c>
      <c r="B2205" s="26" t="s">
        <v>1044</v>
      </c>
      <c r="C2205" s="26" t="s">
        <v>154</v>
      </c>
      <c r="D2205" s="26" t="s">
        <v>6396</v>
      </c>
      <c r="E2205" s="26" t="s">
        <v>6395</v>
      </c>
    </row>
    <row r="2206" spans="1:5">
      <c r="A2206" s="26" t="s">
        <v>8239</v>
      </c>
      <c r="B2206" s="26" t="s">
        <v>7601</v>
      </c>
      <c r="C2206" s="26" t="s">
        <v>8335</v>
      </c>
      <c r="D2206" s="26" t="s">
        <v>6396</v>
      </c>
      <c r="E2206" s="26" t="s">
        <v>6395</v>
      </c>
    </row>
    <row r="2207" spans="1:5">
      <c r="A2207" s="26" t="s">
        <v>8239</v>
      </c>
      <c r="B2207" s="26" t="s">
        <v>7978</v>
      </c>
      <c r="C2207" s="26" t="s">
        <v>7205</v>
      </c>
      <c r="D2207" s="26" t="s">
        <v>6396</v>
      </c>
      <c r="E2207" s="26" t="s">
        <v>6443</v>
      </c>
    </row>
    <row r="2208" spans="1:5">
      <c r="A2208" s="26" t="s">
        <v>8239</v>
      </c>
      <c r="B2208" s="26" t="s">
        <v>2751</v>
      </c>
      <c r="C2208" s="26" t="s">
        <v>6815</v>
      </c>
      <c r="D2208" s="26" t="s">
        <v>6396</v>
      </c>
      <c r="E2208" s="26" t="s">
        <v>6395</v>
      </c>
    </row>
    <row r="2209" spans="1:6">
      <c r="A2209" s="26" t="s">
        <v>8239</v>
      </c>
      <c r="B2209" s="26" t="s">
        <v>8336</v>
      </c>
      <c r="C2209" s="26" t="s">
        <v>6473</v>
      </c>
      <c r="D2209" s="26" t="s">
        <v>6396</v>
      </c>
      <c r="E2209" s="26" t="s">
        <v>6395</v>
      </c>
    </row>
    <row r="2210" spans="1:6">
      <c r="A2210" s="26" t="s">
        <v>8239</v>
      </c>
      <c r="B2210" s="26" t="s">
        <v>8337</v>
      </c>
      <c r="C2210" s="26" t="s">
        <v>8338</v>
      </c>
      <c r="D2210" s="26" t="s">
        <v>6396</v>
      </c>
      <c r="E2210" s="26" t="s">
        <v>6443</v>
      </c>
    </row>
    <row r="2211" spans="1:6">
      <c r="A2211" s="26" t="s">
        <v>8239</v>
      </c>
      <c r="B2211" s="26" t="s">
        <v>2116</v>
      </c>
      <c r="C2211" s="26" t="s">
        <v>776</v>
      </c>
      <c r="D2211" s="26" t="s">
        <v>6396</v>
      </c>
      <c r="E2211" s="26" t="s">
        <v>6395</v>
      </c>
      <c r="F2211" s="26" t="s">
        <v>8130</v>
      </c>
    </row>
    <row r="2212" spans="1:6">
      <c r="A2212" s="26" t="s">
        <v>8239</v>
      </c>
      <c r="B2212" s="26" t="s">
        <v>7605</v>
      </c>
      <c r="C2212" s="26" t="s">
        <v>3319</v>
      </c>
      <c r="D2212" s="26" t="s">
        <v>6396</v>
      </c>
      <c r="E2212" s="26" t="s">
        <v>6395</v>
      </c>
    </row>
    <row r="2213" spans="1:6">
      <c r="A2213" s="26" t="s">
        <v>8239</v>
      </c>
      <c r="B2213" s="26" t="s">
        <v>6965</v>
      </c>
      <c r="C2213" s="26" t="s">
        <v>6560</v>
      </c>
      <c r="D2213" s="26" t="s">
        <v>6396</v>
      </c>
      <c r="E2213" s="26" t="s">
        <v>6395</v>
      </c>
    </row>
    <row r="2214" spans="1:6">
      <c r="A2214" s="26" t="s">
        <v>8239</v>
      </c>
      <c r="B2214" s="26" t="s">
        <v>2370</v>
      </c>
      <c r="C2214" s="26" t="s">
        <v>884</v>
      </c>
      <c r="D2214" s="26" t="s">
        <v>6396</v>
      </c>
      <c r="E2214" s="26" t="s">
        <v>6395</v>
      </c>
    </row>
    <row r="2215" spans="1:6">
      <c r="A2215" s="26" t="s">
        <v>8239</v>
      </c>
      <c r="B2215" s="26" t="s">
        <v>3005</v>
      </c>
      <c r="C2215" s="26" t="s">
        <v>782</v>
      </c>
      <c r="D2215" s="26" t="s">
        <v>6396</v>
      </c>
      <c r="E2215" s="26" t="s">
        <v>6395</v>
      </c>
    </row>
    <row r="2216" spans="1:6">
      <c r="A2216" s="26" t="s">
        <v>8239</v>
      </c>
      <c r="B2216" s="26" t="s">
        <v>6475</v>
      </c>
      <c r="C2216" s="26" t="s">
        <v>6473</v>
      </c>
      <c r="D2216" s="26" t="s">
        <v>6396</v>
      </c>
      <c r="E2216" s="26" t="s">
        <v>6395</v>
      </c>
    </row>
    <row r="2217" spans="1:6">
      <c r="A2217" s="26" t="s">
        <v>8239</v>
      </c>
      <c r="B2217" s="26" t="s">
        <v>2520</v>
      </c>
      <c r="C2217" s="26" t="s">
        <v>1545</v>
      </c>
      <c r="D2217" s="26" t="s">
        <v>6396</v>
      </c>
      <c r="E2217" s="26" t="s">
        <v>6395</v>
      </c>
    </row>
    <row r="2218" spans="1:6">
      <c r="A2218" s="26" t="s">
        <v>8239</v>
      </c>
      <c r="B2218" s="26" t="s">
        <v>6424</v>
      </c>
      <c r="C2218" s="26" t="s">
        <v>8339</v>
      </c>
      <c r="D2218" s="26" t="s">
        <v>6396</v>
      </c>
      <c r="E2218" s="26" t="s">
        <v>6395</v>
      </c>
    </row>
    <row r="2219" spans="1:6">
      <c r="A2219" s="26" t="s">
        <v>8239</v>
      </c>
      <c r="B2219" s="26" t="s">
        <v>2605</v>
      </c>
      <c r="C2219" s="26" t="s">
        <v>541</v>
      </c>
      <c r="D2219" s="26" t="s">
        <v>6396</v>
      </c>
      <c r="E2219" s="26" t="s">
        <v>6395</v>
      </c>
    </row>
    <row r="2220" spans="1:6">
      <c r="A2220" s="26" t="s">
        <v>8239</v>
      </c>
      <c r="B2220" s="26" t="s">
        <v>1216</v>
      </c>
      <c r="C2220" s="26" t="s">
        <v>1217</v>
      </c>
      <c r="D2220" s="26" t="s">
        <v>6396</v>
      </c>
      <c r="E2220" s="26" t="s">
        <v>6395</v>
      </c>
    </row>
    <row r="2221" spans="1:6">
      <c r="A2221" s="26" t="s">
        <v>8239</v>
      </c>
      <c r="B2221" s="26" t="s">
        <v>6488</v>
      </c>
      <c r="C2221" s="26" t="s">
        <v>1854</v>
      </c>
      <c r="D2221" s="26" t="s">
        <v>6396</v>
      </c>
      <c r="E2221" s="26" t="s">
        <v>6395</v>
      </c>
    </row>
    <row r="2222" spans="1:6">
      <c r="A2222" s="26" t="s">
        <v>8239</v>
      </c>
      <c r="B2222" s="26" t="s">
        <v>6719</v>
      </c>
      <c r="C2222" s="26" t="s">
        <v>7617</v>
      </c>
      <c r="D2222" s="26" t="s">
        <v>6396</v>
      </c>
      <c r="E2222" s="26" t="s">
        <v>6395</v>
      </c>
      <c r="F2222" s="26" t="s">
        <v>8248</v>
      </c>
    </row>
    <row r="2223" spans="1:6">
      <c r="A2223" s="26" t="s">
        <v>8239</v>
      </c>
      <c r="B2223" s="26" t="s">
        <v>1853</v>
      </c>
      <c r="C2223" s="26" t="s">
        <v>1854</v>
      </c>
      <c r="D2223" s="26" t="s">
        <v>6396</v>
      </c>
      <c r="E2223" s="26" t="s">
        <v>6395</v>
      </c>
      <c r="F2223" s="26" t="s">
        <v>8248</v>
      </c>
    </row>
    <row r="2224" spans="1:6">
      <c r="A2224" s="26" t="s">
        <v>8239</v>
      </c>
      <c r="B2224" s="26" t="s">
        <v>1984</v>
      </c>
      <c r="C2224" s="26" t="s">
        <v>541</v>
      </c>
      <c r="D2224" s="26" t="s">
        <v>6396</v>
      </c>
      <c r="E2224" s="26" t="s">
        <v>6395</v>
      </c>
    </row>
    <row r="2225" spans="1:6">
      <c r="A2225" s="26" t="s">
        <v>8239</v>
      </c>
      <c r="B2225" s="26" t="s">
        <v>8340</v>
      </c>
      <c r="C2225" s="26" t="s">
        <v>8341</v>
      </c>
      <c r="D2225" s="26" t="s">
        <v>6396</v>
      </c>
      <c r="E2225" s="26" t="s">
        <v>6395</v>
      </c>
    </row>
    <row r="2226" spans="1:6">
      <c r="A2226" s="26" t="s">
        <v>8239</v>
      </c>
      <c r="B2226" s="26" t="s">
        <v>8342</v>
      </c>
      <c r="C2226" s="26" t="s">
        <v>8343</v>
      </c>
      <c r="D2226" s="26" t="s">
        <v>6396</v>
      </c>
      <c r="E2226" s="26" t="s">
        <v>6395</v>
      </c>
    </row>
    <row r="2227" spans="1:6">
      <c r="A2227" s="26" t="s">
        <v>8239</v>
      </c>
      <c r="B2227" s="26" t="s">
        <v>8344</v>
      </c>
      <c r="C2227" s="26" t="s">
        <v>238</v>
      </c>
      <c r="D2227" s="26" t="s">
        <v>6396</v>
      </c>
      <c r="E2227" s="26" t="s">
        <v>6443</v>
      </c>
    </row>
    <row r="2228" spans="1:6">
      <c r="A2228" s="26" t="s">
        <v>8239</v>
      </c>
      <c r="B2228" s="26" t="s">
        <v>834</v>
      </c>
      <c r="C2228" s="26" t="s">
        <v>8345</v>
      </c>
      <c r="D2228" s="26" t="s">
        <v>6396</v>
      </c>
      <c r="E2228" s="26" t="s">
        <v>6443</v>
      </c>
    </row>
    <row r="2229" spans="1:6">
      <c r="A2229" s="26" t="s">
        <v>8239</v>
      </c>
      <c r="B2229" s="26" t="s">
        <v>8346</v>
      </c>
      <c r="D2229" s="26" t="s">
        <v>6396</v>
      </c>
      <c r="E2229" s="26" t="s">
        <v>6432</v>
      </c>
      <c r="F2229" s="26" t="s">
        <v>8243</v>
      </c>
    </row>
    <row r="2230" spans="1:6">
      <c r="A2230" s="26" t="s">
        <v>8239</v>
      </c>
      <c r="B2230" s="26" t="s">
        <v>8347</v>
      </c>
      <c r="C2230" s="26" t="s">
        <v>8348</v>
      </c>
      <c r="D2230" s="26" t="s">
        <v>6396</v>
      </c>
      <c r="E2230" s="26" t="s">
        <v>6443</v>
      </c>
    </row>
    <row r="2231" spans="1:6">
      <c r="A2231" s="26" t="s">
        <v>8239</v>
      </c>
      <c r="B2231" s="26" t="s">
        <v>854</v>
      </c>
      <c r="C2231" s="26" t="s">
        <v>3162</v>
      </c>
      <c r="D2231" s="26" t="s">
        <v>6396</v>
      </c>
      <c r="E2231" s="26" t="s">
        <v>6395</v>
      </c>
    </row>
    <row r="2232" spans="1:6">
      <c r="A2232" s="26" t="s">
        <v>8239</v>
      </c>
      <c r="B2232" s="26" t="s">
        <v>208</v>
      </c>
      <c r="C2232" s="26" t="s">
        <v>209</v>
      </c>
      <c r="D2232" s="26" t="s">
        <v>6396</v>
      </c>
      <c r="E2232" s="26" t="s">
        <v>6443</v>
      </c>
    </row>
    <row r="2233" spans="1:6">
      <c r="A2233" s="26" t="s">
        <v>8239</v>
      </c>
      <c r="B2233" s="26" t="s">
        <v>7637</v>
      </c>
      <c r="C2233" s="26" t="s">
        <v>2208</v>
      </c>
      <c r="D2233" s="26" t="s">
        <v>6396</v>
      </c>
      <c r="E2233" s="26" t="s">
        <v>6443</v>
      </c>
    </row>
    <row r="2234" spans="1:6">
      <c r="A2234" s="26" t="s">
        <v>8239</v>
      </c>
      <c r="B2234" s="26" t="s">
        <v>8349</v>
      </c>
      <c r="C2234" s="26" t="s">
        <v>626</v>
      </c>
      <c r="D2234" s="26" t="s">
        <v>6396</v>
      </c>
      <c r="E2234" s="26" t="s">
        <v>6395</v>
      </c>
    </row>
    <row r="2235" spans="1:6">
      <c r="A2235" s="26" t="s">
        <v>8239</v>
      </c>
      <c r="B2235" s="26" t="s">
        <v>7639</v>
      </c>
      <c r="C2235" s="26" t="s">
        <v>782</v>
      </c>
      <c r="D2235" s="26" t="s">
        <v>6396</v>
      </c>
      <c r="E2235" s="26" t="s">
        <v>6395</v>
      </c>
    </row>
    <row r="2236" spans="1:6">
      <c r="A2236" s="26" t="s">
        <v>8239</v>
      </c>
      <c r="B2236" s="26" t="s">
        <v>8350</v>
      </c>
      <c r="C2236" s="26" t="s">
        <v>8351</v>
      </c>
      <c r="D2236" s="26" t="s">
        <v>6396</v>
      </c>
      <c r="E2236" s="26" t="s">
        <v>6443</v>
      </c>
    </row>
    <row r="2237" spans="1:6">
      <c r="A2237" s="26" t="s">
        <v>8239</v>
      </c>
      <c r="B2237" s="26" t="s">
        <v>7080</v>
      </c>
      <c r="C2237" s="26" t="s">
        <v>7078</v>
      </c>
      <c r="D2237" s="26" t="s">
        <v>6396</v>
      </c>
      <c r="E2237" s="26" t="s">
        <v>6395</v>
      </c>
    </row>
    <row r="2238" spans="1:6">
      <c r="A2238" s="26" t="s">
        <v>8239</v>
      </c>
      <c r="B2238" s="26" t="s">
        <v>8122</v>
      </c>
      <c r="C2238" s="26" t="s">
        <v>541</v>
      </c>
      <c r="D2238" s="26" t="s">
        <v>6396</v>
      </c>
      <c r="E2238" s="26" t="s">
        <v>6395</v>
      </c>
      <c r="F2238" s="26" t="s">
        <v>8320</v>
      </c>
    </row>
    <row r="2239" spans="1:6">
      <c r="A2239" s="26" t="s">
        <v>8239</v>
      </c>
      <c r="B2239" s="26" t="s">
        <v>8352</v>
      </c>
      <c r="C2239" s="26" t="s">
        <v>8353</v>
      </c>
      <c r="D2239" s="26" t="s">
        <v>6396</v>
      </c>
      <c r="E2239" s="26" t="s">
        <v>8286</v>
      </c>
    </row>
    <row r="2240" spans="1:6">
      <c r="A2240" s="26" t="s">
        <v>8239</v>
      </c>
      <c r="B2240" s="26" t="s">
        <v>6887</v>
      </c>
      <c r="C2240" s="26" t="s">
        <v>2198</v>
      </c>
      <c r="D2240" s="26" t="s">
        <v>6396</v>
      </c>
      <c r="E2240" s="26" t="s">
        <v>6395</v>
      </c>
    </row>
    <row r="2241" spans="1:5">
      <c r="A2241" s="26" t="s">
        <v>8239</v>
      </c>
      <c r="B2241" s="26" t="s">
        <v>6582</v>
      </c>
      <c r="C2241" s="26" t="s">
        <v>6581</v>
      </c>
      <c r="D2241" s="26" t="s">
        <v>6396</v>
      </c>
      <c r="E2241" s="26" t="s">
        <v>6395</v>
      </c>
    </row>
    <row r="2242" spans="1:5">
      <c r="A2242" s="26" t="s">
        <v>8239</v>
      </c>
      <c r="B2242" s="26" t="s">
        <v>6567</v>
      </c>
      <c r="C2242" s="26" t="s">
        <v>8354</v>
      </c>
      <c r="D2242" s="26" t="s">
        <v>6396</v>
      </c>
      <c r="E2242" s="26" t="s">
        <v>6395</v>
      </c>
    </row>
    <row r="2243" spans="1:5">
      <c r="A2243" s="26" t="s">
        <v>8239</v>
      </c>
      <c r="B2243" s="26" t="s">
        <v>7258</v>
      </c>
      <c r="C2243" s="26" t="s">
        <v>7257</v>
      </c>
      <c r="D2243" s="26" t="s">
        <v>6396</v>
      </c>
      <c r="E2243" s="26" t="s">
        <v>6443</v>
      </c>
    </row>
    <row r="2244" spans="1:5">
      <c r="A2244" s="26" t="s">
        <v>8239</v>
      </c>
      <c r="B2244" s="26" t="s">
        <v>2524</v>
      </c>
      <c r="C2244" s="26" t="s">
        <v>1545</v>
      </c>
      <c r="D2244" s="26" t="s">
        <v>6396</v>
      </c>
      <c r="E2244" s="26" t="s">
        <v>6395</v>
      </c>
    </row>
    <row r="2245" spans="1:5">
      <c r="A2245" s="26" t="s">
        <v>8239</v>
      </c>
      <c r="B2245" s="26" t="s">
        <v>6632</v>
      </c>
      <c r="C2245" s="26" t="s">
        <v>679</v>
      </c>
      <c r="D2245" s="26" t="s">
        <v>6396</v>
      </c>
      <c r="E2245" s="26" t="s">
        <v>6395</v>
      </c>
    </row>
    <row r="2246" spans="1:5">
      <c r="A2246" s="26" t="s">
        <v>8239</v>
      </c>
      <c r="B2246" s="26" t="s">
        <v>36</v>
      </c>
      <c r="C2246" s="26" t="s">
        <v>37</v>
      </c>
      <c r="D2246" s="26" t="s">
        <v>6396</v>
      </c>
      <c r="E2246" s="26" t="s">
        <v>6395</v>
      </c>
    </row>
    <row r="2247" spans="1:5">
      <c r="A2247" s="26" t="s">
        <v>8239</v>
      </c>
      <c r="B2247" s="26" t="s">
        <v>8355</v>
      </c>
      <c r="C2247" s="26" t="s">
        <v>8356</v>
      </c>
      <c r="D2247" s="26" t="s">
        <v>6396</v>
      </c>
      <c r="E2247" s="26" t="s">
        <v>6395</v>
      </c>
    </row>
    <row r="2248" spans="1:5">
      <c r="A2248" s="26" t="s">
        <v>8239</v>
      </c>
      <c r="B2248" s="26" t="s">
        <v>6471</v>
      </c>
      <c r="C2248" s="26" t="s">
        <v>7538</v>
      </c>
      <c r="D2248" s="26" t="s">
        <v>6396</v>
      </c>
      <c r="E2248" s="26" t="s">
        <v>6395</v>
      </c>
    </row>
    <row r="2249" spans="1:5">
      <c r="A2249" s="26" t="s">
        <v>8239</v>
      </c>
      <c r="B2249" s="26" t="s">
        <v>8357</v>
      </c>
      <c r="C2249" s="26" t="s">
        <v>8358</v>
      </c>
      <c r="D2249" s="26" t="s">
        <v>6396</v>
      </c>
      <c r="E2249" s="26" t="s">
        <v>8286</v>
      </c>
    </row>
    <row r="2250" spans="1:5">
      <c r="A2250" s="26" t="s">
        <v>8239</v>
      </c>
      <c r="B2250" s="26" t="s">
        <v>8359</v>
      </c>
      <c r="C2250" s="26" t="s">
        <v>7830</v>
      </c>
      <c r="D2250" s="26" t="s">
        <v>6396</v>
      </c>
      <c r="E2250" s="26" t="s">
        <v>8286</v>
      </c>
    </row>
    <row r="2251" spans="1:5">
      <c r="A2251" s="26" t="s">
        <v>8239</v>
      </c>
      <c r="B2251" s="26" t="s">
        <v>8360</v>
      </c>
      <c r="C2251" s="26" t="s">
        <v>7078</v>
      </c>
      <c r="D2251" s="26" t="s">
        <v>6396</v>
      </c>
      <c r="E2251" s="26" t="s">
        <v>6395</v>
      </c>
    </row>
    <row r="2252" spans="1:5">
      <c r="A2252" s="26" t="s">
        <v>8239</v>
      </c>
      <c r="B2252" s="26" t="s">
        <v>8361</v>
      </c>
      <c r="C2252" s="26" t="s">
        <v>6473</v>
      </c>
      <c r="D2252" s="26" t="s">
        <v>6396</v>
      </c>
      <c r="E2252" s="26" t="s">
        <v>6395</v>
      </c>
    </row>
    <row r="2253" spans="1:5">
      <c r="A2253" s="26" t="s">
        <v>8239</v>
      </c>
      <c r="B2253" s="26" t="s">
        <v>1024</v>
      </c>
      <c r="C2253" s="26" t="s">
        <v>8362</v>
      </c>
      <c r="D2253" s="26" t="s">
        <v>6396</v>
      </c>
      <c r="E2253" s="26" t="s">
        <v>8363</v>
      </c>
    </row>
    <row r="2254" spans="1:5">
      <c r="A2254" s="26" t="s">
        <v>8239</v>
      </c>
      <c r="B2254" s="26" t="s">
        <v>6452</v>
      </c>
      <c r="C2254" s="26" t="s">
        <v>8199</v>
      </c>
      <c r="D2254" s="26" t="s">
        <v>6396</v>
      </c>
      <c r="E2254" s="26" t="s">
        <v>6395</v>
      </c>
    </row>
    <row r="2255" spans="1:5">
      <c r="A2255" s="26" t="s">
        <v>8239</v>
      </c>
      <c r="B2255" s="26" t="s">
        <v>451</v>
      </c>
      <c r="C2255" s="26" t="s">
        <v>8364</v>
      </c>
      <c r="D2255" s="26" t="s">
        <v>6396</v>
      </c>
      <c r="E2255" s="26" t="s">
        <v>6395</v>
      </c>
    </row>
    <row r="2256" spans="1:5">
      <c r="A2256" s="26" t="s">
        <v>8239</v>
      </c>
      <c r="B2256" s="26" t="s">
        <v>3495</v>
      </c>
      <c r="C2256" s="26" t="s">
        <v>7003</v>
      </c>
      <c r="D2256" s="26" t="s">
        <v>6396</v>
      </c>
      <c r="E2256" s="26" t="s">
        <v>6395</v>
      </c>
    </row>
    <row r="2257" spans="1:6">
      <c r="A2257" s="26" t="s">
        <v>8239</v>
      </c>
      <c r="B2257" s="26" t="s">
        <v>2184</v>
      </c>
      <c r="C2257" s="26" t="s">
        <v>6642</v>
      </c>
      <c r="D2257" s="26" t="s">
        <v>6396</v>
      </c>
      <c r="E2257" s="26" t="s">
        <v>6395</v>
      </c>
    </row>
    <row r="2258" spans="1:6">
      <c r="A2258" s="26" t="s">
        <v>8239</v>
      </c>
      <c r="B2258" s="26" t="s">
        <v>6767</v>
      </c>
      <c r="C2258" s="26" t="s">
        <v>6407</v>
      </c>
      <c r="D2258" s="26" t="s">
        <v>6396</v>
      </c>
      <c r="E2258" s="26" t="s">
        <v>6395</v>
      </c>
    </row>
    <row r="2259" spans="1:6">
      <c r="A2259" s="26" t="s">
        <v>8239</v>
      </c>
      <c r="B2259" s="26" t="s">
        <v>1388</v>
      </c>
      <c r="C2259" s="26" t="s">
        <v>146</v>
      </c>
      <c r="D2259" s="26" t="s">
        <v>6396</v>
      </c>
      <c r="E2259" s="26" t="s">
        <v>6395</v>
      </c>
    </row>
    <row r="2260" spans="1:6">
      <c r="A2260" s="26" t="s">
        <v>8239</v>
      </c>
      <c r="B2260" s="26" t="s">
        <v>8365</v>
      </c>
      <c r="C2260" s="26" t="s">
        <v>8366</v>
      </c>
      <c r="D2260" s="26" t="s">
        <v>6396</v>
      </c>
      <c r="E2260" s="26" t="s">
        <v>6443</v>
      </c>
    </row>
    <row r="2261" spans="1:6">
      <c r="A2261" s="26" t="s">
        <v>8239</v>
      </c>
      <c r="B2261" s="26" t="s">
        <v>6530</v>
      </c>
      <c r="C2261" s="26" t="s">
        <v>541</v>
      </c>
      <c r="D2261" s="26" t="s">
        <v>6396</v>
      </c>
      <c r="E2261" s="26" t="s">
        <v>6395</v>
      </c>
    </row>
    <row r="2262" spans="1:6">
      <c r="A2262" s="26" t="s">
        <v>8239</v>
      </c>
      <c r="B2262" s="26" t="s">
        <v>8367</v>
      </c>
      <c r="C2262" s="26" t="s">
        <v>7173</v>
      </c>
      <c r="D2262" s="26" t="s">
        <v>6396</v>
      </c>
      <c r="E2262" s="26" t="s">
        <v>6395</v>
      </c>
    </row>
    <row r="2263" spans="1:6">
      <c r="A2263" s="26" t="s">
        <v>8239</v>
      </c>
      <c r="B2263" s="26" t="s">
        <v>7651</v>
      </c>
      <c r="C2263" s="26" t="s">
        <v>7652</v>
      </c>
      <c r="D2263" s="26" t="s">
        <v>6396</v>
      </c>
      <c r="E2263" s="26" t="s">
        <v>6443</v>
      </c>
    </row>
    <row r="2264" spans="1:6">
      <c r="A2264" s="26" t="s">
        <v>8239</v>
      </c>
      <c r="B2264" s="26" t="s">
        <v>1447</v>
      </c>
      <c r="C2264" s="26" t="s">
        <v>509</v>
      </c>
      <c r="D2264" s="26" t="s">
        <v>6396</v>
      </c>
      <c r="E2264" s="26" t="s">
        <v>6395</v>
      </c>
    </row>
    <row r="2265" spans="1:6">
      <c r="A2265" s="26" t="s">
        <v>8239</v>
      </c>
      <c r="B2265" s="26" t="s">
        <v>192</v>
      </c>
      <c r="C2265" s="26" t="s">
        <v>193</v>
      </c>
      <c r="D2265" s="26" t="s">
        <v>6396</v>
      </c>
      <c r="E2265" s="26" t="s">
        <v>6479</v>
      </c>
      <c r="F2265" s="26" t="s">
        <v>8248</v>
      </c>
    </row>
    <row r="2266" spans="1:6">
      <c r="A2266" s="26" t="s">
        <v>8239</v>
      </c>
      <c r="B2266" s="26" t="s">
        <v>8368</v>
      </c>
      <c r="C2266" s="26" t="s">
        <v>8275</v>
      </c>
      <c r="D2266" s="26" t="s">
        <v>6396</v>
      </c>
      <c r="E2266" s="26" t="s">
        <v>6395</v>
      </c>
    </row>
    <row r="2267" spans="1:6">
      <c r="A2267" s="26" t="s">
        <v>8239</v>
      </c>
      <c r="B2267" s="26" t="s">
        <v>7664</v>
      </c>
      <c r="C2267" s="26" t="s">
        <v>8326</v>
      </c>
      <c r="D2267" s="26" t="s">
        <v>6396</v>
      </c>
      <c r="E2267" s="26" t="s">
        <v>6395</v>
      </c>
    </row>
    <row r="2268" spans="1:6">
      <c r="A2268" s="26" t="s">
        <v>8239</v>
      </c>
      <c r="B2268" s="26" t="s">
        <v>1293</v>
      </c>
      <c r="C2268" s="26" t="s">
        <v>360</v>
      </c>
      <c r="D2268" s="26" t="s">
        <v>6396</v>
      </c>
      <c r="E2268" s="26" t="s">
        <v>6395</v>
      </c>
    </row>
    <row r="2269" spans="1:6">
      <c r="A2269" s="26" t="s">
        <v>8239</v>
      </c>
      <c r="B2269" s="26" t="s">
        <v>6963</v>
      </c>
      <c r="C2269" s="26" t="s">
        <v>6560</v>
      </c>
      <c r="D2269" s="26" t="s">
        <v>6396</v>
      </c>
      <c r="E2269" s="26" t="s">
        <v>6443</v>
      </c>
    </row>
    <row r="2270" spans="1:6">
      <c r="A2270" s="26" t="s">
        <v>8239</v>
      </c>
      <c r="B2270" s="26" t="s">
        <v>6913</v>
      </c>
      <c r="C2270" s="26" t="s">
        <v>6545</v>
      </c>
      <c r="D2270" s="26" t="s">
        <v>6396</v>
      </c>
      <c r="E2270" s="26" t="s">
        <v>6443</v>
      </c>
    </row>
    <row r="2271" spans="1:6">
      <c r="A2271" s="26" t="s">
        <v>8239</v>
      </c>
      <c r="B2271" s="26" t="s">
        <v>8369</v>
      </c>
      <c r="C2271" s="26" t="s">
        <v>6445</v>
      </c>
      <c r="D2271" s="26" t="s">
        <v>6396</v>
      </c>
      <c r="E2271" s="26" t="s">
        <v>6395</v>
      </c>
    </row>
    <row r="2272" spans="1:6">
      <c r="A2272" s="26" t="s">
        <v>8239</v>
      </c>
      <c r="B2272" s="26" t="s">
        <v>6612</v>
      </c>
      <c r="C2272" s="26" t="s">
        <v>6611</v>
      </c>
      <c r="D2272" s="26" t="s">
        <v>6396</v>
      </c>
      <c r="E2272" s="26" t="s">
        <v>6395</v>
      </c>
    </row>
    <row r="2273" spans="1:6">
      <c r="A2273" s="26" t="s">
        <v>8239</v>
      </c>
      <c r="B2273" s="26" t="s">
        <v>655</v>
      </c>
      <c r="C2273" s="26" t="s">
        <v>466</v>
      </c>
      <c r="D2273" s="26" t="s">
        <v>6396</v>
      </c>
      <c r="E2273" s="26" t="s">
        <v>6395</v>
      </c>
    </row>
    <row r="2274" spans="1:6">
      <c r="A2274" s="26" t="s">
        <v>8239</v>
      </c>
      <c r="B2274" s="26" t="s">
        <v>720</v>
      </c>
      <c r="C2274" s="26" t="s">
        <v>721</v>
      </c>
      <c r="D2274" s="26" t="s">
        <v>6396</v>
      </c>
      <c r="E2274" s="26" t="s">
        <v>6395</v>
      </c>
    </row>
    <row r="2275" spans="1:6">
      <c r="A2275" s="26" t="s">
        <v>8239</v>
      </c>
      <c r="B2275" s="26" t="s">
        <v>8370</v>
      </c>
      <c r="D2275" s="26" t="s">
        <v>6480</v>
      </c>
      <c r="E2275" s="26" t="s">
        <v>6395</v>
      </c>
    </row>
    <row r="2276" spans="1:6">
      <c r="A2276" s="26" t="s">
        <v>8239</v>
      </c>
      <c r="B2276" s="26" t="s">
        <v>2019</v>
      </c>
      <c r="C2276" s="26" t="s">
        <v>2020</v>
      </c>
      <c r="D2276" s="26" t="s">
        <v>6396</v>
      </c>
      <c r="E2276" s="26" t="s">
        <v>6395</v>
      </c>
    </row>
    <row r="2277" spans="1:6">
      <c r="A2277" s="26" t="s">
        <v>8239</v>
      </c>
      <c r="B2277" s="26" t="s">
        <v>1317</v>
      </c>
      <c r="C2277" s="26" t="s">
        <v>142</v>
      </c>
      <c r="D2277" s="26" t="s">
        <v>6396</v>
      </c>
      <c r="E2277" s="26" t="s">
        <v>6395</v>
      </c>
    </row>
    <row r="2278" spans="1:6">
      <c r="A2278" s="26" t="s">
        <v>8239</v>
      </c>
      <c r="B2278" s="26" t="s">
        <v>8371</v>
      </c>
      <c r="C2278" s="26" t="s">
        <v>8372</v>
      </c>
      <c r="D2278" s="26" t="s">
        <v>6396</v>
      </c>
      <c r="E2278" s="26" t="s">
        <v>8286</v>
      </c>
    </row>
    <row r="2279" spans="1:6">
      <c r="A2279" s="26" t="s">
        <v>8239</v>
      </c>
      <c r="B2279" s="26" t="s">
        <v>8373</v>
      </c>
      <c r="C2279" s="26" t="s">
        <v>27</v>
      </c>
      <c r="D2279" s="26" t="s">
        <v>6396</v>
      </c>
      <c r="E2279" s="26" t="s">
        <v>6395</v>
      </c>
    </row>
    <row r="2280" spans="1:6">
      <c r="A2280" s="26" t="s">
        <v>8239</v>
      </c>
      <c r="B2280" s="26" t="s">
        <v>337</v>
      </c>
      <c r="C2280" s="26" t="s">
        <v>333</v>
      </c>
      <c r="D2280" s="26" t="s">
        <v>6396</v>
      </c>
      <c r="E2280" s="26" t="s">
        <v>6432</v>
      </c>
      <c r="F2280" s="26" t="s">
        <v>8243</v>
      </c>
    </row>
    <row r="2281" spans="1:6">
      <c r="A2281" s="26" t="s">
        <v>8239</v>
      </c>
      <c r="B2281" s="26" t="s">
        <v>7669</v>
      </c>
      <c r="C2281" s="26" t="s">
        <v>7596</v>
      </c>
      <c r="D2281" s="26" t="s">
        <v>6396</v>
      </c>
      <c r="E2281" s="26" t="s">
        <v>6395</v>
      </c>
    </row>
    <row r="2282" spans="1:6">
      <c r="A2282" s="26" t="s">
        <v>8239</v>
      </c>
      <c r="B2282" s="26" t="s">
        <v>7670</v>
      </c>
      <c r="C2282" s="26" t="s">
        <v>1545</v>
      </c>
      <c r="D2282" s="26" t="s">
        <v>6396</v>
      </c>
      <c r="E2282" s="26" t="s">
        <v>6395</v>
      </c>
    </row>
    <row r="2283" spans="1:6">
      <c r="A2283" s="26" t="s">
        <v>8239</v>
      </c>
      <c r="B2283" s="26" t="s">
        <v>2767</v>
      </c>
      <c r="C2283" s="26" t="s">
        <v>1274</v>
      </c>
      <c r="D2283" s="26" t="s">
        <v>6396</v>
      </c>
      <c r="E2283" s="26" t="s">
        <v>6395</v>
      </c>
    </row>
    <row r="2284" spans="1:6">
      <c r="A2284" s="26" t="s">
        <v>8239</v>
      </c>
      <c r="B2284" s="26" t="s">
        <v>6408</v>
      </c>
      <c r="C2284" s="26" t="s">
        <v>6407</v>
      </c>
      <c r="D2284" s="26" t="s">
        <v>6396</v>
      </c>
      <c r="E2284" s="26" t="s">
        <v>6395</v>
      </c>
    </row>
    <row r="2285" spans="1:6">
      <c r="A2285" s="26" t="s">
        <v>8239</v>
      </c>
      <c r="B2285" s="26" t="s">
        <v>8374</v>
      </c>
      <c r="C2285" s="26" t="s">
        <v>8375</v>
      </c>
      <c r="D2285" s="26" t="s">
        <v>6396</v>
      </c>
      <c r="E2285" s="26" t="s">
        <v>6395</v>
      </c>
    </row>
    <row r="2286" spans="1:6">
      <c r="A2286" s="26" t="s">
        <v>8239</v>
      </c>
      <c r="B2286" s="26" t="s">
        <v>7671</v>
      </c>
      <c r="C2286" s="26" t="s">
        <v>6545</v>
      </c>
      <c r="D2286" s="26" t="s">
        <v>6396</v>
      </c>
      <c r="E2286" s="26" t="s">
        <v>6443</v>
      </c>
    </row>
    <row r="2287" spans="1:6">
      <c r="A2287" s="26" t="s">
        <v>8239</v>
      </c>
      <c r="B2287" s="26" t="s">
        <v>7030</v>
      </c>
      <c r="C2287" s="26" t="s">
        <v>227</v>
      </c>
      <c r="D2287" s="26" t="s">
        <v>6396</v>
      </c>
      <c r="E2287" s="26" t="s">
        <v>6395</v>
      </c>
    </row>
    <row r="2288" spans="1:6">
      <c r="A2288" s="26" t="s">
        <v>8239</v>
      </c>
      <c r="B2288" s="26" t="s">
        <v>2395</v>
      </c>
      <c r="C2288" s="26" t="s">
        <v>679</v>
      </c>
      <c r="D2288" s="26" t="s">
        <v>6396</v>
      </c>
      <c r="E2288" s="26" t="s">
        <v>6395</v>
      </c>
    </row>
    <row r="2289" spans="1:5">
      <c r="A2289" s="26" t="s">
        <v>8239</v>
      </c>
      <c r="B2289" s="26" t="s">
        <v>6749</v>
      </c>
      <c r="C2289" s="26" t="s">
        <v>884</v>
      </c>
      <c r="D2289" s="26" t="s">
        <v>6396</v>
      </c>
      <c r="E2289" s="26" t="s">
        <v>8286</v>
      </c>
    </row>
    <row r="2290" spans="1:5">
      <c r="A2290" s="26" t="s">
        <v>8239</v>
      </c>
      <c r="B2290" s="26" t="s">
        <v>716</v>
      </c>
      <c r="C2290" s="26" t="s">
        <v>509</v>
      </c>
      <c r="D2290" s="26" t="s">
        <v>6396</v>
      </c>
      <c r="E2290" s="26" t="s">
        <v>6395</v>
      </c>
    </row>
    <row r="2291" spans="1:5">
      <c r="A2291" s="26" t="s">
        <v>8239</v>
      </c>
      <c r="B2291" s="26" t="s">
        <v>8376</v>
      </c>
      <c r="C2291" s="26" t="s">
        <v>1776</v>
      </c>
      <c r="D2291" s="26" t="s">
        <v>6396</v>
      </c>
      <c r="E2291" s="26" t="s">
        <v>6395</v>
      </c>
    </row>
    <row r="2292" spans="1:5">
      <c r="A2292" s="26" t="s">
        <v>8239</v>
      </c>
      <c r="B2292" s="26" t="s">
        <v>7682</v>
      </c>
      <c r="C2292" s="26" t="s">
        <v>7078</v>
      </c>
      <c r="D2292" s="26" t="s">
        <v>6396</v>
      </c>
      <c r="E2292" s="26" t="s">
        <v>6395</v>
      </c>
    </row>
    <row r="2293" spans="1:5">
      <c r="A2293" s="26" t="s">
        <v>8239</v>
      </c>
      <c r="B2293" s="26" t="s">
        <v>8377</v>
      </c>
      <c r="C2293" s="26" t="s">
        <v>976</v>
      </c>
      <c r="D2293" s="26" t="s">
        <v>6396</v>
      </c>
      <c r="E2293" s="26" t="s">
        <v>6395</v>
      </c>
    </row>
    <row r="2294" spans="1:5">
      <c r="A2294" s="26" t="s">
        <v>8239</v>
      </c>
      <c r="B2294" s="26" t="s">
        <v>7683</v>
      </c>
      <c r="C2294" s="26" t="s">
        <v>7684</v>
      </c>
      <c r="D2294" s="26" t="s">
        <v>6396</v>
      </c>
      <c r="E2294" s="26" t="s">
        <v>6443</v>
      </c>
    </row>
    <row r="2295" spans="1:5">
      <c r="A2295" s="26" t="s">
        <v>8239</v>
      </c>
      <c r="B2295" s="26" t="s">
        <v>8378</v>
      </c>
      <c r="C2295" s="26" t="s">
        <v>8379</v>
      </c>
      <c r="D2295" s="26" t="s">
        <v>6480</v>
      </c>
      <c r="E2295" s="26" t="s">
        <v>6395</v>
      </c>
    </row>
    <row r="2296" spans="1:5">
      <c r="A2296" s="26" t="s">
        <v>8239</v>
      </c>
      <c r="B2296" s="26" t="s">
        <v>8380</v>
      </c>
      <c r="C2296" s="26" t="s">
        <v>6783</v>
      </c>
      <c r="D2296" s="26" t="s">
        <v>6396</v>
      </c>
      <c r="E2296" s="26" t="s">
        <v>6443</v>
      </c>
    </row>
    <row r="2297" spans="1:5">
      <c r="A2297" s="26" t="s">
        <v>8239</v>
      </c>
      <c r="B2297" s="26" t="s">
        <v>7040</v>
      </c>
      <c r="C2297" s="26" t="s">
        <v>524</v>
      </c>
      <c r="D2297" s="26" t="s">
        <v>6396</v>
      </c>
      <c r="E2297" s="26" t="s">
        <v>6395</v>
      </c>
    </row>
    <row r="2298" spans="1:5">
      <c r="A2298" s="26" t="s">
        <v>8239</v>
      </c>
      <c r="B2298" s="26" t="s">
        <v>6764</v>
      </c>
      <c r="C2298" s="26" t="s">
        <v>6763</v>
      </c>
      <c r="D2298" s="26" t="s">
        <v>6396</v>
      </c>
      <c r="E2298" s="26" t="s">
        <v>6395</v>
      </c>
    </row>
    <row r="2299" spans="1:5">
      <c r="A2299" s="26" t="s">
        <v>8239</v>
      </c>
      <c r="B2299" s="26" t="s">
        <v>8002</v>
      </c>
      <c r="C2299" s="26" t="s">
        <v>6815</v>
      </c>
      <c r="D2299" s="26" t="s">
        <v>6396</v>
      </c>
      <c r="E2299" s="26" t="s">
        <v>6443</v>
      </c>
    </row>
    <row r="2300" spans="1:5">
      <c r="A2300" s="26" t="s">
        <v>8239</v>
      </c>
      <c r="B2300" s="26" t="s">
        <v>2588</v>
      </c>
      <c r="C2300" s="26" t="s">
        <v>1030</v>
      </c>
      <c r="D2300" s="26" t="s">
        <v>6396</v>
      </c>
      <c r="E2300" s="26" t="s">
        <v>6395</v>
      </c>
    </row>
    <row r="2301" spans="1:5">
      <c r="A2301" s="26" t="s">
        <v>8239</v>
      </c>
      <c r="B2301" s="26" t="s">
        <v>8381</v>
      </c>
      <c r="C2301" s="26" t="s">
        <v>8382</v>
      </c>
      <c r="D2301" s="26" t="s">
        <v>6396</v>
      </c>
      <c r="E2301" s="26" t="s">
        <v>6395</v>
      </c>
    </row>
    <row r="2302" spans="1:5">
      <c r="A2302" s="26" t="s">
        <v>8239</v>
      </c>
      <c r="B2302" s="26" t="s">
        <v>3278</v>
      </c>
      <c r="C2302" s="26" t="s">
        <v>8383</v>
      </c>
      <c r="D2302" s="26" t="s">
        <v>6396</v>
      </c>
      <c r="E2302" s="26" t="s">
        <v>6411</v>
      </c>
    </row>
    <row r="2303" spans="1:5">
      <c r="A2303" s="26" t="s">
        <v>8239</v>
      </c>
      <c r="B2303" s="26" t="s">
        <v>8384</v>
      </c>
      <c r="C2303" s="26" t="s">
        <v>1783</v>
      </c>
      <c r="D2303" s="26" t="s">
        <v>6396</v>
      </c>
      <c r="E2303" s="26" t="s">
        <v>6443</v>
      </c>
    </row>
    <row r="2304" spans="1:5">
      <c r="A2304" s="26" t="s">
        <v>8239</v>
      </c>
      <c r="B2304" s="26" t="s">
        <v>8235</v>
      </c>
      <c r="C2304" s="26" t="s">
        <v>509</v>
      </c>
      <c r="D2304" s="26" t="s">
        <v>6396</v>
      </c>
      <c r="E2304" s="26" t="s">
        <v>6395</v>
      </c>
    </row>
    <row r="2305" spans="1:6">
      <c r="A2305" s="26" t="s">
        <v>8239</v>
      </c>
      <c r="B2305" s="26" t="s">
        <v>8385</v>
      </c>
      <c r="C2305" s="26" t="s">
        <v>8262</v>
      </c>
      <c r="D2305" s="26" t="s">
        <v>6396</v>
      </c>
      <c r="E2305" s="26" t="s">
        <v>6395</v>
      </c>
    </row>
    <row r="2306" spans="1:6">
      <c r="A2306" s="26" t="s">
        <v>8239</v>
      </c>
      <c r="B2306" s="26" t="s">
        <v>7694</v>
      </c>
      <c r="C2306" s="26" t="s">
        <v>7695</v>
      </c>
      <c r="D2306" s="26" t="s">
        <v>6396</v>
      </c>
      <c r="E2306" s="26" t="s">
        <v>6443</v>
      </c>
    </row>
    <row r="2307" spans="1:6">
      <c r="A2307" s="26" t="s">
        <v>8239</v>
      </c>
      <c r="B2307" s="26" t="s">
        <v>2617</v>
      </c>
      <c r="C2307" s="26" t="s">
        <v>737</v>
      </c>
      <c r="D2307" s="26" t="s">
        <v>6396</v>
      </c>
      <c r="E2307" s="26" t="s">
        <v>6395</v>
      </c>
    </row>
    <row r="2308" spans="1:6">
      <c r="A2308" s="26" t="s">
        <v>8239</v>
      </c>
      <c r="B2308" s="26" t="s">
        <v>8386</v>
      </c>
      <c r="C2308" s="26" t="s">
        <v>6473</v>
      </c>
      <c r="D2308" s="26" t="s">
        <v>6396</v>
      </c>
      <c r="E2308" s="26" t="s">
        <v>6395</v>
      </c>
    </row>
    <row r="2309" spans="1:6">
      <c r="A2309" s="26" t="s">
        <v>8239</v>
      </c>
      <c r="B2309" s="26" t="s">
        <v>1226</v>
      </c>
      <c r="C2309" s="26" t="s">
        <v>721</v>
      </c>
      <c r="D2309" s="26" t="s">
        <v>6396</v>
      </c>
      <c r="E2309" s="26" t="s">
        <v>6395</v>
      </c>
    </row>
    <row r="2310" spans="1:6">
      <c r="A2310" s="26" t="s">
        <v>8239</v>
      </c>
      <c r="B2310" s="26" t="s">
        <v>1959</v>
      </c>
      <c r="C2310" s="26" t="s">
        <v>348</v>
      </c>
      <c r="D2310" s="26" t="s">
        <v>6396</v>
      </c>
      <c r="E2310" s="26" t="s">
        <v>6395</v>
      </c>
    </row>
    <row r="2311" spans="1:6">
      <c r="A2311" s="26" t="s">
        <v>8239</v>
      </c>
      <c r="B2311" s="26" t="s">
        <v>6588</v>
      </c>
      <c r="C2311" s="26" t="s">
        <v>524</v>
      </c>
      <c r="D2311" s="26" t="s">
        <v>6396</v>
      </c>
      <c r="E2311" s="26" t="s">
        <v>6395</v>
      </c>
    </row>
    <row r="2312" spans="1:6">
      <c r="A2312" s="26" t="s">
        <v>8239</v>
      </c>
      <c r="B2312" s="26" t="s">
        <v>8387</v>
      </c>
      <c r="C2312" s="26" t="s">
        <v>2554</v>
      </c>
      <c r="D2312" s="26" t="s">
        <v>6396</v>
      </c>
      <c r="E2312" s="26" t="s">
        <v>6395</v>
      </c>
    </row>
    <row r="2313" spans="1:6">
      <c r="A2313" s="26" t="s">
        <v>8239</v>
      </c>
      <c r="B2313" s="26" t="s">
        <v>2235</v>
      </c>
      <c r="C2313" s="26" t="s">
        <v>2236</v>
      </c>
      <c r="D2313" s="26" t="s">
        <v>6396</v>
      </c>
      <c r="E2313" s="26" t="s">
        <v>6395</v>
      </c>
    </row>
    <row r="2314" spans="1:6">
      <c r="A2314" s="26" t="s">
        <v>8239</v>
      </c>
      <c r="B2314" s="26" t="s">
        <v>2072</v>
      </c>
      <c r="C2314" s="26" t="s">
        <v>360</v>
      </c>
      <c r="D2314" s="26" t="s">
        <v>6396</v>
      </c>
      <c r="E2314" s="26" t="s">
        <v>6443</v>
      </c>
    </row>
    <row r="2315" spans="1:6">
      <c r="A2315" s="26" t="s">
        <v>8239</v>
      </c>
      <c r="B2315" s="26" t="s">
        <v>2180</v>
      </c>
      <c r="C2315" s="26" t="s">
        <v>643</v>
      </c>
      <c r="D2315" s="26" t="s">
        <v>6396</v>
      </c>
      <c r="E2315" s="26" t="s">
        <v>6395</v>
      </c>
    </row>
    <row r="2316" spans="1:6">
      <c r="A2316" s="26" t="s">
        <v>8239</v>
      </c>
      <c r="B2316" s="26" t="s">
        <v>2180</v>
      </c>
      <c r="C2316" s="26" t="s">
        <v>643</v>
      </c>
      <c r="D2316" s="26" t="s">
        <v>6396</v>
      </c>
      <c r="E2316" s="26" t="s">
        <v>6395</v>
      </c>
    </row>
    <row r="2317" spans="1:6">
      <c r="A2317" s="26" t="s">
        <v>8239</v>
      </c>
      <c r="B2317" s="26" t="s">
        <v>7428</v>
      </c>
      <c r="C2317" s="26" t="s">
        <v>8158</v>
      </c>
      <c r="D2317" s="26" t="s">
        <v>6396</v>
      </c>
      <c r="E2317" s="26" t="s">
        <v>6395</v>
      </c>
    </row>
    <row r="2318" spans="1:6">
      <c r="A2318" s="26" t="s">
        <v>8239</v>
      </c>
      <c r="B2318" s="26" t="s">
        <v>6655</v>
      </c>
      <c r="C2318" s="26" t="s">
        <v>209</v>
      </c>
      <c r="D2318" s="26" t="s">
        <v>6396</v>
      </c>
      <c r="E2318" s="26" t="s">
        <v>6395</v>
      </c>
      <c r="F2318" s="26" t="s">
        <v>8248</v>
      </c>
    </row>
    <row r="2319" spans="1:6">
      <c r="A2319" s="26" t="s">
        <v>8239</v>
      </c>
      <c r="B2319" s="26" t="s">
        <v>1845</v>
      </c>
      <c r="C2319" s="26" t="s">
        <v>1545</v>
      </c>
      <c r="D2319" s="26" t="s">
        <v>6396</v>
      </c>
      <c r="E2319" s="26" t="s">
        <v>6395</v>
      </c>
    </row>
    <row r="2320" spans="1:6">
      <c r="A2320" s="26" t="s">
        <v>8239</v>
      </c>
      <c r="B2320" s="26" t="s">
        <v>2093</v>
      </c>
      <c r="C2320" s="26" t="s">
        <v>2094</v>
      </c>
      <c r="D2320" s="26" t="s">
        <v>6396</v>
      </c>
      <c r="E2320" s="26" t="s">
        <v>8286</v>
      </c>
    </row>
    <row r="2321" spans="1:6">
      <c r="A2321" s="26" t="s">
        <v>8239</v>
      </c>
      <c r="B2321" s="26" t="s">
        <v>8388</v>
      </c>
      <c r="C2321" s="26" t="s">
        <v>2213</v>
      </c>
      <c r="D2321" s="26" t="s">
        <v>6396</v>
      </c>
      <c r="E2321" s="26" t="s">
        <v>6395</v>
      </c>
    </row>
    <row r="2322" spans="1:6">
      <c r="A2322" s="26" t="s">
        <v>8239</v>
      </c>
      <c r="B2322" s="26" t="s">
        <v>6881</v>
      </c>
      <c r="C2322" s="26" t="s">
        <v>509</v>
      </c>
      <c r="D2322" s="26" t="s">
        <v>6396</v>
      </c>
      <c r="E2322" s="26" t="s">
        <v>6395</v>
      </c>
    </row>
    <row r="2323" spans="1:6">
      <c r="A2323" s="26" t="s">
        <v>8239</v>
      </c>
      <c r="B2323" s="26" t="s">
        <v>2436</v>
      </c>
      <c r="C2323" s="26" t="s">
        <v>6473</v>
      </c>
      <c r="D2323" s="26" t="s">
        <v>6396</v>
      </c>
      <c r="E2323" s="26" t="s">
        <v>6395</v>
      </c>
    </row>
    <row r="2324" spans="1:6">
      <c r="A2324" s="26" t="s">
        <v>8239</v>
      </c>
      <c r="B2324" s="26" t="s">
        <v>2471</v>
      </c>
      <c r="C2324" s="26" t="s">
        <v>2472</v>
      </c>
      <c r="D2324" s="26" t="s">
        <v>6396</v>
      </c>
      <c r="E2324" s="26" t="s">
        <v>6395</v>
      </c>
    </row>
    <row r="2325" spans="1:6">
      <c r="A2325" s="26" t="s">
        <v>8239</v>
      </c>
      <c r="B2325" s="26" t="s">
        <v>8389</v>
      </c>
      <c r="C2325" s="26" t="s">
        <v>360</v>
      </c>
      <c r="D2325" s="26" t="s">
        <v>6396</v>
      </c>
      <c r="E2325" s="26" t="s">
        <v>6395</v>
      </c>
    </row>
    <row r="2326" spans="1:6">
      <c r="A2326" s="26" t="s">
        <v>8239</v>
      </c>
      <c r="B2326" s="26" t="s">
        <v>4329</v>
      </c>
      <c r="C2326" s="26" t="s">
        <v>6668</v>
      </c>
      <c r="D2326" s="26" t="s">
        <v>6396</v>
      </c>
      <c r="E2326" s="26" t="s">
        <v>6395</v>
      </c>
    </row>
    <row r="2327" spans="1:6">
      <c r="A2327" s="26" t="s">
        <v>8239</v>
      </c>
      <c r="B2327" s="26" t="s">
        <v>8011</v>
      </c>
      <c r="C2327" s="26" t="s">
        <v>8390</v>
      </c>
      <c r="D2327" s="26" t="s">
        <v>6396</v>
      </c>
      <c r="E2327" s="26" t="s">
        <v>6395</v>
      </c>
    </row>
    <row r="2328" spans="1:6">
      <c r="A2328" s="26" t="s">
        <v>8239</v>
      </c>
      <c r="B2328" s="26" t="s">
        <v>2352</v>
      </c>
      <c r="C2328" s="26" t="s">
        <v>8391</v>
      </c>
      <c r="D2328" s="26" t="s">
        <v>6396</v>
      </c>
      <c r="E2328" s="26" t="s">
        <v>6395</v>
      </c>
    </row>
    <row r="2329" spans="1:6">
      <c r="A2329" s="26" t="s">
        <v>8239</v>
      </c>
      <c r="B2329" s="26" t="s">
        <v>237</v>
      </c>
      <c r="C2329" s="26" t="s">
        <v>238</v>
      </c>
      <c r="D2329" s="26" t="s">
        <v>6396</v>
      </c>
      <c r="E2329" s="26" t="s">
        <v>6443</v>
      </c>
    </row>
    <row r="2330" spans="1:6">
      <c r="A2330" s="26" t="s">
        <v>8239</v>
      </c>
      <c r="B2330" s="26" t="s">
        <v>1504</v>
      </c>
      <c r="C2330" s="26" t="s">
        <v>154</v>
      </c>
      <c r="D2330" s="26" t="s">
        <v>6396</v>
      </c>
      <c r="E2330" s="26" t="s">
        <v>6395</v>
      </c>
    </row>
    <row r="2331" spans="1:6">
      <c r="A2331" s="26" t="s">
        <v>8239</v>
      </c>
      <c r="B2331" s="26" t="s">
        <v>7707</v>
      </c>
      <c r="C2331" s="26" t="s">
        <v>227</v>
      </c>
      <c r="D2331" s="26" t="s">
        <v>6396</v>
      </c>
      <c r="E2331" s="26" t="s">
        <v>6395</v>
      </c>
    </row>
    <row r="2332" spans="1:6">
      <c r="A2332" s="26" t="s">
        <v>8239</v>
      </c>
      <c r="B2332" s="26" t="s">
        <v>8147</v>
      </c>
      <c r="C2332" s="26" t="s">
        <v>8148</v>
      </c>
      <c r="D2332" s="26" t="s">
        <v>6396</v>
      </c>
      <c r="E2332" s="26" t="s">
        <v>10242</v>
      </c>
      <c r="F2332" s="26" t="s">
        <v>8248</v>
      </c>
    </row>
    <row r="2333" spans="1:6">
      <c r="A2333" s="26" t="s">
        <v>8239</v>
      </c>
      <c r="B2333" s="26" t="s">
        <v>625</v>
      </c>
      <c r="C2333" s="26" t="s">
        <v>8392</v>
      </c>
      <c r="D2333" s="26" t="s">
        <v>6396</v>
      </c>
      <c r="E2333" s="26" t="s">
        <v>6395</v>
      </c>
    </row>
    <row r="2334" spans="1:6">
      <c r="A2334" s="26" t="s">
        <v>8239</v>
      </c>
      <c r="B2334" s="26" t="s">
        <v>7328</v>
      </c>
      <c r="C2334" s="26" t="s">
        <v>7327</v>
      </c>
      <c r="D2334" s="26" t="s">
        <v>6396</v>
      </c>
      <c r="E2334" s="26" t="s">
        <v>6443</v>
      </c>
    </row>
    <row r="2335" spans="1:6">
      <c r="A2335" s="26" t="s">
        <v>8239</v>
      </c>
      <c r="B2335" s="26" t="s">
        <v>6423</v>
      </c>
      <c r="C2335" s="26" t="s">
        <v>410</v>
      </c>
      <c r="D2335" s="26" t="s">
        <v>6396</v>
      </c>
      <c r="E2335" s="26" t="s">
        <v>6395</v>
      </c>
    </row>
    <row r="2336" spans="1:6">
      <c r="A2336" s="26" t="s">
        <v>8239</v>
      </c>
      <c r="B2336" s="26" t="s">
        <v>6423</v>
      </c>
      <c r="C2336" s="26" t="s">
        <v>8356</v>
      </c>
      <c r="D2336" s="26" t="s">
        <v>6396</v>
      </c>
      <c r="E2336" s="26" t="s">
        <v>6395</v>
      </c>
    </row>
    <row r="2337" spans="1:6">
      <c r="A2337" s="26" t="s">
        <v>8239</v>
      </c>
      <c r="B2337" s="26" t="s">
        <v>889</v>
      </c>
      <c r="C2337" s="26" t="s">
        <v>7713</v>
      </c>
      <c r="D2337" s="26" t="s">
        <v>6396</v>
      </c>
      <c r="E2337" s="26" t="s">
        <v>6443</v>
      </c>
    </row>
    <row r="2338" spans="1:6">
      <c r="A2338" s="26" t="s">
        <v>8239</v>
      </c>
      <c r="B2338" s="26" t="s">
        <v>4603</v>
      </c>
      <c r="C2338" s="26" t="s">
        <v>509</v>
      </c>
      <c r="D2338" s="26" t="s">
        <v>6396</v>
      </c>
      <c r="E2338" s="26" t="s">
        <v>6395</v>
      </c>
    </row>
    <row r="2339" spans="1:6">
      <c r="A2339" s="26" t="s">
        <v>8239</v>
      </c>
      <c r="B2339" s="26" t="s">
        <v>8393</v>
      </c>
      <c r="C2339" s="26" t="s">
        <v>6796</v>
      </c>
      <c r="D2339" s="26" t="s">
        <v>6396</v>
      </c>
      <c r="E2339" s="26" t="s">
        <v>6395</v>
      </c>
    </row>
    <row r="2340" spans="1:6">
      <c r="A2340" s="26" t="s">
        <v>8239</v>
      </c>
      <c r="B2340" s="26" t="s">
        <v>8394</v>
      </c>
      <c r="C2340" s="26" t="s">
        <v>8395</v>
      </c>
      <c r="D2340" s="26" t="s">
        <v>6396</v>
      </c>
      <c r="E2340" s="26" t="s">
        <v>10243</v>
      </c>
      <c r="F2340" s="26" t="s">
        <v>8243</v>
      </c>
    </row>
    <row r="2341" spans="1:6">
      <c r="A2341" s="26" t="s">
        <v>8239</v>
      </c>
      <c r="B2341" s="26" t="s">
        <v>8396</v>
      </c>
      <c r="C2341" s="26" t="s">
        <v>8397</v>
      </c>
      <c r="D2341" s="26" t="s">
        <v>8398</v>
      </c>
      <c r="E2341" s="26" t="s">
        <v>10240</v>
      </c>
      <c r="F2341" s="26" t="s">
        <v>8248</v>
      </c>
    </row>
    <row r="2342" spans="1:6">
      <c r="A2342" s="26" t="s">
        <v>8239</v>
      </c>
      <c r="B2342" s="26" t="s">
        <v>7720</v>
      </c>
      <c r="C2342" s="26" t="s">
        <v>7205</v>
      </c>
      <c r="D2342" s="26" t="s">
        <v>6396</v>
      </c>
      <c r="E2342" s="26" t="s">
        <v>6443</v>
      </c>
    </row>
    <row r="2343" spans="1:6">
      <c r="A2343" s="26" t="s">
        <v>8239</v>
      </c>
      <c r="B2343" s="26" t="s">
        <v>6960</v>
      </c>
      <c r="C2343" s="26" t="s">
        <v>6560</v>
      </c>
      <c r="D2343" s="26" t="s">
        <v>6396</v>
      </c>
      <c r="E2343" s="26" t="s">
        <v>6443</v>
      </c>
    </row>
    <row r="2344" spans="1:6">
      <c r="A2344" s="26" t="s">
        <v>8239</v>
      </c>
      <c r="B2344" s="26" t="s">
        <v>8399</v>
      </c>
      <c r="C2344" s="26" t="s">
        <v>1545</v>
      </c>
      <c r="D2344" s="26" t="s">
        <v>6396</v>
      </c>
      <c r="E2344" s="26" t="s">
        <v>6395</v>
      </c>
    </row>
    <row r="2345" spans="1:6">
      <c r="A2345" s="26" t="s">
        <v>8239</v>
      </c>
      <c r="B2345" s="26" t="s">
        <v>2536</v>
      </c>
      <c r="D2345" s="26" t="s">
        <v>6396</v>
      </c>
      <c r="E2345" s="26" t="s">
        <v>6395</v>
      </c>
    </row>
    <row r="2346" spans="1:6">
      <c r="A2346" s="26" t="s">
        <v>8239</v>
      </c>
      <c r="B2346" s="26" t="s">
        <v>8014</v>
      </c>
      <c r="C2346" s="26" t="s">
        <v>188</v>
      </c>
      <c r="D2346" s="26" t="s">
        <v>6396</v>
      </c>
      <c r="E2346" s="26" t="s">
        <v>6443</v>
      </c>
    </row>
    <row r="2347" spans="1:6">
      <c r="A2347" s="26" t="s">
        <v>8239</v>
      </c>
      <c r="B2347" s="26" t="s">
        <v>319</v>
      </c>
      <c r="C2347" s="26" t="s">
        <v>8400</v>
      </c>
      <c r="D2347" s="26" t="s">
        <v>6396</v>
      </c>
      <c r="E2347" s="26" t="s">
        <v>6395</v>
      </c>
    </row>
    <row r="2348" spans="1:6">
      <c r="A2348" s="26" t="s">
        <v>8239</v>
      </c>
      <c r="B2348" s="26" t="s">
        <v>8401</v>
      </c>
      <c r="D2348" s="26" t="s">
        <v>6396</v>
      </c>
      <c r="E2348" s="26" t="s">
        <v>6432</v>
      </c>
      <c r="F2348" s="26" t="s">
        <v>8243</v>
      </c>
    </row>
    <row r="2349" spans="1:6">
      <c r="A2349" s="26" t="s">
        <v>8239</v>
      </c>
      <c r="B2349" s="26" t="s">
        <v>860</v>
      </c>
      <c r="C2349" s="26" t="s">
        <v>333</v>
      </c>
      <c r="D2349" s="26" t="s">
        <v>6396</v>
      </c>
      <c r="E2349" s="26" t="s">
        <v>6432</v>
      </c>
      <c r="F2349" s="26" t="s">
        <v>8243</v>
      </c>
    </row>
    <row r="2350" spans="1:6">
      <c r="A2350" s="26" t="s">
        <v>8239</v>
      </c>
      <c r="B2350" s="26" t="s">
        <v>2299</v>
      </c>
      <c r="C2350" s="26" t="s">
        <v>466</v>
      </c>
      <c r="D2350" s="26" t="s">
        <v>6396</v>
      </c>
      <c r="E2350" s="26" t="s">
        <v>6395</v>
      </c>
    </row>
    <row r="2351" spans="1:6">
      <c r="A2351" s="26" t="s">
        <v>8239</v>
      </c>
      <c r="B2351" s="26" t="s">
        <v>8402</v>
      </c>
      <c r="C2351" s="26" t="s">
        <v>1601</v>
      </c>
      <c r="D2351" s="26" t="s">
        <v>6396</v>
      </c>
      <c r="E2351" s="26" t="s">
        <v>6395</v>
      </c>
    </row>
    <row r="2352" spans="1:6">
      <c r="A2352" s="26" t="s">
        <v>8239</v>
      </c>
      <c r="B2352" s="26" t="s">
        <v>8403</v>
      </c>
      <c r="C2352" s="26" t="s">
        <v>643</v>
      </c>
      <c r="D2352" s="26" t="s">
        <v>6396</v>
      </c>
      <c r="E2352" s="26" t="s">
        <v>6395</v>
      </c>
    </row>
    <row r="2353" spans="1:7">
      <c r="A2353" s="26" t="s">
        <v>8239</v>
      </c>
      <c r="B2353" s="26" t="s">
        <v>798</v>
      </c>
      <c r="C2353" s="26" t="s">
        <v>799</v>
      </c>
      <c r="D2353" s="26" t="s">
        <v>6396</v>
      </c>
      <c r="E2353" s="26" t="s">
        <v>6395</v>
      </c>
    </row>
    <row r="2354" spans="1:7">
      <c r="A2354" s="26" t="s">
        <v>8239</v>
      </c>
      <c r="B2354" s="26" t="s">
        <v>212</v>
      </c>
      <c r="C2354" s="26" t="s">
        <v>209</v>
      </c>
      <c r="D2354" s="26" t="s">
        <v>6396</v>
      </c>
      <c r="E2354" s="26" t="s">
        <v>6443</v>
      </c>
    </row>
    <row r="2355" spans="1:7">
      <c r="A2355" s="26" t="s">
        <v>8239</v>
      </c>
      <c r="B2355" s="26" t="s">
        <v>6461</v>
      </c>
      <c r="C2355" s="26" t="s">
        <v>1366</v>
      </c>
      <c r="D2355" s="26" t="s">
        <v>6396</v>
      </c>
      <c r="E2355" s="26" t="s">
        <v>6395</v>
      </c>
    </row>
    <row r="2356" spans="1:7">
      <c r="A2356" s="26" t="s">
        <v>8239</v>
      </c>
      <c r="B2356" s="26" t="s">
        <v>462</v>
      </c>
      <c r="C2356" s="26" t="s">
        <v>188</v>
      </c>
      <c r="D2356" s="26" t="s">
        <v>6396</v>
      </c>
      <c r="E2356" s="26" t="s">
        <v>6395</v>
      </c>
      <c r="F2356" s="26" t="s">
        <v>8243</v>
      </c>
      <c r="G2356" s="26" t="s">
        <v>8404</v>
      </c>
    </row>
    <row r="2357" spans="1:7">
      <c r="A2357" s="26" t="s">
        <v>8239</v>
      </c>
      <c r="B2357" s="26" t="s">
        <v>6890</v>
      </c>
      <c r="C2357" s="26" t="s">
        <v>541</v>
      </c>
      <c r="D2357" s="26" t="s">
        <v>6396</v>
      </c>
      <c r="E2357" s="26" t="s">
        <v>6395</v>
      </c>
    </row>
    <row r="2358" spans="1:7">
      <c r="A2358" s="26" t="s">
        <v>8239</v>
      </c>
      <c r="B2358" s="26" t="s">
        <v>2781</v>
      </c>
      <c r="C2358" s="26" t="s">
        <v>265</v>
      </c>
      <c r="D2358" s="26" t="s">
        <v>6396</v>
      </c>
      <c r="E2358" s="26" t="s">
        <v>6395</v>
      </c>
    </row>
    <row r="2359" spans="1:7">
      <c r="A2359" s="26" t="s">
        <v>8239</v>
      </c>
      <c r="B2359" s="26" t="s">
        <v>488</v>
      </c>
      <c r="C2359" s="26" t="s">
        <v>21</v>
      </c>
      <c r="D2359" s="26" t="s">
        <v>6396</v>
      </c>
      <c r="E2359" s="26" t="s">
        <v>6395</v>
      </c>
    </row>
    <row r="2360" spans="1:7">
      <c r="A2360" s="26" t="s">
        <v>8239</v>
      </c>
      <c r="B2360" s="26" t="s">
        <v>3419</v>
      </c>
      <c r="C2360" s="26" t="s">
        <v>3420</v>
      </c>
      <c r="D2360" s="26" t="s">
        <v>6396</v>
      </c>
      <c r="E2360" s="26" t="s">
        <v>6395</v>
      </c>
    </row>
    <row r="2361" spans="1:7">
      <c r="A2361" s="26" t="s">
        <v>8239</v>
      </c>
      <c r="B2361" s="26" t="s">
        <v>3181</v>
      </c>
      <c r="C2361" s="26" t="s">
        <v>3182</v>
      </c>
      <c r="D2361" s="26" t="s">
        <v>6396</v>
      </c>
      <c r="E2361" s="26" t="s">
        <v>6395</v>
      </c>
    </row>
    <row r="2362" spans="1:7">
      <c r="A2362" s="26" t="s">
        <v>8239</v>
      </c>
      <c r="B2362" s="26" t="s">
        <v>2678</v>
      </c>
      <c r="C2362" s="26" t="s">
        <v>1274</v>
      </c>
      <c r="D2362" s="26" t="s">
        <v>6396</v>
      </c>
      <c r="E2362" s="26" t="s">
        <v>6395</v>
      </c>
    </row>
    <row r="2363" spans="1:7">
      <c r="A2363" s="26" t="s">
        <v>8239</v>
      </c>
      <c r="B2363" s="26" t="s">
        <v>540</v>
      </c>
      <c r="C2363" s="26" t="s">
        <v>541</v>
      </c>
      <c r="D2363" s="26" t="s">
        <v>6396</v>
      </c>
      <c r="E2363" s="26" t="s">
        <v>6395</v>
      </c>
    </row>
    <row r="2364" spans="1:7">
      <c r="A2364" s="26" t="s">
        <v>8239</v>
      </c>
      <c r="B2364" s="26" t="s">
        <v>1005</v>
      </c>
      <c r="C2364" s="26" t="s">
        <v>935</v>
      </c>
      <c r="D2364" s="26" t="s">
        <v>6396</v>
      </c>
      <c r="E2364" s="26" t="s">
        <v>6395</v>
      </c>
    </row>
    <row r="2365" spans="1:7">
      <c r="A2365" s="26" t="s">
        <v>8239</v>
      </c>
      <c r="B2365" s="26" t="s">
        <v>226</v>
      </c>
      <c r="C2365" s="26" t="s">
        <v>227</v>
      </c>
      <c r="D2365" s="26" t="s">
        <v>6396</v>
      </c>
      <c r="E2365" s="26" t="s">
        <v>6395</v>
      </c>
    </row>
    <row r="2366" spans="1:7">
      <c r="A2366" s="26" t="s">
        <v>8239</v>
      </c>
      <c r="B2366" s="26" t="s">
        <v>250</v>
      </c>
      <c r="C2366" s="26" t="s">
        <v>42</v>
      </c>
      <c r="D2366" s="26" t="s">
        <v>6396</v>
      </c>
      <c r="E2366" s="26" t="s">
        <v>6443</v>
      </c>
    </row>
    <row r="2367" spans="1:7">
      <c r="A2367" s="26" t="s">
        <v>8239</v>
      </c>
      <c r="B2367" s="26" t="s">
        <v>232</v>
      </c>
      <c r="C2367" s="26" t="s">
        <v>233</v>
      </c>
      <c r="D2367" s="26" t="s">
        <v>6396</v>
      </c>
      <c r="E2367" s="26" t="s">
        <v>6395</v>
      </c>
    </row>
    <row r="2368" spans="1:7">
      <c r="A2368" s="26" t="s">
        <v>8239</v>
      </c>
      <c r="B2368" s="26" t="s">
        <v>6504</v>
      </c>
      <c r="C2368" s="26" t="s">
        <v>188</v>
      </c>
      <c r="D2368" s="26" t="s">
        <v>6396</v>
      </c>
      <c r="E2368" s="26" t="s">
        <v>6443</v>
      </c>
    </row>
    <row r="2369" spans="1:7">
      <c r="A2369" s="26" t="s">
        <v>8239</v>
      </c>
      <c r="B2369" s="26" t="s">
        <v>7738</v>
      </c>
      <c r="C2369" s="26" t="s">
        <v>8405</v>
      </c>
      <c r="D2369" s="26" t="s">
        <v>6396</v>
      </c>
      <c r="E2369" s="26" t="s">
        <v>6395</v>
      </c>
    </row>
    <row r="2370" spans="1:7">
      <c r="A2370" s="26" t="s">
        <v>8239</v>
      </c>
      <c r="B2370" s="26" t="s">
        <v>6939</v>
      </c>
      <c r="C2370" s="26" t="s">
        <v>6938</v>
      </c>
      <c r="D2370" s="26" t="s">
        <v>6396</v>
      </c>
      <c r="E2370" s="26" t="s">
        <v>6443</v>
      </c>
    </row>
    <row r="2371" spans="1:7">
      <c r="A2371" s="26" t="s">
        <v>8239</v>
      </c>
      <c r="B2371" s="26" t="s">
        <v>6418</v>
      </c>
      <c r="C2371" s="26" t="s">
        <v>8406</v>
      </c>
      <c r="D2371" s="26" t="s">
        <v>6396</v>
      </c>
      <c r="E2371" s="26" t="s">
        <v>10244</v>
      </c>
      <c r="F2371" s="26" t="s">
        <v>8248</v>
      </c>
    </row>
    <row r="2372" spans="1:7">
      <c r="A2372" s="26" t="s">
        <v>8239</v>
      </c>
      <c r="B2372" s="26" t="s">
        <v>8407</v>
      </c>
      <c r="C2372" s="26" t="s">
        <v>8408</v>
      </c>
      <c r="D2372" s="26" t="s">
        <v>6396</v>
      </c>
      <c r="E2372" s="26" t="s">
        <v>6443</v>
      </c>
    </row>
    <row r="2373" spans="1:7">
      <c r="A2373" s="26" t="s">
        <v>8239</v>
      </c>
      <c r="B2373" s="26" t="s">
        <v>8409</v>
      </c>
      <c r="C2373" s="26" t="s">
        <v>7331</v>
      </c>
      <c r="D2373" s="26" t="s">
        <v>6396</v>
      </c>
      <c r="E2373" s="26" t="s">
        <v>6443</v>
      </c>
    </row>
    <row r="2374" spans="1:7">
      <c r="A2374" s="26" t="s">
        <v>8239</v>
      </c>
      <c r="B2374" s="26" t="s">
        <v>7757</v>
      </c>
      <c r="C2374" s="26" t="s">
        <v>1466</v>
      </c>
      <c r="D2374" s="26" t="s">
        <v>6396</v>
      </c>
      <c r="E2374" s="26" t="s">
        <v>6395</v>
      </c>
    </row>
    <row r="2375" spans="1:7">
      <c r="A2375" s="26" t="s">
        <v>8239</v>
      </c>
      <c r="B2375" s="26" t="s">
        <v>7764</v>
      </c>
      <c r="C2375" s="26" t="s">
        <v>8410</v>
      </c>
      <c r="D2375" s="26" t="s">
        <v>6396</v>
      </c>
      <c r="E2375" s="26" t="s">
        <v>6395</v>
      </c>
    </row>
    <row r="2376" spans="1:7">
      <c r="A2376" s="26" t="s">
        <v>8239</v>
      </c>
      <c r="B2376" s="26" t="s">
        <v>8411</v>
      </c>
      <c r="C2376" s="26" t="s">
        <v>1601</v>
      </c>
      <c r="D2376" s="26" t="s">
        <v>6396</v>
      </c>
      <c r="E2376" s="26" t="s">
        <v>6395</v>
      </c>
    </row>
    <row r="2377" spans="1:7">
      <c r="A2377" s="26" t="s">
        <v>8239</v>
      </c>
      <c r="B2377" s="26" t="s">
        <v>8412</v>
      </c>
      <c r="C2377" s="26" t="s">
        <v>6427</v>
      </c>
      <c r="D2377" s="26" t="s">
        <v>6396</v>
      </c>
      <c r="E2377" s="26" t="s">
        <v>6395</v>
      </c>
    </row>
    <row r="2378" spans="1:7">
      <c r="A2378" s="26" t="s">
        <v>8239</v>
      </c>
      <c r="B2378" s="26" t="s">
        <v>8413</v>
      </c>
      <c r="C2378" s="26" t="s">
        <v>6796</v>
      </c>
      <c r="D2378" s="26" t="s">
        <v>6396</v>
      </c>
      <c r="E2378" s="26" t="s">
        <v>6395</v>
      </c>
    </row>
    <row r="2379" spans="1:7">
      <c r="A2379" s="26" t="s">
        <v>8239</v>
      </c>
      <c r="B2379" s="26" t="s">
        <v>6528</v>
      </c>
      <c r="C2379" s="26" t="s">
        <v>6441</v>
      </c>
      <c r="D2379" s="26" t="s">
        <v>6396</v>
      </c>
      <c r="E2379" s="26" t="s">
        <v>6395</v>
      </c>
    </row>
    <row r="2380" spans="1:7">
      <c r="A2380" s="26" t="s">
        <v>8239</v>
      </c>
      <c r="B2380" s="26" t="s">
        <v>530</v>
      </c>
      <c r="C2380" s="26" t="s">
        <v>27</v>
      </c>
      <c r="D2380" s="26" t="s">
        <v>6396</v>
      </c>
      <c r="E2380" s="26" t="s">
        <v>6395</v>
      </c>
    </row>
    <row r="2381" spans="1:7">
      <c r="A2381" s="26" t="s">
        <v>8239</v>
      </c>
      <c r="B2381" s="26" t="s">
        <v>8042</v>
      </c>
      <c r="C2381" s="26" t="s">
        <v>8414</v>
      </c>
      <c r="D2381" s="26" t="s">
        <v>6396</v>
      </c>
      <c r="E2381" s="26" t="s">
        <v>8256</v>
      </c>
      <c r="F2381" s="26" t="s">
        <v>8248</v>
      </c>
      <c r="G2381" s="26" t="s">
        <v>8415</v>
      </c>
    </row>
    <row r="2382" spans="1:7">
      <c r="A2382" s="26" t="s">
        <v>8239</v>
      </c>
      <c r="B2382" s="26" t="s">
        <v>8416</v>
      </c>
      <c r="C2382" s="26" t="s">
        <v>493</v>
      </c>
      <c r="D2382" s="26" t="s">
        <v>6396</v>
      </c>
      <c r="E2382" s="26" t="s">
        <v>6395</v>
      </c>
    </row>
    <row r="2383" spans="1:7">
      <c r="A2383" s="26" t="s">
        <v>8239</v>
      </c>
      <c r="B2383" s="26" t="s">
        <v>6431</v>
      </c>
      <c r="C2383" s="26" t="s">
        <v>8417</v>
      </c>
      <c r="D2383" s="26" t="s">
        <v>6396</v>
      </c>
      <c r="E2383" s="26" t="s">
        <v>6395</v>
      </c>
    </row>
    <row r="2384" spans="1:7">
      <c r="A2384" s="26" t="s">
        <v>8239</v>
      </c>
      <c r="B2384" s="26" t="s">
        <v>6660</v>
      </c>
      <c r="C2384" s="26" t="s">
        <v>8262</v>
      </c>
      <c r="D2384" s="26" t="s">
        <v>6396</v>
      </c>
      <c r="E2384" s="26" t="s">
        <v>6395</v>
      </c>
    </row>
    <row r="2385" spans="1:5">
      <c r="A2385" s="26" t="s">
        <v>8239</v>
      </c>
      <c r="B2385" s="26" t="s">
        <v>26</v>
      </c>
      <c r="C2385" s="26" t="s">
        <v>27</v>
      </c>
      <c r="D2385" s="26" t="s">
        <v>6396</v>
      </c>
      <c r="E2385" s="26" t="s">
        <v>6395</v>
      </c>
    </row>
    <row r="2386" spans="1:5">
      <c r="A2386" s="26" t="s">
        <v>8239</v>
      </c>
      <c r="B2386" s="26" t="s">
        <v>7273</v>
      </c>
      <c r="C2386" s="26" t="s">
        <v>574</v>
      </c>
      <c r="D2386" s="26" t="s">
        <v>6396</v>
      </c>
      <c r="E2386" s="26" t="s">
        <v>6395</v>
      </c>
    </row>
    <row r="2387" spans="1:5">
      <c r="A2387" s="26" t="s">
        <v>8239</v>
      </c>
      <c r="B2387" s="26" t="s">
        <v>7317</v>
      </c>
      <c r="C2387" s="26" t="s">
        <v>6815</v>
      </c>
      <c r="D2387" s="26" t="s">
        <v>6396</v>
      </c>
      <c r="E2387" s="26" t="s">
        <v>6443</v>
      </c>
    </row>
    <row r="2388" spans="1:5">
      <c r="A2388" s="26" t="s">
        <v>8239</v>
      </c>
      <c r="B2388" s="26" t="s">
        <v>597</v>
      </c>
      <c r="C2388" s="26" t="s">
        <v>592</v>
      </c>
      <c r="D2388" s="26" t="s">
        <v>6396</v>
      </c>
      <c r="E2388" s="26" t="s">
        <v>6395</v>
      </c>
    </row>
    <row r="2389" spans="1:5">
      <c r="A2389" s="26" t="s">
        <v>8239</v>
      </c>
      <c r="B2389" s="26" t="s">
        <v>1732</v>
      </c>
      <c r="C2389" s="26" t="s">
        <v>466</v>
      </c>
      <c r="D2389" s="26" t="s">
        <v>6396</v>
      </c>
      <c r="E2389" s="26" t="s">
        <v>6395</v>
      </c>
    </row>
    <row r="2390" spans="1:5">
      <c r="A2390" s="26" t="s">
        <v>8239</v>
      </c>
      <c r="B2390" s="26" t="s">
        <v>6415</v>
      </c>
      <c r="C2390" s="26" t="s">
        <v>509</v>
      </c>
      <c r="D2390" s="26" t="s">
        <v>6396</v>
      </c>
      <c r="E2390" s="26" t="s">
        <v>6395</v>
      </c>
    </row>
    <row r="2391" spans="1:5">
      <c r="A2391" s="26" t="s">
        <v>8239</v>
      </c>
      <c r="B2391" s="26" t="s">
        <v>8418</v>
      </c>
      <c r="C2391" s="26" t="s">
        <v>6796</v>
      </c>
      <c r="D2391" s="26" t="s">
        <v>6396</v>
      </c>
      <c r="E2391" s="26" t="s">
        <v>6443</v>
      </c>
    </row>
    <row r="2392" spans="1:5">
      <c r="A2392" s="26" t="s">
        <v>8239</v>
      </c>
      <c r="B2392" s="26" t="s">
        <v>6604</v>
      </c>
      <c r="C2392" s="26" t="s">
        <v>7781</v>
      </c>
      <c r="D2392" s="26" t="s">
        <v>6396</v>
      </c>
      <c r="E2392" s="26" t="s">
        <v>6443</v>
      </c>
    </row>
    <row r="2393" spans="1:5">
      <c r="A2393" s="26" t="s">
        <v>8239</v>
      </c>
      <c r="B2393" s="26" t="s">
        <v>8224</v>
      </c>
      <c r="C2393" s="26" t="s">
        <v>7619</v>
      </c>
      <c r="D2393" s="26" t="s">
        <v>6396</v>
      </c>
      <c r="E2393" s="26" t="s">
        <v>6443</v>
      </c>
    </row>
    <row r="2394" spans="1:5">
      <c r="A2394" s="26" t="s">
        <v>8239</v>
      </c>
      <c r="B2394" s="26" t="s">
        <v>6790</v>
      </c>
      <c r="C2394" s="26" t="s">
        <v>700</v>
      </c>
      <c r="D2394" s="26" t="s">
        <v>6396</v>
      </c>
      <c r="E2394" s="26" t="s">
        <v>6395</v>
      </c>
    </row>
    <row r="2395" spans="1:5">
      <c r="A2395" s="26" t="s">
        <v>8239</v>
      </c>
      <c r="B2395" s="26" t="s">
        <v>8419</v>
      </c>
      <c r="C2395" s="26" t="s">
        <v>446</v>
      </c>
      <c r="D2395" s="26" t="s">
        <v>6396</v>
      </c>
      <c r="E2395" s="26" t="s">
        <v>6395</v>
      </c>
    </row>
    <row r="2396" spans="1:5">
      <c r="A2396" s="26" t="s">
        <v>8239</v>
      </c>
      <c r="B2396" s="26" t="s">
        <v>426</v>
      </c>
      <c r="C2396" s="26" t="s">
        <v>427</v>
      </c>
      <c r="D2396" s="26" t="s">
        <v>6396</v>
      </c>
      <c r="E2396" s="26" t="s">
        <v>6395</v>
      </c>
    </row>
    <row r="2397" spans="1:5">
      <c r="A2397" s="26" t="s">
        <v>8239</v>
      </c>
      <c r="B2397" s="26" t="s">
        <v>940</v>
      </c>
      <c r="C2397" s="26" t="s">
        <v>592</v>
      </c>
      <c r="D2397" s="26" t="s">
        <v>6396</v>
      </c>
      <c r="E2397" s="26" t="s">
        <v>6395</v>
      </c>
    </row>
    <row r="2398" spans="1:5">
      <c r="A2398" s="26" t="s">
        <v>8239</v>
      </c>
      <c r="B2398" s="26" t="s">
        <v>6949</v>
      </c>
      <c r="C2398" s="26" t="s">
        <v>6948</v>
      </c>
      <c r="D2398" s="26" t="s">
        <v>6396</v>
      </c>
      <c r="E2398" s="26" t="s">
        <v>6395</v>
      </c>
    </row>
    <row r="2399" spans="1:5">
      <c r="A2399" s="26" t="s">
        <v>8239</v>
      </c>
      <c r="B2399" s="26" t="s">
        <v>1465</v>
      </c>
      <c r="C2399" s="26" t="s">
        <v>1466</v>
      </c>
      <c r="D2399" s="26" t="s">
        <v>6396</v>
      </c>
      <c r="E2399" s="26" t="s">
        <v>6395</v>
      </c>
    </row>
    <row r="2400" spans="1:5">
      <c r="A2400" s="26" t="s">
        <v>8239</v>
      </c>
      <c r="B2400" s="26" t="s">
        <v>8053</v>
      </c>
      <c r="C2400" s="26" t="s">
        <v>1274</v>
      </c>
      <c r="D2400" s="26" t="s">
        <v>6396</v>
      </c>
      <c r="E2400" s="26" t="s">
        <v>6395</v>
      </c>
    </row>
    <row r="2401" spans="1:7">
      <c r="A2401" s="26" t="s">
        <v>8239</v>
      </c>
      <c r="B2401" s="26" t="s">
        <v>8053</v>
      </c>
      <c r="C2401" s="26" t="s">
        <v>3319</v>
      </c>
      <c r="D2401" s="26" t="s">
        <v>6396</v>
      </c>
      <c r="E2401" s="26" t="s">
        <v>6395</v>
      </c>
    </row>
    <row r="2402" spans="1:7">
      <c r="A2402" s="26" t="s">
        <v>8239</v>
      </c>
      <c r="B2402" s="26" t="s">
        <v>7796</v>
      </c>
      <c r="C2402" s="26" t="s">
        <v>2198</v>
      </c>
      <c r="D2402" s="26" t="s">
        <v>6396</v>
      </c>
      <c r="E2402" s="26" t="s">
        <v>6395</v>
      </c>
    </row>
    <row r="2403" spans="1:7">
      <c r="A2403" s="26" t="s">
        <v>8239</v>
      </c>
      <c r="B2403" s="26" t="s">
        <v>1509</v>
      </c>
      <c r="C2403" s="26" t="s">
        <v>360</v>
      </c>
      <c r="D2403" s="26" t="s">
        <v>6396</v>
      </c>
      <c r="E2403" s="26" t="s">
        <v>6395</v>
      </c>
    </row>
    <row r="2404" spans="1:7">
      <c r="A2404" s="26" t="s">
        <v>8239</v>
      </c>
      <c r="B2404" s="26" t="s">
        <v>8420</v>
      </c>
      <c r="C2404" s="26" t="s">
        <v>2020</v>
      </c>
      <c r="D2404" s="26" t="s">
        <v>6396</v>
      </c>
      <c r="E2404" s="26" t="s">
        <v>6395</v>
      </c>
    </row>
    <row r="2405" spans="1:7">
      <c r="A2405" s="26" t="s">
        <v>8239</v>
      </c>
      <c r="B2405" s="26" t="s">
        <v>8421</v>
      </c>
      <c r="C2405" s="26" t="s">
        <v>7550</v>
      </c>
      <c r="D2405" s="26" t="s">
        <v>6396</v>
      </c>
      <c r="E2405" s="26" t="s">
        <v>6395</v>
      </c>
    </row>
    <row r="2406" spans="1:7">
      <c r="A2406" s="26" t="s">
        <v>8239</v>
      </c>
      <c r="B2406" s="26" t="s">
        <v>7797</v>
      </c>
      <c r="C2406" s="26" t="s">
        <v>7798</v>
      </c>
      <c r="D2406" s="26" t="s">
        <v>6396</v>
      </c>
      <c r="E2406" s="26" t="s">
        <v>6395</v>
      </c>
    </row>
    <row r="2407" spans="1:7">
      <c r="A2407" s="26" t="s">
        <v>8239</v>
      </c>
      <c r="B2407" s="26" t="s">
        <v>8422</v>
      </c>
      <c r="C2407" s="26" t="s">
        <v>8414</v>
      </c>
      <c r="D2407" s="26" t="s">
        <v>6396</v>
      </c>
      <c r="E2407" s="26" t="s">
        <v>8256</v>
      </c>
      <c r="F2407" s="26" t="s">
        <v>8248</v>
      </c>
      <c r="G2407" s="26" t="s">
        <v>8415</v>
      </c>
    </row>
    <row r="2408" spans="1:7">
      <c r="A2408" s="26" t="s">
        <v>8239</v>
      </c>
      <c r="B2408" s="26" t="s">
        <v>7193</v>
      </c>
      <c r="C2408" s="26" t="s">
        <v>8423</v>
      </c>
      <c r="D2408" s="26" t="s">
        <v>6396</v>
      </c>
      <c r="E2408" s="26" t="s">
        <v>6395</v>
      </c>
    </row>
    <row r="2409" spans="1:7">
      <c r="A2409" s="26" t="s">
        <v>8239</v>
      </c>
      <c r="B2409" s="26" t="s">
        <v>6794</v>
      </c>
      <c r="C2409" s="26" t="s">
        <v>8424</v>
      </c>
      <c r="D2409" s="26" t="s">
        <v>6396</v>
      </c>
      <c r="E2409" s="26" t="s">
        <v>6443</v>
      </c>
    </row>
    <row r="2410" spans="1:7">
      <c r="A2410" s="26" t="s">
        <v>8239</v>
      </c>
      <c r="B2410" s="26" t="s">
        <v>6912</v>
      </c>
      <c r="C2410" s="26" t="s">
        <v>6545</v>
      </c>
      <c r="D2410" s="26" t="s">
        <v>6396</v>
      </c>
      <c r="E2410" s="26" t="s">
        <v>6443</v>
      </c>
    </row>
    <row r="2411" spans="1:7">
      <c r="A2411" s="26" t="s">
        <v>8239</v>
      </c>
      <c r="B2411" s="26" t="s">
        <v>820</v>
      </c>
      <c r="C2411" s="26" t="s">
        <v>7596</v>
      </c>
      <c r="D2411" s="26" t="s">
        <v>6396</v>
      </c>
      <c r="E2411" s="26" t="s">
        <v>6443</v>
      </c>
    </row>
    <row r="2412" spans="1:7">
      <c r="A2412" s="26" t="s">
        <v>8239</v>
      </c>
      <c r="B2412" s="26" t="s">
        <v>8425</v>
      </c>
      <c r="C2412" s="26" t="s">
        <v>8426</v>
      </c>
      <c r="D2412" s="26" t="s">
        <v>6396</v>
      </c>
      <c r="E2412" s="26" t="s">
        <v>6411</v>
      </c>
    </row>
    <row r="2413" spans="1:7">
      <c r="A2413" s="26" t="s">
        <v>8239</v>
      </c>
      <c r="B2413" s="26" t="s">
        <v>6732</v>
      </c>
      <c r="C2413" s="26" t="s">
        <v>6731</v>
      </c>
      <c r="D2413" s="26" t="s">
        <v>6396</v>
      </c>
      <c r="E2413" s="26" t="s">
        <v>6395</v>
      </c>
    </row>
    <row r="2414" spans="1:7">
      <c r="A2414" s="26" t="s">
        <v>8239</v>
      </c>
      <c r="B2414" s="26" t="s">
        <v>6517</v>
      </c>
      <c r="C2414" s="26" t="s">
        <v>6605</v>
      </c>
      <c r="D2414" s="26" t="s">
        <v>6396</v>
      </c>
      <c r="E2414" s="26" t="s">
        <v>8256</v>
      </c>
      <c r="F2414" s="26" t="s">
        <v>8248</v>
      </c>
      <c r="G2414" s="26" t="s">
        <v>8308</v>
      </c>
    </row>
    <row r="2415" spans="1:7">
      <c r="A2415" s="26" t="s">
        <v>8239</v>
      </c>
      <c r="B2415" s="26" t="s">
        <v>7808</v>
      </c>
      <c r="C2415" s="26" t="s">
        <v>7809</v>
      </c>
      <c r="D2415" s="26" t="s">
        <v>6396</v>
      </c>
      <c r="E2415" s="26" t="s">
        <v>6443</v>
      </c>
    </row>
    <row r="2416" spans="1:7">
      <c r="A2416" s="26" t="s">
        <v>8239</v>
      </c>
      <c r="B2416" s="26" t="s">
        <v>2161</v>
      </c>
      <c r="C2416" s="26" t="s">
        <v>188</v>
      </c>
      <c r="D2416" s="26" t="s">
        <v>6396</v>
      </c>
      <c r="E2416" s="26" t="s">
        <v>6395</v>
      </c>
      <c r="F2416" s="26" t="s">
        <v>8248</v>
      </c>
    </row>
    <row r="2417" spans="1:6">
      <c r="A2417" s="26" t="s">
        <v>8239</v>
      </c>
      <c r="B2417" s="26" t="s">
        <v>8427</v>
      </c>
      <c r="C2417" s="26" t="s">
        <v>2020</v>
      </c>
      <c r="D2417" s="26" t="s">
        <v>6396</v>
      </c>
      <c r="E2417" s="26" t="s">
        <v>6395</v>
      </c>
    </row>
    <row r="2418" spans="1:6">
      <c r="A2418" s="26" t="s">
        <v>8239</v>
      </c>
      <c r="B2418" s="26" t="s">
        <v>2637</v>
      </c>
      <c r="C2418" s="26" t="s">
        <v>7419</v>
      </c>
      <c r="D2418" s="26" t="s">
        <v>6396</v>
      </c>
      <c r="E2418" s="26" t="s">
        <v>6395</v>
      </c>
      <c r="F2418" s="26" t="s">
        <v>8130</v>
      </c>
    </row>
    <row r="2419" spans="1:6">
      <c r="A2419" s="26" t="s">
        <v>8239</v>
      </c>
      <c r="B2419" s="26" t="s">
        <v>8428</v>
      </c>
      <c r="C2419" s="26" t="s">
        <v>238</v>
      </c>
      <c r="D2419" s="26" t="s">
        <v>6396</v>
      </c>
      <c r="E2419" s="26" t="s">
        <v>6395</v>
      </c>
    </row>
    <row r="2420" spans="1:6">
      <c r="A2420" s="26" t="s">
        <v>8239</v>
      </c>
      <c r="B2420" s="26" t="s">
        <v>7082</v>
      </c>
      <c r="C2420" s="26" t="s">
        <v>6427</v>
      </c>
      <c r="D2420" s="26" t="s">
        <v>6396</v>
      </c>
      <c r="E2420" s="26" t="s">
        <v>6395</v>
      </c>
    </row>
    <row r="2421" spans="1:6">
      <c r="A2421" s="26" t="s">
        <v>8239</v>
      </c>
      <c r="B2421" s="26" t="s">
        <v>65</v>
      </c>
      <c r="C2421" s="26" t="s">
        <v>51</v>
      </c>
      <c r="D2421" s="26" t="s">
        <v>6396</v>
      </c>
      <c r="E2421" s="26" t="s">
        <v>6395</v>
      </c>
      <c r="F2421" s="26" t="s">
        <v>8130</v>
      </c>
    </row>
    <row r="2422" spans="1:6">
      <c r="A2422" s="26" t="s">
        <v>8239</v>
      </c>
      <c r="B2422" s="26" t="s">
        <v>1484</v>
      </c>
      <c r="C2422" s="26" t="s">
        <v>541</v>
      </c>
      <c r="D2422" s="26" t="s">
        <v>6396</v>
      </c>
      <c r="E2422" s="26" t="s">
        <v>6395</v>
      </c>
    </row>
    <row r="2423" spans="1:6">
      <c r="A2423" s="26" t="s">
        <v>8239</v>
      </c>
      <c r="B2423" s="26" t="s">
        <v>153</v>
      </c>
      <c r="C2423" s="26" t="s">
        <v>8262</v>
      </c>
      <c r="D2423" s="26" t="s">
        <v>6396</v>
      </c>
      <c r="E2423" s="26" t="s">
        <v>6395</v>
      </c>
    </row>
    <row r="2424" spans="1:6">
      <c r="A2424" s="26" t="s">
        <v>8239</v>
      </c>
      <c r="B2424" s="26" t="s">
        <v>6780</v>
      </c>
      <c r="C2424" s="26" t="s">
        <v>7929</v>
      </c>
      <c r="D2424" s="26" t="s">
        <v>6396</v>
      </c>
      <c r="E2424" s="26" t="s">
        <v>6395</v>
      </c>
    </row>
    <row r="2425" spans="1:6">
      <c r="A2425" s="26" t="s">
        <v>8239</v>
      </c>
      <c r="B2425" s="26" t="s">
        <v>8429</v>
      </c>
      <c r="C2425" s="26" t="s">
        <v>8430</v>
      </c>
      <c r="D2425" s="26" t="s">
        <v>6396</v>
      </c>
      <c r="E2425" s="26" t="s">
        <v>6395</v>
      </c>
    </row>
    <row r="2426" spans="1:6">
      <c r="A2426" s="26" t="s">
        <v>8239</v>
      </c>
      <c r="B2426" s="26" t="s">
        <v>7277</v>
      </c>
      <c r="C2426" s="26" t="s">
        <v>7814</v>
      </c>
      <c r="D2426" s="26" t="s">
        <v>6396</v>
      </c>
      <c r="E2426" s="26" t="s">
        <v>6395</v>
      </c>
    </row>
    <row r="2427" spans="1:6">
      <c r="A2427" s="26" t="s">
        <v>8239</v>
      </c>
      <c r="B2427" s="26" t="s">
        <v>3378</v>
      </c>
      <c r="C2427" s="26" t="s">
        <v>8431</v>
      </c>
      <c r="D2427" s="26" t="s">
        <v>6396</v>
      </c>
      <c r="E2427" s="26" t="s">
        <v>8286</v>
      </c>
    </row>
    <row r="2428" spans="1:6">
      <c r="A2428" s="26" t="s">
        <v>8239</v>
      </c>
      <c r="B2428" s="26" t="s">
        <v>6968</v>
      </c>
      <c r="C2428" s="26" t="s">
        <v>976</v>
      </c>
      <c r="D2428" s="26" t="s">
        <v>6396</v>
      </c>
      <c r="E2428" s="26" t="s">
        <v>6395</v>
      </c>
    </row>
    <row r="2429" spans="1:6">
      <c r="A2429" s="26" t="s">
        <v>8239</v>
      </c>
      <c r="B2429" s="26" t="s">
        <v>7119</v>
      </c>
      <c r="C2429" s="26" t="s">
        <v>484</v>
      </c>
      <c r="D2429" s="26" t="s">
        <v>6396</v>
      </c>
      <c r="E2429" s="26" t="s">
        <v>6395</v>
      </c>
    </row>
    <row r="2430" spans="1:6">
      <c r="A2430" s="26" t="s">
        <v>8239</v>
      </c>
      <c r="B2430" s="26" t="s">
        <v>2777</v>
      </c>
      <c r="C2430" s="26" t="s">
        <v>265</v>
      </c>
      <c r="D2430" s="26" t="s">
        <v>6396</v>
      </c>
      <c r="E2430" s="26" t="s">
        <v>6395</v>
      </c>
    </row>
    <row r="2431" spans="1:6">
      <c r="A2431" s="26" t="s">
        <v>8239</v>
      </c>
      <c r="B2431" s="26" t="s">
        <v>7815</v>
      </c>
      <c r="C2431" s="26" t="s">
        <v>2057</v>
      </c>
      <c r="D2431" s="26" t="s">
        <v>6396</v>
      </c>
      <c r="E2431" s="26" t="s">
        <v>6443</v>
      </c>
    </row>
    <row r="2432" spans="1:6">
      <c r="A2432" s="26" t="s">
        <v>8239</v>
      </c>
      <c r="B2432" s="26" t="s">
        <v>8432</v>
      </c>
      <c r="C2432" s="26" t="s">
        <v>8433</v>
      </c>
      <c r="D2432" s="26" t="s">
        <v>6396</v>
      </c>
      <c r="E2432" s="26" t="s">
        <v>6395</v>
      </c>
    </row>
    <row r="2433" spans="1:6">
      <c r="A2433" s="26" t="s">
        <v>8239</v>
      </c>
      <c r="B2433" s="26" t="s">
        <v>7182</v>
      </c>
      <c r="C2433" s="26" t="s">
        <v>935</v>
      </c>
      <c r="D2433" s="26" t="s">
        <v>6396</v>
      </c>
      <c r="E2433" s="26" t="s">
        <v>6395</v>
      </c>
    </row>
    <row r="2434" spans="1:6">
      <c r="A2434" s="26" t="s">
        <v>8239</v>
      </c>
      <c r="B2434" s="26" t="s">
        <v>7821</v>
      </c>
      <c r="C2434" s="26" t="s">
        <v>8434</v>
      </c>
      <c r="D2434" s="26" t="s">
        <v>6396</v>
      </c>
      <c r="E2434" s="26" t="s">
        <v>6443</v>
      </c>
      <c r="F2434" s="26" t="s">
        <v>8130</v>
      </c>
    </row>
    <row r="2435" spans="1:6">
      <c r="A2435" s="26" t="s">
        <v>8239</v>
      </c>
      <c r="B2435" s="26" t="s">
        <v>7113</v>
      </c>
      <c r="C2435" s="26" t="s">
        <v>8435</v>
      </c>
      <c r="D2435" s="26" t="s">
        <v>6396</v>
      </c>
      <c r="E2435" s="26" t="s">
        <v>6395</v>
      </c>
    </row>
    <row r="2436" spans="1:6">
      <c r="A2436" s="26" t="s">
        <v>8239</v>
      </c>
      <c r="B2436" s="26" t="s">
        <v>2448</v>
      </c>
      <c r="C2436" s="26" t="s">
        <v>8262</v>
      </c>
      <c r="D2436" s="26" t="s">
        <v>6396</v>
      </c>
      <c r="E2436" s="26" t="s">
        <v>6395</v>
      </c>
    </row>
    <row r="2437" spans="1:6">
      <c r="A2437" s="26" t="s">
        <v>8239</v>
      </c>
      <c r="B2437" s="26" t="s">
        <v>8436</v>
      </c>
      <c r="C2437" s="26" t="s">
        <v>8277</v>
      </c>
      <c r="D2437" s="26" t="s">
        <v>6396</v>
      </c>
      <c r="E2437" s="26" t="s">
        <v>6395</v>
      </c>
    </row>
    <row r="2438" spans="1:6">
      <c r="A2438" s="26" t="s">
        <v>8239</v>
      </c>
      <c r="B2438" s="26" t="s">
        <v>8437</v>
      </c>
      <c r="C2438" s="26" t="s">
        <v>6422</v>
      </c>
      <c r="D2438" s="26" t="s">
        <v>6396</v>
      </c>
      <c r="E2438" s="26" t="s">
        <v>6432</v>
      </c>
      <c r="F2438" s="26" t="s">
        <v>8243</v>
      </c>
    </row>
    <row r="2439" spans="1:6">
      <c r="A2439" s="26" t="s">
        <v>8239</v>
      </c>
      <c r="B2439" s="26" t="s">
        <v>6628</v>
      </c>
      <c r="C2439" s="26" t="s">
        <v>6451</v>
      </c>
      <c r="D2439" s="26" t="s">
        <v>6396</v>
      </c>
      <c r="E2439" s="26" t="s">
        <v>6395</v>
      </c>
    </row>
    <row r="2440" spans="1:6">
      <c r="A2440" s="26" t="s">
        <v>8239</v>
      </c>
      <c r="B2440" s="26" t="s">
        <v>6797</v>
      </c>
      <c r="C2440" s="26" t="s">
        <v>6796</v>
      </c>
      <c r="D2440" s="26" t="s">
        <v>6396</v>
      </c>
      <c r="E2440" s="26" t="s">
        <v>6395</v>
      </c>
    </row>
    <row r="2441" spans="1:6">
      <c r="A2441" s="26" t="s">
        <v>8239</v>
      </c>
      <c r="B2441" s="26" t="s">
        <v>8438</v>
      </c>
      <c r="C2441" s="26" t="s">
        <v>742</v>
      </c>
      <c r="D2441" s="26" t="s">
        <v>6396</v>
      </c>
      <c r="E2441" s="26" t="s">
        <v>6395</v>
      </c>
    </row>
    <row r="2442" spans="1:6">
      <c r="A2442" s="26" t="s">
        <v>8239</v>
      </c>
      <c r="B2442" s="26" t="s">
        <v>8439</v>
      </c>
      <c r="C2442" s="26" t="s">
        <v>8440</v>
      </c>
      <c r="D2442" s="26" t="s">
        <v>6396</v>
      </c>
      <c r="E2442" s="26" t="s">
        <v>6678</v>
      </c>
      <c r="F2442" s="26" t="s">
        <v>8248</v>
      </c>
    </row>
    <row r="2443" spans="1:6">
      <c r="A2443" s="26" t="s">
        <v>8239</v>
      </c>
      <c r="B2443" s="26" t="s">
        <v>8441</v>
      </c>
      <c r="C2443" s="26" t="s">
        <v>8442</v>
      </c>
      <c r="D2443" s="26" t="s">
        <v>6396</v>
      </c>
      <c r="E2443" s="26" t="s">
        <v>6395</v>
      </c>
    </row>
    <row r="2444" spans="1:6">
      <c r="A2444" s="26" t="s">
        <v>8239</v>
      </c>
      <c r="B2444" s="26" t="s">
        <v>8443</v>
      </c>
      <c r="C2444" s="26" t="s">
        <v>8444</v>
      </c>
      <c r="D2444" s="26" t="s">
        <v>6396</v>
      </c>
      <c r="E2444" s="26" t="s">
        <v>6395</v>
      </c>
    </row>
    <row r="2445" spans="1:6">
      <c r="A2445" s="26" t="s">
        <v>8239</v>
      </c>
      <c r="B2445" s="26" t="s">
        <v>6548</v>
      </c>
      <c r="C2445" s="26" t="s">
        <v>6547</v>
      </c>
      <c r="D2445" s="26" t="s">
        <v>6396</v>
      </c>
      <c r="E2445" s="26" t="s">
        <v>6443</v>
      </c>
    </row>
    <row r="2446" spans="1:6">
      <c r="A2446" s="26" t="s">
        <v>8239</v>
      </c>
      <c r="B2446" s="26" t="s">
        <v>8445</v>
      </c>
      <c r="C2446" s="26" t="s">
        <v>7327</v>
      </c>
      <c r="D2446" s="26" t="s">
        <v>6396</v>
      </c>
      <c r="E2446" s="26" t="s">
        <v>6443</v>
      </c>
    </row>
    <row r="2447" spans="1:6">
      <c r="A2447" s="26" t="s">
        <v>8239</v>
      </c>
      <c r="B2447" s="26" t="s">
        <v>2814</v>
      </c>
      <c r="C2447" s="26" t="s">
        <v>8262</v>
      </c>
      <c r="D2447" s="26" t="s">
        <v>6396</v>
      </c>
      <c r="E2447" s="26" t="s">
        <v>6395</v>
      </c>
    </row>
    <row r="2448" spans="1:6">
      <c r="A2448" s="26" t="s">
        <v>8239</v>
      </c>
      <c r="B2448" s="26" t="s">
        <v>749</v>
      </c>
      <c r="C2448" s="26" t="s">
        <v>131</v>
      </c>
      <c r="D2448" s="26" t="s">
        <v>6396</v>
      </c>
      <c r="E2448" s="26" t="s">
        <v>6395</v>
      </c>
    </row>
    <row r="2449" spans="1:7">
      <c r="A2449" s="26" t="s">
        <v>8239</v>
      </c>
      <c r="B2449" s="26" t="s">
        <v>7829</v>
      </c>
      <c r="C2449" s="26" t="s">
        <v>7830</v>
      </c>
      <c r="D2449" s="26" t="s">
        <v>6396</v>
      </c>
      <c r="E2449" s="26" t="s">
        <v>6395</v>
      </c>
    </row>
    <row r="2450" spans="1:7">
      <c r="A2450" s="26" t="s">
        <v>8239</v>
      </c>
      <c r="B2450" s="26" t="s">
        <v>1737</v>
      </c>
      <c r="C2450" s="26" t="s">
        <v>742</v>
      </c>
      <c r="D2450" s="26" t="s">
        <v>6396</v>
      </c>
      <c r="E2450" s="26" t="s">
        <v>6395</v>
      </c>
    </row>
    <row r="2451" spans="1:7">
      <c r="A2451" s="26" t="s">
        <v>8239</v>
      </c>
      <c r="B2451" s="26" t="s">
        <v>7831</v>
      </c>
      <c r="C2451" s="26" t="s">
        <v>7832</v>
      </c>
      <c r="D2451" s="26" t="s">
        <v>6396</v>
      </c>
      <c r="E2451" s="26" t="s">
        <v>6395</v>
      </c>
    </row>
    <row r="2452" spans="1:7">
      <c r="A2452" s="26" t="s">
        <v>8239</v>
      </c>
      <c r="B2452" s="26" t="s">
        <v>2419</v>
      </c>
      <c r="C2452" s="26" t="s">
        <v>1586</v>
      </c>
      <c r="D2452" s="26" t="s">
        <v>6396</v>
      </c>
      <c r="E2452" s="26" t="s">
        <v>6395</v>
      </c>
    </row>
    <row r="2453" spans="1:7">
      <c r="A2453" s="26" t="s">
        <v>8239</v>
      </c>
      <c r="B2453" s="26" t="s">
        <v>6634</v>
      </c>
      <c r="C2453" s="26" t="s">
        <v>6633</v>
      </c>
      <c r="D2453" s="26" t="s">
        <v>6396</v>
      </c>
      <c r="E2453" s="26" t="s">
        <v>6395</v>
      </c>
    </row>
    <row r="2454" spans="1:7">
      <c r="A2454" s="26" t="s">
        <v>8239</v>
      </c>
      <c r="B2454" s="26" t="s">
        <v>6983</v>
      </c>
      <c r="C2454" s="26" t="s">
        <v>6566</v>
      </c>
      <c r="D2454" s="26" t="s">
        <v>6396</v>
      </c>
      <c r="E2454" s="26" t="s">
        <v>6395</v>
      </c>
    </row>
    <row r="2455" spans="1:7">
      <c r="A2455" s="26" t="s">
        <v>8239</v>
      </c>
      <c r="B2455" s="26" t="s">
        <v>6883</v>
      </c>
      <c r="C2455" s="26" t="s">
        <v>776</v>
      </c>
      <c r="D2455" s="26" t="s">
        <v>6396</v>
      </c>
      <c r="E2455" s="26" t="s">
        <v>6395</v>
      </c>
    </row>
    <row r="2456" spans="1:7">
      <c r="A2456" s="26" t="s">
        <v>8239</v>
      </c>
      <c r="B2456" s="26" t="s">
        <v>8446</v>
      </c>
      <c r="C2456" s="26" t="s">
        <v>8447</v>
      </c>
      <c r="D2456" s="26" t="s">
        <v>6396</v>
      </c>
      <c r="E2456" s="26" t="s">
        <v>6395</v>
      </c>
    </row>
    <row r="2457" spans="1:7">
      <c r="A2457" s="26" t="s">
        <v>8239</v>
      </c>
      <c r="B2457" s="26" t="s">
        <v>6529</v>
      </c>
      <c r="C2457" s="26" t="s">
        <v>541</v>
      </c>
      <c r="D2457" s="26" t="s">
        <v>6396</v>
      </c>
      <c r="E2457" s="26" t="s">
        <v>6395</v>
      </c>
    </row>
    <row r="2458" spans="1:7">
      <c r="A2458" s="26" t="s">
        <v>8239</v>
      </c>
      <c r="B2458" s="26" t="s">
        <v>8448</v>
      </c>
      <c r="C2458" s="26" t="s">
        <v>580</v>
      </c>
      <c r="D2458" s="26" t="s">
        <v>6396</v>
      </c>
      <c r="E2458" s="26" t="s">
        <v>6395</v>
      </c>
      <c r="G2458" s="26" t="s">
        <v>8449</v>
      </c>
    </row>
    <row r="2459" spans="1:7">
      <c r="A2459" s="26" t="s">
        <v>8239</v>
      </c>
      <c r="B2459" s="26" t="s">
        <v>6417</v>
      </c>
      <c r="C2459" s="26" t="s">
        <v>7419</v>
      </c>
      <c r="D2459" s="26" t="s">
        <v>6396</v>
      </c>
      <c r="E2459" s="26" t="s">
        <v>6395</v>
      </c>
      <c r="F2459" s="26" t="s">
        <v>8130</v>
      </c>
    </row>
    <row r="2460" spans="1:7">
      <c r="A2460" s="26" t="s">
        <v>8239</v>
      </c>
      <c r="B2460" s="26" t="s">
        <v>8450</v>
      </c>
      <c r="C2460" s="26" t="s">
        <v>2554</v>
      </c>
      <c r="D2460" s="26" t="s">
        <v>6396</v>
      </c>
      <c r="E2460" s="26" t="s">
        <v>6395</v>
      </c>
    </row>
    <row r="2461" spans="1:7">
      <c r="A2461" s="26" t="s">
        <v>8239</v>
      </c>
      <c r="B2461" s="26" t="s">
        <v>477</v>
      </c>
      <c r="C2461" s="26" t="s">
        <v>478</v>
      </c>
      <c r="D2461" s="26" t="s">
        <v>6396</v>
      </c>
      <c r="E2461" s="26" t="s">
        <v>6395</v>
      </c>
    </row>
    <row r="2462" spans="1:7">
      <c r="A2462" s="26" t="s">
        <v>8239</v>
      </c>
      <c r="B2462" s="26" t="s">
        <v>7837</v>
      </c>
      <c r="C2462" s="26" t="s">
        <v>3262</v>
      </c>
      <c r="D2462" s="26" t="s">
        <v>6396</v>
      </c>
      <c r="E2462" s="26" t="s">
        <v>6395</v>
      </c>
    </row>
    <row r="2463" spans="1:7">
      <c r="A2463" s="26" t="s">
        <v>8239</v>
      </c>
      <c r="B2463" s="26" t="s">
        <v>8451</v>
      </c>
      <c r="C2463" s="26" t="s">
        <v>131</v>
      </c>
      <c r="D2463" s="26" t="s">
        <v>6396</v>
      </c>
      <c r="E2463" s="26" t="s">
        <v>6395</v>
      </c>
    </row>
    <row r="2464" spans="1:7">
      <c r="A2464" s="26" t="s">
        <v>8239</v>
      </c>
      <c r="B2464" s="26" t="s">
        <v>2240</v>
      </c>
      <c r="D2464" s="26" t="s">
        <v>6396</v>
      </c>
      <c r="E2464" s="26" t="s">
        <v>6432</v>
      </c>
      <c r="F2464" s="26" t="s">
        <v>8243</v>
      </c>
    </row>
    <row r="2465" spans="1:5">
      <c r="A2465" s="26" t="s">
        <v>8239</v>
      </c>
      <c r="B2465" s="26" t="s">
        <v>8060</v>
      </c>
      <c r="C2465" s="26" t="s">
        <v>8452</v>
      </c>
      <c r="D2465" s="26" t="s">
        <v>6396</v>
      </c>
      <c r="E2465" s="26" t="s">
        <v>6395</v>
      </c>
    </row>
    <row r="2466" spans="1:5">
      <c r="A2466" s="26" t="s">
        <v>8239</v>
      </c>
      <c r="B2466" s="26" t="s">
        <v>6447</v>
      </c>
      <c r="C2466" s="26" t="s">
        <v>8453</v>
      </c>
      <c r="D2466" s="26" t="s">
        <v>6396</v>
      </c>
      <c r="E2466" s="26" t="s">
        <v>6395</v>
      </c>
    </row>
    <row r="2467" spans="1:5">
      <c r="A2467" s="26" t="s">
        <v>8239</v>
      </c>
      <c r="B2467" s="26" t="s">
        <v>6693</v>
      </c>
      <c r="C2467" s="26" t="s">
        <v>8454</v>
      </c>
      <c r="D2467" s="26" t="s">
        <v>6396</v>
      </c>
      <c r="E2467" s="26" t="s">
        <v>6443</v>
      </c>
    </row>
    <row r="2468" spans="1:5">
      <c r="A2468" s="26" t="s">
        <v>8239</v>
      </c>
      <c r="B2468" s="26" t="s">
        <v>433</v>
      </c>
      <c r="C2468" s="26" t="s">
        <v>27</v>
      </c>
      <c r="D2468" s="26" t="s">
        <v>6396</v>
      </c>
      <c r="E2468" s="26" t="s">
        <v>6395</v>
      </c>
    </row>
    <row r="2469" spans="1:5">
      <c r="A2469" s="26" t="s">
        <v>8239</v>
      </c>
      <c r="B2469" s="26" t="s">
        <v>1159</v>
      </c>
      <c r="C2469" s="26" t="s">
        <v>1160</v>
      </c>
      <c r="D2469" s="26" t="s">
        <v>6396</v>
      </c>
      <c r="E2469" s="26" t="s">
        <v>8286</v>
      </c>
    </row>
    <row r="2470" spans="1:5">
      <c r="A2470" s="26" t="s">
        <v>8239</v>
      </c>
      <c r="B2470" s="26" t="s">
        <v>8077</v>
      </c>
      <c r="C2470" s="26" t="s">
        <v>8452</v>
      </c>
      <c r="D2470" s="26" t="s">
        <v>6396</v>
      </c>
      <c r="E2470" s="26" t="s">
        <v>10244</v>
      </c>
    </row>
    <row r="2471" spans="1:5">
      <c r="A2471" s="26" t="s">
        <v>8239</v>
      </c>
      <c r="B2471" s="26" t="s">
        <v>7213</v>
      </c>
      <c r="C2471" s="26" t="s">
        <v>950</v>
      </c>
      <c r="D2471" s="26" t="s">
        <v>6396</v>
      </c>
      <c r="E2471" s="26" t="s">
        <v>6395</v>
      </c>
    </row>
    <row r="2472" spans="1:5">
      <c r="A2472" s="26" t="s">
        <v>8239</v>
      </c>
      <c r="B2472" s="26" t="s">
        <v>30</v>
      </c>
      <c r="C2472" s="26" t="s">
        <v>8262</v>
      </c>
      <c r="D2472" s="26" t="s">
        <v>6396</v>
      </c>
      <c r="E2472" s="26" t="s">
        <v>6395</v>
      </c>
    </row>
    <row r="2473" spans="1:5">
      <c r="A2473" s="26" t="s">
        <v>8239</v>
      </c>
      <c r="B2473" s="26" t="s">
        <v>1534</v>
      </c>
      <c r="C2473" s="26" t="s">
        <v>6392</v>
      </c>
      <c r="D2473" s="26" t="s">
        <v>6396</v>
      </c>
      <c r="E2473" s="26" t="s">
        <v>6395</v>
      </c>
    </row>
    <row r="2474" spans="1:5">
      <c r="A2474" s="26" t="s">
        <v>8239</v>
      </c>
      <c r="B2474" s="26" t="s">
        <v>8455</v>
      </c>
      <c r="C2474" s="26" t="s">
        <v>8456</v>
      </c>
      <c r="D2474" s="26" t="s">
        <v>6396</v>
      </c>
      <c r="E2474" s="26" t="s">
        <v>6395</v>
      </c>
    </row>
    <row r="2475" spans="1:5">
      <c r="A2475" s="26" t="s">
        <v>8239</v>
      </c>
      <c r="B2475" s="26" t="s">
        <v>214</v>
      </c>
      <c r="C2475" s="26" t="s">
        <v>215</v>
      </c>
      <c r="D2475" s="26" t="s">
        <v>6396</v>
      </c>
      <c r="E2475" s="26" t="s">
        <v>10244</v>
      </c>
    </row>
    <row r="2476" spans="1:5">
      <c r="A2476" s="26" t="s">
        <v>8239</v>
      </c>
      <c r="B2476" s="26" t="s">
        <v>2932</v>
      </c>
      <c r="C2476" s="26" t="s">
        <v>2933</v>
      </c>
      <c r="D2476" s="26" t="s">
        <v>6396</v>
      </c>
      <c r="E2476" s="26" t="s">
        <v>6395</v>
      </c>
    </row>
    <row r="2477" spans="1:5">
      <c r="A2477" s="26" t="s">
        <v>8239</v>
      </c>
      <c r="B2477" s="26" t="s">
        <v>1478</v>
      </c>
      <c r="C2477" s="26" t="s">
        <v>21</v>
      </c>
      <c r="D2477" s="26" t="s">
        <v>6396</v>
      </c>
      <c r="E2477" s="26" t="s">
        <v>6395</v>
      </c>
    </row>
    <row r="2478" spans="1:5">
      <c r="A2478" s="26" t="s">
        <v>8239</v>
      </c>
      <c r="B2478" s="26" t="s">
        <v>7848</v>
      </c>
      <c r="C2478" s="26" t="s">
        <v>8457</v>
      </c>
      <c r="D2478" s="26" t="s">
        <v>6396</v>
      </c>
      <c r="E2478" s="26" t="s">
        <v>6395</v>
      </c>
    </row>
    <row r="2479" spans="1:5">
      <c r="A2479" s="26" t="s">
        <v>8239</v>
      </c>
      <c r="B2479" s="26" t="s">
        <v>492</v>
      </c>
      <c r="C2479" s="26" t="s">
        <v>21</v>
      </c>
      <c r="D2479" s="26" t="s">
        <v>6396</v>
      </c>
      <c r="E2479" s="26" t="s">
        <v>6395</v>
      </c>
    </row>
    <row r="2480" spans="1:5">
      <c r="A2480" s="26" t="s">
        <v>8239</v>
      </c>
      <c r="B2480" s="26" t="s">
        <v>8177</v>
      </c>
      <c r="C2480" s="26" t="s">
        <v>8178</v>
      </c>
      <c r="D2480" s="26" t="s">
        <v>6396</v>
      </c>
      <c r="E2480" s="26" t="s">
        <v>6395</v>
      </c>
    </row>
    <row r="2481" spans="1:6">
      <c r="A2481" s="26" t="s">
        <v>8239</v>
      </c>
      <c r="B2481" s="26" t="s">
        <v>7281</v>
      </c>
      <c r="C2481" s="26" t="s">
        <v>707</v>
      </c>
      <c r="D2481" s="26" t="s">
        <v>6396</v>
      </c>
      <c r="E2481" s="26" t="s">
        <v>6395</v>
      </c>
    </row>
    <row r="2482" spans="1:6">
      <c r="A2482" s="26" t="s">
        <v>8239</v>
      </c>
      <c r="B2482" s="26" t="s">
        <v>8458</v>
      </c>
      <c r="C2482" s="26" t="s">
        <v>42</v>
      </c>
      <c r="D2482" s="26" t="s">
        <v>6396</v>
      </c>
      <c r="E2482" s="26" t="s">
        <v>6395</v>
      </c>
    </row>
    <row r="2483" spans="1:6">
      <c r="A2483" s="26" t="s">
        <v>8239</v>
      </c>
      <c r="B2483" s="26" t="s">
        <v>8458</v>
      </c>
      <c r="C2483" s="26" t="s">
        <v>478</v>
      </c>
      <c r="D2483" s="26" t="s">
        <v>6396</v>
      </c>
      <c r="E2483" s="26" t="s">
        <v>6395</v>
      </c>
    </row>
    <row r="2484" spans="1:6">
      <c r="A2484" s="26" t="s">
        <v>8239</v>
      </c>
      <c r="B2484" s="26" t="s">
        <v>8459</v>
      </c>
      <c r="C2484" s="26" t="s">
        <v>8460</v>
      </c>
      <c r="D2484" s="26" t="s">
        <v>6396</v>
      </c>
      <c r="E2484" s="26" t="s">
        <v>10245</v>
      </c>
    </row>
    <row r="2485" spans="1:6">
      <c r="A2485" s="26" t="s">
        <v>8239</v>
      </c>
      <c r="B2485" s="26" t="s">
        <v>8461</v>
      </c>
      <c r="C2485" s="26" t="s">
        <v>8462</v>
      </c>
      <c r="D2485" s="26" t="s">
        <v>6396</v>
      </c>
      <c r="E2485" s="26" t="s">
        <v>10245</v>
      </c>
    </row>
    <row r="2486" spans="1:6">
      <c r="A2486" s="26" t="s">
        <v>8239</v>
      </c>
      <c r="B2486" s="26" t="s">
        <v>2193</v>
      </c>
      <c r="C2486" s="26" t="s">
        <v>131</v>
      </c>
      <c r="D2486" s="26" t="s">
        <v>6396</v>
      </c>
      <c r="E2486" s="26" t="s">
        <v>6395</v>
      </c>
    </row>
    <row r="2487" spans="1:6">
      <c r="A2487" s="26" t="s">
        <v>8239</v>
      </c>
      <c r="B2487" s="26" t="s">
        <v>2529</v>
      </c>
      <c r="C2487" s="26" t="s">
        <v>1545</v>
      </c>
      <c r="D2487" s="26" t="s">
        <v>6396</v>
      </c>
      <c r="E2487" s="26" t="s">
        <v>6395</v>
      </c>
    </row>
    <row r="2488" spans="1:6">
      <c r="A2488" s="26" t="s">
        <v>8239</v>
      </c>
      <c r="B2488" s="26" t="s">
        <v>781</v>
      </c>
      <c r="C2488" s="26" t="s">
        <v>782</v>
      </c>
      <c r="D2488" s="26" t="s">
        <v>6396</v>
      </c>
      <c r="E2488" s="26" t="s">
        <v>6395</v>
      </c>
    </row>
    <row r="2489" spans="1:6">
      <c r="A2489" s="26" t="s">
        <v>8239</v>
      </c>
      <c r="B2489" s="26" t="s">
        <v>7018</v>
      </c>
      <c r="C2489" s="26" t="s">
        <v>2400</v>
      </c>
      <c r="D2489" s="26" t="s">
        <v>6396</v>
      </c>
      <c r="E2489" s="26" t="s">
        <v>6395</v>
      </c>
    </row>
    <row r="2490" spans="1:6">
      <c r="A2490" s="26" t="s">
        <v>8239</v>
      </c>
      <c r="B2490" s="26" t="s">
        <v>2277</v>
      </c>
      <c r="C2490" s="26" t="s">
        <v>524</v>
      </c>
      <c r="D2490" s="26" t="s">
        <v>6396</v>
      </c>
      <c r="E2490" s="26" t="s">
        <v>6395</v>
      </c>
    </row>
    <row r="2491" spans="1:6">
      <c r="A2491" s="26" t="s">
        <v>8239</v>
      </c>
      <c r="B2491" s="26" t="s">
        <v>8463</v>
      </c>
      <c r="C2491" s="26" t="s">
        <v>7291</v>
      </c>
      <c r="D2491" s="26" t="s">
        <v>6396</v>
      </c>
      <c r="E2491" s="26" t="s">
        <v>6395</v>
      </c>
      <c r="F2491" s="26" t="s">
        <v>8248</v>
      </c>
    </row>
    <row r="2492" spans="1:6">
      <c r="A2492" s="26" t="s">
        <v>8239</v>
      </c>
      <c r="B2492" s="26" t="s">
        <v>7855</v>
      </c>
      <c r="C2492" s="26" t="s">
        <v>6777</v>
      </c>
      <c r="D2492" s="26" t="s">
        <v>6396</v>
      </c>
      <c r="E2492" s="26" t="s">
        <v>6395</v>
      </c>
    </row>
    <row r="2493" spans="1:6">
      <c r="A2493" s="26" t="s">
        <v>8239</v>
      </c>
      <c r="B2493" s="26" t="s">
        <v>967</v>
      </c>
      <c r="C2493" s="26" t="s">
        <v>42</v>
      </c>
      <c r="D2493" s="26" t="s">
        <v>6396</v>
      </c>
      <c r="E2493" s="26" t="s">
        <v>6395</v>
      </c>
    </row>
    <row r="2494" spans="1:6">
      <c r="A2494" s="26" t="s">
        <v>8239</v>
      </c>
      <c r="B2494" s="26" t="s">
        <v>8464</v>
      </c>
      <c r="C2494" s="26" t="s">
        <v>8465</v>
      </c>
      <c r="D2494" s="26" t="s">
        <v>6396</v>
      </c>
      <c r="E2494" s="26" t="s">
        <v>6395</v>
      </c>
    </row>
    <row r="2495" spans="1:6">
      <c r="A2495" s="26" t="s">
        <v>8239</v>
      </c>
      <c r="B2495" s="26" t="s">
        <v>7026</v>
      </c>
      <c r="C2495" s="26" t="s">
        <v>227</v>
      </c>
      <c r="D2495" s="26" t="s">
        <v>6396</v>
      </c>
      <c r="E2495" s="26" t="s">
        <v>6395</v>
      </c>
    </row>
    <row r="2496" spans="1:6">
      <c r="A2496" s="26" t="s">
        <v>8239</v>
      </c>
      <c r="B2496" s="26" t="s">
        <v>8466</v>
      </c>
      <c r="C2496" s="26" t="s">
        <v>8467</v>
      </c>
      <c r="D2496" s="26" t="s">
        <v>6396</v>
      </c>
      <c r="E2496" s="26" t="s">
        <v>8286</v>
      </c>
    </row>
    <row r="2497" spans="1:6">
      <c r="A2497" s="26" t="s">
        <v>8239</v>
      </c>
      <c r="B2497" s="26" t="s">
        <v>971</v>
      </c>
      <c r="C2497" s="26" t="s">
        <v>950</v>
      </c>
      <c r="D2497" s="26" t="s">
        <v>6396</v>
      </c>
      <c r="E2497" s="26" t="s">
        <v>6395</v>
      </c>
    </row>
    <row r="2498" spans="1:6">
      <c r="A2498" s="26" t="s">
        <v>8239</v>
      </c>
      <c r="B2498" s="26" t="s">
        <v>8468</v>
      </c>
      <c r="C2498" s="26" t="s">
        <v>8469</v>
      </c>
      <c r="D2498" s="26" t="s">
        <v>6396</v>
      </c>
      <c r="E2498" s="26" t="s">
        <v>6395</v>
      </c>
    </row>
    <row r="2499" spans="1:6">
      <c r="A2499" s="26" t="s">
        <v>8239</v>
      </c>
      <c r="B2499" s="26" t="s">
        <v>2859</v>
      </c>
      <c r="C2499" s="26" t="s">
        <v>7017</v>
      </c>
      <c r="D2499" s="26" t="s">
        <v>6396</v>
      </c>
      <c r="E2499" s="26" t="s">
        <v>6395</v>
      </c>
    </row>
    <row r="2500" spans="1:6">
      <c r="A2500" s="26" t="s">
        <v>8239</v>
      </c>
      <c r="B2500" s="26" t="s">
        <v>6905</v>
      </c>
      <c r="C2500" s="26" t="s">
        <v>6904</v>
      </c>
      <c r="D2500" s="26" t="s">
        <v>6396</v>
      </c>
      <c r="E2500" s="26" t="s">
        <v>8286</v>
      </c>
    </row>
    <row r="2501" spans="1:6">
      <c r="A2501" s="26" t="s">
        <v>8239</v>
      </c>
      <c r="B2501" s="26" t="s">
        <v>6570</v>
      </c>
      <c r="C2501" s="26" t="s">
        <v>7035</v>
      </c>
      <c r="D2501" s="26" t="s">
        <v>6396</v>
      </c>
      <c r="E2501" s="26" t="s">
        <v>6395</v>
      </c>
    </row>
    <row r="2502" spans="1:6">
      <c r="A2502" s="26" t="s">
        <v>8239</v>
      </c>
      <c r="B2502" s="26" t="s">
        <v>2628</v>
      </c>
      <c r="C2502" s="26" t="s">
        <v>7419</v>
      </c>
      <c r="D2502" s="26" t="s">
        <v>6396</v>
      </c>
      <c r="E2502" s="26" t="s">
        <v>6395</v>
      </c>
      <c r="F2502" s="26" t="s">
        <v>8130</v>
      </c>
    </row>
    <row r="2503" spans="1:6">
      <c r="A2503" s="26" t="s">
        <v>8239</v>
      </c>
      <c r="B2503" s="26" t="s">
        <v>3318</v>
      </c>
      <c r="C2503" s="26" t="s">
        <v>3319</v>
      </c>
      <c r="D2503" s="26" t="s">
        <v>6396</v>
      </c>
      <c r="E2503" s="26" t="s">
        <v>6443</v>
      </c>
    </row>
    <row r="2504" spans="1:6">
      <c r="A2504" s="26" t="s">
        <v>8239</v>
      </c>
      <c r="B2504" s="26" t="s">
        <v>6565</v>
      </c>
      <c r="C2504" s="26" t="s">
        <v>27</v>
      </c>
      <c r="D2504" s="26" t="s">
        <v>6396</v>
      </c>
      <c r="E2504" s="26" t="s">
        <v>6395</v>
      </c>
    </row>
    <row r="2505" spans="1:6">
      <c r="A2505" s="26" t="s">
        <v>8239</v>
      </c>
      <c r="B2505" s="26" t="s">
        <v>2959</v>
      </c>
      <c r="C2505" s="26" t="s">
        <v>8470</v>
      </c>
      <c r="D2505" s="26" t="s">
        <v>6396</v>
      </c>
      <c r="E2505" s="26" t="s">
        <v>6395</v>
      </c>
    </row>
    <row r="2506" spans="1:6">
      <c r="A2506" s="26" t="s">
        <v>8239</v>
      </c>
      <c r="B2506" s="26" t="s">
        <v>7864</v>
      </c>
      <c r="C2506" s="26" t="s">
        <v>707</v>
      </c>
      <c r="D2506" s="26" t="s">
        <v>6396</v>
      </c>
      <c r="E2506" s="26" t="s">
        <v>6395</v>
      </c>
    </row>
    <row r="2507" spans="1:6">
      <c r="A2507" s="26" t="s">
        <v>8239</v>
      </c>
      <c r="B2507" s="26" t="s">
        <v>1305</v>
      </c>
      <c r="C2507" s="26" t="s">
        <v>1306</v>
      </c>
      <c r="D2507" s="26" t="s">
        <v>6396</v>
      </c>
      <c r="E2507" s="26" t="s">
        <v>6395</v>
      </c>
    </row>
    <row r="2508" spans="1:6">
      <c r="A2508" s="26" t="s">
        <v>8239</v>
      </c>
      <c r="B2508" s="26" t="s">
        <v>841</v>
      </c>
      <c r="C2508" s="26" t="s">
        <v>333</v>
      </c>
      <c r="D2508" s="26" t="s">
        <v>6396</v>
      </c>
      <c r="E2508" s="26" t="s">
        <v>6432</v>
      </c>
      <c r="F2508" s="26" t="s">
        <v>8243</v>
      </c>
    </row>
    <row r="2509" spans="1:6">
      <c r="A2509" s="26" t="s">
        <v>8239</v>
      </c>
      <c r="B2509" s="26" t="s">
        <v>180</v>
      </c>
      <c r="C2509" s="26" t="s">
        <v>188</v>
      </c>
      <c r="D2509" s="26" t="s">
        <v>6396</v>
      </c>
      <c r="E2509" s="26" t="s">
        <v>6395</v>
      </c>
    </row>
    <row r="2510" spans="1:6">
      <c r="A2510" s="26" t="s">
        <v>8239</v>
      </c>
      <c r="B2510" s="26" t="s">
        <v>6453</v>
      </c>
      <c r="C2510" s="26" t="s">
        <v>541</v>
      </c>
      <c r="D2510" s="26" t="s">
        <v>6396</v>
      </c>
      <c r="E2510" s="26" t="s">
        <v>6395</v>
      </c>
      <c r="F2510" s="26" t="s">
        <v>8248</v>
      </c>
    </row>
    <row r="2511" spans="1:6">
      <c r="A2511" s="26" t="s">
        <v>8239</v>
      </c>
      <c r="B2511" s="26" t="s">
        <v>8471</v>
      </c>
      <c r="C2511" s="26" t="s">
        <v>7329</v>
      </c>
      <c r="D2511" s="26" t="s">
        <v>6396</v>
      </c>
      <c r="E2511" s="26" t="s">
        <v>6395</v>
      </c>
    </row>
    <row r="2512" spans="1:6">
      <c r="A2512" s="26" t="s">
        <v>8239</v>
      </c>
      <c r="B2512" s="26" t="s">
        <v>1336</v>
      </c>
      <c r="C2512" s="26" t="s">
        <v>154</v>
      </c>
      <c r="D2512" s="26" t="s">
        <v>6396</v>
      </c>
      <c r="E2512" s="26" t="s">
        <v>6395</v>
      </c>
    </row>
    <row r="2513" spans="1:6">
      <c r="A2513" s="26" t="s">
        <v>8239</v>
      </c>
      <c r="B2513" s="26" t="s">
        <v>6662</v>
      </c>
      <c r="C2513" s="26" t="s">
        <v>6661</v>
      </c>
      <c r="D2513" s="26" t="s">
        <v>6396</v>
      </c>
      <c r="E2513" s="26" t="s">
        <v>6395</v>
      </c>
      <c r="F2513" s="26" t="s">
        <v>8130</v>
      </c>
    </row>
    <row r="2514" spans="1:6">
      <c r="A2514" s="26" t="s">
        <v>8239</v>
      </c>
      <c r="B2514" s="26" t="s">
        <v>7869</v>
      </c>
      <c r="C2514" s="26" t="s">
        <v>621</v>
      </c>
      <c r="D2514" s="26" t="s">
        <v>6396</v>
      </c>
      <c r="E2514" s="26" t="s">
        <v>6443</v>
      </c>
    </row>
    <row r="2515" spans="1:6">
      <c r="A2515" s="26" t="s">
        <v>8239</v>
      </c>
      <c r="B2515" s="26" t="s">
        <v>8472</v>
      </c>
      <c r="C2515" s="26" t="s">
        <v>6566</v>
      </c>
      <c r="D2515" s="26" t="s">
        <v>6396</v>
      </c>
      <c r="E2515" s="26" t="s">
        <v>6395</v>
      </c>
    </row>
    <row r="2516" spans="1:6">
      <c r="A2516" s="26" t="s">
        <v>8239</v>
      </c>
      <c r="B2516" s="26" t="s">
        <v>6945</v>
      </c>
      <c r="C2516" s="26" t="s">
        <v>493</v>
      </c>
      <c r="D2516" s="26" t="s">
        <v>6396</v>
      </c>
      <c r="E2516" s="26" t="s">
        <v>6395</v>
      </c>
    </row>
    <row r="2517" spans="1:6">
      <c r="A2517" s="26" t="s">
        <v>8239</v>
      </c>
      <c r="B2517" s="26" t="s">
        <v>1797</v>
      </c>
      <c r="C2517" s="26" t="s">
        <v>42</v>
      </c>
      <c r="D2517" s="26" t="s">
        <v>6396</v>
      </c>
      <c r="E2517" s="26" t="s">
        <v>6395</v>
      </c>
    </row>
    <row r="2518" spans="1:6">
      <c r="A2518" s="26" t="s">
        <v>8239</v>
      </c>
      <c r="B2518" s="26" t="s">
        <v>6755</v>
      </c>
      <c r="C2518" s="26" t="s">
        <v>6596</v>
      </c>
      <c r="D2518" s="26" t="s">
        <v>6396</v>
      </c>
      <c r="E2518" s="26" t="s">
        <v>6395</v>
      </c>
    </row>
    <row r="2519" spans="1:6">
      <c r="A2519" s="26" t="s">
        <v>8239</v>
      </c>
      <c r="B2519" s="26" t="s">
        <v>6816</v>
      </c>
      <c r="C2519" s="26" t="s">
        <v>6815</v>
      </c>
      <c r="D2519" s="26" t="s">
        <v>6396</v>
      </c>
      <c r="E2519" s="26" t="s">
        <v>6395</v>
      </c>
    </row>
    <row r="2520" spans="1:6">
      <c r="A2520" s="26" t="s">
        <v>8239</v>
      </c>
      <c r="B2520" s="26" t="s">
        <v>8473</v>
      </c>
      <c r="C2520" s="26" t="s">
        <v>8474</v>
      </c>
      <c r="D2520" s="26" t="s">
        <v>6396</v>
      </c>
      <c r="E2520" s="26" t="s">
        <v>6443</v>
      </c>
    </row>
    <row r="2521" spans="1:6">
      <c r="A2521" s="26" t="s">
        <v>8239</v>
      </c>
      <c r="B2521" s="26" t="s">
        <v>7152</v>
      </c>
      <c r="C2521" s="26" t="s">
        <v>6646</v>
      </c>
      <c r="D2521" s="26" t="s">
        <v>6396</v>
      </c>
      <c r="E2521" s="26" t="s">
        <v>6395</v>
      </c>
    </row>
    <row r="2522" spans="1:6">
      <c r="A2522" s="26" t="s">
        <v>8239</v>
      </c>
      <c r="B2522" s="26" t="s">
        <v>8475</v>
      </c>
      <c r="C2522" s="26" t="s">
        <v>493</v>
      </c>
      <c r="D2522" s="26" t="s">
        <v>6396</v>
      </c>
      <c r="E2522" s="26" t="s">
        <v>6395</v>
      </c>
    </row>
    <row r="2523" spans="1:6">
      <c r="A2523" s="26" t="s">
        <v>8239</v>
      </c>
      <c r="B2523" s="26" t="s">
        <v>8476</v>
      </c>
      <c r="C2523" s="26" t="s">
        <v>6796</v>
      </c>
      <c r="D2523" s="26" t="s">
        <v>6396</v>
      </c>
      <c r="E2523" s="26" t="s">
        <v>6395</v>
      </c>
    </row>
    <row r="2524" spans="1:6">
      <c r="A2524" s="26" t="s">
        <v>8239</v>
      </c>
      <c r="B2524" s="26" t="s">
        <v>7240</v>
      </c>
      <c r="C2524" s="26" t="s">
        <v>2658</v>
      </c>
      <c r="D2524" s="26" t="s">
        <v>6396</v>
      </c>
      <c r="E2524" s="26" t="s">
        <v>6395</v>
      </c>
    </row>
    <row r="2525" spans="1:6">
      <c r="A2525" s="26" t="s">
        <v>8239</v>
      </c>
      <c r="B2525" s="26" t="s">
        <v>8477</v>
      </c>
      <c r="C2525" s="26" t="s">
        <v>8478</v>
      </c>
      <c r="D2525" s="26" t="s">
        <v>6396</v>
      </c>
      <c r="E2525" s="26" t="s">
        <v>6395</v>
      </c>
    </row>
    <row r="2526" spans="1:6">
      <c r="A2526" s="26" t="s">
        <v>8239</v>
      </c>
      <c r="B2526" s="26" t="s">
        <v>1620</v>
      </c>
      <c r="C2526" s="26" t="s">
        <v>154</v>
      </c>
      <c r="D2526" s="26" t="s">
        <v>6396</v>
      </c>
      <c r="E2526" s="26" t="s">
        <v>6395</v>
      </c>
    </row>
    <row r="2527" spans="1:6">
      <c r="A2527" s="26" t="s">
        <v>8239</v>
      </c>
      <c r="B2527" s="26" t="s">
        <v>8479</v>
      </c>
      <c r="C2527" s="26" t="s">
        <v>6545</v>
      </c>
      <c r="D2527" s="26" t="s">
        <v>6396</v>
      </c>
      <c r="E2527" s="26" t="s">
        <v>6395</v>
      </c>
    </row>
    <row r="2528" spans="1:6">
      <c r="A2528" s="26" t="s">
        <v>8239</v>
      </c>
      <c r="B2528" s="26" t="s">
        <v>8480</v>
      </c>
      <c r="C2528" s="26" t="s">
        <v>8481</v>
      </c>
      <c r="D2528" s="26" t="s">
        <v>6396</v>
      </c>
      <c r="E2528" s="26" t="s">
        <v>6395</v>
      </c>
    </row>
    <row r="2529" spans="1:6">
      <c r="A2529" s="26" t="s">
        <v>8239</v>
      </c>
      <c r="B2529" s="26" t="s">
        <v>8482</v>
      </c>
      <c r="C2529" s="26" t="s">
        <v>6777</v>
      </c>
      <c r="D2529" s="26" t="s">
        <v>6396</v>
      </c>
      <c r="E2529" s="26" t="s">
        <v>6395</v>
      </c>
    </row>
    <row r="2530" spans="1:6">
      <c r="A2530" s="26" t="s">
        <v>8239</v>
      </c>
      <c r="B2530" s="26" t="s">
        <v>1877</v>
      </c>
      <c r="C2530" s="26" t="s">
        <v>8483</v>
      </c>
      <c r="D2530" s="26" t="s">
        <v>6396</v>
      </c>
      <c r="E2530" s="26" t="s">
        <v>6443</v>
      </c>
    </row>
    <row r="2531" spans="1:6">
      <c r="A2531" s="26" t="s">
        <v>8239</v>
      </c>
      <c r="B2531" s="26" t="s">
        <v>2454</v>
      </c>
      <c r="C2531" s="26" t="s">
        <v>1250</v>
      </c>
      <c r="D2531" s="26" t="s">
        <v>6396</v>
      </c>
      <c r="E2531" s="26" t="s">
        <v>6395</v>
      </c>
    </row>
    <row r="2532" spans="1:6">
      <c r="A2532" s="26" t="s">
        <v>8239</v>
      </c>
      <c r="B2532" s="26" t="s">
        <v>2246</v>
      </c>
      <c r="C2532" s="26" t="s">
        <v>509</v>
      </c>
      <c r="D2532" s="26" t="s">
        <v>6396</v>
      </c>
      <c r="E2532" s="26" t="s">
        <v>6395</v>
      </c>
    </row>
    <row r="2533" spans="1:6">
      <c r="A2533" s="26" t="s">
        <v>8239</v>
      </c>
      <c r="B2533" s="26" t="s">
        <v>8080</v>
      </c>
      <c r="C2533" s="26" t="s">
        <v>154</v>
      </c>
      <c r="D2533" s="26" t="s">
        <v>6396</v>
      </c>
      <c r="E2533" s="26" t="s">
        <v>6395</v>
      </c>
    </row>
    <row r="2534" spans="1:6">
      <c r="A2534" s="26" t="s">
        <v>8239</v>
      </c>
      <c r="B2534" s="26" t="s">
        <v>8484</v>
      </c>
      <c r="C2534" s="26" t="s">
        <v>8275</v>
      </c>
      <c r="D2534" s="26" t="s">
        <v>6396</v>
      </c>
      <c r="E2534" s="26" t="s">
        <v>6395</v>
      </c>
    </row>
    <row r="2535" spans="1:6">
      <c r="A2535" s="26" t="s">
        <v>8239</v>
      </c>
      <c r="B2535" s="26" t="s">
        <v>706</v>
      </c>
      <c r="C2535" s="26" t="s">
        <v>707</v>
      </c>
      <c r="D2535" s="26" t="s">
        <v>6396</v>
      </c>
      <c r="E2535" s="26" t="s">
        <v>6395</v>
      </c>
    </row>
    <row r="2536" spans="1:6">
      <c r="A2536" s="26" t="s">
        <v>8239</v>
      </c>
      <c r="B2536" s="26" t="s">
        <v>7885</v>
      </c>
      <c r="C2536" s="26" t="s">
        <v>1062</v>
      </c>
      <c r="D2536" s="26" t="s">
        <v>6396</v>
      </c>
      <c r="E2536" s="26" t="s">
        <v>6395</v>
      </c>
    </row>
    <row r="2537" spans="1:6">
      <c r="A2537" s="26" t="s">
        <v>8239</v>
      </c>
      <c r="B2537" s="26" t="s">
        <v>6522</v>
      </c>
      <c r="C2537" s="26" t="s">
        <v>509</v>
      </c>
      <c r="D2537" s="26" t="s">
        <v>6396</v>
      </c>
      <c r="E2537" s="26" t="s">
        <v>6395</v>
      </c>
      <c r="F2537" s="26" t="s">
        <v>8248</v>
      </c>
    </row>
    <row r="2538" spans="1:6">
      <c r="A2538" s="26" t="s">
        <v>8239</v>
      </c>
      <c r="B2538" s="26" t="s">
        <v>3095</v>
      </c>
      <c r="C2538" s="26" t="s">
        <v>509</v>
      </c>
      <c r="D2538" s="26" t="s">
        <v>6396</v>
      </c>
      <c r="E2538" s="26" t="s">
        <v>6395</v>
      </c>
    </row>
    <row r="2539" spans="1:6">
      <c r="A2539" s="26" t="s">
        <v>8239</v>
      </c>
      <c r="B2539" s="26" t="s">
        <v>1994</v>
      </c>
      <c r="C2539" s="26" t="s">
        <v>1995</v>
      </c>
      <c r="D2539" s="26" t="s">
        <v>6396</v>
      </c>
      <c r="E2539" s="26" t="s">
        <v>6395</v>
      </c>
    </row>
    <row r="2540" spans="1:6">
      <c r="A2540" s="26" t="s">
        <v>8239</v>
      </c>
      <c r="B2540" s="26" t="s">
        <v>1067</v>
      </c>
      <c r="C2540" s="26" t="s">
        <v>21</v>
      </c>
      <c r="D2540" s="26" t="s">
        <v>6396</v>
      </c>
      <c r="E2540" s="26" t="s">
        <v>6395</v>
      </c>
    </row>
    <row r="2541" spans="1:6">
      <c r="A2541" s="26" t="s">
        <v>8239</v>
      </c>
      <c r="B2541" s="26" t="s">
        <v>8485</v>
      </c>
      <c r="C2541" s="26" t="s">
        <v>8486</v>
      </c>
      <c r="D2541" s="26" t="s">
        <v>6396</v>
      </c>
      <c r="E2541" s="26" t="s">
        <v>6443</v>
      </c>
    </row>
    <row r="2542" spans="1:6">
      <c r="A2542" s="26" t="s">
        <v>8239</v>
      </c>
      <c r="B2542" s="26" t="s">
        <v>7320</v>
      </c>
      <c r="C2542" s="26" t="s">
        <v>8487</v>
      </c>
      <c r="D2542" s="26" t="s">
        <v>6396</v>
      </c>
      <c r="E2542" s="26" t="s">
        <v>6395</v>
      </c>
    </row>
    <row r="2543" spans="1:6">
      <c r="A2543" s="26" t="s">
        <v>8239</v>
      </c>
      <c r="B2543" s="26" t="s">
        <v>8488</v>
      </c>
      <c r="C2543" s="26" t="s">
        <v>8489</v>
      </c>
      <c r="D2543" s="26" t="s">
        <v>6396</v>
      </c>
      <c r="E2543" s="26" t="s">
        <v>6395</v>
      </c>
    </row>
    <row r="2544" spans="1:6">
      <c r="A2544" s="26" t="s">
        <v>8239</v>
      </c>
      <c r="B2544" s="26" t="s">
        <v>6955</v>
      </c>
      <c r="C2544" s="26" t="s">
        <v>6560</v>
      </c>
      <c r="D2544" s="26" t="s">
        <v>6396</v>
      </c>
      <c r="E2544" s="26" t="s">
        <v>6395</v>
      </c>
    </row>
    <row r="2545" spans="1:5">
      <c r="A2545" s="26" t="s">
        <v>8239</v>
      </c>
      <c r="B2545" s="26" t="s">
        <v>508</v>
      </c>
      <c r="C2545" s="26" t="s">
        <v>509</v>
      </c>
      <c r="D2545" s="26" t="s">
        <v>6396</v>
      </c>
      <c r="E2545" s="26" t="s">
        <v>6395</v>
      </c>
    </row>
    <row r="2546" spans="1:5">
      <c r="A2546" s="26" t="s">
        <v>8239</v>
      </c>
      <c r="B2546" s="26" t="s">
        <v>8490</v>
      </c>
      <c r="C2546" s="26" t="s">
        <v>6545</v>
      </c>
      <c r="D2546" s="26" t="s">
        <v>6396</v>
      </c>
      <c r="E2546" s="26" t="s">
        <v>6395</v>
      </c>
    </row>
    <row r="2547" spans="1:5">
      <c r="A2547" s="26" t="s">
        <v>8239</v>
      </c>
      <c r="B2547" s="26" t="s">
        <v>2688</v>
      </c>
      <c r="C2547" s="26" t="s">
        <v>8262</v>
      </c>
      <c r="D2547" s="26" t="s">
        <v>6396</v>
      </c>
      <c r="E2547" s="26" t="s">
        <v>6395</v>
      </c>
    </row>
    <row r="2548" spans="1:5">
      <c r="A2548" s="26" t="s">
        <v>8239</v>
      </c>
      <c r="B2548" s="26" t="s">
        <v>6550</v>
      </c>
      <c r="C2548" s="26" t="s">
        <v>2020</v>
      </c>
      <c r="D2548" s="26" t="s">
        <v>6396</v>
      </c>
      <c r="E2548" s="26" t="s">
        <v>6395</v>
      </c>
    </row>
    <row r="2549" spans="1:5">
      <c r="A2549" s="26" t="s">
        <v>8239</v>
      </c>
      <c r="B2549" s="26" t="s">
        <v>6550</v>
      </c>
      <c r="C2549" s="26" t="s">
        <v>238</v>
      </c>
      <c r="D2549" s="26" t="s">
        <v>6396</v>
      </c>
      <c r="E2549" s="26" t="s">
        <v>6395</v>
      </c>
    </row>
    <row r="2550" spans="1:5">
      <c r="A2550" s="26" t="s">
        <v>8239</v>
      </c>
      <c r="B2550" s="26" t="s">
        <v>7050</v>
      </c>
      <c r="C2550" s="26" t="s">
        <v>742</v>
      </c>
      <c r="D2550" s="26" t="s">
        <v>6396</v>
      </c>
      <c r="E2550" s="26" t="s">
        <v>6395</v>
      </c>
    </row>
    <row r="2551" spans="1:5">
      <c r="A2551" s="26" t="s">
        <v>8239</v>
      </c>
      <c r="B2551" s="26" t="s">
        <v>8491</v>
      </c>
      <c r="C2551" s="26" t="s">
        <v>8492</v>
      </c>
      <c r="D2551" s="26" t="s">
        <v>6396</v>
      </c>
      <c r="E2551" s="26" t="s">
        <v>6395</v>
      </c>
    </row>
    <row r="2552" spans="1:5">
      <c r="A2552" s="26" t="s">
        <v>8239</v>
      </c>
      <c r="B2552" s="26" t="s">
        <v>8493</v>
      </c>
      <c r="C2552" s="26" t="s">
        <v>2057</v>
      </c>
      <c r="D2552" s="26" t="s">
        <v>6396</v>
      </c>
      <c r="E2552" s="26" t="s">
        <v>6395</v>
      </c>
    </row>
    <row r="2553" spans="1:5">
      <c r="A2553" s="26" t="s">
        <v>8239</v>
      </c>
      <c r="B2553" s="26" t="s">
        <v>1793</v>
      </c>
      <c r="C2553" s="26" t="s">
        <v>643</v>
      </c>
      <c r="D2553" s="26" t="s">
        <v>6396</v>
      </c>
      <c r="E2553" s="26" t="s">
        <v>6395</v>
      </c>
    </row>
    <row r="2554" spans="1:5">
      <c r="A2554" s="26" t="s">
        <v>8239</v>
      </c>
      <c r="B2554" s="26" t="s">
        <v>134</v>
      </c>
      <c r="C2554" s="26" t="s">
        <v>135</v>
      </c>
      <c r="D2554" s="26" t="s">
        <v>6396</v>
      </c>
      <c r="E2554" s="26" t="s">
        <v>6395</v>
      </c>
    </row>
    <row r="2555" spans="1:5">
      <c r="A2555" s="26" t="s">
        <v>8239</v>
      </c>
      <c r="B2555" s="26" t="s">
        <v>6593</v>
      </c>
      <c r="C2555" s="26" t="s">
        <v>742</v>
      </c>
      <c r="D2555" s="26" t="s">
        <v>6396</v>
      </c>
      <c r="E2555" s="26" t="s">
        <v>6395</v>
      </c>
    </row>
    <row r="2556" spans="1:5">
      <c r="A2556" s="26" t="s">
        <v>8239</v>
      </c>
      <c r="B2556" s="26" t="s">
        <v>8494</v>
      </c>
      <c r="C2556" s="26" t="s">
        <v>8495</v>
      </c>
      <c r="D2556" s="26" t="s">
        <v>6396</v>
      </c>
      <c r="E2556" s="26" t="s">
        <v>6395</v>
      </c>
    </row>
    <row r="2557" spans="1:5">
      <c r="A2557" s="26" t="s">
        <v>8239</v>
      </c>
      <c r="B2557" s="26" t="s">
        <v>7894</v>
      </c>
      <c r="C2557" s="26" t="s">
        <v>8496</v>
      </c>
      <c r="D2557" s="26" t="s">
        <v>6396</v>
      </c>
      <c r="E2557" s="26" t="s">
        <v>6443</v>
      </c>
    </row>
    <row r="2558" spans="1:5">
      <c r="A2558" s="26" t="s">
        <v>8239</v>
      </c>
      <c r="B2558" s="26" t="s">
        <v>7896</v>
      </c>
      <c r="C2558" s="26" t="s">
        <v>238</v>
      </c>
      <c r="D2558" s="26" t="s">
        <v>6396</v>
      </c>
      <c r="E2558" s="26" t="s">
        <v>6443</v>
      </c>
    </row>
    <row r="2559" spans="1:5">
      <c r="A2559" s="26" t="s">
        <v>8239</v>
      </c>
      <c r="B2559" s="26" t="s">
        <v>1082</v>
      </c>
      <c r="C2559" s="26" t="s">
        <v>42</v>
      </c>
      <c r="D2559" s="26" t="s">
        <v>6396</v>
      </c>
      <c r="E2559" s="26" t="s">
        <v>6395</v>
      </c>
    </row>
    <row r="2560" spans="1:5">
      <c r="A2560" s="26" t="s">
        <v>8239</v>
      </c>
      <c r="B2560" s="26" t="s">
        <v>8497</v>
      </c>
      <c r="C2560" s="26" t="s">
        <v>7173</v>
      </c>
      <c r="D2560" s="26" t="s">
        <v>6396</v>
      </c>
      <c r="E2560" s="26" t="s">
        <v>6443</v>
      </c>
    </row>
    <row r="2561" spans="1:6">
      <c r="A2561" s="26" t="s">
        <v>8239</v>
      </c>
      <c r="B2561" s="26" t="s">
        <v>1820</v>
      </c>
      <c r="C2561" s="26" t="s">
        <v>679</v>
      </c>
      <c r="D2561" s="26" t="s">
        <v>6396</v>
      </c>
      <c r="E2561" s="26" t="s">
        <v>6395</v>
      </c>
    </row>
    <row r="2562" spans="1:6">
      <c r="A2562" s="26" t="s">
        <v>8239</v>
      </c>
      <c r="B2562" s="26" t="s">
        <v>579</v>
      </c>
      <c r="C2562" s="26" t="s">
        <v>580</v>
      </c>
      <c r="D2562" s="26" t="s">
        <v>6396</v>
      </c>
      <c r="E2562" s="26" t="s">
        <v>6443</v>
      </c>
    </row>
    <row r="2563" spans="1:6">
      <c r="A2563" s="26" t="s">
        <v>8239</v>
      </c>
      <c r="B2563" s="26" t="s">
        <v>7166</v>
      </c>
      <c r="C2563" s="26" t="s">
        <v>8498</v>
      </c>
      <c r="D2563" s="26" t="s">
        <v>6396</v>
      </c>
      <c r="E2563" s="26" t="s">
        <v>8286</v>
      </c>
    </row>
    <row r="2564" spans="1:6">
      <c r="A2564" s="26" t="s">
        <v>8239</v>
      </c>
      <c r="B2564" s="26" t="s">
        <v>1018</v>
      </c>
      <c r="C2564" s="26" t="s">
        <v>478</v>
      </c>
      <c r="D2564" s="26" t="s">
        <v>6396</v>
      </c>
      <c r="E2564" s="26" t="s">
        <v>6395</v>
      </c>
    </row>
    <row r="2565" spans="1:6">
      <c r="A2565" s="26" t="s">
        <v>8239</v>
      </c>
      <c r="B2565" s="26" t="s">
        <v>7285</v>
      </c>
      <c r="C2565" s="26" t="s">
        <v>188</v>
      </c>
      <c r="D2565" s="26" t="s">
        <v>6396</v>
      </c>
      <c r="E2565" s="26" t="s">
        <v>6395</v>
      </c>
    </row>
    <row r="2566" spans="1:6">
      <c r="A2566" s="26" t="s">
        <v>8239</v>
      </c>
      <c r="B2566" s="26" t="s">
        <v>1585</v>
      </c>
      <c r="C2566" s="26" t="s">
        <v>348</v>
      </c>
      <c r="D2566" s="26" t="s">
        <v>6396</v>
      </c>
      <c r="E2566" s="26" t="s">
        <v>6395</v>
      </c>
    </row>
    <row r="2567" spans="1:6">
      <c r="A2567" s="26" t="s">
        <v>8239</v>
      </c>
      <c r="B2567" s="26" t="s">
        <v>8499</v>
      </c>
      <c r="D2567" s="26" t="s">
        <v>6396</v>
      </c>
      <c r="E2567" s="26" t="s">
        <v>6432</v>
      </c>
      <c r="F2567" s="26" t="s">
        <v>8243</v>
      </c>
    </row>
    <row r="2568" spans="1:6">
      <c r="A2568" s="26" t="s">
        <v>8239</v>
      </c>
      <c r="B2568" s="26" t="s">
        <v>7079</v>
      </c>
      <c r="C2568" s="26" t="s">
        <v>7078</v>
      </c>
      <c r="D2568" s="26" t="s">
        <v>6396</v>
      </c>
      <c r="E2568" s="26" t="s">
        <v>6395</v>
      </c>
    </row>
    <row r="2569" spans="1:6">
      <c r="A2569" s="26" t="s">
        <v>8239</v>
      </c>
      <c r="B2569" s="26" t="s">
        <v>6672</v>
      </c>
      <c r="C2569" s="26" t="s">
        <v>6473</v>
      </c>
      <c r="D2569" s="26" t="s">
        <v>6396</v>
      </c>
      <c r="E2569" s="26" t="s">
        <v>6395</v>
      </c>
    </row>
    <row r="2570" spans="1:6">
      <c r="A2570" s="26" t="s">
        <v>8239</v>
      </c>
      <c r="B2570" s="26" t="s">
        <v>909</v>
      </c>
      <c r="C2570" s="26" t="s">
        <v>910</v>
      </c>
      <c r="D2570" s="26" t="s">
        <v>6396</v>
      </c>
      <c r="E2570" s="26" t="s">
        <v>6395</v>
      </c>
      <c r="F2570" s="26" t="s">
        <v>8248</v>
      </c>
    </row>
    <row r="2571" spans="1:6">
      <c r="A2571" s="26" t="s">
        <v>8239</v>
      </c>
      <c r="B2571" s="26" t="s">
        <v>47</v>
      </c>
      <c r="C2571" s="26" t="s">
        <v>21</v>
      </c>
      <c r="D2571" s="26" t="s">
        <v>6396</v>
      </c>
      <c r="E2571" s="26" t="s">
        <v>6395</v>
      </c>
    </row>
    <row r="2572" spans="1:6">
      <c r="A2572" s="26" t="s">
        <v>8239</v>
      </c>
      <c r="B2572" s="26" t="s">
        <v>2238</v>
      </c>
      <c r="C2572" s="26" t="s">
        <v>2236</v>
      </c>
      <c r="D2572" s="26" t="s">
        <v>6396</v>
      </c>
      <c r="E2572" s="26" t="s">
        <v>6395</v>
      </c>
    </row>
    <row r="2573" spans="1:6">
      <c r="A2573" s="26" t="s">
        <v>8239</v>
      </c>
      <c r="B2573" s="26" t="s">
        <v>6549</v>
      </c>
      <c r="C2573" s="26" t="s">
        <v>238</v>
      </c>
      <c r="D2573" s="26" t="s">
        <v>6396</v>
      </c>
      <c r="E2573" s="26" t="s">
        <v>6395</v>
      </c>
    </row>
    <row r="2574" spans="1:6">
      <c r="A2574" s="26" t="s">
        <v>8239</v>
      </c>
      <c r="B2574" s="26" t="s">
        <v>8500</v>
      </c>
      <c r="D2574" s="26" t="s">
        <v>6396</v>
      </c>
      <c r="E2574" s="26" t="s">
        <v>6432</v>
      </c>
      <c r="F2574" s="26" t="s">
        <v>8243</v>
      </c>
    </row>
    <row r="2575" spans="1:6">
      <c r="A2575" s="26" t="s">
        <v>8239</v>
      </c>
      <c r="B2575" s="26" t="s">
        <v>8501</v>
      </c>
      <c r="C2575" s="26" t="s">
        <v>8502</v>
      </c>
      <c r="D2575" s="26" t="s">
        <v>6396</v>
      </c>
      <c r="E2575" s="26" t="s">
        <v>6395</v>
      </c>
    </row>
    <row r="2576" spans="1:6">
      <c r="A2576" s="26" t="s">
        <v>8239</v>
      </c>
      <c r="B2576" s="26" t="s">
        <v>8503</v>
      </c>
      <c r="C2576" s="26" t="s">
        <v>8504</v>
      </c>
      <c r="D2576" s="26" t="s">
        <v>6396</v>
      </c>
      <c r="E2576" s="26" t="s">
        <v>6395</v>
      </c>
    </row>
    <row r="2577" spans="1:6">
      <c r="A2577" s="26" t="s">
        <v>8239</v>
      </c>
      <c r="B2577" s="26" t="s">
        <v>6974</v>
      </c>
      <c r="C2577" s="26" t="s">
        <v>27</v>
      </c>
      <c r="D2577" s="26" t="s">
        <v>6396</v>
      </c>
      <c r="E2577" s="26" t="s">
        <v>6395</v>
      </c>
    </row>
    <row r="2578" spans="1:6">
      <c r="A2578" s="26" t="s">
        <v>8239</v>
      </c>
      <c r="B2578" s="26" t="s">
        <v>6741</v>
      </c>
      <c r="C2578" s="26" t="s">
        <v>7929</v>
      </c>
      <c r="D2578" s="26" t="s">
        <v>6396</v>
      </c>
      <c r="E2578" s="26" t="s">
        <v>6395</v>
      </c>
    </row>
    <row r="2579" spans="1:6">
      <c r="A2579" s="26" t="s">
        <v>8239</v>
      </c>
      <c r="B2579" s="26" t="s">
        <v>8505</v>
      </c>
      <c r="C2579" s="26" t="s">
        <v>1030</v>
      </c>
      <c r="D2579" s="26" t="s">
        <v>6396</v>
      </c>
      <c r="E2579" s="26" t="s">
        <v>6395</v>
      </c>
    </row>
    <row r="2580" spans="1:6">
      <c r="A2580" s="26" t="s">
        <v>8239</v>
      </c>
      <c r="B2580" s="26" t="s">
        <v>5222</v>
      </c>
      <c r="C2580" s="26" t="s">
        <v>466</v>
      </c>
      <c r="D2580" s="26" t="s">
        <v>6396</v>
      </c>
      <c r="E2580" s="26" t="s">
        <v>6443</v>
      </c>
    </row>
    <row r="2581" spans="1:6">
      <c r="A2581" s="26" t="s">
        <v>8239</v>
      </c>
      <c r="B2581" s="26" t="s">
        <v>2559</v>
      </c>
      <c r="C2581" s="26" t="s">
        <v>8506</v>
      </c>
      <c r="D2581" s="26" t="s">
        <v>6396</v>
      </c>
      <c r="E2581" s="26" t="s">
        <v>6395</v>
      </c>
    </row>
    <row r="2582" spans="1:6">
      <c r="A2582" s="26" t="s">
        <v>8239</v>
      </c>
      <c r="B2582" s="26" t="s">
        <v>7139</v>
      </c>
      <c r="C2582" s="26" t="s">
        <v>6451</v>
      </c>
      <c r="D2582" s="26" t="s">
        <v>6396</v>
      </c>
      <c r="E2582" s="26" t="s">
        <v>6395</v>
      </c>
    </row>
    <row r="2583" spans="1:6">
      <c r="A2583" s="26" t="s">
        <v>8239</v>
      </c>
      <c r="B2583" s="26" t="s">
        <v>6706</v>
      </c>
      <c r="C2583" s="26" t="s">
        <v>8262</v>
      </c>
      <c r="D2583" s="26" t="s">
        <v>6396</v>
      </c>
      <c r="E2583" s="26" t="s">
        <v>6395</v>
      </c>
    </row>
    <row r="2584" spans="1:6">
      <c r="A2584" s="26" t="s">
        <v>8239</v>
      </c>
      <c r="B2584" s="26" t="s">
        <v>324</v>
      </c>
      <c r="C2584" s="26" t="s">
        <v>7934</v>
      </c>
      <c r="D2584" s="26" t="s">
        <v>6396</v>
      </c>
      <c r="E2584" s="26" t="s">
        <v>6395</v>
      </c>
    </row>
    <row r="2585" spans="1:6">
      <c r="A2585" s="26" t="s">
        <v>8239</v>
      </c>
      <c r="B2585" s="26" t="s">
        <v>8507</v>
      </c>
      <c r="C2585" s="26" t="s">
        <v>2629</v>
      </c>
      <c r="D2585" s="26" t="s">
        <v>6396</v>
      </c>
      <c r="E2585" s="26" t="s">
        <v>6395</v>
      </c>
      <c r="F2585" s="26" t="s">
        <v>8248</v>
      </c>
    </row>
    <row r="2586" spans="1:6">
      <c r="A2586" s="26" t="s">
        <v>8239</v>
      </c>
      <c r="B2586" s="26" t="s">
        <v>8508</v>
      </c>
      <c r="C2586" s="26" t="s">
        <v>8509</v>
      </c>
      <c r="D2586" s="26" t="s">
        <v>6396</v>
      </c>
      <c r="E2586" s="26" t="s">
        <v>6395</v>
      </c>
      <c r="F2586" s="26" t="s">
        <v>8248</v>
      </c>
    </row>
    <row r="2587" spans="1:6">
      <c r="A2587" s="26" t="s">
        <v>8239</v>
      </c>
      <c r="B2587" s="26" t="s">
        <v>8510</v>
      </c>
      <c r="C2587" s="26" t="s">
        <v>8372</v>
      </c>
      <c r="D2587" s="26" t="s">
        <v>6396</v>
      </c>
      <c r="E2587" s="26" t="s">
        <v>8286</v>
      </c>
    </row>
    <row r="2588" spans="1:6">
      <c r="A2588" s="26" t="s">
        <v>8239</v>
      </c>
      <c r="B2588" s="26" t="s">
        <v>3399</v>
      </c>
      <c r="C2588" s="26" t="s">
        <v>3400</v>
      </c>
      <c r="D2588" s="26" t="s">
        <v>6396</v>
      </c>
      <c r="E2588" s="26" t="s">
        <v>6395</v>
      </c>
    </row>
    <row r="2589" spans="1:6">
      <c r="A2589" s="26" t="s">
        <v>8239</v>
      </c>
      <c r="B2589" s="26" t="s">
        <v>607</v>
      </c>
      <c r="C2589" s="26" t="s">
        <v>592</v>
      </c>
      <c r="D2589" s="26" t="s">
        <v>6396</v>
      </c>
      <c r="E2589" s="26" t="s">
        <v>6443</v>
      </c>
    </row>
    <row r="2590" spans="1:6">
      <c r="A2590" s="26" t="s">
        <v>8239</v>
      </c>
      <c r="B2590" s="26" t="s">
        <v>3521</v>
      </c>
      <c r="C2590" s="26" t="s">
        <v>3522</v>
      </c>
      <c r="D2590" s="26" t="s">
        <v>6396</v>
      </c>
      <c r="E2590" s="26" t="s">
        <v>6395</v>
      </c>
    </row>
    <row r="2591" spans="1:6">
      <c r="A2591" s="26" t="s">
        <v>8239</v>
      </c>
      <c r="B2591" s="26" t="s">
        <v>8511</v>
      </c>
      <c r="C2591" s="26" t="s">
        <v>8512</v>
      </c>
      <c r="D2591" s="26" t="s">
        <v>6396</v>
      </c>
      <c r="E2591" s="26" t="s">
        <v>6395</v>
      </c>
    </row>
    <row r="2592" spans="1:6">
      <c r="A2592" s="26" t="s">
        <v>8239</v>
      </c>
      <c r="B2592" s="26" t="s">
        <v>2657</v>
      </c>
      <c r="C2592" s="26" t="s">
        <v>2658</v>
      </c>
      <c r="D2592" s="26" t="s">
        <v>6396</v>
      </c>
      <c r="E2592" s="26" t="s">
        <v>6395</v>
      </c>
    </row>
    <row r="2593" spans="1:6">
      <c r="A2593" s="26" t="s">
        <v>8239</v>
      </c>
      <c r="B2593" s="26" t="s">
        <v>126</v>
      </c>
      <c r="C2593" s="26" t="s">
        <v>127</v>
      </c>
      <c r="D2593" s="26" t="s">
        <v>6396</v>
      </c>
      <c r="E2593" s="26" t="s">
        <v>6395</v>
      </c>
    </row>
    <row r="2594" spans="1:6">
      <c r="A2594" s="26" t="s">
        <v>8239</v>
      </c>
      <c r="B2594" s="26" t="s">
        <v>1078</v>
      </c>
      <c r="C2594" s="26" t="s">
        <v>154</v>
      </c>
      <c r="D2594" s="26" t="s">
        <v>6396</v>
      </c>
      <c r="E2594" s="26" t="s">
        <v>6395</v>
      </c>
    </row>
    <row r="2595" spans="1:6">
      <c r="A2595" s="26" t="s">
        <v>8239</v>
      </c>
      <c r="B2595" s="26" t="s">
        <v>8513</v>
      </c>
      <c r="C2595" s="26" t="s">
        <v>6427</v>
      </c>
      <c r="D2595" s="26" t="s">
        <v>6396</v>
      </c>
      <c r="E2595" s="26" t="s">
        <v>6395</v>
      </c>
    </row>
    <row r="2596" spans="1:6">
      <c r="A2596" s="26" t="s">
        <v>8239</v>
      </c>
      <c r="B2596" s="26" t="s">
        <v>8514</v>
      </c>
      <c r="C2596" s="26" t="s">
        <v>8447</v>
      </c>
      <c r="D2596" s="26" t="s">
        <v>6396</v>
      </c>
      <c r="E2596" s="26" t="s">
        <v>6395</v>
      </c>
    </row>
    <row r="2597" spans="1:6">
      <c r="A2597" s="26" t="s">
        <v>8239</v>
      </c>
      <c r="B2597" s="26" t="s">
        <v>8099</v>
      </c>
      <c r="C2597" s="26" t="s">
        <v>8515</v>
      </c>
      <c r="D2597" s="26" t="s">
        <v>6396</v>
      </c>
      <c r="E2597" s="26" t="s">
        <v>8286</v>
      </c>
    </row>
    <row r="2598" spans="1:6">
      <c r="A2598" s="26" t="s">
        <v>8239</v>
      </c>
      <c r="B2598" s="26" t="s">
        <v>846</v>
      </c>
      <c r="C2598" s="26" t="s">
        <v>847</v>
      </c>
      <c r="D2598" s="26" t="s">
        <v>6396</v>
      </c>
      <c r="E2598" s="26" t="s">
        <v>6395</v>
      </c>
      <c r="F2598" s="26" t="s">
        <v>8248</v>
      </c>
    </row>
    <row r="2599" spans="1:6">
      <c r="A2599" s="26" t="s">
        <v>8239</v>
      </c>
      <c r="B2599" s="26" t="s">
        <v>8516</v>
      </c>
      <c r="C2599" s="26" t="s">
        <v>8517</v>
      </c>
      <c r="D2599" s="26" t="s">
        <v>8518</v>
      </c>
      <c r="E2599" s="26" t="s">
        <v>6395</v>
      </c>
      <c r="F2599" s="26" t="s">
        <v>8248</v>
      </c>
    </row>
    <row r="2600" spans="1:6">
      <c r="A2600" s="26" t="s">
        <v>8239</v>
      </c>
      <c r="B2600" s="26" t="s">
        <v>669</v>
      </c>
      <c r="C2600" s="26" t="s">
        <v>8519</v>
      </c>
      <c r="D2600" s="26" t="s">
        <v>8520</v>
      </c>
      <c r="E2600" s="26" t="s">
        <v>6432</v>
      </c>
      <c r="F2600" s="26" t="s">
        <v>8243</v>
      </c>
    </row>
    <row r="2601" spans="1:6">
      <c r="A2601" s="26" t="s">
        <v>8239</v>
      </c>
      <c r="B2601" s="26" t="s">
        <v>8521</v>
      </c>
      <c r="C2601" s="26" t="s">
        <v>8519</v>
      </c>
      <c r="D2601" s="26" t="s">
        <v>8520</v>
      </c>
      <c r="E2601" s="26" t="s">
        <v>6432</v>
      </c>
      <c r="F2601" s="26" t="s">
        <v>8243</v>
      </c>
    </row>
    <row r="2602" spans="1:6">
      <c r="A2602" s="26" t="s">
        <v>8239</v>
      </c>
      <c r="B2602" s="26" t="s">
        <v>8180</v>
      </c>
      <c r="C2602" s="26" t="s">
        <v>8181</v>
      </c>
      <c r="D2602" s="26" t="s">
        <v>6396</v>
      </c>
      <c r="E2602" s="26" t="s">
        <v>6395</v>
      </c>
    </row>
    <row r="2603" spans="1:6">
      <c r="A2603" s="26" t="s">
        <v>8239</v>
      </c>
      <c r="B2603" s="26" t="s">
        <v>7436</v>
      </c>
      <c r="C2603" s="26" t="s">
        <v>8179</v>
      </c>
      <c r="D2603" s="26" t="s">
        <v>6396</v>
      </c>
      <c r="E2603" s="26" t="s">
        <v>6395</v>
      </c>
    </row>
    <row r="2604" spans="1:6">
      <c r="A2604" s="26" t="s">
        <v>8239</v>
      </c>
      <c r="B2604" s="26" t="s">
        <v>8522</v>
      </c>
      <c r="C2604" s="26" t="s">
        <v>238</v>
      </c>
      <c r="D2604" s="26" t="s">
        <v>6396</v>
      </c>
      <c r="E2604" s="26" t="s">
        <v>6395</v>
      </c>
    </row>
    <row r="2605" spans="1:6">
      <c r="A2605" s="26" t="s">
        <v>8239</v>
      </c>
      <c r="B2605" s="26" t="s">
        <v>2404</v>
      </c>
      <c r="C2605" s="26" t="s">
        <v>8179</v>
      </c>
      <c r="D2605" s="26" t="s">
        <v>6396</v>
      </c>
      <c r="E2605" s="26" t="s">
        <v>6395</v>
      </c>
    </row>
    <row r="2606" spans="1:6">
      <c r="A2606" s="26" t="s">
        <v>8239</v>
      </c>
      <c r="B2606" s="26" t="s">
        <v>3495</v>
      </c>
      <c r="C2606" s="26" t="s">
        <v>7003</v>
      </c>
      <c r="D2606" s="26" t="s">
        <v>6396</v>
      </c>
      <c r="E2606" s="26" t="s">
        <v>6395</v>
      </c>
    </row>
    <row r="2607" spans="1:6">
      <c r="A2607" s="26" t="s">
        <v>8239</v>
      </c>
      <c r="B2607" s="26" t="s">
        <v>8194</v>
      </c>
      <c r="C2607" s="26" t="s">
        <v>8195</v>
      </c>
      <c r="D2607" s="26" t="s">
        <v>6396</v>
      </c>
      <c r="E2607" s="26" t="s">
        <v>6395</v>
      </c>
    </row>
    <row r="2608" spans="1:6">
      <c r="A2608" s="26" t="s">
        <v>8239</v>
      </c>
      <c r="B2608" s="26" t="s">
        <v>8523</v>
      </c>
      <c r="C2608" s="26" t="s">
        <v>8524</v>
      </c>
      <c r="D2608" s="26" t="s">
        <v>6396</v>
      </c>
      <c r="E2608" s="26" t="s">
        <v>6395</v>
      </c>
    </row>
    <row r="2609" spans="1:6">
      <c r="A2609" s="26" t="s">
        <v>8239</v>
      </c>
      <c r="B2609" s="26" t="s">
        <v>8199</v>
      </c>
      <c r="C2609" s="26" t="s">
        <v>865</v>
      </c>
      <c r="D2609" s="26" t="s">
        <v>6396</v>
      </c>
      <c r="E2609" s="26" t="s">
        <v>6395</v>
      </c>
    </row>
    <row r="2610" spans="1:6">
      <c r="A2610" s="26" t="s">
        <v>8239</v>
      </c>
      <c r="B2610" s="26" t="s">
        <v>5071</v>
      </c>
      <c r="C2610" s="26" t="s">
        <v>558</v>
      </c>
      <c r="D2610" s="26" t="s">
        <v>6396</v>
      </c>
      <c r="E2610" s="26" t="s">
        <v>6432</v>
      </c>
      <c r="F2610" s="26" t="s">
        <v>8243</v>
      </c>
    </row>
    <row r="2611" spans="1:6">
      <c r="A2611" s="26" t="s">
        <v>8239</v>
      </c>
      <c r="B2611" s="26" t="s">
        <v>8525</v>
      </c>
      <c r="C2611" s="26" t="s">
        <v>8519</v>
      </c>
      <c r="D2611" s="26" t="s">
        <v>6396</v>
      </c>
      <c r="E2611" s="26" t="s">
        <v>6432</v>
      </c>
      <c r="F2611" s="26" t="s">
        <v>8243</v>
      </c>
    </row>
    <row r="2612" spans="1:6">
      <c r="A2612" s="26" t="s">
        <v>8239</v>
      </c>
      <c r="B2612" s="26" t="s">
        <v>8526</v>
      </c>
      <c r="C2612" s="26" t="s">
        <v>8519</v>
      </c>
      <c r="D2612" s="26" t="s">
        <v>6396</v>
      </c>
      <c r="E2612" s="26" t="s">
        <v>6432</v>
      </c>
      <c r="F2612" s="26" t="s">
        <v>8243</v>
      </c>
    </row>
    <row r="2613" spans="1:6">
      <c r="A2613" s="26" t="s">
        <v>8239</v>
      </c>
      <c r="B2613" s="26" t="s">
        <v>8527</v>
      </c>
      <c r="C2613" s="26" t="s">
        <v>8519</v>
      </c>
      <c r="D2613" s="26" t="s">
        <v>8520</v>
      </c>
      <c r="E2613" s="26" t="s">
        <v>6432</v>
      </c>
      <c r="F2613" s="26" t="s">
        <v>8243</v>
      </c>
    </row>
    <row r="2614" spans="1:6">
      <c r="A2614" s="26" t="s">
        <v>8239</v>
      </c>
      <c r="B2614" s="26" t="s">
        <v>994</v>
      </c>
      <c r="C2614" s="26" t="s">
        <v>8209</v>
      </c>
      <c r="D2614" s="26" t="s">
        <v>6396</v>
      </c>
      <c r="E2614" s="26" t="s">
        <v>6395</v>
      </c>
    </row>
    <row r="2615" spans="1:6">
      <c r="A2615" s="26" t="s">
        <v>8239</v>
      </c>
      <c r="B2615" s="26" t="s">
        <v>7653</v>
      </c>
      <c r="C2615" s="26" t="s">
        <v>209</v>
      </c>
      <c r="D2615" s="26" t="s">
        <v>6396</v>
      </c>
      <c r="E2615" s="26" t="s">
        <v>6443</v>
      </c>
    </row>
    <row r="2616" spans="1:6">
      <c r="A2616" s="26" t="s">
        <v>8239</v>
      </c>
      <c r="B2616" s="26" t="s">
        <v>7876</v>
      </c>
      <c r="C2616" s="26" t="s">
        <v>209</v>
      </c>
      <c r="D2616" s="26" t="s">
        <v>6396</v>
      </c>
      <c r="E2616" s="26" t="s">
        <v>6443</v>
      </c>
    </row>
    <row r="2617" spans="1:6">
      <c r="A2617" s="26" t="s">
        <v>8239</v>
      </c>
      <c r="B2617" s="26" t="s">
        <v>8528</v>
      </c>
      <c r="C2617" s="26" t="s">
        <v>1601</v>
      </c>
      <c r="D2617" s="26" t="s">
        <v>6396</v>
      </c>
      <c r="E2617" s="26" t="s">
        <v>6395</v>
      </c>
    </row>
    <row r="2618" spans="1:6">
      <c r="A2618" s="26" t="s">
        <v>8239</v>
      </c>
      <c r="B2618" s="26" t="s">
        <v>1940</v>
      </c>
      <c r="C2618" s="26" t="s">
        <v>8519</v>
      </c>
      <c r="D2618" s="26" t="s">
        <v>6396</v>
      </c>
      <c r="E2618" s="26" t="s">
        <v>6432</v>
      </c>
      <c r="F2618" s="26" t="s">
        <v>8243</v>
      </c>
    </row>
    <row r="2619" spans="1:6">
      <c r="A2619" s="26" t="s">
        <v>8239</v>
      </c>
      <c r="B2619" s="26" t="s">
        <v>8529</v>
      </c>
      <c r="C2619" s="26" t="s">
        <v>1601</v>
      </c>
      <c r="D2619" s="26" t="s">
        <v>6396</v>
      </c>
      <c r="E2619" s="26" t="s">
        <v>6395</v>
      </c>
    </row>
    <row r="2620" spans="1:6">
      <c r="A2620" s="26" t="s">
        <v>8239</v>
      </c>
      <c r="B2620" s="26" t="s">
        <v>8530</v>
      </c>
      <c r="C2620" s="26" t="s">
        <v>941</v>
      </c>
      <c r="D2620" s="26" t="s">
        <v>6396</v>
      </c>
      <c r="E2620" s="26" t="s">
        <v>6432</v>
      </c>
      <c r="F2620" s="26" t="s">
        <v>8243</v>
      </c>
    </row>
    <row r="2621" spans="1:6">
      <c r="A2621" s="26" t="s">
        <v>8239</v>
      </c>
      <c r="B2621" s="26" t="s">
        <v>1923</v>
      </c>
      <c r="C2621" s="26" t="s">
        <v>8519</v>
      </c>
      <c r="D2621" s="26" t="s">
        <v>6396</v>
      </c>
      <c r="E2621" s="26" t="s">
        <v>6395</v>
      </c>
    </row>
    <row r="2622" spans="1:6">
      <c r="A2622" s="26" t="s">
        <v>8239</v>
      </c>
      <c r="B2622" s="26" t="s">
        <v>8531</v>
      </c>
      <c r="C2622" s="26" t="s">
        <v>8519</v>
      </c>
      <c r="D2622" s="26" t="s">
        <v>6396</v>
      </c>
      <c r="E2622" s="26" t="s">
        <v>6432</v>
      </c>
      <c r="F2622" s="26" t="s">
        <v>8243</v>
      </c>
    </row>
    <row r="2623" spans="1:6">
      <c r="A2623" s="26" t="s">
        <v>8239</v>
      </c>
      <c r="B2623" s="26" t="s">
        <v>7089</v>
      </c>
      <c r="C2623" s="26" t="s">
        <v>7088</v>
      </c>
      <c r="D2623" s="26" t="s">
        <v>6396</v>
      </c>
      <c r="E2623" s="26" t="s">
        <v>6395</v>
      </c>
    </row>
    <row r="2624" spans="1:6">
      <c r="A2624" s="26" t="s">
        <v>8239</v>
      </c>
      <c r="B2624" s="26" t="s">
        <v>8532</v>
      </c>
      <c r="C2624" s="26" t="s">
        <v>8519</v>
      </c>
      <c r="D2624" s="26" t="s">
        <v>6396</v>
      </c>
      <c r="E2624" s="26" t="s">
        <v>6432</v>
      </c>
      <c r="F2624" s="26" t="s">
        <v>8243</v>
      </c>
    </row>
    <row r="2625" spans="1:6">
      <c r="A2625" s="26" t="s">
        <v>8239</v>
      </c>
      <c r="B2625" s="26" t="s">
        <v>8213</v>
      </c>
      <c r="C2625" s="26" t="s">
        <v>8214</v>
      </c>
      <c r="D2625" s="26" t="s">
        <v>6396</v>
      </c>
      <c r="E2625" s="26" t="s">
        <v>6395</v>
      </c>
    </row>
    <row r="2626" spans="1:6">
      <c r="A2626" s="26" t="s">
        <v>8239</v>
      </c>
      <c r="B2626" s="26" t="s">
        <v>8215</v>
      </c>
      <c r="C2626" s="26" t="s">
        <v>8216</v>
      </c>
      <c r="D2626" s="26" t="s">
        <v>6396</v>
      </c>
      <c r="E2626" s="26" t="s">
        <v>6395</v>
      </c>
    </row>
    <row r="2627" spans="1:6">
      <c r="A2627" s="26" t="s">
        <v>8239</v>
      </c>
      <c r="B2627" s="26" t="s">
        <v>7060</v>
      </c>
      <c r="C2627" s="26" t="s">
        <v>8217</v>
      </c>
      <c r="D2627" s="26" t="s">
        <v>6396</v>
      </c>
      <c r="E2627" s="26" t="s">
        <v>6395</v>
      </c>
    </row>
    <row r="2628" spans="1:6">
      <c r="A2628" s="26" t="s">
        <v>8239</v>
      </c>
      <c r="B2628" s="26" t="s">
        <v>7912</v>
      </c>
      <c r="C2628" s="26" t="s">
        <v>8533</v>
      </c>
      <c r="D2628" s="26" t="s">
        <v>6396</v>
      </c>
      <c r="E2628" s="26" t="s">
        <v>6395</v>
      </c>
    </row>
    <row r="2629" spans="1:6">
      <c r="A2629" s="26" t="s">
        <v>8239</v>
      </c>
      <c r="B2629" s="26" t="s">
        <v>1553</v>
      </c>
      <c r="C2629" s="26" t="s">
        <v>188</v>
      </c>
      <c r="D2629" s="26" t="s">
        <v>6396</v>
      </c>
      <c r="E2629" s="26" t="s">
        <v>6443</v>
      </c>
    </row>
    <row r="2630" spans="1:6">
      <c r="A2630" s="26" t="s">
        <v>8239</v>
      </c>
      <c r="B2630" s="26" t="s">
        <v>7153</v>
      </c>
      <c r="C2630" s="26" t="s">
        <v>1545</v>
      </c>
      <c r="D2630" s="26" t="s">
        <v>6396</v>
      </c>
      <c r="E2630" s="26" t="s">
        <v>6395</v>
      </c>
    </row>
    <row r="2631" spans="1:6">
      <c r="A2631" s="26" t="s">
        <v>8239</v>
      </c>
      <c r="B2631" s="26" t="s">
        <v>8370</v>
      </c>
      <c r="C2631" s="26" t="s">
        <v>8534</v>
      </c>
      <c r="D2631" s="26" t="s">
        <v>6480</v>
      </c>
      <c r="E2631" s="26" t="s">
        <v>6395</v>
      </c>
      <c r="F2631" s="26" t="s">
        <v>8248</v>
      </c>
    </row>
    <row r="2632" spans="1:6">
      <c r="A2632" s="26" t="s">
        <v>8239</v>
      </c>
      <c r="B2632" s="26" t="s">
        <v>3267</v>
      </c>
      <c r="C2632" s="26" t="s">
        <v>3268</v>
      </c>
      <c r="D2632" s="26" t="s">
        <v>6396</v>
      </c>
      <c r="E2632" s="26" t="s">
        <v>6678</v>
      </c>
    </row>
    <row r="2633" spans="1:6">
      <c r="A2633" s="26" t="s">
        <v>8239</v>
      </c>
      <c r="B2633" s="26" t="s">
        <v>1330</v>
      </c>
      <c r="C2633" s="26" t="s">
        <v>1331</v>
      </c>
      <c r="D2633" s="26" t="s">
        <v>6396</v>
      </c>
      <c r="E2633" s="26" t="s">
        <v>6678</v>
      </c>
    </row>
    <row r="2634" spans="1:6">
      <c r="A2634" s="26" t="s">
        <v>8239</v>
      </c>
      <c r="B2634" s="26" t="s">
        <v>8535</v>
      </c>
      <c r="C2634" s="26" t="s">
        <v>8536</v>
      </c>
      <c r="D2634" s="26" t="s">
        <v>6396</v>
      </c>
      <c r="E2634" s="26" t="s">
        <v>8166</v>
      </c>
    </row>
    <row r="2635" spans="1:6">
      <c r="A2635" s="26" t="s">
        <v>8239</v>
      </c>
      <c r="B2635" s="26" t="s">
        <v>8537</v>
      </c>
      <c r="C2635" s="26" t="s">
        <v>6502</v>
      </c>
      <c r="D2635" s="26" t="s">
        <v>6396</v>
      </c>
      <c r="E2635" s="26" t="s">
        <v>6395</v>
      </c>
    </row>
    <row r="2636" spans="1:6">
      <c r="A2636" s="26" t="s">
        <v>8239</v>
      </c>
      <c r="B2636" s="26" t="s">
        <v>3238</v>
      </c>
      <c r="C2636" s="26" t="s">
        <v>1331</v>
      </c>
      <c r="D2636" s="26" t="s">
        <v>6396</v>
      </c>
      <c r="E2636" s="26" t="s">
        <v>6678</v>
      </c>
    </row>
    <row r="2637" spans="1:6">
      <c r="A2637" s="26" t="s">
        <v>8239</v>
      </c>
      <c r="B2637" s="26" t="s">
        <v>1760</v>
      </c>
      <c r="C2637" s="26" t="s">
        <v>1331</v>
      </c>
      <c r="D2637" s="26" t="s">
        <v>6396</v>
      </c>
      <c r="E2637" s="26" t="s">
        <v>6678</v>
      </c>
    </row>
    <row r="2638" spans="1:6">
      <c r="A2638" s="26" t="s">
        <v>8740</v>
      </c>
      <c r="B2638" s="26" t="s">
        <v>8538</v>
      </c>
      <c r="C2638" s="26" t="s">
        <v>188</v>
      </c>
      <c r="D2638" s="26" t="s">
        <v>6396</v>
      </c>
      <c r="E2638" s="26">
        <v>0</v>
      </c>
    </row>
    <row r="2639" spans="1:6">
      <c r="A2639" s="26" t="s">
        <v>8740</v>
      </c>
      <c r="B2639" s="26" t="s">
        <v>3209</v>
      </c>
      <c r="C2639" s="26" t="s">
        <v>188</v>
      </c>
      <c r="D2639" s="26" t="s">
        <v>6396</v>
      </c>
      <c r="E2639" s="26" t="s">
        <v>6395</v>
      </c>
    </row>
    <row r="2640" spans="1:6">
      <c r="A2640" s="26" t="s">
        <v>8740</v>
      </c>
      <c r="B2640" s="26" t="s">
        <v>2588</v>
      </c>
      <c r="C2640" s="26" t="s">
        <v>1030</v>
      </c>
      <c r="D2640" s="26" t="s">
        <v>6396</v>
      </c>
      <c r="E2640" s="26">
        <v>0</v>
      </c>
    </row>
    <row r="2641" spans="1:5">
      <c r="A2641" s="26" t="s">
        <v>8740</v>
      </c>
      <c r="B2641" s="26" t="s">
        <v>1451</v>
      </c>
      <c r="C2641" s="26" t="s">
        <v>1274</v>
      </c>
      <c r="D2641" s="26" t="s">
        <v>6396</v>
      </c>
      <c r="E2641" s="26">
        <v>0</v>
      </c>
    </row>
    <row r="2642" spans="1:5">
      <c r="A2642" s="26" t="s">
        <v>8740</v>
      </c>
      <c r="B2642" s="26" t="s">
        <v>7153</v>
      </c>
      <c r="C2642" s="26" t="s">
        <v>6451</v>
      </c>
      <c r="D2642" s="26" t="s">
        <v>6396</v>
      </c>
      <c r="E2642" s="26">
        <v>0</v>
      </c>
    </row>
    <row r="2643" spans="1:5">
      <c r="A2643" s="26" t="s">
        <v>8740</v>
      </c>
      <c r="B2643" s="26" t="s">
        <v>259</v>
      </c>
      <c r="C2643" s="26" t="s">
        <v>154</v>
      </c>
      <c r="D2643" s="26" t="s">
        <v>6396</v>
      </c>
      <c r="E2643" s="26">
        <v>0</v>
      </c>
    </row>
    <row r="2644" spans="1:5">
      <c r="A2644" s="26" t="s">
        <v>8740</v>
      </c>
      <c r="B2644" s="26" t="s">
        <v>1797</v>
      </c>
      <c r="C2644" s="26" t="s">
        <v>42</v>
      </c>
      <c r="D2644" s="26" t="s">
        <v>6396</v>
      </c>
      <c r="E2644" s="26">
        <v>0</v>
      </c>
    </row>
    <row r="2645" spans="1:5">
      <c r="A2645" s="26" t="s">
        <v>8740</v>
      </c>
      <c r="B2645" s="26" t="s">
        <v>6814</v>
      </c>
      <c r="C2645" s="26" t="s">
        <v>265</v>
      </c>
      <c r="D2645" s="26" t="s">
        <v>6396</v>
      </c>
      <c r="E2645" s="26">
        <v>0</v>
      </c>
    </row>
    <row r="2646" spans="1:5">
      <c r="A2646" s="26" t="s">
        <v>8740</v>
      </c>
      <c r="B2646" s="26" t="s">
        <v>8336</v>
      </c>
      <c r="C2646" s="26" t="s">
        <v>6473</v>
      </c>
      <c r="D2646" s="26" t="s">
        <v>6396</v>
      </c>
      <c r="E2646" s="26">
        <v>0</v>
      </c>
    </row>
    <row r="2647" spans="1:5">
      <c r="A2647" s="26" t="s">
        <v>8740</v>
      </c>
      <c r="B2647" s="26" t="s">
        <v>8177</v>
      </c>
      <c r="C2647" s="26" t="s">
        <v>8178</v>
      </c>
      <c r="D2647" s="26" t="s">
        <v>6396</v>
      </c>
      <c r="E2647" s="26">
        <v>0</v>
      </c>
    </row>
    <row r="2648" spans="1:5">
      <c r="A2648" s="26" t="s">
        <v>8740</v>
      </c>
      <c r="B2648" s="26" t="s">
        <v>1170</v>
      </c>
      <c r="C2648" s="26" t="s">
        <v>227</v>
      </c>
      <c r="D2648" s="26" t="s">
        <v>6396</v>
      </c>
      <c r="E2648" s="26" t="s">
        <v>6395</v>
      </c>
    </row>
    <row r="2649" spans="1:5">
      <c r="A2649" s="26" t="s">
        <v>8740</v>
      </c>
      <c r="B2649" s="26" t="s">
        <v>2238</v>
      </c>
      <c r="C2649" s="26" t="s">
        <v>2236</v>
      </c>
      <c r="D2649" s="26" t="s">
        <v>6396</v>
      </c>
      <c r="E2649" s="26">
        <v>0</v>
      </c>
    </row>
    <row r="2650" spans="1:5">
      <c r="A2650" s="26" t="s">
        <v>8740</v>
      </c>
      <c r="B2650" s="26" t="s">
        <v>7707</v>
      </c>
      <c r="C2650" s="26" t="s">
        <v>227</v>
      </c>
      <c r="D2650" s="26" t="s">
        <v>6396</v>
      </c>
      <c r="E2650" s="26">
        <v>0</v>
      </c>
    </row>
    <row r="2651" spans="1:5">
      <c r="A2651" s="26" t="s">
        <v>8740</v>
      </c>
      <c r="B2651" s="26" t="s">
        <v>8539</v>
      </c>
      <c r="C2651" s="26" t="s">
        <v>1802</v>
      </c>
      <c r="D2651" s="26" t="s">
        <v>6396</v>
      </c>
      <c r="E2651" s="26">
        <v>0</v>
      </c>
    </row>
    <row r="2652" spans="1:5">
      <c r="A2652" s="26" t="s">
        <v>8740</v>
      </c>
      <c r="B2652" s="26" t="s">
        <v>3823</v>
      </c>
      <c r="C2652" s="26" t="s">
        <v>6392</v>
      </c>
      <c r="D2652" s="26" t="s">
        <v>6396</v>
      </c>
      <c r="E2652" s="26">
        <v>0</v>
      </c>
    </row>
    <row r="2653" spans="1:5">
      <c r="A2653" s="26" t="s">
        <v>8740</v>
      </c>
      <c r="B2653" s="26" t="s">
        <v>8540</v>
      </c>
      <c r="C2653" s="26" t="s">
        <v>1274</v>
      </c>
      <c r="D2653" s="26" t="s">
        <v>6396</v>
      </c>
      <c r="E2653" s="26">
        <v>0</v>
      </c>
    </row>
    <row r="2654" spans="1:5">
      <c r="A2654" s="26" t="s">
        <v>8740</v>
      </c>
      <c r="B2654" s="26" t="s">
        <v>642</v>
      </c>
      <c r="C2654" s="26" t="s">
        <v>643</v>
      </c>
      <c r="D2654" s="26" t="s">
        <v>6396</v>
      </c>
      <c r="E2654" s="26">
        <v>0</v>
      </c>
    </row>
    <row r="2655" spans="1:5">
      <c r="A2655" s="26" t="s">
        <v>8740</v>
      </c>
      <c r="B2655" s="26" t="s">
        <v>3410</v>
      </c>
      <c r="C2655" s="26" t="s">
        <v>7020</v>
      </c>
      <c r="D2655" s="26" t="s">
        <v>6396</v>
      </c>
      <c r="E2655" s="26">
        <v>0</v>
      </c>
    </row>
    <row r="2656" spans="1:5">
      <c r="A2656" s="26" t="s">
        <v>8740</v>
      </c>
      <c r="B2656" s="26" t="s">
        <v>2368</v>
      </c>
      <c r="C2656" s="26" t="s">
        <v>884</v>
      </c>
      <c r="D2656" s="26" t="s">
        <v>6396</v>
      </c>
      <c r="E2656" s="26">
        <v>0</v>
      </c>
    </row>
    <row r="2657" spans="1:5">
      <c r="A2657" s="26" t="s">
        <v>8740</v>
      </c>
      <c r="B2657" s="26" t="s">
        <v>6624</v>
      </c>
      <c r="C2657" s="26" t="s">
        <v>6623</v>
      </c>
      <c r="D2657" s="26" t="s">
        <v>6396</v>
      </c>
      <c r="E2657" s="26">
        <v>0</v>
      </c>
    </row>
    <row r="2658" spans="1:5">
      <c r="A2658" s="26" t="s">
        <v>8740</v>
      </c>
      <c r="B2658" s="26" t="s">
        <v>214</v>
      </c>
      <c r="C2658" s="26" t="s">
        <v>215</v>
      </c>
      <c r="D2658" s="26" t="s">
        <v>6396</v>
      </c>
      <c r="E2658" s="26">
        <v>0</v>
      </c>
    </row>
    <row r="2659" spans="1:5">
      <c r="A2659" s="26" t="s">
        <v>8740</v>
      </c>
      <c r="B2659" s="26" t="s">
        <v>1249</v>
      </c>
      <c r="C2659" s="26" t="s">
        <v>1250</v>
      </c>
      <c r="D2659" s="26" t="s">
        <v>6396</v>
      </c>
      <c r="E2659" s="26" t="s">
        <v>6395</v>
      </c>
    </row>
    <row r="2660" spans="1:5">
      <c r="A2660" s="26" t="s">
        <v>8740</v>
      </c>
      <c r="B2660" s="26" t="s">
        <v>741</v>
      </c>
      <c r="C2660" s="26" t="s">
        <v>742</v>
      </c>
      <c r="D2660" s="26" t="s">
        <v>6396</v>
      </c>
      <c r="E2660" s="26">
        <v>0</v>
      </c>
    </row>
    <row r="2661" spans="1:5">
      <c r="A2661" s="26" t="s">
        <v>8740</v>
      </c>
      <c r="B2661" s="26" t="s">
        <v>7281</v>
      </c>
      <c r="C2661" s="26" t="s">
        <v>707</v>
      </c>
      <c r="D2661" s="26" t="s">
        <v>6396</v>
      </c>
      <c r="E2661" s="26">
        <v>0</v>
      </c>
    </row>
    <row r="2662" spans="1:5">
      <c r="A2662" s="26" t="s">
        <v>8740</v>
      </c>
      <c r="B2662" s="26" t="s">
        <v>462</v>
      </c>
      <c r="C2662" s="26" t="s">
        <v>188</v>
      </c>
      <c r="D2662" s="26" t="s">
        <v>6396</v>
      </c>
      <c r="E2662" s="26">
        <v>0</v>
      </c>
    </row>
    <row r="2663" spans="1:5">
      <c r="A2663" s="26" t="s">
        <v>8740</v>
      </c>
      <c r="B2663" s="26" t="s">
        <v>1529</v>
      </c>
      <c r="C2663" s="26" t="s">
        <v>188</v>
      </c>
      <c r="D2663" s="26" t="s">
        <v>6396</v>
      </c>
      <c r="E2663" s="26">
        <v>0</v>
      </c>
    </row>
    <row r="2664" spans="1:5">
      <c r="A2664" s="26" t="s">
        <v>8740</v>
      </c>
      <c r="B2664" s="26" t="s">
        <v>3166</v>
      </c>
      <c r="C2664" s="26" t="s">
        <v>227</v>
      </c>
      <c r="D2664" s="26" t="s">
        <v>6396</v>
      </c>
      <c r="E2664" s="26">
        <v>0</v>
      </c>
    </row>
    <row r="2665" spans="1:5">
      <c r="A2665" s="26" t="s">
        <v>8740</v>
      </c>
      <c r="B2665" s="26" t="s">
        <v>7864</v>
      </c>
      <c r="C2665" s="26" t="s">
        <v>707</v>
      </c>
      <c r="D2665" s="26" t="s">
        <v>6396</v>
      </c>
      <c r="E2665" s="26">
        <v>0</v>
      </c>
    </row>
    <row r="2666" spans="1:5">
      <c r="A2666" s="26" t="s">
        <v>8740</v>
      </c>
      <c r="B2666" s="26" t="s">
        <v>1591</v>
      </c>
      <c r="C2666" s="26" t="s">
        <v>221</v>
      </c>
      <c r="D2666" s="26" t="s">
        <v>6396</v>
      </c>
      <c r="E2666" s="26">
        <v>0</v>
      </c>
    </row>
    <row r="2667" spans="1:5">
      <c r="A2667" s="26" t="s">
        <v>8740</v>
      </c>
      <c r="B2667" s="26" t="s">
        <v>7280</v>
      </c>
      <c r="C2667" s="26" t="s">
        <v>707</v>
      </c>
      <c r="D2667" s="26" t="s">
        <v>6396</v>
      </c>
      <c r="E2667" s="26">
        <v>0</v>
      </c>
    </row>
    <row r="2668" spans="1:5">
      <c r="A2668" s="26" t="s">
        <v>8740</v>
      </c>
      <c r="B2668" s="26" t="s">
        <v>6732</v>
      </c>
      <c r="C2668" s="26" t="s">
        <v>6731</v>
      </c>
      <c r="D2668" s="26" t="s">
        <v>6396</v>
      </c>
      <c r="E2668" s="26">
        <v>0</v>
      </c>
    </row>
    <row r="2669" spans="1:5">
      <c r="A2669" s="26" t="s">
        <v>8740</v>
      </c>
      <c r="B2669" s="26" t="s">
        <v>8342</v>
      </c>
      <c r="C2669" s="26" t="s">
        <v>8343</v>
      </c>
      <c r="D2669" s="26" t="s">
        <v>6396</v>
      </c>
      <c r="E2669" s="26">
        <v>0</v>
      </c>
    </row>
    <row r="2670" spans="1:5">
      <c r="A2670" s="26" t="s">
        <v>8740</v>
      </c>
      <c r="B2670" s="26" t="s">
        <v>7855</v>
      </c>
      <c r="C2670" s="26" t="s">
        <v>8541</v>
      </c>
      <c r="D2670" s="26" t="s">
        <v>6396</v>
      </c>
      <c r="E2670" s="26">
        <v>0</v>
      </c>
    </row>
    <row r="2671" spans="1:5">
      <c r="A2671" s="26" t="s">
        <v>8740</v>
      </c>
      <c r="B2671" s="26" t="s">
        <v>3141</v>
      </c>
      <c r="C2671" s="26" t="s">
        <v>679</v>
      </c>
      <c r="D2671" s="26" t="s">
        <v>6396</v>
      </c>
      <c r="E2671" s="26">
        <v>0</v>
      </c>
    </row>
    <row r="2672" spans="1:5">
      <c r="A2672" s="26" t="s">
        <v>8740</v>
      </c>
      <c r="B2672" s="26" t="s">
        <v>7194</v>
      </c>
      <c r="C2672" s="26" t="s">
        <v>42</v>
      </c>
      <c r="D2672" s="26" t="s">
        <v>6396</v>
      </c>
      <c r="E2672" s="26">
        <v>0</v>
      </c>
    </row>
    <row r="2673" spans="1:5">
      <c r="A2673" s="26" t="s">
        <v>8740</v>
      </c>
      <c r="B2673" s="26" t="s">
        <v>6505</v>
      </c>
      <c r="C2673" s="26" t="s">
        <v>188</v>
      </c>
      <c r="D2673" s="26" t="s">
        <v>6396</v>
      </c>
      <c r="E2673" s="26">
        <v>0</v>
      </c>
    </row>
    <row r="2674" spans="1:5">
      <c r="A2674" s="26" t="s">
        <v>8740</v>
      </c>
      <c r="B2674" s="26" t="s">
        <v>1569</v>
      </c>
      <c r="C2674" s="26" t="s">
        <v>42</v>
      </c>
      <c r="D2674" s="26" t="s">
        <v>6396</v>
      </c>
      <c r="E2674" s="26">
        <v>0</v>
      </c>
    </row>
    <row r="2675" spans="1:5">
      <c r="A2675" s="26" t="s">
        <v>8740</v>
      </c>
      <c r="B2675" s="26" t="s">
        <v>8542</v>
      </c>
      <c r="C2675" s="26" t="s">
        <v>2225</v>
      </c>
      <c r="D2675" s="26" t="s">
        <v>6396</v>
      </c>
      <c r="E2675" s="26">
        <v>0</v>
      </c>
    </row>
    <row r="2676" spans="1:5">
      <c r="A2676" s="26" t="s">
        <v>8740</v>
      </c>
      <c r="B2676" s="26" t="s">
        <v>1782</v>
      </c>
      <c r="C2676" s="26" t="s">
        <v>1783</v>
      </c>
      <c r="D2676" s="26" t="s">
        <v>6396</v>
      </c>
      <c r="E2676" s="26">
        <v>0</v>
      </c>
    </row>
    <row r="2677" spans="1:5">
      <c r="A2677" s="26" t="s">
        <v>8740</v>
      </c>
      <c r="B2677" s="26" t="s">
        <v>8543</v>
      </c>
      <c r="C2677" s="26" t="s">
        <v>7512</v>
      </c>
      <c r="D2677" s="26" t="s">
        <v>6396</v>
      </c>
      <c r="E2677" s="26">
        <v>0</v>
      </c>
    </row>
    <row r="2678" spans="1:5">
      <c r="A2678" s="26" t="s">
        <v>8740</v>
      </c>
      <c r="B2678" s="26" t="s">
        <v>8544</v>
      </c>
      <c r="C2678" s="26" t="s">
        <v>6623</v>
      </c>
      <c r="D2678" s="26" t="s">
        <v>6396</v>
      </c>
      <c r="E2678" s="26">
        <v>0</v>
      </c>
    </row>
    <row r="2679" spans="1:5">
      <c r="A2679" s="26" t="s">
        <v>8740</v>
      </c>
      <c r="B2679" s="26" t="s">
        <v>7182</v>
      </c>
      <c r="C2679" s="26" t="s">
        <v>7181</v>
      </c>
      <c r="D2679" s="26" t="s">
        <v>6396</v>
      </c>
      <c r="E2679" s="26">
        <v>0</v>
      </c>
    </row>
    <row r="2680" spans="1:5">
      <c r="A2680" s="26" t="s">
        <v>8740</v>
      </c>
      <c r="B2680" s="26" t="s">
        <v>8123</v>
      </c>
      <c r="C2680" s="26" t="s">
        <v>2198</v>
      </c>
      <c r="D2680" s="26" t="s">
        <v>6396</v>
      </c>
      <c r="E2680" s="26">
        <v>0</v>
      </c>
    </row>
    <row r="2681" spans="1:5">
      <c r="A2681" s="26" t="s">
        <v>8740</v>
      </c>
      <c r="B2681" s="26" t="s">
        <v>6874</v>
      </c>
      <c r="C2681" s="26" t="s">
        <v>6872</v>
      </c>
      <c r="D2681" s="26" t="s">
        <v>6396</v>
      </c>
      <c r="E2681" s="26">
        <v>0</v>
      </c>
    </row>
    <row r="2682" spans="1:5">
      <c r="A2682" s="26" t="s">
        <v>8740</v>
      </c>
      <c r="B2682" s="26" t="s">
        <v>8545</v>
      </c>
      <c r="C2682" s="26" t="s">
        <v>7237</v>
      </c>
      <c r="D2682" s="26" t="s">
        <v>6396</v>
      </c>
      <c r="E2682" s="26">
        <v>0</v>
      </c>
    </row>
    <row r="2683" spans="1:5">
      <c r="A2683" s="26" t="s">
        <v>8740</v>
      </c>
      <c r="B2683" s="26" t="s">
        <v>711</v>
      </c>
      <c r="C2683" s="26" t="s">
        <v>6872</v>
      </c>
      <c r="D2683" s="26" t="s">
        <v>6396</v>
      </c>
      <c r="E2683" s="26">
        <v>0</v>
      </c>
    </row>
    <row r="2684" spans="1:5">
      <c r="A2684" s="26" t="s">
        <v>8740</v>
      </c>
      <c r="B2684" s="26" t="s">
        <v>7138</v>
      </c>
      <c r="C2684" s="26" t="s">
        <v>2548</v>
      </c>
      <c r="D2684" s="26" t="s">
        <v>6396</v>
      </c>
      <c r="E2684" s="26">
        <v>0</v>
      </c>
    </row>
    <row r="2685" spans="1:5">
      <c r="A2685" s="26" t="s">
        <v>8740</v>
      </c>
      <c r="B2685" s="26" t="s">
        <v>6756</v>
      </c>
      <c r="C2685" s="26" t="s">
        <v>847</v>
      </c>
      <c r="D2685" s="26" t="s">
        <v>6396</v>
      </c>
      <c r="E2685" s="26">
        <v>0</v>
      </c>
    </row>
    <row r="2686" spans="1:5">
      <c r="A2686" s="26" t="s">
        <v>8740</v>
      </c>
      <c r="B2686" s="26" t="s">
        <v>1793</v>
      </c>
      <c r="C2686" s="26" t="s">
        <v>643</v>
      </c>
      <c r="D2686" s="26" t="s">
        <v>6396</v>
      </c>
      <c r="E2686" s="26">
        <v>0</v>
      </c>
    </row>
    <row r="2687" spans="1:5">
      <c r="A2687" s="26" t="s">
        <v>8740</v>
      </c>
      <c r="B2687" s="26" t="s">
        <v>883</v>
      </c>
      <c r="C2687" s="26" t="s">
        <v>884</v>
      </c>
      <c r="D2687" s="26" t="s">
        <v>6396</v>
      </c>
      <c r="E2687" s="26">
        <v>0</v>
      </c>
    </row>
    <row r="2688" spans="1:5">
      <c r="A2688" s="26" t="s">
        <v>8740</v>
      </c>
      <c r="B2688" s="26" t="s">
        <v>2322</v>
      </c>
      <c r="C2688" s="26" t="s">
        <v>2323</v>
      </c>
      <c r="D2688" s="26" t="s">
        <v>6396</v>
      </c>
      <c r="E2688" s="26">
        <v>0</v>
      </c>
    </row>
    <row r="2689" spans="1:5">
      <c r="A2689" s="26" t="s">
        <v>8740</v>
      </c>
      <c r="B2689" s="26" t="s">
        <v>7757</v>
      </c>
      <c r="C2689" s="26" t="s">
        <v>1466</v>
      </c>
      <c r="D2689" s="26" t="s">
        <v>6396</v>
      </c>
      <c r="E2689" s="26">
        <v>0</v>
      </c>
    </row>
    <row r="2690" spans="1:5">
      <c r="A2690" s="26" t="s">
        <v>8740</v>
      </c>
      <c r="B2690" s="26" t="s">
        <v>1741</v>
      </c>
      <c r="C2690" s="26" t="s">
        <v>742</v>
      </c>
      <c r="D2690" s="26" t="s">
        <v>6396</v>
      </c>
      <c r="E2690" s="26">
        <v>0</v>
      </c>
    </row>
    <row r="2691" spans="1:5">
      <c r="A2691" s="26" t="s">
        <v>8740</v>
      </c>
      <c r="B2691" s="26" t="s">
        <v>6719</v>
      </c>
      <c r="C2691" s="26" t="s">
        <v>6718</v>
      </c>
      <c r="D2691" s="26" t="s">
        <v>6396</v>
      </c>
      <c r="E2691" s="26">
        <v>0</v>
      </c>
    </row>
    <row r="2692" spans="1:5">
      <c r="A2692" s="26" t="s">
        <v>8740</v>
      </c>
      <c r="B2692" s="26" t="s">
        <v>2828</v>
      </c>
      <c r="C2692" s="26" t="s">
        <v>434</v>
      </c>
      <c r="D2692" s="26" t="s">
        <v>6396</v>
      </c>
      <c r="E2692" s="26">
        <v>0</v>
      </c>
    </row>
    <row r="2693" spans="1:5">
      <c r="A2693" s="26" t="s">
        <v>8740</v>
      </c>
      <c r="B2693" s="26" t="s">
        <v>226</v>
      </c>
      <c r="C2693" s="26" t="s">
        <v>227</v>
      </c>
      <c r="D2693" s="26" t="s">
        <v>6396</v>
      </c>
      <c r="E2693" s="26">
        <v>0</v>
      </c>
    </row>
    <row r="2694" spans="1:5">
      <c r="A2694" s="26" t="s">
        <v>8740</v>
      </c>
      <c r="B2694" s="26" t="s">
        <v>1159</v>
      </c>
      <c r="C2694" s="26" t="s">
        <v>1160</v>
      </c>
      <c r="D2694" s="26" t="s">
        <v>6396</v>
      </c>
      <c r="E2694" s="26">
        <v>0</v>
      </c>
    </row>
    <row r="2695" spans="1:5">
      <c r="A2695" s="26" t="s">
        <v>8740</v>
      </c>
      <c r="B2695" s="26" t="s">
        <v>8546</v>
      </c>
      <c r="C2695" s="26" t="s">
        <v>6916</v>
      </c>
      <c r="D2695" s="26" t="s">
        <v>6396</v>
      </c>
      <c r="E2695" s="26">
        <v>0</v>
      </c>
    </row>
    <row r="2696" spans="1:5">
      <c r="A2696" s="26" t="s">
        <v>8740</v>
      </c>
      <c r="B2696" s="26" t="s">
        <v>8547</v>
      </c>
      <c r="C2696" s="26" t="s">
        <v>1466</v>
      </c>
      <c r="D2696" s="26" t="s">
        <v>6396</v>
      </c>
      <c r="E2696" s="26">
        <v>0</v>
      </c>
    </row>
    <row r="2697" spans="1:5">
      <c r="A2697" s="26" t="s">
        <v>8740</v>
      </c>
      <c r="B2697" s="26" t="s">
        <v>8548</v>
      </c>
      <c r="C2697" s="26" t="s">
        <v>1466</v>
      </c>
      <c r="D2697" s="26" t="s">
        <v>6396</v>
      </c>
      <c r="E2697" s="26">
        <v>0</v>
      </c>
    </row>
    <row r="2698" spans="1:5">
      <c r="A2698" s="26" t="s">
        <v>8740</v>
      </c>
      <c r="B2698" s="26" t="s">
        <v>1801</v>
      </c>
      <c r="C2698" s="26" t="s">
        <v>1802</v>
      </c>
      <c r="D2698" s="26" t="s">
        <v>6396</v>
      </c>
      <c r="E2698" s="26">
        <v>0</v>
      </c>
    </row>
    <row r="2699" spans="1:5">
      <c r="A2699" s="26" t="s">
        <v>8740</v>
      </c>
      <c r="B2699" s="26" t="s">
        <v>1014</v>
      </c>
      <c r="C2699" s="26" t="s">
        <v>154</v>
      </c>
      <c r="D2699" s="26" t="s">
        <v>6396</v>
      </c>
      <c r="E2699" s="26" t="s">
        <v>6395</v>
      </c>
    </row>
    <row r="2700" spans="1:5">
      <c r="A2700" s="26" t="s">
        <v>8740</v>
      </c>
      <c r="B2700" s="26" t="s">
        <v>6934</v>
      </c>
      <c r="C2700" s="26" t="s">
        <v>643</v>
      </c>
      <c r="D2700" s="26" t="s">
        <v>6396</v>
      </c>
      <c r="E2700" s="26">
        <v>0</v>
      </c>
    </row>
    <row r="2701" spans="1:5">
      <c r="A2701" s="26" t="s">
        <v>8740</v>
      </c>
      <c r="B2701" s="26" t="s">
        <v>8549</v>
      </c>
      <c r="C2701" s="26" t="s">
        <v>154</v>
      </c>
      <c r="D2701" s="26" t="s">
        <v>6396</v>
      </c>
      <c r="E2701" s="26">
        <v>0</v>
      </c>
    </row>
    <row r="2702" spans="1:5">
      <c r="A2702" s="26" t="s">
        <v>8740</v>
      </c>
      <c r="B2702" s="26" t="s">
        <v>638</v>
      </c>
      <c r="C2702" s="26" t="s">
        <v>154</v>
      </c>
      <c r="D2702" s="26" t="s">
        <v>6396</v>
      </c>
      <c r="E2702" s="26">
        <v>0</v>
      </c>
    </row>
    <row r="2703" spans="1:5">
      <c r="A2703" s="26" t="s">
        <v>8740</v>
      </c>
      <c r="B2703" s="26" t="s">
        <v>1143</v>
      </c>
      <c r="C2703" s="26" t="s">
        <v>154</v>
      </c>
      <c r="D2703" s="26" t="s">
        <v>6396</v>
      </c>
      <c r="E2703" s="26">
        <v>0</v>
      </c>
    </row>
    <row r="2704" spans="1:5">
      <c r="A2704" s="26" t="s">
        <v>8740</v>
      </c>
      <c r="B2704" s="26" t="s">
        <v>319</v>
      </c>
      <c r="C2704" s="26" t="s">
        <v>154</v>
      </c>
      <c r="D2704" s="26" t="s">
        <v>6396</v>
      </c>
      <c r="E2704" s="26">
        <v>0</v>
      </c>
    </row>
    <row r="2705" spans="1:5">
      <c r="A2705" s="26" t="s">
        <v>8740</v>
      </c>
      <c r="B2705" s="26" t="s">
        <v>2121</v>
      </c>
      <c r="C2705" s="26" t="s">
        <v>1545</v>
      </c>
      <c r="D2705" s="26" t="s">
        <v>6396</v>
      </c>
      <c r="E2705" s="26">
        <v>0</v>
      </c>
    </row>
    <row r="2706" spans="1:5">
      <c r="A2706" s="26" t="s">
        <v>8740</v>
      </c>
      <c r="B2706" s="26" t="s">
        <v>1845</v>
      </c>
      <c r="C2706" s="26" t="s">
        <v>1545</v>
      </c>
      <c r="D2706" s="26" t="s">
        <v>6396</v>
      </c>
      <c r="E2706" s="26">
        <v>0</v>
      </c>
    </row>
    <row r="2707" spans="1:5">
      <c r="A2707" s="26" t="s">
        <v>8740</v>
      </c>
      <c r="B2707" s="26" t="s">
        <v>6890</v>
      </c>
      <c r="C2707" s="26" t="s">
        <v>541</v>
      </c>
      <c r="D2707" s="26" t="s">
        <v>6396</v>
      </c>
      <c r="E2707" s="26">
        <v>0</v>
      </c>
    </row>
    <row r="2708" spans="1:5">
      <c r="A2708" s="26" t="s">
        <v>8740</v>
      </c>
      <c r="B2708" s="26" t="s">
        <v>8550</v>
      </c>
      <c r="C2708" s="26" t="s">
        <v>1351</v>
      </c>
      <c r="D2708" s="26" t="s">
        <v>6396</v>
      </c>
      <c r="E2708" s="26">
        <v>0</v>
      </c>
    </row>
    <row r="2709" spans="1:5">
      <c r="A2709" s="26" t="s">
        <v>8740</v>
      </c>
      <c r="B2709" s="26" t="s">
        <v>6945</v>
      </c>
      <c r="C2709" s="26" t="s">
        <v>493</v>
      </c>
      <c r="D2709" s="26" t="s">
        <v>6396</v>
      </c>
      <c r="E2709" s="26">
        <v>0</v>
      </c>
    </row>
    <row r="2710" spans="1:5">
      <c r="A2710" s="26" t="s">
        <v>8740</v>
      </c>
      <c r="B2710" s="26" t="s">
        <v>2008</v>
      </c>
      <c r="C2710" s="26" t="s">
        <v>227</v>
      </c>
      <c r="D2710" s="26" t="s">
        <v>6396</v>
      </c>
      <c r="E2710" s="26">
        <v>0</v>
      </c>
    </row>
    <row r="2711" spans="1:5">
      <c r="A2711" s="26" t="s">
        <v>8740</v>
      </c>
      <c r="B2711" s="26" t="s">
        <v>8551</v>
      </c>
      <c r="C2711" s="26" t="s">
        <v>227</v>
      </c>
      <c r="D2711" s="26" t="s">
        <v>6396</v>
      </c>
      <c r="E2711" s="26">
        <v>0</v>
      </c>
    </row>
    <row r="2712" spans="1:5">
      <c r="A2712" s="26" t="s">
        <v>8740</v>
      </c>
      <c r="B2712" s="26" t="s">
        <v>7025</v>
      </c>
      <c r="C2712" s="26" t="s">
        <v>227</v>
      </c>
      <c r="D2712" s="26" t="s">
        <v>6396</v>
      </c>
      <c r="E2712" s="26">
        <v>0</v>
      </c>
    </row>
    <row r="2713" spans="1:5">
      <c r="A2713" s="26" t="s">
        <v>8740</v>
      </c>
      <c r="B2713" s="26" t="s">
        <v>6856</v>
      </c>
      <c r="C2713" s="26" t="s">
        <v>227</v>
      </c>
      <c r="D2713" s="26" t="s">
        <v>6434</v>
      </c>
      <c r="E2713" s="26">
        <v>0</v>
      </c>
    </row>
    <row r="2714" spans="1:5">
      <c r="A2714" s="26" t="s">
        <v>8740</v>
      </c>
      <c r="B2714" s="26" t="s">
        <v>6903</v>
      </c>
      <c r="C2714" s="26" t="s">
        <v>466</v>
      </c>
      <c r="D2714" s="26" t="s">
        <v>6396</v>
      </c>
      <c r="E2714" s="26">
        <v>0</v>
      </c>
    </row>
    <row r="2715" spans="1:5">
      <c r="A2715" s="26" t="s">
        <v>8740</v>
      </c>
      <c r="B2715" s="26" t="s">
        <v>2471</v>
      </c>
      <c r="C2715" s="26" t="s">
        <v>2472</v>
      </c>
      <c r="D2715" s="26" t="s">
        <v>6396</v>
      </c>
      <c r="E2715" s="26">
        <v>0</v>
      </c>
    </row>
    <row r="2716" spans="1:5">
      <c r="A2716" s="26" t="s">
        <v>8740</v>
      </c>
      <c r="B2716" s="26" t="s">
        <v>8552</v>
      </c>
      <c r="C2716" s="26" t="s">
        <v>8553</v>
      </c>
      <c r="D2716" s="26" t="s">
        <v>6396</v>
      </c>
      <c r="E2716" s="26">
        <v>0</v>
      </c>
    </row>
    <row r="2717" spans="1:5">
      <c r="A2717" s="26" t="s">
        <v>8740</v>
      </c>
      <c r="B2717" s="26" t="s">
        <v>8554</v>
      </c>
      <c r="C2717" s="26" t="s">
        <v>1802</v>
      </c>
      <c r="D2717" s="26" t="s">
        <v>6396</v>
      </c>
      <c r="E2717" s="26">
        <v>0</v>
      </c>
    </row>
    <row r="2718" spans="1:5">
      <c r="A2718" s="26" t="s">
        <v>8740</v>
      </c>
      <c r="B2718" s="26" t="s">
        <v>7272</v>
      </c>
      <c r="C2718" s="26" t="s">
        <v>574</v>
      </c>
      <c r="D2718" s="26" t="s">
        <v>6396</v>
      </c>
      <c r="E2718" s="26">
        <v>0</v>
      </c>
    </row>
    <row r="2719" spans="1:5">
      <c r="A2719" s="26" t="s">
        <v>8740</v>
      </c>
      <c r="B2719" s="26" t="s">
        <v>2642</v>
      </c>
      <c r="C2719" s="26" t="s">
        <v>2643</v>
      </c>
      <c r="D2719" s="26" t="s">
        <v>6396</v>
      </c>
      <c r="E2719" s="26">
        <v>0</v>
      </c>
    </row>
    <row r="2720" spans="1:5">
      <c r="A2720" s="26" t="s">
        <v>8740</v>
      </c>
      <c r="B2720" s="26" t="s">
        <v>8555</v>
      </c>
      <c r="C2720" s="26" t="s">
        <v>6473</v>
      </c>
      <c r="D2720" s="26" t="s">
        <v>6396</v>
      </c>
      <c r="E2720" s="26">
        <v>0</v>
      </c>
    </row>
    <row r="2721" spans="1:6">
      <c r="A2721" s="26" t="s">
        <v>8740</v>
      </c>
      <c r="B2721" s="26" t="s">
        <v>2436</v>
      </c>
      <c r="C2721" s="26" t="s">
        <v>6473</v>
      </c>
      <c r="D2721" s="26" t="s">
        <v>6396</v>
      </c>
      <c r="E2721" s="26">
        <v>0</v>
      </c>
    </row>
    <row r="2722" spans="1:6">
      <c r="A2722" s="26" t="s">
        <v>8740</v>
      </c>
      <c r="B2722" s="26" t="s">
        <v>6693</v>
      </c>
      <c r="C2722" s="26" t="s">
        <v>1783</v>
      </c>
      <c r="D2722" s="26" t="s">
        <v>6396</v>
      </c>
      <c r="E2722" s="26">
        <v>0</v>
      </c>
    </row>
    <row r="2723" spans="1:6">
      <c r="A2723" s="26" t="s">
        <v>8740</v>
      </c>
      <c r="B2723" s="26" t="s">
        <v>8556</v>
      </c>
      <c r="C2723" s="26" t="s">
        <v>484</v>
      </c>
      <c r="D2723" s="26" t="s">
        <v>6396</v>
      </c>
      <c r="E2723" s="26">
        <v>0</v>
      </c>
    </row>
    <row r="2724" spans="1:6">
      <c r="A2724" s="26" t="s">
        <v>8740</v>
      </c>
      <c r="B2724" s="26" t="s">
        <v>134</v>
      </c>
      <c r="C2724" s="26" t="s">
        <v>135</v>
      </c>
      <c r="D2724" s="26" t="s">
        <v>6396</v>
      </c>
      <c r="E2724" s="26">
        <v>0</v>
      </c>
    </row>
    <row r="2725" spans="1:6">
      <c r="A2725" s="26" t="s">
        <v>8740</v>
      </c>
      <c r="B2725" s="26" t="s">
        <v>1853</v>
      </c>
      <c r="C2725" s="26" t="s">
        <v>1854</v>
      </c>
      <c r="D2725" s="26" t="s">
        <v>6396</v>
      </c>
      <c r="E2725" s="26">
        <v>0</v>
      </c>
      <c r="F2725" s="26" t="s">
        <v>8557</v>
      </c>
    </row>
    <row r="2726" spans="1:6">
      <c r="A2726" s="26" t="s">
        <v>8740</v>
      </c>
      <c r="B2726" s="26" t="s">
        <v>8558</v>
      </c>
      <c r="C2726" s="26" t="s">
        <v>8559</v>
      </c>
      <c r="D2726" s="26" t="s">
        <v>6396</v>
      </c>
      <c r="E2726" s="26">
        <v>0</v>
      </c>
    </row>
    <row r="2727" spans="1:6">
      <c r="A2727" s="26" t="s">
        <v>8740</v>
      </c>
      <c r="B2727" s="26" t="s">
        <v>6755</v>
      </c>
      <c r="C2727" s="26" t="s">
        <v>6596</v>
      </c>
      <c r="D2727" s="26" t="s">
        <v>6396</v>
      </c>
      <c r="E2727" s="26">
        <v>0</v>
      </c>
    </row>
    <row r="2728" spans="1:6">
      <c r="A2728" s="26" t="s">
        <v>8740</v>
      </c>
      <c r="B2728" s="26" t="s">
        <v>781</v>
      </c>
      <c r="C2728" s="26" t="s">
        <v>782</v>
      </c>
      <c r="D2728" s="26" t="s">
        <v>6396</v>
      </c>
      <c r="E2728" s="26">
        <v>0</v>
      </c>
    </row>
    <row r="2729" spans="1:6">
      <c r="A2729" s="26" t="s">
        <v>8740</v>
      </c>
      <c r="B2729" s="26" t="s">
        <v>2299</v>
      </c>
      <c r="C2729" s="26" t="s">
        <v>8560</v>
      </c>
      <c r="D2729" s="26" t="s">
        <v>6396</v>
      </c>
      <c r="E2729" s="26">
        <v>0</v>
      </c>
    </row>
    <row r="2730" spans="1:6">
      <c r="A2730" s="26" t="s">
        <v>8740</v>
      </c>
      <c r="B2730" s="26" t="s">
        <v>8561</v>
      </c>
      <c r="C2730" s="26" t="s">
        <v>8562</v>
      </c>
      <c r="D2730" s="26" t="s">
        <v>6396</v>
      </c>
      <c r="E2730" s="26">
        <v>0</v>
      </c>
    </row>
    <row r="2731" spans="1:6">
      <c r="A2731" s="26" t="s">
        <v>8740</v>
      </c>
      <c r="B2731" s="26" t="s">
        <v>2605</v>
      </c>
      <c r="C2731" s="26" t="s">
        <v>541</v>
      </c>
      <c r="D2731" s="26" t="s">
        <v>6396</v>
      </c>
      <c r="E2731" s="26">
        <v>0</v>
      </c>
    </row>
    <row r="2732" spans="1:6">
      <c r="A2732" s="26" t="s">
        <v>8740</v>
      </c>
      <c r="B2732" s="26" t="s">
        <v>3441</v>
      </c>
      <c r="C2732" s="26" t="s">
        <v>679</v>
      </c>
      <c r="D2732" s="26" t="s">
        <v>6396</v>
      </c>
      <c r="E2732" s="26" t="s">
        <v>6395</v>
      </c>
    </row>
    <row r="2733" spans="1:6">
      <c r="A2733" s="26" t="s">
        <v>8740</v>
      </c>
      <c r="B2733" s="26" t="s">
        <v>2565</v>
      </c>
      <c r="C2733" s="26" t="s">
        <v>679</v>
      </c>
      <c r="D2733" s="26" t="s">
        <v>6396</v>
      </c>
      <c r="E2733" s="26">
        <v>0</v>
      </c>
    </row>
    <row r="2734" spans="1:6">
      <c r="A2734" s="26" t="s">
        <v>8740</v>
      </c>
      <c r="B2734" s="26" t="s">
        <v>8563</v>
      </c>
      <c r="C2734" s="26" t="s">
        <v>679</v>
      </c>
      <c r="D2734" s="26" t="s">
        <v>6396</v>
      </c>
      <c r="E2734" s="26">
        <v>0</v>
      </c>
    </row>
    <row r="2735" spans="1:6">
      <c r="A2735" s="26" t="s">
        <v>8740</v>
      </c>
      <c r="B2735" s="26" t="s">
        <v>8564</v>
      </c>
      <c r="C2735" s="26" t="s">
        <v>679</v>
      </c>
      <c r="D2735" s="26" t="s">
        <v>6396</v>
      </c>
      <c r="E2735" s="26">
        <v>0</v>
      </c>
    </row>
    <row r="2736" spans="1:6">
      <c r="A2736" s="26" t="s">
        <v>8740</v>
      </c>
      <c r="B2736" s="26" t="s">
        <v>1509</v>
      </c>
      <c r="C2736" s="26" t="s">
        <v>679</v>
      </c>
      <c r="D2736" s="26" t="s">
        <v>6396</v>
      </c>
      <c r="E2736" s="26">
        <v>0</v>
      </c>
    </row>
    <row r="2737" spans="1:5">
      <c r="A2737" s="26" t="s">
        <v>8740</v>
      </c>
      <c r="B2737" s="26" t="s">
        <v>1609</v>
      </c>
      <c r="C2737" s="26" t="s">
        <v>679</v>
      </c>
      <c r="D2737" s="26" t="s">
        <v>6396</v>
      </c>
      <c r="E2737" s="26">
        <v>0</v>
      </c>
    </row>
    <row r="2738" spans="1:5">
      <c r="A2738" s="26" t="s">
        <v>8740</v>
      </c>
      <c r="B2738" s="26" t="s">
        <v>1558</v>
      </c>
      <c r="C2738" s="26" t="s">
        <v>1559</v>
      </c>
      <c r="D2738" s="26" t="s">
        <v>6396</v>
      </c>
      <c r="E2738" s="26">
        <v>0</v>
      </c>
    </row>
    <row r="2739" spans="1:5">
      <c r="A2739" s="26" t="s">
        <v>8740</v>
      </c>
      <c r="B2739" s="26" t="s">
        <v>8565</v>
      </c>
      <c r="C2739" s="26" t="s">
        <v>8447</v>
      </c>
      <c r="D2739" s="26" t="s">
        <v>6396</v>
      </c>
      <c r="E2739" s="26">
        <v>0</v>
      </c>
    </row>
    <row r="2740" spans="1:5">
      <c r="A2740" s="26" t="s">
        <v>8740</v>
      </c>
      <c r="B2740" s="26" t="s">
        <v>8566</v>
      </c>
      <c r="C2740" s="26" t="s">
        <v>8567</v>
      </c>
      <c r="D2740" s="26" t="s">
        <v>6396</v>
      </c>
      <c r="E2740" s="26">
        <v>0</v>
      </c>
    </row>
    <row r="2741" spans="1:5">
      <c r="A2741" s="26" t="s">
        <v>8740</v>
      </c>
      <c r="B2741" s="26" t="s">
        <v>2517</v>
      </c>
      <c r="C2741" s="26" t="s">
        <v>1545</v>
      </c>
      <c r="D2741" s="26" t="s">
        <v>6396</v>
      </c>
      <c r="E2741" s="26">
        <v>0</v>
      </c>
    </row>
    <row r="2742" spans="1:5">
      <c r="A2742" s="26" t="s">
        <v>8740</v>
      </c>
      <c r="B2742" s="26" t="s">
        <v>8494</v>
      </c>
      <c r="C2742" s="26" t="s">
        <v>8495</v>
      </c>
      <c r="D2742" s="26" t="s">
        <v>6396</v>
      </c>
      <c r="E2742" s="26">
        <v>0</v>
      </c>
    </row>
    <row r="2743" spans="1:5">
      <c r="A2743" s="26" t="s">
        <v>8740</v>
      </c>
      <c r="B2743" s="26" t="s">
        <v>6899</v>
      </c>
      <c r="C2743" s="26" t="s">
        <v>360</v>
      </c>
      <c r="D2743" s="26" t="s">
        <v>6396</v>
      </c>
      <c r="E2743" s="26">
        <v>0</v>
      </c>
    </row>
    <row r="2744" spans="1:5">
      <c r="A2744" s="26" t="s">
        <v>8740</v>
      </c>
      <c r="B2744" s="26" t="s">
        <v>136</v>
      </c>
      <c r="C2744" s="26" t="s">
        <v>21</v>
      </c>
      <c r="D2744" s="26" t="s">
        <v>6396</v>
      </c>
      <c r="E2744" s="26">
        <v>0</v>
      </c>
    </row>
    <row r="2745" spans="1:5">
      <c r="A2745" s="26" t="s">
        <v>8740</v>
      </c>
      <c r="B2745" s="26" t="s">
        <v>1553</v>
      </c>
      <c r="C2745" s="26" t="s">
        <v>188</v>
      </c>
      <c r="D2745" s="26" t="s">
        <v>6396</v>
      </c>
      <c r="E2745" s="26">
        <v>0</v>
      </c>
    </row>
    <row r="2746" spans="1:5">
      <c r="A2746" s="26" t="s">
        <v>8740</v>
      </c>
      <c r="B2746" s="26" t="s">
        <v>6657</v>
      </c>
      <c r="C2746" s="26" t="s">
        <v>6410</v>
      </c>
      <c r="D2746" s="26" t="s">
        <v>6396</v>
      </c>
      <c r="E2746" s="26">
        <v>0</v>
      </c>
    </row>
    <row r="2747" spans="1:5">
      <c r="A2747" s="26" t="s">
        <v>8740</v>
      </c>
      <c r="B2747" s="26" t="s">
        <v>2547</v>
      </c>
      <c r="C2747" s="26" t="s">
        <v>2548</v>
      </c>
      <c r="D2747" s="26" t="s">
        <v>6396</v>
      </c>
      <c r="E2747" s="26">
        <v>0</v>
      </c>
    </row>
    <row r="2748" spans="1:5">
      <c r="A2748" s="26" t="s">
        <v>8740</v>
      </c>
      <c r="B2748" s="26" t="s">
        <v>8568</v>
      </c>
      <c r="C2748" s="26" t="s">
        <v>8569</v>
      </c>
      <c r="D2748" s="26" t="s">
        <v>6396</v>
      </c>
      <c r="E2748" s="26">
        <v>0</v>
      </c>
    </row>
    <row r="2749" spans="1:5">
      <c r="A2749" s="26" t="s">
        <v>8740</v>
      </c>
      <c r="B2749" s="26" t="s">
        <v>8570</v>
      </c>
      <c r="C2749" s="26" t="s">
        <v>466</v>
      </c>
      <c r="D2749" s="26" t="s">
        <v>6396</v>
      </c>
      <c r="E2749" s="26">
        <v>0</v>
      </c>
    </row>
    <row r="2750" spans="1:5">
      <c r="A2750" s="26" t="s">
        <v>8740</v>
      </c>
      <c r="B2750" s="26" t="s">
        <v>1410</v>
      </c>
      <c r="C2750" s="26" t="s">
        <v>146</v>
      </c>
      <c r="D2750" s="26" t="s">
        <v>6396</v>
      </c>
      <c r="E2750" s="26">
        <v>0</v>
      </c>
    </row>
    <row r="2751" spans="1:5">
      <c r="A2751" s="26" t="s">
        <v>8740</v>
      </c>
      <c r="B2751" s="26" t="s">
        <v>6958</v>
      </c>
      <c r="C2751" s="26" t="s">
        <v>6560</v>
      </c>
      <c r="D2751" s="26" t="s">
        <v>6396</v>
      </c>
      <c r="E2751" s="26">
        <v>0</v>
      </c>
    </row>
    <row r="2752" spans="1:5">
      <c r="A2752" s="26" t="s">
        <v>8740</v>
      </c>
      <c r="B2752" s="26" t="s">
        <v>1044</v>
      </c>
      <c r="C2752" s="26" t="s">
        <v>154</v>
      </c>
      <c r="D2752" s="26" t="s">
        <v>6396</v>
      </c>
      <c r="E2752" s="26">
        <v>0</v>
      </c>
    </row>
    <row r="2753" spans="1:6">
      <c r="A2753" s="26" t="s">
        <v>8740</v>
      </c>
      <c r="B2753" s="26" t="s">
        <v>8571</v>
      </c>
      <c r="C2753" s="26" t="s">
        <v>8572</v>
      </c>
      <c r="D2753" s="26" t="s">
        <v>6396</v>
      </c>
      <c r="E2753" s="26">
        <v>0</v>
      </c>
    </row>
    <row r="2754" spans="1:6">
      <c r="A2754" s="26" t="s">
        <v>8740</v>
      </c>
      <c r="B2754" s="26" t="s">
        <v>8573</v>
      </c>
      <c r="C2754" s="26" t="s">
        <v>8572</v>
      </c>
      <c r="D2754" s="26" t="s">
        <v>6396</v>
      </c>
      <c r="E2754" s="26">
        <v>0</v>
      </c>
    </row>
    <row r="2755" spans="1:6">
      <c r="A2755" s="26" t="s">
        <v>8740</v>
      </c>
      <c r="B2755" s="26" t="s">
        <v>8350</v>
      </c>
      <c r="C2755" s="26" t="s">
        <v>8351</v>
      </c>
      <c r="D2755" s="26" t="s">
        <v>6396</v>
      </c>
      <c r="E2755" s="26">
        <v>0</v>
      </c>
    </row>
    <row r="2756" spans="1:6">
      <c r="A2756" s="26" t="s">
        <v>8740</v>
      </c>
      <c r="B2756" s="26" t="s">
        <v>674</v>
      </c>
      <c r="C2756" s="26" t="s">
        <v>675</v>
      </c>
      <c r="D2756" s="26" t="s">
        <v>6396</v>
      </c>
      <c r="E2756" s="26">
        <v>0</v>
      </c>
      <c r="F2756" s="26" t="s">
        <v>8557</v>
      </c>
    </row>
    <row r="2757" spans="1:6">
      <c r="A2757" s="26" t="s">
        <v>8740</v>
      </c>
      <c r="B2757" s="26" t="s">
        <v>820</v>
      </c>
      <c r="C2757" s="26" t="s">
        <v>6473</v>
      </c>
      <c r="D2757" s="26" t="s">
        <v>6396</v>
      </c>
      <c r="E2757" s="26">
        <v>0</v>
      </c>
    </row>
    <row r="2758" spans="1:6">
      <c r="A2758" s="26" t="s">
        <v>8740</v>
      </c>
      <c r="B2758" s="26" t="s">
        <v>8574</v>
      </c>
      <c r="C2758" s="26" t="s">
        <v>8575</v>
      </c>
      <c r="D2758" s="26" t="s">
        <v>6396</v>
      </c>
      <c r="E2758" s="26">
        <v>0</v>
      </c>
    </row>
    <row r="2759" spans="1:6">
      <c r="A2759" s="26" t="s">
        <v>8740</v>
      </c>
      <c r="B2759" s="26" t="s">
        <v>7026</v>
      </c>
      <c r="C2759" s="26" t="s">
        <v>227</v>
      </c>
      <c r="D2759" s="26" t="s">
        <v>6396</v>
      </c>
      <c r="E2759" s="26">
        <v>0</v>
      </c>
    </row>
    <row r="2760" spans="1:6">
      <c r="A2760" s="26" t="s">
        <v>8740</v>
      </c>
      <c r="B2760" s="26" t="s">
        <v>8576</v>
      </c>
      <c r="C2760" s="26" t="s">
        <v>7814</v>
      </c>
      <c r="D2760" s="26" t="s">
        <v>6396</v>
      </c>
      <c r="E2760" s="26">
        <v>0</v>
      </c>
    </row>
    <row r="2761" spans="1:6">
      <c r="A2761" s="26" t="s">
        <v>8740</v>
      </c>
      <c r="B2761" s="26" t="s">
        <v>8577</v>
      </c>
      <c r="C2761" s="26" t="s">
        <v>8578</v>
      </c>
      <c r="D2761" s="26" t="s">
        <v>6396</v>
      </c>
      <c r="E2761" s="26">
        <v>0</v>
      </c>
    </row>
    <row r="2762" spans="1:6">
      <c r="A2762" s="26" t="s">
        <v>8740</v>
      </c>
      <c r="B2762" s="26" t="s">
        <v>6816</v>
      </c>
      <c r="C2762" s="26" t="s">
        <v>6815</v>
      </c>
      <c r="D2762" s="26" t="s">
        <v>6396</v>
      </c>
      <c r="E2762" s="26">
        <v>0</v>
      </c>
    </row>
    <row r="2763" spans="1:6">
      <c r="A2763" s="26" t="s">
        <v>8740</v>
      </c>
      <c r="B2763" s="26" t="s">
        <v>2404</v>
      </c>
      <c r="C2763" s="26" t="s">
        <v>8579</v>
      </c>
      <c r="D2763" s="26" t="s">
        <v>6396</v>
      </c>
      <c r="E2763" s="26">
        <v>0</v>
      </c>
    </row>
    <row r="2764" spans="1:6">
      <c r="A2764" s="26" t="s">
        <v>8740</v>
      </c>
      <c r="B2764" s="26" t="s">
        <v>7854</v>
      </c>
      <c r="C2764" s="26" t="s">
        <v>2554</v>
      </c>
      <c r="D2764" s="26" t="s">
        <v>6396</v>
      </c>
      <c r="E2764" s="26">
        <v>0</v>
      </c>
    </row>
    <row r="2765" spans="1:6">
      <c r="A2765" s="26" t="s">
        <v>8740</v>
      </c>
      <c r="B2765" s="26" t="s">
        <v>573</v>
      </c>
      <c r="C2765" s="26" t="s">
        <v>574</v>
      </c>
      <c r="D2765" s="26" t="s">
        <v>6396</v>
      </c>
      <c r="E2765" s="26">
        <v>0</v>
      </c>
    </row>
    <row r="2766" spans="1:6">
      <c r="A2766" s="26" t="s">
        <v>8740</v>
      </c>
      <c r="B2766" s="26" t="s">
        <v>7277</v>
      </c>
      <c r="C2766" s="26" t="s">
        <v>7814</v>
      </c>
      <c r="D2766" s="26" t="s">
        <v>6396</v>
      </c>
      <c r="E2766" s="26">
        <v>0</v>
      </c>
    </row>
    <row r="2767" spans="1:6">
      <c r="A2767" s="26" t="s">
        <v>8740</v>
      </c>
      <c r="B2767" s="26" t="s">
        <v>8580</v>
      </c>
      <c r="C2767" s="26" t="s">
        <v>8581</v>
      </c>
      <c r="D2767" s="26" t="s">
        <v>6396</v>
      </c>
      <c r="E2767" s="26">
        <v>0</v>
      </c>
    </row>
    <row r="2768" spans="1:6">
      <c r="A2768" s="26" t="s">
        <v>8740</v>
      </c>
      <c r="B2768" s="26" t="s">
        <v>6790</v>
      </c>
      <c r="C2768" s="26" t="s">
        <v>700</v>
      </c>
      <c r="D2768" s="26" t="s">
        <v>6396</v>
      </c>
      <c r="E2768" s="26">
        <v>0</v>
      </c>
    </row>
    <row r="2769" spans="1:5">
      <c r="A2769" s="26" t="s">
        <v>8740</v>
      </c>
      <c r="B2769" s="26" t="s">
        <v>2193</v>
      </c>
      <c r="C2769" s="26" t="s">
        <v>131</v>
      </c>
      <c r="D2769" s="26" t="s">
        <v>6396</v>
      </c>
      <c r="E2769" s="26">
        <v>0</v>
      </c>
    </row>
    <row r="2770" spans="1:5">
      <c r="A2770" s="26" t="s">
        <v>8740</v>
      </c>
      <c r="B2770" s="26" t="s">
        <v>8582</v>
      </c>
      <c r="C2770" s="26" t="s">
        <v>2733</v>
      </c>
      <c r="D2770" s="26" t="s">
        <v>6396</v>
      </c>
      <c r="E2770" s="26">
        <v>0</v>
      </c>
    </row>
    <row r="2771" spans="1:5">
      <c r="A2771" s="26" t="s">
        <v>8740</v>
      </c>
      <c r="B2771" s="26" t="s">
        <v>3399</v>
      </c>
      <c r="C2771" s="26" t="s">
        <v>3400</v>
      </c>
      <c r="D2771" s="26" t="s">
        <v>6396</v>
      </c>
      <c r="E2771" s="26">
        <v>0</v>
      </c>
    </row>
    <row r="2772" spans="1:5">
      <c r="A2772" s="26" t="s">
        <v>8740</v>
      </c>
      <c r="B2772" s="26" t="s">
        <v>2277</v>
      </c>
      <c r="C2772" s="26" t="s">
        <v>524</v>
      </c>
      <c r="D2772" s="26" t="s">
        <v>6396</v>
      </c>
      <c r="E2772" s="26">
        <v>0</v>
      </c>
    </row>
    <row r="2773" spans="1:5">
      <c r="A2773" s="26" t="s">
        <v>8740</v>
      </c>
      <c r="B2773" s="26" t="s">
        <v>834</v>
      </c>
      <c r="C2773" s="26" t="s">
        <v>835</v>
      </c>
      <c r="D2773" s="26" t="s">
        <v>6396</v>
      </c>
      <c r="E2773" s="26">
        <v>0</v>
      </c>
    </row>
    <row r="2774" spans="1:5">
      <c r="A2774" s="26" t="s">
        <v>8740</v>
      </c>
      <c r="B2774" s="26" t="s">
        <v>7637</v>
      </c>
      <c r="C2774" s="26" t="s">
        <v>2208</v>
      </c>
      <c r="D2774" s="26" t="s">
        <v>6396</v>
      </c>
      <c r="E2774" s="26">
        <v>0</v>
      </c>
    </row>
    <row r="2775" spans="1:5">
      <c r="A2775" s="26" t="s">
        <v>8740</v>
      </c>
      <c r="B2775" s="26" t="s">
        <v>2927</v>
      </c>
      <c r="C2775" s="26" t="s">
        <v>1351</v>
      </c>
      <c r="D2775" s="26" t="s">
        <v>6396</v>
      </c>
      <c r="E2775" s="26">
        <v>0</v>
      </c>
    </row>
    <row r="2776" spans="1:5">
      <c r="A2776" s="26" t="s">
        <v>8740</v>
      </c>
      <c r="B2776" s="26" t="s">
        <v>8296</v>
      </c>
      <c r="C2776" s="26" t="s">
        <v>6796</v>
      </c>
      <c r="D2776" s="26" t="s">
        <v>6396</v>
      </c>
      <c r="E2776" s="26">
        <v>0</v>
      </c>
    </row>
    <row r="2777" spans="1:5">
      <c r="A2777" s="26" t="s">
        <v>8740</v>
      </c>
      <c r="B2777" s="26" t="s">
        <v>8583</v>
      </c>
      <c r="C2777" s="26" t="s">
        <v>8567</v>
      </c>
      <c r="D2777" s="26" t="s">
        <v>6396</v>
      </c>
      <c r="E2777" s="26">
        <v>0</v>
      </c>
    </row>
    <row r="2778" spans="1:5">
      <c r="A2778" s="26" t="s">
        <v>8740</v>
      </c>
      <c r="B2778" s="26" t="s">
        <v>8584</v>
      </c>
      <c r="C2778" s="26" t="s">
        <v>8567</v>
      </c>
      <c r="D2778" s="26" t="s">
        <v>6396</v>
      </c>
      <c r="E2778" s="26">
        <v>0</v>
      </c>
    </row>
    <row r="2779" spans="1:5">
      <c r="A2779" s="26" t="s">
        <v>8740</v>
      </c>
      <c r="B2779" s="26" t="s">
        <v>1719</v>
      </c>
      <c r="C2779" s="26" t="s">
        <v>592</v>
      </c>
      <c r="D2779" s="26" t="s">
        <v>6396</v>
      </c>
      <c r="E2779" s="26">
        <v>0</v>
      </c>
    </row>
    <row r="2780" spans="1:5">
      <c r="A2780" s="26" t="s">
        <v>8740</v>
      </c>
      <c r="B2780" s="26" t="s">
        <v>8412</v>
      </c>
      <c r="C2780" s="26" t="s">
        <v>8585</v>
      </c>
      <c r="D2780" s="26" t="s">
        <v>6396</v>
      </c>
      <c r="E2780" s="26">
        <v>0</v>
      </c>
    </row>
    <row r="2781" spans="1:5">
      <c r="A2781" s="26" t="s">
        <v>8740</v>
      </c>
      <c r="B2781" s="26" t="s">
        <v>8586</v>
      </c>
      <c r="C2781" s="26" t="s">
        <v>8587</v>
      </c>
      <c r="D2781" s="26" t="s">
        <v>6396</v>
      </c>
      <c r="E2781" s="26">
        <v>0</v>
      </c>
    </row>
    <row r="2782" spans="1:5">
      <c r="A2782" s="26" t="s">
        <v>8740</v>
      </c>
      <c r="B2782" s="26" t="s">
        <v>7988</v>
      </c>
      <c r="C2782" s="26" t="s">
        <v>8588</v>
      </c>
      <c r="D2782" s="26" t="s">
        <v>6396</v>
      </c>
      <c r="E2782" s="26">
        <v>0</v>
      </c>
    </row>
    <row r="2783" spans="1:5">
      <c r="A2783" s="26" t="s">
        <v>8740</v>
      </c>
      <c r="B2783" s="26" t="s">
        <v>1350</v>
      </c>
      <c r="C2783" s="26" t="s">
        <v>1351</v>
      </c>
      <c r="D2783" s="26" t="s">
        <v>6396</v>
      </c>
      <c r="E2783" s="26">
        <v>0</v>
      </c>
    </row>
    <row r="2784" spans="1:5">
      <c r="A2784" s="26" t="s">
        <v>8740</v>
      </c>
      <c r="B2784" s="26" t="s">
        <v>433</v>
      </c>
      <c r="C2784" s="26" t="s">
        <v>434</v>
      </c>
      <c r="D2784" s="26" t="s">
        <v>6396</v>
      </c>
      <c r="E2784" s="26">
        <v>0</v>
      </c>
    </row>
    <row r="2785" spans="1:5">
      <c r="A2785" s="26" t="s">
        <v>8740</v>
      </c>
      <c r="B2785" s="26" t="s">
        <v>2938</v>
      </c>
      <c r="C2785" s="26" t="s">
        <v>2939</v>
      </c>
      <c r="D2785" s="26" t="s">
        <v>6396</v>
      </c>
      <c r="E2785" s="26" t="s">
        <v>6395</v>
      </c>
    </row>
    <row r="2786" spans="1:5">
      <c r="A2786" s="26" t="s">
        <v>8740</v>
      </c>
      <c r="B2786" s="26" t="s">
        <v>516</v>
      </c>
      <c r="C2786" s="26" t="s">
        <v>517</v>
      </c>
      <c r="D2786" s="26" t="s">
        <v>6396</v>
      </c>
      <c r="E2786" s="26" t="s">
        <v>6395</v>
      </c>
    </row>
    <row r="2787" spans="1:5">
      <c r="A2787" s="26" t="s">
        <v>8740</v>
      </c>
      <c r="B2787" s="26" t="s">
        <v>2093</v>
      </c>
      <c r="C2787" s="26" t="s">
        <v>8589</v>
      </c>
      <c r="D2787" s="26" t="s">
        <v>6396</v>
      </c>
      <c r="E2787" s="26">
        <v>0</v>
      </c>
    </row>
    <row r="2788" spans="1:5">
      <c r="A2788" s="26" t="s">
        <v>8740</v>
      </c>
      <c r="B2788" s="26" t="s">
        <v>8590</v>
      </c>
      <c r="C2788" s="26" t="s">
        <v>8591</v>
      </c>
      <c r="D2788" s="26" t="s">
        <v>6396</v>
      </c>
      <c r="E2788" s="26">
        <v>0</v>
      </c>
    </row>
    <row r="2789" spans="1:5">
      <c r="A2789" s="26" t="s">
        <v>8740</v>
      </c>
      <c r="B2789" s="26" t="s">
        <v>869</v>
      </c>
      <c r="C2789" s="26" t="s">
        <v>154</v>
      </c>
      <c r="D2789" s="26" t="s">
        <v>6396</v>
      </c>
      <c r="E2789" s="26">
        <v>0</v>
      </c>
    </row>
    <row r="2790" spans="1:5">
      <c r="A2790" s="26" t="s">
        <v>8740</v>
      </c>
      <c r="B2790" s="26" t="s">
        <v>1305</v>
      </c>
      <c r="C2790" s="26" t="s">
        <v>1306</v>
      </c>
      <c r="D2790" s="26" t="s">
        <v>6396</v>
      </c>
      <c r="E2790" s="26">
        <v>0</v>
      </c>
    </row>
    <row r="2791" spans="1:5">
      <c r="A2791" s="26" t="s">
        <v>8740</v>
      </c>
      <c r="B2791" s="26" t="s">
        <v>7520</v>
      </c>
      <c r="C2791" s="26" t="s">
        <v>8592</v>
      </c>
      <c r="D2791" s="26" t="s">
        <v>6396</v>
      </c>
      <c r="E2791" s="26">
        <v>0</v>
      </c>
    </row>
    <row r="2792" spans="1:5">
      <c r="A2792" s="26" t="s">
        <v>8740</v>
      </c>
      <c r="B2792" s="26" t="s">
        <v>7796</v>
      </c>
      <c r="C2792" s="26" t="s">
        <v>2198</v>
      </c>
      <c r="D2792" s="26" t="s">
        <v>6396</v>
      </c>
      <c r="E2792" s="26">
        <v>0</v>
      </c>
    </row>
    <row r="2793" spans="1:5">
      <c r="A2793" s="26" t="s">
        <v>8740</v>
      </c>
      <c r="B2793" s="26" t="s">
        <v>716</v>
      </c>
      <c r="C2793" s="26" t="s">
        <v>509</v>
      </c>
      <c r="D2793" s="26" t="s">
        <v>6396</v>
      </c>
      <c r="E2793" s="26">
        <v>0</v>
      </c>
    </row>
    <row r="2794" spans="1:5">
      <c r="A2794" s="26" t="s">
        <v>8740</v>
      </c>
      <c r="B2794" s="26" t="s">
        <v>688</v>
      </c>
      <c r="C2794" s="26" t="s">
        <v>679</v>
      </c>
      <c r="D2794" s="26" t="s">
        <v>6396</v>
      </c>
      <c r="E2794" s="26">
        <v>0</v>
      </c>
    </row>
    <row r="2795" spans="1:5">
      <c r="A2795" s="26" t="s">
        <v>8740</v>
      </c>
      <c r="B2795" s="26" t="s">
        <v>2411</v>
      </c>
      <c r="C2795" s="26" t="s">
        <v>679</v>
      </c>
      <c r="D2795" s="26" t="s">
        <v>6396</v>
      </c>
      <c r="E2795" s="26">
        <v>0</v>
      </c>
    </row>
    <row r="2796" spans="1:5">
      <c r="A2796" s="26" t="s">
        <v>8740</v>
      </c>
      <c r="B2796" s="26" t="s">
        <v>7597</v>
      </c>
      <c r="C2796" s="26" t="s">
        <v>3262</v>
      </c>
      <c r="D2796" s="26" t="s">
        <v>6396</v>
      </c>
      <c r="E2796" s="26">
        <v>0</v>
      </c>
    </row>
    <row r="2797" spans="1:5">
      <c r="A2797" s="26" t="s">
        <v>8740</v>
      </c>
      <c r="B2797" s="26" t="s">
        <v>7884</v>
      </c>
      <c r="C2797" s="26" t="s">
        <v>3262</v>
      </c>
      <c r="D2797" s="26" t="s">
        <v>6396</v>
      </c>
      <c r="E2797" s="26">
        <v>0</v>
      </c>
    </row>
    <row r="2798" spans="1:5">
      <c r="A2798" s="26" t="s">
        <v>8740</v>
      </c>
      <c r="B2798" s="26" t="s">
        <v>7288</v>
      </c>
      <c r="C2798" s="26" t="s">
        <v>457</v>
      </c>
      <c r="D2798" s="26" t="s">
        <v>6396</v>
      </c>
      <c r="E2798" s="26">
        <v>0</v>
      </c>
    </row>
    <row r="2799" spans="1:5">
      <c r="A2799" s="26" t="s">
        <v>8740</v>
      </c>
      <c r="B2799" s="26" t="s">
        <v>8593</v>
      </c>
      <c r="C2799" s="26" t="s">
        <v>8594</v>
      </c>
      <c r="D2799" s="26" t="s">
        <v>6396</v>
      </c>
      <c r="E2799" s="26">
        <v>0</v>
      </c>
    </row>
    <row r="2800" spans="1:5">
      <c r="A2800" s="26" t="s">
        <v>8740</v>
      </c>
      <c r="B2800" s="26" t="s">
        <v>7311</v>
      </c>
      <c r="C2800" s="26" t="s">
        <v>592</v>
      </c>
      <c r="D2800" s="26" t="s">
        <v>6396</v>
      </c>
      <c r="E2800" s="26">
        <v>0</v>
      </c>
    </row>
    <row r="2801" spans="1:5">
      <c r="A2801" s="26" t="s">
        <v>8740</v>
      </c>
      <c r="B2801" s="26" t="s">
        <v>8595</v>
      </c>
      <c r="C2801" s="26" t="s">
        <v>592</v>
      </c>
      <c r="D2801" s="26" t="s">
        <v>6396</v>
      </c>
      <c r="E2801" s="26">
        <v>0</v>
      </c>
    </row>
    <row r="2802" spans="1:5">
      <c r="A2802" s="26" t="s">
        <v>8740</v>
      </c>
      <c r="B2802" s="26" t="s">
        <v>8420</v>
      </c>
      <c r="C2802" s="26" t="s">
        <v>2020</v>
      </c>
      <c r="D2802" s="26" t="s">
        <v>6396</v>
      </c>
      <c r="E2802" s="26">
        <v>0</v>
      </c>
    </row>
    <row r="2803" spans="1:5">
      <c r="A2803" s="26" t="s">
        <v>8740</v>
      </c>
      <c r="B2803" s="26" t="s">
        <v>1406</v>
      </c>
      <c r="C2803" s="26" t="s">
        <v>146</v>
      </c>
      <c r="D2803" s="26" t="s">
        <v>6396</v>
      </c>
      <c r="E2803" s="26">
        <v>0</v>
      </c>
    </row>
    <row r="2804" spans="1:5">
      <c r="A2804" s="26" t="s">
        <v>8740</v>
      </c>
      <c r="B2804" s="26" t="s">
        <v>1396</v>
      </c>
      <c r="C2804" s="26" t="s">
        <v>146</v>
      </c>
      <c r="D2804" s="26" t="s">
        <v>6396</v>
      </c>
      <c r="E2804" s="26">
        <v>0</v>
      </c>
    </row>
    <row r="2805" spans="1:5">
      <c r="A2805" s="26" t="s">
        <v>8740</v>
      </c>
      <c r="B2805" s="26" t="s">
        <v>960</v>
      </c>
      <c r="C2805" s="26" t="s">
        <v>643</v>
      </c>
      <c r="D2805" s="26" t="s">
        <v>6396</v>
      </c>
      <c r="E2805" s="26">
        <v>0</v>
      </c>
    </row>
    <row r="2806" spans="1:5">
      <c r="A2806" s="26" t="s">
        <v>8740</v>
      </c>
      <c r="B2806" s="26" t="s">
        <v>8310</v>
      </c>
      <c r="C2806" s="26" t="s">
        <v>2658</v>
      </c>
      <c r="D2806" s="26" t="s">
        <v>6396</v>
      </c>
      <c r="E2806" s="26">
        <v>0</v>
      </c>
    </row>
    <row r="2807" spans="1:5">
      <c r="A2807" s="26" t="s">
        <v>8740</v>
      </c>
      <c r="B2807" s="26" t="s">
        <v>8596</v>
      </c>
      <c r="C2807" s="26" t="s">
        <v>517</v>
      </c>
      <c r="D2807" s="26" t="s">
        <v>6396</v>
      </c>
      <c r="E2807" s="26">
        <v>0</v>
      </c>
    </row>
    <row r="2808" spans="1:5">
      <c r="A2808" s="26" t="s">
        <v>8740</v>
      </c>
      <c r="B2808" s="26" t="s">
        <v>8597</v>
      </c>
      <c r="C2808" s="26" t="s">
        <v>1545</v>
      </c>
      <c r="D2808" s="26" t="s">
        <v>6396</v>
      </c>
      <c r="E2808" s="26">
        <v>0</v>
      </c>
    </row>
    <row r="2809" spans="1:5">
      <c r="A2809" s="26" t="s">
        <v>8740</v>
      </c>
      <c r="B2809" s="26" t="s">
        <v>6785</v>
      </c>
      <c r="C2809" s="26" t="s">
        <v>2933</v>
      </c>
      <c r="D2809" s="26" t="s">
        <v>6396</v>
      </c>
      <c r="E2809" s="26">
        <v>0</v>
      </c>
    </row>
    <row r="2810" spans="1:5">
      <c r="A2810" s="26" t="s">
        <v>8740</v>
      </c>
      <c r="B2810" s="26" t="s">
        <v>8598</v>
      </c>
      <c r="C2810" s="26" t="s">
        <v>7529</v>
      </c>
      <c r="D2810" s="26" t="s">
        <v>6396</v>
      </c>
      <c r="E2810" s="26">
        <v>0</v>
      </c>
    </row>
    <row r="2811" spans="1:5">
      <c r="A2811" s="26" t="s">
        <v>8740</v>
      </c>
      <c r="B2811" s="26" t="s">
        <v>2370</v>
      </c>
      <c r="C2811" s="26" t="s">
        <v>884</v>
      </c>
      <c r="D2811" s="26" t="s">
        <v>6396</v>
      </c>
      <c r="E2811" s="26">
        <v>0</v>
      </c>
    </row>
    <row r="2812" spans="1:5">
      <c r="A2812" s="26" t="s">
        <v>8740</v>
      </c>
      <c r="B2812" s="26" t="s">
        <v>640</v>
      </c>
      <c r="C2812" s="26" t="s">
        <v>154</v>
      </c>
      <c r="D2812" s="26" t="s">
        <v>6396</v>
      </c>
      <c r="E2812" s="26">
        <v>0</v>
      </c>
    </row>
    <row r="2813" spans="1:5">
      <c r="A2813" s="26" t="s">
        <v>8740</v>
      </c>
      <c r="B2813" s="26" t="s">
        <v>1245</v>
      </c>
      <c r="C2813" s="26" t="s">
        <v>154</v>
      </c>
      <c r="D2813" s="26" t="s">
        <v>6396</v>
      </c>
      <c r="E2813" s="26">
        <v>0</v>
      </c>
    </row>
    <row r="2814" spans="1:5">
      <c r="A2814" s="26" t="s">
        <v>8740</v>
      </c>
      <c r="B2814" s="26" t="s">
        <v>879</v>
      </c>
      <c r="C2814" s="26" t="s">
        <v>154</v>
      </c>
      <c r="D2814" s="26" t="s">
        <v>6396</v>
      </c>
      <c r="E2814" s="26">
        <v>0</v>
      </c>
    </row>
    <row r="2815" spans="1:5">
      <c r="A2815" s="26" t="s">
        <v>8740</v>
      </c>
      <c r="B2815" s="26" t="s">
        <v>390</v>
      </c>
      <c r="C2815" s="26" t="s">
        <v>154</v>
      </c>
      <c r="D2815" s="26" t="s">
        <v>6396</v>
      </c>
      <c r="E2815" s="26" t="s">
        <v>6395</v>
      </c>
    </row>
    <row r="2816" spans="1:5">
      <c r="A2816" s="26" t="s">
        <v>8740</v>
      </c>
      <c r="B2816" s="26" t="s">
        <v>418</v>
      </c>
      <c r="C2816" s="26" t="s">
        <v>154</v>
      </c>
      <c r="D2816" s="26" t="s">
        <v>6396</v>
      </c>
      <c r="E2816" s="26">
        <v>0</v>
      </c>
    </row>
    <row r="2817" spans="1:6">
      <c r="A2817" s="26" t="s">
        <v>8740</v>
      </c>
      <c r="B2817" s="26" t="s">
        <v>8599</v>
      </c>
      <c r="C2817" s="26" t="s">
        <v>466</v>
      </c>
      <c r="D2817" s="26" t="s">
        <v>6396</v>
      </c>
      <c r="E2817" s="26">
        <v>0</v>
      </c>
    </row>
    <row r="2818" spans="1:6">
      <c r="A2818" s="26" t="s">
        <v>8740</v>
      </c>
      <c r="B2818" s="26" t="s">
        <v>8600</v>
      </c>
      <c r="C2818" s="26" t="s">
        <v>466</v>
      </c>
      <c r="D2818" s="26" t="s">
        <v>6396</v>
      </c>
      <c r="E2818" s="26">
        <v>0</v>
      </c>
    </row>
    <row r="2819" spans="1:6">
      <c r="A2819" s="26" t="s">
        <v>8740</v>
      </c>
      <c r="B2819" s="26" t="s">
        <v>2866</v>
      </c>
      <c r="C2819" s="26" t="s">
        <v>2867</v>
      </c>
      <c r="D2819" s="26" t="s">
        <v>6396</v>
      </c>
      <c r="E2819" s="26">
        <v>0</v>
      </c>
    </row>
    <row r="2820" spans="1:6">
      <c r="A2820" s="26" t="s">
        <v>8740</v>
      </c>
      <c r="B2820" s="26" t="s">
        <v>1585</v>
      </c>
      <c r="C2820" s="26" t="s">
        <v>1963</v>
      </c>
      <c r="D2820" s="26" t="s">
        <v>6396</v>
      </c>
      <c r="E2820" s="26">
        <v>0</v>
      </c>
    </row>
    <row r="2821" spans="1:6">
      <c r="A2821" s="26" t="s">
        <v>8740</v>
      </c>
      <c r="B2821" s="26" t="s">
        <v>3019</v>
      </c>
      <c r="C2821" s="26" t="s">
        <v>742</v>
      </c>
      <c r="D2821" s="26" t="s">
        <v>6396</v>
      </c>
      <c r="E2821" s="26">
        <v>0</v>
      </c>
    </row>
    <row r="2822" spans="1:6">
      <c r="A2822" s="26" t="s">
        <v>8740</v>
      </c>
      <c r="B2822" s="26" t="s">
        <v>8601</v>
      </c>
      <c r="C2822" s="26" t="s">
        <v>8602</v>
      </c>
      <c r="D2822" s="26" t="s">
        <v>6396</v>
      </c>
      <c r="E2822" s="26">
        <v>0</v>
      </c>
    </row>
    <row r="2823" spans="1:6">
      <c r="A2823" s="26" t="s">
        <v>8740</v>
      </c>
      <c r="B2823" s="26" t="s">
        <v>65</v>
      </c>
      <c r="C2823" s="26" t="s">
        <v>51</v>
      </c>
      <c r="D2823" s="26" t="s">
        <v>6396</v>
      </c>
      <c r="E2823" s="26">
        <v>0</v>
      </c>
      <c r="F2823" s="26" t="s">
        <v>8603</v>
      </c>
    </row>
    <row r="2824" spans="1:6">
      <c r="A2824" s="26" t="s">
        <v>8740</v>
      </c>
      <c r="B2824" s="26" t="s">
        <v>95</v>
      </c>
      <c r="C2824" s="26" t="s">
        <v>51</v>
      </c>
      <c r="D2824" s="26" t="s">
        <v>6396</v>
      </c>
      <c r="E2824" s="26">
        <v>0</v>
      </c>
      <c r="F2824" s="26" t="s">
        <v>8557</v>
      </c>
    </row>
    <row r="2825" spans="1:6">
      <c r="A2825" s="26" t="s">
        <v>8740</v>
      </c>
      <c r="B2825" s="26" t="s">
        <v>8604</v>
      </c>
      <c r="C2825" s="26" t="s">
        <v>188</v>
      </c>
      <c r="D2825" s="26" t="s">
        <v>6396</v>
      </c>
      <c r="E2825" s="26">
        <v>0</v>
      </c>
    </row>
    <row r="2826" spans="1:6">
      <c r="A2826" s="26" t="s">
        <v>8740</v>
      </c>
      <c r="B2826" s="26" t="s">
        <v>6461</v>
      </c>
      <c r="C2826" s="26" t="s">
        <v>1366</v>
      </c>
      <c r="D2826" s="26" t="s">
        <v>6396</v>
      </c>
      <c r="E2826" s="26">
        <v>0</v>
      </c>
    </row>
    <row r="2827" spans="1:6">
      <c r="A2827" s="26" t="s">
        <v>8740</v>
      </c>
      <c r="B2827" s="26" t="s">
        <v>8605</v>
      </c>
      <c r="C2827" s="26" t="s">
        <v>1240</v>
      </c>
      <c r="D2827" s="26" t="s">
        <v>6396</v>
      </c>
      <c r="E2827" s="26">
        <v>0</v>
      </c>
    </row>
    <row r="2828" spans="1:6">
      <c r="A2828" s="26" t="s">
        <v>8740</v>
      </c>
      <c r="B2828" s="26" t="s">
        <v>8438</v>
      </c>
      <c r="C2828" s="26" t="s">
        <v>742</v>
      </c>
      <c r="D2828" s="26" t="s">
        <v>6396</v>
      </c>
      <c r="E2828" s="26">
        <v>0</v>
      </c>
    </row>
    <row r="2829" spans="1:6">
      <c r="A2829" s="26" t="s">
        <v>8740</v>
      </c>
      <c r="B2829" s="26" t="s">
        <v>8606</v>
      </c>
      <c r="C2829" s="26" t="s">
        <v>742</v>
      </c>
      <c r="D2829" s="26" t="s">
        <v>6396</v>
      </c>
      <c r="E2829" s="26">
        <v>0</v>
      </c>
    </row>
    <row r="2830" spans="1:6">
      <c r="A2830" s="26" t="s">
        <v>8740</v>
      </c>
      <c r="B2830" s="26" t="s">
        <v>7238</v>
      </c>
      <c r="C2830" s="26" t="s">
        <v>7237</v>
      </c>
      <c r="D2830" s="26" t="s">
        <v>6396</v>
      </c>
      <c r="E2830" s="26">
        <v>0</v>
      </c>
    </row>
    <row r="2831" spans="1:6">
      <c r="A2831" s="26" t="s">
        <v>8740</v>
      </c>
      <c r="B2831" s="26" t="s">
        <v>6853</v>
      </c>
      <c r="C2831" s="26" t="s">
        <v>154</v>
      </c>
      <c r="D2831" s="26" t="s">
        <v>6396</v>
      </c>
      <c r="E2831" s="26">
        <v>0</v>
      </c>
    </row>
    <row r="2832" spans="1:6">
      <c r="A2832" s="26" t="s">
        <v>8740</v>
      </c>
      <c r="B2832" s="26" t="s">
        <v>414</v>
      </c>
      <c r="C2832" s="26" t="s">
        <v>154</v>
      </c>
      <c r="D2832" s="26" t="s">
        <v>6396</v>
      </c>
      <c r="E2832" s="26">
        <v>0</v>
      </c>
    </row>
    <row r="2833" spans="1:5">
      <c r="A2833" s="26" t="s">
        <v>8740</v>
      </c>
      <c r="B2833" s="26" t="s">
        <v>1336</v>
      </c>
      <c r="C2833" s="26" t="s">
        <v>154</v>
      </c>
      <c r="D2833" s="26" t="s">
        <v>6396</v>
      </c>
      <c r="E2833" s="26">
        <v>0</v>
      </c>
    </row>
    <row r="2834" spans="1:5">
      <c r="A2834" s="26" t="s">
        <v>8740</v>
      </c>
      <c r="B2834" s="26" t="s">
        <v>3469</v>
      </c>
      <c r="C2834" s="26" t="s">
        <v>154</v>
      </c>
      <c r="D2834" s="26" t="s">
        <v>6396</v>
      </c>
      <c r="E2834" s="26">
        <v>0</v>
      </c>
    </row>
    <row r="2835" spans="1:5">
      <c r="A2835" s="26" t="s">
        <v>8740</v>
      </c>
      <c r="B2835" s="26" t="s">
        <v>380</v>
      </c>
      <c r="C2835" s="26" t="s">
        <v>154</v>
      </c>
      <c r="D2835" s="26" t="s">
        <v>6396</v>
      </c>
      <c r="E2835" s="26" t="s">
        <v>6395</v>
      </c>
    </row>
    <row r="2836" spans="1:5">
      <c r="A2836" s="26" t="s">
        <v>8740</v>
      </c>
      <c r="B2836" s="26" t="s">
        <v>1010</v>
      </c>
      <c r="C2836" s="26" t="s">
        <v>154</v>
      </c>
      <c r="D2836" s="26" t="s">
        <v>6396</v>
      </c>
      <c r="E2836" s="26" t="s">
        <v>6395</v>
      </c>
    </row>
    <row r="2837" spans="1:5">
      <c r="A2837" s="26" t="s">
        <v>8740</v>
      </c>
      <c r="B2837" s="26" t="s">
        <v>6851</v>
      </c>
      <c r="C2837" s="26" t="s">
        <v>154</v>
      </c>
      <c r="D2837" s="26" t="s">
        <v>6396</v>
      </c>
      <c r="E2837" s="26">
        <v>0</v>
      </c>
    </row>
    <row r="2838" spans="1:5">
      <c r="A2838" s="26" t="s">
        <v>8740</v>
      </c>
      <c r="B2838" s="26" t="s">
        <v>536</v>
      </c>
      <c r="C2838" s="26" t="s">
        <v>154</v>
      </c>
      <c r="D2838" s="26" t="s">
        <v>6396</v>
      </c>
      <c r="E2838" s="26" t="s">
        <v>6395</v>
      </c>
    </row>
    <row r="2839" spans="1:5">
      <c r="A2839" s="26" t="s">
        <v>8740</v>
      </c>
      <c r="B2839" s="26" t="s">
        <v>7152</v>
      </c>
      <c r="C2839" s="26" t="s">
        <v>2960</v>
      </c>
      <c r="D2839" s="26" t="s">
        <v>6396</v>
      </c>
      <c r="E2839" s="26">
        <v>0</v>
      </c>
    </row>
    <row r="2840" spans="1:5">
      <c r="A2840" s="26" t="s">
        <v>8740</v>
      </c>
      <c r="B2840" s="26" t="s">
        <v>7878</v>
      </c>
      <c r="C2840" s="26" t="s">
        <v>3262</v>
      </c>
      <c r="D2840" s="26" t="s">
        <v>6396</v>
      </c>
      <c r="E2840" s="26">
        <v>0</v>
      </c>
    </row>
    <row r="2841" spans="1:5">
      <c r="A2841" s="26" t="s">
        <v>8740</v>
      </c>
      <c r="B2841" s="26" t="s">
        <v>3261</v>
      </c>
      <c r="C2841" s="26" t="s">
        <v>3262</v>
      </c>
      <c r="D2841" s="26" t="s">
        <v>6396</v>
      </c>
      <c r="E2841" s="26">
        <v>0</v>
      </c>
    </row>
    <row r="2842" spans="1:5">
      <c r="A2842" s="26" t="s">
        <v>8740</v>
      </c>
      <c r="B2842" s="26" t="s">
        <v>7451</v>
      </c>
      <c r="C2842" s="26" t="s">
        <v>3262</v>
      </c>
      <c r="D2842" s="26" t="s">
        <v>6396</v>
      </c>
      <c r="E2842" s="26">
        <v>0</v>
      </c>
    </row>
    <row r="2843" spans="1:5">
      <c r="A2843" s="26" t="s">
        <v>8740</v>
      </c>
      <c r="B2843" s="26" t="s">
        <v>2628</v>
      </c>
      <c r="C2843" s="26" t="s">
        <v>7419</v>
      </c>
      <c r="D2843" s="26" t="s">
        <v>6396</v>
      </c>
      <c r="E2843" s="26">
        <v>0</v>
      </c>
    </row>
    <row r="2844" spans="1:5">
      <c r="A2844" s="26" t="s">
        <v>8740</v>
      </c>
      <c r="B2844" s="26" t="s">
        <v>8607</v>
      </c>
      <c r="C2844" s="26" t="s">
        <v>3420</v>
      </c>
      <c r="D2844" s="26" t="s">
        <v>6396</v>
      </c>
      <c r="E2844" s="26">
        <v>0</v>
      </c>
    </row>
    <row r="2845" spans="1:5">
      <c r="A2845" s="26" t="s">
        <v>8740</v>
      </c>
      <c r="B2845" s="26" t="s">
        <v>1465</v>
      </c>
      <c r="C2845" s="26" t="s">
        <v>1466</v>
      </c>
      <c r="D2845" s="26" t="s">
        <v>6396</v>
      </c>
      <c r="E2845" s="26">
        <v>0</v>
      </c>
    </row>
    <row r="2846" spans="1:5">
      <c r="A2846" s="26" t="s">
        <v>8740</v>
      </c>
      <c r="B2846" s="26" t="s">
        <v>2409</v>
      </c>
      <c r="C2846" s="26" t="s">
        <v>2400</v>
      </c>
      <c r="D2846" s="26" t="s">
        <v>6396</v>
      </c>
      <c r="E2846" s="26">
        <v>0</v>
      </c>
    </row>
    <row r="2847" spans="1:5">
      <c r="A2847" s="26" t="s">
        <v>8740</v>
      </c>
      <c r="B2847" s="26" t="s">
        <v>2399</v>
      </c>
      <c r="C2847" s="26" t="s">
        <v>2400</v>
      </c>
      <c r="D2847" s="26" t="s">
        <v>6396</v>
      </c>
      <c r="E2847" s="26">
        <v>0</v>
      </c>
    </row>
    <row r="2848" spans="1:5">
      <c r="A2848" s="26" t="s">
        <v>8740</v>
      </c>
      <c r="B2848" s="26" t="s">
        <v>1732</v>
      </c>
      <c r="C2848" s="26" t="s">
        <v>466</v>
      </c>
      <c r="D2848" s="26" t="s">
        <v>6396</v>
      </c>
      <c r="E2848" s="26">
        <v>0</v>
      </c>
    </row>
    <row r="2849" spans="1:5">
      <c r="A2849" s="26" t="s">
        <v>8740</v>
      </c>
      <c r="B2849" s="26" t="s">
        <v>6530</v>
      </c>
      <c r="C2849" s="26" t="s">
        <v>541</v>
      </c>
      <c r="D2849" s="26" t="s">
        <v>6396</v>
      </c>
      <c r="E2849" s="26">
        <v>0</v>
      </c>
    </row>
    <row r="2850" spans="1:5">
      <c r="A2850" s="26" t="s">
        <v>8740</v>
      </c>
      <c r="B2850" s="26" t="s">
        <v>8608</v>
      </c>
      <c r="C2850" s="26" t="s">
        <v>7512</v>
      </c>
      <c r="D2850" s="26" t="s">
        <v>6396</v>
      </c>
      <c r="E2850" s="26">
        <v>0</v>
      </c>
    </row>
    <row r="2851" spans="1:5">
      <c r="A2851" s="26" t="s">
        <v>8740</v>
      </c>
      <c r="B2851" s="26" t="s">
        <v>2559</v>
      </c>
      <c r="C2851" s="26" t="s">
        <v>6886</v>
      </c>
      <c r="D2851" s="26" t="s">
        <v>6396</v>
      </c>
      <c r="E2851" s="26">
        <v>0</v>
      </c>
    </row>
    <row r="2852" spans="1:5">
      <c r="A2852" s="26" t="s">
        <v>8740</v>
      </c>
      <c r="B2852" s="26" t="s">
        <v>8041</v>
      </c>
      <c r="C2852" s="26" t="s">
        <v>188</v>
      </c>
      <c r="D2852" s="26" t="s">
        <v>6396</v>
      </c>
      <c r="E2852" s="26">
        <v>0</v>
      </c>
    </row>
    <row r="2853" spans="1:5">
      <c r="A2853" s="26" t="s">
        <v>8740</v>
      </c>
      <c r="B2853" s="26" t="s">
        <v>7409</v>
      </c>
      <c r="C2853" s="26" t="s">
        <v>188</v>
      </c>
      <c r="D2853" s="26" t="s">
        <v>6396</v>
      </c>
      <c r="E2853" s="26">
        <v>0</v>
      </c>
    </row>
    <row r="2854" spans="1:5">
      <c r="A2854" s="26" t="s">
        <v>8740</v>
      </c>
      <c r="B2854" s="26" t="s">
        <v>8609</v>
      </c>
      <c r="C2854" s="26" t="s">
        <v>7078</v>
      </c>
      <c r="D2854" s="26" t="s">
        <v>6396</v>
      </c>
      <c r="E2854" s="26">
        <v>0</v>
      </c>
    </row>
    <row r="2855" spans="1:5">
      <c r="A2855" s="26" t="s">
        <v>8740</v>
      </c>
      <c r="B2855" s="26" t="s">
        <v>8610</v>
      </c>
      <c r="C2855" s="26" t="s">
        <v>7078</v>
      </c>
      <c r="D2855" s="26" t="s">
        <v>6396</v>
      </c>
      <c r="E2855" s="26">
        <v>0</v>
      </c>
    </row>
    <row r="2856" spans="1:5">
      <c r="A2856" s="26" t="s">
        <v>8740</v>
      </c>
      <c r="B2856" s="26" t="s">
        <v>2921</v>
      </c>
      <c r="C2856" s="26" t="s">
        <v>6473</v>
      </c>
      <c r="D2856" s="26" t="s">
        <v>6396</v>
      </c>
      <c r="E2856" s="26">
        <v>0</v>
      </c>
    </row>
    <row r="2857" spans="1:5">
      <c r="A2857" s="26" t="s">
        <v>8740</v>
      </c>
      <c r="B2857" s="26" t="s">
        <v>7154</v>
      </c>
      <c r="C2857" s="26" t="s">
        <v>1545</v>
      </c>
      <c r="D2857" s="26" t="s">
        <v>6396</v>
      </c>
      <c r="E2857" s="26">
        <v>0</v>
      </c>
    </row>
    <row r="2858" spans="1:5">
      <c r="A2858" s="26" t="s">
        <v>8740</v>
      </c>
      <c r="B2858" s="26" t="s">
        <v>7092</v>
      </c>
      <c r="C2858" s="26" t="s">
        <v>1274</v>
      </c>
      <c r="D2858" s="26" t="s">
        <v>6396</v>
      </c>
      <c r="E2858" s="26">
        <v>0</v>
      </c>
    </row>
    <row r="2859" spans="1:5">
      <c r="A2859" s="26" t="s">
        <v>8740</v>
      </c>
      <c r="B2859" s="26" t="s">
        <v>1423</v>
      </c>
      <c r="C2859" s="26" t="s">
        <v>679</v>
      </c>
      <c r="D2859" s="26" t="s">
        <v>6396</v>
      </c>
      <c r="E2859" s="26">
        <v>0</v>
      </c>
    </row>
    <row r="2860" spans="1:5">
      <c r="A2860" s="26" t="s">
        <v>8740</v>
      </c>
      <c r="B2860" s="26" t="s">
        <v>8611</v>
      </c>
      <c r="C2860" s="26" t="s">
        <v>679</v>
      </c>
      <c r="D2860" s="26" t="s">
        <v>6396</v>
      </c>
      <c r="E2860" s="26">
        <v>0</v>
      </c>
    </row>
    <row r="2861" spans="1:5">
      <c r="A2861" s="26" t="s">
        <v>8740</v>
      </c>
      <c r="B2861" s="26" t="s">
        <v>1383</v>
      </c>
      <c r="C2861" s="26" t="s">
        <v>8612</v>
      </c>
      <c r="D2861" s="26" t="s">
        <v>6396</v>
      </c>
      <c r="E2861" s="26">
        <v>0</v>
      </c>
    </row>
    <row r="2862" spans="1:5">
      <c r="A2862" s="26" t="s">
        <v>8740</v>
      </c>
      <c r="B2862" s="26" t="s">
        <v>6912</v>
      </c>
      <c r="C2862" s="26" t="s">
        <v>6545</v>
      </c>
      <c r="D2862" s="26" t="s">
        <v>6396</v>
      </c>
      <c r="E2862" s="26">
        <v>0</v>
      </c>
    </row>
    <row r="2863" spans="1:5">
      <c r="A2863" s="26" t="s">
        <v>8740</v>
      </c>
      <c r="B2863" s="26" t="s">
        <v>8613</v>
      </c>
      <c r="C2863" s="26" t="s">
        <v>8614</v>
      </c>
      <c r="D2863" s="26" t="s">
        <v>6396</v>
      </c>
      <c r="E2863" s="26">
        <v>0</v>
      </c>
    </row>
    <row r="2864" spans="1:5">
      <c r="A2864" s="26" t="s">
        <v>8740</v>
      </c>
      <c r="B2864" s="26" t="s">
        <v>8615</v>
      </c>
      <c r="C2864" s="26" t="s">
        <v>7830</v>
      </c>
      <c r="D2864" s="26" t="s">
        <v>6396</v>
      </c>
      <c r="E2864" s="26">
        <v>0</v>
      </c>
    </row>
    <row r="2865" spans="1:5">
      <c r="A2865" s="26" t="s">
        <v>8740</v>
      </c>
      <c r="B2865" s="26" t="s">
        <v>8616</v>
      </c>
      <c r="C2865" s="26" t="s">
        <v>2465</v>
      </c>
      <c r="D2865" s="26" t="s">
        <v>6396</v>
      </c>
      <c r="E2865" s="26">
        <v>0</v>
      </c>
    </row>
    <row r="2866" spans="1:5">
      <c r="A2866" s="26" t="s">
        <v>8740</v>
      </c>
      <c r="B2866" s="26" t="s">
        <v>426</v>
      </c>
      <c r="C2866" s="26" t="s">
        <v>142</v>
      </c>
      <c r="D2866" s="26" t="s">
        <v>6396</v>
      </c>
      <c r="E2866" s="26">
        <v>0</v>
      </c>
    </row>
    <row r="2867" spans="1:5">
      <c r="A2867" s="26" t="s">
        <v>8740</v>
      </c>
      <c r="B2867" s="26" t="s">
        <v>8617</v>
      </c>
      <c r="C2867" s="26" t="s">
        <v>679</v>
      </c>
      <c r="D2867" s="26" t="s">
        <v>6396</v>
      </c>
      <c r="E2867" s="26">
        <v>0</v>
      </c>
    </row>
    <row r="2868" spans="1:5">
      <c r="A2868" s="26" t="s">
        <v>8740</v>
      </c>
      <c r="B2868" s="26" t="s">
        <v>7417</v>
      </c>
      <c r="C2868" s="26" t="s">
        <v>188</v>
      </c>
      <c r="D2868" s="26" t="s">
        <v>6396</v>
      </c>
      <c r="E2868" s="26">
        <v>0</v>
      </c>
    </row>
    <row r="2869" spans="1:5">
      <c r="A2869" s="26" t="s">
        <v>8740</v>
      </c>
      <c r="B2869" s="26" t="s">
        <v>8618</v>
      </c>
      <c r="C2869" s="26" t="s">
        <v>188</v>
      </c>
      <c r="D2869" s="26" t="s">
        <v>6396</v>
      </c>
      <c r="E2869" s="26">
        <v>0</v>
      </c>
    </row>
    <row r="2870" spans="1:5">
      <c r="A2870" s="26" t="s">
        <v>8740</v>
      </c>
      <c r="B2870" s="26" t="s">
        <v>8619</v>
      </c>
      <c r="C2870" s="26" t="s">
        <v>188</v>
      </c>
      <c r="D2870" s="26" t="s">
        <v>6396</v>
      </c>
      <c r="E2870" s="26">
        <v>0</v>
      </c>
    </row>
    <row r="2871" spans="1:5">
      <c r="A2871" s="26" t="s">
        <v>8740</v>
      </c>
      <c r="B2871" s="26" t="s">
        <v>2012</v>
      </c>
      <c r="C2871" s="26" t="s">
        <v>8620</v>
      </c>
      <c r="D2871" s="26" t="s">
        <v>6396</v>
      </c>
      <c r="E2871" s="26">
        <v>0</v>
      </c>
    </row>
    <row r="2872" spans="1:5">
      <c r="A2872" s="26" t="s">
        <v>8740</v>
      </c>
      <c r="B2872" s="26" t="s">
        <v>26</v>
      </c>
      <c r="C2872" s="26" t="s">
        <v>27</v>
      </c>
      <c r="D2872" s="26" t="s">
        <v>6396</v>
      </c>
      <c r="E2872" s="26">
        <v>0</v>
      </c>
    </row>
    <row r="2873" spans="1:5">
      <c r="A2873" s="26" t="s">
        <v>8740</v>
      </c>
      <c r="B2873" s="26" t="s">
        <v>6673</v>
      </c>
      <c r="C2873" s="26" t="s">
        <v>6473</v>
      </c>
      <c r="D2873" s="26" t="s">
        <v>6396</v>
      </c>
      <c r="E2873" s="26">
        <v>0</v>
      </c>
    </row>
    <row r="2874" spans="1:5">
      <c r="A2874" s="26" t="s">
        <v>8740</v>
      </c>
      <c r="B2874" s="26" t="s">
        <v>7055</v>
      </c>
      <c r="C2874" s="26" t="s">
        <v>6599</v>
      </c>
      <c r="D2874" s="26" t="s">
        <v>6396</v>
      </c>
      <c r="E2874" s="26">
        <v>0</v>
      </c>
    </row>
    <row r="2875" spans="1:5">
      <c r="A2875" s="26" t="s">
        <v>8740</v>
      </c>
      <c r="B2875" s="26" t="s">
        <v>8621</v>
      </c>
      <c r="C2875" s="26" t="s">
        <v>8622</v>
      </c>
      <c r="D2875" s="26" t="s">
        <v>6396</v>
      </c>
      <c r="E2875" s="26">
        <v>0</v>
      </c>
    </row>
    <row r="2876" spans="1:5">
      <c r="A2876" s="26" t="s">
        <v>8740</v>
      </c>
      <c r="B2876" s="26" t="s">
        <v>8623</v>
      </c>
      <c r="C2876" s="26" t="s">
        <v>7527</v>
      </c>
      <c r="D2876" s="26" t="s">
        <v>6396</v>
      </c>
      <c r="E2876" s="26">
        <v>0</v>
      </c>
    </row>
    <row r="2877" spans="1:5">
      <c r="A2877" s="26" t="s">
        <v>8740</v>
      </c>
      <c r="B2877" s="26" t="s">
        <v>306</v>
      </c>
      <c r="C2877" s="26" t="s">
        <v>307</v>
      </c>
      <c r="D2877" s="26" t="s">
        <v>6396</v>
      </c>
      <c r="E2877" s="26">
        <v>0</v>
      </c>
    </row>
    <row r="2878" spans="1:5">
      <c r="A2878" s="26" t="s">
        <v>8740</v>
      </c>
      <c r="B2878" s="26" t="s">
        <v>8229</v>
      </c>
      <c r="C2878" s="26" t="s">
        <v>8624</v>
      </c>
      <c r="D2878" s="26" t="s">
        <v>6396</v>
      </c>
      <c r="E2878" s="26">
        <v>0</v>
      </c>
    </row>
    <row r="2879" spans="1:5">
      <c r="A2879" s="26" t="s">
        <v>8740</v>
      </c>
      <c r="B2879" s="26" t="s">
        <v>2235</v>
      </c>
      <c r="C2879" s="26" t="s">
        <v>2236</v>
      </c>
      <c r="D2879" s="26" t="s">
        <v>6396</v>
      </c>
      <c r="E2879" s="26">
        <v>0</v>
      </c>
    </row>
    <row r="2880" spans="1:5">
      <c r="A2880" s="26" t="s">
        <v>8740</v>
      </c>
      <c r="B2880" s="26" t="s">
        <v>8376</v>
      </c>
      <c r="C2880" s="26" t="s">
        <v>1776</v>
      </c>
      <c r="D2880" s="26" t="s">
        <v>6396</v>
      </c>
      <c r="E2880" s="26">
        <v>0</v>
      </c>
    </row>
    <row r="2881" spans="1:5">
      <c r="A2881" s="26" t="s">
        <v>8740</v>
      </c>
      <c r="B2881" s="26" t="s">
        <v>655</v>
      </c>
      <c r="C2881" s="26" t="s">
        <v>466</v>
      </c>
      <c r="D2881" s="26" t="s">
        <v>6396</v>
      </c>
      <c r="E2881" s="26">
        <v>0</v>
      </c>
    </row>
    <row r="2882" spans="1:5">
      <c r="A2882" s="26" t="s">
        <v>8740</v>
      </c>
      <c r="B2882" s="26" t="s">
        <v>8625</v>
      </c>
      <c r="C2882" s="26" t="s">
        <v>466</v>
      </c>
      <c r="D2882" s="26" t="s">
        <v>6396</v>
      </c>
      <c r="E2882" s="26">
        <v>0</v>
      </c>
    </row>
    <row r="2883" spans="1:5">
      <c r="A2883" s="26" t="s">
        <v>8740</v>
      </c>
      <c r="B2883" s="26" t="s">
        <v>6682</v>
      </c>
      <c r="C2883" s="26" t="s">
        <v>6681</v>
      </c>
      <c r="D2883" s="26" t="s">
        <v>6396</v>
      </c>
      <c r="E2883" s="26">
        <v>0</v>
      </c>
    </row>
    <row r="2884" spans="1:5">
      <c r="A2884" s="26" t="s">
        <v>8740</v>
      </c>
      <c r="B2884" s="26" t="s">
        <v>2230</v>
      </c>
      <c r="C2884" s="26" t="s">
        <v>227</v>
      </c>
      <c r="D2884" s="26" t="s">
        <v>6396</v>
      </c>
      <c r="E2884" s="26">
        <v>0</v>
      </c>
    </row>
    <row r="2885" spans="1:5">
      <c r="A2885" s="26" t="s">
        <v>8740</v>
      </c>
      <c r="B2885" s="26" t="s">
        <v>7031</v>
      </c>
      <c r="C2885" s="26" t="s">
        <v>8626</v>
      </c>
      <c r="D2885" s="26" t="s">
        <v>6434</v>
      </c>
      <c r="E2885" s="26">
        <v>0</v>
      </c>
    </row>
    <row r="2886" spans="1:5">
      <c r="A2886" s="26" t="s">
        <v>8740</v>
      </c>
      <c r="B2886" s="26" t="s">
        <v>3147</v>
      </c>
      <c r="C2886" s="26" t="s">
        <v>8627</v>
      </c>
      <c r="D2886" s="26" t="s">
        <v>6396</v>
      </c>
      <c r="E2886" s="26">
        <v>0</v>
      </c>
    </row>
    <row r="2887" spans="1:5">
      <c r="A2887" s="26" t="s">
        <v>8740</v>
      </c>
      <c r="B2887" s="26" t="s">
        <v>8628</v>
      </c>
      <c r="C2887" s="26" t="s">
        <v>2198</v>
      </c>
      <c r="D2887" s="26" t="s">
        <v>6396</v>
      </c>
      <c r="E2887" s="26">
        <v>0</v>
      </c>
    </row>
    <row r="2888" spans="1:5">
      <c r="A2888" s="26" t="s">
        <v>8740</v>
      </c>
      <c r="B2888" s="26" t="s">
        <v>8629</v>
      </c>
      <c r="C2888" s="26" t="s">
        <v>8630</v>
      </c>
      <c r="D2888" s="26" t="s">
        <v>6396</v>
      </c>
      <c r="E2888" s="26">
        <v>0</v>
      </c>
    </row>
    <row r="2889" spans="1:5">
      <c r="A2889" s="26" t="s">
        <v>8740</v>
      </c>
      <c r="B2889" s="26" t="s">
        <v>1534</v>
      </c>
      <c r="C2889" s="26" t="s">
        <v>1535</v>
      </c>
      <c r="D2889" s="26" t="s">
        <v>6396</v>
      </c>
      <c r="E2889" s="26">
        <v>0</v>
      </c>
    </row>
    <row r="2890" spans="1:5">
      <c r="A2890" s="26" t="s">
        <v>8740</v>
      </c>
      <c r="B2890" s="26" t="s">
        <v>8631</v>
      </c>
      <c r="C2890" s="26" t="s">
        <v>7033</v>
      </c>
      <c r="D2890" s="26" t="s">
        <v>6396</v>
      </c>
      <c r="E2890" s="26">
        <v>0</v>
      </c>
    </row>
    <row r="2891" spans="1:5">
      <c r="A2891" s="26" t="s">
        <v>8740</v>
      </c>
      <c r="B2891" s="26" t="s">
        <v>1626</v>
      </c>
      <c r="C2891" s="26" t="s">
        <v>360</v>
      </c>
      <c r="D2891" s="26" t="s">
        <v>6396</v>
      </c>
      <c r="E2891" s="26">
        <v>0</v>
      </c>
    </row>
    <row r="2892" spans="1:5">
      <c r="A2892" s="26" t="s">
        <v>8740</v>
      </c>
      <c r="B2892" s="26" t="s">
        <v>1637</v>
      </c>
      <c r="C2892" s="26" t="s">
        <v>360</v>
      </c>
      <c r="D2892" s="26" t="s">
        <v>6396</v>
      </c>
      <c r="E2892" s="26" t="s">
        <v>6395</v>
      </c>
    </row>
    <row r="2893" spans="1:5">
      <c r="A2893" s="26" t="s">
        <v>8740</v>
      </c>
      <c r="B2893" s="26" t="s">
        <v>846</v>
      </c>
      <c r="C2893" s="26" t="s">
        <v>847</v>
      </c>
      <c r="D2893" s="26" t="s">
        <v>6396</v>
      </c>
      <c r="E2893" s="26">
        <v>0</v>
      </c>
    </row>
    <row r="2894" spans="1:5">
      <c r="A2894" s="26" t="s">
        <v>8740</v>
      </c>
      <c r="B2894" s="26" t="s">
        <v>8632</v>
      </c>
      <c r="C2894" s="26" t="s">
        <v>679</v>
      </c>
      <c r="D2894" s="26" t="s">
        <v>6396</v>
      </c>
      <c r="E2894" s="26">
        <v>0</v>
      </c>
    </row>
    <row r="2895" spans="1:5">
      <c r="A2895" s="26" t="s">
        <v>8740</v>
      </c>
      <c r="B2895" s="26" t="s">
        <v>8633</v>
      </c>
      <c r="C2895" s="26" t="s">
        <v>360</v>
      </c>
      <c r="D2895" s="26" t="s">
        <v>6396</v>
      </c>
      <c r="E2895" s="26">
        <v>0</v>
      </c>
    </row>
    <row r="2896" spans="1:5">
      <c r="A2896" s="26" t="s">
        <v>8740</v>
      </c>
      <c r="B2896" s="26" t="s">
        <v>3095</v>
      </c>
      <c r="C2896" s="26" t="s">
        <v>509</v>
      </c>
      <c r="D2896" s="26" t="s">
        <v>6396</v>
      </c>
      <c r="E2896" s="26">
        <v>0</v>
      </c>
    </row>
    <row r="2897" spans="1:5">
      <c r="A2897" s="26" t="s">
        <v>8740</v>
      </c>
      <c r="B2897" s="26" t="s">
        <v>508</v>
      </c>
      <c r="C2897" s="26" t="s">
        <v>509</v>
      </c>
      <c r="D2897" s="26" t="s">
        <v>6396</v>
      </c>
      <c r="E2897" s="26">
        <v>0</v>
      </c>
    </row>
    <row r="2898" spans="1:5">
      <c r="A2898" s="26" t="s">
        <v>8740</v>
      </c>
      <c r="B2898" s="26" t="s">
        <v>8514</v>
      </c>
      <c r="C2898" s="26" t="s">
        <v>8447</v>
      </c>
      <c r="D2898" s="26" t="s">
        <v>6396</v>
      </c>
      <c r="E2898" s="26">
        <v>0</v>
      </c>
    </row>
    <row r="2899" spans="1:5">
      <c r="A2899" s="26" t="s">
        <v>8740</v>
      </c>
      <c r="B2899" s="26" t="s">
        <v>8634</v>
      </c>
      <c r="C2899" s="26" t="s">
        <v>2548</v>
      </c>
      <c r="D2899" s="26" t="s">
        <v>6396</v>
      </c>
      <c r="E2899" s="26">
        <v>0</v>
      </c>
    </row>
    <row r="2900" spans="1:5">
      <c r="A2900" s="26" t="s">
        <v>8740</v>
      </c>
      <c r="B2900" s="26" t="s">
        <v>1576</v>
      </c>
      <c r="C2900" s="26" t="s">
        <v>227</v>
      </c>
      <c r="D2900" s="26" t="s">
        <v>6396</v>
      </c>
      <c r="E2900" s="26">
        <v>0</v>
      </c>
    </row>
    <row r="2901" spans="1:5">
      <c r="A2901" s="26" t="s">
        <v>8740</v>
      </c>
      <c r="B2901" s="26" t="s">
        <v>7279</v>
      </c>
      <c r="C2901" s="26" t="s">
        <v>707</v>
      </c>
      <c r="D2901" s="26" t="s">
        <v>6396</v>
      </c>
      <c r="E2901" s="26">
        <v>0</v>
      </c>
    </row>
    <row r="2902" spans="1:5">
      <c r="A2902" s="26" t="s">
        <v>8740</v>
      </c>
      <c r="B2902" s="26" t="s">
        <v>706</v>
      </c>
      <c r="C2902" s="26" t="s">
        <v>707</v>
      </c>
      <c r="D2902" s="26" t="s">
        <v>6396</v>
      </c>
      <c r="E2902" s="26">
        <v>0</v>
      </c>
    </row>
    <row r="2903" spans="1:5">
      <c r="A2903" s="26" t="s">
        <v>8740</v>
      </c>
      <c r="B2903" s="26" t="s">
        <v>8635</v>
      </c>
      <c r="C2903" s="26" t="s">
        <v>509</v>
      </c>
      <c r="D2903" s="26" t="s">
        <v>6396</v>
      </c>
      <c r="E2903" s="26">
        <v>0</v>
      </c>
    </row>
    <row r="2904" spans="1:5">
      <c r="A2904" s="26" t="s">
        <v>8740</v>
      </c>
      <c r="B2904" s="26" t="s">
        <v>6923</v>
      </c>
      <c r="C2904" s="26" t="s">
        <v>6552</v>
      </c>
      <c r="D2904" s="26" t="s">
        <v>6396</v>
      </c>
      <c r="E2904" s="26">
        <v>0</v>
      </c>
    </row>
    <row r="2905" spans="1:5">
      <c r="A2905" s="26" t="s">
        <v>8740</v>
      </c>
      <c r="B2905" s="26" t="s">
        <v>6634</v>
      </c>
      <c r="C2905" s="26" t="s">
        <v>8636</v>
      </c>
      <c r="D2905" s="26" t="s">
        <v>6396</v>
      </c>
      <c r="E2905" s="26">
        <v>0</v>
      </c>
    </row>
    <row r="2906" spans="1:5">
      <c r="A2906" s="26" t="s">
        <v>8740</v>
      </c>
      <c r="B2906" s="26" t="s">
        <v>8637</v>
      </c>
      <c r="C2906" s="26" t="s">
        <v>643</v>
      </c>
      <c r="D2906" s="26" t="s">
        <v>6396</v>
      </c>
      <c r="E2906" s="26">
        <v>0</v>
      </c>
    </row>
    <row r="2907" spans="1:5">
      <c r="A2907" s="26" t="s">
        <v>8740</v>
      </c>
      <c r="B2907" s="26" t="s">
        <v>8638</v>
      </c>
      <c r="C2907" s="26" t="s">
        <v>2534</v>
      </c>
      <c r="D2907" s="26" t="s">
        <v>6396</v>
      </c>
      <c r="E2907" s="26">
        <v>0</v>
      </c>
    </row>
    <row r="2908" spans="1:5">
      <c r="A2908" s="26" t="s">
        <v>8740</v>
      </c>
      <c r="B2908" s="26" t="s">
        <v>2524</v>
      </c>
      <c r="C2908" s="26" t="s">
        <v>1545</v>
      </c>
      <c r="D2908" s="26" t="s">
        <v>6396</v>
      </c>
      <c r="E2908" s="26">
        <v>0</v>
      </c>
    </row>
    <row r="2909" spans="1:5">
      <c r="A2909" s="26" t="s">
        <v>8740</v>
      </c>
      <c r="B2909" s="26" t="s">
        <v>2520</v>
      </c>
      <c r="C2909" s="26" t="s">
        <v>1545</v>
      </c>
      <c r="D2909" s="26" t="s">
        <v>6396</v>
      </c>
      <c r="E2909" s="26">
        <v>0</v>
      </c>
    </row>
    <row r="2910" spans="1:5">
      <c r="A2910" s="26" t="s">
        <v>8740</v>
      </c>
      <c r="B2910" s="26" t="s">
        <v>6717</v>
      </c>
      <c r="C2910" s="26" t="s">
        <v>188</v>
      </c>
      <c r="D2910" s="26" t="s">
        <v>6396</v>
      </c>
      <c r="E2910" s="26">
        <v>0</v>
      </c>
    </row>
    <row r="2911" spans="1:5">
      <c r="A2911" s="26" t="s">
        <v>8740</v>
      </c>
      <c r="B2911" s="26" t="s">
        <v>2019</v>
      </c>
      <c r="C2911" s="26" t="s">
        <v>2020</v>
      </c>
      <c r="D2911" s="26" t="s">
        <v>6396</v>
      </c>
      <c r="E2911" s="26">
        <v>0</v>
      </c>
    </row>
    <row r="2912" spans="1:5">
      <c r="A2912" s="26" t="s">
        <v>8740</v>
      </c>
      <c r="B2912" s="26" t="s">
        <v>2454</v>
      </c>
      <c r="C2912" s="26" t="s">
        <v>1250</v>
      </c>
      <c r="D2912" s="26" t="s">
        <v>6396</v>
      </c>
      <c r="E2912" s="26">
        <v>0</v>
      </c>
    </row>
    <row r="2913" spans="1:5">
      <c r="A2913" s="26" t="s">
        <v>8740</v>
      </c>
      <c r="B2913" s="26" t="s">
        <v>7312</v>
      </c>
      <c r="C2913" s="26" t="s">
        <v>592</v>
      </c>
      <c r="D2913" s="26" t="s">
        <v>6396</v>
      </c>
      <c r="E2913" s="26">
        <v>0</v>
      </c>
    </row>
    <row r="2914" spans="1:5">
      <c r="A2914" s="26" t="s">
        <v>8740</v>
      </c>
      <c r="B2914" s="26" t="s">
        <v>591</v>
      </c>
      <c r="C2914" s="26" t="s">
        <v>592</v>
      </c>
      <c r="D2914" s="26" t="s">
        <v>6396</v>
      </c>
      <c r="E2914" s="26">
        <v>0</v>
      </c>
    </row>
    <row r="2915" spans="1:5">
      <c r="A2915" s="26" t="s">
        <v>8740</v>
      </c>
      <c r="B2915" s="26" t="s">
        <v>2224</v>
      </c>
      <c r="C2915" s="26" t="s">
        <v>2225</v>
      </c>
      <c r="D2915" s="26" t="s">
        <v>6396</v>
      </c>
      <c r="E2915" s="26" t="s">
        <v>6395</v>
      </c>
    </row>
    <row r="2916" spans="1:5">
      <c r="A2916" s="26" t="s">
        <v>8740</v>
      </c>
      <c r="B2916" s="26" t="s">
        <v>2414</v>
      </c>
      <c r="C2916" s="26" t="s">
        <v>679</v>
      </c>
      <c r="D2916" s="26" t="s">
        <v>6396</v>
      </c>
      <c r="E2916" s="26">
        <v>0</v>
      </c>
    </row>
    <row r="2917" spans="1:5">
      <c r="A2917" s="26" t="s">
        <v>8740</v>
      </c>
      <c r="B2917" s="26" t="s">
        <v>1714</v>
      </c>
      <c r="C2917" s="26" t="s">
        <v>679</v>
      </c>
      <c r="D2917" s="26" t="s">
        <v>6396</v>
      </c>
      <c r="E2917" s="26">
        <v>0</v>
      </c>
    </row>
    <row r="2918" spans="1:5">
      <c r="A2918" s="26" t="s">
        <v>8740</v>
      </c>
      <c r="B2918" s="26" t="s">
        <v>1658</v>
      </c>
      <c r="C2918" s="26" t="s">
        <v>679</v>
      </c>
      <c r="D2918" s="26" t="s">
        <v>6396</v>
      </c>
      <c r="E2918" s="26" t="s">
        <v>6395</v>
      </c>
    </row>
    <row r="2919" spans="1:5">
      <c r="A2919" s="26" t="s">
        <v>8740</v>
      </c>
      <c r="B2919" s="26" t="s">
        <v>6632</v>
      </c>
      <c r="C2919" s="26" t="s">
        <v>679</v>
      </c>
      <c r="D2919" s="26" t="s">
        <v>6396</v>
      </c>
      <c r="E2919" s="26">
        <v>0</v>
      </c>
    </row>
    <row r="2920" spans="1:5">
      <c r="A2920" s="26" t="s">
        <v>8740</v>
      </c>
      <c r="B2920" s="26" t="s">
        <v>8639</v>
      </c>
      <c r="C2920" s="26" t="s">
        <v>2236</v>
      </c>
      <c r="D2920" s="26" t="s">
        <v>6396</v>
      </c>
      <c r="E2920" s="26">
        <v>0</v>
      </c>
    </row>
    <row r="2921" spans="1:5">
      <c r="A2921" s="26" t="s">
        <v>8740</v>
      </c>
      <c r="B2921" s="26" t="s">
        <v>2767</v>
      </c>
      <c r="C2921" s="26" t="s">
        <v>1274</v>
      </c>
      <c r="D2921" s="26" t="s">
        <v>6396</v>
      </c>
      <c r="E2921" s="26">
        <v>0</v>
      </c>
    </row>
    <row r="2922" spans="1:5">
      <c r="A2922" s="26" t="s">
        <v>8740</v>
      </c>
      <c r="B2922" s="26" t="s">
        <v>8640</v>
      </c>
      <c r="C2922" s="26" t="s">
        <v>592</v>
      </c>
      <c r="D2922" s="26" t="s">
        <v>6396</v>
      </c>
      <c r="E2922" s="26">
        <v>0</v>
      </c>
    </row>
    <row r="2923" spans="1:5">
      <c r="A2923" s="26" t="s">
        <v>8740</v>
      </c>
      <c r="B2923" s="26" t="s">
        <v>6506</v>
      </c>
      <c r="C2923" s="26" t="s">
        <v>188</v>
      </c>
      <c r="D2923" s="26" t="s">
        <v>6396</v>
      </c>
      <c r="E2923" s="26">
        <v>0</v>
      </c>
    </row>
    <row r="2924" spans="1:5">
      <c r="A2924" s="26" t="s">
        <v>8740</v>
      </c>
      <c r="B2924" s="26" t="s">
        <v>8641</v>
      </c>
      <c r="C2924" s="26" t="s">
        <v>7078</v>
      </c>
      <c r="D2924" s="26" t="s">
        <v>6396</v>
      </c>
      <c r="E2924" s="26">
        <v>0</v>
      </c>
    </row>
    <row r="2925" spans="1:5">
      <c r="A2925" s="26" t="s">
        <v>8740</v>
      </c>
      <c r="B2925" s="26" t="s">
        <v>8642</v>
      </c>
      <c r="C2925" s="26" t="s">
        <v>7003</v>
      </c>
      <c r="D2925" s="26" t="s">
        <v>6396</v>
      </c>
      <c r="E2925" s="26">
        <v>0</v>
      </c>
    </row>
    <row r="2926" spans="1:5">
      <c r="A2926" s="26" t="s">
        <v>8740</v>
      </c>
      <c r="B2926" s="26" t="s">
        <v>8643</v>
      </c>
      <c r="C2926" s="26" t="s">
        <v>7003</v>
      </c>
      <c r="D2926" s="26" t="s">
        <v>6396</v>
      </c>
      <c r="E2926" s="26">
        <v>0</v>
      </c>
    </row>
    <row r="2927" spans="1:5">
      <c r="A2927" s="26" t="s">
        <v>8740</v>
      </c>
      <c r="B2927" s="26" t="s">
        <v>8644</v>
      </c>
      <c r="C2927" s="26" t="s">
        <v>154</v>
      </c>
      <c r="D2927" s="26" t="s">
        <v>6396</v>
      </c>
      <c r="E2927" s="26">
        <v>0</v>
      </c>
    </row>
    <row r="2928" spans="1:5">
      <c r="A2928" s="26" t="s">
        <v>8740</v>
      </c>
      <c r="B2928" s="26" t="s">
        <v>7766</v>
      </c>
      <c r="C2928" s="26" t="s">
        <v>7449</v>
      </c>
      <c r="D2928" s="26" t="s">
        <v>6396</v>
      </c>
      <c r="E2928" s="26">
        <v>0</v>
      </c>
    </row>
    <row r="2929" spans="1:5">
      <c r="A2929" s="26" t="s">
        <v>8740</v>
      </c>
      <c r="B2929" s="26" t="s">
        <v>6778</v>
      </c>
      <c r="C2929" s="26" t="s">
        <v>6777</v>
      </c>
      <c r="D2929" s="26" t="s">
        <v>6396</v>
      </c>
      <c r="E2929" s="26">
        <v>0</v>
      </c>
    </row>
    <row r="2930" spans="1:5">
      <c r="A2930" s="26" t="s">
        <v>8740</v>
      </c>
      <c r="B2930" s="26" t="s">
        <v>8645</v>
      </c>
      <c r="C2930" s="26" t="s">
        <v>950</v>
      </c>
      <c r="D2930" s="26" t="s">
        <v>6396</v>
      </c>
      <c r="E2930" s="26">
        <v>0</v>
      </c>
    </row>
    <row r="2931" spans="1:5">
      <c r="A2931" s="26" t="s">
        <v>8740</v>
      </c>
      <c r="B2931" s="26" t="s">
        <v>8646</v>
      </c>
      <c r="C2931" s="26" t="s">
        <v>1466</v>
      </c>
      <c r="D2931" s="26" t="s">
        <v>6396</v>
      </c>
      <c r="E2931" s="26">
        <v>0</v>
      </c>
    </row>
    <row r="2932" spans="1:5">
      <c r="A2932" s="26" t="s">
        <v>8740</v>
      </c>
      <c r="B2932" s="26" t="s">
        <v>7844</v>
      </c>
      <c r="C2932" s="26" t="s">
        <v>7237</v>
      </c>
      <c r="D2932" s="26" t="s">
        <v>6396</v>
      </c>
      <c r="E2932" s="26">
        <v>0</v>
      </c>
    </row>
    <row r="2933" spans="1:5">
      <c r="A2933" s="26" t="s">
        <v>8740</v>
      </c>
      <c r="B2933" s="26" t="s">
        <v>2751</v>
      </c>
      <c r="C2933" s="26" t="s">
        <v>188</v>
      </c>
      <c r="D2933" s="26" t="s">
        <v>6396</v>
      </c>
      <c r="E2933" s="26">
        <v>0</v>
      </c>
    </row>
    <row r="2934" spans="1:5">
      <c r="A2934" s="26" t="s">
        <v>8740</v>
      </c>
      <c r="B2934" s="26" t="s">
        <v>2137</v>
      </c>
      <c r="C2934" s="26" t="s">
        <v>1274</v>
      </c>
      <c r="D2934" s="26" t="s">
        <v>6396</v>
      </c>
      <c r="E2934" s="26" t="s">
        <v>6395</v>
      </c>
    </row>
    <row r="2935" spans="1:5">
      <c r="A2935" s="26" t="s">
        <v>8740</v>
      </c>
      <c r="B2935" s="26" t="s">
        <v>8647</v>
      </c>
      <c r="C2935" s="26" t="s">
        <v>8648</v>
      </c>
      <c r="D2935" s="26" t="s">
        <v>6396</v>
      </c>
      <c r="E2935" s="26">
        <v>0</v>
      </c>
    </row>
    <row r="2936" spans="1:5">
      <c r="A2936" s="26" t="s">
        <v>8740</v>
      </c>
      <c r="B2936" s="26" t="s">
        <v>180</v>
      </c>
      <c r="C2936" s="26" t="s">
        <v>188</v>
      </c>
      <c r="D2936" s="26" t="s">
        <v>6396</v>
      </c>
      <c r="E2936" s="26">
        <v>0</v>
      </c>
    </row>
    <row r="2937" spans="1:5">
      <c r="A2937" s="26" t="s">
        <v>8740</v>
      </c>
      <c r="B2937" s="26" t="s">
        <v>7040</v>
      </c>
      <c r="C2937" s="26" t="s">
        <v>524</v>
      </c>
      <c r="D2937" s="26" t="s">
        <v>6396</v>
      </c>
      <c r="E2937" s="26">
        <v>0</v>
      </c>
    </row>
    <row r="2938" spans="1:5">
      <c r="A2938" s="26" t="s">
        <v>8740</v>
      </c>
      <c r="B2938" s="26" t="s">
        <v>7079</v>
      </c>
      <c r="C2938" s="26" t="s">
        <v>7078</v>
      </c>
      <c r="D2938" s="26" t="s">
        <v>6396</v>
      </c>
      <c r="E2938" s="26">
        <v>0</v>
      </c>
    </row>
    <row r="2939" spans="1:5">
      <c r="A2939" s="26" t="s">
        <v>8740</v>
      </c>
      <c r="B2939" s="26" t="s">
        <v>295</v>
      </c>
      <c r="C2939" s="26" t="s">
        <v>154</v>
      </c>
      <c r="D2939" s="26" t="s">
        <v>6396</v>
      </c>
      <c r="E2939" s="26">
        <v>0</v>
      </c>
    </row>
    <row r="2940" spans="1:5">
      <c r="A2940" s="26" t="s">
        <v>8740</v>
      </c>
      <c r="B2940" s="26" t="s">
        <v>456</v>
      </c>
      <c r="C2940" s="26" t="s">
        <v>457</v>
      </c>
      <c r="D2940" s="26" t="s">
        <v>6396</v>
      </c>
      <c r="E2940" s="26">
        <v>0</v>
      </c>
    </row>
    <row r="2941" spans="1:5">
      <c r="A2941" s="26" t="s">
        <v>8740</v>
      </c>
      <c r="B2941" s="26" t="s">
        <v>6453</v>
      </c>
      <c r="C2941" s="26" t="s">
        <v>541</v>
      </c>
      <c r="D2941" s="26" t="s">
        <v>6396</v>
      </c>
      <c r="E2941" s="26">
        <v>0</v>
      </c>
    </row>
    <row r="2942" spans="1:5">
      <c r="A2942" s="26" t="s">
        <v>8740</v>
      </c>
      <c r="B2942" s="26" t="s">
        <v>1067</v>
      </c>
      <c r="C2942" s="26" t="s">
        <v>6501</v>
      </c>
      <c r="D2942" s="26" t="s">
        <v>6396</v>
      </c>
      <c r="E2942" s="26">
        <v>0</v>
      </c>
    </row>
    <row r="2943" spans="1:5">
      <c r="A2943" s="26" t="s">
        <v>8740</v>
      </c>
      <c r="B2943" s="26" t="s">
        <v>342</v>
      </c>
      <c r="C2943" s="26" t="s">
        <v>8649</v>
      </c>
      <c r="D2943" s="26" t="s">
        <v>6396</v>
      </c>
      <c r="E2943" s="26">
        <v>0</v>
      </c>
    </row>
    <row r="2944" spans="1:5">
      <c r="A2944" s="26" t="s">
        <v>8740</v>
      </c>
      <c r="B2944" s="26" t="s">
        <v>497</v>
      </c>
      <c r="C2944" s="26" t="s">
        <v>498</v>
      </c>
      <c r="D2944" s="26" t="s">
        <v>6396</v>
      </c>
      <c r="E2944" s="26">
        <v>0</v>
      </c>
    </row>
    <row r="2945" spans="1:5">
      <c r="A2945" s="26" t="s">
        <v>8740</v>
      </c>
      <c r="B2945" s="26" t="s">
        <v>8650</v>
      </c>
      <c r="C2945" s="26" t="s">
        <v>8447</v>
      </c>
      <c r="D2945" s="26" t="s">
        <v>6396</v>
      </c>
      <c r="E2945" s="26">
        <v>0</v>
      </c>
    </row>
    <row r="2946" spans="1:5">
      <c r="A2946" s="26" t="s">
        <v>8740</v>
      </c>
      <c r="B2946" s="26" t="s">
        <v>8651</v>
      </c>
      <c r="C2946" s="26" t="s">
        <v>8567</v>
      </c>
      <c r="D2946" s="26" t="s">
        <v>6396</v>
      </c>
      <c r="E2946" s="26">
        <v>0</v>
      </c>
    </row>
    <row r="2947" spans="1:5">
      <c r="A2947" s="26" t="s">
        <v>8740</v>
      </c>
      <c r="B2947" s="26" t="s">
        <v>6556</v>
      </c>
      <c r="C2947" s="26" t="s">
        <v>6555</v>
      </c>
      <c r="D2947" s="26" t="s">
        <v>6434</v>
      </c>
      <c r="E2947" s="26">
        <v>0</v>
      </c>
    </row>
    <row r="2948" spans="1:5">
      <c r="A2948" s="26" t="s">
        <v>8740</v>
      </c>
      <c r="B2948" s="26" t="s">
        <v>7754</v>
      </c>
      <c r="C2948" s="26" t="s">
        <v>3262</v>
      </c>
      <c r="D2948" s="26" t="s">
        <v>6396</v>
      </c>
      <c r="E2948" s="26">
        <v>0</v>
      </c>
    </row>
    <row r="2949" spans="1:5">
      <c r="A2949" s="26" t="s">
        <v>8740</v>
      </c>
      <c r="B2949" s="26" t="s">
        <v>1653</v>
      </c>
      <c r="C2949" s="26" t="s">
        <v>679</v>
      </c>
      <c r="D2949" s="26" t="s">
        <v>6396</v>
      </c>
      <c r="E2949" s="26">
        <v>0</v>
      </c>
    </row>
    <row r="2950" spans="1:5">
      <c r="A2950" s="26" t="s">
        <v>8740</v>
      </c>
      <c r="B2950" s="26" t="s">
        <v>359</v>
      </c>
      <c r="C2950" s="26" t="s">
        <v>360</v>
      </c>
      <c r="D2950" s="26" t="s">
        <v>6396</v>
      </c>
      <c r="E2950" s="26">
        <v>0</v>
      </c>
    </row>
    <row r="2951" spans="1:5">
      <c r="A2951" s="26" t="s">
        <v>8740</v>
      </c>
      <c r="B2951" s="26" t="s">
        <v>3005</v>
      </c>
      <c r="C2951" s="26" t="s">
        <v>782</v>
      </c>
      <c r="D2951" s="26" t="s">
        <v>6396</v>
      </c>
      <c r="E2951" s="26">
        <v>0</v>
      </c>
    </row>
    <row r="2952" spans="1:5">
      <c r="A2952" s="26" t="s">
        <v>8740</v>
      </c>
      <c r="B2952" s="26" t="s">
        <v>6588</v>
      </c>
      <c r="C2952" s="26" t="s">
        <v>524</v>
      </c>
      <c r="D2952" s="26" t="s">
        <v>6396</v>
      </c>
      <c r="E2952" s="26">
        <v>0</v>
      </c>
    </row>
    <row r="2953" spans="1:5">
      <c r="A2953" s="26" t="s">
        <v>8740</v>
      </c>
      <c r="B2953" s="26" t="s">
        <v>1088</v>
      </c>
      <c r="C2953" s="26" t="s">
        <v>466</v>
      </c>
      <c r="D2953" s="26" t="s">
        <v>6396</v>
      </c>
      <c r="E2953" s="26" t="s">
        <v>6395</v>
      </c>
    </row>
    <row r="2954" spans="1:5">
      <c r="A2954" s="26" t="s">
        <v>8740</v>
      </c>
      <c r="B2954" s="26" t="s">
        <v>8652</v>
      </c>
      <c r="C2954" s="26" t="s">
        <v>466</v>
      </c>
      <c r="D2954" s="26" t="s">
        <v>6396</v>
      </c>
      <c r="E2954" s="26">
        <v>0</v>
      </c>
    </row>
    <row r="2955" spans="1:5">
      <c r="A2955" s="26" t="s">
        <v>8740</v>
      </c>
      <c r="B2955" s="26" t="s">
        <v>153</v>
      </c>
      <c r="C2955" s="26" t="s">
        <v>154</v>
      </c>
      <c r="D2955" s="26" t="s">
        <v>6396</v>
      </c>
      <c r="E2955" s="26">
        <v>0</v>
      </c>
    </row>
    <row r="2956" spans="1:5">
      <c r="A2956" s="26" t="s">
        <v>8740</v>
      </c>
      <c r="B2956" s="26" t="s">
        <v>1273</v>
      </c>
      <c r="C2956" s="26" t="s">
        <v>1274</v>
      </c>
      <c r="D2956" s="26" t="s">
        <v>6396</v>
      </c>
      <c r="E2956" s="26">
        <v>0</v>
      </c>
    </row>
    <row r="2957" spans="1:5">
      <c r="A2957" s="26" t="s">
        <v>8740</v>
      </c>
      <c r="B2957" s="26" t="s">
        <v>8024</v>
      </c>
      <c r="C2957" s="26" t="s">
        <v>8653</v>
      </c>
      <c r="D2957" s="26" t="s">
        <v>6396</v>
      </c>
      <c r="E2957" s="26">
        <v>0</v>
      </c>
    </row>
    <row r="2958" spans="1:5">
      <c r="A2958" s="26" t="s">
        <v>8740</v>
      </c>
      <c r="B2958" s="26" t="s">
        <v>7899</v>
      </c>
      <c r="C2958" s="26" t="s">
        <v>2548</v>
      </c>
      <c r="D2958" s="26" t="s">
        <v>6396</v>
      </c>
      <c r="E2958" s="26">
        <v>0</v>
      </c>
    </row>
    <row r="2959" spans="1:5">
      <c r="A2959" s="26" t="s">
        <v>8740</v>
      </c>
      <c r="B2959" s="26" t="s">
        <v>8654</v>
      </c>
      <c r="C2959" s="26" t="s">
        <v>1802</v>
      </c>
      <c r="D2959" s="26" t="s">
        <v>6396</v>
      </c>
      <c r="E2959" s="26">
        <v>0</v>
      </c>
    </row>
    <row r="2960" spans="1:5">
      <c r="A2960" s="26" t="s">
        <v>8740</v>
      </c>
      <c r="B2960" s="26" t="s">
        <v>7041</v>
      </c>
      <c r="C2960" s="26" t="s">
        <v>524</v>
      </c>
      <c r="D2960" s="26" t="s">
        <v>6396</v>
      </c>
      <c r="E2960" s="26">
        <v>0</v>
      </c>
    </row>
    <row r="2961" spans="1:5">
      <c r="A2961" s="26" t="s">
        <v>8740</v>
      </c>
      <c r="B2961" s="26" t="s">
        <v>36</v>
      </c>
      <c r="C2961" s="26" t="s">
        <v>37</v>
      </c>
      <c r="D2961" s="26" t="s">
        <v>6396</v>
      </c>
      <c r="E2961" s="26">
        <v>0</v>
      </c>
    </row>
    <row r="2962" spans="1:5">
      <c r="A2962" s="26" t="s">
        <v>8740</v>
      </c>
      <c r="B2962" s="26" t="s">
        <v>8655</v>
      </c>
      <c r="C2962" s="26" t="s">
        <v>360</v>
      </c>
      <c r="D2962" s="26" t="s">
        <v>6396</v>
      </c>
      <c r="E2962" s="26">
        <v>0</v>
      </c>
    </row>
    <row r="2963" spans="1:5">
      <c r="A2963" s="26" t="s">
        <v>8740</v>
      </c>
      <c r="B2963" s="26" t="s">
        <v>1206</v>
      </c>
      <c r="C2963" s="26" t="s">
        <v>1211</v>
      </c>
      <c r="D2963" s="26" t="s">
        <v>6396</v>
      </c>
      <c r="E2963" s="26">
        <v>0</v>
      </c>
    </row>
    <row r="2964" spans="1:5">
      <c r="A2964" s="26" t="s">
        <v>8740</v>
      </c>
      <c r="B2964" s="26" t="s">
        <v>8656</v>
      </c>
      <c r="C2964" s="26" t="s">
        <v>8657</v>
      </c>
      <c r="D2964" s="26" t="s">
        <v>6396</v>
      </c>
      <c r="E2964" s="26">
        <v>0</v>
      </c>
    </row>
    <row r="2965" spans="1:5">
      <c r="A2965" s="26" t="s">
        <v>8740</v>
      </c>
      <c r="B2965" s="26" t="s">
        <v>8658</v>
      </c>
      <c r="C2965" s="26" t="s">
        <v>8659</v>
      </c>
      <c r="D2965" s="26" t="s">
        <v>6396</v>
      </c>
      <c r="E2965" s="26">
        <v>0</v>
      </c>
    </row>
    <row r="2966" spans="1:5">
      <c r="A2966" s="26" t="s">
        <v>8740</v>
      </c>
      <c r="B2966" s="26" t="s">
        <v>8660</v>
      </c>
      <c r="C2966" s="26" t="s">
        <v>188</v>
      </c>
      <c r="D2966" s="26" t="s">
        <v>6396</v>
      </c>
      <c r="E2966" s="26">
        <v>0</v>
      </c>
    </row>
    <row r="2967" spans="1:5">
      <c r="A2967" s="26" t="s">
        <v>8740</v>
      </c>
      <c r="B2967" s="26" t="s">
        <v>1107</v>
      </c>
      <c r="C2967" s="26" t="s">
        <v>679</v>
      </c>
      <c r="D2967" s="26" t="s">
        <v>6396</v>
      </c>
      <c r="E2967" s="26" t="s">
        <v>6395</v>
      </c>
    </row>
    <row r="2968" spans="1:5">
      <c r="A2968" s="26" t="s">
        <v>8740</v>
      </c>
      <c r="B2968" s="26" t="s">
        <v>8661</v>
      </c>
      <c r="C2968" s="26" t="s">
        <v>8662</v>
      </c>
      <c r="D2968" s="26" t="s">
        <v>6396</v>
      </c>
      <c r="E2968" s="26">
        <v>0</v>
      </c>
    </row>
    <row r="2969" spans="1:5">
      <c r="A2969" s="26" t="s">
        <v>8740</v>
      </c>
      <c r="B2969" s="26" t="s">
        <v>7639</v>
      </c>
      <c r="C2969" s="26" t="s">
        <v>782</v>
      </c>
      <c r="D2969" s="26" t="s">
        <v>6396</v>
      </c>
      <c r="E2969" s="26">
        <v>0</v>
      </c>
    </row>
    <row r="2970" spans="1:5">
      <c r="A2970" s="26" t="s">
        <v>8740</v>
      </c>
      <c r="B2970" s="26" t="s">
        <v>1862</v>
      </c>
      <c r="C2970" s="26" t="s">
        <v>1211</v>
      </c>
      <c r="D2970" s="26" t="s">
        <v>6396</v>
      </c>
      <c r="E2970" s="26">
        <v>0</v>
      </c>
    </row>
    <row r="2971" spans="1:5">
      <c r="A2971" s="26" t="s">
        <v>8740</v>
      </c>
      <c r="B2971" s="26" t="s">
        <v>8663</v>
      </c>
      <c r="C2971" s="26" t="s">
        <v>8569</v>
      </c>
      <c r="D2971" s="26" t="s">
        <v>6396</v>
      </c>
      <c r="E2971" s="26">
        <v>0</v>
      </c>
    </row>
    <row r="2972" spans="1:5">
      <c r="A2972" s="26" t="s">
        <v>8740</v>
      </c>
      <c r="B2972" s="26" t="s">
        <v>6652</v>
      </c>
      <c r="C2972" s="26" t="s">
        <v>7419</v>
      </c>
      <c r="D2972" s="26" t="s">
        <v>6396</v>
      </c>
      <c r="E2972" s="26">
        <v>0</v>
      </c>
    </row>
    <row r="2973" spans="1:5">
      <c r="A2973" s="26" t="s">
        <v>8740</v>
      </c>
      <c r="B2973" s="26" t="s">
        <v>8664</v>
      </c>
      <c r="C2973" s="26" t="s">
        <v>7237</v>
      </c>
      <c r="D2973" s="26" t="s">
        <v>6396</v>
      </c>
      <c r="E2973" s="26">
        <v>0</v>
      </c>
    </row>
    <row r="2974" spans="1:5">
      <c r="A2974" s="26" t="s">
        <v>8740</v>
      </c>
      <c r="B2974" s="26" t="s">
        <v>7278</v>
      </c>
      <c r="C2974" s="26" t="s">
        <v>2020</v>
      </c>
      <c r="D2974" s="26" t="s">
        <v>6396</v>
      </c>
      <c r="E2974" s="26">
        <v>0</v>
      </c>
    </row>
    <row r="2975" spans="1:5">
      <c r="A2975" s="26" t="s">
        <v>8740</v>
      </c>
      <c r="B2975" s="26" t="s">
        <v>8665</v>
      </c>
      <c r="C2975" s="26" t="s">
        <v>8666</v>
      </c>
      <c r="D2975" s="26" t="s">
        <v>6396</v>
      </c>
      <c r="E2975" s="26">
        <v>0</v>
      </c>
    </row>
    <row r="2976" spans="1:5">
      <c r="A2976" s="26" t="s">
        <v>8740</v>
      </c>
      <c r="B2976" s="26" t="s">
        <v>8667</v>
      </c>
      <c r="C2976" s="26" t="s">
        <v>8668</v>
      </c>
      <c r="D2976" s="26" t="s">
        <v>6396</v>
      </c>
      <c r="E2976" s="26">
        <v>0</v>
      </c>
    </row>
    <row r="2977" spans="1:5">
      <c r="A2977" s="26" t="s">
        <v>8740</v>
      </c>
      <c r="B2977" s="26" t="s">
        <v>5444</v>
      </c>
      <c r="C2977" s="26" t="s">
        <v>8669</v>
      </c>
      <c r="D2977" s="26" t="s">
        <v>6480</v>
      </c>
      <c r="E2977" s="26">
        <v>0</v>
      </c>
    </row>
    <row r="2978" spans="1:5">
      <c r="A2978" s="26" t="s">
        <v>8740</v>
      </c>
      <c r="B2978" s="26" t="s">
        <v>3579</v>
      </c>
      <c r="C2978" s="26" t="s">
        <v>8670</v>
      </c>
      <c r="D2978" s="26" t="s">
        <v>6480</v>
      </c>
      <c r="E2978" s="26">
        <v>0</v>
      </c>
    </row>
    <row r="2979" spans="1:5">
      <c r="A2979" s="26" t="s">
        <v>8740</v>
      </c>
      <c r="B2979" s="26" t="s">
        <v>8671</v>
      </c>
      <c r="C2979" s="26" t="s">
        <v>8738</v>
      </c>
      <c r="D2979" s="26" t="s">
        <v>6489</v>
      </c>
      <c r="E2979" s="26">
        <v>0</v>
      </c>
    </row>
    <row r="2980" spans="1:5">
      <c r="A2980" s="26" t="s">
        <v>8740</v>
      </c>
      <c r="B2980" s="26" t="s">
        <v>8672</v>
      </c>
      <c r="C2980" s="26" t="s">
        <v>8739</v>
      </c>
      <c r="D2980" s="26" t="s">
        <v>6489</v>
      </c>
      <c r="E2980" s="26">
        <v>0</v>
      </c>
    </row>
    <row r="2981" spans="1:5">
      <c r="A2981" s="26" t="s">
        <v>8740</v>
      </c>
      <c r="B2981" s="26" t="s">
        <v>8673</v>
      </c>
      <c r="C2981" s="26" t="s">
        <v>8674</v>
      </c>
      <c r="D2981" s="26" t="s">
        <v>6489</v>
      </c>
      <c r="E2981" s="26">
        <v>0</v>
      </c>
    </row>
    <row r="2982" spans="1:5">
      <c r="A2982" s="26" t="s">
        <v>8740</v>
      </c>
      <c r="B2982" s="26" t="s">
        <v>967</v>
      </c>
      <c r="C2982" s="26" t="s">
        <v>42</v>
      </c>
      <c r="D2982" s="26" t="s">
        <v>6396</v>
      </c>
      <c r="E2982" s="26">
        <v>0</v>
      </c>
    </row>
    <row r="2983" spans="1:5">
      <c r="A2983" s="26" t="s">
        <v>8740</v>
      </c>
      <c r="B2983" s="26" t="s">
        <v>7073</v>
      </c>
      <c r="C2983" s="26" t="s">
        <v>1240</v>
      </c>
      <c r="D2983" s="26" t="s">
        <v>6396</v>
      </c>
      <c r="E2983" s="26">
        <v>0</v>
      </c>
    </row>
    <row r="2984" spans="1:5">
      <c r="A2984" s="26" t="s">
        <v>8740</v>
      </c>
      <c r="B2984" s="26" t="s">
        <v>8675</v>
      </c>
      <c r="C2984" s="26" t="s">
        <v>1274</v>
      </c>
      <c r="D2984" s="26" t="s">
        <v>6396</v>
      </c>
      <c r="E2984" s="26">
        <v>0</v>
      </c>
    </row>
    <row r="2985" spans="1:5">
      <c r="A2985" s="26" t="s">
        <v>8740</v>
      </c>
      <c r="B2985" s="26" t="s">
        <v>8676</v>
      </c>
      <c r="C2985" s="26" t="s">
        <v>3235</v>
      </c>
      <c r="D2985" s="26" t="s">
        <v>6396</v>
      </c>
      <c r="E2985" s="26">
        <v>0</v>
      </c>
    </row>
    <row r="2986" spans="1:5">
      <c r="A2986" s="26" t="s">
        <v>8740</v>
      </c>
      <c r="B2986" s="26" t="s">
        <v>8677</v>
      </c>
      <c r="C2986" s="26" t="s">
        <v>484</v>
      </c>
      <c r="D2986" s="26" t="s">
        <v>6396</v>
      </c>
      <c r="E2986" s="26">
        <v>0</v>
      </c>
    </row>
    <row r="2987" spans="1:5">
      <c r="A2987" s="26" t="s">
        <v>8740</v>
      </c>
      <c r="B2987" s="26" t="s">
        <v>8678</v>
      </c>
      <c r="C2987" s="26" t="s">
        <v>6969</v>
      </c>
      <c r="D2987" s="26" t="s">
        <v>6396</v>
      </c>
      <c r="E2987" s="26">
        <v>0</v>
      </c>
    </row>
    <row r="2988" spans="1:5">
      <c r="A2988" s="26" t="s">
        <v>8740</v>
      </c>
      <c r="B2988" s="26" t="s">
        <v>465</v>
      </c>
      <c r="C2988" s="26" t="s">
        <v>466</v>
      </c>
      <c r="D2988" s="26" t="s">
        <v>6396</v>
      </c>
      <c r="E2988" s="26" t="s">
        <v>6395</v>
      </c>
    </row>
    <row r="2989" spans="1:5">
      <c r="A2989" s="26" t="s">
        <v>8740</v>
      </c>
      <c r="B2989" s="26" t="s">
        <v>2912</v>
      </c>
      <c r="C2989" s="26" t="s">
        <v>935</v>
      </c>
      <c r="D2989" s="26" t="s">
        <v>6396</v>
      </c>
      <c r="E2989" s="26">
        <v>0</v>
      </c>
    </row>
    <row r="2990" spans="1:5">
      <c r="A2990" s="26" t="s">
        <v>8740</v>
      </c>
      <c r="B2990" s="26" t="s">
        <v>2352</v>
      </c>
      <c r="C2990" s="26" t="s">
        <v>8679</v>
      </c>
      <c r="D2990" s="26" t="s">
        <v>6396</v>
      </c>
      <c r="E2990" s="26">
        <v>0</v>
      </c>
    </row>
    <row r="2991" spans="1:5">
      <c r="A2991" s="26" t="s">
        <v>8740</v>
      </c>
      <c r="B2991" s="26" t="s">
        <v>1259</v>
      </c>
      <c r="C2991" s="26" t="s">
        <v>6458</v>
      </c>
      <c r="D2991" s="26" t="s">
        <v>6396</v>
      </c>
      <c r="E2991" s="26">
        <v>0</v>
      </c>
    </row>
    <row r="2992" spans="1:5">
      <c r="A2992" s="26" t="s">
        <v>8740</v>
      </c>
      <c r="B2992" s="26" t="s">
        <v>1229</v>
      </c>
      <c r="C2992" s="26" t="s">
        <v>1230</v>
      </c>
      <c r="D2992" s="26" t="s">
        <v>6396</v>
      </c>
      <c r="E2992" s="26">
        <v>0</v>
      </c>
    </row>
    <row r="2993" spans="1:6">
      <c r="A2993" s="26" t="s">
        <v>8740</v>
      </c>
      <c r="B2993" s="26" t="s">
        <v>8680</v>
      </c>
      <c r="C2993" s="26" t="s">
        <v>8681</v>
      </c>
      <c r="D2993" s="26" t="s">
        <v>6396</v>
      </c>
      <c r="E2993" s="26">
        <v>0</v>
      </c>
    </row>
    <row r="2994" spans="1:6">
      <c r="A2994" s="26" t="s">
        <v>8740</v>
      </c>
      <c r="B2994" s="26" t="s">
        <v>8682</v>
      </c>
      <c r="C2994" s="26" t="s">
        <v>6524</v>
      </c>
      <c r="D2994" s="26" t="s">
        <v>6396</v>
      </c>
      <c r="E2994" s="26">
        <v>0</v>
      </c>
    </row>
    <row r="2995" spans="1:6">
      <c r="A2995" s="26" t="s">
        <v>8740</v>
      </c>
      <c r="B2995" s="26" t="s">
        <v>30</v>
      </c>
      <c r="C2995" s="26" t="s">
        <v>15</v>
      </c>
      <c r="D2995" s="26" t="s">
        <v>6396</v>
      </c>
      <c r="E2995" s="26">
        <v>0</v>
      </c>
    </row>
    <row r="2996" spans="1:6">
      <c r="A2996" s="26" t="s">
        <v>8740</v>
      </c>
      <c r="B2996" s="26" t="s">
        <v>1293</v>
      </c>
      <c r="C2996" s="26" t="s">
        <v>360</v>
      </c>
      <c r="D2996" s="26" t="s">
        <v>6396</v>
      </c>
      <c r="E2996" s="26">
        <v>0</v>
      </c>
    </row>
    <row r="2997" spans="1:6">
      <c r="A2997" s="26" t="s">
        <v>8740</v>
      </c>
      <c r="B2997" s="26" t="s">
        <v>55</v>
      </c>
      <c r="D2997" s="26" t="s">
        <v>6396</v>
      </c>
      <c r="E2997" s="26">
        <v>0</v>
      </c>
    </row>
    <row r="2998" spans="1:6">
      <c r="A2998" s="26" t="s">
        <v>8740</v>
      </c>
      <c r="B2998" s="26" t="s">
        <v>1563</v>
      </c>
      <c r="C2998" s="26" t="s">
        <v>941</v>
      </c>
      <c r="D2998" s="26" t="s">
        <v>6396</v>
      </c>
      <c r="E2998" s="26">
        <v>0</v>
      </c>
      <c r="F2998" s="26" t="s">
        <v>8603</v>
      </c>
    </row>
    <row r="2999" spans="1:6">
      <c r="A2999" s="26" t="s">
        <v>8740</v>
      </c>
      <c r="B2999" s="26" t="s">
        <v>8683</v>
      </c>
      <c r="C2999" s="26" t="s">
        <v>188</v>
      </c>
      <c r="D2999" s="26" t="s">
        <v>6396</v>
      </c>
      <c r="E2999" s="26">
        <v>0</v>
      </c>
    </row>
    <row r="3000" spans="1:6">
      <c r="A3000" s="26" t="s">
        <v>8740</v>
      </c>
      <c r="B3000" s="26" t="s">
        <v>6504</v>
      </c>
      <c r="C3000" s="26" t="s">
        <v>188</v>
      </c>
      <c r="D3000" s="26" t="s">
        <v>6396</v>
      </c>
      <c r="E3000" s="26">
        <v>0</v>
      </c>
    </row>
    <row r="3001" spans="1:6">
      <c r="A3001" s="26" t="s">
        <v>8740</v>
      </c>
      <c r="B3001" s="26" t="s">
        <v>7815</v>
      </c>
      <c r="C3001" s="26" t="s">
        <v>3262</v>
      </c>
      <c r="D3001" s="26" t="s">
        <v>6396</v>
      </c>
      <c r="E3001" s="26">
        <v>0</v>
      </c>
    </row>
    <row r="3002" spans="1:6">
      <c r="A3002" s="26" t="s">
        <v>8740</v>
      </c>
      <c r="B3002" s="26" t="s">
        <v>8684</v>
      </c>
      <c r="C3002" s="26" t="s">
        <v>6473</v>
      </c>
      <c r="D3002" s="26" t="s">
        <v>6396</v>
      </c>
      <c r="E3002" s="26">
        <v>0</v>
      </c>
    </row>
    <row r="3003" spans="1:6">
      <c r="A3003" s="26" t="s">
        <v>8740</v>
      </c>
      <c r="B3003" s="26" t="s">
        <v>8685</v>
      </c>
      <c r="C3003" s="26" t="s">
        <v>466</v>
      </c>
      <c r="D3003" s="26" t="s">
        <v>6396</v>
      </c>
      <c r="E3003" s="26">
        <v>0</v>
      </c>
    </row>
    <row r="3004" spans="1:6">
      <c r="A3004" s="26" t="s">
        <v>8740</v>
      </c>
      <c r="B3004" s="26" t="s">
        <v>6653</v>
      </c>
      <c r="C3004" s="26" t="s">
        <v>7419</v>
      </c>
      <c r="D3004" s="26" t="s">
        <v>6396</v>
      </c>
      <c r="E3004" s="26">
        <v>0</v>
      </c>
    </row>
    <row r="3005" spans="1:6">
      <c r="A3005" s="26" t="s">
        <v>8740</v>
      </c>
      <c r="B3005" s="26" t="s">
        <v>8686</v>
      </c>
      <c r="C3005" s="26" t="s">
        <v>6623</v>
      </c>
      <c r="D3005" s="26" t="s">
        <v>6396</v>
      </c>
      <c r="E3005" s="26">
        <v>0</v>
      </c>
    </row>
    <row r="3006" spans="1:6">
      <c r="A3006" s="26" t="s">
        <v>8740</v>
      </c>
      <c r="B3006" s="26" t="s">
        <v>568</v>
      </c>
      <c r="C3006" s="26" t="s">
        <v>865</v>
      </c>
      <c r="D3006" s="26" t="s">
        <v>6396</v>
      </c>
      <c r="E3006" s="26" t="s">
        <v>6395</v>
      </c>
    </row>
    <row r="3007" spans="1:6">
      <c r="A3007" s="26" t="s">
        <v>8740</v>
      </c>
      <c r="B3007" s="26" t="s">
        <v>8687</v>
      </c>
      <c r="C3007" s="26" t="s">
        <v>188</v>
      </c>
      <c r="D3007" s="26" t="s">
        <v>6396</v>
      </c>
      <c r="E3007" s="26">
        <v>0</v>
      </c>
    </row>
    <row r="3008" spans="1:6">
      <c r="A3008" s="26" t="s">
        <v>8740</v>
      </c>
      <c r="B3008" s="26" t="s">
        <v>8688</v>
      </c>
      <c r="C3008" s="26" t="s">
        <v>188</v>
      </c>
      <c r="D3008" s="26" t="s">
        <v>6396</v>
      </c>
      <c r="E3008" s="26">
        <v>0</v>
      </c>
    </row>
    <row r="3009" spans="1:6">
      <c r="A3009" s="26" t="s">
        <v>8740</v>
      </c>
      <c r="B3009" s="26" t="s">
        <v>477</v>
      </c>
      <c r="C3009" s="26" t="s">
        <v>478</v>
      </c>
      <c r="D3009" s="26" t="s">
        <v>6396</v>
      </c>
      <c r="E3009" s="26">
        <v>0</v>
      </c>
    </row>
    <row r="3010" spans="1:6">
      <c r="A3010" s="26" t="s">
        <v>8740</v>
      </c>
      <c r="B3010" s="26" t="s">
        <v>8689</v>
      </c>
      <c r="C3010" s="26" t="s">
        <v>221</v>
      </c>
      <c r="D3010" s="26" t="s">
        <v>6396</v>
      </c>
      <c r="E3010" s="26">
        <v>0</v>
      </c>
    </row>
    <row r="3011" spans="1:6">
      <c r="A3011" s="26" t="s">
        <v>8740</v>
      </c>
      <c r="B3011" s="26" t="s">
        <v>8690</v>
      </c>
      <c r="C3011" s="26" t="s">
        <v>8691</v>
      </c>
      <c r="D3011" s="26" t="s">
        <v>6396</v>
      </c>
      <c r="E3011" s="26">
        <v>0</v>
      </c>
    </row>
    <row r="3012" spans="1:6">
      <c r="A3012" s="26" t="s">
        <v>8740</v>
      </c>
      <c r="B3012" s="26" t="s">
        <v>8692</v>
      </c>
      <c r="C3012" s="26" t="s">
        <v>188</v>
      </c>
      <c r="D3012" s="26" t="s">
        <v>6396</v>
      </c>
      <c r="E3012" s="26">
        <v>0</v>
      </c>
    </row>
    <row r="3013" spans="1:6">
      <c r="A3013" s="26" t="s">
        <v>8740</v>
      </c>
      <c r="B3013" s="26" t="s">
        <v>620</v>
      </c>
      <c r="C3013" s="26" t="s">
        <v>621</v>
      </c>
      <c r="D3013" s="26" t="s">
        <v>6396</v>
      </c>
      <c r="E3013" s="26">
        <v>0</v>
      </c>
    </row>
    <row r="3014" spans="1:6">
      <c r="A3014" s="26" t="s">
        <v>8740</v>
      </c>
      <c r="B3014" s="26" t="s">
        <v>250</v>
      </c>
      <c r="C3014" s="26" t="s">
        <v>42</v>
      </c>
      <c r="D3014" s="26" t="s">
        <v>6396</v>
      </c>
      <c r="E3014" s="26">
        <v>0</v>
      </c>
    </row>
    <row r="3015" spans="1:6">
      <c r="A3015" s="26" t="s">
        <v>8740</v>
      </c>
      <c r="B3015" s="26" t="s">
        <v>7740</v>
      </c>
      <c r="C3015" s="26" t="s">
        <v>7558</v>
      </c>
      <c r="D3015" s="26" t="s">
        <v>6396</v>
      </c>
      <c r="E3015" s="26">
        <v>0</v>
      </c>
    </row>
    <row r="3016" spans="1:6">
      <c r="A3016" s="26" t="s">
        <v>8740</v>
      </c>
      <c r="B3016" s="26" t="s">
        <v>1478</v>
      </c>
      <c r="C3016" s="26" t="s">
        <v>21</v>
      </c>
      <c r="D3016" s="26" t="s">
        <v>6396</v>
      </c>
      <c r="E3016" s="26">
        <v>0</v>
      </c>
    </row>
    <row r="3017" spans="1:6">
      <c r="A3017" s="26" t="s">
        <v>8740</v>
      </c>
      <c r="B3017" s="26" t="s">
        <v>8693</v>
      </c>
      <c r="C3017" s="26" t="s">
        <v>7830</v>
      </c>
      <c r="D3017" s="26" t="s">
        <v>6396</v>
      </c>
      <c r="E3017" s="26">
        <v>0</v>
      </c>
    </row>
    <row r="3018" spans="1:6">
      <c r="A3018" s="26" t="s">
        <v>8740</v>
      </c>
      <c r="B3018" s="26" t="s">
        <v>208</v>
      </c>
      <c r="C3018" s="26" t="s">
        <v>209</v>
      </c>
      <c r="D3018" s="26" t="s">
        <v>6396</v>
      </c>
      <c r="E3018" s="26">
        <v>0</v>
      </c>
    </row>
    <row r="3019" spans="1:6">
      <c r="A3019" s="26" t="s">
        <v>8740</v>
      </c>
      <c r="B3019" s="26" t="s">
        <v>8694</v>
      </c>
      <c r="C3019" s="26" t="s">
        <v>1366</v>
      </c>
      <c r="D3019" s="26" t="s">
        <v>6396</v>
      </c>
      <c r="E3019" s="26">
        <v>0</v>
      </c>
    </row>
    <row r="3020" spans="1:6">
      <c r="A3020" s="26" t="s">
        <v>8740</v>
      </c>
      <c r="B3020" s="26" t="s">
        <v>8695</v>
      </c>
      <c r="C3020" s="26" t="s">
        <v>1466</v>
      </c>
      <c r="D3020" s="26" t="s">
        <v>6396</v>
      </c>
      <c r="E3020" s="26">
        <v>0</v>
      </c>
    </row>
    <row r="3021" spans="1:6">
      <c r="A3021" s="26" t="s">
        <v>8740</v>
      </c>
      <c r="B3021" s="26" t="s">
        <v>8696</v>
      </c>
      <c r="C3021" s="26" t="s">
        <v>6796</v>
      </c>
      <c r="D3021" s="26" t="s">
        <v>6396</v>
      </c>
      <c r="E3021" s="26">
        <v>0</v>
      </c>
    </row>
    <row r="3022" spans="1:6">
      <c r="A3022" s="26" t="s">
        <v>8740</v>
      </c>
      <c r="B3022" s="26" t="s">
        <v>6794</v>
      </c>
      <c r="C3022" s="26" t="s">
        <v>6793</v>
      </c>
      <c r="D3022" s="26" t="s">
        <v>6396</v>
      </c>
      <c r="E3022" s="26">
        <v>0</v>
      </c>
    </row>
    <row r="3023" spans="1:6">
      <c r="A3023" s="26" t="s">
        <v>8740</v>
      </c>
      <c r="B3023" s="26" t="s">
        <v>8697</v>
      </c>
      <c r="C3023" s="26" t="s">
        <v>188</v>
      </c>
      <c r="D3023" s="26" t="s">
        <v>6396</v>
      </c>
      <c r="E3023" s="26">
        <v>0</v>
      </c>
    </row>
    <row r="3024" spans="1:6">
      <c r="A3024" s="26" t="s">
        <v>8740</v>
      </c>
      <c r="B3024" s="26" t="s">
        <v>167</v>
      </c>
      <c r="C3024" s="26" t="s">
        <v>941</v>
      </c>
      <c r="D3024" s="26" t="s">
        <v>6396</v>
      </c>
      <c r="E3024" s="26" t="s">
        <v>8848</v>
      </c>
      <c r="F3024" s="26" t="s">
        <v>8557</v>
      </c>
    </row>
    <row r="3025" spans="1:6">
      <c r="A3025" s="26" t="s">
        <v>8740</v>
      </c>
      <c r="B3025" s="26" t="s">
        <v>337</v>
      </c>
      <c r="C3025" s="26" t="s">
        <v>333</v>
      </c>
      <c r="D3025" s="26" t="s">
        <v>6396</v>
      </c>
      <c r="E3025" s="26">
        <v>0</v>
      </c>
      <c r="F3025" s="26" t="s">
        <v>8603</v>
      </c>
    </row>
    <row r="3026" spans="1:6">
      <c r="A3026" s="26" t="s">
        <v>8740</v>
      </c>
      <c r="B3026" s="26" t="s">
        <v>8698</v>
      </c>
      <c r="C3026" s="26" t="s">
        <v>941</v>
      </c>
      <c r="D3026" s="26" t="s">
        <v>6396</v>
      </c>
      <c r="E3026" s="26">
        <v>0</v>
      </c>
      <c r="F3026" s="26" t="s">
        <v>8557</v>
      </c>
    </row>
    <row r="3027" spans="1:6">
      <c r="A3027" s="26" t="s">
        <v>8740</v>
      </c>
      <c r="B3027" s="26" t="s">
        <v>332</v>
      </c>
      <c r="C3027" s="26" t="s">
        <v>333</v>
      </c>
      <c r="D3027" s="26" t="s">
        <v>6396</v>
      </c>
      <c r="E3027" s="26">
        <v>0</v>
      </c>
      <c r="F3027" s="26" t="s">
        <v>8603</v>
      </c>
    </row>
    <row r="3028" spans="1:6">
      <c r="A3028" s="26" t="s">
        <v>8740</v>
      </c>
      <c r="B3028" s="26" t="s">
        <v>579</v>
      </c>
      <c r="C3028" s="26" t="s">
        <v>580</v>
      </c>
      <c r="D3028" s="26" t="s">
        <v>6396</v>
      </c>
      <c r="E3028" s="26">
        <v>0</v>
      </c>
    </row>
    <row r="3029" spans="1:6">
      <c r="A3029" s="26" t="s">
        <v>8740</v>
      </c>
      <c r="B3029" s="26" t="s">
        <v>8699</v>
      </c>
      <c r="C3029" s="26" t="s">
        <v>188</v>
      </c>
      <c r="D3029" s="26" t="s">
        <v>6396</v>
      </c>
      <c r="E3029" s="26">
        <v>0</v>
      </c>
    </row>
    <row r="3030" spans="1:6">
      <c r="A3030" s="26" t="s">
        <v>8740</v>
      </c>
      <c r="B3030" s="26" t="s">
        <v>7922</v>
      </c>
      <c r="C3030" s="26" t="s">
        <v>7689</v>
      </c>
      <c r="D3030" s="26" t="s">
        <v>6396</v>
      </c>
      <c r="E3030" s="26">
        <v>0</v>
      </c>
    </row>
    <row r="3031" spans="1:6">
      <c r="A3031" s="26" t="s">
        <v>8740</v>
      </c>
      <c r="B3031" s="26" t="s">
        <v>8700</v>
      </c>
      <c r="C3031" s="26" t="s">
        <v>188</v>
      </c>
      <c r="D3031" s="26" t="s">
        <v>6396</v>
      </c>
      <c r="E3031" s="26">
        <v>0</v>
      </c>
    </row>
    <row r="3032" spans="1:6">
      <c r="A3032" s="26" t="s">
        <v>8740</v>
      </c>
      <c r="B3032" s="26" t="s">
        <v>7724</v>
      </c>
      <c r="C3032" s="26" t="s">
        <v>188</v>
      </c>
      <c r="D3032" s="26" t="s">
        <v>6396</v>
      </c>
      <c r="E3032" s="26">
        <v>0</v>
      </c>
    </row>
    <row r="3033" spans="1:6">
      <c r="A3033" s="26" t="s">
        <v>8740</v>
      </c>
      <c r="B3033" s="26" t="s">
        <v>8701</v>
      </c>
      <c r="C3033" s="26" t="s">
        <v>188</v>
      </c>
      <c r="D3033" s="26" t="s">
        <v>6396</v>
      </c>
      <c r="E3033" s="26">
        <v>0</v>
      </c>
    </row>
    <row r="3034" spans="1:6">
      <c r="A3034" s="26" t="s">
        <v>8740</v>
      </c>
      <c r="B3034" s="26" t="s">
        <v>6413</v>
      </c>
      <c r="C3034" s="26" t="s">
        <v>188</v>
      </c>
      <c r="D3034" s="26" t="s">
        <v>6396</v>
      </c>
      <c r="E3034" s="26">
        <v>0</v>
      </c>
    </row>
    <row r="3035" spans="1:6">
      <c r="A3035" s="26" t="s">
        <v>8740</v>
      </c>
      <c r="B3035" s="26" t="s">
        <v>1024</v>
      </c>
      <c r="C3035" s="26" t="s">
        <v>154</v>
      </c>
      <c r="D3035" s="26" t="s">
        <v>6396</v>
      </c>
      <c r="E3035" s="26">
        <v>0</v>
      </c>
    </row>
    <row r="3036" spans="1:6">
      <c r="A3036" s="26" t="s">
        <v>8740</v>
      </c>
      <c r="B3036" s="26" t="s">
        <v>1901</v>
      </c>
      <c r="C3036" s="26" t="s">
        <v>498</v>
      </c>
      <c r="D3036" s="26" t="s">
        <v>6396</v>
      </c>
      <c r="E3036" s="26">
        <v>0</v>
      </c>
    </row>
    <row r="3037" spans="1:6">
      <c r="A3037" s="26" t="s">
        <v>8740</v>
      </c>
      <c r="B3037" s="26" t="s">
        <v>8702</v>
      </c>
      <c r="C3037" s="26" t="s">
        <v>188</v>
      </c>
      <c r="D3037" s="26" t="s">
        <v>6396</v>
      </c>
      <c r="E3037" s="26">
        <v>0</v>
      </c>
    </row>
    <row r="3038" spans="1:6">
      <c r="A3038" s="26" t="s">
        <v>8740</v>
      </c>
      <c r="B3038" s="26" t="s">
        <v>2732</v>
      </c>
      <c r="C3038" s="26" t="s">
        <v>188</v>
      </c>
      <c r="D3038" s="26" t="s">
        <v>6396</v>
      </c>
      <c r="E3038" s="26">
        <v>0</v>
      </c>
    </row>
    <row r="3039" spans="1:6">
      <c r="A3039" s="26" t="s">
        <v>8740</v>
      </c>
      <c r="B3039" s="26" t="s">
        <v>7764</v>
      </c>
      <c r="C3039" s="26" t="s">
        <v>8410</v>
      </c>
      <c r="D3039" s="26" t="s">
        <v>6396</v>
      </c>
      <c r="E3039" s="26">
        <v>0</v>
      </c>
    </row>
    <row r="3040" spans="1:6">
      <c r="A3040" s="26" t="s">
        <v>8740</v>
      </c>
      <c r="B3040" s="26" t="s">
        <v>975</v>
      </c>
      <c r="C3040" s="26" t="s">
        <v>976</v>
      </c>
      <c r="D3040" s="26" t="s">
        <v>6396</v>
      </c>
      <c r="E3040" s="26">
        <v>0</v>
      </c>
    </row>
    <row r="3041" spans="1:6">
      <c r="A3041" s="26" t="s">
        <v>8740</v>
      </c>
      <c r="B3041" s="26" t="s">
        <v>237</v>
      </c>
      <c r="C3041" s="26" t="s">
        <v>238</v>
      </c>
      <c r="D3041" s="26" t="s">
        <v>6396</v>
      </c>
      <c r="E3041" s="26">
        <v>0</v>
      </c>
    </row>
    <row r="3042" spans="1:6">
      <c r="A3042" s="26" t="s">
        <v>8740</v>
      </c>
      <c r="B3042" s="26" t="s">
        <v>1441</v>
      </c>
      <c r="C3042" s="26" t="s">
        <v>509</v>
      </c>
      <c r="D3042" s="26" t="s">
        <v>6396</v>
      </c>
      <c r="E3042" s="26" t="s">
        <v>6395</v>
      </c>
    </row>
    <row r="3043" spans="1:6">
      <c r="A3043" s="26" t="s">
        <v>8740</v>
      </c>
      <c r="B3043" s="26" t="s">
        <v>8477</v>
      </c>
      <c r="C3043" s="26" t="s">
        <v>8478</v>
      </c>
      <c r="D3043" s="26" t="s">
        <v>6396</v>
      </c>
      <c r="E3043" s="26">
        <v>0</v>
      </c>
    </row>
    <row r="3044" spans="1:6">
      <c r="A3044" s="26" t="s">
        <v>8740</v>
      </c>
      <c r="B3044" s="26" t="s">
        <v>8703</v>
      </c>
      <c r="D3044" s="26" t="s">
        <v>6489</v>
      </c>
      <c r="E3044" s="26">
        <v>0</v>
      </c>
    </row>
    <row r="3045" spans="1:6">
      <c r="A3045" s="26" t="s">
        <v>8740</v>
      </c>
      <c r="B3045" s="26" t="s">
        <v>6754</v>
      </c>
      <c r="C3045" s="26" t="s">
        <v>6596</v>
      </c>
      <c r="D3045" s="26" t="s">
        <v>6396</v>
      </c>
      <c r="E3045" s="26">
        <v>0</v>
      </c>
    </row>
    <row r="3046" spans="1:6">
      <c r="A3046" s="26" t="s">
        <v>8740</v>
      </c>
      <c r="B3046" s="26" t="s">
        <v>6750</v>
      </c>
      <c r="C3046" s="26" t="s">
        <v>227</v>
      </c>
      <c r="D3046" s="26" t="s">
        <v>6396</v>
      </c>
      <c r="E3046" s="26">
        <v>0</v>
      </c>
    </row>
    <row r="3047" spans="1:6">
      <c r="A3047" s="26" t="s">
        <v>8740</v>
      </c>
      <c r="B3047" s="26" t="s">
        <v>8704</v>
      </c>
      <c r="C3047" s="26" t="s">
        <v>7033</v>
      </c>
      <c r="D3047" s="26" t="s">
        <v>6396</v>
      </c>
      <c r="E3047" s="26">
        <v>0</v>
      </c>
    </row>
    <row r="3048" spans="1:6">
      <c r="A3048" s="26" t="s">
        <v>8740</v>
      </c>
      <c r="B3048" s="26" t="s">
        <v>1388</v>
      </c>
      <c r="C3048" s="26" t="s">
        <v>8705</v>
      </c>
      <c r="D3048" s="26" t="s">
        <v>6396</v>
      </c>
      <c r="E3048" s="26">
        <v>0</v>
      </c>
    </row>
    <row r="3049" spans="1:6">
      <c r="A3049" s="26" t="s">
        <v>8740</v>
      </c>
      <c r="B3049" s="26" t="s">
        <v>909</v>
      </c>
      <c r="C3049" s="26" t="s">
        <v>910</v>
      </c>
      <c r="D3049" s="26" t="s">
        <v>6396</v>
      </c>
      <c r="E3049" s="26">
        <v>0</v>
      </c>
    </row>
    <row r="3050" spans="1:6">
      <c r="A3050" s="26" t="s">
        <v>8740</v>
      </c>
      <c r="B3050" s="26" t="s">
        <v>7822</v>
      </c>
      <c r="C3050" s="26" t="s">
        <v>1351</v>
      </c>
      <c r="D3050" s="26" t="s">
        <v>6396</v>
      </c>
      <c r="E3050" s="26">
        <v>0</v>
      </c>
    </row>
    <row r="3051" spans="1:6">
      <c r="A3051" s="26" t="s">
        <v>8740</v>
      </c>
      <c r="B3051" s="26" t="s">
        <v>8706</v>
      </c>
      <c r="C3051" s="26" t="s">
        <v>7078</v>
      </c>
      <c r="D3051" s="26" t="s">
        <v>6396</v>
      </c>
      <c r="E3051" s="26">
        <v>0</v>
      </c>
    </row>
    <row r="3052" spans="1:6">
      <c r="A3052" s="26" t="s">
        <v>8740</v>
      </c>
      <c r="B3052" s="26" t="s">
        <v>8707</v>
      </c>
      <c r="C3052" s="26" t="s">
        <v>154</v>
      </c>
      <c r="D3052" s="26" t="s">
        <v>6396</v>
      </c>
      <c r="E3052" s="26">
        <v>0</v>
      </c>
    </row>
    <row r="3053" spans="1:6">
      <c r="A3053" s="26" t="s">
        <v>8740</v>
      </c>
      <c r="B3053" s="26" t="s">
        <v>8708</v>
      </c>
      <c r="C3053" s="26" t="s">
        <v>8709</v>
      </c>
      <c r="D3053" s="26" t="s">
        <v>6396</v>
      </c>
      <c r="E3053" s="26">
        <v>0</v>
      </c>
    </row>
    <row r="3054" spans="1:6">
      <c r="A3054" s="26" t="s">
        <v>8740</v>
      </c>
      <c r="B3054" s="26" t="s">
        <v>8710</v>
      </c>
      <c r="C3054" s="26" t="s">
        <v>8567</v>
      </c>
      <c r="D3054" s="26" t="s">
        <v>6396</v>
      </c>
      <c r="E3054" s="26">
        <v>0</v>
      </c>
    </row>
    <row r="3055" spans="1:6">
      <c r="A3055" s="26" t="s">
        <v>8740</v>
      </c>
      <c r="B3055" s="26" t="s">
        <v>1918</v>
      </c>
      <c r="C3055" s="26" t="s">
        <v>6410</v>
      </c>
      <c r="D3055" s="26" t="s">
        <v>6396</v>
      </c>
      <c r="E3055" s="26">
        <v>0</v>
      </c>
      <c r="F3055" s="26" t="s">
        <v>8557</v>
      </c>
    </row>
    <row r="3056" spans="1:6">
      <c r="A3056" s="26" t="s">
        <v>8740</v>
      </c>
      <c r="B3056" s="26" t="s">
        <v>8711</v>
      </c>
      <c r="C3056" s="26" t="s">
        <v>8712</v>
      </c>
      <c r="D3056" s="26" t="s">
        <v>6396</v>
      </c>
      <c r="E3056" s="26">
        <v>0</v>
      </c>
    </row>
    <row r="3057" spans="1:5">
      <c r="A3057" s="26" t="s">
        <v>8740</v>
      </c>
      <c r="B3057" s="26" t="s">
        <v>8713</v>
      </c>
      <c r="C3057" s="26" t="s">
        <v>6644</v>
      </c>
      <c r="D3057" s="26" t="s">
        <v>6396</v>
      </c>
      <c r="E3057" s="26">
        <v>0</v>
      </c>
    </row>
    <row r="3058" spans="1:5">
      <c r="A3058" s="26" t="s">
        <v>8740</v>
      </c>
      <c r="B3058" s="26" t="s">
        <v>6670</v>
      </c>
      <c r="D3058" s="26" t="s">
        <v>6396</v>
      </c>
      <c r="E3058" s="26">
        <v>0</v>
      </c>
    </row>
    <row r="3059" spans="1:5">
      <c r="A3059" s="26" t="s">
        <v>8740</v>
      </c>
      <c r="B3059" s="26" t="s">
        <v>8714</v>
      </c>
      <c r="C3059" s="26" t="s">
        <v>6502</v>
      </c>
      <c r="D3059" s="26" t="s">
        <v>6396</v>
      </c>
      <c r="E3059" s="26">
        <v>0</v>
      </c>
    </row>
    <row r="3060" spans="1:5">
      <c r="A3060" s="26" t="s">
        <v>8740</v>
      </c>
      <c r="B3060" s="26" t="s">
        <v>7829</v>
      </c>
      <c r="C3060" s="26" t="s">
        <v>7830</v>
      </c>
      <c r="D3060" s="26" t="s">
        <v>6396</v>
      </c>
      <c r="E3060" s="26">
        <v>0</v>
      </c>
    </row>
    <row r="3061" spans="1:5">
      <c r="A3061" s="26" t="s">
        <v>8740</v>
      </c>
      <c r="B3061" s="26" t="s">
        <v>7012</v>
      </c>
      <c r="C3061" s="26" t="s">
        <v>188</v>
      </c>
      <c r="D3061" s="26" t="s">
        <v>6396</v>
      </c>
      <c r="E3061" s="26">
        <v>0</v>
      </c>
    </row>
    <row r="3062" spans="1:5">
      <c r="A3062" s="26" t="s">
        <v>8740</v>
      </c>
      <c r="B3062" s="26" t="s">
        <v>8715</v>
      </c>
      <c r="C3062" s="26" t="s">
        <v>188</v>
      </c>
      <c r="D3062" s="26" t="s">
        <v>6396</v>
      </c>
      <c r="E3062" s="26">
        <v>0</v>
      </c>
    </row>
    <row r="3063" spans="1:5">
      <c r="A3063" s="26" t="s">
        <v>8740</v>
      </c>
      <c r="B3063" s="26" t="s">
        <v>8716</v>
      </c>
      <c r="C3063" s="26" t="s">
        <v>188</v>
      </c>
      <c r="D3063" s="26" t="s">
        <v>6396</v>
      </c>
      <c r="E3063" s="26">
        <v>0</v>
      </c>
    </row>
    <row r="3064" spans="1:5">
      <c r="A3064" s="26" t="s">
        <v>8740</v>
      </c>
      <c r="B3064" s="26" t="s">
        <v>8717</v>
      </c>
      <c r="C3064" s="26" t="s">
        <v>188</v>
      </c>
      <c r="D3064" s="26" t="s">
        <v>6396</v>
      </c>
      <c r="E3064" s="26">
        <v>0</v>
      </c>
    </row>
    <row r="3065" spans="1:5">
      <c r="A3065" s="26" t="s">
        <v>8740</v>
      </c>
      <c r="B3065" s="26" t="s">
        <v>8718</v>
      </c>
      <c r="C3065" s="26" t="s">
        <v>466</v>
      </c>
      <c r="D3065" s="26" t="s">
        <v>6396</v>
      </c>
      <c r="E3065" s="26">
        <v>0</v>
      </c>
    </row>
    <row r="3066" spans="1:5">
      <c r="A3066" s="26" t="s">
        <v>8740</v>
      </c>
      <c r="B3066" s="26" t="s">
        <v>8719</v>
      </c>
      <c r="C3066" s="26" t="s">
        <v>188</v>
      </c>
      <c r="D3066" s="26" t="s">
        <v>6396</v>
      </c>
      <c r="E3066" s="26">
        <v>0</v>
      </c>
    </row>
    <row r="3067" spans="1:5">
      <c r="A3067" s="26" t="s">
        <v>8740</v>
      </c>
      <c r="B3067" s="26" t="s">
        <v>8720</v>
      </c>
      <c r="C3067" s="26" t="s">
        <v>188</v>
      </c>
      <c r="D3067" s="26" t="s">
        <v>6396</v>
      </c>
      <c r="E3067" s="26">
        <v>0</v>
      </c>
    </row>
    <row r="3068" spans="1:5">
      <c r="A3068" s="26" t="s">
        <v>8740</v>
      </c>
      <c r="B3068" s="26" t="s">
        <v>7027</v>
      </c>
      <c r="C3068" s="26" t="s">
        <v>227</v>
      </c>
      <c r="D3068" s="26" t="s">
        <v>6396</v>
      </c>
      <c r="E3068" s="26">
        <v>0</v>
      </c>
    </row>
    <row r="3069" spans="1:5">
      <c r="A3069" s="26" t="s">
        <v>8740</v>
      </c>
      <c r="B3069" s="26" t="s">
        <v>8721</v>
      </c>
      <c r="C3069" s="26" t="s">
        <v>188</v>
      </c>
      <c r="D3069" s="26" t="s">
        <v>6396</v>
      </c>
      <c r="E3069" s="26">
        <v>0</v>
      </c>
    </row>
    <row r="3070" spans="1:5">
      <c r="A3070" s="26" t="s">
        <v>8740</v>
      </c>
      <c r="B3070" s="26" t="s">
        <v>8235</v>
      </c>
      <c r="C3070" s="26" t="s">
        <v>509</v>
      </c>
      <c r="D3070" s="26" t="s">
        <v>6396</v>
      </c>
      <c r="E3070" s="26">
        <v>0</v>
      </c>
    </row>
    <row r="3071" spans="1:5">
      <c r="A3071" s="26" t="s">
        <v>8740</v>
      </c>
      <c r="B3071" s="26" t="s">
        <v>7435</v>
      </c>
      <c r="C3071" s="26" t="s">
        <v>6473</v>
      </c>
      <c r="D3071" s="26" t="s">
        <v>6396</v>
      </c>
      <c r="E3071" s="26">
        <v>0</v>
      </c>
    </row>
    <row r="3072" spans="1:5">
      <c r="A3072" s="26" t="s">
        <v>8740</v>
      </c>
      <c r="B3072" s="26" t="s">
        <v>8722</v>
      </c>
      <c r="C3072" s="26" t="s">
        <v>727</v>
      </c>
      <c r="D3072" s="26" t="s">
        <v>6396</v>
      </c>
      <c r="E3072" s="26">
        <v>0</v>
      </c>
    </row>
    <row r="3073" spans="1:5">
      <c r="A3073" s="26" t="s">
        <v>8740</v>
      </c>
      <c r="B3073" s="26" t="s">
        <v>8723</v>
      </c>
      <c r="C3073" s="26" t="s">
        <v>188</v>
      </c>
      <c r="D3073" s="26" t="s">
        <v>6396</v>
      </c>
      <c r="E3073" s="26">
        <v>0</v>
      </c>
    </row>
    <row r="3074" spans="1:5">
      <c r="A3074" s="26" t="s">
        <v>8740</v>
      </c>
      <c r="B3074" s="26" t="s">
        <v>8724</v>
      </c>
      <c r="C3074" s="26" t="s">
        <v>188</v>
      </c>
      <c r="D3074" s="26" t="s">
        <v>6396</v>
      </c>
      <c r="E3074" s="26">
        <v>0</v>
      </c>
    </row>
    <row r="3075" spans="1:5">
      <c r="A3075" s="26" t="s">
        <v>8740</v>
      </c>
      <c r="B3075" s="26" t="s">
        <v>8725</v>
      </c>
      <c r="C3075" s="26" t="s">
        <v>188</v>
      </c>
      <c r="D3075" s="26" t="s">
        <v>6396</v>
      </c>
      <c r="E3075" s="26">
        <v>0</v>
      </c>
    </row>
    <row r="3076" spans="1:5">
      <c r="A3076" s="26" t="s">
        <v>8740</v>
      </c>
      <c r="B3076" s="26" t="s">
        <v>6528</v>
      </c>
      <c r="C3076" s="26" t="s">
        <v>541</v>
      </c>
      <c r="D3076" s="26" t="s">
        <v>6396</v>
      </c>
      <c r="E3076" s="26">
        <v>0</v>
      </c>
    </row>
    <row r="3077" spans="1:5">
      <c r="A3077" s="26" t="s">
        <v>8740</v>
      </c>
      <c r="B3077" s="26" t="s">
        <v>1620</v>
      </c>
      <c r="C3077" s="26" t="s">
        <v>154</v>
      </c>
      <c r="D3077" s="26" t="s">
        <v>6396</v>
      </c>
      <c r="E3077" s="26">
        <v>0</v>
      </c>
    </row>
    <row r="3078" spans="1:5">
      <c r="A3078" s="26" t="s">
        <v>8740</v>
      </c>
      <c r="B3078" s="26" t="s">
        <v>8726</v>
      </c>
      <c r="C3078" s="26" t="s">
        <v>8727</v>
      </c>
      <c r="D3078" s="26" t="s">
        <v>6396</v>
      </c>
      <c r="E3078" s="26">
        <v>0</v>
      </c>
    </row>
    <row r="3079" spans="1:5">
      <c r="A3079" s="26" t="s">
        <v>8740</v>
      </c>
      <c r="B3079" s="26" t="s">
        <v>8728</v>
      </c>
      <c r="C3079" s="26" t="s">
        <v>188</v>
      </c>
      <c r="D3079" s="26" t="s">
        <v>6489</v>
      </c>
      <c r="E3079" s="26">
        <v>0</v>
      </c>
    </row>
    <row r="3080" spans="1:5">
      <c r="A3080" s="26" t="s">
        <v>8740</v>
      </c>
      <c r="B3080" s="26" t="s">
        <v>8729</v>
      </c>
      <c r="C3080" s="26" t="s">
        <v>188</v>
      </c>
      <c r="D3080" s="26" t="s">
        <v>6489</v>
      </c>
      <c r="E3080" s="26">
        <v>0</v>
      </c>
    </row>
    <row r="3081" spans="1:5">
      <c r="A3081" s="26" t="s">
        <v>8740</v>
      </c>
      <c r="B3081" s="26" t="s">
        <v>6449</v>
      </c>
      <c r="C3081" s="26" t="s">
        <v>188</v>
      </c>
      <c r="D3081" s="26" t="s">
        <v>6396</v>
      </c>
      <c r="E3081" s="26">
        <v>0</v>
      </c>
    </row>
    <row r="3082" spans="1:5">
      <c r="A3082" s="26" t="s">
        <v>8740</v>
      </c>
      <c r="B3082" s="26" t="s">
        <v>8730</v>
      </c>
      <c r="C3082" s="26" t="s">
        <v>188</v>
      </c>
      <c r="D3082" s="26" t="s">
        <v>6396</v>
      </c>
      <c r="E3082" s="26">
        <v>0</v>
      </c>
    </row>
    <row r="3083" spans="1:5">
      <c r="A3083" s="26" t="s">
        <v>8740</v>
      </c>
      <c r="B3083" s="26" t="s">
        <v>8731</v>
      </c>
      <c r="C3083" s="26" t="s">
        <v>188</v>
      </c>
      <c r="D3083" s="26" t="s">
        <v>6396</v>
      </c>
      <c r="E3083" s="26">
        <v>0</v>
      </c>
    </row>
    <row r="3084" spans="1:5">
      <c r="A3084" s="26" t="s">
        <v>8740</v>
      </c>
      <c r="B3084" s="26" t="s">
        <v>8732</v>
      </c>
      <c r="C3084" s="26" t="s">
        <v>188</v>
      </c>
      <c r="D3084" s="26" t="s">
        <v>6396</v>
      </c>
      <c r="E3084" s="26">
        <v>0</v>
      </c>
    </row>
    <row r="3085" spans="1:5">
      <c r="A3085" s="26" t="s">
        <v>8740</v>
      </c>
      <c r="B3085" s="26" t="s">
        <v>8733</v>
      </c>
      <c r="C3085" s="26" t="s">
        <v>188</v>
      </c>
      <c r="D3085" s="26" t="s">
        <v>6396</v>
      </c>
      <c r="E3085" s="26">
        <v>0</v>
      </c>
    </row>
    <row r="3086" spans="1:5">
      <c r="A3086" s="26" t="s">
        <v>8740</v>
      </c>
      <c r="B3086" s="26" t="s">
        <v>8734</v>
      </c>
      <c r="C3086" s="26" t="s">
        <v>541</v>
      </c>
      <c r="D3086" s="26" t="s">
        <v>6396</v>
      </c>
      <c r="E3086" s="26">
        <v>0</v>
      </c>
    </row>
    <row r="3087" spans="1:5">
      <c r="A3087" s="26" t="s">
        <v>8740</v>
      </c>
      <c r="B3087" s="26" t="s">
        <v>47</v>
      </c>
      <c r="C3087" s="26" t="s">
        <v>21</v>
      </c>
      <c r="D3087" s="26" t="s">
        <v>6396</v>
      </c>
      <c r="E3087" s="26">
        <v>0</v>
      </c>
    </row>
    <row r="3088" spans="1:5">
      <c r="A3088" s="26" t="s">
        <v>8740</v>
      </c>
      <c r="B3088" s="26" t="s">
        <v>7608</v>
      </c>
      <c r="C3088" s="26" t="s">
        <v>2969</v>
      </c>
      <c r="D3088" s="26" t="s">
        <v>6396</v>
      </c>
      <c r="E3088" s="26">
        <v>0</v>
      </c>
    </row>
    <row r="3089" spans="1:7">
      <c r="A3089" s="26" t="s">
        <v>8740</v>
      </c>
      <c r="B3089" s="26" t="s">
        <v>6920</v>
      </c>
      <c r="C3089" s="26" t="s">
        <v>2208</v>
      </c>
      <c r="D3089" s="26" t="s">
        <v>6396</v>
      </c>
      <c r="E3089" s="26">
        <v>0</v>
      </c>
    </row>
    <row r="3090" spans="1:7">
      <c r="A3090" s="26" t="s">
        <v>8740</v>
      </c>
      <c r="B3090" s="26" t="s">
        <v>6448</v>
      </c>
      <c r="C3090" s="26" t="s">
        <v>847</v>
      </c>
      <c r="D3090" s="26" t="s">
        <v>6396</v>
      </c>
      <c r="E3090" s="26">
        <v>0</v>
      </c>
      <c r="F3090" s="26" t="s">
        <v>8603</v>
      </c>
    </row>
    <row r="3091" spans="1:7">
      <c r="A3091" s="26" t="s">
        <v>8740</v>
      </c>
      <c r="B3091" s="26" t="s">
        <v>8735</v>
      </c>
      <c r="C3091" s="26" t="s">
        <v>8736</v>
      </c>
      <c r="D3091" s="26" t="s">
        <v>6396</v>
      </c>
      <c r="E3091" s="26">
        <v>0</v>
      </c>
    </row>
    <row r="3092" spans="1:7">
      <c r="A3092" s="26" t="s">
        <v>8740</v>
      </c>
      <c r="B3092" s="26" t="s">
        <v>289</v>
      </c>
      <c r="C3092" s="26" t="s">
        <v>154</v>
      </c>
      <c r="D3092" s="26" t="s">
        <v>6396</v>
      </c>
      <c r="E3092" s="26">
        <v>0</v>
      </c>
    </row>
    <row r="3093" spans="1:7">
      <c r="A3093" s="26" t="s">
        <v>8740</v>
      </c>
      <c r="B3093" s="26" t="s">
        <v>918</v>
      </c>
      <c r="C3093" s="26" t="s">
        <v>154</v>
      </c>
      <c r="D3093" s="26" t="s">
        <v>6396</v>
      </c>
      <c r="E3093" s="26">
        <v>0</v>
      </c>
    </row>
    <row r="3094" spans="1:7">
      <c r="A3094" s="26" t="s">
        <v>8740</v>
      </c>
      <c r="B3094" s="26" t="s">
        <v>8737</v>
      </c>
      <c r="C3094" s="26" t="s">
        <v>188</v>
      </c>
      <c r="D3094" s="26" t="s">
        <v>6396</v>
      </c>
      <c r="E3094" s="26">
        <v>0</v>
      </c>
    </row>
    <row r="3095" spans="1:7">
      <c r="A3095" s="26" t="s">
        <v>8740</v>
      </c>
      <c r="B3095" s="26" t="s">
        <v>7023</v>
      </c>
      <c r="C3095" s="26" t="s">
        <v>227</v>
      </c>
      <c r="D3095" s="26" t="s">
        <v>6434</v>
      </c>
      <c r="E3095" s="26">
        <v>0</v>
      </c>
    </row>
    <row r="3096" spans="1:7">
      <c r="A3096" s="26" t="s">
        <v>9426</v>
      </c>
      <c r="B3096" t="s">
        <v>7801</v>
      </c>
      <c r="C3096" t="s">
        <v>7173</v>
      </c>
      <c r="D3096" t="s">
        <v>6396</v>
      </c>
      <c r="E3096" t="s">
        <v>6443</v>
      </c>
      <c r="F3096"/>
      <c r="G3096"/>
    </row>
    <row r="3097" spans="1:7">
      <c r="A3097" s="26" t="s">
        <v>9426</v>
      </c>
      <c r="B3097" t="s">
        <v>8741</v>
      </c>
      <c r="C3097" t="s">
        <v>7173</v>
      </c>
      <c r="D3097" t="s">
        <v>6396</v>
      </c>
      <c r="E3097" t="s">
        <v>6443</v>
      </c>
      <c r="F3097"/>
      <c r="G3097"/>
    </row>
    <row r="3098" spans="1:7">
      <c r="A3098" s="26" t="s">
        <v>9426</v>
      </c>
      <c r="B3098" t="s">
        <v>7552</v>
      </c>
      <c r="C3098" t="s">
        <v>7173</v>
      </c>
      <c r="D3098" t="s">
        <v>6396</v>
      </c>
      <c r="E3098" t="s">
        <v>6443</v>
      </c>
      <c r="F3098"/>
      <c r="G3098"/>
    </row>
    <row r="3099" spans="1:7">
      <c r="A3099" s="26" t="s">
        <v>9426</v>
      </c>
      <c r="B3099" t="s">
        <v>8742</v>
      </c>
      <c r="C3099" t="s">
        <v>7173</v>
      </c>
      <c r="D3099" t="s">
        <v>6396</v>
      </c>
      <c r="E3099" t="s">
        <v>6443</v>
      </c>
      <c r="F3099"/>
      <c r="G3099"/>
    </row>
    <row r="3100" spans="1:7">
      <c r="A3100" s="26" t="s">
        <v>9426</v>
      </c>
      <c r="B3100" t="s">
        <v>8367</v>
      </c>
      <c r="C3100" t="s">
        <v>7173</v>
      </c>
      <c r="D3100" t="s">
        <v>6396</v>
      </c>
      <c r="E3100" t="s">
        <v>8749</v>
      </c>
      <c r="F3100"/>
      <c r="G3100"/>
    </row>
    <row r="3101" spans="1:7">
      <c r="A3101" s="26" t="s">
        <v>9426</v>
      </c>
      <c r="B3101" t="s">
        <v>7175</v>
      </c>
      <c r="C3101" t="s">
        <v>7173</v>
      </c>
      <c r="D3101" t="s">
        <v>6396</v>
      </c>
      <c r="E3101">
        <v>0</v>
      </c>
      <c r="F3101"/>
      <c r="G3101"/>
    </row>
    <row r="3102" spans="1:7">
      <c r="A3102" s="26" t="s">
        <v>9426</v>
      </c>
      <c r="B3102" t="s">
        <v>8743</v>
      </c>
      <c r="C3102" t="s">
        <v>7173</v>
      </c>
      <c r="D3102" t="s">
        <v>6396</v>
      </c>
      <c r="E3102">
        <v>0</v>
      </c>
      <c r="F3102"/>
      <c r="G3102"/>
    </row>
    <row r="3103" spans="1:7">
      <c r="A3103" s="26" t="s">
        <v>9426</v>
      </c>
      <c r="B3103" t="s">
        <v>8744</v>
      </c>
      <c r="C3103" t="s">
        <v>7173</v>
      </c>
      <c r="D3103" t="s">
        <v>6396</v>
      </c>
      <c r="E3103" t="s">
        <v>6443</v>
      </c>
      <c r="F3103"/>
      <c r="G3103"/>
    </row>
    <row r="3104" spans="1:7">
      <c r="A3104" s="26" t="s">
        <v>9426</v>
      </c>
      <c r="B3104" t="s">
        <v>8497</v>
      </c>
      <c r="C3104" t="s">
        <v>7173</v>
      </c>
      <c r="D3104" t="s">
        <v>6396</v>
      </c>
      <c r="E3104" t="s">
        <v>6443</v>
      </c>
      <c r="F3104"/>
      <c r="G3104"/>
    </row>
    <row r="3105" spans="1:7">
      <c r="A3105" s="26" t="s">
        <v>9426</v>
      </c>
      <c r="B3105" t="s">
        <v>8745</v>
      </c>
      <c r="C3105" t="s">
        <v>7173</v>
      </c>
      <c r="D3105" t="s">
        <v>6396</v>
      </c>
      <c r="E3105" t="s">
        <v>8749</v>
      </c>
      <c r="F3105"/>
      <c r="G3105"/>
    </row>
    <row r="3106" spans="1:7">
      <c r="A3106" s="26" t="s">
        <v>9426</v>
      </c>
      <c r="B3106" t="s">
        <v>8746</v>
      </c>
      <c r="C3106" t="s">
        <v>7173</v>
      </c>
      <c r="D3106" t="s">
        <v>6396</v>
      </c>
      <c r="E3106" t="s">
        <v>8749</v>
      </c>
      <c r="F3106"/>
      <c r="G3106"/>
    </row>
    <row r="3107" spans="1:7">
      <c r="A3107" s="26" t="s">
        <v>9426</v>
      </c>
      <c r="B3107" t="s">
        <v>8750</v>
      </c>
      <c r="C3107" t="s">
        <v>7173</v>
      </c>
      <c r="D3107" t="s">
        <v>6396</v>
      </c>
      <c r="E3107">
        <v>0</v>
      </c>
      <c r="F3107"/>
      <c r="G3107"/>
    </row>
    <row r="3108" spans="1:7">
      <c r="A3108" s="26" t="s">
        <v>9426</v>
      </c>
      <c r="B3108" t="s">
        <v>8751</v>
      </c>
      <c r="C3108" t="s">
        <v>7173</v>
      </c>
      <c r="D3108" t="s">
        <v>6396</v>
      </c>
      <c r="E3108">
        <v>0</v>
      </c>
      <c r="F3108"/>
      <c r="G3108"/>
    </row>
    <row r="3109" spans="1:7">
      <c r="A3109" s="26" t="s">
        <v>9426</v>
      </c>
      <c r="B3109" t="s">
        <v>7174</v>
      </c>
      <c r="C3109" t="s">
        <v>7173</v>
      </c>
      <c r="D3109" t="s">
        <v>6396</v>
      </c>
      <c r="E3109" t="s">
        <v>6443</v>
      </c>
      <c r="F3109"/>
      <c r="G3109"/>
    </row>
    <row r="3110" spans="1:7">
      <c r="A3110" s="26" t="s">
        <v>9426</v>
      </c>
      <c r="B3110" t="s">
        <v>8752</v>
      </c>
      <c r="C3110" t="s">
        <v>7173</v>
      </c>
      <c r="D3110" t="s">
        <v>6396</v>
      </c>
      <c r="E3110">
        <v>0</v>
      </c>
      <c r="F3110"/>
      <c r="G3110"/>
    </row>
    <row r="3111" spans="1:7">
      <c r="A3111" s="26" t="s">
        <v>9426</v>
      </c>
      <c r="B3111" t="s">
        <v>8753</v>
      </c>
      <c r="C3111" t="s">
        <v>7173</v>
      </c>
      <c r="D3111" t="s">
        <v>6396</v>
      </c>
      <c r="E3111">
        <v>0</v>
      </c>
      <c r="F3111"/>
      <c r="G3111"/>
    </row>
    <row r="3112" spans="1:7">
      <c r="A3112" s="26" t="s">
        <v>9426</v>
      </c>
      <c r="B3112" t="s">
        <v>8754</v>
      </c>
      <c r="C3112" t="s">
        <v>7173</v>
      </c>
      <c r="D3112" t="s">
        <v>6396</v>
      </c>
      <c r="E3112">
        <v>0</v>
      </c>
      <c r="F3112"/>
      <c r="G3112"/>
    </row>
    <row r="3113" spans="1:7">
      <c r="A3113" s="26" t="s">
        <v>9426</v>
      </c>
      <c r="B3113" t="s">
        <v>8755</v>
      </c>
      <c r="C3113" t="s">
        <v>7173</v>
      </c>
      <c r="D3113" t="s">
        <v>6396</v>
      </c>
      <c r="E3113" t="s">
        <v>8756</v>
      </c>
      <c r="F3113"/>
      <c r="G3113"/>
    </row>
    <row r="3114" spans="1:7">
      <c r="A3114" s="26" t="s">
        <v>9426</v>
      </c>
      <c r="B3114" t="s">
        <v>8757</v>
      </c>
      <c r="C3114" t="s">
        <v>7173</v>
      </c>
      <c r="D3114" t="s">
        <v>6396</v>
      </c>
      <c r="E3114">
        <v>0</v>
      </c>
      <c r="F3114"/>
      <c r="G3114"/>
    </row>
    <row r="3115" spans="1:7">
      <c r="A3115" s="26" t="s">
        <v>9426</v>
      </c>
      <c r="B3115" t="s">
        <v>8758</v>
      </c>
      <c r="C3115" t="s">
        <v>7173</v>
      </c>
      <c r="D3115" t="s">
        <v>6396</v>
      </c>
      <c r="E3115" t="s">
        <v>6443</v>
      </c>
      <c r="F3115"/>
      <c r="G3115"/>
    </row>
    <row r="3116" spans="1:7">
      <c r="A3116" s="26" t="s">
        <v>9426</v>
      </c>
      <c r="B3116" t="s">
        <v>8759</v>
      </c>
      <c r="C3116" t="s">
        <v>8760</v>
      </c>
      <c r="D3116" t="s">
        <v>6396</v>
      </c>
      <c r="E3116" t="s">
        <v>6443</v>
      </c>
      <c r="F3116"/>
      <c r="G3116"/>
    </row>
    <row r="3117" spans="1:7">
      <c r="A3117" s="26" t="s">
        <v>9426</v>
      </c>
      <c r="B3117" t="s">
        <v>8761</v>
      </c>
      <c r="C3117" t="s">
        <v>7173</v>
      </c>
      <c r="D3117" t="s">
        <v>6396</v>
      </c>
      <c r="E3117">
        <v>0</v>
      </c>
      <c r="F3117"/>
      <c r="G3117"/>
    </row>
    <row r="3118" spans="1:7">
      <c r="A3118" s="26" t="s">
        <v>9426</v>
      </c>
      <c r="B3118" t="s">
        <v>319</v>
      </c>
      <c r="C3118" t="s">
        <v>154</v>
      </c>
      <c r="D3118" t="s">
        <v>6396</v>
      </c>
      <c r="E3118">
        <v>0</v>
      </c>
      <c r="F3118"/>
      <c r="G3118"/>
    </row>
    <row r="3119" spans="1:7">
      <c r="A3119" s="26" t="s">
        <v>9426</v>
      </c>
      <c r="B3119" t="s">
        <v>638</v>
      </c>
      <c r="C3119" t="s">
        <v>154</v>
      </c>
      <c r="D3119" t="s">
        <v>6396</v>
      </c>
      <c r="E3119">
        <v>0</v>
      </c>
      <c r="F3119"/>
      <c r="G3119"/>
    </row>
    <row r="3120" spans="1:7">
      <c r="A3120" s="26" t="s">
        <v>9426</v>
      </c>
      <c r="B3120" t="s">
        <v>640</v>
      </c>
      <c r="C3120" t="s">
        <v>154</v>
      </c>
      <c r="D3120" t="s">
        <v>6396</v>
      </c>
      <c r="E3120">
        <v>0</v>
      </c>
      <c r="F3120"/>
      <c r="G3120"/>
    </row>
    <row r="3121" spans="1:7">
      <c r="A3121" s="26" t="s">
        <v>9426</v>
      </c>
      <c r="B3121" t="s">
        <v>1044</v>
      </c>
      <c r="C3121" t="s">
        <v>154</v>
      </c>
      <c r="D3121" t="s">
        <v>6396</v>
      </c>
      <c r="E3121">
        <v>0</v>
      </c>
      <c r="F3121"/>
      <c r="G3121"/>
    </row>
    <row r="3122" spans="1:7">
      <c r="A3122" s="26" t="s">
        <v>9426</v>
      </c>
      <c r="B3122" t="s">
        <v>375</v>
      </c>
      <c r="C3122" t="s">
        <v>154</v>
      </c>
      <c r="D3122" t="s">
        <v>6396</v>
      </c>
      <c r="E3122">
        <v>0</v>
      </c>
      <c r="F3122"/>
      <c r="G3122"/>
    </row>
    <row r="3123" spans="1:7">
      <c r="A3123" s="26" t="s">
        <v>9426</v>
      </c>
      <c r="B3123" t="s">
        <v>1143</v>
      </c>
      <c r="C3123" t="s">
        <v>154</v>
      </c>
      <c r="D3123" t="s">
        <v>6396</v>
      </c>
      <c r="E3123">
        <v>0</v>
      </c>
      <c r="F3123"/>
      <c r="G3123"/>
    </row>
    <row r="3124" spans="1:7">
      <c r="A3124" s="26" t="s">
        <v>9426</v>
      </c>
      <c r="B3124" t="s">
        <v>869</v>
      </c>
      <c r="C3124" t="s">
        <v>154</v>
      </c>
      <c r="D3124" t="s">
        <v>6396</v>
      </c>
      <c r="E3124">
        <v>0</v>
      </c>
      <c r="F3124"/>
      <c r="G3124"/>
    </row>
    <row r="3125" spans="1:7">
      <c r="A3125" s="26" t="s">
        <v>9426</v>
      </c>
      <c r="B3125" t="s">
        <v>414</v>
      </c>
      <c r="C3125" t="s">
        <v>154</v>
      </c>
      <c r="D3125" t="s">
        <v>6396</v>
      </c>
      <c r="E3125" t="s">
        <v>8749</v>
      </c>
      <c r="F3125"/>
      <c r="G3125"/>
    </row>
    <row r="3126" spans="1:7">
      <c r="A3126" s="26" t="s">
        <v>9426</v>
      </c>
      <c r="B3126" t="s">
        <v>918</v>
      </c>
      <c r="C3126" t="s">
        <v>154</v>
      </c>
      <c r="D3126" t="s">
        <v>6396</v>
      </c>
      <c r="E3126">
        <v>0</v>
      </c>
      <c r="F3126"/>
      <c r="G3126"/>
    </row>
    <row r="3127" spans="1:7">
      <c r="A3127" s="26" t="s">
        <v>9426</v>
      </c>
      <c r="B3127" t="s">
        <v>259</v>
      </c>
      <c r="C3127" t="s">
        <v>154</v>
      </c>
      <c r="D3127" t="s">
        <v>6396</v>
      </c>
      <c r="E3127">
        <v>0</v>
      </c>
      <c r="F3127"/>
      <c r="G3127"/>
    </row>
    <row r="3128" spans="1:7">
      <c r="A3128" s="26" t="s">
        <v>9426</v>
      </c>
      <c r="B3128" t="s">
        <v>879</v>
      </c>
      <c r="C3128" t="s">
        <v>154</v>
      </c>
      <c r="D3128" t="s">
        <v>6396</v>
      </c>
      <c r="E3128">
        <v>0</v>
      </c>
      <c r="F3128"/>
      <c r="G3128"/>
    </row>
    <row r="3129" spans="1:7">
      <c r="A3129" s="26" t="s">
        <v>9426</v>
      </c>
      <c r="B3129" t="s">
        <v>1336</v>
      </c>
      <c r="C3129" t="s">
        <v>154</v>
      </c>
      <c r="D3129" t="s">
        <v>6396</v>
      </c>
      <c r="E3129">
        <v>0</v>
      </c>
      <c r="F3129"/>
      <c r="G3129"/>
    </row>
    <row r="3130" spans="1:7">
      <c r="A3130" s="26" t="s">
        <v>9426</v>
      </c>
      <c r="B3130" t="s">
        <v>536</v>
      </c>
      <c r="C3130" t="s">
        <v>154</v>
      </c>
      <c r="D3130" t="s">
        <v>6396</v>
      </c>
      <c r="E3130" t="s">
        <v>6395</v>
      </c>
      <c r="F3130"/>
      <c r="G3130"/>
    </row>
    <row r="3131" spans="1:7">
      <c r="A3131" s="26" t="s">
        <v>9426</v>
      </c>
      <c r="B3131" t="s">
        <v>295</v>
      </c>
      <c r="C3131" t="s">
        <v>154</v>
      </c>
      <c r="D3131" t="s">
        <v>6396</v>
      </c>
      <c r="E3131">
        <v>0</v>
      </c>
      <c r="F3131"/>
      <c r="G3131"/>
    </row>
    <row r="3132" spans="1:7">
      <c r="A3132" s="26" t="s">
        <v>9426</v>
      </c>
      <c r="B3132" t="s">
        <v>390</v>
      </c>
      <c r="C3132" t="s">
        <v>154</v>
      </c>
      <c r="D3132" t="s">
        <v>6396</v>
      </c>
      <c r="E3132" t="s">
        <v>6395</v>
      </c>
      <c r="F3132"/>
      <c r="G3132"/>
    </row>
    <row r="3133" spans="1:7">
      <c r="A3133" s="26" t="s">
        <v>9426</v>
      </c>
      <c r="B3133" t="s">
        <v>655</v>
      </c>
      <c r="C3133" t="s">
        <v>466</v>
      </c>
      <c r="D3133" t="s">
        <v>6396</v>
      </c>
      <c r="E3133">
        <v>0</v>
      </c>
      <c r="F3133"/>
      <c r="G3133"/>
    </row>
    <row r="3134" spans="1:7">
      <c r="A3134" s="26" t="s">
        <v>9426</v>
      </c>
      <c r="B3134" t="s">
        <v>465</v>
      </c>
      <c r="C3134" t="s">
        <v>466</v>
      </c>
      <c r="D3134" t="s">
        <v>6396</v>
      </c>
      <c r="E3134" t="s">
        <v>6395</v>
      </c>
      <c r="F3134"/>
      <c r="G3134"/>
    </row>
    <row r="3135" spans="1:7">
      <c r="A3135" s="26" t="s">
        <v>9426</v>
      </c>
      <c r="B3135" t="s">
        <v>2012</v>
      </c>
      <c r="C3135" t="s">
        <v>466</v>
      </c>
      <c r="D3135" t="s">
        <v>6396</v>
      </c>
      <c r="E3135">
        <v>0</v>
      </c>
      <c r="F3135"/>
      <c r="G3135"/>
    </row>
    <row r="3136" spans="1:7">
      <c r="A3136" s="26" t="s">
        <v>9426</v>
      </c>
      <c r="B3136" t="s">
        <v>1732</v>
      </c>
      <c r="C3136" t="s">
        <v>466</v>
      </c>
      <c r="D3136" t="s">
        <v>6396</v>
      </c>
      <c r="E3136">
        <v>0</v>
      </c>
      <c r="F3136"/>
      <c r="G3136"/>
    </row>
    <row r="3137" spans="1:7">
      <c r="A3137" s="26" t="s">
        <v>9426</v>
      </c>
      <c r="B3137" t="s">
        <v>754</v>
      </c>
      <c r="C3137" t="s">
        <v>755</v>
      </c>
      <c r="D3137" t="s">
        <v>6396</v>
      </c>
      <c r="E3137" t="s">
        <v>8749</v>
      </c>
      <c r="F3137"/>
      <c r="G3137"/>
    </row>
    <row r="3138" spans="1:7">
      <c r="A3138" s="26" t="s">
        <v>9426</v>
      </c>
      <c r="B3138" t="s">
        <v>6691</v>
      </c>
      <c r="C3138" t="s">
        <v>6690</v>
      </c>
      <c r="D3138" t="s">
        <v>6396</v>
      </c>
      <c r="E3138" t="s">
        <v>6443</v>
      </c>
      <c r="F3138"/>
      <c r="G3138"/>
    </row>
    <row r="3139" spans="1:7">
      <c r="A3139" s="26" t="s">
        <v>9426</v>
      </c>
      <c r="B3139" t="s">
        <v>8762</v>
      </c>
      <c r="C3139" t="s">
        <v>8763</v>
      </c>
      <c r="D3139" t="s">
        <v>6396</v>
      </c>
      <c r="E3139">
        <v>0</v>
      </c>
      <c r="F3139"/>
      <c r="G3139"/>
    </row>
    <row r="3140" spans="1:7">
      <c r="A3140" s="26" t="s">
        <v>9426</v>
      </c>
      <c r="B3140" t="s">
        <v>2968</v>
      </c>
      <c r="C3140" t="s">
        <v>2969</v>
      </c>
      <c r="D3140" t="s">
        <v>6396</v>
      </c>
      <c r="E3140" t="s">
        <v>8764</v>
      </c>
      <c r="F3140"/>
      <c r="G3140"/>
    </row>
    <row r="3141" spans="1:7">
      <c r="A3141" s="26" t="s">
        <v>9426</v>
      </c>
      <c r="B3141" t="s">
        <v>8765</v>
      </c>
      <c r="C3141" t="s">
        <v>7763</v>
      </c>
      <c r="D3141" t="s">
        <v>6396</v>
      </c>
      <c r="E3141">
        <v>0</v>
      </c>
      <c r="F3141"/>
      <c r="G3141"/>
    </row>
    <row r="3142" spans="1:7">
      <c r="A3142" s="26" t="s">
        <v>9426</v>
      </c>
      <c r="B3142" t="s">
        <v>8766</v>
      </c>
      <c r="C3142" t="s">
        <v>8767</v>
      </c>
      <c r="D3142" t="s">
        <v>6396</v>
      </c>
      <c r="E3142" t="s">
        <v>8764</v>
      </c>
      <c r="F3142"/>
      <c r="G3142"/>
    </row>
    <row r="3143" spans="1:7">
      <c r="A3143" s="26" t="s">
        <v>9426</v>
      </c>
      <c r="B3143" t="s">
        <v>8768</v>
      </c>
      <c r="C3143" t="s">
        <v>8769</v>
      </c>
      <c r="D3143" t="s">
        <v>6396</v>
      </c>
      <c r="E3143">
        <v>0</v>
      </c>
      <c r="F3143"/>
      <c r="G3143"/>
    </row>
    <row r="3144" spans="1:7">
      <c r="A3144" s="26" t="s">
        <v>9426</v>
      </c>
      <c r="B3144" t="s">
        <v>8770</v>
      </c>
      <c r="C3144" t="s">
        <v>8769</v>
      </c>
      <c r="D3144" t="s">
        <v>6396</v>
      </c>
      <c r="E3144">
        <v>0</v>
      </c>
      <c r="F3144"/>
      <c r="G3144"/>
    </row>
    <row r="3145" spans="1:7">
      <c r="A3145" s="26" t="s">
        <v>9426</v>
      </c>
      <c r="B3145" t="s">
        <v>2364</v>
      </c>
      <c r="C3145" t="s">
        <v>884</v>
      </c>
      <c r="D3145" t="s">
        <v>6396</v>
      </c>
      <c r="E3145">
        <v>0</v>
      </c>
      <c r="F3145"/>
      <c r="G3145"/>
    </row>
    <row r="3146" spans="1:7">
      <c r="A3146" s="26" t="s">
        <v>9426</v>
      </c>
      <c r="B3146" t="s">
        <v>2380</v>
      </c>
      <c r="C3146" t="s">
        <v>884</v>
      </c>
      <c r="D3146" t="s">
        <v>6396</v>
      </c>
      <c r="E3146">
        <v>0</v>
      </c>
      <c r="F3146"/>
      <c r="G3146"/>
    </row>
    <row r="3147" spans="1:7">
      <c r="A3147" s="26" t="s">
        <v>9426</v>
      </c>
      <c r="B3147" t="s">
        <v>3141</v>
      </c>
      <c r="C3147" t="s">
        <v>884</v>
      </c>
      <c r="D3147" t="s">
        <v>6396</v>
      </c>
      <c r="E3147">
        <v>0</v>
      </c>
      <c r="F3147"/>
      <c r="G3147"/>
    </row>
    <row r="3148" spans="1:7">
      <c r="A3148" s="26" t="s">
        <v>9426</v>
      </c>
      <c r="B3148" t="s">
        <v>2368</v>
      </c>
      <c r="C3148" t="s">
        <v>884</v>
      </c>
      <c r="D3148" t="s">
        <v>6396</v>
      </c>
      <c r="E3148" t="s">
        <v>8749</v>
      </c>
      <c r="F3148"/>
      <c r="G3148"/>
    </row>
    <row r="3149" spans="1:7">
      <c r="A3149" s="26" t="s">
        <v>9426</v>
      </c>
      <c r="B3149" t="s">
        <v>6749</v>
      </c>
      <c r="C3149" t="s">
        <v>884</v>
      </c>
      <c r="D3149" t="s">
        <v>6396</v>
      </c>
      <c r="E3149">
        <v>0</v>
      </c>
      <c r="F3149"/>
      <c r="G3149"/>
    </row>
    <row r="3150" spans="1:7">
      <c r="A3150" s="26" t="s">
        <v>9426</v>
      </c>
      <c r="B3150" t="s">
        <v>6881</v>
      </c>
      <c r="C3150" t="s">
        <v>509</v>
      </c>
      <c r="D3150" t="s">
        <v>6396</v>
      </c>
      <c r="E3150">
        <v>0</v>
      </c>
      <c r="F3150"/>
      <c r="G3150"/>
    </row>
    <row r="3151" spans="1:7">
      <c r="A3151" s="26" t="s">
        <v>9426</v>
      </c>
      <c r="B3151" t="s">
        <v>3095</v>
      </c>
      <c r="C3151" t="s">
        <v>509</v>
      </c>
      <c r="D3151" t="s">
        <v>6396</v>
      </c>
      <c r="E3151">
        <v>0</v>
      </c>
      <c r="F3151"/>
      <c r="G3151"/>
    </row>
    <row r="3152" spans="1:7">
      <c r="A3152" s="26" t="s">
        <v>9426</v>
      </c>
      <c r="B3152" t="s">
        <v>2246</v>
      </c>
      <c r="C3152" t="s">
        <v>509</v>
      </c>
      <c r="D3152" t="s">
        <v>6396</v>
      </c>
      <c r="E3152">
        <v>0</v>
      </c>
      <c r="F3152"/>
      <c r="G3152"/>
    </row>
    <row r="3153" spans="1:7">
      <c r="A3153" s="26" t="s">
        <v>9426</v>
      </c>
      <c r="B3153" t="s">
        <v>711</v>
      </c>
      <c r="C3153" t="s">
        <v>509</v>
      </c>
      <c r="D3153" t="s">
        <v>6396</v>
      </c>
      <c r="E3153">
        <v>0</v>
      </c>
      <c r="F3153"/>
      <c r="G3153"/>
    </row>
    <row r="3154" spans="1:7">
      <c r="A3154" s="26" t="s">
        <v>9426</v>
      </c>
      <c r="B3154" t="s">
        <v>6726</v>
      </c>
      <c r="C3154" t="s">
        <v>509</v>
      </c>
      <c r="D3154" t="s">
        <v>6396</v>
      </c>
      <c r="E3154">
        <v>0</v>
      </c>
      <c r="F3154"/>
      <c r="G3154"/>
    </row>
    <row r="3155" spans="1:7">
      <c r="A3155" s="26" t="s">
        <v>9426</v>
      </c>
      <c r="B3155" t="s">
        <v>971</v>
      </c>
      <c r="C3155" t="s">
        <v>950</v>
      </c>
      <c r="D3155" t="s">
        <v>6396</v>
      </c>
      <c r="E3155">
        <v>0</v>
      </c>
      <c r="F3155"/>
      <c r="G3155"/>
    </row>
    <row r="3156" spans="1:7">
      <c r="A3156" s="26" t="s">
        <v>9426</v>
      </c>
      <c r="B3156" t="s">
        <v>30</v>
      </c>
      <c r="C3156" t="s">
        <v>15</v>
      </c>
      <c r="D3156" t="s">
        <v>6396</v>
      </c>
      <c r="E3156">
        <v>0</v>
      </c>
      <c r="F3156"/>
      <c r="G3156"/>
    </row>
    <row r="3157" spans="1:7">
      <c r="A3157" s="26" t="s">
        <v>9426</v>
      </c>
      <c r="B3157" t="s">
        <v>8771</v>
      </c>
      <c r="C3157" t="s">
        <v>8772</v>
      </c>
      <c r="D3157" t="s">
        <v>6396</v>
      </c>
      <c r="E3157" t="s">
        <v>8749</v>
      </c>
      <c r="F3157"/>
      <c r="G3157"/>
    </row>
    <row r="3158" spans="1:7">
      <c r="A3158" s="26" t="s">
        <v>9426</v>
      </c>
      <c r="B3158" t="s">
        <v>1534</v>
      </c>
      <c r="C3158" t="s">
        <v>1535</v>
      </c>
      <c r="D3158" t="s">
        <v>6396</v>
      </c>
      <c r="E3158" t="s">
        <v>8749</v>
      </c>
      <c r="F3158"/>
      <c r="G3158"/>
    </row>
    <row r="3159" spans="1:7">
      <c r="A3159" s="26" t="s">
        <v>9426</v>
      </c>
      <c r="B3159" t="s">
        <v>6918</v>
      </c>
      <c r="C3159" t="s">
        <v>6916</v>
      </c>
      <c r="D3159" t="s">
        <v>6396</v>
      </c>
      <c r="E3159">
        <v>0</v>
      </c>
      <c r="F3159"/>
      <c r="G3159"/>
    </row>
    <row r="3160" spans="1:7">
      <c r="A3160" s="26" t="s">
        <v>9426</v>
      </c>
      <c r="B3160" t="s">
        <v>6917</v>
      </c>
      <c r="C3160" t="s">
        <v>6916</v>
      </c>
      <c r="D3160" t="s">
        <v>6396</v>
      </c>
      <c r="E3160">
        <v>0</v>
      </c>
      <c r="F3160"/>
      <c r="G3160"/>
    </row>
    <row r="3161" spans="1:7">
      <c r="A3161" s="26" t="s">
        <v>9426</v>
      </c>
      <c r="B3161" t="s">
        <v>7877</v>
      </c>
      <c r="C3161" t="s">
        <v>6916</v>
      </c>
      <c r="D3161" t="s">
        <v>6396</v>
      </c>
      <c r="E3161">
        <v>0</v>
      </c>
      <c r="F3161"/>
      <c r="G3161"/>
    </row>
    <row r="3162" spans="1:7">
      <c r="A3162" s="26" t="s">
        <v>9426</v>
      </c>
      <c r="B3162" t="s">
        <v>470</v>
      </c>
      <c r="C3162" t="s">
        <v>6870</v>
      </c>
      <c r="D3162" t="s">
        <v>6396</v>
      </c>
      <c r="E3162">
        <v>0</v>
      </c>
      <c r="F3162"/>
      <c r="G3162"/>
    </row>
    <row r="3163" spans="1:7">
      <c r="A3163" s="26" t="s">
        <v>9426</v>
      </c>
      <c r="B3163" t="s">
        <v>2533</v>
      </c>
      <c r="C3163" t="s">
        <v>6870</v>
      </c>
      <c r="D3163" t="s">
        <v>6396</v>
      </c>
      <c r="E3163">
        <v>0</v>
      </c>
      <c r="F3163"/>
      <c r="G3163"/>
    </row>
    <row r="3164" spans="1:7">
      <c r="A3164" s="26" t="s">
        <v>9426</v>
      </c>
      <c r="B3164" t="s">
        <v>8773</v>
      </c>
      <c r="C3164" t="s">
        <v>6870</v>
      </c>
      <c r="D3164" t="s">
        <v>6396</v>
      </c>
      <c r="E3164">
        <v>0</v>
      </c>
      <c r="F3164"/>
      <c r="G3164"/>
    </row>
    <row r="3165" spans="1:7">
      <c r="A3165" s="26" t="s">
        <v>9426</v>
      </c>
      <c r="B3165" t="s">
        <v>134</v>
      </c>
      <c r="C3165" t="s">
        <v>135</v>
      </c>
      <c r="D3165" t="s">
        <v>6396</v>
      </c>
      <c r="E3165">
        <v>0</v>
      </c>
      <c r="F3165"/>
      <c r="G3165"/>
    </row>
    <row r="3166" spans="1:7">
      <c r="A3166" s="26" t="s">
        <v>9426</v>
      </c>
      <c r="B3166" t="s">
        <v>2277</v>
      </c>
      <c r="C3166" t="s">
        <v>524</v>
      </c>
      <c r="D3166" t="s">
        <v>6396</v>
      </c>
      <c r="E3166">
        <v>0</v>
      </c>
      <c r="F3166"/>
      <c r="G3166"/>
    </row>
    <row r="3167" spans="1:7">
      <c r="A3167" s="26" t="s">
        <v>9426</v>
      </c>
      <c r="B3167" t="s">
        <v>6588</v>
      </c>
      <c r="C3167" t="s">
        <v>524</v>
      </c>
      <c r="D3167" t="s">
        <v>6396</v>
      </c>
      <c r="E3167">
        <v>0</v>
      </c>
      <c r="F3167"/>
      <c r="G3167"/>
    </row>
    <row r="3168" spans="1:7">
      <c r="A3168" s="26" t="s">
        <v>9426</v>
      </c>
      <c r="B3168" t="s">
        <v>2699</v>
      </c>
      <c r="C3168" t="s">
        <v>8774</v>
      </c>
      <c r="D3168" t="s">
        <v>6396</v>
      </c>
      <c r="E3168">
        <v>0</v>
      </c>
      <c r="F3168"/>
      <c r="G3168"/>
    </row>
    <row r="3169" spans="1:7">
      <c r="A3169" s="26" t="s">
        <v>9426</v>
      </c>
      <c r="B3169" t="s">
        <v>530</v>
      </c>
      <c r="C3169" t="s">
        <v>27</v>
      </c>
      <c r="D3169" t="s">
        <v>6396</v>
      </c>
      <c r="E3169">
        <v>0</v>
      </c>
      <c r="F3169"/>
      <c r="G3169"/>
    </row>
    <row r="3170" spans="1:7">
      <c r="A3170" s="26" t="s">
        <v>9426</v>
      </c>
      <c r="B3170" t="s">
        <v>26</v>
      </c>
      <c r="C3170" t="s">
        <v>27</v>
      </c>
      <c r="D3170" t="s">
        <v>6396</v>
      </c>
      <c r="E3170">
        <v>0</v>
      </c>
      <c r="F3170"/>
      <c r="G3170"/>
    </row>
    <row r="3171" spans="1:7">
      <c r="A3171" s="26" t="s">
        <v>9426</v>
      </c>
      <c r="B3171" t="s">
        <v>3947</v>
      </c>
      <c r="C3171" t="s">
        <v>1217</v>
      </c>
      <c r="D3171" t="s">
        <v>6396</v>
      </c>
      <c r="E3171">
        <v>0</v>
      </c>
      <c r="F3171"/>
      <c r="G3171"/>
    </row>
    <row r="3172" spans="1:7">
      <c r="A3172" s="26" t="s">
        <v>9426</v>
      </c>
      <c r="B3172" t="s">
        <v>8775</v>
      </c>
      <c r="C3172" t="s">
        <v>1217</v>
      </c>
      <c r="D3172" t="s">
        <v>6396</v>
      </c>
      <c r="E3172">
        <v>0</v>
      </c>
      <c r="F3172"/>
      <c r="G3172"/>
    </row>
    <row r="3173" spans="1:7">
      <c r="A3173" s="26" t="s">
        <v>9426</v>
      </c>
      <c r="B3173" t="s">
        <v>8776</v>
      </c>
      <c r="C3173" t="s">
        <v>2289</v>
      </c>
      <c r="D3173" t="s">
        <v>6396</v>
      </c>
      <c r="E3173" t="s">
        <v>8749</v>
      </c>
      <c r="F3173"/>
      <c r="G3173"/>
    </row>
    <row r="3174" spans="1:7">
      <c r="A3174" s="26" t="s">
        <v>9426</v>
      </c>
      <c r="B3174" t="s">
        <v>6844</v>
      </c>
      <c r="C3174" t="s">
        <v>6843</v>
      </c>
      <c r="D3174" t="s">
        <v>6396</v>
      </c>
      <c r="E3174" t="s">
        <v>8749</v>
      </c>
      <c r="F3174"/>
      <c r="G3174"/>
    </row>
    <row r="3175" spans="1:7">
      <c r="A3175" s="26" t="s">
        <v>9426</v>
      </c>
      <c r="B3175" t="s">
        <v>8494</v>
      </c>
      <c r="C3175" t="s">
        <v>2867</v>
      </c>
      <c r="D3175" t="s">
        <v>6396</v>
      </c>
      <c r="E3175">
        <v>0</v>
      </c>
      <c r="F3175"/>
      <c r="G3175"/>
    </row>
    <row r="3176" spans="1:7">
      <c r="A3176" s="26" t="s">
        <v>9426</v>
      </c>
      <c r="B3176" t="s">
        <v>2866</v>
      </c>
      <c r="C3176" t="s">
        <v>2867</v>
      </c>
      <c r="D3176" t="s">
        <v>6396</v>
      </c>
      <c r="E3176">
        <v>0</v>
      </c>
      <c r="F3176"/>
      <c r="G3176"/>
    </row>
    <row r="3177" spans="1:7">
      <c r="A3177" s="26" t="s">
        <v>9426</v>
      </c>
      <c r="B3177" t="s">
        <v>741</v>
      </c>
      <c r="C3177" t="s">
        <v>742</v>
      </c>
      <c r="D3177" t="s">
        <v>6396</v>
      </c>
      <c r="E3177">
        <v>0</v>
      </c>
      <c r="F3177"/>
      <c r="G3177"/>
    </row>
    <row r="3178" spans="1:7">
      <c r="A3178" s="26" t="s">
        <v>9426</v>
      </c>
      <c r="B3178" t="s">
        <v>1737</v>
      </c>
      <c r="C3178" t="s">
        <v>742</v>
      </c>
      <c r="D3178" t="s">
        <v>6396</v>
      </c>
      <c r="E3178">
        <v>0</v>
      </c>
      <c r="F3178"/>
      <c r="G3178"/>
    </row>
    <row r="3179" spans="1:7">
      <c r="A3179" s="26" t="s">
        <v>9426</v>
      </c>
      <c r="B3179" t="s">
        <v>3166</v>
      </c>
      <c r="C3179" t="s">
        <v>227</v>
      </c>
      <c r="D3179" t="s">
        <v>6396</v>
      </c>
      <c r="E3179">
        <v>0</v>
      </c>
      <c r="F3179"/>
      <c r="G3179"/>
    </row>
    <row r="3180" spans="1:7">
      <c r="A3180" s="26" t="s">
        <v>9426</v>
      </c>
      <c r="B3180" t="s">
        <v>226</v>
      </c>
      <c r="C3180" t="s">
        <v>227</v>
      </c>
      <c r="D3180" t="s">
        <v>6396</v>
      </c>
      <c r="E3180">
        <v>0</v>
      </c>
      <c r="F3180"/>
      <c r="G3180"/>
    </row>
    <row r="3181" spans="1:7">
      <c r="A3181" s="26" t="s">
        <v>9426</v>
      </c>
      <c r="B3181" t="s">
        <v>2230</v>
      </c>
      <c r="C3181" t="s">
        <v>227</v>
      </c>
      <c r="D3181" t="s">
        <v>6396</v>
      </c>
      <c r="E3181">
        <v>0</v>
      </c>
      <c r="F3181"/>
      <c r="G3181"/>
    </row>
    <row r="3182" spans="1:7">
      <c r="A3182" s="26" t="s">
        <v>9426</v>
      </c>
      <c r="B3182" t="s">
        <v>6856</v>
      </c>
      <c r="C3182" t="s">
        <v>6855</v>
      </c>
      <c r="D3182" t="s">
        <v>6396</v>
      </c>
      <c r="E3182">
        <v>0</v>
      </c>
      <c r="F3182"/>
      <c r="G3182"/>
    </row>
    <row r="3183" spans="1:7">
      <c r="A3183" s="26" t="s">
        <v>9426</v>
      </c>
      <c r="B3183" t="s">
        <v>7077</v>
      </c>
      <c r="C3183" t="s">
        <v>737</v>
      </c>
      <c r="D3183" t="s">
        <v>6396</v>
      </c>
      <c r="E3183">
        <v>0</v>
      </c>
      <c r="F3183"/>
      <c r="G3183"/>
    </row>
    <row r="3184" spans="1:7">
      <c r="A3184" s="26" t="s">
        <v>9426</v>
      </c>
      <c r="B3184" t="s">
        <v>1994</v>
      </c>
      <c r="C3184" t="s">
        <v>1995</v>
      </c>
      <c r="D3184" t="s">
        <v>6396</v>
      </c>
      <c r="E3184" t="s">
        <v>8749</v>
      </c>
      <c r="F3184"/>
      <c r="G3184"/>
    </row>
    <row r="3185" spans="1:7">
      <c r="A3185" s="26" t="s">
        <v>9426</v>
      </c>
      <c r="B3185" t="s">
        <v>1585</v>
      </c>
      <c r="C3185" t="s">
        <v>1586</v>
      </c>
      <c r="D3185" t="s">
        <v>6396</v>
      </c>
      <c r="E3185">
        <v>0</v>
      </c>
      <c r="F3185"/>
      <c r="G3185"/>
    </row>
    <row r="3186" spans="1:7">
      <c r="A3186" s="26" t="s">
        <v>9426</v>
      </c>
      <c r="B3186" t="s">
        <v>7969</v>
      </c>
      <c r="C3186" t="s">
        <v>2083</v>
      </c>
      <c r="D3186" t="s">
        <v>6396</v>
      </c>
      <c r="E3186">
        <v>0</v>
      </c>
      <c r="F3186"/>
      <c r="G3186"/>
    </row>
    <row r="3187" spans="1:7">
      <c r="A3187" s="26" t="s">
        <v>9426</v>
      </c>
      <c r="B3187" t="s">
        <v>8777</v>
      </c>
      <c r="C3187" t="s">
        <v>8778</v>
      </c>
      <c r="D3187" t="s">
        <v>6396</v>
      </c>
      <c r="E3187">
        <v>0</v>
      </c>
      <c r="F3187"/>
      <c r="G3187"/>
    </row>
    <row r="3188" spans="1:7">
      <c r="A3188" s="26" t="s">
        <v>9426</v>
      </c>
      <c r="B3188" t="s">
        <v>2471</v>
      </c>
      <c r="C3188" t="s">
        <v>2472</v>
      </c>
      <c r="D3188" t="s">
        <v>6396</v>
      </c>
      <c r="E3188">
        <v>0</v>
      </c>
      <c r="F3188"/>
      <c r="G3188"/>
    </row>
    <row r="3189" spans="1:7">
      <c r="A3189" s="26" t="s">
        <v>9426</v>
      </c>
      <c r="B3189" t="s">
        <v>2491</v>
      </c>
      <c r="C3189" t="s">
        <v>2492</v>
      </c>
      <c r="D3189" t="s">
        <v>6396</v>
      </c>
      <c r="E3189" t="s">
        <v>6395</v>
      </c>
      <c r="F3189"/>
      <c r="G3189"/>
    </row>
    <row r="3190" spans="1:7">
      <c r="A3190" s="26" t="s">
        <v>9426</v>
      </c>
      <c r="B3190" t="s">
        <v>8779</v>
      </c>
      <c r="C3190" t="s">
        <v>8780</v>
      </c>
      <c r="D3190" t="s">
        <v>6396</v>
      </c>
      <c r="E3190">
        <v>0</v>
      </c>
      <c r="F3190"/>
      <c r="G3190"/>
    </row>
    <row r="3191" spans="1:7">
      <c r="A3191" s="26" t="s">
        <v>9426</v>
      </c>
      <c r="B3191" t="s">
        <v>1722</v>
      </c>
      <c r="C3191" t="s">
        <v>592</v>
      </c>
      <c r="D3191" t="s">
        <v>6396</v>
      </c>
      <c r="E3191">
        <v>0</v>
      </c>
      <c r="F3191"/>
      <c r="G3191"/>
    </row>
    <row r="3192" spans="1:7">
      <c r="A3192" s="26" t="s">
        <v>9426</v>
      </c>
      <c r="B3192" t="s">
        <v>8252</v>
      </c>
      <c r="C3192" t="s">
        <v>592</v>
      </c>
      <c r="D3192" t="s">
        <v>6396</v>
      </c>
      <c r="E3192">
        <v>0</v>
      </c>
      <c r="F3192"/>
      <c r="G3192"/>
    </row>
    <row r="3193" spans="1:7">
      <c r="A3193" s="26" t="s">
        <v>9426</v>
      </c>
      <c r="B3193" t="s">
        <v>7312</v>
      </c>
      <c r="C3193" t="s">
        <v>592</v>
      </c>
      <c r="D3193" t="s">
        <v>6396</v>
      </c>
      <c r="E3193">
        <v>0</v>
      </c>
      <c r="F3193"/>
      <c r="G3193"/>
    </row>
    <row r="3194" spans="1:7">
      <c r="A3194" s="26" t="s">
        <v>9426</v>
      </c>
      <c r="B3194" t="s">
        <v>6934</v>
      </c>
      <c r="C3194" t="s">
        <v>643</v>
      </c>
      <c r="D3194" t="s">
        <v>6396</v>
      </c>
      <c r="E3194">
        <v>0</v>
      </c>
      <c r="F3194"/>
      <c r="G3194"/>
    </row>
    <row r="3195" spans="1:7">
      <c r="A3195" s="26" t="s">
        <v>9426</v>
      </c>
      <c r="B3195" t="s">
        <v>1793</v>
      </c>
      <c r="C3195" t="s">
        <v>643</v>
      </c>
      <c r="D3195" t="s">
        <v>6396</v>
      </c>
      <c r="E3195">
        <v>0</v>
      </c>
      <c r="F3195"/>
      <c r="G3195"/>
    </row>
    <row r="3196" spans="1:7">
      <c r="A3196" s="26" t="s">
        <v>9426</v>
      </c>
      <c r="B3196" t="s">
        <v>960</v>
      </c>
      <c r="C3196" t="s">
        <v>643</v>
      </c>
      <c r="D3196" t="s">
        <v>6396</v>
      </c>
      <c r="E3196">
        <v>0</v>
      </c>
      <c r="F3196"/>
      <c r="G3196"/>
    </row>
    <row r="3197" spans="1:7">
      <c r="A3197" s="26" t="s">
        <v>9426</v>
      </c>
      <c r="B3197" t="s">
        <v>2781</v>
      </c>
      <c r="C3197" t="s">
        <v>265</v>
      </c>
      <c r="D3197" t="s">
        <v>6396</v>
      </c>
      <c r="E3197">
        <v>0</v>
      </c>
      <c r="F3197"/>
      <c r="G3197"/>
    </row>
    <row r="3198" spans="1:7">
      <c r="A3198" s="26" t="s">
        <v>9426</v>
      </c>
      <c r="B3198" t="s">
        <v>264</v>
      </c>
      <c r="C3198" t="s">
        <v>265</v>
      </c>
      <c r="D3198" t="s">
        <v>6396</v>
      </c>
      <c r="E3198">
        <v>0</v>
      </c>
      <c r="F3198"/>
      <c r="G3198"/>
    </row>
    <row r="3199" spans="1:7">
      <c r="A3199" s="26" t="s">
        <v>9426</v>
      </c>
      <c r="B3199" t="s">
        <v>8781</v>
      </c>
      <c r="C3199" t="s">
        <v>265</v>
      </c>
      <c r="D3199" t="s">
        <v>6396</v>
      </c>
      <c r="E3199">
        <v>0</v>
      </c>
      <c r="F3199"/>
      <c r="G3199"/>
    </row>
    <row r="3200" spans="1:7">
      <c r="A3200" s="26" t="s">
        <v>9426</v>
      </c>
      <c r="B3200" t="s">
        <v>3347</v>
      </c>
      <c r="C3200" t="s">
        <v>8782</v>
      </c>
      <c r="D3200" t="s">
        <v>6396</v>
      </c>
      <c r="E3200" t="s">
        <v>8749</v>
      </c>
      <c r="F3200"/>
      <c r="G3200"/>
    </row>
    <row r="3201" spans="1:7">
      <c r="A3201" s="26" t="s">
        <v>9426</v>
      </c>
      <c r="B3201" t="s">
        <v>7154</v>
      </c>
      <c r="C3201" t="s">
        <v>1545</v>
      </c>
      <c r="D3201" t="s">
        <v>6396</v>
      </c>
      <c r="E3201">
        <v>0</v>
      </c>
      <c r="F3201"/>
      <c r="G3201"/>
    </row>
    <row r="3202" spans="1:7">
      <c r="A3202" s="26" t="s">
        <v>9426</v>
      </c>
      <c r="B3202" t="s">
        <v>2524</v>
      </c>
      <c r="C3202" t="s">
        <v>1545</v>
      </c>
      <c r="D3202" t="s">
        <v>6396</v>
      </c>
      <c r="E3202">
        <v>0</v>
      </c>
      <c r="F3202"/>
      <c r="G3202"/>
    </row>
    <row r="3203" spans="1:7">
      <c r="A3203" s="26" t="s">
        <v>9426</v>
      </c>
      <c r="B3203" t="s">
        <v>1845</v>
      </c>
      <c r="C3203" t="s">
        <v>1545</v>
      </c>
      <c r="D3203" t="s">
        <v>6396</v>
      </c>
      <c r="E3203" t="s">
        <v>8749</v>
      </c>
      <c r="F3203"/>
      <c r="G3203"/>
    </row>
    <row r="3204" spans="1:7">
      <c r="A3204" s="26" t="s">
        <v>9426</v>
      </c>
      <c r="B3204" t="s">
        <v>1544</v>
      </c>
      <c r="C3204" t="s">
        <v>1545</v>
      </c>
      <c r="D3204" t="s">
        <v>6396</v>
      </c>
      <c r="E3204" t="s">
        <v>8749</v>
      </c>
      <c r="F3204"/>
      <c r="G3204"/>
    </row>
    <row r="3205" spans="1:7">
      <c r="A3205" s="26" t="s">
        <v>9426</v>
      </c>
      <c r="B3205" t="s">
        <v>1548</v>
      </c>
      <c r="C3205" t="s">
        <v>1545</v>
      </c>
      <c r="D3205" t="s">
        <v>6396</v>
      </c>
      <c r="E3205">
        <v>0</v>
      </c>
      <c r="F3205"/>
      <c r="G3205"/>
    </row>
    <row r="3206" spans="1:7">
      <c r="A3206" s="26" t="s">
        <v>9426</v>
      </c>
      <c r="B3206" t="s">
        <v>7943</v>
      </c>
      <c r="C3206" t="s">
        <v>3319</v>
      </c>
      <c r="D3206" t="s">
        <v>6396</v>
      </c>
      <c r="E3206" t="s">
        <v>8749</v>
      </c>
      <c r="F3206"/>
      <c r="G3206"/>
    </row>
    <row r="3207" spans="1:7">
      <c r="A3207" s="26" t="s">
        <v>9426</v>
      </c>
      <c r="B3207" t="s">
        <v>7092</v>
      </c>
      <c r="C3207" t="s">
        <v>1274</v>
      </c>
      <c r="D3207" t="s">
        <v>6396</v>
      </c>
      <c r="E3207">
        <v>0</v>
      </c>
      <c r="F3207"/>
      <c r="G3207"/>
    </row>
    <row r="3208" spans="1:7">
      <c r="A3208" s="26" t="s">
        <v>9426</v>
      </c>
      <c r="B3208" t="s">
        <v>2859</v>
      </c>
      <c r="C3208" t="s">
        <v>8783</v>
      </c>
      <c r="D3208" t="s">
        <v>6396</v>
      </c>
      <c r="E3208" t="s">
        <v>8749</v>
      </c>
      <c r="F3208"/>
      <c r="G3208"/>
    </row>
    <row r="3209" spans="1:7">
      <c r="A3209" s="26" t="s">
        <v>9426</v>
      </c>
      <c r="B3209" t="s">
        <v>8443</v>
      </c>
      <c r="C3209" t="s">
        <v>8666</v>
      </c>
      <c r="D3209" t="s">
        <v>6396</v>
      </c>
      <c r="E3209">
        <v>0</v>
      </c>
      <c r="F3209"/>
      <c r="G3209"/>
    </row>
    <row r="3210" spans="1:7">
      <c r="A3210" s="26" t="s">
        <v>9426</v>
      </c>
      <c r="B3210" t="s">
        <v>8784</v>
      </c>
      <c r="C3210" t="s">
        <v>221</v>
      </c>
      <c r="D3210" t="s">
        <v>6396</v>
      </c>
      <c r="E3210">
        <v>0</v>
      </c>
      <c r="F3210"/>
      <c r="G3210"/>
    </row>
    <row r="3211" spans="1:7">
      <c r="A3211" s="26" t="s">
        <v>9426</v>
      </c>
      <c r="B3211" t="s">
        <v>3399</v>
      </c>
      <c r="C3211" t="s">
        <v>3400</v>
      </c>
      <c r="D3211" t="s">
        <v>6396</v>
      </c>
      <c r="E3211">
        <v>0</v>
      </c>
      <c r="F3211"/>
      <c r="G3211"/>
    </row>
    <row r="3212" spans="1:7">
      <c r="A3212" s="26" t="s">
        <v>9426</v>
      </c>
      <c r="B3212" t="s">
        <v>7277</v>
      </c>
      <c r="C3212" t="s">
        <v>7814</v>
      </c>
      <c r="D3212" t="s">
        <v>6396</v>
      </c>
      <c r="E3212">
        <v>0</v>
      </c>
      <c r="F3212"/>
      <c r="G3212"/>
    </row>
    <row r="3213" spans="1:7">
      <c r="A3213" s="26" t="s">
        <v>9426</v>
      </c>
      <c r="B3213" t="s">
        <v>7664</v>
      </c>
      <c r="C3213" t="s">
        <v>8326</v>
      </c>
      <c r="D3213" t="s">
        <v>6396</v>
      </c>
      <c r="E3213">
        <v>0</v>
      </c>
      <c r="F3213"/>
      <c r="G3213"/>
    </row>
    <row r="3214" spans="1:7">
      <c r="A3214" s="26" t="s">
        <v>9426</v>
      </c>
      <c r="B3214" t="s">
        <v>8785</v>
      </c>
      <c r="C3214" t="s">
        <v>8326</v>
      </c>
      <c r="D3214" t="s">
        <v>6396</v>
      </c>
      <c r="E3214">
        <v>0</v>
      </c>
      <c r="F3214"/>
      <c r="G3214"/>
    </row>
    <row r="3215" spans="1:7">
      <c r="A3215" s="26" t="s">
        <v>9426</v>
      </c>
      <c r="B3215" t="s">
        <v>7613</v>
      </c>
      <c r="C3215" t="s">
        <v>7614</v>
      </c>
      <c r="D3215" t="s">
        <v>6396</v>
      </c>
      <c r="E3215">
        <v>0</v>
      </c>
      <c r="F3215"/>
      <c r="G3215"/>
    </row>
    <row r="3216" spans="1:7">
      <c r="A3216" s="26" t="s">
        <v>9426</v>
      </c>
      <c r="B3216" t="s">
        <v>8786</v>
      </c>
      <c r="C3216" t="s">
        <v>776</v>
      </c>
      <c r="D3216" t="s">
        <v>6396</v>
      </c>
      <c r="E3216">
        <v>0</v>
      </c>
      <c r="F3216"/>
      <c r="G3216"/>
    </row>
    <row r="3217" spans="1:7">
      <c r="A3217" s="26" t="s">
        <v>9426</v>
      </c>
      <c r="B3217" t="s">
        <v>2352</v>
      </c>
      <c r="C3217" t="s">
        <v>2353</v>
      </c>
      <c r="D3217" t="s">
        <v>6396</v>
      </c>
      <c r="E3217">
        <v>0</v>
      </c>
      <c r="F3217"/>
      <c r="G3217"/>
    </row>
    <row r="3218" spans="1:7">
      <c r="A3218" s="26" t="s">
        <v>9426</v>
      </c>
      <c r="B3218" t="s">
        <v>180</v>
      </c>
      <c r="C3218" t="s">
        <v>181</v>
      </c>
      <c r="D3218" t="s">
        <v>6396</v>
      </c>
      <c r="E3218">
        <v>0</v>
      </c>
      <c r="F3218"/>
      <c r="G3218"/>
    </row>
    <row r="3219" spans="1:7">
      <c r="A3219" s="26" t="s">
        <v>9426</v>
      </c>
      <c r="B3219" t="s">
        <v>1226</v>
      </c>
      <c r="C3219" t="s">
        <v>721</v>
      </c>
      <c r="D3219" t="s">
        <v>6396</v>
      </c>
      <c r="E3219">
        <v>0</v>
      </c>
      <c r="F3219"/>
      <c r="G3219"/>
    </row>
    <row r="3220" spans="1:7">
      <c r="A3220" s="26" t="s">
        <v>9426</v>
      </c>
      <c r="B3220" t="s">
        <v>2193</v>
      </c>
      <c r="C3220" t="s">
        <v>131</v>
      </c>
      <c r="D3220" t="s">
        <v>6396</v>
      </c>
      <c r="E3220">
        <v>0</v>
      </c>
      <c r="F3220"/>
      <c r="G3220"/>
    </row>
    <row r="3221" spans="1:7">
      <c r="A3221" s="26" t="s">
        <v>9426</v>
      </c>
      <c r="B3221" t="s">
        <v>8787</v>
      </c>
      <c r="C3221" t="s">
        <v>8788</v>
      </c>
      <c r="D3221" t="s">
        <v>6396</v>
      </c>
      <c r="E3221" t="s">
        <v>8749</v>
      </c>
      <c r="F3221"/>
      <c r="G3221"/>
    </row>
    <row r="3222" spans="1:7">
      <c r="A3222" s="26" t="s">
        <v>9426</v>
      </c>
      <c r="B3222" t="s">
        <v>426</v>
      </c>
      <c r="C3222" t="s">
        <v>142</v>
      </c>
      <c r="D3222" t="s">
        <v>6396</v>
      </c>
      <c r="E3222">
        <v>0</v>
      </c>
      <c r="F3222"/>
      <c r="G3222"/>
    </row>
    <row r="3223" spans="1:7">
      <c r="A3223" s="26" t="s">
        <v>9426</v>
      </c>
      <c r="B3223" t="s">
        <v>7157</v>
      </c>
      <c r="C3223" t="s">
        <v>7156</v>
      </c>
      <c r="D3223" t="s">
        <v>6396</v>
      </c>
      <c r="E3223">
        <v>0</v>
      </c>
      <c r="F3223"/>
      <c r="G3223"/>
    </row>
    <row r="3224" spans="1:7">
      <c r="A3224" s="26" t="s">
        <v>9426</v>
      </c>
      <c r="B3224" t="s">
        <v>3005</v>
      </c>
      <c r="C3224" t="s">
        <v>782</v>
      </c>
      <c r="D3224" t="s">
        <v>6396</v>
      </c>
      <c r="E3224">
        <v>0</v>
      </c>
      <c r="F3224"/>
      <c r="G3224"/>
    </row>
    <row r="3225" spans="1:7">
      <c r="A3225" s="26" t="s">
        <v>9426</v>
      </c>
      <c r="B3225" t="s">
        <v>477</v>
      </c>
      <c r="C3225" t="s">
        <v>478</v>
      </c>
      <c r="D3225" t="s">
        <v>6396</v>
      </c>
      <c r="E3225" t="s">
        <v>8756</v>
      </c>
      <c r="F3225"/>
      <c r="G3225"/>
    </row>
    <row r="3226" spans="1:7">
      <c r="A3226" s="26" t="s">
        <v>9426</v>
      </c>
      <c r="B3226" t="s">
        <v>8197</v>
      </c>
      <c r="C3226" t="s">
        <v>478</v>
      </c>
      <c r="D3226" t="s">
        <v>6396</v>
      </c>
      <c r="E3226">
        <v>0</v>
      </c>
      <c r="F3226"/>
      <c r="G3226"/>
    </row>
    <row r="3227" spans="1:7">
      <c r="A3227" s="26" t="s">
        <v>9426</v>
      </c>
      <c r="B3227" t="s">
        <v>922</v>
      </c>
      <c r="C3227" t="s">
        <v>478</v>
      </c>
      <c r="D3227" t="s">
        <v>6396</v>
      </c>
      <c r="E3227">
        <v>0</v>
      </c>
      <c r="F3227"/>
      <c r="G3227"/>
    </row>
    <row r="3228" spans="1:7">
      <c r="A3228" s="26" t="s">
        <v>9426</v>
      </c>
      <c r="B3228" t="s">
        <v>8789</v>
      </c>
      <c r="C3228" t="s">
        <v>478</v>
      </c>
      <c r="D3228" t="s">
        <v>6396</v>
      </c>
      <c r="E3228">
        <v>0</v>
      </c>
      <c r="F3228"/>
      <c r="G3228"/>
    </row>
    <row r="3229" spans="1:7">
      <c r="A3229" s="26" t="s">
        <v>9426</v>
      </c>
      <c r="B3229" t="s">
        <v>8790</v>
      </c>
      <c r="C3229" t="s">
        <v>478</v>
      </c>
      <c r="D3229" t="s">
        <v>6396</v>
      </c>
      <c r="E3229">
        <v>0</v>
      </c>
      <c r="F3229"/>
      <c r="G3229"/>
    </row>
    <row r="3230" spans="1:7">
      <c r="A3230" s="26" t="s">
        <v>9426</v>
      </c>
      <c r="B3230" t="s">
        <v>8458</v>
      </c>
      <c r="C3230" t="s">
        <v>478</v>
      </c>
      <c r="D3230" t="s">
        <v>6396</v>
      </c>
      <c r="E3230">
        <v>0</v>
      </c>
      <c r="F3230"/>
      <c r="G3230"/>
    </row>
    <row r="3231" spans="1:7">
      <c r="A3231" s="26" t="s">
        <v>9426</v>
      </c>
      <c r="B3231" t="s">
        <v>1356</v>
      </c>
      <c r="C3231" t="s">
        <v>478</v>
      </c>
      <c r="D3231" t="s">
        <v>6396</v>
      </c>
      <c r="E3231">
        <v>0</v>
      </c>
      <c r="F3231"/>
      <c r="G3231"/>
    </row>
    <row r="3232" spans="1:7">
      <c r="A3232" s="26" t="s">
        <v>9426</v>
      </c>
      <c r="B3232" t="s">
        <v>2711</v>
      </c>
      <c r="C3232" t="s">
        <v>478</v>
      </c>
      <c r="D3232" t="s">
        <v>6396</v>
      </c>
      <c r="E3232">
        <v>0</v>
      </c>
      <c r="F3232"/>
      <c r="G3232"/>
    </row>
    <row r="3233" spans="1:7">
      <c r="A3233" s="26" t="s">
        <v>9426</v>
      </c>
      <c r="B3233" t="s">
        <v>2131</v>
      </c>
      <c r="C3233" t="s">
        <v>8791</v>
      </c>
      <c r="D3233" t="s">
        <v>6396</v>
      </c>
      <c r="E3233" t="s">
        <v>1611</v>
      </c>
      <c r="F3233"/>
      <c r="G3233"/>
    </row>
    <row r="3234" spans="1:7">
      <c r="A3234" s="26" t="s">
        <v>9426</v>
      </c>
      <c r="B3234" t="s">
        <v>2072</v>
      </c>
      <c r="C3234" t="s">
        <v>360</v>
      </c>
      <c r="D3234" t="s">
        <v>6396</v>
      </c>
      <c r="E3234">
        <v>0</v>
      </c>
      <c r="F3234"/>
      <c r="G3234"/>
    </row>
    <row r="3235" spans="1:7">
      <c r="A3235" s="26" t="s">
        <v>9426</v>
      </c>
      <c r="B3235" t="s">
        <v>7454</v>
      </c>
      <c r="C3235" t="s">
        <v>7378</v>
      </c>
      <c r="D3235" t="s">
        <v>6396</v>
      </c>
      <c r="E3235">
        <v>0</v>
      </c>
      <c r="F3235"/>
      <c r="G3235"/>
    </row>
    <row r="3236" spans="1:7">
      <c r="A3236" s="26" t="s">
        <v>9426</v>
      </c>
      <c r="B3236" t="s">
        <v>3378</v>
      </c>
      <c r="C3236" t="s">
        <v>8431</v>
      </c>
      <c r="D3236" t="s">
        <v>6396</v>
      </c>
      <c r="E3236">
        <v>0</v>
      </c>
      <c r="F3236"/>
      <c r="G3236"/>
    </row>
    <row r="3237" spans="1:7">
      <c r="A3237" s="26" t="s">
        <v>9426</v>
      </c>
      <c r="B3237" t="s">
        <v>7344</v>
      </c>
      <c r="C3237" t="s">
        <v>395</v>
      </c>
      <c r="D3237" t="s">
        <v>6396</v>
      </c>
      <c r="E3237">
        <v>0</v>
      </c>
      <c r="F3237"/>
      <c r="G3237"/>
    </row>
    <row r="3238" spans="1:7">
      <c r="A3238" s="26" t="s">
        <v>9426</v>
      </c>
      <c r="B3238" t="s">
        <v>8792</v>
      </c>
      <c r="C3238" t="s">
        <v>395</v>
      </c>
      <c r="D3238" t="s">
        <v>6396</v>
      </c>
      <c r="E3238">
        <v>0</v>
      </c>
      <c r="F3238"/>
      <c r="G3238"/>
    </row>
    <row r="3239" spans="1:7">
      <c r="A3239" s="26" t="s">
        <v>9426</v>
      </c>
      <c r="B3239" t="s">
        <v>1600</v>
      </c>
      <c r="C3239" t="s">
        <v>1601</v>
      </c>
      <c r="D3239" t="s">
        <v>6396</v>
      </c>
      <c r="E3239">
        <v>0</v>
      </c>
      <c r="F3239"/>
      <c r="G3239"/>
    </row>
    <row r="3240" spans="1:7">
      <c r="A3240" s="26" t="s">
        <v>9426</v>
      </c>
      <c r="B3240" t="s">
        <v>8793</v>
      </c>
      <c r="C3240" t="s">
        <v>8794</v>
      </c>
      <c r="D3240" t="s">
        <v>6396</v>
      </c>
      <c r="E3240">
        <v>0</v>
      </c>
      <c r="F3240"/>
      <c r="G3240"/>
    </row>
    <row r="3241" spans="1:7">
      <c r="A3241" s="26" t="s">
        <v>9426</v>
      </c>
      <c r="B3241" t="s">
        <v>2454</v>
      </c>
      <c r="C3241" t="s">
        <v>1250</v>
      </c>
      <c r="D3241" t="s">
        <v>6396</v>
      </c>
      <c r="E3241">
        <v>0</v>
      </c>
      <c r="F3241"/>
      <c r="G3241"/>
    </row>
    <row r="3242" spans="1:7">
      <c r="A3242" s="26" t="s">
        <v>9426</v>
      </c>
      <c r="B3242" t="s">
        <v>6794</v>
      </c>
      <c r="C3242" t="s">
        <v>6793</v>
      </c>
      <c r="D3242" t="s">
        <v>6396</v>
      </c>
      <c r="E3242" t="s">
        <v>8764</v>
      </c>
      <c r="F3242"/>
      <c r="G3242"/>
    </row>
    <row r="3243" spans="1:7">
      <c r="A3243" s="26" t="s">
        <v>9426</v>
      </c>
      <c r="B3243" t="s">
        <v>1067</v>
      </c>
      <c r="C3243" t="s">
        <v>21</v>
      </c>
      <c r="D3243" t="s">
        <v>6396</v>
      </c>
      <c r="E3243">
        <v>0</v>
      </c>
      <c r="F3243"/>
      <c r="G3243"/>
    </row>
    <row r="3244" spans="1:7">
      <c r="A3244" s="26" t="s">
        <v>9426</v>
      </c>
      <c r="B3244" t="s">
        <v>8795</v>
      </c>
      <c r="C3244" t="s">
        <v>8796</v>
      </c>
      <c r="D3244" t="s">
        <v>6396</v>
      </c>
      <c r="E3244">
        <v>0</v>
      </c>
      <c r="F3244"/>
      <c r="G3244"/>
    </row>
    <row r="3245" spans="1:7">
      <c r="A3245" s="26" t="s">
        <v>9426</v>
      </c>
      <c r="B3245" t="s">
        <v>6634</v>
      </c>
      <c r="C3245" t="s">
        <v>8636</v>
      </c>
      <c r="D3245" t="s">
        <v>6396</v>
      </c>
      <c r="E3245">
        <v>0</v>
      </c>
      <c r="F3245"/>
      <c r="G3245"/>
    </row>
    <row r="3246" spans="1:7">
      <c r="A3246" s="26" t="s">
        <v>9426</v>
      </c>
      <c r="B3246" t="s">
        <v>8797</v>
      </c>
      <c r="C3246" t="s">
        <v>8798</v>
      </c>
      <c r="D3246" t="s">
        <v>6396</v>
      </c>
      <c r="E3246">
        <v>0</v>
      </c>
      <c r="F3246"/>
      <c r="G3246"/>
    </row>
    <row r="3247" spans="1:7">
      <c r="A3247" s="26" t="s">
        <v>9426</v>
      </c>
      <c r="B3247" t="s">
        <v>8799</v>
      </c>
      <c r="C3247" t="s">
        <v>8798</v>
      </c>
      <c r="D3247" t="s">
        <v>6396</v>
      </c>
      <c r="E3247">
        <v>0</v>
      </c>
      <c r="F3247"/>
      <c r="G3247"/>
    </row>
    <row r="3248" spans="1:7">
      <c r="A3248" s="26" t="s">
        <v>9426</v>
      </c>
      <c r="B3248" t="s">
        <v>8800</v>
      </c>
      <c r="C3248" t="s">
        <v>8801</v>
      </c>
      <c r="D3248" t="s">
        <v>6396</v>
      </c>
      <c r="E3248">
        <v>0</v>
      </c>
      <c r="F3248"/>
      <c r="G3248"/>
    </row>
    <row r="3249" spans="1:7">
      <c r="A3249" s="26" t="s">
        <v>9426</v>
      </c>
      <c r="B3249" t="s">
        <v>8802</v>
      </c>
      <c r="C3249" t="s">
        <v>8803</v>
      </c>
      <c r="D3249" t="s">
        <v>6396</v>
      </c>
      <c r="E3249">
        <v>0</v>
      </c>
      <c r="F3249"/>
      <c r="G3249"/>
    </row>
    <row r="3250" spans="1:7">
      <c r="A3250" s="26" t="s">
        <v>9426</v>
      </c>
      <c r="B3250" t="s">
        <v>8804</v>
      </c>
      <c r="C3250" t="s">
        <v>8798</v>
      </c>
      <c r="D3250" t="s">
        <v>6396</v>
      </c>
      <c r="E3250">
        <v>0</v>
      </c>
      <c r="F3250"/>
      <c r="G3250"/>
    </row>
    <row r="3251" spans="1:7">
      <c r="A3251" s="26" t="s">
        <v>9426</v>
      </c>
      <c r="B3251" t="s">
        <v>8805</v>
      </c>
      <c r="C3251" t="s">
        <v>8798</v>
      </c>
      <c r="D3251" t="s">
        <v>6396</v>
      </c>
      <c r="E3251">
        <v>0</v>
      </c>
      <c r="F3251"/>
      <c r="G3251"/>
    </row>
    <row r="3252" spans="1:7">
      <c r="A3252" s="26" t="s">
        <v>9426</v>
      </c>
      <c r="B3252" t="s">
        <v>8806</v>
      </c>
      <c r="C3252" t="s">
        <v>8798</v>
      </c>
      <c r="D3252" t="s">
        <v>6396</v>
      </c>
      <c r="E3252">
        <v>0</v>
      </c>
      <c r="F3252"/>
      <c r="G3252"/>
    </row>
    <row r="3253" spans="1:7">
      <c r="A3253" s="26" t="s">
        <v>9426</v>
      </c>
      <c r="B3253" t="s">
        <v>8807</v>
      </c>
      <c r="C3253" t="s">
        <v>8798</v>
      </c>
      <c r="D3253" t="s">
        <v>6396</v>
      </c>
      <c r="E3253">
        <v>0</v>
      </c>
      <c r="F3253"/>
      <c r="G3253"/>
    </row>
    <row r="3254" spans="1:7">
      <c r="A3254" s="26" t="s">
        <v>9426</v>
      </c>
      <c r="B3254" t="s">
        <v>8808</v>
      </c>
      <c r="C3254" t="s">
        <v>8798</v>
      </c>
      <c r="D3254" t="s">
        <v>6396</v>
      </c>
      <c r="E3254">
        <v>0</v>
      </c>
      <c r="F3254"/>
      <c r="G3254"/>
    </row>
    <row r="3255" spans="1:7">
      <c r="A3255" s="26" t="s">
        <v>9426</v>
      </c>
      <c r="B3255" t="s">
        <v>8809</v>
      </c>
      <c r="C3255" t="s">
        <v>8798</v>
      </c>
      <c r="D3255" t="s">
        <v>6396</v>
      </c>
      <c r="E3255">
        <v>0</v>
      </c>
      <c r="F3255"/>
      <c r="G3255"/>
    </row>
    <row r="3256" spans="1:7">
      <c r="A3256" s="26" t="s">
        <v>9426</v>
      </c>
      <c r="B3256" t="s">
        <v>8810</v>
      </c>
      <c r="C3256" t="s">
        <v>8811</v>
      </c>
      <c r="D3256" t="s">
        <v>6396</v>
      </c>
      <c r="E3256">
        <v>0</v>
      </c>
      <c r="F3256"/>
      <c r="G3256"/>
    </row>
    <row r="3257" spans="1:7">
      <c r="A3257" s="26" t="s">
        <v>9426</v>
      </c>
      <c r="B3257" t="s">
        <v>8812</v>
      </c>
      <c r="C3257" t="s">
        <v>8798</v>
      </c>
      <c r="D3257" t="s">
        <v>6396</v>
      </c>
      <c r="E3257">
        <v>0</v>
      </c>
      <c r="F3257"/>
      <c r="G3257"/>
    </row>
    <row r="3258" spans="1:7">
      <c r="A3258" s="26" t="s">
        <v>9426</v>
      </c>
      <c r="B3258" t="s">
        <v>8813</v>
      </c>
      <c r="C3258" t="s">
        <v>8803</v>
      </c>
      <c r="D3258" t="s">
        <v>6396</v>
      </c>
      <c r="E3258">
        <v>0</v>
      </c>
      <c r="F3258"/>
      <c r="G3258"/>
    </row>
    <row r="3259" spans="1:7">
      <c r="A3259" s="26" t="s">
        <v>9426</v>
      </c>
      <c r="B3259" t="s">
        <v>8814</v>
      </c>
      <c r="C3259" t="s">
        <v>8798</v>
      </c>
      <c r="D3259" t="s">
        <v>6396</v>
      </c>
      <c r="E3259">
        <v>0</v>
      </c>
      <c r="F3259"/>
      <c r="G3259"/>
    </row>
    <row r="3260" spans="1:7">
      <c r="A3260" s="26" t="s">
        <v>9426</v>
      </c>
      <c r="B3260" t="s">
        <v>8815</v>
      </c>
      <c r="C3260" t="s">
        <v>8816</v>
      </c>
      <c r="D3260" t="s">
        <v>6396</v>
      </c>
      <c r="E3260">
        <v>0</v>
      </c>
      <c r="F3260"/>
      <c r="G3260"/>
    </row>
    <row r="3261" spans="1:7">
      <c r="A3261" s="26" t="s">
        <v>9426</v>
      </c>
      <c r="B3261" t="s">
        <v>8817</v>
      </c>
      <c r="C3261" t="s">
        <v>8798</v>
      </c>
      <c r="D3261" t="s">
        <v>6396</v>
      </c>
      <c r="E3261">
        <v>0</v>
      </c>
      <c r="F3261"/>
      <c r="G3261"/>
    </row>
    <row r="3262" spans="1:7">
      <c r="A3262" s="26" t="s">
        <v>9426</v>
      </c>
      <c r="B3262" t="s">
        <v>8818</v>
      </c>
      <c r="C3262" t="s">
        <v>8798</v>
      </c>
      <c r="D3262" t="s">
        <v>6396</v>
      </c>
      <c r="E3262">
        <v>0</v>
      </c>
      <c r="F3262"/>
      <c r="G3262"/>
    </row>
    <row r="3263" spans="1:7">
      <c r="A3263" s="26" t="s">
        <v>9426</v>
      </c>
      <c r="B3263" t="s">
        <v>8819</v>
      </c>
      <c r="C3263" t="s">
        <v>8798</v>
      </c>
      <c r="D3263" t="s">
        <v>6396</v>
      </c>
      <c r="E3263">
        <v>0</v>
      </c>
      <c r="F3263"/>
      <c r="G3263"/>
    </row>
    <row r="3264" spans="1:7">
      <c r="A3264" s="26" t="s">
        <v>9426</v>
      </c>
      <c r="B3264" t="s">
        <v>8820</v>
      </c>
      <c r="C3264" t="s">
        <v>8798</v>
      </c>
      <c r="D3264" t="s">
        <v>6396</v>
      </c>
      <c r="E3264">
        <v>0</v>
      </c>
      <c r="F3264"/>
      <c r="G3264"/>
    </row>
    <row r="3265" spans="1:7">
      <c r="A3265" s="26" t="s">
        <v>9426</v>
      </c>
      <c r="B3265" t="s">
        <v>8821</v>
      </c>
      <c r="C3265" t="s">
        <v>8798</v>
      </c>
      <c r="D3265" t="s">
        <v>6396</v>
      </c>
      <c r="E3265">
        <v>0</v>
      </c>
      <c r="F3265"/>
      <c r="G3265"/>
    </row>
    <row r="3266" spans="1:7">
      <c r="A3266" s="26" t="s">
        <v>9426</v>
      </c>
      <c r="B3266" t="s">
        <v>8822</v>
      </c>
      <c r="C3266" t="s">
        <v>8798</v>
      </c>
      <c r="D3266" t="s">
        <v>6396</v>
      </c>
      <c r="E3266">
        <v>0</v>
      </c>
      <c r="F3266"/>
      <c r="G3266"/>
    </row>
    <row r="3267" spans="1:7">
      <c r="A3267" s="26" t="s">
        <v>9426</v>
      </c>
      <c r="B3267" t="s">
        <v>8823</v>
      </c>
      <c r="C3267" t="s">
        <v>8798</v>
      </c>
      <c r="D3267" t="s">
        <v>6396</v>
      </c>
      <c r="E3267">
        <v>0</v>
      </c>
      <c r="F3267"/>
      <c r="G3267"/>
    </row>
    <row r="3268" spans="1:7">
      <c r="A3268" s="26" t="s">
        <v>9426</v>
      </c>
      <c r="B3268" t="s">
        <v>8824</v>
      </c>
      <c r="C3268" t="s">
        <v>8798</v>
      </c>
      <c r="D3268" t="s">
        <v>6396</v>
      </c>
      <c r="E3268">
        <v>0</v>
      </c>
      <c r="F3268"/>
      <c r="G3268"/>
    </row>
    <row r="3269" spans="1:7">
      <c r="A3269" s="26" t="s">
        <v>9426</v>
      </c>
      <c r="B3269" t="s">
        <v>8825</v>
      </c>
      <c r="C3269" t="s">
        <v>8798</v>
      </c>
      <c r="D3269" t="s">
        <v>6396</v>
      </c>
      <c r="E3269">
        <v>0</v>
      </c>
      <c r="F3269"/>
      <c r="G3269"/>
    </row>
    <row r="3270" spans="1:7">
      <c r="A3270" s="26" t="s">
        <v>9426</v>
      </c>
      <c r="B3270" t="s">
        <v>8826</v>
      </c>
      <c r="C3270" t="s">
        <v>8798</v>
      </c>
      <c r="D3270" t="s">
        <v>6396</v>
      </c>
      <c r="E3270">
        <v>0</v>
      </c>
      <c r="F3270"/>
      <c r="G3270"/>
    </row>
    <row r="3271" spans="1:7">
      <c r="A3271" s="26" t="s">
        <v>9426</v>
      </c>
      <c r="B3271" t="s">
        <v>8827</v>
      </c>
      <c r="C3271" t="s">
        <v>8798</v>
      </c>
      <c r="D3271" t="s">
        <v>6396</v>
      </c>
      <c r="E3271">
        <v>0</v>
      </c>
      <c r="F3271"/>
      <c r="G3271"/>
    </row>
    <row r="3272" spans="1:7">
      <c r="A3272" s="26" t="s">
        <v>9426</v>
      </c>
      <c r="B3272" t="s">
        <v>8336</v>
      </c>
      <c r="C3272" t="s">
        <v>8798</v>
      </c>
      <c r="D3272" t="s">
        <v>6396</v>
      </c>
      <c r="E3272">
        <v>0</v>
      </c>
      <c r="F3272"/>
      <c r="G3272"/>
    </row>
    <row r="3273" spans="1:7">
      <c r="A3273" s="26" t="s">
        <v>9426</v>
      </c>
      <c r="B3273" t="s">
        <v>8828</v>
      </c>
      <c r="C3273" t="s">
        <v>8798</v>
      </c>
      <c r="D3273" t="s">
        <v>6396</v>
      </c>
      <c r="E3273">
        <v>0</v>
      </c>
      <c r="F3273"/>
      <c r="G3273"/>
    </row>
    <row r="3274" spans="1:7">
      <c r="A3274" s="26" t="s">
        <v>9426</v>
      </c>
      <c r="B3274" t="s">
        <v>8829</v>
      </c>
      <c r="C3274" t="s">
        <v>8803</v>
      </c>
      <c r="D3274" t="s">
        <v>6396</v>
      </c>
      <c r="E3274">
        <v>0</v>
      </c>
      <c r="F3274"/>
      <c r="G3274"/>
    </row>
    <row r="3275" spans="1:7">
      <c r="A3275" s="26" t="s">
        <v>9426</v>
      </c>
      <c r="B3275" t="s">
        <v>214</v>
      </c>
      <c r="C3275" t="s">
        <v>215</v>
      </c>
      <c r="D3275" t="s">
        <v>6396</v>
      </c>
      <c r="E3275">
        <v>0</v>
      </c>
      <c r="F3275"/>
      <c r="G3275"/>
    </row>
    <row r="3276" spans="1:7">
      <c r="A3276" s="26" t="s">
        <v>9426</v>
      </c>
      <c r="B3276" t="s">
        <v>6912</v>
      </c>
      <c r="C3276" t="s">
        <v>6545</v>
      </c>
      <c r="D3276" t="s">
        <v>6396</v>
      </c>
      <c r="E3276" t="s">
        <v>6443</v>
      </c>
      <c r="F3276"/>
      <c r="G3276"/>
    </row>
    <row r="3277" spans="1:7">
      <c r="A3277" s="26" t="s">
        <v>9426</v>
      </c>
      <c r="B3277" t="s">
        <v>834</v>
      </c>
      <c r="C3277" t="s">
        <v>8830</v>
      </c>
      <c r="D3277" t="s">
        <v>6396</v>
      </c>
      <c r="E3277" t="s">
        <v>6443</v>
      </c>
      <c r="F3277"/>
      <c r="G3277"/>
    </row>
    <row r="3278" spans="1:7">
      <c r="A3278" s="26" t="s">
        <v>9426</v>
      </c>
      <c r="B3278" t="s">
        <v>889</v>
      </c>
      <c r="C3278" t="s">
        <v>8831</v>
      </c>
      <c r="D3278" t="s">
        <v>6396</v>
      </c>
      <c r="E3278" t="s">
        <v>8764</v>
      </c>
      <c r="F3278"/>
      <c r="G3278"/>
    </row>
    <row r="3279" spans="1:7">
      <c r="A3279" s="26" t="s">
        <v>9426</v>
      </c>
      <c r="B3279" t="s">
        <v>6546</v>
      </c>
      <c r="C3279" t="s">
        <v>6545</v>
      </c>
      <c r="D3279" t="s">
        <v>6396</v>
      </c>
      <c r="E3279" t="s">
        <v>6443</v>
      </c>
      <c r="F3279"/>
      <c r="G3279"/>
    </row>
    <row r="3280" spans="1:7">
      <c r="A3280" s="26" t="s">
        <v>9426</v>
      </c>
      <c r="B3280" t="s">
        <v>798</v>
      </c>
      <c r="C3280" t="s">
        <v>799</v>
      </c>
      <c r="D3280" t="s">
        <v>6396</v>
      </c>
      <c r="E3280">
        <v>0</v>
      </c>
      <c r="F3280"/>
      <c r="G3280"/>
    </row>
    <row r="3281" spans="1:7">
      <c r="A3281" s="26" t="s">
        <v>9426</v>
      </c>
      <c r="B3281" t="s">
        <v>8832</v>
      </c>
      <c r="C3281" t="s">
        <v>8833</v>
      </c>
      <c r="D3281" t="s">
        <v>6396</v>
      </c>
      <c r="E3281">
        <v>0</v>
      </c>
      <c r="F3281"/>
      <c r="G3281"/>
    </row>
    <row r="3282" spans="1:7">
      <c r="A3282" s="26" t="s">
        <v>9426</v>
      </c>
      <c r="B3282" t="s">
        <v>8834</v>
      </c>
      <c r="C3282" t="s">
        <v>8835</v>
      </c>
      <c r="D3282" t="s">
        <v>6396</v>
      </c>
      <c r="E3282">
        <v>0</v>
      </c>
      <c r="F3282"/>
      <c r="G3282"/>
    </row>
    <row r="3283" spans="1:7">
      <c r="A3283" s="26" t="s">
        <v>9426</v>
      </c>
      <c r="B3283" t="s">
        <v>232</v>
      </c>
      <c r="C3283" t="s">
        <v>233</v>
      </c>
      <c r="D3283" t="s">
        <v>6396</v>
      </c>
      <c r="E3283">
        <v>0</v>
      </c>
      <c r="F3283"/>
      <c r="G3283"/>
    </row>
    <row r="3284" spans="1:7">
      <c r="A3284" s="26" t="s">
        <v>9426</v>
      </c>
      <c r="B3284" t="s">
        <v>2565</v>
      </c>
      <c r="C3284" t="s">
        <v>679</v>
      </c>
      <c r="D3284" t="s">
        <v>6396</v>
      </c>
      <c r="E3284">
        <v>0</v>
      </c>
      <c r="F3284"/>
      <c r="G3284"/>
    </row>
    <row r="3285" spans="1:7">
      <c r="A3285" s="26" t="s">
        <v>9426</v>
      </c>
      <c r="B3285" t="s">
        <v>1423</v>
      </c>
      <c r="C3285" t="s">
        <v>679</v>
      </c>
      <c r="D3285" t="s">
        <v>6396</v>
      </c>
      <c r="E3285">
        <v>0</v>
      </c>
      <c r="F3285"/>
      <c r="G3285"/>
    </row>
    <row r="3286" spans="1:7">
      <c r="A3286" s="26" t="s">
        <v>9426</v>
      </c>
      <c r="B3286" t="s">
        <v>7166</v>
      </c>
      <c r="C3286" t="s">
        <v>8498</v>
      </c>
      <c r="D3286" t="s">
        <v>6396</v>
      </c>
      <c r="E3286">
        <v>0</v>
      </c>
      <c r="F3286"/>
      <c r="G3286"/>
    </row>
    <row r="3287" spans="1:7">
      <c r="A3287" s="26" t="s">
        <v>9426</v>
      </c>
      <c r="B3287" t="s">
        <v>2547</v>
      </c>
      <c r="C3287" t="s">
        <v>2548</v>
      </c>
      <c r="D3287" t="s">
        <v>6396</v>
      </c>
      <c r="E3287" t="s">
        <v>8756</v>
      </c>
      <c r="F3287"/>
      <c r="G3287"/>
    </row>
    <row r="3288" spans="1:7">
      <c r="A3288" s="26" t="s">
        <v>9426</v>
      </c>
      <c r="B3288" t="s">
        <v>8290</v>
      </c>
      <c r="C3288" t="s">
        <v>8836</v>
      </c>
      <c r="D3288" t="s">
        <v>6396</v>
      </c>
      <c r="E3288">
        <v>0</v>
      </c>
      <c r="F3288"/>
      <c r="G3288"/>
    </row>
    <row r="3289" spans="1:7">
      <c r="A3289" s="26" t="s">
        <v>9426</v>
      </c>
      <c r="B3289" t="s">
        <v>8837</v>
      </c>
      <c r="C3289" t="s">
        <v>8838</v>
      </c>
      <c r="D3289" t="s">
        <v>6396</v>
      </c>
      <c r="E3289">
        <v>0</v>
      </c>
      <c r="F3289"/>
      <c r="G3289"/>
    </row>
    <row r="3290" spans="1:7">
      <c r="A3290" s="26" t="s">
        <v>9426</v>
      </c>
      <c r="B3290" t="s">
        <v>8466</v>
      </c>
      <c r="C3290" t="s">
        <v>8839</v>
      </c>
      <c r="D3290" t="s">
        <v>6396</v>
      </c>
      <c r="E3290">
        <v>0</v>
      </c>
      <c r="F3290"/>
      <c r="G3290"/>
    </row>
    <row r="3291" spans="1:7">
      <c r="A3291" s="26" t="s">
        <v>9426</v>
      </c>
      <c r="B3291" t="s">
        <v>1529</v>
      </c>
      <c r="C3291" t="s">
        <v>188</v>
      </c>
      <c r="D3291" t="s">
        <v>6396</v>
      </c>
      <c r="E3291">
        <v>0</v>
      </c>
      <c r="F3291"/>
      <c r="G3291"/>
    </row>
    <row r="3292" spans="1:7">
      <c r="A3292" s="26" t="s">
        <v>9426</v>
      </c>
      <c r="B3292" t="s">
        <v>6736</v>
      </c>
      <c r="C3292" t="s">
        <v>27</v>
      </c>
      <c r="D3292" t="s">
        <v>6396</v>
      </c>
      <c r="E3292">
        <v>0</v>
      </c>
      <c r="F3292"/>
      <c r="G3292"/>
    </row>
    <row r="3293" spans="1:7">
      <c r="A3293" s="26" t="s">
        <v>9426</v>
      </c>
      <c r="B3293" t="s">
        <v>1229</v>
      </c>
      <c r="C3293" t="s">
        <v>1230</v>
      </c>
      <c r="D3293" t="s">
        <v>6396</v>
      </c>
      <c r="E3293">
        <v>0</v>
      </c>
      <c r="F3293"/>
      <c r="G3293"/>
    </row>
    <row r="3294" spans="1:7">
      <c r="A3294" s="26" t="s">
        <v>9426</v>
      </c>
      <c r="B3294" t="s">
        <v>579</v>
      </c>
      <c r="C3294" t="s">
        <v>580</v>
      </c>
      <c r="D3294" t="s">
        <v>6396</v>
      </c>
      <c r="E3294">
        <v>0</v>
      </c>
      <c r="F3294"/>
      <c r="G3294"/>
    </row>
    <row r="3295" spans="1:7">
      <c r="A3295" s="26" t="s">
        <v>9426</v>
      </c>
      <c r="B3295" t="s">
        <v>909</v>
      </c>
      <c r="C3295" t="s">
        <v>910</v>
      </c>
      <c r="D3295" t="s">
        <v>6396</v>
      </c>
      <c r="E3295">
        <v>0</v>
      </c>
      <c r="F3295"/>
      <c r="G3295"/>
    </row>
    <row r="3296" spans="1:7">
      <c r="A3296" s="26" t="s">
        <v>9426</v>
      </c>
      <c r="B3296" t="s">
        <v>8493</v>
      </c>
      <c r="C3296" t="s">
        <v>2057</v>
      </c>
      <c r="D3296" t="s">
        <v>6396</v>
      </c>
      <c r="E3296">
        <v>0</v>
      </c>
      <c r="F3296"/>
      <c r="G3296"/>
    </row>
    <row r="3297" spans="1:7">
      <c r="A3297" s="26" t="s">
        <v>9426</v>
      </c>
      <c r="B3297" t="s">
        <v>1709</v>
      </c>
      <c r="C3297" t="s">
        <v>2057</v>
      </c>
      <c r="D3297" t="s">
        <v>6396</v>
      </c>
      <c r="E3297" t="s">
        <v>8848</v>
      </c>
      <c r="F3297"/>
      <c r="G3297"/>
    </row>
    <row r="3298" spans="1:7">
      <c r="A3298" s="26" t="s">
        <v>9426</v>
      </c>
      <c r="B3298" t="s">
        <v>8327</v>
      </c>
      <c r="C3298" t="s">
        <v>8840</v>
      </c>
      <c r="D3298" t="s">
        <v>6396</v>
      </c>
      <c r="E3298" t="s">
        <v>8749</v>
      </c>
      <c r="F3298"/>
      <c r="G3298"/>
    </row>
    <row r="3299" spans="1:7">
      <c r="A3299" s="26" t="s">
        <v>9426</v>
      </c>
      <c r="B3299" t="s">
        <v>8841</v>
      </c>
      <c r="C3299" t="s">
        <v>2057</v>
      </c>
      <c r="D3299" t="s">
        <v>6396</v>
      </c>
      <c r="E3299" t="s">
        <v>8842</v>
      </c>
      <c r="F3299"/>
      <c r="G3299"/>
    </row>
    <row r="3300" spans="1:7">
      <c r="A3300" s="26" t="s">
        <v>9426</v>
      </c>
      <c r="B3300" t="s">
        <v>8843</v>
      </c>
      <c r="C3300" t="s">
        <v>8844</v>
      </c>
      <c r="D3300" t="s">
        <v>6396</v>
      </c>
      <c r="E3300">
        <v>0</v>
      </c>
      <c r="F3300"/>
      <c r="G3300"/>
    </row>
    <row r="3301" spans="1:7">
      <c r="A3301" s="26" t="s">
        <v>9426</v>
      </c>
      <c r="B3301" t="s">
        <v>8845</v>
      </c>
      <c r="C3301" t="s">
        <v>2057</v>
      </c>
      <c r="D3301" t="s">
        <v>6396</v>
      </c>
      <c r="E3301">
        <v>0</v>
      </c>
      <c r="F3301"/>
      <c r="G3301"/>
    </row>
    <row r="3302" spans="1:7">
      <c r="A3302" s="26" t="s">
        <v>9426</v>
      </c>
      <c r="B3302" t="s">
        <v>8846</v>
      </c>
      <c r="C3302" t="s">
        <v>2057</v>
      </c>
      <c r="D3302" t="s">
        <v>6396</v>
      </c>
      <c r="E3302">
        <v>0</v>
      </c>
      <c r="F3302"/>
      <c r="G3302"/>
    </row>
    <row r="3303" spans="1:7">
      <c r="A3303" s="26" t="s">
        <v>9426</v>
      </c>
      <c r="B3303" t="s">
        <v>8847</v>
      </c>
      <c r="C3303" t="s">
        <v>2057</v>
      </c>
      <c r="D3303" t="s">
        <v>6396</v>
      </c>
      <c r="E3303" t="s">
        <v>8848</v>
      </c>
      <c r="F3303"/>
      <c r="G3303"/>
    </row>
    <row r="3304" spans="1:7">
      <c r="A3304" s="26" t="s">
        <v>9426</v>
      </c>
      <c r="B3304" t="s">
        <v>8849</v>
      </c>
      <c r="C3304" t="s">
        <v>2057</v>
      </c>
      <c r="D3304" t="s">
        <v>6396</v>
      </c>
      <c r="E3304">
        <v>0</v>
      </c>
      <c r="F3304"/>
      <c r="G3304"/>
    </row>
    <row r="3305" spans="1:7">
      <c r="A3305" s="26" t="s">
        <v>9426</v>
      </c>
      <c r="B3305" t="s">
        <v>8850</v>
      </c>
      <c r="C3305" t="s">
        <v>2057</v>
      </c>
      <c r="D3305" t="s">
        <v>6396</v>
      </c>
      <c r="E3305">
        <v>0</v>
      </c>
      <c r="F3305"/>
      <c r="G3305"/>
    </row>
    <row r="3306" spans="1:7">
      <c r="A3306" s="26" t="s">
        <v>9426</v>
      </c>
      <c r="B3306" t="s">
        <v>8851</v>
      </c>
      <c r="C3306" t="s">
        <v>2057</v>
      </c>
      <c r="D3306" t="s">
        <v>6396</v>
      </c>
      <c r="E3306">
        <v>0</v>
      </c>
      <c r="F3306"/>
      <c r="G3306"/>
    </row>
    <row r="3307" spans="1:7">
      <c r="A3307" s="26" t="s">
        <v>9426</v>
      </c>
      <c r="B3307" t="s">
        <v>8852</v>
      </c>
      <c r="C3307" t="s">
        <v>2057</v>
      </c>
      <c r="D3307" t="s">
        <v>6396</v>
      </c>
      <c r="E3307">
        <v>0</v>
      </c>
      <c r="F3307"/>
      <c r="G3307"/>
    </row>
    <row r="3308" spans="1:7">
      <c r="A3308" s="26" t="s">
        <v>9426</v>
      </c>
      <c r="B3308" t="s">
        <v>8853</v>
      </c>
      <c r="C3308" t="s">
        <v>2057</v>
      </c>
      <c r="D3308" t="s">
        <v>6396</v>
      </c>
      <c r="E3308">
        <v>0</v>
      </c>
      <c r="F3308"/>
      <c r="G3308"/>
    </row>
    <row r="3309" spans="1:7">
      <c r="A3309" s="26" t="s">
        <v>9426</v>
      </c>
      <c r="B3309" t="s">
        <v>2056</v>
      </c>
      <c r="C3309" t="s">
        <v>2057</v>
      </c>
      <c r="D3309" t="s">
        <v>6396</v>
      </c>
      <c r="E3309" t="s">
        <v>8848</v>
      </c>
      <c r="F3309"/>
      <c r="G3309"/>
    </row>
    <row r="3310" spans="1:7">
      <c r="A3310" s="26" t="s">
        <v>9426</v>
      </c>
      <c r="B3310" t="s">
        <v>8854</v>
      </c>
      <c r="C3310" t="s">
        <v>2057</v>
      </c>
      <c r="D3310" t="s">
        <v>6396</v>
      </c>
      <c r="E3310" t="s">
        <v>8848</v>
      </c>
      <c r="F3310"/>
      <c r="G3310"/>
    </row>
    <row r="3311" spans="1:7">
      <c r="A3311" s="26" t="s">
        <v>9426</v>
      </c>
      <c r="B3311" t="s">
        <v>8855</v>
      </c>
      <c r="C3311" t="s">
        <v>2057</v>
      </c>
      <c r="D3311" t="s">
        <v>6396</v>
      </c>
      <c r="E3311" t="s">
        <v>8756</v>
      </c>
      <c r="F3311"/>
      <c r="G3311"/>
    </row>
    <row r="3312" spans="1:7">
      <c r="A3312" s="26" t="s">
        <v>9426</v>
      </c>
      <c r="B3312" t="s">
        <v>8856</v>
      </c>
      <c r="C3312" t="s">
        <v>8857</v>
      </c>
      <c r="D3312" t="s">
        <v>6396</v>
      </c>
      <c r="E3312" t="s">
        <v>9020</v>
      </c>
      <c r="F3312"/>
      <c r="G3312"/>
    </row>
    <row r="3313" spans="1:7">
      <c r="A3313" s="26" t="s">
        <v>9426</v>
      </c>
      <c r="B3313" t="s">
        <v>8858</v>
      </c>
      <c r="C3313" t="s">
        <v>2057</v>
      </c>
      <c r="D3313" t="s">
        <v>6396</v>
      </c>
      <c r="E3313" t="s">
        <v>9020</v>
      </c>
      <c r="F3313"/>
      <c r="G3313"/>
    </row>
    <row r="3314" spans="1:7">
      <c r="A3314" s="26" t="s">
        <v>9426</v>
      </c>
      <c r="B3314" t="s">
        <v>8859</v>
      </c>
      <c r="C3314" t="s">
        <v>2057</v>
      </c>
      <c r="D3314" t="s">
        <v>6396</v>
      </c>
      <c r="E3314" t="s">
        <v>8756</v>
      </c>
      <c r="F3314"/>
      <c r="G3314"/>
    </row>
    <row r="3315" spans="1:7">
      <c r="A3315" s="26" t="s">
        <v>9426</v>
      </c>
      <c r="B3315" t="s">
        <v>8860</v>
      </c>
      <c r="C3315" t="s">
        <v>2057</v>
      </c>
      <c r="D3315" t="s">
        <v>6396</v>
      </c>
      <c r="E3315" t="s">
        <v>8842</v>
      </c>
      <c r="F3315"/>
      <c r="G3315"/>
    </row>
    <row r="3316" spans="1:7">
      <c r="A3316" s="26" t="s">
        <v>9426</v>
      </c>
      <c r="B3316" t="s">
        <v>8861</v>
      </c>
      <c r="C3316" t="s">
        <v>2057</v>
      </c>
      <c r="D3316" t="s">
        <v>6396</v>
      </c>
      <c r="E3316" t="s">
        <v>8848</v>
      </c>
      <c r="F3316"/>
      <c r="G3316"/>
    </row>
    <row r="3317" spans="1:7">
      <c r="A3317" s="26" t="s">
        <v>9426</v>
      </c>
      <c r="B3317" t="s">
        <v>8862</v>
      </c>
      <c r="C3317" t="s">
        <v>2057</v>
      </c>
      <c r="D3317" t="s">
        <v>6396</v>
      </c>
      <c r="E3317">
        <v>0</v>
      </c>
      <c r="F3317"/>
      <c r="G3317"/>
    </row>
    <row r="3318" spans="1:7">
      <c r="A3318" s="26" t="s">
        <v>9426</v>
      </c>
      <c r="B3318" t="s">
        <v>301</v>
      </c>
      <c r="C3318" t="s">
        <v>2057</v>
      </c>
      <c r="D3318" t="s">
        <v>6396</v>
      </c>
      <c r="E3318" t="s">
        <v>8848</v>
      </c>
      <c r="F3318"/>
      <c r="G3318"/>
    </row>
    <row r="3319" spans="1:7">
      <c r="A3319" s="26" t="s">
        <v>9426</v>
      </c>
      <c r="B3319" t="s">
        <v>674</v>
      </c>
      <c r="C3319" t="s">
        <v>8863</v>
      </c>
      <c r="D3319" t="s">
        <v>6396</v>
      </c>
      <c r="E3319" t="s">
        <v>8848</v>
      </c>
      <c r="F3319"/>
      <c r="G3319"/>
    </row>
    <row r="3320" spans="1:7">
      <c r="A3320" s="26" t="s">
        <v>9426</v>
      </c>
      <c r="B3320" t="s">
        <v>118</v>
      </c>
      <c r="C3320" t="s">
        <v>8864</v>
      </c>
      <c r="D3320" t="s">
        <v>6396</v>
      </c>
      <c r="E3320" t="s">
        <v>8764</v>
      </c>
      <c r="F3320"/>
      <c r="G3320"/>
    </row>
    <row r="3321" spans="1:7">
      <c r="A3321" s="26" t="s">
        <v>9426</v>
      </c>
      <c r="B3321" t="s">
        <v>8865</v>
      </c>
      <c r="C3321" t="s">
        <v>8866</v>
      </c>
      <c r="D3321" t="s">
        <v>6396</v>
      </c>
      <c r="E3321">
        <v>0</v>
      </c>
      <c r="F3321"/>
      <c r="G3321"/>
    </row>
    <row r="3322" spans="1:7">
      <c r="A3322" s="26" t="s">
        <v>9426</v>
      </c>
      <c r="B3322" t="s">
        <v>8867</v>
      </c>
      <c r="C3322" t="s">
        <v>8868</v>
      </c>
      <c r="D3322" t="s">
        <v>6396</v>
      </c>
      <c r="E3322" t="s">
        <v>8848</v>
      </c>
      <c r="F3322"/>
      <c r="G3322"/>
    </row>
    <row r="3323" spans="1:7">
      <c r="A3323" s="26" t="s">
        <v>9426</v>
      </c>
      <c r="B3323" t="s">
        <v>2062</v>
      </c>
      <c r="C3323" t="s">
        <v>8869</v>
      </c>
      <c r="D3323" t="s">
        <v>6396</v>
      </c>
      <c r="E3323" t="s">
        <v>6395</v>
      </c>
      <c r="F3323"/>
      <c r="G3323"/>
    </row>
    <row r="3324" spans="1:7">
      <c r="A3324" s="26" t="s">
        <v>9426</v>
      </c>
      <c r="B3324" t="s">
        <v>7618</v>
      </c>
      <c r="C3324" t="s">
        <v>8870</v>
      </c>
      <c r="D3324" t="s">
        <v>6396</v>
      </c>
      <c r="E3324">
        <v>0</v>
      </c>
      <c r="F3324"/>
      <c r="G3324"/>
    </row>
    <row r="3325" spans="1:7">
      <c r="A3325" s="26" t="s">
        <v>9426</v>
      </c>
      <c r="B3325" t="s">
        <v>8871</v>
      </c>
      <c r="C3325" t="s">
        <v>8872</v>
      </c>
      <c r="D3325" t="s">
        <v>6396</v>
      </c>
      <c r="E3325" t="s">
        <v>8848</v>
      </c>
      <c r="F3325"/>
      <c r="G3325"/>
    </row>
    <row r="3326" spans="1:7">
      <c r="A3326" s="26" t="s">
        <v>9426</v>
      </c>
      <c r="B3326" t="s">
        <v>8873</v>
      </c>
      <c r="C3326" t="s">
        <v>8874</v>
      </c>
      <c r="D3326" t="s">
        <v>6396</v>
      </c>
      <c r="E3326" t="s">
        <v>8848</v>
      </c>
      <c r="F3326"/>
      <c r="G3326"/>
    </row>
    <row r="3327" spans="1:7">
      <c r="A3327" s="26" t="s">
        <v>9426</v>
      </c>
      <c r="B3327" t="s">
        <v>8875</v>
      </c>
      <c r="C3327" t="s">
        <v>8874</v>
      </c>
      <c r="D3327" t="s">
        <v>6396</v>
      </c>
      <c r="E3327" t="s">
        <v>8848</v>
      </c>
      <c r="F3327"/>
      <c r="G3327"/>
    </row>
    <row r="3328" spans="1:7">
      <c r="A3328" s="26" t="s">
        <v>9426</v>
      </c>
      <c r="B3328" t="s">
        <v>95</v>
      </c>
      <c r="C3328" t="s">
        <v>51</v>
      </c>
      <c r="D3328" t="s">
        <v>6396</v>
      </c>
      <c r="E3328" t="s">
        <v>8848</v>
      </c>
      <c r="F3328"/>
      <c r="G3328"/>
    </row>
    <row r="3329" spans="1:7">
      <c r="A3329" s="26" t="s">
        <v>9426</v>
      </c>
      <c r="B3329" t="s">
        <v>93</v>
      </c>
      <c r="C3329" t="s">
        <v>51</v>
      </c>
      <c r="D3329" t="s">
        <v>6396</v>
      </c>
      <c r="E3329" t="s">
        <v>8848</v>
      </c>
      <c r="F3329"/>
      <c r="G3329"/>
    </row>
    <row r="3330" spans="1:7">
      <c r="A3330" s="26" t="s">
        <v>9426</v>
      </c>
      <c r="B3330" t="s">
        <v>8876</v>
      </c>
      <c r="C3330" t="s">
        <v>8877</v>
      </c>
      <c r="D3330" t="s">
        <v>6396</v>
      </c>
      <c r="E3330" t="s">
        <v>8749</v>
      </c>
      <c r="F3330"/>
      <c r="G3330"/>
    </row>
    <row r="3331" spans="1:7">
      <c r="A3331" s="26" t="s">
        <v>9426</v>
      </c>
      <c r="B3331" t="s">
        <v>8878</v>
      </c>
      <c r="C3331" t="s">
        <v>8877</v>
      </c>
      <c r="D3331" t="s">
        <v>6396</v>
      </c>
      <c r="E3331" t="s">
        <v>8848</v>
      </c>
      <c r="F3331"/>
      <c r="G3331"/>
    </row>
    <row r="3332" spans="1:7">
      <c r="A3332" s="26" t="s">
        <v>9426</v>
      </c>
      <c r="B3332" t="s">
        <v>8879</v>
      </c>
      <c r="C3332" t="s">
        <v>8880</v>
      </c>
      <c r="D3332" t="s">
        <v>6396</v>
      </c>
      <c r="E3332">
        <v>0</v>
      </c>
      <c r="F3332"/>
      <c r="G3332"/>
    </row>
    <row r="3333" spans="1:7">
      <c r="A3333" s="26" t="s">
        <v>9426</v>
      </c>
      <c r="B3333" t="s">
        <v>8881</v>
      </c>
      <c r="C3333" t="s">
        <v>8880</v>
      </c>
      <c r="D3333" t="s">
        <v>6396</v>
      </c>
      <c r="E3333">
        <v>0</v>
      </c>
      <c r="F3333"/>
      <c r="G3333"/>
    </row>
    <row r="3334" spans="1:7">
      <c r="A3334" s="26" t="s">
        <v>9426</v>
      </c>
      <c r="B3334" t="s">
        <v>8882</v>
      </c>
      <c r="C3334" t="s">
        <v>8880</v>
      </c>
      <c r="D3334" t="s">
        <v>6396</v>
      </c>
      <c r="E3334">
        <v>0</v>
      </c>
      <c r="F3334"/>
      <c r="G3334"/>
    </row>
    <row r="3335" spans="1:7">
      <c r="A3335" s="26" t="s">
        <v>9426</v>
      </c>
      <c r="B3335" t="s">
        <v>8883</v>
      </c>
      <c r="C3335" t="s">
        <v>8880</v>
      </c>
      <c r="D3335" t="s">
        <v>6396</v>
      </c>
      <c r="E3335">
        <v>0</v>
      </c>
      <c r="F3335"/>
      <c r="G3335"/>
    </row>
    <row r="3336" spans="1:7">
      <c r="A3336" s="26" t="s">
        <v>9426</v>
      </c>
      <c r="B3336" t="s">
        <v>6548</v>
      </c>
      <c r="C3336" t="s">
        <v>6547</v>
      </c>
      <c r="D3336" t="s">
        <v>6396</v>
      </c>
      <c r="E3336" t="s">
        <v>8884</v>
      </c>
      <c r="F3336"/>
      <c r="G3336"/>
    </row>
    <row r="3337" spans="1:7">
      <c r="A3337" s="26" t="s">
        <v>9426</v>
      </c>
      <c r="B3337" t="s">
        <v>8885</v>
      </c>
      <c r="C3337" t="s">
        <v>1783</v>
      </c>
      <c r="D3337" t="s">
        <v>6396</v>
      </c>
      <c r="E3337" t="s">
        <v>6443</v>
      </c>
      <c r="F3337"/>
      <c r="G3337"/>
    </row>
    <row r="3338" spans="1:7">
      <c r="A3338" s="26" t="s">
        <v>9426</v>
      </c>
      <c r="B3338" t="s">
        <v>8886</v>
      </c>
      <c r="C3338" t="s">
        <v>8887</v>
      </c>
      <c r="D3338" t="s">
        <v>6396</v>
      </c>
      <c r="E3338">
        <v>0</v>
      </c>
      <c r="F3338"/>
      <c r="G3338"/>
    </row>
    <row r="3339" spans="1:7">
      <c r="A3339" s="26" t="s">
        <v>9426</v>
      </c>
      <c r="B3339" t="s">
        <v>6741</v>
      </c>
      <c r="C3339" t="s">
        <v>8888</v>
      </c>
      <c r="D3339" t="s">
        <v>6396</v>
      </c>
      <c r="E3339">
        <v>0</v>
      </c>
      <c r="F3339"/>
      <c r="G3339"/>
    </row>
    <row r="3340" spans="1:7">
      <c r="A3340" s="26" t="s">
        <v>9426</v>
      </c>
      <c r="B3340" t="s">
        <v>8889</v>
      </c>
      <c r="C3340" t="s">
        <v>7715</v>
      </c>
      <c r="D3340" t="s">
        <v>6396</v>
      </c>
      <c r="E3340" t="s">
        <v>8848</v>
      </c>
      <c r="F3340"/>
      <c r="G3340"/>
    </row>
    <row r="3341" spans="1:7">
      <c r="A3341" s="26" t="s">
        <v>9426</v>
      </c>
      <c r="B3341" t="s">
        <v>2067</v>
      </c>
      <c r="C3341" t="s">
        <v>484</v>
      </c>
      <c r="D3341" t="s">
        <v>6396</v>
      </c>
      <c r="E3341" t="s">
        <v>6479</v>
      </c>
      <c r="F3341"/>
      <c r="G3341"/>
    </row>
    <row r="3342" spans="1:7">
      <c r="A3342" s="26" t="s">
        <v>9426</v>
      </c>
      <c r="B3342" t="s">
        <v>8890</v>
      </c>
      <c r="C3342" t="s">
        <v>484</v>
      </c>
      <c r="D3342" t="s">
        <v>6396</v>
      </c>
      <c r="E3342" t="s">
        <v>8891</v>
      </c>
      <c r="F3342"/>
      <c r="G3342"/>
    </row>
    <row r="3343" spans="1:7">
      <c r="A3343" s="26" t="s">
        <v>9426</v>
      </c>
      <c r="B3343" t="s">
        <v>8892</v>
      </c>
      <c r="C3343" t="s">
        <v>484</v>
      </c>
      <c r="D3343" t="s">
        <v>6396</v>
      </c>
      <c r="E3343" t="s">
        <v>6479</v>
      </c>
      <c r="F3343"/>
      <c r="G3343"/>
    </row>
    <row r="3344" spans="1:7">
      <c r="A3344" s="26" t="s">
        <v>9426</v>
      </c>
      <c r="B3344" t="s">
        <v>7815</v>
      </c>
      <c r="C3344" t="s">
        <v>484</v>
      </c>
      <c r="D3344" t="s">
        <v>6396</v>
      </c>
      <c r="E3344" t="s">
        <v>8893</v>
      </c>
      <c r="F3344"/>
      <c r="G3344"/>
    </row>
    <row r="3345" spans="1:7">
      <c r="A3345" s="26" t="s">
        <v>9426</v>
      </c>
      <c r="B3345" t="s">
        <v>483</v>
      </c>
      <c r="C3345" t="s">
        <v>484</v>
      </c>
      <c r="D3345" t="s">
        <v>6396</v>
      </c>
      <c r="E3345" t="s">
        <v>8894</v>
      </c>
      <c r="F3345"/>
      <c r="G3345"/>
    </row>
    <row r="3346" spans="1:7">
      <c r="A3346" s="26" t="s">
        <v>9426</v>
      </c>
      <c r="B3346" t="s">
        <v>8895</v>
      </c>
      <c r="C3346" t="s">
        <v>484</v>
      </c>
      <c r="D3346" t="s">
        <v>6396</v>
      </c>
      <c r="E3346" t="s">
        <v>8842</v>
      </c>
      <c r="F3346"/>
      <c r="G3346"/>
    </row>
    <row r="3347" spans="1:7">
      <c r="A3347" s="26" t="s">
        <v>9426</v>
      </c>
      <c r="B3347" t="s">
        <v>150</v>
      </c>
      <c r="C3347" t="s">
        <v>151</v>
      </c>
      <c r="D3347" t="s">
        <v>6396</v>
      </c>
      <c r="E3347" t="s">
        <v>10253</v>
      </c>
      <c r="F3347"/>
      <c r="G3347"/>
    </row>
    <row r="3348" spans="1:7">
      <c r="A3348" s="26" t="s">
        <v>9426</v>
      </c>
      <c r="B3348" t="s">
        <v>8896</v>
      </c>
      <c r="C3348" t="s">
        <v>151</v>
      </c>
      <c r="D3348" t="s">
        <v>6396</v>
      </c>
      <c r="E3348" t="s">
        <v>8894</v>
      </c>
      <c r="F3348"/>
      <c r="G3348"/>
    </row>
    <row r="3349" spans="1:7">
      <c r="A3349" s="26" t="s">
        <v>9426</v>
      </c>
      <c r="B3349" t="s">
        <v>192</v>
      </c>
      <c r="C3349" t="s">
        <v>193</v>
      </c>
      <c r="D3349" t="s">
        <v>6396</v>
      </c>
      <c r="E3349" t="s">
        <v>6479</v>
      </c>
      <c r="F3349"/>
      <c r="G3349"/>
    </row>
    <row r="3350" spans="1:7">
      <c r="A3350" s="26" t="s">
        <v>9426</v>
      </c>
      <c r="B3350" t="s">
        <v>8897</v>
      </c>
      <c r="C3350" t="s">
        <v>193</v>
      </c>
      <c r="D3350" t="s">
        <v>6396</v>
      </c>
      <c r="E3350" t="s">
        <v>8891</v>
      </c>
      <c r="F3350"/>
      <c r="G3350"/>
    </row>
    <row r="3351" spans="1:7">
      <c r="A3351" s="26" t="s">
        <v>9426</v>
      </c>
      <c r="B3351" t="s">
        <v>1770</v>
      </c>
      <c r="C3351" t="s">
        <v>7486</v>
      </c>
      <c r="D3351" t="s">
        <v>6396</v>
      </c>
      <c r="E3351" t="s">
        <v>8891</v>
      </c>
      <c r="F3351"/>
      <c r="G3351"/>
    </row>
    <row r="3352" spans="1:7">
      <c r="A3352" s="26" t="s">
        <v>9426</v>
      </c>
      <c r="B3352" t="s">
        <v>8347</v>
      </c>
      <c r="C3352" t="s">
        <v>8898</v>
      </c>
      <c r="D3352" t="s">
        <v>6396</v>
      </c>
      <c r="E3352" t="s">
        <v>8891</v>
      </c>
      <c r="F3352"/>
      <c r="G3352"/>
    </row>
    <row r="3353" spans="1:7">
      <c r="A3353" s="26" t="s">
        <v>9426</v>
      </c>
      <c r="B3353" t="s">
        <v>4362</v>
      </c>
      <c r="C3353" t="s">
        <v>1888</v>
      </c>
      <c r="D3353" t="s">
        <v>6396</v>
      </c>
      <c r="E3353" t="s">
        <v>6479</v>
      </c>
      <c r="F3353"/>
      <c r="G3353"/>
    </row>
    <row r="3354" spans="1:7">
      <c r="A3354" s="26" t="s">
        <v>9426</v>
      </c>
      <c r="B3354" t="s">
        <v>6807</v>
      </c>
      <c r="C3354" t="s">
        <v>1888</v>
      </c>
      <c r="D3354" t="s">
        <v>6396</v>
      </c>
      <c r="E3354" t="s">
        <v>8891</v>
      </c>
      <c r="F3354"/>
      <c r="G3354"/>
    </row>
    <row r="3355" spans="1:7">
      <c r="A3355" s="26" t="s">
        <v>9426</v>
      </c>
      <c r="B3355" t="s">
        <v>6622</v>
      </c>
      <c r="C3355" t="s">
        <v>8899</v>
      </c>
      <c r="D3355" t="s">
        <v>6396</v>
      </c>
      <c r="E3355" t="s">
        <v>8891</v>
      </c>
      <c r="F3355"/>
      <c r="G3355"/>
    </row>
    <row r="3356" spans="1:7">
      <c r="A3356" s="26" t="s">
        <v>9426</v>
      </c>
      <c r="B3356" t="s">
        <v>6604</v>
      </c>
      <c r="C3356" t="s">
        <v>8899</v>
      </c>
      <c r="D3356" t="s">
        <v>6396</v>
      </c>
      <c r="E3356" t="s">
        <v>8891</v>
      </c>
      <c r="F3356"/>
      <c r="G3356"/>
    </row>
    <row r="3357" spans="1:7">
      <c r="A3357" s="26" t="s">
        <v>9426</v>
      </c>
      <c r="B3357" t="s">
        <v>8900</v>
      </c>
      <c r="C3357" t="s">
        <v>484</v>
      </c>
      <c r="D3357" t="s">
        <v>6396</v>
      </c>
      <c r="E3357" t="s">
        <v>6479</v>
      </c>
      <c r="F3357"/>
      <c r="G3357"/>
    </row>
    <row r="3358" spans="1:7">
      <c r="A3358" s="26" t="s">
        <v>9426</v>
      </c>
      <c r="B3358" t="s">
        <v>8901</v>
      </c>
      <c r="C3358" t="s">
        <v>8902</v>
      </c>
      <c r="D3358" t="s">
        <v>6396</v>
      </c>
      <c r="E3358" t="s">
        <v>8756</v>
      </c>
      <c r="F3358"/>
      <c r="G3358"/>
    </row>
    <row r="3359" spans="1:7">
      <c r="A3359" s="26" t="s">
        <v>9426</v>
      </c>
      <c r="B3359" t="s">
        <v>8903</v>
      </c>
      <c r="C3359" t="s">
        <v>8902</v>
      </c>
      <c r="D3359" t="s">
        <v>6396</v>
      </c>
      <c r="E3359" t="s">
        <v>8756</v>
      </c>
      <c r="F3359"/>
      <c r="G3359"/>
    </row>
    <row r="3360" spans="1:7">
      <c r="A3360" s="26" t="s">
        <v>9426</v>
      </c>
      <c r="B3360" t="s">
        <v>8904</v>
      </c>
      <c r="C3360" t="s">
        <v>8905</v>
      </c>
      <c r="D3360" t="s">
        <v>6396</v>
      </c>
      <c r="E3360">
        <v>0</v>
      </c>
      <c r="F3360"/>
      <c r="G3360"/>
    </row>
    <row r="3361" spans="1:7">
      <c r="A3361" s="26" t="s">
        <v>9426</v>
      </c>
      <c r="B3361" t="s">
        <v>8906</v>
      </c>
      <c r="C3361" t="s">
        <v>8907</v>
      </c>
      <c r="D3361" t="s">
        <v>6396</v>
      </c>
      <c r="E3361">
        <v>0</v>
      </c>
      <c r="F3361"/>
      <c r="G3361"/>
    </row>
    <row r="3362" spans="1:7">
      <c r="A3362" s="26" t="s">
        <v>9426</v>
      </c>
      <c r="B3362" t="s">
        <v>7561</v>
      </c>
      <c r="C3362" t="s">
        <v>8908</v>
      </c>
      <c r="D3362" t="s">
        <v>6396</v>
      </c>
      <c r="E3362" t="s">
        <v>6479</v>
      </c>
      <c r="F3362"/>
      <c r="G3362"/>
    </row>
    <row r="3363" spans="1:7">
      <c r="A3363" s="26" t="s">
        <v>9426</v>
      </c>
      <c r="B3363" t="s">
        <v>8909</v>
      </c>
      <c r="C3363" t="s">
        <v>8910</v>
      </c>
      <c r="D3363" t="s">
        <v>6396</v>
      </c>
      <c r="E3363" t="s">
        <v>6479</v>
      </c>
      <c r="F3363"/>
      <c r="G3363"/>
    </row>
    <row r="3364" spans="1:7">
      <c r="A3364" s="26" t="s">
        <v>9426</v>
      </c>
      <c r="B3364" t="s">
        <v>8911</v>
      </c>
      <c r="C3364" t="s">
        <v>8912</v>
      </c>
      <c r="D3364" t="s">
        <v>6396</v>
      </c>
      <c r="E3364">
        <v>0</v>
      </c>
      <c r="F3364"/>
      <c r="G3364"/>
    </row>
    <row r="3365" spans="1:7">
      <c r="A3365" s="26" t="s">
        <v>9426</v>
      </c>
      <c r="B3365" t="s">
        <v>8913</v>
      </c>
      <c r="C3365" t="s">
        <v>8914</v>
      </c>
      <c r="D3365" t="s">
        <v>6396</v>
      </c>
      <c r="E3365" t="s">
        <v>8848</v>
      </c>
      <c r="F3365"/>
      <c r="G3365"/>
    </row>
    <row r="3366" spans="1:7">
      <c r="A3366" s="26" t="s">
        <v>9426</v>
      </c>
      <c r="B3366" t="s">
        <v>8915</v>
      </c>
      <c r="C3366" t="s">
        <v>484</v>
      </c>
      <c r="D3366" t="s">
        <v>6396</v>
      </c>
      <c r="E3366" t="s">
        <v>6479</v>
      </c>
      <c r="F3366"/>
      <c r="G3366"/>
    </row>
    <row r="3367" spans="1:7">
      <c r="A3367" s="26" t="s">
        <v>9426</v>
      </c>
      <c r="B3367" t="s">
        <v>8916</v>
      </c>
      <c r="C3367" t="s">
        <v>8917</v>
      </c>
      <c r="D3367" t="s">
        <v>6396</v>
      </c>
      <c r="E3367">
        <v>0</v>
      </c>
      <c r="F3367"/>
      <c r="G3367"/>
    </row>
    <row r="3368" spans="1:7">
      <c r="A3368" s="26" t="s">
        <v>9426</v>
      </c>
      <c r="B3368" t="s">
        <v>8918</v>
      </c>
      <c r="C3368" t="s">
        <v>7466</v>
      </c>
      <c r="D3368" t="s">
        <v>6396</v>
      </c>
      <c r="E3368" t="s">
        <v>8756</v>
      </c>
      <c r="F3368"/>
      <c r="G3368"/>
    </row>
    <row r="3369" spans="1:7">
      <c r="A3369" s="26" t="s">
        <v>9426</v>
      </c>
      <c r="B3369" t="s">
        <v>6778</v>
      </c>
      <c r="C3369" t="s">
        <v>6777</v>
      </c>
      <c r="D3369" t="s">
        <v>6396</v>
      </c>
      <c r="E3369">
        <v>0</v>
      </c>
      <c r="F3369"/>
      <c r="G3369"/>
    </row>
    <row r="3370" spans="1:7">
      <c r="A3370" s="26" t="s">
        <v>9426</v>
      </c>
      <c r="B3370" t="s">
        <v>6719</v>
      </c>
      <c r="C3370" t="s">
        <v>7617</v>
      </c>
      <c r="D3370" t="s">
        <v>6396</v>
      </c>
      <c r="E3370">
        <v>0</v>
      </c>
      <c r="F3370"/>
      <c r="G3370"/>
    </row>
    <row r="3371" spans="1:7">
      <c r="A3371" s="26" t="s">
        <v>9426</v>
      </c>
      <c r="B3371" t="s">
        <v>342</v>
      </c>
      <c r="C3371" t="s">
        <v>8919</v>
      </c>
      <c r="D3371" t="s">
        <v>6396</v>
      </c>
      <c r="E3371">
        <v>0</v>
      </c>
      <c r="F3371"/>
      <c r="G3371"/>
    </row>
    <row r="3372" spans="1:7">
      <c r="A3372" s="26" t="s">
        <v>9426</v>
      </c>
      <c r="B3372" t="s">
        <v>8284</v>
      </c>
      <c r="C3372" t="s">
        <v>8920</v>
      </c>
      <c r="D3372" t="s">
        <v>6396</v>
      </c>
      <c r="E3372" t="s">
        <v>8848</v>
      </c>
      <c r="F3372"/>
      <c r="G3372"/>
    </row>
    <row r="3373" spans="1:7">
      <c r="A3373" s="26" t="s">
        <v>9426</v>
      </c>
      <c r="B3373" t="s">
        <v>8921</v>
      </c>
      <c r="C3373" t="s">
        <v>8922</v>
      </c>
      <c r="D3373" t="s">
        <v>8923</v>
      </c>
      <c r="E3373">
        <v>0</v>
      </c>
      <c r="F3373"/>
      <c r="G3373" t="s">
        <v>8924</v>
      </c>
    </row>
    <row r="3374" spans="1:7">
      <c r="A3374" s="26" t="s">
        <v>9426</v>
      </c>
      <c r="B3374" t="s">
        <v>8925</v>
      </c>
      <c r="C3374" t="s">
        <v>8926</v>
      </c>
      <c r="D3374" t="s">
        <v>8923</v>
      </c>
      <c r="E3374">
        <v>0</v>
      </c>
      <c r="F3374"/>
      <c r="G3374" t="s">
        <v>8927</v>
      </c>
    </row>
    <row r="3375" spans="1:7">
      <c r="A3375" s="26" t="s">
        <v>9426</v>
      </c>
      <c r="B3375" t="s">
        <v>8928</v>
      </c>
      <c r="C3375" t="s">
        <v>8929</v>
      </c>
      <c r="D3375" t="s">
        <v>8923</v>
      </c>
      <c r="E3375">
        <v>0</v>
      </c>
      <c r="F3375"/>
      <c r="G3375" t="s">
        <v>8930</v>
      </c>
    </row>
    <row r="3376" spans="1:7">
      <c r="A3376" s="26" t="s">
        <v>9426</v>
      </c>
      <c r="B3376" t="s">
        <v>8931</v>
      </c>
      <c r="C3376" t="s">
        <v>8932</v>
      </c>
      <c r="D3376" t="s">
        <v>8923</v>
      </c>
      <c r="E3376">
        <v>0</v>
      </c>
      <c r="F3376"/>
      <c r="G3376" t="s">
        <v>8933</v>
      </c>
    </row>
    <row r="3377" spans="1:7">
      <c r="A3377" s="26" t="s">
        <v>9426</v>
      </c>
      <c r="B3377" t="s">
        <v>8934</v>
      </c>
      <c r="C3377" t="s">
        <v>8935</v>
      </c>
      <c r="D3377" t="s">
        <v>8923</v>
      </c>
      <c r="E3377">
        <v>0</v>
      </c>
      <c r="F3377"/>
      <c r="G3377" t="s">
        <v>8936</v>
      </c>
    </row>
    <row r="3378" spans="1:7">
      <c r="A3378" s="26" t="s">
        <v>9426</v>
      </c>
      <c r="B3378" t="s">
        <v>8937</v>
      </c>
      <c r="C3378" t="s">
        <v>8139</v>
      </c>
      <c r="D3378" t="s">
        <v>8923</v>
      </c>
      <c r="E3378">
        <v>0</v>
      </c>
      <c r="F3378"/>
      <c r="G3378" t="s">
        <v>8937</v>
      </c>
    </row>
    <row r="3379" spans="1:7">
      <c r="A3379" s="26" t="s">
        <v>9426</v>
      </c>
      <c r="B3379" t="s">
        <v>8938</v>
      </c>
      <c r="C3379" t="s">
        <v>8379</v>
      </c>
      <c r="D3379" t="s">
        <v>8923</v>
      </c>
      <c r="E3379">
        <v>0</v>
      </c>
      <c r="F3379"/>
      <c r="G3379" t="s">
        <v>5444</v>
      </c>
    </row>
    <row r="3380" spans="1:7">
      <c r="A3380" s="26" t="s">
        <v>9426</v>
      </c>
      <c r="B3380" t="s">
        <v>8939</v>
      </c>
      <c r="C3380" t="s">
        <v>8940</v>
      </c>
      <c r="D3380" t="s">
        <v>8923</v>
      </c>
      <c r="E3380">
        <v>0</v>
      </c>
      <c r="F3380"/>
      <c r="G3380" t="s">
        <v>8941</v>
      </c>
    </row>
    <row r="3381" spans="1:7">
      <c r="A3381" s="26" t="s">
        <v>9426</v>
      </c>
      <c r="B3381" t="s">
        <v>7374</v>
      </c>
      <c r="C3381" t="s">
        <v>8942</v>
      </c>
      <c r="D3381" t="s">
        <v>8923</v>
      </c>
      <c r="E3381">
        <v>0</v>
      </c>
      <c r="F3381"/>
      <c r="G3381" t="s">
        <v>8943</v>
      </c>
    </row>
    <row r="3382" spans="1:7">
      <c r="A3382" s="26" t="s">
        <v>9426</v>
      </c>
      <c r="B3382" t="s">
        <v>8944</v>
      </c>
      <c r="C3382" t="s">
        <v>8945</v>
      </c>
      <c r="D3382" t="s">
        <v>8923</v>
      </c>
      <c r="E3382">
        <v>0</v>
      </c>
      <c r="F3382"/>
      <c r="G3382" t="s">
        <v>8946</v>
      </c>
    </row>
    <row r="3383" spans="1:7">
      <c r="A3383" s="26" t="s">
        <v>9426</v>
      </c>
      <c r="B3383" t="s">
        <v>8947</v>
      </c>
      <c r="C3383" t="s">
        <v>8948</v>
      </c>
      <c r="D3383" t="s">
        <v>8923</v>
      </c>
      <c r="E3383">
        <v>0</v>
      </c>
      <c r="F3383"/>
      <c r="G3383" t="s">
        <v>8947</v>
      </c>
    </row>
    <row r="3384" spans="1:7">
      <c r="A3384" s="26" t="s">
        <v>9426</v>
      </c>
      <c r="B3384" t="s">
        <v>8949</v>
      </c>
      <c r="C3384" t="s">
        <v>8950</v>
      </c>
      <c r="D3384" t="s">
        <v>8923</v>
      </c>
      <c r="E3384">
        <v>0</v>
      </c>
      <c r="F3384"/>
      <c r="G3384" t="s">
        <v>8951</v>
      </c>
    </row>
    <row r="3385" spans="1:7">
      <c r="A3385" s="26" t="s">
        <v>9426</v>
      </c>
      <c r="B3385" t="s">
        <v>8952</v>
      </c>
      <c r="C3385" t="s">
        <v>6499</v>
      </c>
      <c r="D3385" t="s">
        <v>8923</v>
      </c>
      <c r="E3385">
        <v>0</v>
      </c>
      <c r="F3385"/>
      <c r="G3385" t="s">
        <v>8953</v>
      </c>
    </row>
    <row r="3386" spans="1:7">
      <c r="A3386" s="26" t="s">
        <v>9426</v>
      </c>
      <c r="B3386" t="s">
        <v>8954</v>
      </c>
      <c r="C3386" t="s">
        <v>8955</v>
      </c>
      <c r="D3386" t="s">
        <v>8923</v>
      </c>
      <c r="E3386">
        <v>0</v>
      </c>
      <c r="F3386"/>
      <c r="G3386" t="s">
        <v>8954</v>
      </c>
    </row>
    <row r="3387" spans="1:7">
      <c r="A3387" s="26" t="s">
        <v>9426</v>
      </c>
      <c r="B3387" t="s">
        <v>8956</v>
      </c>
      <c r="C3387" t="s">
        <v>8957</v>
      </c>
      <c r="D3387" t="s">
        <v>8923</v>
      </c>
      <c r="E3387">
        <v>0</v>
      </c>
      <c r="F3387"/>
      <c r="G3387" t="s">
        <v>8956</v>
      </c>
    </row>
    <row r="3388" spans="1:7">
      <c r="A3388" s="26" t="s">
        <v>9426</v>
      </c>
      <c r="B3388" t="s">
        <v>8958</v>
      </c>
      <c r="C3388" t="s">
        <v>8959</v>
      </c>
      <c r="D3388" t="s">
        <v>8923</v>
      </c>
      <c r="E3388">
        <v>0</v>
      </c>
      <c r="F3388"/>
      <c r="G3388" t="s">
        <v>8958</v>
      </c>
    </row>
    <row r="3389" spans="1:7">
      <c r="A3389" s="26" t="s">
        <v>9426</v>
      </c>
      <c r="B3389" t="s">
        <v>8960</v>
      </c>
      <c r="C3389" t="s">
        <v>8961</v>
      </c>
      <c r="D3389" t="s">
        <v>8923</v>
      </c>
      <c r="E3389">
        <v>0</v>
      </c>
      <c r="F3389"/>
      <c r="G3389" t="s">
        <v>8962</v>
      </c>
    </row>
    <row r="3390" spans="1:7">
      <c r="A3390" s="26" t="s">
        <v>9426</v>
      </c>
      <c r="B3390" t="s">
        <v>8963</v>
      </c>
      <c r="C3390" t="s">
        <v>8964</v>
      </c>
      <c r="D3390" t="s">
        <v>8923</v>
      </c>
      <c r="E3390">
        <v>0</v>
      </c>
      <c r="F3390"/>
      <c r="G3390" t="s">
        <v>8963</v>
      </c>
    </row>
    <row r="3391" spans="1:7">
      <c r="A3391" s="26" t="s">
        <v>9426</v>
      </c>
      <c r="B3391" t="s">
        <v>8965</v>
      </c>
      <c r="C3391" t="s">
        <v>8966</v>
      </c>
      <c r="D3391" t="s">
        <v>8923</v>
      </c>
      <c r="E3391">
        <v>0</v>
      </c>
      <c r="F3391"/>
      <c r="G3391" t="s">
        <v>8967</v>
      </c>
    </row>
    <row r="3392" spans="1:7">
      <c r="A3392" s="26" t="s">
        <v>9426</v>
      </c>
      <c r="B3392" t="s">
        <v>8968</v>
      </c>
      <c r="C3392" t="s">
        <v>6940</v>
      </c>
      <c r="D3392" t="s">
        <v>8923</v>
      </c>
      <c r="E3392" t="s">
        <v>6479</v>
      </c>
      <c r="F3392"/>
      <c r="G3392" t="s">
        <v>8968</v>
      </c>
    </row>
    <row r="3393" spans="1:7">
      <c r="A3393" s="26" t="s">
        <v>9426</v>
      </c>
      <c r="B3393" t="s">
        <v>8969</v>
      </c>
      <c r="C3393" t="s">
        <v>6481</v>
      </c>
      <c r="D3393" t="s">
        <v>8923</v>
      </c>
      <c r="E3393" t="s">
        <v>6479</v>
      </c>
      <c r="F3393"/>
      <c r="G3393" t="s">
        <v>8969</v>
      </c>
    </row>
    <row r="3394" spans="1:7">
      <c r="A3394" s="26" t="s">
        <v>9426</v>
      </c>
      <c r="B3394" t="s">
        <v>8970</v>
      </c>
      <c r="C3394" t="s">
        <v>6481</v>
      </c>
      <c r="D3394" t="s">
        <v>8923</v>
      </c>
      <c r="E3394" t="s">
        <v>6479</v>
      </c>
      <c r="F3394"/>
      <c r="G3394" t="s">
        <v>8971</v>
      </c>
    </row>
    <row r="3395" spans="1:7">
      <c r="A3395" s="26" t="s">
        <v>9426</v>
      </c>
      <c r="B3395" t="s">
        <v>8972</v>
      </c>
      <c r="C3395" t="s">
        <v>6481</v>
      </c>
      <c r="D3395" t="s">
        <v>8923</v>
      </c>
      <c r="E3395" t="s">
        <v>6479</v>
      </c>
      <c r="F3395"/>
      <c r="G3395" t="s">
        <v>8973</v>
      </c>
    </row>
    <row r="3396" spans="1:7">
      <c r="A3396" s="26" t="s">
        <v>9426</v>
      </c>
      <c r="B3396" t="s">
        <v>8106</v>
      </c>
      <c r="C3396" t="s">
        <v>6481</v>
      </c>
      <c r="D3396" t="s">
        <v>8923</v>
      </c>
      <c r="E3396" t="s">
        <v>6479</v>
      </c>
      <c r="F3396"/>
      <c r="G3396" t="s">
        <v>8974</v>
      </c>
    </row>
    <row r="3397" spans="1:7">
      <c r="A3397" s="26" t="s">
        <v>9426</v>
      </c>
      <c r="B3397" t="s">
        <v>8113</v>
      </c>
      <c r="C3397" t="s">
        <v>6481</v>
      </c>
      <c r="D3397" t="s">
        <v>8923</v>
      </c>
      <c r="E3397" t="s">
        <v>6479</v>
      </c>
      <c r="F3397"/>
      <c r="G3397" t="s">
        <v>8975</v>
      </c>
    </row>
    <row r="3398" spans="1:7">
      <c r="A3398" s="26" t="s">
        <v>9426</v>
      </c>
      <c r="B3398" t="s">
        <v>8976</v>
      </c>
      <c r="C3398" t="s">
        <v>6481</v>
      </c>
      <c r="D3398" t="s">
        <v>8923</v>
      </c>
      <c r="E3398" t="s">
        <v>6479</v>
      </c>
      <c r="F3398"/>
      <c r="G3398" t="s">
        <v>8977</v>
      </c>
    </row>
    <row r="3399" spans="1:7">
      <c r="A3399" s="26" t="s">
        <v>9426</v>
      </c>
      <c r="B3399" t="s">
        <v>8978</v>
      </c>
      <c r="C3399" t="s">
        <v>6481</v>
      </c>
      <c r="D3399" t="s">
        <v>8923</v>
      </c>
      <c r="E3399" t="s">
        <v>6479</v>
      </c>
      <c r="F3399"/>
      <c r="G3399" t="s">
        <v>7259</v>
      </c>
    </row>
    <row r="3400" spans="1:7">
      <c r="A3400" s="26" t="s">
        <v>9426</v>
      </c>
      <c r="B3400" t="s">
        <v>8979</v>
      </c>
      <c r="C3400" t="s">
        <v>6481</v>
      </c>
      <c r="D3400" t="s">
        <v>8923</v>
      </c>
      <c r="E3400" t="s">
        <v>6479</v>
      </c>
      <c r="F3400"/>
      <c r="G3400" t="s">
        <v>6482</v>
      </c>
    </row>
    <row r="3401" spans="1:7">
      <c r="A3401" s="26" t="s">
        <v>9426</v>
      </c>
      <c r="B3401" t="s">
        <v>8980</v>
      </c>
      <c r="C3401" t="s">
        <v>8981</v>
      </c>
      <c r="D3401" t="s">
        <v>8923</v>
      </c>
      <c r="E3401" t="s">
        <v>6479</v>
      </c>
      <c r="F3401"/>
      <c r="G3401" t="s">
        <v>8980</v>
      </c>
    </row>
    <row r="3402" spans="1:7">
      <c r="A3402" s="26" t="s">
        <v>9426</v>
      </c>
      <c r="B3402" t="s">
        <v>8841</v>
      </c>
      <c r="C3402" t="s">
        <v>8982</v>
      </c>
      <c r="D3402" t="s">
        <v>8923</v>
      </c>
      <c r="E3402" t="s">
        <v>6479</v>
      </c>
      <c r="F3402"/>
      <c r="G3402" t="s">
        <v>8983</v>
      </c>
    </row>
    <row r="3403" spans="1:7">
      <c r="A3403" s="26" t="s">
        <v>9426</v>
      </c>
      <c r="B3403" t="s">
        <v>8984</v>
      </c>
      <c r="C3403" t="s">
        <v>6697</v>
      </c>
      <c r="D3403" t="s">
        <v>8923</v>
      </c>
      <c r="E3403" t="s">
        <v>6479</v>
      </c>
      <c r="F3403"/>
      <c r="G3403" t="s">
        <v>8984</v>
      </c>
    </row>
    <row r="3404" spans="1:7">
      <c r="A3404" s="26" t="s">
        <v>9426</v>
      </c>
      <c r="B3404" t="s">
        <v>8985</v>
      </c>
      <c r="C3404" t="s">
        <v>6697</v>
      </c>
      <c r="D3404" t="s">
        <v>8923</v>
      </c>
      <c r="E3404" t="s">
        <v>6479</v>
      </c>
      <c r="F3404"/>
      <c r="G3404" t="s">
        <v>8986</v>
      </c>
    </row>
    <row r="3405" spans="1:7">
      <c r="A3405" s="26" t="s">
        <v>9426</v>
      </c>
      <c r="B3405" t="s">
        <v>8987</v>
      </c>
      <c r="C3405" t="s">
        <v>6697</v>
      </c>
      <c r="D3405" t="s">
        <v>8923</v>
      </c>
      <c r="E3405" t="s">
        <v>6479</v>
      </c>
      <c r="F3405"/>
      <c r="G3405" t="s">
        <v>6698</v>
      </c>
    </row>
    <row r="3406" spans="1:7">
      <c r="A3406" s="26" t="s">
        <v>9426</v>
      </c>
      <c r="B3406" t="s">
        <v>8988</v>
      </c>
      <c r="C3406" t="s">
        <v>6481</v>
      </c>
      <c r="D3406" t="s">
        <v>8923</v>
      </c>
      <c r="E3406" t="s">
        <v>6479</v>
      </c>
      <c r="F3406"/>
      <c r="G3406" t="s">
        <v>8988</v>
      </c>
    </row>
    <row r="3407" spans="1:7">
      <c r="A3407" s="26" t="s">
        <v>9426</v>
      </c>
      <c r="B3407" t="s">
        <v>8989</v>
      </c>
      <c r="C3407" t="s">
        <v>6481</v>
      </c>
      <c r="D3407" t="s">
        <v>8923</v>
      </c>
      <c r="E3407" t="s">
        <v>6479</v>
      </c>
      <c r="F3407"/>
      <c r="G3407" t="s">
        <v>8989</v>
      </c>
    </row>
    <row r="3408" spans="1:7">
      <c r="A3408" s="26" t="s">
        <v>9426</v>
      </c>
      <c r="B3408" t="s">
        <v>8990</v>
      </c>
      <c r="C3408" t="s">
        <v>6481</v>
      </c>
      <c r="D3408" t="s">
        <v>8923</v>
      </c>
      <c r="E3408" t="s">
        <v>6479</v>
      </c>
      <c r="F3408"/>
      <c r="G3408" t="s">
        <v>8990</v>
      </c>
    </row>
    <row r="3409" spans="1:7">
      <c r="A3409" s="26" t="s">
        <v>9426</v>
      </c>
      <c r="B3409" t="s">
        <v>8991</v>
      </c>
      <c r="C3409" t="s">
        <v>6481</v>
      </c>
      <c r="D3409" t="s">
        <v>8923</v>
      </c>
      <c r="E3409" t="s">
        <v>6479</v>
      </c>
      <c r="F3409"/>
      <c r="G3409" t="s">
        <v>8991</v>
      </c>
    </row>
    <row r="3410" spans="1:7">
      <c r="A3410" s="26" t="s">
        <v>9426</v>
      </c>
      <c r="B3410" t="s">
        <v>8992</v>
      </c>
      <c r="C3410" t="s">
        <v>6481</v>
      </c>
      <c r="D3410" t="s">
        <v>8923</v>
      </c>
      <c r="E3410" t="s">
        <v>6479</v>
      </c>
      <c r="F3410"/>
      <c r="G3410" t="s">
        <v>8992</v>
      </c>
    </row>
    <row r="3411" spans="1:7">
      <c r="A3411" s="26" t="s">
        <v>9426</v>
      </c>
      <c r="B3411" t="s">
        <v>8993</v>
      </c>
      <c r="C3411" t="s">
        <v>6481</v>
      </c>
      <c r="D3411" t="s">
        <v>8923</v>
      </c>
      <c r="E3411" t="s">
        <v>6479</v>
      </c>
      <c r="F3411"/>
      <c r="G3411" t="s">
        <v>8993</v>
      </c>
    </row>
    <row r="3412" spans="1:7">
      <c r="A3412" s="26" t="s">
        <v>9426</v>
      </c>
      <c r="B3412" t="s">
        <v>8994</v>
      </c>
      <c r="C3412" t="s">
        <v>8995</v>
      </c>
      <c r="D3412" t="s">
        <v>8923</v>
      </c>
      <c r="E3412" t="s">
        <v>6479</v>
      </c>
      <c r="F3412"/>
      <c r="G3412" t="s">
        <v>6997</v>
      </c>
    </row>
    <row r="3413" spans="1:7">
      <c r="A3413" s="26" t="s">
        <v>9426</v>
      </c>
      <c r="B3413" t="s">
        <v>8996</v>
      </c>
      <c r="C3413" t="s">
        <v>6481</v>
      </c>
      <c r="D3413" t="s">
        <v>8923</v>
      </c>
      <c r="E3413" t="s">
        <v>6479</v>
      </c>
      <c r="F3413"/>
      <c r="G3413" t="s">
        <v>8997</v>
      </c>
    </row>
    <row r="3414" spans="1:7">
      <c r="A3414" s="26" t="s">
        <v>9426</v>
      </c>
      <c r="B3414" t="s">
        <v>8998</v>
      </c>
      <c r="C3414" t="s">
        <v>8999</v>
      </c>
      <c r="D3414" t="s">
        <v>8923</v>
      </c>
      <c r="E3414" t="s">
        <v>6479</v>
      </c>
      <c r="F3414"/>
      <c r="G3414" t="s">
        <v>8998</v>
      </c>
    </row>
    <row r="3415" spans="1:7">
      <c r="A3415" s="26" t="s">
        <v>9426</v>
      </c>
      <c r="B3415" t="s">
        <v>9000</v>
      </c>
      <c r="C3415" t="s">
        <v>6481</v>
      </c>
      <c r="D3415" t="s">
        <v>8923</v>
      </c>
      <c r="E3415" t="s">
        <v>6479</v>
      </c>
      <c r="F3415"/>
      <c r="G3415" t="s">
        <v>9001</v>
      </c>
    </row>
    <row r="3416" spans="1:7">
      <c r="A3416" s="26" t="s">
        <v>9426</v>
      </c>
      <c r="B3416" t="s">
        <v>9002</v>
      </c>
      <c r="C3416" t="s">
        <v>9003</v>
      </c>
      <c r="D3416" t="s">
        <v>8923</v>
      </c>
      <c r="E3416">
        <v>0</v>
      </c>
      <c r="F3416"/>
      <c r="G3416" t="s">
        <v>9004</v>
      </c>
    </row>
    <row r="3417" spans="1:7">
      <c r="A3417" s="26" t="s">
        <v>9426</v>
      </c>
      <c r="B3417" t="s">
        <v>9005</v>
      </c>
      <c r="C3417" t="s">
        <v>2057</v>
      </c>
      <c r="D3417" t="s">
        <v>8923</v>
      </c>
      <c r="E3417">
        <v>0</v>
      </c>
      <c r="F3417"/>
      <c r="G3417" t="s">
        <v>9006</v>
      </c>
    </row>
    <row r="3418" spans="1:7">
      <c r="A3418" s="26" t="s">
        <v>9426</v>
      </c>
      <c r="B3418" t="s">
        <v>9007</v>
      </c>
      <c r="C3418" t="s">
        <v>9008</v>
      </c>
      <c r="D3418" t="s">
        <v>8923</v>
      </c>
      <c r="E3418">
        <v>0</v>
      </c>
      <c r="F3418"/>
      <c r="G3418" t="s">
        <v>9009</v>
      </c>
    </row>
    <row r="3419" spans="1:7">
      <c r="A3419" s="26" t="s">
        <v>9426</v>
      </c>
      <c r="B3419" t="s">
        <v>9010</v>
      </c>
      <c r="C3419" t="s">
        <v>9011</v>
      </c>
      <c r="D3419" t="s">
        <v>8923</v>
      </c>
      <c r="E3419">
        <v>0</v>
      </c>
      <c r="F3419"/>
      <c r="G3419" t="s">
        <v>9010</v>
      </c>
    </row>
    <row r="3420" spans="1:7">
      <c r="A3420" s="26" t="s">
        <v>9426</v>
      </c>
      <c r="B3420" t="s">
        <v>9012</v>
      </c>
      <c r="C3420" t="s">
        <v>6701</v>
      </c>
      <c r="D3420" t="s">
        <v>8923</v>
      </c>
      <c r="E3420">
        <v>0</v>
      </c>
      <c r="F3420"/>
      <c r="G3420" t="s">
        <v>6702</v>
      </c>
    </row>
    <row r="3421" spans="1:7">
      <c r="A3421" s="26" t="s">
        <v>9426</v>
      </c>
      <c r="B3421" t="s">
        <v>9013</v>
      </c>
      <c r="C3421" t="s">
        <v>6701</v>
      </c>
      <c r="D3421" t="s">
        <v>8923</v>
      </c>
      <c r="E3421">
        <v>0</v>
      </c>
      <c r="F3421"/>
      <c r="G3421" t="s">
        <v>9013</v>
      </c>
    </row>
    <row r="3422" spans="1:7">
      <c r="A3422" s="26" t="s">
        <v>9426</v>
      </c>
      <c r="B3422" t="s">
        <v>9014</v>
      </c>
      <c r="C3422" t="s">
        <v>6701</v>
      </c>
      <c r="D3422" t="s">
        <v>8923</v>
      </c>
      <c r="E3422">
        <v>0</v>
      </c>
      <c r="F3422"/>
      <c r="G3422" t="s">
        <v>9014</v>
      </c>
    </row>
    <row r="3423" spans="1:7">
      <c r="A3423" s="26" t="s">
        <v>9426</v>
      </c>
      <c r="B3423" t="s">
        <v>9015</v>
      </c>
      <c r="C3423" t="s">
        <v>9016</v>
      </c>
      <c r="D3423" t="s">
        <v>8923</v>
      </c>
      <c r="E3423">
        <v>0</v>
      </c>
      <c r="F3423"/>
      <c r="G3423" t="s">
        <v>9017</v>
      </c>
    </row>
    <row r="3424" spans="1:7">
      <c r="A3424" s="26" t="s">
        <v>9426</v>
      </c>
      <c r="B3424" t="s">
        <v>9018</v>
      </c>
      <c r="C3424" t="s">
        <v>9019</v>
      </c>
      <c r="D3424" t="s">
        <v>8923</v>
      </c>
      <c r="E3424" t="s">
        <v>9020</v>
      </c>
      <c r="F3424"/>
      <c r="G3424" t="s">
        <v>9018</v>
      </c>
    </row>
    <row r="3425" spans="1:7">
      <c r="A3425" s="26" t="s">
        <v>9426</v>
      </c>
      <c r="B3425" t="s">
        <v>9021</v>
      </c>
      <c r="C3425" t="s">
        <v>9019</v>
      </c>
      <c r="D3425" t="s">
        <v>8923</v>
      </c>
      <c r="E3425">
        <v>0</v>
      </c>
      <c r="F3425"/>
      <c r="G3425" t="s">
        <v>9021</v>
      </c>
    </row>
    <row r="3426" spans="1:7">
      <c r="A3426" s="26" t="s">
        <v>9426</v>
      </c>
      <c r="B3426" t="s">
        <v>9022</v>
      </c>
      <c r="C3426" t="s">
        <v>9023</v>
      </c>
      <c r="D3426" t="s">
        <v>8923</v>
      </c>
      <c r="E3426" t="s">
        <v>9020</v>
      </c>
      <c r="F3426"/>
      <c r="G3426" t="s">
        <v>9024</v>
      </c>
    </row>
    <row r="3427" spans="1:7">
      <c r="A3427" s="26" t="s">
        <v>9426</v>
      </c>
      <c r="B3427" t="s">
        <v>9025</v>
      </c>
      <c r="C3427" t="s">
        <v>9019</v>
      </c>
      <c r="D3427" t="s">
        <v>8923</v>
      </c>
      <c r="E3427" t="s">
        <v>9020</v>
      </c>
      <c r="F3427"/>
      <c r="G3427" t="s">
        <v>9025</v>
      </c>
    </row>
    <row r="3428" spans="1:7">
      <c r="A3428" s="26" t="s">
        <v>9426</v>
      </c>
      <c r="B3428" t="s">
        <v>9026</v>
      </c>
      <c r="C3428" t="s">
        <v>7171</v>
      </c>
      <c r="D3428" t="s">
        <v>8923</v>
      </c>
      <c r="E3428" t="s">
        <v>9020</v>
      </c>
      <c r="F3428"/>
      <c r="G3428" t="s">
        <v>9026</v>
      </c>
    </row>
    <row r="3429" spans="1:7">
      <c r="A3429" s="26" t="s">
        <v>9426</v>
      </c>
      <c r="B3429" t="s">
        <v>9027</v>
      </c>
      <c r="C3429" t="s">
        <v>9019</v>
      </c>
      <c r="D3429" t="s">
        <v>8923</v>
      </c>
      <c r="E3429" t="s">
        <v>9020</v>
      </c>
      <c r="F3429"/>
      <c r="G3429" t="s">
        <v>9027</v>
      </c>
    </row>
    <row r="3430" spans="1:7">
      <c r="A3430" s="26" t="s">
        <v>9426</v>
      </c>
      <c r="B3430" t="s">
        <v>9028</v>
      </c>
      <c r="C3430" t="s">
        <v>9019</v>
      </c>
      <c r="D3430" t="s">
        <v>8923</v>
      </c>
      <c r="E3430" t="s">
        <v>9020</v>
      </c>
      <c r="F3430"/>
      <c r="G3430" t="s">
        <v>9028</v>
      </c>
    </row>
    <row r="3431" spans="1:7">
      <c r="A3431" s="26" t="s">
        <v>9426</v>
      </c>
      <c r="B3431" t="s">
        <v>9029</v>
      </c>
      <c r="C3431" t="s">
        <v>9019</v>
      </c>
      <c r="D3431" t="s">
        <v>8923</v>
      </c>
      <c r="E3431" t="s">
        <v>9020</v>
      </c>
      <c r="F3431"/>
      <c r="G3431" t="s">
        <v>9029</v>
      </c>
    </row>
    <row r="3432" spans="1:7">
      <c r="A3432" s="26" t="s">
        <v>9426</v>
      </c>
      <c r="B3432" t="s">
        <v>9030</v>
      </c>
      <c r="C3432" t="s">
        <v>9031</v>
      </c>
      <c r="D3432" t="s">
        <v>8923</v>
      </c>
      <c r="E3432" t="s">
        <v>9020</v>
      </c>
      <c r="F3432"/>
      <c r="G3432" t="s">
        <v>9030</v>
      </c>
    </row>
    <row r="3433" spans="1:7">
      <c r="A3433" s="26" t="s">
        <v>9426</v>
      </c>
      <c r="B3433" t="s">
        <v>9032</v>
      </c>
      <c r="C3433" t="s">
        <v>7167</v>
      </c>
      <c r="D3433" t="s">
        <v>8923</v>
      </c>
      <c r="E3433" t="s">
        <v>9020</v>
      </c>
      <c r="F3433"/>
      <c r="G3433" t="s">
        <v>9032</v>
      </c>
    </row>
    <row r="3434" spans="1:7">
      <c r="A3434" s="26" t="s">
        <v>9426</v>
      </c>
      <c r="B3434" t="s">
        <v>9033</v>
      </c>
      <c r="C3434" t="s">
        <v>9034</v>
      </c>
      <c r="D3434" t="s">
        <v>8923</v>
      </c>
      <c r="E3434" t="s">
        <v>9020</v>
      </c>
      <c r="F3434"/>
      <c r="G3434" t="s">
        <v>9035</v>
      </c>
    </row>
    <row r="3435" spans="1:7">
      <c r="A3435" s="26" t="s">
        <v>9426</v>
      </c>
      <c r="B3435" t="s">
        <v>9036</v>
      </c>
      <c r="C3435" t="s">
        <v>9037</v>
      </c>
      <c r="D3435" t="s">
        <v>8923</v>
      </c>
      <c r="E3435" t="s">
        <v>9020</v>
      </c>
      <c r="F3435"/>
      <c r="G3435" t="s">
        <v>9038</v>
      </c>
    </row>
    <row r="3436" spans="1:7">
      <c r="A3436" s="26" t="s">
        <v>9426</v>
      </c>
      <c r="B3436" t="s">
        <v>9039</v>
      </c>
      <c r="C3436" t="s">
        <v>9031</v>
      </c>
      <c r="D3436" t="s">
        <v>8923</v>
      </c>
      <c r="E3436" t="s">
        <v>9020</v>
      </c>
      <c r="F3436"/>
      <c r="G3436" t="s">
        <v>9040</v>
      </c>
    </row>
    <row r="3437" spans="1:7">
      <c r="A3437" s="26" t="s">
        <v>9426</v>
      </c>
      <c r="B3437" t="s">
        <v>9041</v>
      </c>
      <c r="C3437" t="s">
        <v>9031</v>
      </c>
      <c r="D3437" t="s">
        <v>8923</v>
      </c>
      <c r="E3437" t="s">
        <v>9020</v>
      </c>
      <c r="F3437"/>
      <c r="G3437" t="s">
        <v>9042</v>
      </c>
    </row>
    <row r="3438" spans="1:7">
      <c r="A3438" s="26" t="s">
        <v>9426</v>
      </c>
      <c r="B3438" t="s">
        <v>9043</v>
      </c>
      <c r="C3438" t="s">
        <v>9031</v>
      </c>
      <c r="D3438" t="s">
        <v>8923</v>
      </c>
      <c r="E3438" t="s">
        <v>9020</v>
      </c>
      <c r="F3438"/>
      <c r="G3438" t="s">
        <v>9043</v>
      </c>
    </row>
    <row r="3439" spans="1:7">
      <c r="A3439" s="26" t="s">
        <v>9426</v>
      </c>
      <c r="B3439" t="s">
        <v>9044</v>
      </c>
      <c r="C3439" t="s">
        <v>9045</v>
      </c>
      <c r="D3439" t="s">
        <v>8923</v>
      </c>
      <c r="E3439" t="s">
        <v>9020</v>
      </c>
      <c r="F3439"/>
      <c r="G3439" t="s">
        <v>9046</v>
      </c>
    </row>
    <row r="3440" spans="1:7">
      <c r="A3440" s="26" t="s">
        <v>9426</v>
      </c>
      <c r="B3440" t="s">
        <v>8138</v>
      </c>
      <c r="C3440" t="s">
        <v>8139</v>
      </c>
      <c r="D3440" t="s">
        <v>8923</v>
      </c>
      <c r="E3440" t="s">
        <v>9020</v>
      </c>
      <c r="F3440"/>
      <c r="G3440" t="s">
        <v>8138</v>
      </c>
    </row>
    <row r="3441" spans="1:7">
      <c r="A3441" s="26" t="s">
        <v>9426</v>
      </c>
      <c r="B3441" t="s">
        <v>9047</v>
      </c>
      <c r="C3441" t="s">
        <v>9048</v>
      </c>
      <c r="D3441" t="s">
        <v>8923</v>
      </c>
      <c r="E3441" t="s">
        <v>9020</v>
      </c>
      <c r="F3441"/>
      <c r="G3441" t="s">
        <v>9047</v>
      </c>
    </row>
    <row r="3442" spans="1:7">
      <c r="A3442" s="26" t="s">
        <v>9426</v>
      </c>
      <c r="B3442" t="s">
        <v>9049</v>
      </c>
      <c r="C3442" t="s">
        <v>9050</v>
      </c>
      <c r="D3442" t="s">
        <v>8923</v>
      </c>
      <c r="E3442" t="s">
        <v>9020</v>
      </c>
      <c r="F3442"/>
      <c r="G3442" t="s">
        <v>9049</v>
      </c>
    </row>
    <row r="3443" spans="1:7">
      <c r="A3443" s="26" t="s">
        <v>9426</v>
      </c>
      <c r="B3443" t="s">
        <v>9051</v>
      </c>
      <c r="C3443" t="s">
        <v>9052</v>
      </c>
      <c r="D3443" t="s">
        <v>8923</v>
      </c>
      <c r="E3443" t="s">
        <v>9020</v>
      </c>
      <c r="F3443"/>
      <c r="G3443" t="s">
        <v>9051</v>
      </c>
    </row>
    <row r="3444" spans="1:7">
      <c r="A3444" s="26" t="s">
        <v>9426</v>
      </c>
      <c r="B3444" t="s">
        <v>9053</v>
      </c>
      <c r="C3444" t="s">
        <v>9054</v>
      </c>
      <c r="D3444" t="s">
        <v>8923</v>
      </c>
      <c r="E3444" t="s">
        <v>9020</v>
      </c>
      <c r="F3444"/>
      <c r="G3444" t="s">
        <v>9055</v>
      </c>
    </row>
    <row r="3445" spans="1:7">
      <c r="A3445" s="26" t="s">
        <v>9426</v>
      </c>
      <c r="B3445" t="s">
        <v>9056</v>
      </c>
      <c r="C3445" t="s">
        <v>9057</v>
      </c>
      <c r="D3445" t="s">
        <v>8923</v>
      </c>
      <c r="E3445" t="s">
        <v>9020</v>
      </c>
      <c r="F3445"/>
      <c r="G3445" t="s">
        <v>9058</v>
      </c>
    </row>
    <row r="3446" spans="1:7">
      <c r="A3446" s="26" t="s">
        <v>9426</v>
      </c>
      <c r="B3446" t="s">
        <v>9059</v>
      </c>
      <c r="C3446" t="s">
        <v>9057</v>
      </c>
      <c r="D3446" t="s">
        <v>8923</v>
      </c>
      <c r="E3446" t="s">
        <v>9020</v>
      </c>
      <c r="F3446"/>
      <c r="G3446" t="s">
        <v>9060</v>
      </c>
    </row>
    <row r="3447" spans="1:7">
      <c r="A3447" s="26" t="s">
        <v>9426</v>
      </c>
      <c r="B3447" t="s">
        <v>9061</v>
      </c>
      <c r="C3447" t="s">
        <v>9062</v>
      </c>
      <c r="D3447" t="s">
        <v>8923</v>
      </c>
      <c r="E3447" t="s">
        <v>9020</v>
      </c>
      <c r="F3447"/>
      <c r="G3447" t="s">
        <v>9063</v>
      </c>
    </row>
    <row r="3448" spans="1:7">
      <c r="A3448" s="26" t="s">
        <v>9426</v>
      </c>
      <c r="B3448" t="s">
        <v>9064</v>
      </c>
      <c r="C3448" t="s">
        <v>9057</v>
      </c>
      <c r="D3448" t="s">
        <v>8923</v>
      </c>
      <c r="E3448" t="s">
        <v>9020</v>
      </c>
      <c r="F3448"/>
      <c r="G3448" t="s">
        <v>9065</v>
      </c>
    </row>
    <row r="3449" spans="1:7">
      <c r="A3449" s="26" t="s">
        <v>9426</v>
      </c>
      <c r="B3449" t="s">
        <v>9066</v>
      </c>
      <c r="C3449" t="s">
        <v>9019</v>
      </c>
      <c r="D3449" t="s">
        <v>8923</v>
      </c>
      <c r="E3449" t="s">
        <v>9020</v>
      </c>
      <c r="F3449"/>
      <c r="G3449" t="s">
        <v>9067</v>
      </c>
    </row>
    <row r="3450" spans="1:7">
      <c r="A3450" s="26" t="s">
        <v>9426</v>
      </c>
      <c r="B3450" t="s">
        <v>9068</v>
      </c>
      <c r="C3450" t="s">
        <v>7383</v>
      </c>
      <c r="D3450" t="s">
        <v>8923</v>
      </c>
      <c r="E3450" t="s">
        <v>9020</v>
      </c>
      <c r="F3450"/>
      <c r="G3450" t="s">
        <v>7384</v>
      </c>
    </row>
    <row r="3451" spans="1:7">
      <c r="A3451" s="26" t="s">
        <v>9426</v>
      </c>
      <c r="B3451" t="s">
        <v>9069</v>
      </c>
      <c r="C3451" t="s">
        <v>9070</v>
      </c>
      <c r="D3451" t="s">
        <v>8923</v>
      </c>
      <c r="E3451" t="s">
        <v>9020</v>
      </c>
      <c r="F3451"/>
      <c r="G3451" t="s">
        <v>9071</v>
      </c>
    </row>
    <row r="3452" spans="1:7">
      <c r="A3452" s="26" t="s">
        <v>9426</v>
      </c>
      <c r="B3452" t="s">
        <v>7350</v>
      </c>
      <c r="C3452" t="s">
        <v>7349</v>
      </c>
      <c r="D3452" t="s">
        <v>8923</v>
      </c>
      <c r="E3452" t="s">
        <v>9020</v>
      </c>
      <c r="F3452"/>
      <c r="G3452" t="s">
        <v>9072</v>
      </c>
    </row>
    <row r="3453" spans="1:7">
      <c r="A3453" s="26" t="s">
        <v>9426</v>
      </c>
      <c r="B3453" t="s">
        <v>9073</v>
      </c>
      <c r="C3453" t="s">
        <v>9019</v>
      </c>
      <c r="D3453" t="s">
        <v>8923</v>
      </c>
      <c r="E3453" t="s">
        <v>9020</v>
      </c>
      <c r="F3453"/>
      <c r="G3453" t="s">
        <v>9073</v>
      </c>
    </row>
    <row r="3454" spans="1:7">
      <c r="A3454" s="26" t="s">
        <v>9426</v>
      </c>
      <c r="B3454" t="s">
        <v>9074</v>
      </c>
      <c r="C3454" t="s">
        <v>9075</v>
      </c>
      <c r="D3454" t="s">
        <v>8923</v>
      </c>
      <c r="E3454" t="s">
        <v>9020</v>
      </c>
      <c r="F3454"/>
      <c r="G3454" t="s">
        <v>9074</v>
      </c>
    </row>
    <row r="3455" spans="1:7">
      <c r="A3455" s="26" t="s">
        <v>9426</v>
      </c>
      <c r="B3455" t="s">
        <v>9076</v>
      </c>
      <c r="C3455" t="s">
        <v>9075</v>
      </c>
      <c r="D3455" t="s">
        <v>8923</v>
      </c>
      <c r="E3455" t="s">
        <v>9020</v>
      </c>
      <c r="F3455"/>
      <c r="G3455" t="s">
        <v>9077</v>
      </c>
    </row>
    <row r="3456" spans="1:7">
      <c r="A3456" s="26" t="s">
        <v>9426</v>
      </c>
      <c r="B3456" t="s">
        <v>9078</v>
      </c>
      <c r="C3456" t="s">
        <v>9079</v>
      </c>
      <c r="D3456" t="s">
        <v>8923</v>
      </c>
      <c r="E3456" t="s">
        <v>9020</v>
      </c>
      <c r="F3456"/>
      <c r="G3456" t="s">
        <v>9078</v>
      </c>
    </row>
    <row r="3457" spans="1:7">
      <c r="A3457" s="26" t="s">
        <v>9426</v>
      </c>
      <c r="B3457" t="s">
        <v>9080</v>
      </c>
      <c r="C3457" t="s">
        <v>7197</v>
      </c>
      <c r="D3457" t="s">
        <v>8923</v>
      </c>
      <c r="E3457" t="s">
        <v>9020</v>
      </c>
      <c r="F3457"/>
      <c r="G3457" t="s">
        <v>9081</v>
      </c>
    </row>
    <row r="3458" spans="1:7">
      <c r="A3458" s="26" t="s">
        <v>9426</v>
      </c>
      <c r="B3458" t="s">
        <v>9082</v>
      </c>
      <c r="C3458" t="s">
        <v>9083</v>
      </c>
      <c r="D3458" t="s">
        <v>8923</v>
      </c>
      <c r="E3458" t="s">
        <v>9020</v>
      </c>
      <c r="F3458"/>
      <c r="G3458" t="s">
        <v>9084</v>
      </c>
    </row>
    <row r="3459" spans="1:7">
      <c r="A3459" s="26" t="s">
        <v>9426</v>
      </c>
      <c r="B3459" t="s">
        <v>9085</v>
      </c>
      <c r="C3459" t="s">
        <v>7197</v>
      </c>
      <c r="D3459" t="s">
        <v>8923</v>
      </c>
      <c r="E3459" t="s">
        <v>9020</v>
      </c>
      <c r="F3459"/>
      <c r="G3459" t="s">
        <v>9085</v>
      </c>
    </row>
    <row r="3460" spans="1:7">
      <c r="A3460" s="26" t="s">
        <v>9426</v>
      </c>
      <c r="B3460" t="s">
        <v>9086</v>
      </c>
      <c r="C3460" t="s">
        <v>9087</v>
      </c>
      <c r="D3460" t="s">
        <v>8923</v>
      </c>
      <c r="E3460" t="s">
        <v>9020</v>
      </c>
      <c r="F3460"/>
      <c r="G3460" t="s">
        <v>9088</v>
      </c>
    </row>
    <row r="3461" spans="1:7">
      <c r="A3461" s="26" t="s">
        <v>9426</v>
      </c>
      <c r="B3461" t="s">
        <v>9089</v>
      </c>
      <c r="C3461" t="s">
        <v>9087</v>
      </c>
      <c r="D3461" t="s">
        <v>8923</v>
      </c>
      <c r="E3461" t="s">
        <v>9020</v>
      </c>
      <c r="F3461"/>
      <c r="G3461" t="s">
        <v>9090</v>
      </c>
    </row>
    <row r="3462" spans="1:7">
      <c r="A3462" s="26" t="s">
        <v>9426</v>
      </c>
      <c r="B3462" t="s">
        <v>9091</v>
      </c>
      <c r="C3462" t="s">
        <v>9092</v>
      </c>
      <c r="D3462" t="s">
        <v>8923</v>
      </c>
      <c r="E3462" t="s">
        <v>9020</v>
      </c>
      <c r="F3462"/>
      <c r="G3462" t="s">
        <v>9093</v>
      </c>
    </row>
    <row r="3463" spans="1:7">
      <c r="A3463" s="26" t="s">
        <v>9426</v>
      </c>
      <c r="B3463" t="s">
        <v>9094</v>
      </c>
      <c r="C3463" t="s">
        <v>9087</v>
      </c>
      <c r="D3463" t="s">
        <v>8923</v>
      </c>
      <c r="E3463" t="s">
        <v>9020</v>
      </c>
      <c r="F3463"/>
      <c r="G3463" t="s">
        <v>9095</v>
      </c>
    </row>
    <row r="3464" spans="1:7">
      <c r="A3464" s="26" t="s">
        <v>9426</v>
      </c>
      <c r="B3464" t="s">
        <v>9096</v>
      </c>
      <c r="C3464" t="s">
        <v>9092</v>
      </c>
      <c r="D3464" t="s">
        <v>8923</v>
      </c>
      <c r="E3464" t="s">
        <v>9020</v>
      </c>
      <c r="F3464"/>
      <c r="G3464" t="s">
        <v>9097</v>
      </c>
    </row>
    <row r="3465" spans="1:7">
      <c r="A3465" s="26" t="s">
        <v>9426</v>
      </c>
      <c r="B3465" t="s">
        <v>9098</v>
      </c>
      <c r="C3465" t="s">
        <v>9092</v>
      </c>
      <c r="D3465" t="s">
        <v>8923</v>
      </c>
      <c r="E3465" t="s">
        <v>9020</v>
      </c>
      <c r="F3465"/>
      <c r="G3465" t="s">
        <v>9099</v>
      </c>
    </row>
    <row r="3466" spans="1:7">
      <c r="A3466" s="26" t="s">
        <v>9426</v>
      </c>
      <c r="B3466" t="s">
        <v>9100</v>
      </c>
      <c r="C3466" t="s">
        <v>9057</v>
      </c>
      <c r="D3466" t="s">
        <v>8923</v>
      </c>
      <c r="E3466" t="s">
        <v>9020</v>
      </c>
      <c r="F3466"/>
      <c r="G3466" t="s">
        <v>9101</v>
      </c>
    </row>
    <row r="3467" spans="1:7">
      <c r="A3467" s="26" t="s">
        <v>9426</v>
      </c>
      <c r="B3467" t="s">
        <v>9102</v>
      </c>
      <c r="C3467" t="s">
        <v>9057</v>
      </c>
      <c r="D3467" t="s">
        <v>8923</v>
      </c>
      <c r="E3467" t="s">
        <v>9020</v>
      </c>
      <c r="F3467"/>
      <c r="G3467" t="s">
        <v>9103</v>
      </c>
    </row>
    <row r="3468" spans="1:7">
      <c r="A3468" s="26" t="s">
        <v>9426</v>
      </c>
      <c r="B3468" t="s">
        <v>9104</v>
      </c>
      <c r="C3468" t="s">
        <v>9105</v>
      </c>
      <c r="D3468" t="s">
        <v>8923</v>
      </c>
      <c r="E3468" t="s">
        <v>9020</v>
      </c>
      <c r="F3468"/>
      <c r="G3468" t="s">
        <v>9106</v>
      </c>
    </row>
    <row r="3469" spans="1:7">
      <c r="A3469" s="26" t="s">
        <v>9426</v>
      </c>
      <c r="B3469" t="s">
        <v>9107</v>
      </c>
      <c r="C3469" t="s">
        <v>9108</v>
      </c>
      <c r="D3469" t="s">
        <v>8923</v>
      </c>
      <c r="E3469" t="s">
        <v>9020</v>
      </c>
      <c r="F3469"/>
      <c r="G3469" t="s">
        <v>9109</v>
      </c>
    </row>
    <row r="3470" spans="1:7">
      <c r="A3470" s="26" t="s">
        <v>9426</v>
      </c>
      <c r="B3470" t="s">
        <v>9110</v>
      </c>
      <c r="C3470" t="s">
        <v>9108</v>
      </c>
      <c r="D3470" t="s">
        <v>8923</v>
      </c>
      <c r="E3470" t="s">
        <v>9020</v>
      </c>
      <c r="F3470"/>
      <c r="G3470" t="s">
        <v>9111</v>
      </c>
    </row>
    <row r="3471" spans="1:7">
      <c r="A3471" s="26" t="s">
        <v>9426</v>
      </c>
      <c r="B3471" t="s">
        <v>9112</v>
      </c>
      <c r="C3471" t="s">
        <v>9113</v>
      </c>
      <c r="D3471" t="s">
        <v>8923</v>
      </c>
      <c r="E3471" t="s">
        <v>9020</v>
      </c>
      <c r="F3471"/>
      <c r="G3471" t="s">
        <v>9114</v>
      </c>
    </row>
    <row r="3472" spans="1:7">
      <c r="A3472" s="26" t="s">
        <v>9426</v>
      </c>
      <c r="B3472" t="s">
        <v>9115</v>
      </c>
      <c r="C3472" t="s">
        <v>9116</v>
      </c>
      <c r="D3472" t="s">
        <v>8923</v>
      </c>
      <c r="E3472" t="s">
        <v>9020</v>
      </c>
      <c r="F3472"/>
      <c r="G3472" t="s">
        <v>9117</v>
      </c>
    </row>
    <row r="3473" spans="1:7">
      <c r="A3473" s="26" t="s">
        <v>9426</v>
      </c>
      <c r="B3473" t="s">
        <v>9118</v>
      </c>
      <c r="C3473" t="s">
        <v>8379</v>
      </c>
      <c r="D3473" t="s">
        <v>8923</v>
      </c>
      <c r="E3473" t="s">
        <v>9020</v>
      </c>
      <c r="F3473"/>
      <c r="G3473" t="s">
        <v>9119</v>
      </c>
    </row>
    <row r="3474" spans="1:7">
      <c r="A3474" s="26" t="s">
        <v>9426</v>
      </c>
      <c r="B3474" t="s">
        <v>9120</v>
      </c>
      <c r="C3474" t="s">
        <v>9121</v>
      </c>
      <c r="D3474" t="s">
        <v>8923</v>
      </c>
      <c r="E3474" t="s">
        <v>9020</v>
      </c>
      <c r="F3474"/>
      <c r="G3474" t="s">
        <v>9122</v>
      </c>
    </row>
    <row r="3475" spans="1:7">
      <c r="A3475" s="26" t="s">
        <v>9426</v>
      </c>
      <c r="B3475" t="s">
        <v>9123</v>
      </c>
      <c r="C3475" t="s">
        <v>9075</v>
      </c>
      <c r="D3475" t="s">
        <v>8923</v>
      </c>
      <c r="E3475" t="s">
        <v>9020</v>
      </c>
      <c r="F3475"/>
      <c r="G3475" t="s">
        <v>9124</v>
      </c>
    </row>
    <row r="3476" spans="1:7">
      <c r="A3476" s="26" t="s">
        <v>9426</v>
      </c>
      <c r="B3476" t="s">
        <v>9125</v>
      </c>
      <c r="C3476" t="s">
        <v>9057</v>
      </c>
      <c r="D3476" t="s">
        <v>8923</v>
      </c>
      <c r="E3476" t="s">
        <v>9020</v>
      </c>
      <c r="F3476"/>
      <c r="G3476" t="s">
        <v>9126</v>
      </c>
    </row>
    <row r="3477" spans="1:7">
      <c r="A3477" s="26" t="s">
        <v>9426</v>
      </c>
      <c r="B3477" t="s">
        <v>9127</v>
      </c>
      <c r="C3477" t="s">
        <v>9105</v>
      </c>
      <c r="D3477" t="s">
        <v>8923</v>
      </c>
      <c r="E3477" t="s">
        <v>9020</v>
      </c>
      <c r="F3477"/>
      <c r="G3477" t="s">
        <v>9128</v>
      </c>
    </row>
    <row r="3478" spans="1:7">
      <c r="A3478" s="26" t="s">
        <v>9426</v>
      </c>
      <c r="B3478" t="s">
        <v>9129</v>
      </c>
      <c r="C3478" t="s">
        <v>9105</v>
      </c>
      <c r="D3478" t="s">
        <v>8923</v>
      </c>
      <c r="E3478" t="s">
        <v>9020</v>
      </c>
      <c r="F3478"/>
      <c r="G3478" t="s">
        <v>9130</v>
      </c>
    </row>
    <row r="3479" spans="1:7">
      <c r="A3479" s="26" t="s">
        <v>9426</v>
      </c>
      <c r="B3479" t="s">
        <v>9131</v>
      </c>
      <c r="C3479" t="s">
        <v>9132</v>
      </c>
      <c r="D3479" t="s">
        <v>8923</v>
      </c>
      <c r="E3479" t="s">
        <v>9020</v>
      </c>
      <c r="F3479"/>
      <c r="G3479" t="s">
        <v>9131</v>
      </c>
    </row>
    <row r="3480" spans="1:7">
      <c r="A3480" s="26" t="s">
        <v>9426</v>
      </c>
      <c r="B3480" t="s">
        <v>9133</v>
      </c>
      <c r="C3480" t="s">
        <v>9134</v>
      </c>
      <c r="D3480" t="s">
        <v>8923</v>
      </c>
      <c r="E3480" t="s">
        <v>9020</v>
      </c>
      <c r="F3480"/>
      <c r="G3480" t="s">
        <v>9135</v>
      </c>
    </row>
    <row r="3481" spans="1:7">
      <c r="A3481" s="26" t="s">
        <v>9426</v>
      </c>
      <c r="B3481" t="s">
        <v>9136</v>
      </c>
      <c r="C3481" t="s">
        <v>9137</v>
      </c>
      <c r="D3481" t="s">
        <v>8923</v>
      </c>
      <c r="E3481" t="s">
        <v>9020</v>
      </c>
      <c r="F3481"/>
      <c r="G3481" t="s">
        <v>9138</v>
      </c>
    </row>
    <row r="3482" spans="1:7">
      <c r="A3482" s="26" t="s">
        <v>9426</v>
      </c>
      <c r="B3482" t="s">
        <v>9139</v>
      </c>
      <c r="C3482" t="s">
        <v>9140</v>
      </c>
      <c r="D3482" t="s">
        <v>8923</v>
      </c>
      <c r="E3482" t="s">
        <v>9020</v>
      </c>
      <c r="F3482"/>
      <c r="G3482" t="s">
        <v>9141</v>
      </c>
    </row>
    <row r="3483" spans="1:7">
      <c r="A3483" s="26" t="s">
        <v>9426</v>
      </c>
      <c r="B3483" t="s">
        <v>9142</v>
      </c>
      <c r="C3483" t="s">
        <v>9092</v>
      </c>
      <c r="D3483" t="s">
        <v>8923</v>
      </c>
      <c r="E3483" t="s">
        <v>9020</v>
      </c>
      <c r="F3483"/>
      <c r="G3483" t="s">
        <v>9143</v>
      </c>
    </row>
    <row r="3484" spans="1:7">
      <c r="A3484" s="26" t="s">
        <v>9426</v>
      </c>
      <c r="B3484" t="s">
        <v>9144</v>
      </c>
      <c r="C3484" t="s">
        <v>9087</v>
      </c>
      <c r="D3484" t="s">
        <v>8923</v>
      </c>
      <c r="E3484" t="s">
        <v>9020</v>
      </c>
      <c r="F3484"/>
      <c r="G3484" t="s">
        <v>9145</v>
      </c>
    </row>
    <row r="3485" spans="1:7">
      <c r="A3485" s="26" t="s">
        <v>9426</v>
      </c>
      <c r="B3485" t="s">
        <v>9146</v>
      </c>
      <c r="C3485" t="s">
        <v>7197</v>
      </c>
      <c r="D3485" t="s">
        <v>8923</v>
      </c>
      <c r="E3485" t="s">
        <v>9020</v>
      </c>
      <c r="F3485"/>
      <c r="G3485" t="s">
        <v>7198</v>
      </c>
    </row>
    <row r="3486" spans="1:7">
      <c r="A3486" s="26" t="s">
        <v>9426</v>
      </c>
      <c r="B3486" t="s">
        <v>9147</v>
      </c>
      <c r="C3486" t="s">
        <v>9148</v>
      </c>
      <c r="D3486" t="s">
        <v>8923</v>
      </c>
      <c r="E3486" t="s">
        <v>9020</v>
      </c>
      <c r="F3486"/>
      <c r="G3486" t="s">
        <v>9149</v>
      </c>
    </row>
    <row r="3487" spans="1:7">
      <c r="A3487" s="26" t="s">
        <v>9426</v>
      </c>
      <c r="B3487" t="s">
        <v>9150</v>
      </c>
      <c r="C3487" t="s">
        <v>7171</v>
      </c>
      <c r="D3487" t="s">
        <v>8923</v>
      </c>
      <c r="E3487" t="s">
        <v>9020</v>
      </c>
      <c r="F3487"/>
      <c r="G3487" t="s">
        <v>7172</v>
      </c>
    </row>
    <row r="3488" spans="1:7">
      <c r="A3488" s="26" t="s">
        <v>9426</v>
      </c>
      <c r="B3488" t="s">
        <v>9151</v>
      </c>
      <c r="C3488" t="s">
        <v>7197</v>
      </c>
      <c r="D3488" t="s">
        <v>8923</v>
      </c>
      <c r="E3488" t="s">
        <v>9020</v>
      </c>
      <c r="F3488"/>
      <c r="G3488" t="s">
        <v>9152</v>
      </c>
    </row>
    <row r="3489" spans="1:7">
      <c r="A3489" s="26" t="s">
        <v>9426</v>
      </c>
      <c r="B3489" t="s">
        <v>9153</v>
      </c>
      <c r="C3489" t="s">
        <v>9154</v>
      </c>
      <c r="D3489" t="s">
        <v>8923</v>
      </c>
      <c r="E3489" t="s">
        <v>9020</v>
      </c>
      <c r="F3489"/>
      <c r="G3489" t="s">
        <v>9155</v>
      </c>
    </row>
    <row r="3490" spans="1:7">
      <c r="A3490" s="26" t="s">
        <v>9426</v>
      </c>
      <c r="B3490" t="s">
        <v>9156</v>
      </c>
      <c r="C3490" t="s">
        <v>7197</v>
      </c>
      <c r="D3490" t="s">
        <v>8923</v>
      </c>
      <c r="E3490" t="s">
        <v>9020</v>
      </c>
      <c r="F3490"/>
      <c r="G3490" t="s">
        <v>9156</v>
      </c>
    </row>
    <row r="3491" spans="1:7">
      <c r="A3491" s="26" t="s">
        <v>9426</v>
      </c>
      <c r="B3491" t="s">
        <v>9157</v>
      </c>
      <c r="C3491" t="s">
        <v>9158</v>
      </c>
      <c r="D3491" t="s">
        <v>8923</v>
      </c>
      <c r="E3491" t="s">
        <v>9020</v>
      </c>
      <c r="F3491"/>
      <c r="G3491" t="s">
        <v>9159</v>
      </c>
    </row>
    <row r="3492" spans="1:7">
      <c r="A3492" s="26" t="s">
        <v>9426</v>
      </c>
      <c r="B3492" t="s">
        <v>9160</v>
      </c>
      <c r="C3492" t="s">
        <v>9158</v>
      </c>
      <c r="D3492" t="s">
        <v>8923</v>
      </c>
      <c r="E3492" t="s">
        <v>9020</v>
      </c>
      <c r="F3492"/>
      <c r="G3492" t="s">
        <v>9161</v>
      </c>
    </row>
    <row r="3493" spans="1:7">
      <c r="A3493" s="26" t="s">
        <v>9426</v>
      </c>
      <c r="B3493" t="s">
        <v>9162</v>
      </c>
      <c r="C3493" t="s">
        <v>9158</v>
      </c>
      <c r="D3493" t="s">
        <v>8923</v>
      </c>
      <c r="E3493" t="s">
        <v>9020</v>
      </c>
      <c r="F3493"/>
      <c r="G3493" t="s">
        <v>9162</v>
      </c>
    </row>
    <row r="3494" spans="1:7">
      <c r="A3494" s="26" t="s">
        <v>9426</v>
      </c>
      <c r="B3494" t="s">
        <v>9163</v>
      </c>
      <c r="C3494" t="s">
        <v>7102</v>
      </c>
      <c r="D3494" t="s">
        <v>8923</v>
      </c>
      <c r="E3494" t="s">
        <v>9020</v>
      </c>
      <c r="F3494"/>
      <c r="G3494" t="s">
        <v>9163</v>
      </c>
    </row>
    <row r="3495" spans="1:7">
      <c r="A3495" s="26" t="s">
        <v>9426</v>
      </c>
      <c r="B3495" t="s">
        <v>9164</v>
      </c>
      <c r="C3495" t="s">
        <v>9165</v>
      </c>
      <c r="D3495" t="s">
        <v>8923</v>
      </c>
      <c r="E3495" t="s">
        <v>9020</v>
      </c>
      <c r="F3495"/>
      <c r="G3495" t="s">
        <v>9166</v>
      </c>
    </row>
    <row r="3496" spans="1:7">
      <c r="A3496" s="26" t="s">
        <v>9426</v>
      </c>
      <c r="B3496" t="s">
        <v>9167</v>
      </c>
      <c r="C3496" t="s">
        <v>9168</v>
      </c>
      <c r="D3496" t="s">
        <v>8923</v>
      </c>
      <c r="E3496" t="s">
        <v>9020</v>
      </c>
      <c r="F3496"/>
      <c r="G3496" t="s">
        <v>9169</v>
      </c>
    </row>
    <row r="3497" spans="1:7">
      <c r="A3497" s="26" t="s">
        <v>9426</v>
      </c>
      <c r="B3497" t="s">
        <v>9170</v>
      </c>
      <c r="C3497" t="s">
        <v>9168</v>
      </c>
      <c r="D3497" t="s">
        <v>8923</v>
      </c>
      <c r="E3497" t="s">
        <v>9020</v>
      </c>
      <c r="F3497"/>
      <c r="G3497" t="s">
        <v>9171</v>
      </c>
    </row>
    <row r="3498" spans="1:7">
      <c r="A3498" s="26" t="s">
        <v>9426</v>
      </c>
      <c r="B3498" t="s">
        <v>9172</v>
      </c>
      <c r="C3498" t="s">
        <v>7349</v>
      </c>
      <c r="D3498" t="s">
        <v>8923</v>
      </c>
      <c r="E3498" t="s">
        <v>9020</v>
      </c>
      <c r="F3498"/>
      <c r="G3498" t="s">
        <v>9173</v>
      </c>
    </row>
    <row r="3499" spans="1:7">
      <c r="A3499" s="26" t="s">
        <v>9426</v>
      </c>
      <c r="B3499" t="s">
        <v>9174</v>
      </c>
      <c r="C3499" t="s">
        <v>9175</v>
      </c>
      <c r="D3499" t="s">
        <v>8923</v>
      </c>
      <c r="E3499" t="s">
        <v>9020</v>
      </c>
      <c r="F3499"/>
      <c r="G3499" t="s">
        <v>9176</v>
      </c>
    </row>
    <row r="3500" spans="1:7">
      <c r="A3500" s="26" t="s">
        <v>9426</v>
      </c>
      <c r="B3500" t="s">
        <v>9177</v>
      </c>
      <c r="C3500" t="s">
        <v>7349</v>
      </c>
      <c r="D3500" t="s">
        <v>8923</v>
      </c>
      <c r="E3500" t="s">
        <v>9020</v>
      </c>
      <c r="F3500"/>
      <c r="G3500" t="s">
        <v>9177</v>
      </c>
    </row>
    <row r="3501" spans="1:7">
      <c r="A3501" s="26" t="s">
        <v>9426</v>
      </c>
      <c r="B3501" t="s">
        <v>9178</v>
      </c>
      <c r="C3501" t="s">
        <v>9179</v>
      </c>
      <c r="D3501" t="s">
        <v>8923</v>
      </c>
      <c r="E3501" t="s">
        <v>9020</v>
      </c>
      <c r="F3501"/>
      <c r="G3501" t="s">
        <v>9180</v>
      </c>
    </row>
    <row r="3502" spans="1:7">
      <c r="A3502" s="26" t="s">
        <v>9426</v>
      </c>
      <c r="B3502" t="s">
        <v>9181</v>
      </c>
      <c r="C3502" t="s">
        <v>9182</v>
      </c>
      <c r="D3502" t="s">
        <v>8923</v>
      </c>
      <c r="E3502" t="s">
        <v>9020</v>
      </c>
      <c r="F3502"/>
      <c r="G3502" t="s">
        <v>9183</v>
      </c>
    </row>
    <row r="3503" spans="1:7">
      <c r="A3503" s="26" t="s">
        <v>9426</v>
      </c>
      <c r="B3503" t="s">
        <v>9184</v>
      </c>
      <c r="C3503" t="s">
        <v>9185</v>
      </c>
      <c r="D3503" t="s">
        <v>8923</v>
      </c>
      <c r="E3503" t="s">
        <v>9020</v>
      </c>
      <c r="F3503"/>
      <c r="G3503" t="s">
        <v>9184</v>
      </c>
    </row>
    <row r="3504" spans="1:7">
      <c r="A3504" s="26" t="s">
        <v>9426</v>
      </c>
      <c r="B3504" t="s">
        <v>9186</v>
      </c>
      <c r="C3504" t="s">
        <v>9185</v>
      </c>
      <c r="D3504" t="s">
        <v>8923</v>
      </c>
      <c r="E3504" t="s">
        <v>9020</v>
      </c>
      <c r="F3504"/>
      <c r="G3504" t="s">
        <v>9186</v>
      </c>
    </row>
    <row r="3505" spans="1:7">
      <c r="A3505" s="26" t="s">
        <v>9426</v>
      </c>
      <c r="B3505" t="s">
        <v>9187</v>
      </c>
      <c r="C3505" t="s">
        <v>9185</v>
      </c>
      <c r="D3505" t="s">
        <v>8923</v>
      </c>
      <c r="E3505" t="s">
        <v>9020</v>
      </c>
      <c r="F3505"/>
      <c r="G3505" t="s">
        <v>9187</v>
      </c>
    </row>
    <row r="3506" spans="1:7">
      <c r="A3506" s="26" t="s">
        <v>9426</v>
      </c>
      <c r="B3506" t="s">
        <v>9188</v>
      </c>
      <c r="C3506" t="s">
        <v>9189</v>
      </c>
      <c r="D3506" t="s">
        <v>8923</v>
      </c>
      <c r="E3506" t="s">
        <v>9020</v>
      </c>
      <c r="F3506"/>
      <c r="G3506" t="s">
        <v>9035</v>
      </c>
    </row>
    <row r="3507" spans="1:7">
      <c r="A3507" s="26" t="s">
        <v>9426</v>
      </c>
      <c r="B3507" t="s">
        <v>9190</v>
      </c>
      <c r="C3507" t="s">
        <v>9087</v>
      </c>
      <c r="D3507" t="s">
        <v>8923</v>
      </c>
      <c r="E3507" t="s">
        <v>9020</v>
      </c>
      <c r="F3507"/>
      <c r="G3507" t="s">
        <v>9191</v>
      </c>
    </row>
    <row r="3508" spans="1:7">
      <c r="A3508" s="26" t="s">
        <v>9426</v>
      </c>
      <c r="B3508" t="s">
        <v>9192</v>
      </c>
      <c r="C3508" t="s">
        <v>9193</v>
      </c>
      <c r="D3508" t="s">
        <v>8923</v>
      </c>
      <c r="E3508" t="s">
        <v>9020</v>
      </c>
      <c r="F3508"/>
      <c r="G3508" t="s">
        <v>9192</v>
      </c>
    </row>
    <row r="3509" spans="1:7">
      <c r="A3509" s="26" t="s">
        <v>9426</v>
      </c>
      <c r="B3509" t="s">
        <v>9194</v>
      </c>
      <c r="C3509" t="s">
        <v>9195</v>
      </c>
      <c r="D3509" t="s">
        <v>8923</v>
      </c>
      <c r="E3509" t="s">
        <v>9020</v>
      </c>
      <c r="F3509"/>
      <c r="G3509" t="s">
        <v>9196</v>
      </c>
    </row>
    <row r="3510" spans="1:7">
      <c r="A3510" s="26" t="s">
        <v>9426</v>
      </c>
      <c r="B3510" t="s">
        <v>9197</v>
      </c>
      <c r="C3510" t="s">
        <v>9198</v>
      </c>
      <c r="D3510" t="s">
        <v>8923</v>
      </c>
      <c r="E3510" t="s">
        <v>9020</v>
      </c>
      <c r="F3510"/>
      <c r="G3510" t="s">
        <v>9197</v>
      </c>
    </row>
    <row r="3511" spans="1:7">
      <c r="A3511" s="26" t="s">
        <v>9426</v>
      </c>
      <c r="B3511" t="s">
        <v>9199</v>
      </c>
      <c r="C3511" t="s">
        <v>9200</v>
      </c>
      <c r="D3511" t="s">
        <v>8923</v>
      </c>
      <c r="E3511" t="s">
        <v>9020</v>
      </c>
      <c r="F3511"/>
      <c r="G3511" t="s">
        <v>9201</v>
      </c>
    </row>
    <row r="3512" spans="1:7">
      <c r="A3512" s="26" t="s">
        <v>9426</v>
      </c>
      <c r="B3512" t="s">
        <v>9202</v>
      </c>
      <c r="C3512" t="s">
        <v>9203</v>
      </c>
      <c r="D3512" t="s">
        <v>8923</v>
      </c>
      <c r="E3512" t="s">
        <v>9020</v>
      </c>
      <c r="F3512"/>
      <c r="G3512" t="s">
        <v>9202</v>
      </c>
    </row>
    <row r="3513" spans="1:7">
      <c r="A3513" s="26" t="s">
        <v>9426</v>
      </c>
      <c r="B3513" t="s">
        <v>9204</v>
      </c>
      <c r="C3513" t="s">
        <v>9203</v>
      </c>
      <c r="D3513" t="s">
        <v>8923</v>
      </c>
      <c r="E3513" t="s">
        <v>9020</v>
      </c>
      <c r="F3513"/>
      <c r="G3513" t="s">
        <v>9205</v>
      </c>
    </row>
    <row r="3514" spans="1:7">
      <c r="A3514" s="26" t="s">
        <v>9426</v>
      </c>
      <c r="B3514" t="s">
        <v>9206</v>
      </c>
      <c r="C3514" t="s">
        <v>9200</v>
      </c>
      <c r="D3514" t="s">
        <v>8923</v>
      </c>
      <c r="E3514" t="s">
        <v>9020</v>
      </c>
      <c r="F3514"/>
      <c r="G3514" t="s">
        <v>9206</v>
      </c>
    </row>
    <row r="3515" spans="1:7">
      <c r="A3515" s="26" t="s">
        <v>9426</v>
      </c>
      <c r="B3515" t="s">
        <v>9207</v>
      </c>
      <c r="C3515" t="s">
        <v>9208</v>
      </c>
      <c r="D3515" t="s">
        <v>8923</v>
      </c>
      <c r="E3515" t="s">
        <v>9020</v>
      </c>
      <c r="F3515"/>
      <c r="G3515" t="s">
        <v>9207</v>
      </c>
    </row>
    <row r="3516" spans="1:7">
      <c r="A3516" s="26" t="s">
        <v>9426</v>
      </c>
      <c r="B3516" t="s">
        <v>9209</v>
      </c>
      <c r="C3516" t="s">
        <v>9210</v>
      </c>
      <c r="D3516" t="s">
        <v>8923</v>
      </c>
      <c r="E3516" t="s">
        <v>9020</v>
      </c>
      <c r="F3516"/>
      <c r="G3516" t="s">
        <v>9209</v>
      </c>
    </row>
    <row r="3517" spans="1:7">
      <c r="A3517" s="26" t="s">
        <v>9426</v>
      </c>
      <c r="B3517" t="s">
        <v>9211</v>
      </c>
      <c r="C3517" t="s">
        <v>9212</v>
      </c>
      <c r="D3517" t="s">
        <v>8923</v>
      </c>
      <c r="E3517" t="s">
        <v>9020</v>
      </c>
      <c r="F3517"/>
      <c r="G3517" t="s">
        <v>9211</v>
      </c>
    </row>
    <row r="3518" spans="1:7">
      <c r="A3518" s="26" t="s">
        <v>9426</v>
      </c>
      <c r="B3518" t="s">
        <v>9213</v>
      </c>
      <c r="C3518" t="s">
        <v>9079</v>
      </c>
      <c r="D3518" t="s">
        <v>8923</v>
      </c>
      <c r="E3518" t="s">
        <v>9020</v>
      </c>
      <c r="F3518"/>
      <c r="G3518" t="s">
        <v>9214</v>
      </c>
    </row>
    <row r="3519" spans="1:7">
      <c r="A3519" s="26" t="s">
        <v>9426</v>
      </c>
      <c r="B3519" t="s">
        <v>9215</v>
      </c>
      <c r="C3519" t="s">
        <v>9216</v>
      </c>
      <c r="D3519" t="s">
        <v>8923</v>
      </c>
      <c r="E3519" t="s">
        <v>9020</v>
      </c>
      <c r="F3519"/>
      <c r="G3519" t="s">
        <v>9217</v>
      </c>
    </row>
    <row r="3520" spans="1:7">
      <c r="A3520" s="26" t="s">
        <v>9426</v>
      </c>
      <c r="B3520" t="s">
        <v>9218</v>
      </c>
      <c r="C3520" t="s">
        <v>9219</v>
      </c>
      <c r="D3520" t="s">
        <v>8923</v>
      </c>
      <c r="E3520" t="s">
        <v>9020</v>
      </c>
      <c r="F3520"/>
      <c r="G3520" t="s">
        <v>9220</v>
      </c>
    </row>
    <row r="3521" spans="1:7">
      <c r="A3521" s="26" t="s">
        <v>9426</v>
      </c>
      <c r="B3521" t="s">
        <v>9221</v>
      </c>
      <c r="C3521" t="s">
        <v>9222</v>
      </c>
      <c r="D3521" t="s">
        <v>8923</v>
      </c>
      <c r="E3521" t="s">
        <v>9020</v>
      </c>
      <c r="F3521"/>
      <c r="G3521" t="s">
        <v>9223</v>
      </c>
    </row>
    <row r="3522" spans="1:7">
      <c r="A3522" s="26" t="s">
        <v>9426</v>
      </c>
      <c r="B3522" t="s">
        <v>9224</v>
      </c>
      <c r="C3522" t="s">
        <v>9222</v>
      </c>
      <c r="D3522" t="s">
        <v>8923</v>
      </c>
      <c r="E3522" t="s">
        <v>9020</v>
      </c>
      <c r="F3522"/>
      <c r="G3522" t="s">
        <v>9225</v>
      </c>
    </row>
    <row r="3523" spans="1:7">
      <c r="A3523" s="26" t="s">
        <v>9426</v>
      </c>
      <c r="B3523" t="s">
        <v>9226</v>
      </c>
      <c r="C3523" t="s">
        <v>9222</v>
      </c>
      <c r="D3523" t="s">
        <v>8923</v>
      </c>
      <c r="E3523" t="s">
        <v>9020</v>
      </c>
      <c r="F3523"/>
      <c r="G3523" t="s">
        <v>9226</v>
      </c>
    </row>
    <row r="3524" spans="1:7">
      <c r="A3524" s="26" t="s">
        <v>9426</v>
      </c>
      <c r="B3524" t="s">
        <v>9227</v>
      </c>
      <c r="C3524" t="s">
        <v>9222</v>
      </c>
      <c r="D3524" t="s">
        <v>8923</v>
      </c>
      <c r="E3524" t="s">
        <v>9020</v>
      </c>
      <c r="F3524"/>
      <c r="G3524" t="s">
        <v>9228</v>
      </c>
    </row>
    <row r="3525" spans="1:7">
      <c r="A3525" s="26" t="s">
        <v>9426</v>
      </c>
      <c r="B3525" t="s">
        <v>9229</v>
      </c>
      <c r="C3525" t="s">
        <v>9222</v>
      </c>
      <c r="D3525" t="s">
        <v>8923</v>
      </c>
      <c r="E3525" t="s">
        <v>9020</v>
      </c>
      <c r="F3525"/>
      <c r="G3525" t="s">
        <v>9230</v>
      </c>
    </row>
    <row r="3526" spans="1:7">
      <c r="A3526" s="26" t="s">
        <v>9426</v>
      </c>
      <c r="B3526" t="s">
        <v>9231</v>
      </c>
      <c r="C3526" t="s">
        <v>9222</v>
      </c>
      <c r="D3526" t="s">
        <v>8923</v>
      </c>
      <c r="E3526" t="s">
        <v>9020</v>
      </c>
      <c r="F3526"/>
      <c r="G3526" t="s">
        <v>9232</v>
      </c>
    </row>
    <row r="3527" spans="1:7">
      <c r="A3527" s="26" t="s">
        <v>9426</v>
      </c>
      <c r="B3527" t="s">
        <v>9233</v>
      </c>
      <c r="C3527" t="s">
        <v>9222</v>
      </c>
      <c r="D3527" t="s">
        <v>8923</v>
      </c>
      <c r="E3527" t="s">
        <v>9020</v>
      </c>
      <c r="F3527"/>
      <c r="G3527" t="s">
        <v>9233</v>
      </c>
    </row>
    <row r="3528" spans="1:7">
      <c r="A3528" s="26" t="s">
        <v>9426</v>
      </c>
      <c r="B3528" t="s">
        <v>9234</v>
      </c>
      <c r="C3528" t="s">
        <v>9222</v>
      </c>
      <c r="D3528" t="s">
        <v>8923</v>
      </c>
      <c r="E3528" t="s">
        <v>9020</v>
      </c>
      <c r="F3528"/>
      <c r="G3528" t="s">
        <v>9234</v>
      </c>
    </row>
    <row r="3529" spans="1:7">
      <c r="A3529" s="26" t="s">
        <v>9426</v>
      </c>
      <c r="B3529" t="s">
        <v>9235</v>
      </c>
      <c r="C3529" t="s">
        <v>9222</v>
      </c>
      <c r="D3529" t="s">
        <v>8923</v>
      </c>
      <c r="E3529" t="s">
        <v>9020</v>
      </c>
      <c r="F3529"/>
      <c r="G3529" t="s">
        <v>9236</v>
      </c>
    </row>
    <row r="3530" spans="1:7">
      <c r="A3530" s="26" t="s">
        <v>9426</v>
      </c>
      <c r="B3530" t="s">
        <v>9237</v>
      </c>
      <c r="C3530" t="s">
        <v>9222</v>
      </c>
      <c r="D3530" t="s">
        <v>8923</v>
      </c>
      <c r="E3530" t="s">
        <v>9020</v>
      </c>
      <c r="F3530"/>
      <c r="G3530" t="s">
        <v>9237</v>
      </c>
    </row>
    <row r="3531" spans="1:7">
      <c r="A3531" s="26" t="s">
        <v>9426</v>
      </c>
      <c r="B3531" t="s">
        <v>9238</v>
      </c>
      <c r="C3531" t="s">
        <v>9222</v>
      </c>
      <c r="D3531" t="s">
        <v>8923</v>
      </c>
      <c r="E3531" t="s">
        <v>9020</v>
      </c>
      <c r="F3531"/>
      <c r="G3531" t="s">
        <v>9239</v>
      </c>
    </row>
    <row r="3532" spans="1:7">
      <c r="A3532" s="26" t="s">
        <v>9426</v>
      </c>
      <c r="B3532" t="s">
        <v>9240</v>
      </c>
      <c r="C3532" t="s">
        <v>9222</v>
      </c>
      <c r="D3532" t="s">
        <v>8923</v>
      </c>
      <c r="E3532" t="s">
        <v>9020</v>
      </c>
      <c r="F3532"/>
      <c r="G3532" t="s">
        <v>9240</v>
      </c>
    </row>
    <row r="3533" spans="1:7">
      <c r="A3533" s="26" t="s">
        <v>9426</v>
      </c>
      <c r="B3533" t="s">
        <v>9241</v>
      </c>
      <c r="C3533" t="s">
        <v>9222</v>
      </c>
      <c r="D3533" t="s">
        <v>8923</v>
      </c>
      <c r="E3533" t="s">
        <v>9020</v>
      </c>
      <c r="F3533"/>
      <c r="G3533" t="s">
        <v>9241</v>
      </c>
    </row>
    <row r="3534" spans="1:7">
      <c r="A3534" s="26" t="s">
        <v>9426</v>
      </c>
      <c r="B3534" t="s">
        <v>9242</v>
      </c>
      <c r="C3534" t="s">
        <v>9222</v>
      </c>
      <c r="D3534" t="s">
        <v>8923</v>
      </c>
      <c r="E3534" t="s">
        <v>9020</v>
      </c>
      <c r="F3534"/>
      <c r="G3534" t="s">
        <v>9243</v>
      </c>
    </row>
    <row r="3535" spans="1:7">
      <c r="A3535" s="26" t="s">
        <v>9426</v>
      </c>
      <c r="B3535" t="s">
        <v>9244</v>
      </c>
      <c r="C3535" t="s">
        <v>9222</v>
      </c>
      <c r="D3535" t="s">
        <v>8923</v>
      </c>
      <c r="E3535" t="s">
        <v>9020</v>
      </c>
      <c r="F3535"/>
      <c r="G3535" t="s">
        <v>9245</v>
      </c>
    </row>
    <row r="3536" spans="1:7">
      <c r="A3536" s="26" t="s">
        <v>9426</v>
      </c>
      <c r="B3536" t="s">
        <v>9246</v>
      </c>
      <c r="C3536" t="s">
        <v>9222</v>
      </c>
      <c r="D3536" t="s">
        <v>8923</v>
      </c>
      <c r="E3536" t="s">
        <v>9020</v>
      </c>
      <c r="F3536"/>
      <c r="G3536" t="s">
        <v>9247</v>
      </c>
    </row>
    <row r="3537" spans="1:7">
      <c r="A3537" s="26" t="s">
        <v>9426</v>
      </c>
      <c r="B3537" t="s">
        <v>9248</v>
      </c>
      <c r="C3537" t="s">
        <v>9222</v>
      </c>
      <c r="D3537" t="s">
        <v>8923</v>
      </c>
      <c r="E3537" t="s">
        <v>9020</v>
      </c>
      <c r="F3537"/>
      <c r="G3537" t="s">
        <v>9249</v>
      </c>
    </row>
    <row r="3538" spans="1:7">
      <c r="A3538" s="26" t="s">
        <v>9426</v>
      </c>
      <c r="B3538" t="s">
        <v>9250</v>
      </c>
      <c r="C3538" t="s">
        <v>9251</v>
      </c>
      <c r="D3538" t="s">
        <v>8923</v>
      </c>
      <c r="E3538" t="s">
        <v>9020</v>
      </c>
      <c r="F3538"/>
      <c r="G3538" t="s">
        <v>9250</v>
      </c>
    </row>
    <row r="3539" spans="1:7">
      <c r="A3539" s="26" t="s">
        <v>9426</v>
      </c>
      <c r="B3539" t="s">
        <v>9252</v>
      </c>
      <c r="C3539" t="s">
        <v>9253</v>
      </c>
      <c r="D3539" t="s">
        <v>8923</v>
      </c>
      <c r="E3539" t="s">
        <v>9020</v>
      </c>
      <c r="F3539"/>
      <c r="G3539" t="s">
        <v>9252</v>
      </c>
    </row>
    <row r="3540" spans="1:7">
      <c r="A3540" s="26" t="s">
        <v>9426</v>
      </c>
      <c r="B3540" t="s">
        <v>9254</v>
      </c>
      <c r="C3540" t="s">
        <v>9253</v>
      </c>
      <c r="D3540" t="s">
        <v>8923</v>
      </c>
      <c r="E3540" t="s">
        <v>9020</v>
      </c>
      <c r="F3540"/>
      <c r="G3540" t="s">
        <v>9254</v>
      </c>
    </row>
    <row r="3541" spans="1:7">
      <c r="A3541" s="26" t="s">
        <v>9426</v>
      </c>
      <c r="B3541" t="s">
        <v>9255</v>
      </c>
      <c r="C3541" t="s">
        <v>9253</v>
      </c>
      <c r="D3541" t="s">
        <v>8923</v>
      </c>
      <c r="E3541" t="s">
        <v>9020</v>
      </c>
      <c r="F3541"/>
      <c r="G3541" t="s">
        <v>9255</v>
      </c>
    </row>
    <row r="3542" spans="1:7">
      <c r="A3542" s="26" t="s">
        <v>9426</v>
      </c>
      <c r="B3542" t="s">
        <v>9256</v>
      </c>
      <c r="C3542" t="s">
        <v>9253</v>
      </c>
      <c r="D3542" t="s">
        <v>8923</v>
      </c>
      <c r="E3542" t="s">
        <v>9020</v>
      </c>
      <c r="F3542"/>
      <c r="G3542" t="s">
        <v>9256</v>
      </c>
    </row>
    <row r="3543" spans="1:7">
      <c r="A3543" s="26" t="s">
        <v>9426</v>
      </c>
      <c r="B3543" t="s">
        <v>9257</v>
      </c>
      <c r="C3543" t="s">
        <v>9258</v>
      </c>
      <c r="D3543" t="s">
        <v>8923</v>
      </c>
      <c r="E3543" t="s">
        <v>9020</v>
      </c>
      <c r="F3543"/>
      <c r="G3543" t="s">
        <v>9259</v>
      </c>
    </row>
    <row r="3544" spans="1:7">
      <c r="A3544" s="26" t="s">
        <v>9426</v>
      </c>
      <c r="B3544" t="s">
        <v>9260</v>
      </c>
      <c r="C3544" t="s">
        <v>9258</v>
      </c>
      <c r="D3544" t="s">
        <v>8923</v>
      </c>
      <c r="E3544" t="s">
        <v>9020</v>
      </c>
      <c r="F3544"/>
      <c r="G3544" t="s">
        <v>9261</v>
      </c>
    </row>
    <row r="3545" spans="1:7">
      <c r="A3545" s="26" t="s">
        <v>9426</v>
      </c>
      <c r="B3545" t="s">
        <v>9262</v>
      </c>
      <c r="C3545" t="s">
        <v>9258</v>
      </c>
      <c r="D3545" t="s">
        <v>8923</v>
      </c>
      <c r="E3545" t="s">
        <v>9020</v>
      </c>
      <c r="F3545"/>
      <c r="G3545" t="s">
        <v>9263</v>
      </c>
    </row>
    <row r="3546" spans="1:7">
      <c r="A3546" s="26" t="s">
        <v>9426</v>
      </c>
      <c r="B3546" t="s">
        <v>9264</v>
      </c>
      <c r="C3546" t="s">
        <v>9258</v>
      </c>
      <c r="D3546" t="s">
        <v>8923</v>
      </c>
      <c r="E3546" t="s">
        <v>9020</v>
      </c>
      <c r="F3546"/>
      <c r="G3546" t="s">
        <v>9264</v>
      </c>
    </row>
    <row r="3547" spans="1:7">
      <c r="A3547" s="26" t="s">
        <v>9426</v>
      </c>
      <c r="B3547" t="s">
        <v>9265</v>
      </c>
      <c r="C3547" t="s">
        <v>9266</v>
      </c>
      <c r="D3547" t="s">
        <v>8923</v>
      </c>
      <c r="E3547" t="s">
        <v>9020</v>
      </c>
      <c r="F3547"/>
      <c r="G3547" t="s">
        <v>9265</v>
      </c>
    </row>
    <row r="3548" spans="1:7">
      <c r="A3548" s="26" t="s">
        <v>9426</v>
      </c>
      <c r="B3548" t="s">
        <v>9267</v>
      </c>
      <c r="C3548" t="s">
        <v>9266</v>
      </c>
      <c r="D3548" t="s">
        <v>8923</v>
      </c>
      <c r="E3548" t="s">
        <v>9020</v>
      </c>
      <c r="F3548"/>
      <c r="G3548" t="s">
        <v>9268</v>
      </c>
    </row>
    <row r="3549" spans="1:7">
      <c r="A3549" s="26" t="s">
        <v>9426</v>
      </c>
      <c r="B3549" t="s">
        <v>9269</v>
      </c>
      <c r="C3549" t="s">
        <v>9266</v>
      </c>
      <c r="D3549" t="s">
        <v>8923</v>
      </c>
      <c r="E3549" t="s">
        <v>9020</v>
      </c>
      <c r="F3549"/>
      <c r="G3549" t="s">
        <v>9270</v>
      </c>
    </row>
    <row r="3550" spans="1:7">
      <c r="A3550" s="26" t="s">
        <v>9426</v>
      </c>
      <c r="B3550" t="s">
        <v>9271</v>
      </c>
      <c r="C3550" t="s">
        <v>9266</v>
      </c>
      <c r="D3550" t="s">
        <v>8923</v>
      </c>
      <c r="E3550" t="s">
        <v>9020</v>
      </c>
      <c r="F3550"/>
      <c r="G3550" t="s">
        <v>9272</v>
      </c>
    </row>
    <row r="3551" spans="1:7">
      <c r="A3551" s="26" t="s">
        <v>9426</v>
      </c>
      <c r="B3551" t="s">
        <v>9273</v>
      </c>
      <c r="C3551" t="s">
        <v>9266</v>
      </c>
      <c r="D3551" t="s">
        <v>8923</v>
      </c>
      <c r="E3551" t="s">
        <v>9020</v>
      </c>
      <c r="F3551"/>
      <c r="G3551" t="s">
        <v>9274</v>
      </c>
    </row>
    <row r="3552" spans="1:7">
      <c r="A3552" s="26" t="s">
        <v>9426</v>
      </c>
      <c r="B3552" t="s">
        <v>9275</v>
      </c>
      <c r="C3552" t="s">
        <v>9276</v>
      </c>
      <c r="D3552" t="s">
        <v>8923</v>
      </c>
      <c r="E3552" t="s">
        <v>9020</v>
      </c>
      <c r="F3552"/>
      <c r="G3552" t="s">
        <v>9277</v>
      </c>
    </row>
    <row r="3553" spans="1:7">
      <c r="A3553" s="26" t="s">
        <v>9426</v>
      </c>
      <c r="B3553" t="s">
        <v>9278</v>
      </c>
      <c r="C3553" t="s">
        <v>9279</v>
      </c>
      <c r="D3553" t="s">
        <v>8923</v>
      </c>
      <c r="E3553" t="s">
        <v>9020</v>
      </c>
      <c r="F3553"/>
      <c r="G3553" t="s">
        <v>9280</v>
      </c>
    </row>
    <row r="3554" spans="1:7">
      <c r="A3554" s="26" t="s">
        <v>9426</v>
      </c>
      <c r="B3554" t="s">
        <v>9281</v>
      </c>
      <c r="C3554" t="s">
        <v>9282</v>
      </c>
      <c r="D3554" t="s">
        <v>8923</v>
      </c>
      <c r="E3554" t="s">
        <v>9020</v>
      </c>
      <c r="F3554"/>
      <c r="G3554" t="s">
        <v>9283</v>
      </c>
    </row>
    <row r="3555" spans="1:7">
      <c r="A3555" s="26" t="s">
        <v>9426</v>
      </c>
      <c r="B3555" t="s">
        <v>9284</v>
      </c>
      <c r="C3555" t="s">
        <v>9285</v>
      </c>
      <c r="D3555" t="s">
        <v>8923</v>
      </c>
      <c r="E3555" t="s">
        <v>9020</v>
      </c>
      <c r="F3555"/>
      <c r="G3555" t="s">
        <v>9286</v>
      </c>
    </row>
    <row r="3556" spans="1:7">
      <c r="A3556" s="26" t="s">
        <v>9426</v>
      </c>
      <c r="B3556" t="s">
        <v>9287</v>
      </c>
      <c r="C3556" t="s">
        <v>9288</v>
      </c>
      <c r="D3556" t="s">
        <v>8923</v>
      </c>
      <c r="E3556" t="s">
        <v>9020</v>
      </c>
      <c r="F3556"/>
      <c r="G3556" t="s">
        <v>9289</v>
      </c>
    </row>
    <row r="3557" spans="1:7">
      <c r="A3557" s="26" t="s">
        <v>9426</v>
      </c>
      <c r="B3557" t="s">
        <v>9290</v>
      </c>
      <c r="C3557" t="s">
        <v>9222</v>
      </c>
      <c r="D3557" t="s">
        <v>8923</v>
      </c>
      <c r="E3557" t="s">
        <v>9020</v>
      </c>
      <c r="F3557"/>
      <c r="G3557" t="s">
        <v>9290</v>
      </c>
    </row>
    <row r="3558" spans="1:7">
      <c r="A3558" s="26" t="s">
        <v>9426</v>
      </c>
      <c r="B3558" t="s">
        <v>9291</v>
      </c>
      <c r="C3558" t="s">
        <v>9222</v>
      </c>
      <c r="D3558" t="s">
        <v>8923</v>
      </c>
      <c r="E3558" t="s">
        <v>9020</v>
      </c>
      <c r="F3558"/>
      <c r="G3558" t="s">
        <v>9291</v>
      </c>
    </row>
    <row r="3559" spans="1:7">
      <c r="A3559" s="26" t="s">
        <v>9426</v>
      </c>
      <c r="B3559" t="s">
        <v>9292</v>
      </c>
      <c r="C3559" t="s">
        <v>9222</v>
      </c>
      <c r="D3559" t="s">
        <v>8923</v>
      </c>
      <c r="E3559" t="s">
        <v>9020</v>
      </c>
      <c r="F3559"/>
      <c r="G3559" t="s">
        <v>9292</v>
      </c>
    </row>
    <row r="3560" spans="1:7">
      <c r="A3560" s="26" t="s">
        <v>9426</v>
      </c>
      <c r="B3560" t="s">
        <v>9293</v>
      </c>
      <c r="C3560" t="s">
        <v>9294</v>
      </c>
      <c r="D3560" t="s">
        <v>8923</v>
      </c>
      <c r="E3560" t="s">
        <v>9020</v>
      </c>
      <c r="F3560"/>
      <c r="G3560" t="s">
        <v>9295</v>
      </c>
    </row>
    <row r="3561" spans="1:7">
      <c r="A3561" s="26" t="s">
        <v>9426</v>
      </c>
      <c r="B3561" t="s">
        <v>9296</v>
      </c>
      <c r="C3561" t="s">
        <v>9297</v>
      </c>
      <c r="D3561" t="s">
        <v>8923</v>
      </c>
      <c r="E3561" t="s">
        <v>9020</v>
      </c>
      <c r="F3561"/>
      <c r="G3561" t="s">
        <v>9298</v>
      </c>
    </row>
    <row r="3562" spans="1:7">
      <c r="A3562" s="26" t="s">
        <v>9426</v>
      </c>
      <c r="B3562" t="s">
        <v>9299</v>
      </c>
      <c r="C3562" t="s">
        <v>9297</v>
      </c>
      <c r="D3562" t="s">
        <v>8923</v>
      </c>
      <c r="E3562" t="s">
        <v>9020</v>
      </c>
      <c r="F3562"/>
      <c r="G3562" t="s">
        <v>9300</v>
      </c>
    </row>
    <row r="3563" spans="1:7">
      <c r="A3563" s="26" t="s">
        <v>9426</v>
      </c>
      <c r="B3563" t="s">
        <v>9301</v>
      </c>
      <c r="C3563" t="s">
        <v>9297</v>
      </c>
      <c r="D3563" t="s">
        <v>8923</v>
      </c>
      <c r="E3563" t="s">
        <v>9020</v>
      </c>
      <c r="F3563"/>
      <c r="G3563" t="s">
        <v>9301</v>
      </c>
    </row>
    <row r="3564" spans="1:7">
      <c r="A3564" s="26" t="s">
        <v>9426</v>
      </c>
      <c r="B3564" t="s">
        <v>9302</v>
      </c>
      <c r="C3564" t="s">
        <v>9297</v>
      </c>
      <c r="D3564" t="s">
        <v>8923</v>
      </c>
      <c r="E3564" t="s">
        <v>9020</v>
      </c>
      <c r="F3564"/>
      <c r="G3564" t="s">
        <v>9303</v>
      </c>
    </row>
    <row r="3565" spans="1:7">
      <c r="A3565" s="26" t="s">
        <v>9426</v>
      </c>
      <c r="B3565" t="s">
        <v>9304</v>
      </c>
      <c r="C3565" t="s">
        <v>9305</v>
      </c>
      <c r="D3565" t="s">
        <v>8923</v>
      </c>
      <c r="E3565" t="s">
        <v>9020</v>
      </c>
      <c r="F3565"/>
      <c r="G3565" t="s">
        <v>9306</v>
      </c>
    </row>
    <row r="3566" spans="1:7">
      <c r="A3566" s="26" t="s">
        <v>9426</v>
      </c>
      <c r="B3566" t="s">
        <v>9307</v>
      </c>
      <c r="C3566" t="s">
        <v>7197</v>
      </c>
      <c r="D3566" t="s">
        <v>8923</v>
      </c>
      <c r="E3566" t="s">
        <v>9020</v>
      </c>
      <c r="F3566"/>
      <c r="G3566" t="s">
        <v>9308</v>
      </c>
    </row>
    <row r="3567" spans="1:7">
      <c r="A3567" s="26" t="s">
        <v>9426</v>
      </c>
      <c r="B3567" t="s">
        <v>9309</v>
      </c>
      <c r="C3567" t="s">
        <v>9019</v>
      </c>
      <c r="D3567" t="s">
        <v>8923</v>
      </c>
      <c r="E3567" t="s">
        <v>9020</v>
      </c>
      <c r="F3567"/>
      <c r="G3567" t="s">
        <v>9310</v>
      </c>
    </row>
    <row r="3568" spans="1:7">
      <c r="A3568" s="26" t="s">
        <v>9426</v>
      </c>
      <c r="B3568" t="s">
        <v>9311</v>
      </c>
      <c r="C3568" t="s">
        <v>9019</v>
      </c>
      <c r="D3568" t="s">
        <v>8923</v>
      </c>
      <c r="E3568" t="s">
        <v>9020</v>
      </c>
      <c r="F3568"/>
      <c r="G3568" t="s">
        <v>9312</v>
      </c>
    </row>
    <row r="3569" spans="1:7">
      <c r="A3569" s="26" t="s">
        <v>9426</v>
      </c>
      <c r="B3569" t="s">
        <v>9313</v>
      </c>
      <c r="C3569" t="s">
        <v>9314</v>
      </c>
      <c r="D3569" t="s">
        <v>8923</v>
      </c>
      <c r="E3569" t="s">
        <v>9020</v>
      </c>
      <c r="F3569"/>
      <c r="G3569" t="s">
        <v>9315</v>
      </c>
    </row>
    <row r="3570" spans="1:7">
      <c r="A3570" s="26" t="s">
        <v>9426</v>
      </c>
      <c r="B3570" t="s">
        <v>9316</v>
      </c>
      <c r="C3570" t="s">
        <v>9317</v>
      </c>
      <c r="D3570" t="s">
        <v>8923</v>
      </c>
      <c r="E3570" t="s">
        <v>9020</v>
      </c>
      <c r="F3570"/>
      <c r="G3570" t="s">
        <v>7372</v>
      </c>
    </row>
    <row r="3571" spans="1:7">
      <c r="A3571" s="26" t="s">
        <v>9426</v>
      </c>
      <c r="B3571" t="s">
        <v>9318</v>
      </c>
      <c r="C3571" t="s">
        <v>9087</v>
      </c>
      <c r="D3571" t="s">
        <v>8923</v>
      </c>
      <c r="E3571" t="s">
        <v>9020</v>
      </c>
      <c r="F3571"/>
      <c r="G3571" t="s">
        <v>9319</v>
      </c>
    </row>
    <row r="3572" spans="1:7">
      <c r="A3572" s="26" t="s">
        <v>9426</v>
      </c>
      <c r="B3572" t="s">
        <v>9320</v>
      </c>
      <c r="C3572" t="s">
        <v>9193</v>
      </c>
      <c r="D3572" t="s">
        <v>8923</v>
      </c>
      <c r="E3572" t="s">
        <v>9020</v>
      </c>
      <c r="F3572"/>
      <c r="G3572" t="s">
        <v>9321</v>
      </c>
    </row>
    <row r="3573" spans="1:7">
      <c r="A3573" s="26" t="s">
        <v>9426</v>
      </c>
      <c r="B3573" t="s">
        <v>9322</v>
      </c>
      <c r="C3573" t="s">
        <v>6499</v>
      </c>
      <c r="D3573" t="s">
        <v>8923</v>
      </c>
      <c r="E3573" t="s">
        <v>9020</v>
      </c>
      <c r="F3573"/>
      <c r="G3573" t="s">
        <v>6708</v>
      </c>
    </row>
    <row r="3574" spans="1:7">
      <c r="A3574" s="26" t="s">
        <v>9426</v>
      </c>
      <c r="B3574" t="s">
        <v>9323</v>
      </c>
      <c r="C3574" t="s">
        <v>9324</v>
      </c>
      <c r="D3574" t="s">
        <v>8923</v>
      </c>
      <c r="E3574" t="s">
        <v>9020</v>
      </c>
      <c r="F3574"/>
      <c r="G3574" t="s">
        <v>9325</v>
      </c>
    </row>
    <row r="3575" spans="1:7">
      <c r="A3575" s="26" t="s">
        <v>9426</v>
      </c>
      <c r="B3575" t="s">
        <v>9326</v>
      </c>
      <c r="C3575" t="s">
        <v>9327</v>
      </c>
      <c r="D3575" t="s">
        <v>8923</v>
      </c>
      <c r="E3575" t="s">
        <v>9020</v>
      </c>
      <c r="F3575"/>
      <c r="G3575" t="s">
        <v>9326</v>
      </c>
    </row>
    <row r="3576" spans="1:7">
      <c r="A3576" s="26" t="s">
        <v>9426</v>
      </c>
      <c r="B3576" t="s">
        <v>9328</v>
      </c>
      <c r="C3576" t="s">
        <v>9200</v>
      </c>
      <c r="D3576" t="s">
        <v>8923</v>
      </c>
      <c r="E3576" t="s">
        <v>9020</v>
      </c>
      <c r="F3576"/>
      <c r="G3576" t="s">
        <v>9328</v>
      </c>
    </row>
    <row r="3577" spans="1:7">
      <c r="A3577" s="26" t="s">
        <v>9426</v>
      </c>
      <c r="B3577" t="s">
        <v>9329</v>
      </c>
      <c r="C3577" t="s">
        <v>6589</v>
      </c>
      <c r="D3577" t="s">
        <v>8923</v>
      </c>
      <c r="E3577" t="s">
        <v>9020</v>
      </c>
      <c r="F3577"/>
      <c r="G3577" t="s">
        <v>9329</v>
      </c>
    </row>
    <row r="3578" spans="1:7">
      <c r="A3578" s="26" t="s">
        <v>9426</v>
      </c>
      <c r="B3578" t="s">
        <v>9330</v>
      </c>
      <c r="C3578" t="s">
        <v>9331</v>
      </c>
      <c r="D3578" t="s">
        <v>8923</v>
      </c>
      <c r="E3578" t="s">
        <v>9020</v>
      </c>
      <c r="F3578"/>
      <c r="G3578" t="s">
        <v>9332</v>
      </c>
    </row>
    <row r="3579" spans="1:7">
      <c r="A3579" s="26" t="s">
        <v>9426</v>
      </c>
      <c r="B3579" t="s">
        <v>9333</v>
      </c>
      <c r="C3579" t="s">
        <v>8959</v>
      </c>
      <c r="D3579" t="s">
        <v>8923</v>
      </c>
      <c r="E3579" t="s">
        <v>9020</v>
      </c>
      <c r="F3579"/>
      <c r="G3579" t="s">
        <v>9333</v>
      </c>
    </row>
    <row r="3580" spans="1:7">
      <c r="A3580" s="26" t="s">
        <v>9426</v>
      </c>
      <c r="B3580" t="s">
        <v>9334</v>
      </c>
      <c r="C3580" t="s">
        <v>9335</v>
      </c>
      <c r="D3580" t="s">
        <v>8923</v>
      </c>
      <c r="E3580" t="s">
        <v>9020</v>
      </c>
      <c r="F3580"/>
      <c r="G3580" t="s">
        <v>9336</v>
      </c>
    </row>
    <row r="3581" spans="1:7">
      <c r="A3581" s="26" t="s">
        <v>9426</v>
      </c>
      <c r="B3581" t="s">
        <v>9337</v>
      </c>
      <c r="C3581" t="s">
        <v>9338</v>
      </c>
      <c r="D3581" t="s">
        <v>8923</v>
      </c>
      <c r="E3581" t="s">
        <v>9020</v>
      </c>
      <c r="F3581"/>
      <c r="G3581" t="s">
        <v>9337</v>
      </c>
    </row>
    <row r="3582" spans="1:7">
      <c r="A3582" s="26" t="s">
        <v>9426</v>
      </c>
      <c r="B3582" t="s">
        <v>9339</v>
      </c>
      <c r="C3582" t="s">
        <v>7371</v>
      </c>
      <c r="D3582" t="s">
        <v>8923</v>
      </c>
      <c r="E3582" t="s">
        <v>9020</v>
      </c>
      <c r="F3582"/>
      <c r="G3582" t="s">
        <v>9340</v>
      </c>
    </row>
    <row r="3583" spans="1:7">
      <c r="A3583" s="26" t="s">
        <v>9426</v>
      </c>
      <c r="B3583" t="s">
        <v>9341</v>
      </c>
      <c r="C3583" t="s">
        <v>9342</v>
      </c>
      <c r="D3583" t="s">
        <v>8923</v>
      </c>
      <c r="E3583" t="s">
        <v>9020</v>
      </c>
      <c r="F3583"/>
      <c r="G3583" t="s">
        <v>9343</v>
      </c>
    </row>
    <row r="3584" spans="1:7">
      <c r="A3584" s="26" t="s">
        <v>9426</v>
      </c>
      <c r="B3584" t="s">
        <v>9344</v>
      </c>
      <c r="C3584" t="s">
        <v>9345</v>
      </c>
      <c r="D3584" t="s">
        <v>8923</v>
      </c>
      <c r="E3584" t="s">
        <v>9020</v>
      </c>
      <c r="F3584"/>
      <c r="G3584" t="s">
        <v>9344</v>
      </c>
    </row>
    <row r="3585" spans="1:7">
      <c r="A3585" s="26" t="s">
        <v>9426</v>
      </c>
      <c r="B3585" t="s">
        <v>9346</v>
      </c>
      <c r="C3585" t="s">
        <v>9347</v>
      </c>
      <c r="D3585" t="s">
        <v>8923</v>
      </c>
      <c r="E3585" t="s">
        <v>9020</v>
      </c>
      <c r="F3585"/>
      <c r="G3585" t="s">
        <v>9346</v>
      </c>
    </row>
    <row r="3586" spans="1:7">
      <c r="A3586" s="26" t="s">
        <v>9426</v>
      </c>
      <c r="B3586" t="s">
        <v>9348</v>
      </c>
      <c r="C3586" t="s">
        <v>9349</v>
      </c>
      <c r="D3586" t="s">
        <v>8923</v>
      </c>
      <c r="E3586" t="s">
        <v>9020</v>
      </c>
      <c r="F3586"/>
      <c r="G3586" t="s">
        <v>9348</v>
      </c>
    </row>
    <row r="3587" spans="1:7">
      <c r="A3587" s="26" t="s">
        <v>9426</v>
      </c>
      <c r="B3587" t="s">
        <v>9350</v>
      </c>
      <c r="C3587" t="s">
        <v>9351</v>
      </c>
      <c r="D3587" t="s">
        <v>8923</v>
      </c>
      <c r="E3587" t="s">
        <v>9020</v>
      </c>
      <c r="F3587"/>
      <c r="G3587" t="s">
        <v>9352</v>
      </c>
    </row>
    <row r="3588" spans="1:7">
      <c r="A3588" s="26" t="s">
        <v>9426</v>
      </c>
      <c r="B3588" t="s">
        <v>9353</v>
      </c>
      <c r="C3588" t="s">
        <v>9354</v>
      </c>
      <c r="D3588" t="s">
        <v>8923</v>
      </c>
      <c r="E3588" t="s">
        <v>9020</v>
      </c>
      <c r="F3588"/>
      <c r="G3588" t="s">
        <v>9355</v>
      </c>
    </row>
    <row r="3589" spans="1:7">
      <c r="A3589" s="26" t="s">
        <v>9426</v>
      </c>
      <c r="B3589" t="s">
        <v>9356</v>
      </c>
      <c r="C3589" t="s">
        <v>9357</v>
      </c>
      <c r="D3589" t="s">
        <v>8923</v>
      </c>
      <c r="E3589" t="s">
        <v>9020</v>
      </c>
      <c r="F3589"/>
      <c r="G3589" t="s">
        <v>9358</v>
      </c>
    </row>
    <row r="3590" spans="1:7">
      <c r="A3590" s="26" t="s">
        <v>9426</v>
      </c>
      <c r="B3590" t="s">
        <v>9359</v>
      </c>
      <c r="C3590" t="s">
        <v>9360</v>
      </c>
      <c r="D3590" t="s">
        <v>8923</v>
      </c>
      <c r="E3590" t="s">
        <v>9020</v>
      </c>
      <c r="F3590"/>
      <c r="G3590" t="s">
        <v>9361</v>
      </c>
    </row>
    <row r="3591" spans="1:7">
      <c r="A3591" s="26" t="s">
        <v>9426</v>
      </c>
      <c r="B3591" t="s">
        <v>9362</v>
      </c>
      <c r="C3591" t="s">
        <v>9363</v>
      </c>
      <c r="D3591" t="s">
        <v>8923</v>
      </c>
      <c r="E3591" t="s">
        <v>9020</v>
      </c>
      <c r="F3591"/>
      <c r="G3591" t="s">
        <v>9364</v>
      </c>
    </row>
    <row r="3592" spans="1:7">
      <c r="A3592" s="26" t="s">
        <v>9426</v>
      </c>
      <c r="B3592" t="s">
        <v>9365</v>
      </c>
      <c r="C3592" t="s">
        <v>9258</v>
      </c>
      <c r="D3592" t="s">
        <v>8923</v>
      </c>
      <c r="E3592" t="s">
        <v>9020</v>
      </c>
      <c r="F3592"/>
      <c r="G3592" t="s">
        <v>9365</v>
      </c>
    </row>
    <row r="3593" spans="1:7">
      <c r="A3593" s="26" t="s">
        <v>9426</v>
      </c>
      <c r="B3593" t="s">
        <v>9366</v>
      </c>
      <c r="C3593" t="s">
        <v>466</v>
      </c>
      <c r="D3593" t="s">
        <v>6396</v>
      </c>
      <c r="E3593">
        <v>0</v>
      </c>
      <c r="F3593"/>
      <c r="G3593"/>
    </row>
    <row r="3594" spans="1:7">
      <c r="A3594" s="26" t="s">
        <v>9426</v>
      </c>
      <c r="B3594" t="s">
        <v>8599</v>
      </c>
      <c r="C3594" t="s">
        <v>466</v>
      </c>
      <c r="D3594" t="s">
        <v>6396</v>
      </c>
      <c r="E3594">
        <v>0</v>
      </c>
      <c r="F3594"/>
      <c r="G3594"/>
    </row>
    <row r="3595" spans="1:7">
      <c r="A3595" s="26" t="s">
        <v>9426</v>
      </c>
      <c r="B3595" t="s">
        <v>716</v>
      </c>
      <c r="C3595" t="s">
        <v>509</v>
      </c>
      <c r="D3595" t="s">
        <v>6396</v>
      </c>
      <c r="E3595">
        <v>0</v>
      </c>
      <c r="F3595"/>
      <c r="G3595"/>
    </row>
    <row r="3596" spans="1:7">
      <c r="A3596" s="26" t="s">
        <v>9426</v>
      </c>
      <c r="B3596" t="s">
        <v>1447</v>
      </c>
      <c r="C3596" t="s">
        <v>509</v>
      </c>
      <c r="D3596" t="s">
        <v>6396</v>
      </c>
      <c r="E3596">
        <v>0</v>
      </c>
      <c r="F3596"/>
      <c r="G3596"/>
    </row>
    <row r="3597" spans="1:7">
      <c r="A3597" s="26" t="s">
        <v>9426</v>
      </c>
      <c r="B3597" t="s">
        <v>2258</v>
      </c>
      <c r="C3597" t="s">
        <v>509</v>
      </c>
      <c r="D3597" t="s">
        <v>6396</v>
      </c>
      <c r="E3597" t="s">
        <v>6395</v>
      </c>
      <c r="F3597"/>
      <c r="G3597"/>
    </row>
    <row r="3598" spans="1:7">
      <c r="A3598" s="26" t="s">
        <v>9426</v>
      </c>
      <c r="B3598" t="s">
        <v>9367</v>
      </c>
      <c r="C3598" t="s">
        <v>509</v>
      </c>
      <c r="D3598" t="s">
        <v>6396</v>
      </c>
      <c r="E3598">
        <v>0</v>
      </c>
      <c r="F3598"/>
      <c r="G3598"/>
    </row>
    <row r="3599" spans="1:7">
      <c r="A3599" s="26" t="s">
        <v>9426</v>
      </c>
      <c r="B3599" t="s">
        <v>9368</v>
      </c>
      <c r="C3599" t="s">
        <v>509</v>
      </c>
      <c r="D3599" t="s">
        <v>6396</v>
      </c>
      <c r="E3599">
        <v>0</v>
      </c>
      <c r="F3599"/>
      <c r="G3599"/>
    </row>
    <row r="3600" spans="1:7">
      <c r="A3600" s="26" t="s">
        <v>9426</v>
      </c>
      <c r="B3600" t="s">
        <v>8477</v>
      </c>
      <c r="C3600" t="s">
        <v>8478</v>
      </c>
      <c r="D3600" t="s">
        <v>6396</v>
      </c>
      <c r="E3600">
        <v>0</v>
      </c>
      <c r="F3600"/>
      <c r="G3600"/>
    </row>
    <row r="3601" spans="1:7">
      <c r="A3601" s="26" t="s">
        <v>9426</v>
      </c>
      <c r="B3601" t="s">
        <v>9369</v>
      </c>
      <c r="C3601" t="s">
        <v>9370</v>
      </c>
      <c r="D3601" t="s">
        <v>6396</v>
      </c>
      <c r="E3601">
        <v>0</v>
      </c>
      <c r="F3601"/>
      <c r="G3601"/>
    </row>
    <row r="3602" spans="1:7">
      <c r="A3602" s="26" t="s">
        <v>9426</v>
      </c>
      <c r="B3602" t="s">
        <v>9371</v>
      </c>
      <c r="C3602" t="s">
        <v>6916</v>
      </c>
      <c r="D3602" t="s">
        <v>6396</v>
      </c>
      <c r="E3602" t="s">
        <v>8749</v>
      </c>
      <c r="F3602"/>
      <c r="G3602"/>
    </row>
    <row r="3603" spans="1:7">
      <c r="A3603" s="26" t="s">
        <v>9426</v>
      </c>
      <c r="B3603" t="s">
        <v>6570</v>
      </c>
      <c r="C3603" t="s">
        <v>7035</v>
      </c>
      <c r="D3603" t="s">
        <v>6396</v>
      </c>
      <c r="E3603">
        <v>0</v>
      </c>
      <c r="F3603"/>
      <c r="G3603"/>
    </row>
    <row r="3604" spans="1:7">
      <c r="A3604" s="26" t="s">
        <v>9426</v>
      </c>
      <c r="B3604" t="s">
        <v>9372</v>
      </c>
      <c r="C3604" t="s">
        <v>9373</v>
      </c>
      <c r="D3604" t="s">
        <v>6396</v>
      </c>
      <c r="E3604">
        <v>0</v>
      </c>
      <c r="F3604"/>
      <c r="G3604"/>
    </row>
    <row r="3605" spans="1:7">
      <c r="A3605" s="26" t="s">
        <v>9426</v>
      </c>
      <c r="B3605" t="s">
        <v>6412</v>
      </c>
      <c r="C3605" t="s">
        <v>188</v>
      </c>
      <c r="D3605" t="s">
        <v>6396</v>
      </c>
      <c r="E3605">
        <v>0</v>
      </c>
      <c r="F3605"/>
      <c r="G3605"/>
    </row>
    <row r="3606" spans="1:7">
      <c r="A3606" s="26" t="s">
        <v>9426</v>
      </c>
      <c r="B3606" t="s">
        <v>55</v>
      </c>
      <c r="C3606" t="s">
        <v>9374</v>
      </c>
      <c r="D3606" t="s">
        <v>6396</v>
      </c>
      <c r="E3606" t="s">
        <v>8848</v>
      </c>
      <c r="F3606"/>
      <c r="G3606"/>
    </row>
    <row r="3607" spans="1:7">
      <c r="A3607" s="26" t="s">
        <v>9426</v>
      </c>
      <c r="B3607" t="s">
        <v>6621</v>
      </c>
      <c r="C3607" t="s">
        <v>484</v>
      </c>
      <c r="D3607" t="s">
        <v>6396</v>
      </c>
      <c r="E3607" t="s">
        <v>8893</v>
      </c>
      <c r="F3607"/>
      <c r="G3607"/>
    </row>
    <row r="3608" spans="1:7">
      <c r="A3608" s="26" t="s">
        <v>9426</v>
      </c>
      <c r="B3608" t="s">
        <v>9375</v>
      </c>
      <c r="C3608" t="s">
        <v>9376</v>
      </c>
      <c r="D3608" t="s">
        <v>6396</v>
      </c>
      <c r="E3608" t="s">
        <v>6871</v>
      </c>
      <c r="F3608"/>
      <c r="G3608"/>
    </row>
    <row r="3609" spans="1:7">
      <c r="A3609" s="26" t="s">
        <v>9426</v>
      </c>
      <c r="B3609" t="s">
        <v>967</v>
      </c>
      <c r="C3609" t="s">
        <v>42</v>
      </c>
      <c r="D3609" t="s">
        <v>6396</v>
      </c>
      <c r="E3609">
        <v>0</v>
      </c>
      <c r="F3609"/>
      <c r="G3609"/>
    </row>
    <row r="3610" spans="1:7">
      <c r="A3610" s="26" t="s">
        <v>9426</v>
      </c>
      <c r="B3610" t="s">
        <v>9377</v>
      </c>
      <c r="C3610" t="s">
        <v>9016</v>
      </c>
      <c r="D3610" t="s">
        <v>8923</v>
      </c>
      <c r="E3610">
        <v>0</v>
      </c>
      <c r="F3610"/>
      <c r="G3610" t="s">
        <v>9378</v>
      </c>
    </row>
    <row r="3611" spans="1:7">
      <c r="A3611" s="26" t="s">
        <v>9426</v>
      </c>
      <c r="B3611" t="s">
        <v>9078</v>
      </c>
      <c r="C3611" t="s">
        <v>9079</v>
      </c>
      <c r="D3611" t="s">
        <v>8923</v>
      </c>
      <c r="E3611" t="s">
        <v>9020</v>
      </c>
      <c r="F3611"/>
      <c r="G3611" t="s">
        <v>9078</v>
      </c>
    </row>
    <row r="3612" spans="1:7">
      <c r="A3612" s="26" t="s">
        <v>9426</v>
      </c>
      <c r="B3612" t="s">
        <v>9379</v>
      </c>
      <c r="C3612" t="s">
        <v>9222</v>
      </c>
      <c r="D3612" t="s">
        <v>8923</v>
      </c>
      <c r="E3612" t="s">
        <v>9020</v>
      </c>
      <c r="F3612"/>
      <c r="G3612" t="s">
        <v>9380</v>
      </c>
    </row>
    <row r="3613" spans="1:7">
      <c r="A3613" s="26" t="s">
        <v>9426</v>
      </c>
      <c r="B3613" t="s">
        <v>9381</v>
      </c>
      <c r="C3613" t="s">
        <v>9222</v>
      </c>
      <c r="D3613" t="s">
        <v>8923</v>
      </c>
      <c r="E3613" t="s">
        <v>9020</v>
      </c>
      <c r="F3613"/>
      <c r="G3613" t="s">
        <v>9382</v>
      </c>
    </row>
    <row r="3614" spans="1:7">
      <c r="A3614" s="26" t="s">
        <v>9426</v>
      </c>
      <c r="B3614" t="s">
        <v>9383</v>
      </c>
      <c r="C3614" t="s">
        <v>9222</v>
      </c>
      <c r="D3614" t="s">
        <v>8923</v>
      </c>
      <c r="E3614" t="s">
        <v>9020</v>
      </c>
      <c r="F3614"/>
      <c r="G3614" t="s">
        <v>9383</v>
      </c>
    </row>
    <row r="3615" spans="1:7">
      <c r="A3615" s="26" t="s">
        <v>9426</v>
      </c>
      <c r="B3615" t="s">
        <v>9384</v>
      </c>
      <c r="C3615" t="s">
        <v>9222</v>
      </c>
      <c r="D3615" t="s">
        <v>8923</v>
      </c>
      <c r="E3615" t="s">
        <v>9020</v>
      </c>
      <c r="F3615"/>
      <c r="G3615" t="s">
        <v>9384</v>
      </c>
    </row>
    <row r="3616" spans="1:7">
      <c r="A3616" s="26" t="s">
        <v>9426</v>
      </c>
      <c r="B3616" t="s">
        <v>9385</v>
      </c>
      <c r="C3616" t="s">
        <v>9222</v>
      </c>
      <c r="D3616" t="s">
        <v>8923</v>
      </c>
      <c r="E3616" t="s">
        <v>9020</v>
      </c>
      <c r="F3616"/>
      <c r="G3616" t="s">
        <v>9385</v>
      </c>
    </row>
    <row r="3617" spans="1:7">
      <c r="A3617" s="26" t="s">
        <v>9426</v>
      </c>
      <c r="B3617" t="s">
        <v>9386</v>
      </c>
      <c r="C3617" t="s">
        <v>9222</v>
      </c>
      <c r="D3617" t="s">
        <v>8923</v>
      </c>
      <c r="E3617" t="s">
        <v>9020</v>
      </c>
      <c r="F3617"/>
      <c r="G3617" t="s">
        <v>9386</v>
      </c>
    </row>
    <row r="3618" spans="1:7">
      <c r="A3618" s="26" t="s">
        <v>9426</v>
      </c>
      <c r="B3618" t="s">
        <v>9387</v>
      </c>
      <c r="C3618" t="s">
        <v>9222</v>
      </c>
      <c r="D3618" t="s">
        <v>8923</v>
      </c>
      <c r="E3618" t="s">
        <v>9020</v>
      </c>
      <c r="F3618"/>
      <c r="G3618" t="s">
        <v>9388</v>
      </c>
    </row>
    <row r="3619" spans="1:7">
      <c r="A3619" s="26" t="s">
        <v>9426</v>
      </c>
      <c r="B3619" t="s">
        <v>9389</v>
      </c>
      <c r="C3619" t="s">
        <v>9258</v>
      </c>
      <c r="D3619" t="s">
        <v>8923</v>
      </c>
      <c r="E3619" t="s">
        <v>9020</v>
      </c>
      <c r="F3619"/>
      <c r="G3619" t="s">
        <v>9390</v>
      </c>
    </row>
    <row r="3620" spans="1:7">
      <c r="A3620" s="26" t="s">
        <v>9426</v>
      </c>
      <c r="B3620" t="s">
        <v>9391</v>
      </c>
      <c r="C3620" t="s">
        <v>9266</v>
      </c>
      <c r="D3620" t="s">
        <v>8923</v>
      </c>
      <c r="E3620" t="s">
        <v>9020</v>
      </c>
      <c r="F3620"/>
      <c r="G3620" t="s">
        <v>9392</v>
      </c>
    </row>
    <row r="3621" spans="1:7">
      <c r="A3621" s="26" t="s">
        <v>9426</v>
      </c>
      <c r="B3621" t="s">
        <v>9393</v>
      </c>
      <c r="C3621" t="s">
        <v>9394</v>
      </c>
      <c r="D3621" t="s">
        <v>8923</v>
      </c>
      <c r="E3621" t="s">
        <v>9020</v>
      </c>
      <c r="F3621"/>
      <c r="G3621" t="s">
        <v>9393</v>
      </c>
    </row>
    <row r="3622" spans="1:7">
      <c r="A3622" s="26" t="s">
        <v>9426</v>
      </c>
      <c r="B3622" t="s">
        <v>9395</v>
      </c>
      <c r="C3622" t="s">
        <v>9396</v>
      </c>
      <c r="D3622" t="s">
        <v>8923</v>
      </c>
      <c r="E3622" t="s">
        <v>9020</v>
      </c>
      <c r="F3622"/>
      <c r="G3622" t="s">
        <v>9395</v>
      </c>
    </row>
    <row r="3623" spans="1:7">
      <c r="A3623" s="26" t="s">
        <v>9426</v>
      </c>
      <c r="B3623" t="s">
        <v>9397</v>
      </c>
      <c r="C3623" t="s">
        <v>9398</v>
      </c>
      <c r="D3623" t="s">
        <v>8923</v>
      </c>
      <c r="E3623" t="s">
        <v>9020</v>
      </c>
      <c r="F3623"/>
      <c r="G3623" t="s">
        <v>9399</v>
      </c>
    </row>
    <row r="3624" spans="1:7">
      <c r="A3624" s="26" t="s">
        <v>9426</v>
      </c>
      <c r="B3624" t="s">
        <v>9400</v>
      </c>
      <c r="C3624" t="s">
        <v>9401</v>
      </c>
      <c r="D3624" t="s">
        <v>8923</v>
      </c>
      <c r="E3624" t="s">
        <v>9020</v>
      </c>
      <c r="F3624"/>
      <c r="G3624" t="s">
        <v>9400</v>
      </c>
    </row>
    <row r="3625" spans="1:7">
      <c r="A3625" s="26" t="s">
        <v>9426</v>
      </c>
      <c r="B3625" t="s">
        <v>9402</v>
      </c>
      <c r="C3625" t="s">
        <v>9403</v>
      </c>
      <c r="D3625" t="s">
        <v>8923</v>
      </c>
      <c r="E3625" t="s">
        <v>9020</v>
      </c>
      <c r="F3625"/>
      <c r="G3625" t="s">
        <v>9402</v>
      </c>
    </row>
    <row r="3626" spans="1:7">
      <c r="A3626" s="26" t="s">
        <v>9426</v>
      </c>
      <c r="B3626" t="s">
        <v>9404</v>
      </c>
      <c r="C3626" t="s">
        <v>9405</v>
      </c>
      <c r="D3626" t="s">
        <v>8923</v>
      </c>
      <c r="E3626" t="s">
        <v>9020</v>
      </c>
      <c r="F3626"/>
      <c r="G3626" t="s">
        <v>9406</v>
      </c>
    </row>
    <row r="3627" spans="1:7">
      <c r="A3627" s="26" t="s">
        <v>9426</v>
      </c>
      <c r="B3627" t="s">
        <v>1824</v>
      </c>
      <c r="C3627" t="s">
        <v>9407</v>
      </c>
      <c r="D3627" t="s">
        <v>8923</v>
      </c>
      <c r="E3627">
        <v>0</v>
      </c>
      <c r="F3627"/>
      <c r="G3627" t="s">
        <v>1824</v>
      </c>
    </row>
    <row r="3628" spans="1:7">
      <c r="A3628" s="26" t="s">
        <v>9426</v>
      </c>
      <c r="B3628" t="s">
        <v>9408</v>
      </c>
      <c r="C3628" t="s">
        <v>9345</v>
      </c>
      <c r="D3628" t="s">
        <v>8923</v>
      </c>
      <c r="E3628" t="s">
        <v>9020</v>
      </c>
      <c r="F3628"/>
      <c r="G3628" t="s">
        <v>9408</v>
      </c>
    </row>
    <row r="3629" spans="1:7">
      <c r="A3629" s="26" t="s">
        <v>9426</v>
      </c>
      <c r="B3629" t="s">
        <v>9352</v>
      </c>
      <c r="C3629" t="s">
        <v>9351</v>
      </c>
      <c r="D3629" t="s">
        <v>8923</v>
      </c>
      <c r="E3629" t="s">
        <v>9020</v>
      </c>
      <c r="F3629"/>
      <c r="G3629" t="s">
        <v>9409</v>
      </c>
    </row>
    <row r="3630" spans="1:7">
      <c r="A3630" s="26" t="s">
        <v>9426</v>
      </c>
      <c r="B3630" t="s">
        <v>9410</v>
      </c>
      <c r="C3630" t="s">
        <v>6615</v>
      </c>
      <c r="D3630" t="s">
        <v>8923</v>
      </c>
      <c r="E3630" t="s">
        <v>9020</v>
      </c>
      <c r="F3630"/>
      <c r="G3630" t="s">
        <v>9411</v>
      </c>
    </row>
    <row r="3631" spans="1:7">
      <c r="A3631" s="26" t="s">
        <v>9426</v>
      </c>
      <c r="B3631" t="s">
        <v>9412</v>
      </c>
      <c r="C3631" t="s">
        <v>9413</v>
      </c>
      <c r="D3631" t="s">
        <v>8923</v>
      </c>
      <c r="E3631">
        <v>0</v>
      </c>
      <c r="F3631"/>
      <c r="G3631" t="s">
        <v>9412</v>
      </c>
    </row>
    <row r="3632" spans="1:7">
      <c r="A3632" s="26" t="s">
        <v>9426</v>
      </c>
      <c r="B3632" t="s">
        <v>9414</v>
      </c>
      <c r="C3632" t="s">
        <v>9415</v>
      </c>
      <c r="D3632" t="s">
        <v>8923</v>
      </c>
      <c r="E3632">
        <v>0</v>
      </c>
      <c r="F3632"/>
      <c r="G3632" t="s">
        <v>9414</v>
      </c>
    </row>
    <row r="3633" spans="1:7">
      <c r="A3633" s="26" t="s">
        <v>9426</v>
      </c>
      <c r="B3633" t="s">
        <v>9416</v>
      </c>
      <c r="C3633" t="s">
        <v>9417</v>
      </c>
      <c r="D3633" t="s">
        <v>8923</v>
      </c>
      <c r="E3633">
        <v>0</v>
      </c>
      <c r="F3633"/>
      <c r="G3633" t="s">
        <v>9418</v>
      </c>
    </row>
    <row r="3634" spans="1:7">
      <c r="A3634" s="26" t="s">
        <v>9426</v>
      </c>
      <c r="B3634" t="s">
        <v>9419</v>
      </c>
      <c r="C3634" t="s">
        <v>9420</v>
      </c>
      <c r="D3634" t="s">
        <v>8923</v>
      </c>
      <c r="E3634">
        <v>0</v>
      </c>
      <c r="F3634"/>
      <c r="G3634" t="s">
        <v>9419</v>
      </c>
    </row>
    <row r="3635" spans="1:7">
      <c r="A3635" s="26" t="s">
        <v>9426</v>
      </c>
      <c r="B3635" t="s">
        <v>9421</v>
      </c>
      <c r="C3635" t="s">
        <v>8959</v>
      </c>
      <c r="D3635" t="s">
        <v>8923</v>
      </c>
      <c r="E3635" t="s">
        <v>9020</v>
      </c>
      <c r="F3635"/>
      <c r="G3635" t="s">
        <v>9422</v>
      </c>
    </row>
    <row r="3636" spans="1:7">
      <c r="A3636" s="26" t="s">
        <v>9426</v>
      </c>
      <c r="B3636" t="s">
        <v>9423</v>
      </c>
      <c r="C3636" t="s">
        <v>9424</v>
      </c>
      <c r="D3636" t="s">
        <v>8923</v>
      </c>
      <c r="E3636" t="s">
        <v>9020</v>
      </c>
      <c r="F3636"/>
      <c r="G3636" t="s">
        <v>9425</v>
      </c>
    </row>
    <row r="3637" spans="1:7" ht="13.9">
      <c r="A3637" s="26" t="s">
        <v>10223</v>
      </c>
      <c r="B3637" s="35">
        <v>202</v>
      </c>
      <c r="C3637" s="34" t="s">
        <v>10224</v>
      </c>
      <c r="D3637" s="26" t="s">
        <v>10246</v>
      </c>
      <c r="E3637" s="37" t="s">
        <v>6395</v>
      </c>
    </row>
    <row r="3638" spans="1:7" ht="13.9">
      <c r="A3638" s="26" t="s">
        <v>10223</v>
      </c>
      <c r="B3638" s="34" t="s">
        <v>9427</v>
      </c>
      <c r="C3638" s="34" t="s">
        <v>9428</v>
      </c>
      <c r="D3638" s="26" t="s">
        <v>10246</v>
      </c>
      <c r="E3638" s="37" t="s">
        <v>6479</v>
      </c>
    </row>
    <row r="3639" spans="1:7" ht="13.9">
      <c r="A3639" s="26" t="s">
        <v>10223</v>
      </c>
      <c r="B3639" s="34" t="s">
        <v>9429</v>
      </c>
      <c r="C3639" s="39"/>
      <c r="E3639" s="39" t="s">
        <v>6395</v>
      </c>
    </row>
    <row r="3640" spans="1:7" ht="13.9">
      <c r="A3640" s="26" t="s">
        <v>10223</v>
      </c>
      <c r="B3640" s="34" t="s">
        <v>9430</v>
      </c>
      <c r="C3640" s="34" t="s">
        <v>6473</v>
      </c>
      <c r="D3640" s="26" t="s">
        <v>10246</v>
      </c>
      <c r="E3640" s="39" t="s">
        <v>6395</v>
      </c>
    </row>
    <row r="3641" spans="1:7" ht="13.9">
      <c r="A3641" s="26" t="s">
        <v>10223</v>
      </c>
      <c r="B3641" s="34" t="s">
        <v>9431</v>
      </c>
      <c r="C3641" s="39"/>
      <c r="E3641" s="39" t="s">
        <v>6395</v>
      </c>
    </row>
    <row r="3642" spans="1:7" ht="13.9">
      <c r="A3642" s="26" t="s">
        <v>10223</v>
      </c>
      <c r="B3642" s="36" t="s">
        <v>9432</v>
      </c>
      <c r="C3642" s="37"/>
      <c r="E3642" s="39" t="s">
        <v>6395</v>
      </c>
    </row>
    <row r="3643" spans="1:7" ht="13.9">
      <c r="A3643" s="26" t="s">
        <v>10223</v>
      </c>
      <c r="B3643" s="34" t="s">
        <v>9433</v>
      </c>
      <c r="C3643" s="39"/>
      <c r="E3643" s="35">
        <v>0</v>
      </c>
    </row>
    <row r="3644" spans="1:7" ht="13.9">
      <c r="A3644" s="26" t="s">
        <v>10223</v>
      </c>
      <c r="B3644" s="34" t="s">
        <v>9434</v>
      </c>
      <c r="C3644" s="34" t="s">
        <v>9435</v>
      </c>
      <c r="E3644" s="39" t="s">
        <v>6395</v>
      </c>
    </row>
    <row r="3645" spans="1:7" ht="13.9">
      <c r="A3645" s="26" t="s">
        <v>10223</v>
      </c>
      <c r="B3645" s="34" t="s">
        <v>9436</v>
      </c>
      <c r="C3645" s="39"/>
      <c r="E3645" s="39" t="s">
        <v>6395</v>
      </c>
    </row>
    <row r="3646" spans="1:7" ht="13.9">
      <c r="A3646" s="26" t="s">
        <v>10223</v>
      </c>
      <c r="B3646" s="34" t="s">
        <v>9437</v>
      </c>
      <c r="C3646" s="39"/>
      <c r="E3646" s="39" t="s">
        <v>6395</v>
      </c>
    </row>
    <row r="3647" spans="1:7" ht="13.9">
      <c r="A3647" s="26" t="s">
        <v>10223</v>
      </c>
      <c r="B3647" s="34" t="s">
        <v>1146</v>
      </c>
      <c r="C3647" s="39"/>
      <c r="E3647" s="39" t="s">
        <v>6395</v>
      </c>
    </row>
    <row r="3648" spans="1:7" ht="13.9">
      <c r="A3648" s="26" t="s">
        <v>10223</v>
      </c>
      <c r="B3648" s="34" t="s">
        <v>9438</v>
      </c>
      <c r="C3648" s="39"/>
      <c r="E3648" s="39" t="s">
        <v>6395</v>
      </c>
    </row>
    <row r="3649" spans="1:5" ht="13.9">
      <c r="A3649" s="26" t="s">
        <v>10223</v>
      </c>
      <c r="B3649" s="34" t="s">
        <v>9439</v>
      </c>
      <c r="C3649" s="34" t="s">
        <v>9440</v>
      </c>
      <c r="D3649" s="26" t="s">
        <v>10246</v>
      </c>
      <c r="E3649" s="37" t="s">
        <v>6395</v>
      </c>
    </row>
    <row r="3650" spans="1:5" ht="13.9">
      <c r="A3650" s="26" t="s">
        <v>10223</v>
      </c>
      <c r="B3650" s="36" t="s">
        <v>9441</v>
      </c>
      <c r="C3650" s="39"/>
      <c r="D3650" s="26" t="s">
        <v>10248</v>
      </c>
      <c r="E3650" s="39" t="s">
        <v>6395</v>
      </c>
    </row>
    <row r="3651" spans="1:5" ht="13.9">
      <c r="A3651" s="26" t="s">
        <v>10223</v>
      </c>
      <c r="B3651" s="34" t="s">
        <v>439</v>
      </c>
      <c r="C3651" s="37"/>
      <c r="D3651" s="26" t="s">
        <v>10248</v>
      </c>
      <c r="E3651" s="39" t="s">
        <v>6395</v>
      </c>
    </row>
    <row r="3652" spans="1:5" ht="13.9">
      <c r="A3652" s="26" t="s">
        <v>10223</v>
      </c>
      <c r="B3652" s="34" t="s">
        <v>9442</v>
      </c>
      <c r="C3652" s="34" t="s">
        <v>9443</v>
      </c>
      <c r="D3652" s="26" t="s">
        <v>10247</v>
      </c>
      <c r="E3652" s="37" t="s">
        <v>6395</v>
      </c>
    </row>
    <row r="3653" spans="1:5" ht="13.9">
      <c r="A3653" s="26" t="s">
        <v>10223</v>
      </c>
      <c r="B3653" s="34" t="s">
        <v>9444</v>
      </c>
      <c r="C3653" s="39"/>
      <c r="D3653" s="26" t="s">
        <v>10248</v>
      </c>
      <c r="E3653" s="39" t="s">
        <v>6395</v>
      </c>
    </row>
    <row r="3654" spans="1:5" ht="13.9">
      <c r="A3654" s="26" t="s">
        <v>10223</v>
      </c>
      <c r="B3654" s="34" t="s">
        <v>9445</v>
      </c>
      <c r="C3654" s="39"/>
      <c r="D3654" s="26" t="s">
        <v>10248</v>
      </c>
      <c r="E3654" s="39" t="s">
        <v>6395</v>
      </c>
    </row>
    <row r="3655" spans="1:5" ht="13.9">
      <c r="A3655" s="26" t="s">
        <v>10223</v>
      </c>
      <c r="B3655" s="34" t="s">
        <v>9446</v>
      </c>
      <c r="C3655" s="39"/>
      <c r="D3655" s="26" t="s">
        <v>10248</v>
      </c>
      <c r="E3655" s="39" t="s">
        <v>6395</v>
      </c>
    </row>
    <row r="3656" spans="1:5" ht="13.9">
      <c r="A3656" s="26" t="s">
        <v>10223</v>
      </c>
      <c r="B3656" s="34" t="s">
        <v>9206</v>
      </c>
      <c r="C3656" s="39"/>
      <c r="D3656" s="26" t="s">
        <v>10247</v>
      </c>
      <c r="E3656" s="39" t="s">
        <v>6395</v>
      </c>
    </row>
    <row r="3657" spans="1:5" ht="13.9">
      <c r="A3657" s="26" t="s">
        <v>10223</v>
      </c>
      <c r="B3657" s="34" t="s">
        <v>6833</v>
      </c>
      <c r="C3657" s="39"/>
      <c r="D3657" s="26" t="s">
        <v>10248</v>
      </c>
      <c r="E3657" s="39" t="s">
        <v>6395</v>
      </c>
    </row>
    <row r="3658" spans="1:5" ht="13.9">
      <c r="A3658" s="26" t="s">
        <v>10223</v>
      </c>
      <c r="B3658" s="34" t="s">
        <v>9447</v>
      </c>
      <c r="C3658" s="39"/>
      <c r="D3658" s="26" t="s">
        <v>10248</v>
      </c>
      <c r="E3658" s="39" t="s">
        <v>6395</v>
      </c>
    </row>
    <row r="3659" spans="1:5" ht="13.9">
      <c r="A3659" s="26" t="s">
        <v>10223</v>
      </c>
      <c r="B3659" s="34" t="s">
        <v>9448</v>
      </c>
      <c r="C3659" s="39"/>
      <c r="D3659" s="26" t="s">
        <v>10248</v>
      </c>
      <c r="E3659" s="39" t="s">
        <v>6395</v>
      </c>
    </row>
    <row r="3660" spans="1:5" ht="13.9">
      <c r="A3660" s="26" t="s">
        <v>10223</v>
      </c>
      <c r="B3660" s="34" t="s">
        <v>9449</v>
      </c>
      <c r="C3660" s="34" t="s">
        <v>9450</v>
      </c>
      <c r="D3660" s="26" t="s">
        <v>10248</v>
      </c>
      <c r="E3660" s="39" t="s">
        <v>6395</v>
      </c>
    </row>
    <row r="3661" spans="1:5" ht="13.9">
      <c r="A3661" s="26" t="s">
        <v>10223</v>
      </c>
      <c r="B3661" s="34" t="s">
        <v>9451</v>
      </c>
      <c r="C3661" s="39"/>
      <c r="D3661" s="26" t="s">
        <v>10248</v>
      </c>
      <c r="E3661" s="39" t="s">
        <v>6395</v>
      </c>
    </row>
    <row r="3662" spans="1:5" ht="13.9">
      <c r="A3662" s="26" t="s">
        <v>10223</v>
      </c>
      <c r="B3662" s="34" t="s">
        <v>9452</v>
      </c>
      <c r="C3662" s="39"/>
      <c r="D3662" s="26" t="s">
        <v>10248</v>
      </c>
      <c r="E3662" s="39" t="s">
        <v>6395</v>
      </c>
    </row>
    <row r="3663" spans="1:5" ht="13.9">
      <c r="A3663" s="26" t="s">
        <v>10223</v>
      </c>
      <c r="B3663" s="34" t="s">
        <v>9453</v>
      </c>
      <c r="C3663" s="39"/>
      <c r="D3663" s="26" t="s">
        <v>10248</v>
      </c>
      <c r="E3663" s="39" t="s">
        <v>6395</v>
      </c>
    </row>
    <row r="3664" spans="1:5" ht="13.9">
      <c r="A3664" s="26" t="s">
        <v>10223</v>
      </c>
      <c r="B3664" s="34" t="s">
        <v>9454</v>
      </c>
      <c r="C3664" s="39"/>
      <c r="D3664" s="26" t="s">
        <v>10248</v>
      </c>
      <c r="E3664" s="39" t="s">
        <v>6395</v>
      </c>
    </row>
    <row r="3665" spans="1:5" ht="13.9">
      <c r="A3665" s="26" t="s">
        <v>10223</v>
      </c>
      <c r="B3665" s="34" t="s">
        <v>9455</v>
      </c>
      <c r="C3665" s="39"/>
      <c r="D3665" s="26" t="s">
        <v>10248</v>
      </c>
      <c r="E3665" s="39" t="s">
        <v>6395</v>
      </c>
    </row>
    <row r="3666" spans="1:5" ht="13.9">
      <c r="A3666" s="26" t="s">
        <v>10223</v>
      </c>
      <c r="B3666" s="34" t="s">
        <v>9456</v>
      </c>
      <c r="C3666" s="37"/>
      <c r="D3666" s="26" t="s">
        <v>10247</v>
      </c>
      <c r="E3666" s="39" t="s">
        <v>6395</v>
      </c>
    </row>
    <row r="3667" spans="1:5" ht="13.9">
      <c r="A3667" s="26" t="s">
        <v>10223</v>
      </c>
      <c r="B3667" s="34" t="s">
        <v>9457</v>
      </c>
      <c r="C3667" s="39"/>
      <c r="D3667" s="26" t="s">
        <v>10248</v>
      </c>
      <c r="E3667" s="39" t="s">
        <v>6395</v>
      </c>
    </row>
    <row r="3668" spans="1:5" ht="13.9">
      <c r="A3668" s="26" t="s">
        <v>10223</v>
      </c>
      <c r="B3668" s="34" t="s">
        <v>1632</v>
      </c>
      <c r="C3668" s="39"/>
      <c r="D3668" s="26" t="s">
        <v>10248</v>
      </c>
      <c r="E3668" s="39" t="s">
        <v>6395</v>
      </c>
    </row>
    <row r="3669" spans="1:5" ht="13.9">
      <c r="A3669" s="26" t="s">
        <v>10223</v>
      </c>
      <c r="B3669" s="34" t="s">
        <v>9458</v>
      </c>
      <c r="C3669" s="39"/>
      <c r="D3669" s="26" t="s">
        <v>6542</v>
      </c>
      <c r="E3669" s="39">
        <v>0</v>
      </c>
    </row>
    <row r="3670" spans="1:5" ht="13.9">
      <c r="A3670" s="26" t="s">
        <v>10223</v>
      </c>
      <c r="B3670" s="34" t="s">
        <v>9459</v>
      </c>
      <c r="C3670" s="39"/>
      <c r="D3670" s="26" t="s">
        <v>10248</v>
      </c>
      <c r="E3670" s="39" t="s">
        <v>6395</v>
      </c>
    </row>
    <row r="3671" spans="1:5" ht="13.9">
      <c r="A3671" s="26" t="s">
        <v>10223</v>
      </c>
      <c r="B3671" s="34" t="s">
        <v>9460</v>
      </c>
      <c r="C3671" s="39"/>
      <c r="D3671" s="26" t="s">
        <v>10248</v>
      </c>
      <c r="E3671" s="39" t="s">
        <v>6395</v>
      </c>
    </row>
    <row r="3672" spans="1:5" ht="13.9">
      <c r="A3672" s="26" t="s">
        <v>10223</v>
      </c>
      <c r="B3672" s="34" t="s">
        <v>9461</v>
      </c>
      <c r="C3672" s="34" t="s">
        <v>42</v>
      </c>
      <c r="D3672" s="26" t="s">
        <v>10246</v>
      </c>
      <c r="E3672" s="39" t="s">
        <v>6395</v>
      </c>
    </row>
    <row r="3673" spans="1:5" ht="13.9">
      <c r="A3673" s="26" t="s">
        <v>10223</v>
      </c>
      <c r="B3673" s="34" t="s">
        <v>9462</v>
      </c>
      <c r="C3673" s="39"/>
      <c r="D3673" s="26" t="s">
        <v>10248</v>
      </c>
      <c r="E3673" s="39" t="s">
        <v>6395</v>
      </c>
    </row>
    <row r="3674" spans="1:5" ht="13.9">
      <c r="A3674" s="26" t="s">
        <v>10223</v>
      </c>
      <c r="B3674" s="34" t="s">
        <v>9463</v>
      </c>
      <c r="C3674" s="34" t="s">
        <v>742</v>
      </c>
      <c r="D3674" s="26" t="s">
        <v>10246</v>
      </c>
      <c r="E3674" s="39" t="s">
        <v>6395</v>
      </c>
    </row>
    <row r="3675" spans="1:5" ht="13.9">
      <c r="A3675" s="26" t="s">
        <v>10223</v>
      </c>
      <c r="B3675" s="34" t="s">
        <v>9464</v>
      </c>
      <c r="C3675" s="34" t="s">
        <v>776</v>
      </c>
      <c r="D3675" s="26" t="s">
        <v>10246</v>
      </c>
      <c r="E3675" s="39" t="s">
        <v>6395</v>
      </c>
    </row>
    <row r="3676" spans="1:5" ht="13.9">
      <c r="A3676" s="26" t="s">
        <v>10223</v>
      </c>
      <c r="B3676" s="34" t="s">
        <v>9465</v>
      </c>
      <c r="C3676" s="39"/>
      <c r="D3676" s="26" t="s">
        <v>10248</v>
      </c>
      <c r="E3676" s="39" t="s">
        <v>6395</v>
      </c>
    </row>
    <row r="3677" spans="1:5" ht="13.9">
      <c r="A3677" s="26" t="s">
        <v>10223</v>
      </c>
      <c r="B3677" s="34" t="s">
        <v>9466</v>
      </c>
      <c r="C3677" s="39"/>
      <c r="D3677" s="26" t="s">
        <v>10248</v>
      </c>
      <c r="E3677" s="39" t="s">
        <v>6395</v>
      </c>
    </row>
    <row r="3678" spans="1:5" ht="13.9">
      <c r="A3678" s="26" t="s">
        <v>10223</v>
      </c>
      <c r="B3678" s="34" t="s">
        <v>9467</v>
      </c>
      <c r="C3678" s="39"/>
      <c r="D3678" s="26" t="s">
        <v>10248</v>
      </c>
      <c r="E3678" s="39" t="s">
        <v>6395</v>
      </c>
    </row>
    <row r="3679" spans="1:5" ht="13.9">
      <c r="A3679" s="26" t="s">
        <v>10223</v>
      </c>
      <c r="B3679" s="34" t="s">
        <v>9468</v>
      </c>
      <c r="C3679" s="39"/>
      <c r="D3679" s="26" t="s">
        <v>10248</v>
      </c>
      <c r="E3679" s="39" t="s">
        <v>6395</v>
      </c>
    </row>
    <row r="3680" spans="1:5" ht="13.9">
      <c r="A3680" s="26" t="s">
        <v>10223</v>
      </c>
      <c r="B3680" s="34" t="s">
        <v>9469</v>
      </c>
      <c r="C3680" s="39"/>
      <c r="D3680" s="26" t="s">
        <v>10248</v>
      </c>
      <c r="E3680" s="39">
        <v>0</v>
      </c>
    </row>
    <row r="3681" spans="1:5" ht="13.9">
      <c r="A3681" s="26" t="s">
        <v>10223</v>
      </c>
      <c r="B3681" s="34" t="s">
        <v>8643</v>
      </c>
      <c r="C3681" s="39"/>
      <c r="D3681" s="26" t="s">
        <v>10249</v>
      </c>
      <c r="E3681" s="39" t="s">
        <v>6395</v>
      </c>
    </row>
    <row r="3682" spans="1:5" ht="13.9">
      <c r="A3682" s="26" t="s">
        <v>10223</v>
      </c>
      <c r="B3682" s="34" t="s">
        <v>9470</v>
      </c>
      <c r="C3682" s="34" t="s">
        <v>9471</v>
      </c>
      <c r="D3682" s="26" t="s">
        <v>10246</v>
      </c>
      <c r="E3682" s="39" t="s">
        <v>6395</v>
      </c>
    </row>
    <row r="3683" spans="1:5" ht="13.9">
      <c r="A3683" s="26" t="s">
        <v>10223</v>
      </c>
      <c r="B3683" s="34" t="s">
        <v>9472</v>
      </c>
      <c r="C3683" s="34" t="s">
        <v>27</v>
      </c>
      <c r="D3683" s="26" t="s">
        <v>10246</v>
      </c>
      <c r="E3683" s="39">
        <v>0</v>
      </c>
    </row>
    <row r="3684" spans="1:5" ht="13.9">
      <c r="A3684" s="26" t="s">
        <v>10223</v>
      </c>
      <c r="B3684" s="34" t="s">
        <v>9473</v>
      </c>
      <c r="C3684" s="34" t="s">
        <v>142</v>
      </c>
      <c r="D3684" s="26" t="s">
        <v>10246</v>
      </c>
      <c r="E3684" s="39" t="s">
        <v>6395</v>
      </c>
    </row>
    <row r="3685" spans="1:5" ht="13.9">
      <c r="A3685" s="26" t="s">
        <v>10223</v>
      </c>
      <c r="B3685" s="34" t="s">
        <v>9474</v>
      </c>
      <c r="C3685" s="34" t="s">
        <v>9475</v>
      </c>
      <c r="D3685" s="26" t="s">
        <v>10246</v>
      </c>
      <c r="E3685" s="39" t="s">
        <v>6395</v>
      </c>
    </row>
    <row r="3686" spans="1:5" ht="13.9">
      <c r="A3686" s="26" t="s">
        <v>10223</v>
      </c>
      <c r="B3686" s="34" t="s">
        <v>9476</v>
      </c>
      <c r="C3686" s="39"/>
      <c r="D3686" s="26" t="s">
        <v>10248</v>
      </c>
      <c r="E3686" s="39" t="s">
        <v>6395</v>
      </c>
    </row>
    <row r="3687" spans="1:5" ht="13.9">
      <c r="A3687" s="26" t="s">
        <v>10223</v>
      </c>
      <c r="B3687" s="34" t="s">
        <v>9477</v>
      </c>
      <c r="C3687" s="39"/>
      <c r="D3687" s="26" t="s">
        <v>10248</v>
      </c>
      <c r="E3687" s="39" t="s">
        <v>6395</v>
      </c>
    </row>
    <row r="3688" spans="1:5" ht="13.9">
      <c r="A3688" s="26" t="s">
        <v>10223</v>
      </c>
      <c r="B3688" s="34" t="s">
        <v>9478</v>
      </c>
      <c r="C3688" s="39"/>
      <c r="D3688" s="26" t="s">
        <v>10248</v>
      </c>
      <c r="E3688" s="39" t="s">
        <v>6395</v>
      </c>
    </row>
    <row r="3689" spans="1:5" ht="13.9">
      <c r="A3689" s="26" t="s">
        <v>10223</v>
      </c>
      <c r="B3689" s="34" t="s">
        <v>9479</v>
      </c>
      <c r="C3689" s="34" t="s">
        <v>517</v>
      </c>
      <c r="D3689" s="26" t="s">
        <v>10246</v>
      </c>
      <c r="E3689" s="39" t="s">
        <v>6395</v>
      </c>
    </row>
    <row r="3690" spans="1:5" ht="13.9">
      <c r="A3690" s="26" t="s">
        <v>10223</v>
      </c>
      <c r="B3690" s="34" t="s">
        <v>9480</v>
      </c>
      <c r="C3690" s="39"/>
      <c r="D3690" s="26" t="s">
        <v>10248</v>
      </c>
      <c r="E3690" s="39" t="s">
        <v>6395</v>
      </c>
    </row>
    <row r="3691" spans="1:5" ht="13.9">
      <c r="A3691" s="26" t="s">
        <v>10223</v>
      </c>
      <c r="B3691" s="34" t="s">
        <v>8253</v>
      </c>
      <c r="C3691" s="34" t="s">
        <v>348</v>
      </c>
      <c r="D3691" s="26" t="s">
        <v>10246</v>
      </c>
      <c r="E3691" s="37" t="s">
        <v>6395</v>
      </c>
    </row>
    <row r="3692" spans="1:5" ht="13.9">
      <c r="A3692" s="26" t="s">
        <v>10223</v>
      </c>
      <c r="B3692" s="34" t="s">
        <v>9481</v>
      </c>
      <c r="C3692" s="39"/>
      <c r="E3692" s="39" t="s">
        <v>6395</v>
      </c>
    </row>
    <row r="3693" spans="1:5" ht="13.9">
      <c r="A3693" s="26" t="s">
        <v>10223</v>
      </c>
      <c r="B3693" s="34" t="s">
        <v>9482</v>
      </c>
      <c r="C3693" s="39"/>
      <c r="D3693" s="26" t="s">
        <v>10248</v>
      </c>
      <c r="E3693" s="39" t="s">
        <v>6395</v>
      </c>
    </row>
    <row r="3694" spans="1:5" ht="13.9">
      <c r="A3694" s="26" t="s">
        <v>10223</v>
      </c>
      <c r="B3694" s="40" t="s">
        <v>1330</v>
      </c>
      <c r="C3694" s="34" t="s">
        <v>1331</v>
      </c>
      <c r="D3694" s="26" t="s">
        <v>10246</v>
      </c>
      <c r="E3694" s="39">
        <v>0</v>
      </c>
    </row>
    <row r="3695" spans="1:5" ht="13.9">
      <c r="A3695" s="26" t="s">
        <v>10223</v>
      </c>
      <c r="B3695" s="40" t="s">
        <v>1330</v>
      </c>
      <c r="C3695" s="34" t="s">
        <v>9483</v>
      </c>
      <c r="E3695" s="39">
        <v>0</v>
      </c>
    </row>
    <row r="3696" spans="1:5" ht="13.9">
      <c r="A3696" s="26" t="s">
        <v>10223</v>
      </c>
      <c r="B3696" s="34" t="s">
        <v>2141</v>
      </c>
      <c r="C3696" s="34" t="s">
        <v>154</v>
      </c>
      <c r="D3696" s="26" t="s">
        <v>10246</v>
      </c>
      <c r="E3696" s="39" t="s">
        <v>6395</v>
      </c>
    </row>
    <row r="3697" spans="1:5" ht="13.9">
      <c r="A3697" s="26" t="s">
        <v>10223</v>
      </c>
      <c r="B3697" s="34" t="s">
        <v>9484</v>
      </c>
      <c r="C3697" s="34" t="s">
        <v>524</v>
      </c>
      <c r="D3697" s="26" t="s">
        <v>10246</v>
      </c>
      <c r="E3697" s="39" t="s">
        <v>6395</v>
      </c>
    </row>
    <row r="3698" spans="1:5" ht="13.9">
      <c r="A3698" s="26" t="s">
        <v>10223</v>
      </c>
      <c r="B3698" s="34" t="s">
        <v>9485</v>
      </c>
      <c r="C3698" s="39"/>
      <c r="E3698" s="39" t="s">
        <v>6395</v>
      </c>
    </row>
    <row r="3699" spans="1:5" ht="13.9">
      <c r="A3699" s="26" t="s">
        <v>10223</v>
      </c>
      <c r="B3699" s="34" t="s">
        <v>9486</v>
      </c>
      <c r="C3699" s="34" t="s">
        <v>9487</v>
      </c>
      <c r="D3699" s="26" t="s">
        <v>10247</v>
      </c>
      <c r="E3699" s="37" t="s">
        <v>6395</v>
      </c>
    </row>
    <row r="3700" spans="1:5" ht="13.9">
      <c r="A3700" s="26" t="s">
        <v>10223</v>
      </c>
      <c r="B3700" s="34" t="s">
        <v>9488</v>
      </c>
      <c r="C3700" s="39"/>
      <c r="D3700" s="26" t="s">
        <v>10248</v>
      </c>
      <c r="E3700" s="39" t="s">
        <v>6395</v>
      </c>
    </row>
    <row r="3701" spans="1:5" ht="13.9">
      <c r="A3701" s="26" t="s">
        <v>10223</v>
      </c>
      <c r="B3701" s="34" t="s">
        <v>9063</v>
      </c>
      <c r="C3701" s="39"/>
      <c r="D3701" s="26" t="s">
        <v>6480</v>
      </c>
      <c r="E3701" s="39" t="s">
        <v>6395</v>
      </c>
    </row>
    <row r="3702" spans="1:5" ht="13.9">
      <c r="A3702" s="26" t="s">
        <v>10223</v>
      </c>
      <c r="B3702" s="34" t="s">
        <v>9489</v>
      </c>
      <c r="C3702" s="39"/>
      <c r="D3702" s="26" t="s">
        <v>6480</v>
      </c>
      <c r="E3702" s="39">
        <v>0</v>
      </c>
    </row>
    <row r="3703" spans="1:5" ht="13.9">
      <c r="A3703" s="26" t="s">
        <v>10223</v>
      </c>
      <c r="B3703" s="34" t="s">
        <v>9490</v>
      </c>
      <c r="C3703" s="34" t="s">
        <v>9491</v>
      </c>
      <c r="D3703" s="26" t="s">
        <v>6480</v>
      </c>
      <c r="E3703" s="37" t="s">
        <v>6395</v>
      </c>
    </row>
    <row r="3704" spans="1:5" ht="13.9">
      <c r="A3704" s="26" t="s">
        <v>10223</v>
      </c>
      <c r="B3704" s="34" t="s">
        <v>7372</v>
      </c>
      <c r="C3704" s="34" t="s">
        <v>9492</v>
      </c>
      <c r="D3704" s="26" t="s">
        <v>6480</v>
      </c>
      <c r="E3704" s="39" t="s">
        <v>6395</v>
      </c>
    </row>
    <row r="3705" spans="1:5" ht="13.9">
      <c r="A3705" s="26" t="s">
        <v>10223</v>
      </c>
      <c r="B3705" s="34" t="s">
        <v>9493</v>
      </c>
      <c r="C3705" s="39"/>
      <c r="D3705" s="26" t="s">
        <v>6480</v>
      </c>
      <c r="E3705" s="39" t="s">
        <v>6395</v>
      </c>
    </row>
    <row r="3706" spans="1:5" ht="13.9">
      <c r="A3706" s="26" t="s">
        <v>10223</v>
      </c>
      <c r="B3706" s="34" t="s">
        <v>9494</v>
      </c>
      <c r="C3706" s="34" t="s">
        <v>9495</v>
      </c>
      <c r="D3706" s="26" t="s">
        <v>6480</v>
      </c>
      <c r="E3706" s="37" t="s">
        <v>6395</v>
      </c>
    </row>
    <row r="3707" spans="1:5" ht="13.9">
      <c r="A3707" s="26" t="s">
        <v>10223</v>
      </c>
      <c r="B3707" s="34" t="s">
        <v>9496</v>
      </c>
      <c r="C3707" s="37"/>
      <c r="D3707" s="26" t="s">
        <v>6480</v>
      </c>
      <c r="E3707" s="37" t="s">
        <v>6395</v>
      </c>
    </row>
    <row r="3708" spans="1:5" ht="13.9">
      <c r="A3708" s="26" t="s">
        <v>10223</v>
      </c>
      <c r="B3708" s="34" t="s">
        <v>9038</v>
      </c>
      <c r="C3708" s="39"/>
      <c r="D3708" s="26" t="s">
        <v>6480</v>
      </c>
      <c r="E3708" s="39">
        <v>0</v>
      </c>
    </row>
    <row r="3709" spans="1:5" ht="13.9">
      <c r="A3709" s="26" t="s">
        <v>10223</v>
      </c>
      <c r="B3709" s="34" t="s">
        <v>9497</v>
      </c>
      <c r="C3709" s="37"/>
      <c r="D3709" s="26" t="s">
        <v>6480</v>
      </c>
      <c r="E3709" s="39" t="s">
        <v>6395</v>
      </c>
    </row>
    <row r="3710" spans="1:5" ht="13.9">
      <c r="A3710" s="26" t="s">
        <v>10223</v>
      </c>
      <c r="B3710" s="34" t="s">
        <v>9498</v>
      </c>
      <c r="C3710" s="34" t="s">
        <v>9499</v>
      </c>
      <c r="D3710" s="26" t="s">
        <v>10246</v>
      </c>
      <c r="E3710" s="37" t="s">
        <v>6395</v>
      </c>
    </row>
    <row r="3711" spans="1:5" ht="13.9">
      <c r="A3711" s="26" t="s">
        <v>10223</v>
      </c>
      <c r="B3711" s="34" t="s">
        <v>1451</v>
      </c>
      <c r="C3711" s="39"/>
      <c r="D3711" s="26" t="s">
        <v>10246</v>
      </c>
      <c r="E3711" s="39" t="s">
        <v>6395</v>
      </c>
    </row>
    <row r="3712" spans="1:5" ht="13.9">
      <c r="A3712" s="26" t="s">
        <v>10223</v>
      </c>
      <c r="B3712" s="34" t="s">
        <v>9500</v>
      </c>
      <c r="C3712" s="39"/>
      <c r="D3712" s="26" t="s">
        <v>10246</v>
      </c>
      <c r="E3712" s="39" t="s">
        <v>6395</v>
      </c>
    </row>
    <row r="3713" spans="1:5" ht="13.9">
      <c r="A3713" s="26" t="s">
        <v>10223</v>
      </c>
      <c r="B3713" s="34" t="s">
        <v>8596</v>
      </c>
      <c r="C3713" s="34" t="s">
        <v>517</v>
      </c>
      <c r="D3713" s="26" t="s">
        <v>10246</v>
      </c>
      <c r="E3713" s="39" t="s">
        <v>6395</v>
      </c>
    </row>
    <row r="3714" spans="1:5" ht="13.9">
      <c r="A3714" s="26" t="s">
        <v>10223</v>
      </c>
      <c r="B3714" s="34" t="s">
        <v>9501</v>
      </c>
      <c r="C3714" s="39"/>
      <c r="D3714" s="26" t="s">
        <v>10246</v>
      </c>
      <c r="E3714" s="39" t="s">
        <v>6395</v>
      </c>
    </row>
    <row r="3715" spans="1:5" ht="13.9">
      <c r="A3715" s="26" t="s">
        <v>10223</v>
      </c>
      <c r="B3715" s="34" t="s">
        <v>9502</v>
      </c>
      <c r="C3715" s="39"/>
      <c r="D3715" s="26" t="s">
        <v>10246</v>
      </c>
      <c r="E3715" s="39" t="s">
        <v>6395</v>
      </c>
    </row>
    <row r="3716" spans="1:5" ht="13.9">
      <c r="A3716" s="26" t="s">
        <v>10223</v>
      </c>
      <c r="B3716" s="34" t="s">
        <v>8787</v>
      </c>
      <c r="C3716" s="39"/>
      <c r="D3716" s="26" t="s">
        <v>10246</v>
      </c>
      <c r="E3716" s="39" t="s">
        <v>6395</v>
      </c>
    </row>
    <row r="3717" spans="1:5" ht="13.9">
      <c r="A3717" s="26" t="s">
        <v>10223</v>
      </c>
      <c r="B3717" s="34" t="s">
        <v>7943</v>
      </c>
      <c r="C3717" s="39"/>
      <c r="D3717" s="26" t="s">
        <v>10246</v>
      </c>
      <c r="E3717" s="39" t="s">
        <v>6395</v>
      </c>
    </row>
    <row r="3718" spans="1:5" ht="13.9">
      <c r="A3718" s="26" t="s">
        <v>10223</v>
      </c>
      <c r="B3718" s="34" t="s">
        <v>8182</v>
      </c>
      <c r="C3718" s="39"/>
      <c r="D3718" s="26" t="s">
        <v>10246</v>
      </c>
      <c r="E3718" s="39" t="s">
        <v>6395</v>
      </c>
    </row>
    <row r="3719" spans="1:5" ht="13.9">
      <c r="A3719" s="26" t="s">
        <v>10223</v>
      </c>
      <c r="B3719" s="34" t="s">
        <v>9503</v>
      </c>
      <c r="C3719" s="39"/>
      <c r="D3719" s="26" t="s">
        <v>10246</v>
      </c>
      <c r="E3719" s="39" t="s">
        <v>6395</v>
      </c>
    </row>
    <row r="3720" spans="1:5" ht="13.9">
      <c r="A3720" s="26" t="s">
        <v>10223</v>
      </c>
      <c r="B3720" s="34" t="s">
        <v>9504</v>
      </c>
      <c r="C3720" s="34" t="s">
        <v>9505</v>
      </c>
      <c r="D3720" s="26" t="s">
        <v>10246</v>
      </c>
      <c r="E3720" s="39" t="s">
        <v>6395</v>
      </c>
    </row>
    <row r="3721" spans="1:5" ht="13.9">
      <c r="A3721" s="26" t="s">
        <v>10223</v>
      </c>
      <c r="B3721" s="34" t="s">
        <v>659</v>
      </c>
      <c r="C3721" s="34" t="s">
        <v>660</v>
      </c>
      <c r="D3721" s="26" t="s">
        <v>10246</v>
      </c>
      <c r="E3721" s="39" t="s">
        <v>6395</v>
      </c>
    </row>
    <row r="3722" spans="1:5" ht="13.9">
      <c r="A3722" s="26" t="s">
        <v>10223</v>
      </c>
      <c r="B3722" s="34" t="s">
        <v>7452</v>
      </c>
      <c r="C3722" s="39"/>
      <c r="D3722" s="26" t="s">
        <v>10246</v>
      </c>
      <c r="E3722" s="39" t="s">
        <v>6395</v>
      </c>
    </row>
    <row r="3723" spans="1:5" ht="13.9">
      <c r="A3723" s="26" t="s">
        <v>10223</v>
      </c>
      <c r="B3723" s="34" t="s">
        <v>6934</v>
      </c>
      <c r="C3723" s="34" t="s">
        <v>9499</v>
      </c>
      <c r="D3723" s="26" t="s">
        <v>10246</v>
      </c>
      <c r="E3723" s="37" t="s">
        <v>6395</v>
      </c>
    </row>
    <row r="3724" spans="1:5" ht="13.9">
      <c r="A3724" s="26" t="s">
        <v>10223</v>
      </c>
      <c r="B3724" s="40" t="s">
        <v>2368</v>
      </c>
      <c r="C3724" s="34" t="s">
        <v>9506</v>
      </c>
      <c r="D3724" s="26" t="s">
        <v>10246</v>
      </c>
      <c r="E3724" s="39">
        <v>0</v>
      </c>
    </row>
    <row r="3725" spans="1:5" ht="13.9">
      <c r="A3725" s="26" t="s">
        <v>10223</v>
      </c>
      <c r="B3725" s="40" t="s">
        <v>2368</v>
      </c>
      <c r="C3725" s="34" t="s">
        <v>884</v>
      </c>
      <c r="D3725" s="26" t="s">
        <v>10246</v>
      </c>
      <c r="E3725" s="39">
        <v>0</v>
      </c>
    </row>
    <row r="3726" spans="1:5" ht="13.9">
      <c r="A3726" s="26" t="s">
        <v>10223</v>
      </c>
      <c r="B3726" s="34" t="s">
        <v>9507</v>
      </c>
      <c r="C3726" s="39"/>
      <c r="D3726" s="26" t="s">
        <v>10246</v>
      </c>
      <c r="E3726" s="39" t="s">
        <v>6395</v>
      </c>
    </row>
    <row r="3727" spans="1:5" ht="13.9">
      <c r="A3727" s="26" t="s">
        <v>10223</v>
      </c>
      <c r="B3727" s="34" t="s">
        <v>422</v>
      </c>
      <c r="C3727" s="34" t="s">
        <v>154</v>
      </c>
      <c r="D3727" s="26" t="s">
        <v>10246</v>
      </c>
      <c r="E3727" s="39" t="s">
        <v>6395</v>
      </c>
    </row>
    <row r="3728" spans="1:5" ht="13.9">
      <c r="A3728" s="26" t="s">
        <v>10223</v>
      </c>
      <c r="B3728" s="34" t="s">
        <v>8276</v>
      </c>
      <c r="C3728" s="39"/>
      <c r="D3728" s="26" t="s">
        <v>10246</v>
      </c>
      <c r="E3728" s="39" t="s">
        <v>6395</v>
      </c>
    </row>
    <row r="3729" spans="1:5" ht="13.9">
      <c r="A3729" s="26" t="s">
        <v>10223</v>
      </c>
      <c r="B3729" s="34" t="s">
        <v>9508</v>
      </c>
      <c r="C3729" s="39"/>
      <c r="D3729" s="26" t="s">
        <v>10246</v>
      </c>
      <c r="E3729" s="39" t="s">
        <v>6395</v>
      </c>
    </row>
    <row r="3730" spans="1:5" ht="13.9">
      <c r="A3730" s="26" t="s">
        <v>10223</v>
      </c>
      <c r="B3730" s="34" t="s">
        <v>6426</v>
      </c>
      <c r="C3730" s="39"/>
      <c r="D3730" s="26" t="s">
        <v>10246</v>
      </c>
      <c r="E3730" s="39" t="s">
        <v>6395</v>
      </c>
    </row>
    <row r="3731" spans="1:5" ht="13.9">
      <c r="A3731" s="26" t="s">
        <v>10223</v>
      </c>
      <c r="B3731" s="34" t="s">
        <v>9509</v>
      </c>
      <c r="C3731" s="39"/>
      <c r="D3731" s="26" t="s">
        <v>10246</v>
      </c>
      <c r="E3731" s="39" t="s">
        <v>6395</v>
      </c>
    </row>
    <row r="3732" spans="1:5" ht="13.9">
      <c r="A3732" s="26" t="s">
        <v>10223</v>
      </c>
      <c r="B3732" s="34" t="s">
        <v>9510</v>
      </c>
      <c r="C3732" s="34" t="s">
        <v>2449</v>
      </c>
      <c r="D3732" s="26" t="s">
        <v>10246</v>
      </c>
      <c r="E3732" s="39" t="s">
        <v>6395</v>
      </c>
    </row>
    <row r="3733" spans="1:5" ht="13.9">
      <c r="A3733" s="26" t="s">
        <v>10223</v>
      </c>
      <c r="B3733" s="34" t="s">
        <v>9511</v>
      </c>
      <c r="C3733" s="34" t="s">
        <v>541</v>
      </c>
      <c r="D3733" s="26" t="s">
        <v>10246</v>
      </c>
      <c r="E3733" s="39" t="s">
        <v>6395</v>
      </c>
    </row>
    <row r="3734" spans="1:5" ht="13.9">
      <c r="A3734" s="26" t="s">
        <v>10223</v>
      </c>
      <c r="B3734" s="34" t="s">
        <v>9512</v>
      </c>
      <c r="C3734" s="34" t="s">
        <v>574</v>
      </c>
      <c r="D3734" s="26" t="s">
        <v>10246</v>
      </c>
      <c r="E3734" s="39" t="s">
        <v>6395</v>
      </c>
    </row>
    <row r="3735" spans="1:5" ht="13.9">
      <c r="A3735" s="26" t="s">
        <v>10223</v>
      </c>
      <c r="B3735" s="34" t="s">
        <v>9513</v>
      </c>
      <c r="C3735" s="34" t="s">
        <v>154</v>
      </c>
      <c r="D3735" s="26" t="s">
        <v>10246</v>
      </c>
      <c r="E3735" s="39" t="s">
        <v>6395</v>
      </c>
    </row>
    <row r="3736" spans="1:5" ht="13.9">
      <c r="A3736" s="26" t="s">
        <v>10223</v>
      </c>
      <c r="B3736" s="34" t="s">
        <v>9514</v>
      </c>
      <c r="C3736" s="39"/>
      <c r="D3736" s="26" t="s">
        <v>10246</v>
      </c>
      <c r="E3736" s="39" t="s">
        <v>6395</v>
      </c>
    </row>
    <row r="3737" spans="1:5" ht="13.9">
      <c r="A3737" s="26" t="s">
        <v>10223</v>
      </c>
      <c r="B3737" s="34" t="s">
        <v>9515</v>
      </c>
      <c r="C3737" s="34" t="s">
        <v>1274</v>
      </c>
      <c r="D3737" s="26" t="s">
        <v>10246</v>
      </c>
      <c r="E3737" s="39" t="s">
        <v>6395</v>
      </c>
    </row>
    <row r="3738" spans="1:5" ht="13.9">
      <c r="A3738" s="26" t="s">
        <v>10223</v>
      </c>
      <c r="B3738" s="34" t="s">
        <v>9516</v>
      </c>
      <c r="C3738" s="34" t="s">
        <v>395</v>
      </c>
      <c r="D3738" s="26" t="s">
        <v>10246</v>
      </c>
      <c r="E3738" s="39" t="s">
        <v>6395</v>
      </c>
    </row>
    <row r="3739" spans="1:5" ht="13.9">
      <c r="A3739" s="26" t="s">
        <v>10223</v>
      </c>
      <c r="B3739" s="34" t="s">
        <v>2294</v>
      </c>
      <c r="C3739" s="34" t="s">
        <v>9517</v>
      </c>
      <c r="D3739" s="26" t="s">
        <v>10246</v>
      </c>
      <c r="E3739" s="39" t="s">
        <v>6411</v>
      </c>
    </row>
    <row r="3740" spans="1:5" ht="13.9">
      <c r="A3740" s="26" t="s">
        <v>10223</v>
      </c>
      <c r="B3740" s="34" t="s">
        <v>6421</v>
      </c>
      <c r="C3740" s="34" t="s">
        <v>238</v>
      </c>
      <c r="D3740" s="26" t="s">
        <v>10246</v>
      </c>
      <c r="E3740" s="39" t="s">
        <v>6395</v>
      </c>
    </row>
    <row r="3741" spans="1:5" ht="13.9">
      <c r="A3741" s="26" t="s">
        <v>10223</v>
      </c>
      <c r="B3741" s="34" t="s">
        <v>9518</v>
      </c>
      <c r="C3741" s="39"/>
      <c r="D3741" s="26" t="s">
        <v>10246</v>
      </c>
      <c r="E3741" s="39" t="s">
        <v>6395</v>
      </c>
    </row>
    <row r="3742" spans="1:5" ht="13.9">
      <c r="A3742" s="26" t="s">
        <v>10223</v>
      </c>
      <c r="B3742" s="34" t="s">
        <v>2414</v>
      </c>
      <c r="C3742" s="34" t="s">
        <v>679</v>
      </c>
      <c r="D3742" s="26" t="s">
        <v>10246</v>
      </c>
      <c r="E3742" s="39" t="s">
        <v>6395</v>
      </c>
    </row>
    <row r="3743" spans="1:5" ht="13.9">
      <c r="A3743" s="26" t="s">
        <v>10223</v>
      </c>
      <c r="B3743" s="34" t="s">
        <v>8547</v>
      </c>
      <c r="C3743" s="39"/>
      <c r="D3743" s="26" t="s">
        <v>10246</v>
      </c>
      <c r="E3743" s="39" t="s">
        <v>6395</v>
      </c>
    </row>
    <row r="3744" spans="1:5" ht="13.9">
      <c r="A3744" s="26" t="s">
        <v>10223</v>
      </c>
      <c r="B3744" s="34" t="s">
        <v>7454</v>
      </c>
      <c r="C3744" s="34" t="s">
        <v>7437</v>
      </c>
      <c r="D3744" s="26" t="s">
        <v>10246</v>
      </c>
      <c r="E3744" s="39" t="s">
        <v>6395</v>
      </c>
    </row>
    <row r="3745" spans="1:5" ht="13.9">
      <c r="A3745" s="26" t="s">
        <v>10223</v>
      </c>
      <c r="B3745" s="34" t="s">
        <v>6994</v>
      </c>
      <c r="C3745" s="39"/>
      <c r="D3745" s="26" t="s">
        <v>10246</v>
      </c>
      <c r="E3745" s="39" t="s">
        <v>6395</v>
      </c>
    </row>
    <row r="3746" spans="1:5" ht="13.9">
      <c r="A3746" s="26" t="s">
        <v>10223</v>
      </c>
      <c r="B3746" s="34" t="s">
        <v>9519</v>
      </c>
      <c r="C3746" s="39"/>
      <c r="D3746" s="26" t="s">
        <v>10246</v>
      </c>
      <c r="E3746" s="39" t="s">
        <v>6395</v>
      </c>
    </row>
    <row r="3747" spans="1:5" ht="13.9">
      <c r="A3747" s="26" t="s">
        <v>10223</v>
      </c>
      <c r="B3747" s="34" t="s">
        <v>9520</v>
      </c>
      <c r="C3747" s="39"/>
      <c r="D3747" s="26" t="s">
        <v>10246</v>
      </c>
      <c r="E3747" s="39" t="s">
        <v>6395</v>
      </c>
    </row>
    <row r="3748" spans="1:5" ht="13.9">
      <c r="A3748" s="26" t="s">
        <v>10223</v>
      </c>
      <c r="B3748" s="34" t="s">
        <v>3356</v>
      </c>
      <c r="C3748" s="34" t="s">
        <v>154</v>
      </c>
      <c r="D3748" s="26" t="s">
        <v>10246</v>
      </c>
      <c r="E3748" s="39" t="s">
        <v>6395</v>
      </c>
    </row>
    <row r="3749" spans="1:5" ht="13.9">
      <c r="A3749" s="26" t="s">
        <v>10223</v>
      </c>
      <c r="B3749" s="34" t="s">
        <v>9521</v>
      </c>
      <c r="C3749" s="39"/>
      <c r="D3749" s="26" t="s">
        <v>10246</v>
      </c>
      <c r="E3749" s="39" t="s">
        <v>6395</v>
      </c>
    </row>
    <row r="3750" spans="1:5" ht="13.9">
      <c r="A3750" s="26" t="s">
        <v>10223</v>
      </c>
      <c r="B3750" s="34" t="s">
        <v>9522</v>
      </c>
      <c r="C3750" s="39"/>
      <c r="D3750" s="26" t="s">
        <v>10246</v>
      </c>
      <c r="E3750" s="39">
        <v>0</v>
      </c>
    </row>
    <row r="3751" spans="1:5" ht="13.9">
      <c r="A3751" s="26" t="s">
        <v>10223</v>
      </c>
      <c r="B3751" s="34" t="s">
        <v>918</v>
      </c>
      <c r="C3751" s="34" t="s">
        <v>154</v>
      </c>
      <c r="D3751" s="26" t="s">
        <v>10246</v>
      </c>
      <c r="E3751" s="39" t="s">
        <v>6395</v>
      </c>
    </row>
    <row r="3752" spans="1:5" ht="13.9">
      <c r="A3752" s="26" t="s">
        <v>10223</v>
      </c>
      <c r="B3752" s="34" t="s">
        <v>7343</v>
      </c>
      <c r="C3752" s="34" t="s">
        <v>395</v>
      </c>
      <c r="D3752" s="26" t="s">
        <v>10246</v>
      </c>
      <c r="E3752" s="39" t="s">
        <v>6395</v>
      </c>
    </row>
    <row r="3753" spans="1:5" ht="13.9">
      <c r="A3753" s="26" t="s">
        <v>10223</v>
      </c>
      <c r="B3753" s="34" t="s">
        <v>6606</v>
      </c>
      <c r="C3753" s="39"/>
      <c r="D3753" s="26" t="s">
        <v>10246</v>
      </c>
      <c r="E3753" s="39" t="s">
        <v>6395</v>
      </c>
    </row>
    <row r="3754" spans="1:5" ht="13.9">
      <c r="A3754" s="26" t="s">
        <v>10223</v>
      </c>
      <c r="B3754" s="34" t="s">
        <v>6564</v>
      </c>
      <c r="C3754" s="39"/>
      <c r="D3754" s="26" t="s">
        <v>10246</v>
      </c>
      <c r="E3754" s="39" t="s">
        <v>6395</v>
      </c>
    </row>
    <row r="3755" spans="1:5" ht="13.9">
      <c r="A3755" s="26" t="s">
        <v>10223</v>
      </c>
      <c r="B3755" s="34" t="s">
        <v>7170</v>
      </c>
      <c r="C3755" s="39"/>
      <c r="D3755" s="26" t="s">
        <v>10246</v>
      </c>
      <c r="E3755" s="39" t="s">
        <v>6395</v>
      </c>
    </row>
    <row r="3756" spans="1:5" ht="13.9">
      <c r="A3756" s="26" t="s">
        <v>10223</v>
      </c>
      <c r="B3756" s="34" t="s">
        <v>9523</v>
      </c>
      <c r="C3756" s="39"/>
      <c r="D3756" s="26" t="s">
        <v>10246</v>
      </c>
      <c r="E3756" s="39" t="s">
        <v>6395</v>
      </c>
    </row>
    <row r="3757" spans="1:5" ht="13.9">
      <c r="A3757" s="26" t="s">
        <v>10223</v>
      </c>
      <c r="B3757" s="34" t="s">
        <v>9524</v>
      </c>
      <c r="C3757" s="39"/>
      <c r="D3757" s="26" t="s">
        <v>10246</v>
      </c>
      <c r="E3757" s="39" t="s">
        <v>6395</v>
      </c>
    </row>
    <row r="3758" spans="1:5" ht="13.9">
      <c r="A3758" s="26" t="s">
        <v>10223</v>
      </c>
      <c r="B3758" s="34" t="s">
        <v>9525</v>
      </c>
      <c r="C3758" s="39"/>
      <c r="D3758" s="26" t="s">
        <v>10246</v>
      </c>
      <c r="E3758" s="39" t="s">
        <v>6395</v>
      </c>
    </row>
    <row r="3759" spans="1:5" ht="13.9">
      <c r="A3759" s="26" t="s">
        <v>10223</v>
      </c>
      <c r="B3759" s="34" t="s">
        <v>9526</v>
      </c>
      <c r="C3759" s="39"/>
      <c r="D3759" s="26" t="s">
        <v>10246</v>
      </c>
      <c r="E3759" s="39" t="s">
        <v>1611</v>
      </c>
    </row>
    <row r="3760" spans="1:5" ht="13.9">
      <c r="A3760" s="26" t="s">
        <v>10223</v>
      </c>
      <c r="B3760" s="34" t="s">
        <v>9527</v>
      </c>
      <c r="C3760" s="34" t="s">
        <v>8231</v>
      </c>
      <c r="D3760" s="26" t="s">
        <v>10246</v>
      </c>
      <c r="E3760" s="39" t="s">
        <v>10225</v>
      </c>
    </row>
    <row r="3761" spans="1:5" ht="13.9">
      <c r="A3761" s="26" t="s">
        <v>10223</v>
      </c>
      <c r="B3761" s="34" t="s">
        <v>1165</v>
      </c>
      <c r="C3761" s="34" t="s">
        <v>227</v>
      </c>
      <c r="D3761" s="26" t="s">
        <v>10246</v>
      </c>
      <c r="E3761" s="39" t="s">
        <v>6395</v>
      </c>
    </row>
    <row r="3762" spans="1:5" ht="13.9">
      <c r="A3762" s="26" t="s">
        <v>10223</v>
      </c>
      <c r="B3762" s="34" t="s">
        <v>3194</v>
      </c>
      <c r="C3762" s="34" t="s">
        <v>154</v>
      </c>
      <c r="D3762" s="26" t="s">
        <v>10246</v>
      </c>
      <c r="E3762" s="39" t="s">
        <v>6395</v>
      </c>
    </row>
    <row r="3763" spans="1:5" ht="13.9">
      <c r="A3763" s="26" t="s">
        <v>10223</v>
      </c>
      <c r="B3763" s="34" t="s">
        <v>6648</v>
      </c>
      <c r="C3763" s="34" t="s">
        <v>6646</v>
      </c>
      <c r="D3763" s="26" t="s">
        <v>10246</v>
      </c>
      <c r="E3763" s="39" t="s">
        <v>6395</v>
      </c>
    </row>
    <row r="3764" spans="1:5" ht="13.9">
      <c r="A3764" s="26" t="s">
        <v>10223</v>
      </c>
      <c r="B3764" s="34" t="s">
        <v>6880</v>
      </c>
      <c r="C3764" s="39"/>
      <c r="D3764" s="26" t="s">
        <v>10246</v>
      </c>
      <c r="E3764" s="39" t="s">
        <v>6395</v>
      </c>
    </row>
    <row r="3765" spans="1:5" ht="13.9">
      <c r="A3765" s="26" t="s">
        <v>10223</v>
      </c>
      <c r="B3765" s="34" t="s">
        <v>946</v>
      </c>
      <c r="C3765" s="34" t="s">
        <v>154</v>
      </c>
      <c r="D3765" s="26" t="s">
        <v>10246</v>
      </c>
      <c r="E3765" s="39" t="s">
        <v>6395</v>
      </c>
    </row>
    <row r="3766" spans="1:5" ht="13.9">
      <c r="A3766" s="26" t="s">
        <v>10223</v>
      </c>
      <c r="B3766" s="34" t="s">
        <v>9528</v>
      </c>
      <c r="C3766" s="34" t="s">
        <v>742</v>
      </c>
      <c r="D3766" s="26" t="s">
        <v>10246</v>
      </c>
      <c r="E3766" s="39" t="s">
        <v>6395</v>
      </c>
    </row>
    <row r="3767" spans="1:5" ht="13.9">
      <c r="A3767" s="26" t="s">
        <v>10223</v>
      </c>
      <c r="B3767" s="34" t="s">
        <v>7342</v>
      </c>
      <c r="C3767" s="39"/>
      <c r="D3767" s="26" t="s">
        <v>10246</v>
      </c>
      <c r="E3767" s="39" t="s">
        <v>6395</v>
      </c>
    </row>
    <row r="3768" spans="1:5" ht="13.9">
      <c r="A3768" s="26" t="s">
        <v>10223</v>
      </c>
      <c r="B3768" s="34" t="s">
        <v>2322</v>
      </c>
      <c r="C3768" s="39"/>
      <c r="D3768" s="26" t="s">
        <v>10246</v>
      </c>
      <c r="E3768" s="39" t="s">
        <v>6395</v>
      </c>
    </row>
    <row r="3769" spans="1:5" ht="13.9">
      <c r="A3769" s="26" t="s">
        <v>10223</v>
      </c>
      <c r="B3769" s="34" t="s">
        <v>9529</v>
      </c>
      <c r="C3769" s="34" t="s">
        <v>9530</v>
      </c>
      <c r="D3769" s="26" t="s">
        <v>10246</v>
      </c>
      <c r="E3769" s="37" t="s">
        <v>10225</v>
      </c>
    </row>
    <row r="3770" spans="1:5" ht="13.9">
      <c r="A3770" s="26" t="s">
        <v>10223</v>
      </c>
      <c r="B3770" s="34" t="s">
        <v>9531</v>
      </c>
      <c r="C3770" s="34" t="s">
        <v>9532</v>
      </c>
      <c r="D3770" s="26" t="s">
        <v>10246</v>
      </c>
      <c r="E3770" s="39" t="s">
        <v>6395</v>
      </c>
    </row>
    <row r="3771" spans="1:5" ht="13.9">
      <c r="A3771" s="26" t="s">
        <v>10223</v>
      </c>
      <c r="B3771" s="34" t="s">
        <v>7216</v>
      </c>
      <c r="C3771" s="34" t="s">
        <v>700</v>
      </c>
      <c r="D3771" s="26" t="s">
        <v>10246</v>
      </c>
      <c r="E3771" s="39" t="s">
        <v>6395</v>
      </c>
    </row>
    <row r="3772" spans="1:5" ht="13.9">
      <c r="A3772" s="26" t="s">
        <v>10223</v>
      </c>
      <c r="B3772" s="34" t="s">
        <v>9533</v>
      </c>
      <c r="C3772" s="34" t="s">
        <v>9534</v>
      </c>
      <c r="D3772" s="26" t="s">
        <v>10246</v>
      </c>
      <c r="E3772" s="39" t="s">
        <v>6395</v>
      </c>
    </row>
    <row r="3773" spans="1:5" ht="13.9">
      <c r="A3773" s="26" t="s">
        <v>10223</v>
      </c>
      <c r="B3773" s="34" t="s">
        <v>1912</v>
      </c>
      <c r="C3773" s="39"/>
      <c r="D3773" s="26" t="s">
        <v>10246</v>
      </c>
      <c r="E3773" s="39" t="s">
        <v>6395</v>
      </c>
    </row>
    <row r="3774" spans="1:5" ht="13.9">
      <c r="A3774" s="26" t="s">
        <v>10223</v>
      </c>
      <c r="B3774" s="34" t="s">
        <v>9535</v>
      </c>
      <c r="C3774" s="39"/>
      <c r="D3774" s="26" t="s">
        <v>10246</v>
      </c>
      <c r="E3774" s="39" t="s">
        <v>6395</v>
      </c>
    </row>
    <row r="3775" spans="1:5" ht="13.9">
      <c r="A3775" s="26" t="s">
        <v>10223</v>
      </c>
      <c r="B3775" s="34" t="s">
        <v>9536</v>
      </c>
      <c r="C3775" s="34" t="s">
        <v>9537</v>
      </c>
      <c r="D3775" s="26" t="s">
        <v>10246</v>
      </c>
      <c r="E3775" s="37" t="s">
        <v>6395</v>
      </c>
    </row>
    <row r="3776" spans="1:5" ht="13.9">
      <c r="A3776" s="26" t="s">
        <v>10223</v>
      </c>
      <c r="B3776" s="34" t="s">
        <v>6686</v>
      </c>
      <c r="C3776" s="39"/>
      <c r="D3776" s="26" t="s">
        <v>10246</v>
      </c>
      <c r="E3776" s="39" t="s">
        <v>6395</v>
      </c>
    </row>
    <row r="3777" spans="1:5" ht="13.9">
      <c r="A3777" s="26" t="s">
        <v>10223</v>
      </c>
      <c r="B3777" s="34" t="s">
        <v>7312</v>
      </c>
      <c r="C3777" s="34" t="s">
        <v>9471</v>
      </c>
      <c r="D3777" s="26" t="s">
        <v>10246</v>
      </c>
      <c r="E3777" s="39" t="s">
        <v>6395</v>
      </c>
    </row>
    <row r="3778" spans="1:5" ht="13.9">
      <c r="A3778" s="26" t="s">
        <v>10223</v>
      </c>
      <c r="B3778" s="34" t="s">
        <v>999</v>
      </c>
      <c r="C3778" s="39"/>
      <c r="D3778" s="26" t="s">
        <v>10246</v>
      </c>
      <c r="E3778" s="39" t="s">
        <v>6395</v>
      </c>
    </row>
    <row r="3779" spans="1:5" ht="13.9">
      <c r="A3779" s="26" t="s">
        <v>10223</v>
      </c>
      <c r="B3779" s="34" t="s">
        <v>9538</v>
      </c>
      <c r="C3779" s="34" t="s">
        <v>154</v>
      </c>
      <c r="D3779" s="26" t="s">
        <v>10246</v>
      </c>
      <c r="E3779" s="39" t="s">
        <v>6395</v>
      </c>
    </row>
    <row r="3780" spans="1:5" ht="13.9">
      <c r="A3780" s="26" t="s">
        <v>10223</v>
      </c>
      <c r="B3780" s="34" t="s">
        <v>9539</v>
      </c>
      <c r="C3780" s="39"/>
      <c r="D3780" s="26" t="s">
        <v>10246</v>
      </c>
      <c r="E3780" s="39" t="s">
        <v>6479</v>
      </c>
    </row>
    <row r="3781" spans="1:5" ht="13.9">
      <c r="A3781" s="26" t="s">
        <v>10223</v>
      </c>
      <c r="B3781" s="34" t="s">
        <v>9540</v>
      </c>
      <c r="C3781" s="34" t="s">
        <v>7538</v>
      </c>
      <c r="D3781" s="26" t="s">
        <v>10246</v>
      </c>
      <c r="E3781" s="39" t="s">
        <v>6395</v>
      </c>
    </row>
    <row r="3782" spans="1:5" ht="13.9">
      <c r="A3782" s="26" t="s">
        <v>10223</v>
      </c>
      <c r="B3782" s="34" t="s">
        <v>6992</v>
      </c>
      <c r="C3782" s="34" t="s">
        <v>9541</v>
      </c>
      <c r="D3782" s="26" t="s">
        <v>10246</v>
      </c>
      <c r="E3782" s="37">
        <v>0</v>
      </c>
    </row>
    <row r="3783" spans="1:5" ht="13.9">
      <c r="A3783" s="26" t="s">
        <v>10223</v>
      </c>
      <c r="B3783" s="34" t="s">
        <v>9542</v>
      </c>
      <c r="C3783" s="34" t="s">
        <v>2020</v>
      </c>
      <c r="D3783" s="26" t="s">
        <v>10246</v>
      </c>
      <c r="E3783" s="39" t="s">
        <v>6395</v>
      </c>
    </row>
    <row r="3784" spans="1:5" ht="13.9">
      <c r="A3784" s="26" t="s">
        <v>10223</v>
      </c>
      <c r="B3784" s="34" t="s">
        <v>9543</v>
      </c>
      <c r="C3784" s="39"/>
      <c r="D3784" s="26" t="s">
        <v>10246</v>
      </c>
      <c r="E3784" s="39" t="s">
        <v>1611</v>
      </c>
    </row>
    <row r="3785" spans="1:5" ht="13.9">
      <c r="A3785" s="26" t="s">
        <v>10223</v>
      </c>
      <c r="B3785" s="34" t="s">
        <v>3155</v>
      </c>
      <c r="C3785" s="34" t="s">
        <v>6692</v>
      </c>
      <c r="D3785" s="26" t="s">
        <v>10246</v>
      </c>
      <c r="E3785" s="39" t="s">
        <v>6395</v>
      </c>
    </row>
    <row r="3786" spans="1:5" ht="13.9">
      <c r="A3786" s="26" t="s">
        <v>10223</v>
      </c>
      <c r="B3786" s="34" t="s">
        <v>7341</v>
      </c>
      <c r="C3786" s="34" t="s">
        <v>395</v>
      </c>
      <c r="D3786" s="26" t="s">
        <v>10246</v>
      </c>
      <c r="E3786" s="39" t="s">
        <v>6395</v>
      </c>
    </row>
    <row r="3787" spans="1:5" ht="13.9">
      <c r="A3787" s="26" t="s">
        <v>10223</v>
      </c>
      <c r="B3787" s="34" t="s">
        <v>3120</v>
      </c>
      <c r="C3787" s="39"/>
      <c r="D3787" s="26" t="s">
        <v>10246</v>
      </c>
      <c r="E3787" s="39" t="s">
        <v>6395</v>
      </c>
    </row>
    <row r="3788" spans="1:5" ht="13.9">
      <c r="A3788" s="26" t="s">
        <v>10223</v>
      </c>
      <c r="B3788" s="34" t="s">
        <v>9544</v>
      </c>
      <c r="C3788" s="34" t="s">
        <v>9545</v>
      </c>
      <c r="D3788" s="26" t="s">
        <v>10246</v>
      </c>
      <c r="E3788" s="37" t="s">
        <v>6395</v>
      </c>
    </row>
    <row r="3789" spans="1:5" ht="13.9">
      <c r="A3789" s="26" t="s">
        <v>10223</v>
      </c>
      <c r="B3789" s="34" t="s">
        <v>3293</v>
      </c>
      <c r="C3789" s="34" t="s">
        <v>9546</v>
      </c>
      <c r="D3789" s="26" t="s">
        <v>10246</v>
      </c>
      <c r="E3789" s="37" t="s">
        <v>6395</v>
      </c>
    </row>
    <row r="3790" spans="1:5" ht="13.9">
      <c r="A3790" s="26" t="s">
        <v>10223</v>
      </c>
      <c r="B3790" s="34" t="s">
        <v>9547</v>
      </c>
      <c r="C3790" s="39"/>
      <c r="D3790" s="26" t="s">
        <v>10246</v>
      </c>
      <c r="E3790" s="39" t="s">
        <v>6395</v>
      </c>
    </row>
    <row r="3791" spans="1:5" ht="13.9">
      <c r="A3791" s="26" t="s">
        <v>10223</v>
      </c>
      <c r="B3791" s="34" t="s">
        <v>9548</v>
      </c>
      <c r="C3791" s="39"/>
      <c r="D3791" s="26" t="s">
        <v>10246</v>
      </c>
      <c r="E3791" s="39" t="s">
        <v>6395</v>
      </c>
    </row>
    <row r="3792" spans="1:5" ht="13.9">
      <c r="A3792" s="26" t="s">
        <v>10223</v>
      </c>
      <c r="B3792" s="34" t="s">
        <v>6775</v>
      </c>
      <c r="C3792" s="39"/>
      <c r="D3792" s="26" t="s">
        <v>10246</v>
      </c>
      <c r="E3792" s="39" t="s">
        <v>6395</v>
      </c>
    </row>
    <row r="3793" spans="1:5" ht="13.9">
      <c r="A3793" s="26" t="s">
        <v>10223</v>
      </c>
      <c r="B3793" s="34" t="s">
        <v>9549</v>
      </c>
      <c r="C3793" s="34" t="s">
        <v>9550</v>
      </c>
      <c r="D3793" s="26" t="s">
        <v>10246</v>
      </c>
      <c r="E3793" s="37" t="s">
        <v>6395</v>
      </c>
    </row>
    <row r="3794" spans="1:5" ht="13.9">
      <c r="A3794" s="26" t="s">
        <v>10223</v>
      </c>
      <c r="B3794" s="34" t="s">
        <v>3704</v>
      </c>
      <c r="C3794" s="34" t="s">
        <v>142</v>
      </c>
      <c r="D3794" s="26" t="s">
        <v>10246</v>
      </c>
      <c r="E3794" s="39" t="s">
        <v>6395</v>
      </c>
    </row>
    <row r="3795" spans="1:5" ht="13.9">
      <c r="A3795" s="26" t="s">
        <v>10223</v>
      </c>
      <c r="B3795" s="34" t="s">
        <v>7304</v>
      </c>
      <c r="C3795" s="34" t="s">
        <v>265</v>
      </c>
      <c r="D3795" s="26" t="s">
        <v>10246</v>
      </c>
      <c r="E3795" s="39" t="s">
        <v>6395</v>
      </c>
    </row>
    <row r="3796" spans="1:5" ht="13.9">
      <c r="A3796" s="26" t="s">
        <v>10223</v>
      </c>
      <c r="B3796" s="34" t="s">
        <v>295</v>
      </c>
      <c r="C3796" s="34" t="s">
        <v>154</v>
      </c>
      <c r="D3796" s="26" t="s">
        <v>10246</v>
      </c>
      <c r="E3796" s="39" t="s">
        <v>6395</v>
      </c>
    </row>
    <row r="3797" spans="1:5" ht="13.9">
      <c r="A3797" s="26" t="s">
        <v>10223</v>
      </c>
      <c r="B3797" s="34" t="s">
        <v>6756</v>
      </c>
      <c r="C3797" s="34" t="s">
        <v>221</v>
      </c>
      <c r="D3797" s="26" t="s">
        <v>10246</v>
      </c>
      <c r="E3797" s="39" t="s">
        <v>6395</v>
      </c>
    </row>
    <row r="3798" spans="1:5" ht="13.9">
      <c r="A3798" s="26" t="s">
        <v>10223</v>
      </c>
      <c r="B3798" s="34" t="s">
        <v>7379</v>
      </c>
      <c r="C3798" s="34" t="s">
        <v>7437</v>
      </c>
      <c r="D3798" s="26" t="s">
        <v>10246</v>
      </c>
      <c r="E3798" s="39" t="s">
        <v>6395</v>
      </c>
    </row>
    <row r="3799" spans="1:5" ht="13.9">
      <c r="A3799" s="26" t="s">
        <v>10223</v>
      </c>
      <c r="B3799" s="34" t="s">
        <v>6523</v>
      </c>
      <c r="C3799" s="34" t="s">
        <v>27</v>
      </c>
      <c r="D3799" s="26" t="s">
        <v>10246</v>
      </c>
      <c r="E3799" s="39" t="s">
        <v>6395</v>
      </c>
    </row>
    <row r="3800" spans="1:5" ht="13.9">
      <c r="A3800" s="26" t="s">
        <v>10223</v>
      </c>
      <c r="B3800" s="34" t="s">
        <v>9551</v>
      </c>
      <c r="C3800" s="39"/>
      <c r="D3800" s="26" t="s">
        <v>10246</v>
      </c>
      <c r="E3800" s="39" t="s">
        <v>6395</v>
      </c>
    </row>
    <row r="3801" spans="1:5" ht="13.9">
      <c r="A3801" s="26" t="s">
        <v>10223</v>
      </c>
      <c r="B3801" s="34" t="s">
        <v>7487</v>
      </c>
      <c r="C3801" s="39"/>
      <c r="D3801" s="26" t="s">
        <v>10246</v>
      </c>
      <c r="E3801" s="39" t="s">
        <v>6395</v>
      </c>
    </row>
    <row r="3802" spans="1:5" ht="13.9">
      <c r="A3802" s="26" t="s">
        <v>10223</v>
      </c>
      <c r="B3802" s="34" t="s">
        <v>8293</v>
      </c>
      <c r="C3802" s="34" t="s">
        <v>1457</v>
      </c>
      <c r="D3802" s="26" t="s">
        <v>10246</v>
      </c>
      <c r="E3802" s="39" t="s">
        <v>6395</v>
      </c>
    </row>
    <row r="3803" spans="1:5" ht="13.9">
      <c r="A3803" s="26" t="s">
        <v>10223</v>
      </c>
      <c r="B3803" s="34" t="s">
        <v>3267</v>
      </c>
      <c r="C3803" s="39"/>
      <c r="D3803" s="26" t="s">
        <v>10246</v>
      </c>
      <c r="E3803" s="39" t="s">
        <v>6395</v>
      </c>
    </row>
    <row r="3804" spans="1:5" ht="13.9">
      <c r="A3804" s="26" t="s">
        <v>10223</v>
      </c>
      <c r="B3804" s="34" t="s">
        <v>1653</v>
      </c>
      <c r="C3804" s="34" t="s">
        <v>9552</v>
      </c>
      <c r="D3804" s="26" t="s">
        <v>10246</v>
      </c>
      <c r="E3804" s="37" t="s">
        <v>6395</v>
      </c>
    </row>
    <row r="3805" spans="1:5" ht="13.9">
      <c r="A3805" s="26" t="s">
        <v>10223</v>
      </c>
      <c r="B3805" s="34" t="s">
        <v>95</v>
      </c>
      <c r="C3805" s="39"/>
      <c r="D3805" s="26" t="s">
        <v>10246</v>
      </c>
      <c r="E3805" s="39" t="s">
        <v>6395</v>
      </c>
    </row>
    <row r="3806" spans="1:5" ht="13.9">
      <c r="A3806" s="26" t="s">
        <v>10223</v>
      </c>
      <c r="B3806" s="34" t="s">
        <v>7340</v>
      </c>
      <c r="C3806" s="39"/>
      <c r="D3806" s="26" t="s">
        <v>10246</v>
      </c>
      <c r="E3806" s="39" t="s">
        <v>6395</v>
      </c>
    </row>
    <row r="3807" spans="1:5" ht="13.9">
      <c r="A3807" s="26" t="s">
        <v>10223</v>
      </c>
      <c r="B3807" s="34" t="s">
        <v>8597</v>
      </c>
      <c r="C3807" s="39"/>
      <c r="D3807" s="26" t="s">
        <v>10246</v>
      </c>
      <c r="E3807" s="39" t="s">
        <v>6395</v>
      </c>
    </row>
    <row r="3808" spans="1:5" ht="13.9">
      <c r="A3808" s="26" t="s">
        <v>10223</v>
      </c>
      <c r="B3808" s="34" t="s">
        <v>359</v>
      </c>
      <c r="C3808" s="39"/>
      <c r="D3808" s="26" t="s">
        <v>10246</v>
      </c>
      <c r="E3808" s="39" t="s">
        <v>6395</v>
      </c>
    </row>
    <row r="3809" spans="1:5" ht="13.9">
      <c r="A3809" s="26" t="s">
        <v>10223</v>
      </c>
      <c r="B3809" s="34" t="s">
        <v>9553</v>
      </c>
      <c r="C3809" s="34" t="s">
        <v>9554</v>
      </c>
      <c r="D3809" s="26" t="s">
        <v>10246</v>
      </c>
      <c r="E3809" s="37" t="s">
        <v>10225</v>
      </c>
    </row>
    <row r="3810" spans="1:5" ht="13.9">
      <c r="A3810" s="26" t="s">
        <v>10223</v>
      </c>
      <c r="B3810" s="34" t="s">
        <v>7094</v>
      </c>
      <c r="C3810" s="39"/>
      <c r="D3810" s="26" t="s">
        <v>10246</v>
      </c>
      <c r="E3810" s="39" t="s">
        <v>6395</v>
      </c>
    </row>
    <row r="3811" spans="1:5" ht="13.9">
      <c r="A3811" s="26" t="s">
        <v>10223</v>
      </c>
      <c r="B3811" s="34" t="s">
        <v>523</v>
      </c>
      <c r="C3811" s="34" t="s">
        <v>27</v>
      </c>
      <c r="D3811" s="26" t="s">
        <v>10246</v>
      </c>
      <c r="E3811" s="39" t="s">
        <v>6395</v>
      </c>
    </row>
    <row r="3812" spans="1:5" ht="13.9">
      <c r="A3812" s="26" t="s">
        <v>10223</v>
      </c>
      <c r="B3812" s="34" t="s">
        <v>8296</v>
      </c>
      <c r="C3812" s="39"/>
      <c r="D3812" s="26" t="s">
        <v>10246</v>
      </c>
      <c r="E3812" s="39" t="s">
        <v>6395</v>
      </c>
    </row>
    <row r="3813" spans="1:5" ht="13.9">
      <c r="A3813" s="26" t="s">
        <v>10223</v>
      </c>
      <c r="B3813" s="34" t="s">
        <v>375</v>
      </c>
      <c r="C3813" s="34" t="s">
        <v>154</v>
      </c>
      <c r="D3813" s="26" t="s">
        <v>10246</v>
      </c>
      <c r="E3813" s="39" t="s">
        <v>6395</v>
      </c>
    </row>
    <row r="3814" spans="1:5" ht="13.9">
      <c r="A3814" s="26" t="s">
        <v>10223</v>
      </c>
      <c r="B3814" s="34" t="s">
        <v>9555</v>
      </c>
      <c r="C3814" s="39"/>
      <c r="D3814" s="26" t="s">
        <v>10246</v>
      </c>
      <c r="E3814" s="39" t="s">
        <v>6395</v>
      </c>
    </row>
    <row r="3815" spans="1:5" ht="13.9">
      <c r="A3815" s="26" t="s">
        <v>10223</v>
      </c>
      <c r="B3815" s="34" t="s">
        <v>9556</v>
      </c>
      <c r="C3815" s="34" t="s">
        <v>1535</v>
      </c>
      <c r="D3815" s="26" t="s">
        <v>10246</v>
      </c>
      <c r="E3815" s="39" t="s">
        <v>6395</v>
      </c>
    </row>
    <row r="3816" spans="1:5" ht="13.9">
      <c r="A3816" s="26" t="s">
        <v>10223</v>
      </c>
      <c r="B3816" s="34" t="s">
        <v>9557</v>
      </c>
      <c r="C3816" s="39"/>
      <c r="D3816" s="26" t="s">
        <v>10246</v>
      </c>
      <c r="E3816" s="39" t="s">
        <v>6395</v>
      </c>
    </row>
    <row r="3817" spans="1:5" ht="13.9">
      <c r="A3817" s="26" t="s">
        <v>10223</v>
      </c>
      <c r="B3817" s="34" t="s">
        <v>445</v>
      </c>
      <c r="C3817" s="34" t="s">
        <v>446</v>
      </c>
      <c r="D3817" s="26" t="s">
        <v>10246</v>
      </c>
      <c r="E3817" s="39" t="s">
        <v>6395</v>
      </c>
    </row>
    <row r="3818" spans="1:5" ht="13.9">
      <c r="A3818" s="26" t="s">
        <v>10223</v>
      </c>
      <c r="B3818" s="34" t="s">
        <v>8563</v>
      </c>
      <c r="C3818" s="34" t="s">
        <v>679</v>
      </c>
      <c r="D3818" s="26" t="s">
        <v>10246</v>
      </c>
      <c r="E3818" s="39" t="s">
        <v>6395</v>
      </c>
    </row>
    <row r="3819" spans="1:5" ht="13.9">
      <c r="A3819" s="26" t="s">
        <v>10223</v>
      </c>
      <c r="B3819" s="34" t="s">
        <v>6657</v>
      </c>
      <c r="C3819" s="39"/>
      <c r="D3819" s="26" t="s">
        <v>10246</v>
      </c>
      <c r="E3819" s="39" t="s">
        <v>6395</v>
      </c>
    </row>
    <row r="3820" spans="1:5" ht="13.9">
      <c r="A3820" s="26" t="s">
        <v>10223</v>
      </c>
      <c r="B3820" s="34" t="s">
        <v>9558</v>
      </c>
      <c r="C3820" s="39"/>
      <c r="D3820" s="26" t="s">
        <v>10246</v>
      </c>
      <c r="E3820" s="39" t="s">
        <v>6395</v>
      </c>
    </row>
    <row r="3821" spans="1:5" ht="13.9">
      <c r="A3821" s="26" t="s">
        <v>10223</v>
      </c>
      <c r="B3821" s="34" t="s">
        <v>9559</v>
      </c>
      <c r="C3821" s="39"/>
      <c r="D3821" s="26" t="s">
        <v>10246</v>
      </c>
      <c r="E3821" s="39" t="s">
        <v>6395</v>
      </c>
    </row>
    <row r="3822" spans="1:5" ht="13.9">
      <c r="A3822" s="26" t="s">
        <v>10223</v>
      </c>
      <c r="B3822" s="34" t="s">
        <v>9560</v>
      </c>
      <c r="C3822" s="34" t="s">
        <v>524</v>
      </c>
      <c r="D3822" s="26" t="s">
        <v>10246</v>
      </c>
      <c r="E3822" s="39" t="s">
        <v>6395</v>
      </c>
    </row>
    <row r="3823" spans="1:5" ht="13.9">
      <c r="A3823" s="26" t="s">
        <v>10223</v>
      </c>
      <c r="B3823" s="34" t="s">
        <v>9561</v>
      </c>
      <c r="C3823" s="34" t="s">
        <v>154</v>
      </c>
      <c r="D3823" s="26" t="s">
        <v>10246</v>
      </c>
      <c r="E3823" s="39" t="s">
        <v>6395</v>
      </c>
    </row>
    <row r="3824" spans="1:5" ht="13.9">
      <c r="A3824" s="26" t="s">
        <v>10223</v>
      </c>
      <c r="B3824" s="34" t="s">
        <v>8734</v>
      </c>
      <c r="C3824" s="39"/>
      <c r="D3824" s="26" t="s">
        <v>10246</v>
      </c>
      <c r="E3824" s="39" t="s">
        <v>6395</v>
      </c>
    </row>
    <row r="3825" spans="1:5" ht="13.9">
      <c r="A3825" s="26" t="s">
        <v>10223</v>
      </c>
      <c r="B3825" s="34" t="s">
        <v>9562</v>
      </c>
      <c r="C3825" s="39"/>
      <c r="D3825" s="26" t="s">
        <v>10246</v>
      </c>
      <c r="E3825" s="39" t="s">
        <v>6395</v>
      </c>
    </row>
    <row r="3826" spans="1:5" ht="13.9">
      <c r="A3826" s="26" t="s">
        <v>10223</v>
      </c>
      <c r="B3826" s="34" t="s">
        <v>7138</v>
      </c>
      <c r="C3826" s="39"/>
      <c r="D3826" s="26" t="s">
        <v>10246</v>
      </c>
      <c r="E3826" s="39" t="s">
        <v>6395</v>
      </c>
    </row>
    <row r="3827" spans="1:5" ht="13.9">
      <c r="A3827" s="26" t="s">
        <v>10223</v>
      </c>
      <c r="B3827" s="34" t="s">
        <v>1782</v>
      </c>
      <c r="C3827" s="34" t="s">
        <v>1783</v>
      </c>
      <c r="D3827" s="26" t="s">
        <v>10246</v>
      </c>
      <c r="E3827" s="39" t="s">
        <v>6443</v>
      </c>
    </row>
    <row r="3828" spans="1:5" ht="13.9">
      <c r="A3828" s="26" t="s">
        <v>10223</v>
      </c>
      <c r="B3828" s="34" t="s">
        <v>2121</v>
      </c>
      <c r="C3828" s="39"/>
      <c r="D3828" s="26" t="s">
        <v>10246</v>
      </c>
      <c r="E3828" s="39" t="s">
        <v>6395</v>
      </c>
    </row>
    <row r="3829" spans="1:5" ht="13.9">
      <c r="A3829" s="26" t="s">
        <v>10223</v>
      </c>
      <c r="B3829" s="34" t="s">
        <v>6991</v>
      </c>
      <c r="C3829" s="39"/>
      <c r="D3829" s="26" t="s">
        <v>10246</v>
      </c>
      <c r="E3829" s="39">
        <v>0</v>
      </c>
    </row>
    <row r="3830" spans="1:5" ht="13.9">
      <c r="A3830" s="26" t="s">
        <v>10223</v>
      </c>
      <c r="B3830" s="34" t="s">
        <v>9563</v>
      </c>
      <c r="C3830" s="39"/>
      <c r="D3830" s="26" t="s">
        <v>10246</v>
      </c>
      <c r="E3830" s="39" t="s">
        <v>6395</v>
      </c>
    </row>
    <row r="3831" spans="1:5" ht="13.9">
      <c r="A3831" s="26" t="s">
        <v>10223</v>
      </c>
      <c r="B3831" s="34" t="s">
        <v>9564</v>
      </c>
      <c r="C3831" s="39"/>
      <c r="D3831" s="26" t="s">
        <v>10246</v>
      </c>
      <c r="E3831" s="39" t="s">
        <v>6395</v>
      </c>
    </row>
    <row r="3832" spans="1:5" ht="13.9">
      <c r="A3832" s="26" t="s">
        <v>10223</v>
      </c>
      <c r="B3832" s="34" t="s">
        <v>9565</v>
      </c>
      <c r="C3832" s="39"/>
      <c r="D3832" s="26" t="s">
        <v>10246</v>
      </c>
      <c r="E3832" s="39" t="s">
        <v>6395</v>
      </c>
    </row>
    <row r="3833" spans="1:5" ht="13.9">
      <c r="A3833" s="26" t="s">
        <v>10223</v>
      </c>
      <c r="B3833" s="34" t="s">
        <v>9566</v>
      </c>
      <c r="C3833" s="39"/>
      <c r="D3833" s="26" t="s">
        <v>10246</v>
      </c>
      <c r="E3833" s="39" t="s">
        <v>6395</v>
      </c>
    </row>
    <row r="3834" spans="1:5" ht="13.9">
      <c r="A3834" s="26" t="s">
        <v>10223</v>
      </c>
      <c r="B3834" s="34" t="s">
        <v>3166</v>
      </c>
      <c r="C3834" s="34" t="s">
        <v>227</v>
      </c>
      <c r="D3834" s="26" t="s">
        <v>10246</v>
      </c>
      <c r="E3834" s="39" t="s">
        <v>6395</v>
      </c>
    </row>
    <row r="3835" spans="1:5" ht="13.9">
      <c r="A3835" s="26" t="s">
        <v>10223</v>
      </c>
      <c r="B3835" s="34" t="s">
        <v>9567</v>
      </c>
      <c r="C3835" s="39"/>
      <c r="D3835" s="26" t="s">
        <v>10246</v>
      </c>
      <c r="E3835" s="39" t="s">
        <v>6395</v>
      </c>
    </row>
    <row r="3836" spans="1:5" ht="13.9">
      <c r="A3836" s="26" t="s">
        <v>10223</v>
      </c>
      <c r="B3836" s="34" t="s">
        <v>9568</v>
      </c>
      <c r="C3836" s="39"/>
      <c r="D3836" s="26" t="s">
        <v>10246</v>
      </c>
      <c r="E3836" s="39">
        <v>0</v>
      </c>
    </row>
    <row r="3837" spans="1:5" ht="13.9">
      <c r="A3837" s="26" t="s">
        <v>10223</v>
      </c>
      <c r="B3837" s="34" t="s">
        <v>9569</v>
      </c>
      <c r="C3837" s="39"/>
      <c r="D3837" s="26" t="s">
        <v>10246</v>
      </c>
      <c r="E3837" s="39" t="s">
        <v>6395</v>
      </c>
    </row>
    <row r="3838" spans="1:5" ht="13.9">
      <c r="A3838" s="26" t="s">
        <v>10223</v>
      </c>
      <c r="B3838" s="34" t="s">
        <v>332</v>
      </c>
      <c r="C3838" s="34" t="s">
        <v>333</v>
      </c>
      <c r="D3838" s="26" t="s">
        <v>10246</v>
      </c>
      <c r="E3838" s="39" t="s">
        <v>6411</v>
      </c>
    </row>
    <row r="3839" spans="1:5" ht="13.9">
      <c r="A3839" s="26" t="s">
        <v>10223</v>
      </c>
      <c r="B3839" s="34" t="s">
        <v>2647</v>
      </c>
      <c r="C3839" s="39"/>
      <c r="D3839" s="26" t="s">
        <v>10246</v>
      </c>
      <c r="E3839" s="39" t="s">
        <v>1611</v>
      </c>
    </row>
    <row r="3840" spans="1:5" ht="13.9">
      <c r="A3840" s="26" t="s">
        <v>10223</v>
      </c>
      <c r="B3840" s="34" t="s">
        <v>8904</v>
      </c>
      <c r="C3840" s="39"/>
      <c r="D3840" s="26" t="s">
        <v>10246</v>
      </c>
      <c r="E3840" s="39" t="s">
        <v>6395</v>
      </c>
    </row>
    <row r="3841" spans="1:5" ht="13.9">
      <c r="A3841" s="26" t="s">
        <v>10223</v>
      </c>
      <c r="B3841" s="34" t="s">
        <v>2230</v>
      </c>
      <c r="C3841" s="34" t="s">
        <v>227</v>
      </c>
      <c r="D3841" s="26" t="s">
        <v>10246</v>
      </c>
      <c r="E3841" s="39" t="s">
        <v>6395</v>
      </c>
    </row>
    <row r="3842" spans="1:5" ht="13.9">
      <c r="A3842" s="26" t="s">
        <v>10223</v>
      </c>
      <c r="B3842" s="34" t="s">
        <v>9570</v>
      </c>
      <c r="C3842" s="39"/>
      <c r="D3842" s="26" t="s">
        <v>10246</v>
      </c>
      <c r="E3842" s="39" t="s">
        <v>6395</v>
      </c>
    </row>
    <row r="3843" spans="1:5" ht="13.9">
      <c r="A3843" s="26" t="s">
        <v>10223</v>
      </c>
      <c r="B3843" s="34" t="s">
        <v>2207</v>
      </c>
      <c r="C3843" s="39"/>
      <c r="D3843" s="26" t="s">
        <v>10246</v>
      </c>
      <c r="E3843" s="39" t="s">
        <v>6395</v>
      </c>
    </row>
    <row r="3844" spans="1:5" ht="13.9">
      <c r="A3844" s="26" t="s">
        <v>10223</v>
      </c>
      <c r="B3844" s="34" t="s">
        <v>9571</v>
      </c>
      <c r="C3844" s="34" t="s">
        <v>7033</v>
      </c>
      <c r="D3844" s="26" t="s">
        <v>10246</v>
      </c>
      <c r="E3844" s="39" t="s">
        <v>6395</v>
      </c>
    </row>
    <row r="3845" spans="1:5" ht="13.9">
      <c r="A3845" s="26" t="s">
        <v>10223</v>
      </c>
      <c r="B3845" s="34" t="s">
        <v>6823</v>
      </c>
      <c r="C3845" s="39"/>
      <c r="D3845" s="26" t="s">
        <v>10246</v>
      </c>
      <c r="E3845" s="39" t="s">
        <v>6395</v>
      </c>
    </row>
    <row r="3846" spans="1:5" ht="13.9">
      <c r="A3846" s="26" t="s">
        <v>10223</v>
      </c>
      <c r="B3846" s="34" t="s">
        <v>9572</v>
      </c>
      <c r="C3846" s="39"/>
      <c r="D3846" s="26" t="s">
        <v>10246</v>
      </c>
      <c r="E3846" s="39" t="s">
        <v>6395</v>
      </c>
    </row>
    <row r="3847" spans="1:5" ht="13.9">
      <c r="A3847" s="26" t="s">
        <v>10223</v>
      </c>
      <c r="B3847" s="34" t="s">
        <v>760</v>
      </c>
      <c r="C3847" s="34" t="s">
        <v>154</v>
      </c>
      <c r="D3847" s="26" t="s">
        <v>10246</v>
      </c>
      <c r="E3847" s="39" t="s">
        <v>6395</v>
      </c>
    </row>
    <row r="3848" spans="1:5" ht="13.9">
      <c r="A3848" s="26" t="s">
        <v>10223</v>
      </c>
      <c r="B3848" s="34" t="s">
        <v>9573</v>
      </c>
      <c r="C3848" s="39"/>
      <c r="D3848" s="26" t="s">
        <v>10246</v>
      </c>
      <c r="E3848" s="39" t="s">
        <v>6395</v>
      </c>
    </row>
    <row r="3849" spans="1:5" ht="13.9">
      <c r="A3849" s="26" t="s">
        <v>10223</v>
      </c>
      <c r="B3849" s="34" t="s">
        <v>9574</v>
      </c>
      <c r="C3849" s="34" t="s">
        <v>227</v>
      </c>
      <c r="D3849" s="26" t="s">
        <v>10246</v>
      </c>
      <c r="E3849" s="39" t="s">
        <v>6395</v>
      </c>
    </row>
    <row r="3850" spans="1:5" ht="13.9">
      <c r="A3850" s="26" t="s">
        <v>10223</v>
      </c>
      <c r="B3850" s="34" t="s">
        <v>1371</v>
      </c>
      <c r="C3850" s="39"/>
      <c r="D3850" s="26" t="s">
        <v>10246</v>
      </c>
      <c r="E3850" s="39" t="s">
        <v>6411</v>
      </c>
    </row>
    <row r="3851" spans="1:5" ht="13.9">
      <c r="A3851" s="26" t="s">
        <v>10223</v>
      </c>
      <c r="B3851" s="34" t="s">
        <v>1719</v>
      </c>
      <c r="C3851" s="39"/>
      <c r="D3851" s="26" t="s">
        <v>10246</v>
      </c>
      <c r="E3851" s="39" t="s">
        <v>6395</v>
      </c>
    </row>
    <row r="3852" spans="1:5" ht="13.9">
      <c r="A3852" s="26" t="s">
        <v>10223</v>
      </c>
      <c r="B3852" s="34" t="s">
        <v>9575</v>
      </c>
      <c r="C3852" s="39"/>
      <c r="D3852" s="26" t="s">
        <v>10246</v>
      </c>
      <c r="E3852" s="39" t="s">
        <v>1611</v>
      </c>
    </row>
    <row r="3853" spans="1:5" ht="13.9">
      <c r="A3853" s="26" t="s">
        <v>10223</v>
      </c>
      <c r="B3853" s="34" t="s">
        <v>9576</v>
      </c>
      <c r="C3853" s="39"/>
      <c r="D3853" s="26" t="s">
        <v>10246</v>
      </c>
      <c r="E3853" s="39" t="s">
        <v>6395</v>
      </c>
    </row>
    <row r="3854" spans="1:5" ht="13.9">
      <c r="A3854" s="26" t="s">
        <v>10223</v>
      </c>
      <c r="B3854" s="34" t="s">
        <v>9577</v>
      </c>
      <c r="C3854" s="39"/>
      <c r="D3854" s="26" t="s">
        <v>10246</v>
      </c>
      <c r="E3854" s="39" t="s">
        <v>6395</v>
      </c>
    </row>
    <row r="3855" spans="1:5" ht="13.9">
      <c r="A3855" s="26" t="s">
        <v>10223</v>
      </c>
      <c r="B3855" s="34" t="s">
        <v>9155</v>
      </c>
      <c r="C3855" s="39"/>
      <c r="D3855" s="26" t="s">
        <v>10247</v>
      </c>
      <c r="E3855" s="39" t="s">
        <v>6395</v>
      </c>
    </row>
    <row r="3856" spans="1:5" ht="13.9">
      <c r="A3856" s="26" t="s">
        <v>10223</v>
      </c>
      <c r="B3856" s="34" t="s">
        <v>9578</v>
      </c>
      <c r="C3856" s="39"/>
      <c r="D3856" s="26" t="s">
        <v>10246</v>
      </c>
      <c r="E3856" s="39" t="s">
        <v>6395</v>
      </c>
    </row>
    <row r="3857" spans="1:5" ht="13.9">
      <c r="A3857" s="26" t="s">
        <v>10223</v>
      </c>
      <c r="B3857" s="34" t="s">
        <v>8303</v>
      </c>
      <c r="C3857" s="39"/>
      <c r="D3857" s="26" t="s">
        <v>10246</v>
      </c>
      <c r="E3857" s="39" t="s">
        <v>6395</v>
      </c>
    </row>
    <row r="3858" spans="1:5" ht="13.9">
      <c r="A3858" s="26" t="s">
        <v>10223</v>
      </c>
      <c r="B3858" s="34" t="s">
        <v>883</v>
      </c>
      <c r="C3858" s="34" t="s">
        <v>884</v>
      </c>
      <c r="D3858" s="26" t="s">
        <v>10246</v>
      </c>
      <c r="E3858" s="39" t="s">
        <v>6395</v>
      </c>
    </row>
    <row r="3859" spans="1:5" ht="13.9">
      <c r="A3859" s="26" t="s">
        <v>10223</v>
      </c>
      <c r="B3859" s="34" t="s">
        <v>9579</v>
      </c>
      <c r="C3859" s="39"/>
      <c r="D3859" s="26" t="s">
        <v>10246</v>
      </c>
      <c r="E3859" s="39" t="s">
        <v>6395</v>
      </c>
    </row>
    <row r="3860" spans="1:5" ht="13.9">
      <c r="A3860" s="26" t="s">
        <v>10223</v>
      </c>
      <c r="B3860" s="34" t="s">
        <v>9580</v>
      </c>
      <c r="C3860" s="34" t="s">
        <v>9581</v>
      </c>
      <c r="D3860" s="26" t="s">
        <v>10246</v>
      </c>
      <c r="E3860" s="37" t="s">
        <v>6395</v>
      </c>
    </row>
    <row r="3861" spans="1:5" ht="13.9">
      <c r="A3861" s="26" t="s">
        <v>10223</v>
      </c>
      <c r="B3861" s="34" t="s">
        <v>9582</v>
      </c>
      <c r="C3861" s="34" t="s">
        <v>7007</v>
      </c>
      <c r="D3861" s="26" t="s">
        <v>10246</v>
      </c>
      <c r="E3861" s="39" t="s">
        <v>6395</v>
      </c>
    </row>
    <row r="3862" spans="1:5" ht="13.9">
      <c r="A3862" s="26" t="s">
        <v>10223</v>
      </c>
      <c r="B3862" s="34" t="s">
        <v>9583</v>
      </c>
      <c r="C3862" s="39"/>
      <c r="D3862" s="26" t="s">
        <v>10246</v>
      </c>
      <c r="E3862" s="39" t="s">
        <v>6395</v>
      </c>
    </row>
    <row r="3863" spans="1:5" ht="13.9">
      <c r="A3863" s="26" t="s">
        <v>10223</v>
      </c>
      <c r="B3863" s="34" t="s">
        <v>9584</v>
      </c>
      <c r="C3863" s="39"/>
      <c r="D3863" s="26" t="s">
        <v>10246</v>
      </c>
      <c r="E3863" s="39" t="s">
        <v>1611</v>
      </c>
    </row>
    <row r="3864" spans="1:5" ht="13.9">
      <c r="A3864" s="26" t="s">
        <v>10223</v>
      </c>
      <c r="B3864" s="34" t="s">
        <v>1709</v>
      </c>
      <c r="C3864" s="39"/>
      <c r="D3864" s="26" t="s">
        <v>10246</v>
      </c>
      <c r="E3864" s="39" t="s">
        <v>6395</v>
      </c>
    </row>
    <row r="3865" spans="1:5" ht="13.9">
      <c r="A3865" s="26" t="s">
        <v>10223</v>
      </c>
      <c r="B3865" s="34" t="s">
        <v>1529</v>
      </c>
      <c r="C3865" s="34" t="s">
        <v>188</v>
      </c>
      <c r="D3865" s="26" t="s">
        <v>10246</v>
      </c>
      <c r="E3865" s="39" t="s">
        <v>6395</v>
      </c>
    </row>
    <row r="3866" spans="1:5" ht="13.9">
      <c r="A3866" s="26" t="s">
        <v>10223</v>
      </c>
      <c r="B3866" s="34" t="s">
        <v>9585</v>
      </c>
      <c r="C3866" s="39"/>
      <c r="D3866" s="26" t="s">
        <v>10246</v>
      </c>
      <c r="E3866" s="39" t="s">
        <v>6395</v>
      </c>
    </row>
    <row r="3867" spans="1:5" ht="13.9">
      <c r="A3867" s="26" t="s">
        <v>10223</v>
      </c>
      <c r="B3867" s="34" t="s">
        <v>960</v>
      </c>
      <c r="C3867" s="39"/>
      <c r="D3867" s="26" t="s">
        <v>10246</v>
      </c>
      <c r="E3867" s="39" t="s">
        <v>6395</v>
      </c>
    </row>
    <row r="3868" spans="1:5" ht="13.9">
      <c r="A3868" s="26" t="s">
        <v>10223</v>
      </c>
      <c r="B3868" s="34" t="s">
        <v>9586</v>
      </c>
      <c r="C3868" s="39"/>
      <c r="D3868" s="26" t="s">
        <v>10246</v>
      </c>
      <c r="E3868" s="39" t="s">
        <v>6395</v>
      </c>
    </row>
    <row r="3869" spans="1:5" ht="13.9">
      <c r="A3869" s="26" t="s">
        <v>10223</v>
      </c>
      <c r="B3869" s="34" t="s">
        <v>1576</v>
      </c>
      <c r="C3869" s="39"/>
      <c r="D3869" s="26" t="s">
        <v>10246</v>
      </c>
      <c r="E3869" s="39" t="s">
        <v>6395</v>
      </c>
    </row>
    <row r="3870" spans="1:5" ht="13.9">
      <c r="A3870" s="26" t="s">
        <v>10223</v>
      </c>
      <c r="B3870" s="34" t="s">
        <v>9587</v>
      </c>
      <c r="C3870" s="34" t="s">
        <v>9588</v>
      </c>
      <c r="D3870" s="26" t="s">
        <v>10246</v>
      </c>
      <c r="E3870" s="37" t="s">
        <v>6395</v>
      </c>
    </row>
    <row r="3871" spans="1:5" ht="13.9">
      <c r="A3871" s="26" t="s">
        <v>10223</v>
      </c>
      <c r="B3871" s="34" t="s">
        <v>9589</v>
      </c>
      <c r="C3871" s="39"/>
      <c r="D3871" s="26" t="s">
        <v>10246</v>
      </c>
      <c r="E3871" s="39" t="s">
        <v>6395</v>
      </c>
    </row>
    <row r="3872" spans="1:5" ht="13.9">
      <c r="A3872" s="26" t="s">
        <v>10223</v>
      </c>
      <c r="B3872" s="34" t="s">
        <v>9590</v>
      </c>
      <c r="C3872" s="39"/>
      <c r="D3872" s="26" t="s">
        <v>10246</v>
      </c>
      <c r="E3872" s="39" t="s">
        <v>6395</v>
      </c>
    </row>
    <row r="3873" spans="1:5" ht="13.9">
      <c r="A3873" s="26" t="s">
        <v>10223</v>
      </c>
      <c r="B3873" s="34" t="s">
        <v>3141</v>
      </c>
      <c r="C3873" s="39"/>
      <c r="D3873" s="26" t="s">
        <v>10246</v>
      </c>
      <c r="E3873" s="39" t="s">
        <v>6395</v>
      </c>
    </row>
    <row r="3874" spans="1:5" ht="13.9">
      <c r="A3874" s="26" t="s">
        <v>10223</v>
      </c>
      <c r="B3874" s="34" t="s">
        <v>353</v>
      </c>
      <c r="C3874" s="34" t="s">
        <v>9591</v>
      </c>
      <c r="D3874" s="26" t="s">
        <v>10246</v>
      </c>
      <c r="E3874" s="37" t="s">
        <v>6395</v>
      </c>
    </row>
    <row r="3875" spans="1:5" ht="13.9">
      <c r="A3875" s="26" t="s">
        <v>10223</v>
      </c>
      <c r="B3875" s="34" t="s">
        <v>1143</v>
      </c>
      <c r="C3875" s="34" t="s">
        <v>154</v>
      </c>
      <c r="D3875" s="26" t="s">
        <v>10246</v>
      </c>
      <c r="E3875" s="39" t="s">
        <v>6395</v>
      </c>
    </row>
    <row r="3876" spans="1:5" ht="13.9">
      <c r="A3876" s="26" t="s">
        <v>10223</v>
      </c>
      <c r="B3876" s="34" t="s">
        <v>9592</v>
      </c>
      <c r="C3876" s="34" t="s">
        <v>42</v>
      </c>
      <c r="D3876" s="26" t="s">
        <v>10246</v>
      </c>
      <c r="E3876" s="39" t="s">
        <v>6395</v>
      </c>
    </row>
    <row r="3877" spans="1:5" ht="13.9">
      <c r="A3877" s="26" t="s">
        <v>10223</v>
      </c>
      <c r="B3877" s="34" t="s">
        <v>7195</v>
      </c>
      <c r="C3877" s="34" t="s">
        <v>42</v>
      </c>
      <c r="D3877" s="26" t="s">
        <v>10246</v>
      </c>
      <c r="E3877" s="39" t="s">
        <v>6395</v>
      </c>
    </row>
    <row r="3878" spans="1:5" ht="13.9">
      <c r="A3878" s="26" t="s">
        <v>10223</v>
      </c>
      <c r="B3878" s="34" t="s">
        <v>342</v>
      </c>
      <c r="C3878" s="34" t="s">
        <v>343</v>
      </c>
      <c r="D3878" s="26" t="s">
        <v>10246</v>
      </c>
      <c r="E3878" s="37" t="s">
        <v>6411</v>
      </c>
    </row>
    <row r="3879" spans="1:5" ht="13.9">
      <c r="A3879" s="26" t="s">
        <v>10223</v>
      </c>
      <c r="B3879" s="34" t="s">
        <v>380</v>
      </c>
      <c r="C3879" s="39"/>
      <c r="D3879" s="26" t="s">
        <v>10246</v>
      </c>
      <c r="E3879" s="39" t="s">
        <v>6395</v>
      </c>
    </row>
    <row r="3880" spans="1:5" ht="13.9">
      <c r="A3880" s="26" t="s">
        <v>10223</v>
      </c>
      <c r="B3880" s="34" t="s">
        <v>7515</v>
      </c>
      <c r="C3880" s="39"/>
      <c r="D3880" s="26" t="s">
        <v>10246</v>
      </c>
      <c r="E3880" s="39" t="s">
        <v>6395</v>
      </c>
    </row>
    <row r="3881" spans="1:5" ht="13.9">
      <c r="A3881" s="26" t="s">
        <v>10223</v>
      </c>
      <c r="B3881" s="34" t="s">
        <v>9593</v>
      </c>
      <c r="C3881" s="37"/>
      <c r="D3881" s="26" t="s">
        <v>6480</v>
      </c>
      <c r="E3881" s="37" t="s">
        <v>6395</v>
      </c>
    </row>
    <row r="3882" spans="1:5" ht="13.9">
      <c r="A3882" s="26" t="s">
        <v>10223</v>
      </c>
      <c r="B3882" s="34" t="s">
        <v>7085</v>
      </c>
      <c r="C3882" s="39"/>
      <c r="D3882" s="26" t="s">
        <v>10246</v>
      </c>
      <c r="E3882" s="39" t="s">
        <v>6395</v>
      </c>
    </row>
    <row r="3883" spans="1:5" ht="13.9">
      <c r="A3883" s="26" t="s">
        <v>10223</v>
      </c>
      <c r="B3883" s="34" t="s">
        <v>8607</v>
      </c>
      <c r="C3883" s="34" t="s">
        <v>9594</v>
      </c>
      <c r="D3883" s="26" t="s">
        <v>10246</v>
      </c>
      <c r="E3883" s="39" t="s">
        <v>6395</v>
      </c>
    </row>
    <row r="3884" spans="1:5" ht="13.9">
      <c r="A3884" s="26" t="s">
        <v>10223</v>
      </c>
      <c r="B3884" s="34" t="s">
        <v>9595</v>
      </c>
      <c r="C3884" s="39"/>
      <c r="D3884" s="26" t="s">
        <v>10246</v>
      </c>
      <c r="E3884" s="39">
        <v>0</v>
      </c>
    </row>
    <row r="3885" spans="1:5" ht="13.9">
      <c r="A3885" s="26" t="s">
        <v>10223</v>
      </c>
      <c r="B3885" s="34" t="s">
        <v>1727</v>
      </c>
      <c r="C3885" s="39"/>
      <c r="D3885" s="26" t="s">
        <v>10246</v>
      </c>
      <c r="E3885" s="39" t="s">
        <v>6395</v>
      </c>
    </row>
    <row r="3886" spans="1:5" ht="13.9">
      <c r="A3886" s="26" t="s">
        <v>10223</v>
      </c>
      <c r="B3886" s="34" t="s">
        <v>7200</v>
      </c>
      <c r="C3886" s="34" t="s">
        <v>7199</v>
      </c>
      <c r="D3886" s="26" t="s">
        <v>10246</v>
      </c>
      <c r="E3886" s="39" t="s">
        <v>6395</v>
      </c>
    </row>
    <row r="3887" spans="1:5" ht="13.9">
      <c r="A3887" s="26" t="s">
        <v>10223</v>
      </c>
      <c r="B3887" s="34" t="s">
        <v>9596</v>
      </c>
      <c r="C3887" s="39"/>
      <c r="D3887" s="26" t="s">
        <v>10246</v>
      </c>
      <c r="E3887" s="39" t="s">
        <v>6395</v>
      </c>
    </row>
    <row r="3888" spans="1:5" ht="13.9">
      <c r="A3888" s="26" t="s">
        <v>10223</v>
      </c>
      <c r="B3888" s="34" t="s">
        <v>9597</v>
      </c>
      <c r="C3888" s="34" t="s">
        <v>1274</v>
      </c>
      <c r="D3888" s="26" t="s">
        <v>10246</v>
      </c>
      <c r="E3888" s="39" t="s">
        <v>6395</v>
      </c>
    </row>
    <row r="3889" spans="1:5" ht="13.9">
      <c r="A3889" s="26" t="s">
        <v>10223</v>
      </c>
      <c r="B3889" s="34" t="s">
        <v>6463</v>
      </c>
      <c r="C3889" s="39"/>
      <c r="D3889" s="26" t="s">
        <v>10246</v>
      </c>
      <c r="E3889" s="39" t="s">
        <v>6395</v>
      </c>
    </row>
    <row r="3890" spans="1:5" ht="13.9">
      <c r="A3890" s="26" t="s">
        <v>10223</v>
      </c>
      <c r="B3890" s="34" t="s">
        <v>1133</v>
      </c>
      <c r="C3890" s="39"/>
      <c r="D3890" s="26" t="s">
        <v>10246</v>
      </c>
      <c r="E3890" s="39" t="s">
        <v>6395</v>
      </c>
    </row>
    <row r="3891" spans="1:5" ht="13.9">
      <c r="A3891" s="26" t="s">
        <v>10223</v>
      </c>
      <c r="B3891" s="34" t="s">
        <v>9598</v>
      </c>
      <c r="C3891" s="34" t="s">
        <v>9599</v>
      </c>
      <c r="D3891" s="26" t="s">
        <v>10246</v>
      </c>
      <c r="E3891" s="37" t="s">
        <v>6479</v>
      </c>
    </row>
    <row r="3892" spans="1:5" ht="13.9">
      <c r="A3892" s="26" t="s">
        <v>10223</v>
      </c>
      <c r="B3892" s="34" t="s">
        <v>1867</v>
      </c>
      <c r="C3892" s="39"/>
      <c r="D3892" s="26" t="s">
        <v>10246</v>
      </c>
      <c r="E3892" s="39" t="s">
        <v>6395</v>
      </c>
    </row>
    <row r="3893" spans="1:5" ht="13.9">
      <c r="A3893" s="26" t="s">
        <v>10223</v>
      </c>
      <c r="B3893" s="34" t="s">
        <v>7150</v>
      </c>
      <c r="C3893" s="39"/>
      <c r="D3893" s="26" t="s">
        <v>10246</v>
      </c>
      <c r="E3893" s="39" t="s">
        <v>6395</v>
      </c>
    </row>
    <row r="3894" spans="1:5" ht="13.9">
      <c r="A3894" s="26" t="s">
        <v>10223</v>
      </c>
      <c r="B3894" s="34" t="s">
        <v>1495</v>
      </c>
      <c r="C3894" s="39"/>
      <c r="D3894" s="26" t="s">
        <v>10246</v>
      </c>
      <c r="E3894" s="39" t="s">
        <v>6395</v>
      </c>
    </row>
    <row r="3895" spans="1:5" ht="13.9">
      <c r="A3895" s="26" t="s">
        <v>10223</v>
      </c>
      <c r="B3895" s="34" t="s">
        <v>9600</v>
      </c>
      <c r="C3895" s="34" t="s">
        <v>3411</v>
      </c>
      <c r="D3895" s="26" t="s">
        <v>10246</v>
      </c>
      <c r="E3895" s="37" t="s">
        <v>6395</v>
      </c>
    </row>
    <row r="3896" spans="1:5" ht="13.9">
      <c r="A3896" s="26" t="s">
        <v>10223</v>
      </c>
      <c r="B3896" s="34" t="s">
        <v>6682</v>
      </c>
      <c r="C3896" s="39"/>
      <c r="D3896" s="26" t="s">
        <v>10246</v>
      </c>
      <c r="E3896" s="39" t="s">
        <v>6395</v>
      </c>
    </row>
    <row r="3897" spans="1:5" ht="13.9">
      <c r="A3897" s="26" t="s">
        <v>10223</v>
      </c>
      <c r="B3897" s="34" t="s">
        <v>9601</v>
      </c>
      <c r="C3897" s="39"/>
      <c r="D3897" s="26" t="s">
        <v>10246</v>
      </c>
      <c r="E3897" s="39" t="s">
        <v>6395</v>
      </c>
    </row>
    <row r="3898" spans="1:5" ht="13.9">
      <c r="A3898" s="26" t="s">
        <v>10223</v>
      </c>
      <c r="B3898" s="34" t="s">
        <v>9602</v>
      </c>
      <c r="C3898" s="39"/>
      <c r="D3898" s="26" t="s">
        <v>10246</v>
      </c>
      <c r="E3898" s="39" t="s">
        <v>6395</v>
      </c>
    </row>
    <row r="3899" spans="1:5" ht="13.9">
      <c r="A3899" s="26" t="s">
        <v>10223</v>
      </c>
      <c r="B3899" s="34" t="s">
        <v>9603</v>
      </c>
      <c r="C3899" s="34" t="s">
        <v>154</v>
      </c>
      <c r="D3899" s="26" t="s">
        <v>10246</v>
      </c>
      <c r="E3899" s="39" t="s">
        <v>6395</v>
      </c>
    </row>
    <row r="3900" spans="1:5" ht="13.9">
      <c r="A3900" s="26" t="s">
        <v>10223</v>
      </c>
      <c r="B3900" s="34" t="s">
        <v>6715</v>
      </c>
      <c r="C3900" s="39"/>
      <c r="D3900" s="26" t="s">
        <v>10246</v>
      </c>
      <c r="E3900" s="39" t="s">
        <v>6479</v>
      </c>
    </row>
    <row r="3901" spans="1:5" ht="13.9">
      <c r="A3901" s="26" t="s">
        <v>10223</v>
      </c>
      <c r="B3901" s="34" t="s">
        <v>6785</v>
      </c>
      <c r="C3901" s="39"/>
      <c r="D3901" s="26" t="s">
        <v>10246</v>
      </c>
      <c r="E3901" s="39" t="s">
        <v>6395</v>
      </c>
    </row>
    <row r="3902" spans="1:5" ht="13.9">
      <c r="A3902" s="26" t="s">
        <v>10223</v>
      </c>
      <c r="B3902" s="34" t="s">
        <v>546</v>
      </c>
      <c r="C3902" s="34" t="s">
        <v>142</v>
      </c>
      <c r="D3902" s="26" t="s">
        <v>10246</v>
      </c>
      <c r="E3902" s="39" t="s">
        <v>6395</v>
      </c>
    </row>
    <row r="3903" spans="1:5" ht="13.9">
      <c r="A3903" s="26" t="s">
        <v>10223</v>
      </c>
      <c r="B3903" s="34" t="s">
        <v>711</v>
      </c>
      <c r="C3903" s="34" t="s">
        <v>6872</v>
      </c>
      <c r="D3903" s="26" t="s">
        <v>10246</v>
      </c>
      <c r="E3903" s="39" t="s">
        <v>6395</v>
      </c>
    </row>
    <row r="3904" spans="1:5" ht="13.9">
      <c r="A3904" s="26" t="s">
        <v>10223</v>
      </c>
      <c r="B3904" s="34" t="s">
        <v>6778</v>
      </c>
      <c r="C3904" s="39"/>
      <c r="D3904" s="26" t="s">
        <v>10246</v>
      </c>
      <c r="E3904" s="39" t="s">
        <v>6395</v>
      </c>
    </row>
    <row r="3905" spans="1:5" ht="13.9">
      <c r="A3905" s="26" t="s">
        <v>10223</v>
      </c>
      <c r="B3905" s="34" t="s">
        <v>9604</v>
      </c>
      <c r="C3905" s="34" t="s">
        <v>9605</v>
      </c>
      <c r="D3905" s="26" t="s">
        <v>10246</v>
      </c>
      <c r="E3905" s="37" t="s">
        <v>10225</v>
      </c>
    </row>
    <row r="3906" spans="1:5" ht="13.9">
      <c r="A3906" s="26" t="s">
        <v>10223</v>
      </c>
      <c r="B3906" s="34" t="s">
        <v>9606</v>
      </c>
      <c r="C3906" s="34" t="s">
        <v>9607</v>
      </c>
      <c r="D3906" s="26" t="s">
        <v>10246</v>
      </c>
      <c r="E3906" s="39" t="s">
        <v>6395</v>
      </c>
    </row>
    <row r="3907" spans="1:5" ht="13.9">
      <c r="A3907" s="26" t="s">
        <v>10223</v>
      </c>
      <c r="B3907" s="34" t="s">
        <v>9608</v>
      </c>
      <c r="C3907" s="34" t="s">
        <v>42</v>
      </c>
      <c r="D3907" s="26" t="s">
        <v>10246</v>
      </c>
      <c r="E3907" s="39" t="s">
        <v>6395</v>
      </c>
    </row>
    <row r="3908" spans="1:5" ht="13.9">
      <c r="A3908" s="26" t="s">
        <v>10223</v>
      </c>
      <c r="B3908" s="34" t="s">
        <v>2866</v>
      </c>
      <c r="C3908" s="39"/>
      <c r="D3908" s="26" t="s">
        <v>10246</v>
      </c>
      <c r="E3908" s="39" t="s">
        <v>6395</v>
      </c>
    </row>
    <row r="3909" spans="1:5" ht="13.9">
      <c r="A3909" s="26" t="s">
        <v>10223</v>
      </c>
      <c r="B3909" s="34" t="s">
        <v>9609</v>
      </c>
      <c r="C3909" s="39"/>
      <c r="D3909" s="26" t="s">
        <v>10246</v>
      </c>
      <c r="E3909" s="39" t="s">
        <v>1611</v>
      </c>
    </row>
    <row r="3910" spans="1:5" ht="13.9">
      <c r="A3910" s="26" t="s">
        <v>10223</v>
      </c>
      <c r="B3910" s="34" t="s">
        <v>879</v>
      </c>
      <c r="C3910" s="34" t="s">
        <v>154</v>
      </c>
      <c r="D3910" s="26" t="s">
        <v>10246</v>
      </c>
      <c r="E3910" s="39" t="s">
        <v>6395</v>
      </c>
    </row>
    <row r="3911" spans="1:5" ht="13.9">
      <c r="A3911" s="26" t="s">
        <v>10223</v>
      </c>
      <c r="B3911" s="34" t="s">
        <v>7060</v>
      </c>
      <c r="C3911" s="39"/>
      <c r="D3911" s="26" t="s">
        <v>10246</v>
      </c>
      <c r="E3911" s="39" t="s">
        <v>6395</v>
      </c>
    </row>
    <row r="3912" spans="1:5" ht="13.9">
      <c r="A3912" s="26" t="s">
        <v>10223</v>
      </c>
      <c r="B3912" s="34" t="s">
        <v>7528</v>
      </c>
      <c r="C3912" s="34" t="s">
        <v>154</v>
      </c>
      <c r="D3912" s="26" t="s">
        <v>10246</v>
      </c>
      <c r="E3912" s="39" t="s">
        <v>6395</v>
      </c>
    </row>
    <row r="3913" spans="1:5" ht="13.9">
      <c r="A3913" s="26" t="s">
        <v>10223</v>
      </c>
      <c r="B3913" s="34" t="s">
        <v>9610</v>
      </c>
      <c r="C3913" s="39"/>
      <c r="D3913" s="26" t="s">
        <v>10246</v>
      </c>
      <c r="E3913" s="39" t="s">
        <v>6395</v>
      </c>
    </row>
    <row r="3914" spans="1:5" ht="13.9">
      <c r="A3914" s="26" t="s">
        <v>10223</v>
      </c>
      <c r="B3914" s="34" t="s">
        <v>150</v>
      </c>
      <c r="C3914" s="34" t="s">
        <v>9611</v>
      </c>
      <c r="D3914" s="26" t="s">
        <v>10246</v>
      </c>
      <c r="E3914" s="37" t="s">
        <v>10253</v>
      </c>
    </row>
    <row r="3915" spans="1:5" ht="13.9">
      <c r="A3915" s="26" t="s">
        <v>10223</v>
      </c>
      <c r="B3915" s="34" t="s">
        <v>6952</v>
      </c>
      <c r="C3915" s="39"/>
      <c r="D3915" s="26" t="s">
        <v>10246</v>
      </c>
      <c r="E3915" s="39" t="s">
        <v>6395</v>
      </c>
    </row>
    <row r="3916" spans="1:5" ht="13.9">
      <c r="A3916" s="26" t="s">
        <v>10223</v>
      </c>
      <c r="B3916" s="34" t="s">
        <v>3823</v>
      </c>
      <c r="C3916" s="34" t="s">
        <v>6392</v>
      </c>
      <c r="D3916" s="26" t="s">
        <v>10246</v>
      </c>
      <c r="E3916" s="39" t="s">
        <v>6395</v>
      </c>
    </row>
    <row r="3917" spans="1:5" ht="13.9">
      <c r="A3917" s="26" t="s">
        <v>10223</v>
      </c>
      <c r="B3917" s="34" t="s">
        <v>9612</v>
      </c>
      <c r="C3917" s="39"/>
      <c r="D3917" s="26" t="s">
        <v>10246</v>
      </c>
      <c r="E3917" s="39" t="s">
        <v>10225</v>
      </c>
    </row>
    <row r="3918" spans="1:5" ht="13.9">
      <c r="A3918" s="26" t="s">
        <v>10223</v>
      </c>
      <c r="B3918" s="34" t="s">
        <v>7531</v>
      </c>
      <c r="C3918" s="34" t="s">
        <v>3262</v>
      </c>
      <c r="D3918" s="26" t="s">
        <v>10246</v>
      </c>
      <c r="E3918" s="39" t="s">
        <v>6395</v>
      </c>
    </row>
    <row r="3919" spans="1:5" ht="13.9">
      <c r="A3919" s="26" t="s">
        <v>10223</v>
      </c>
      <c r="B3919" s="34" t="s">
        <v>3261</v>
      </c>
      <c r="C3919" s="39"/>
      <c r="D3919" s="26" t="s">
        <v>10246</v>
      </c>
      <c r="E3919" s="39" t="s">
        <v>6395</v>
      </c>
    </row>
    <row r="3920" spans="1:5" ht="13.9">
      <c r="A3920" s="26" t="s">
        <v>10223</v>
      </c>
      <c r="B3920" s="34" t="s">
        <v>1383</v>
      </c>
      <c r="C3920" s="34" t="s">
        <v>9613</v>
      </c>
      <c r="D3920" s="26" t="s">
        <v>10246</v>
      </c>
      <c r="E3920" s="37" t="s">
        <v>6395</v>
      </c>
    </row>
    <row r="3921" spans="1:5" ht="13.9">
      <c r="A3921" s="26" t="s">
        <v>10223</v>
      </c>
      <c r="B3921" s="34" t="s">
        <v>7384</v>
      </c>
      <c r="C3921" s="39"/>
      <c r="D3921" s="26" t="s">
        <v>6480</v>
      </c>
      <c r="E3921" s="39" t="s">
        <v>6395</v>
      </c>
    </row>
    <row r="3922" spans="1:5" ht="13.9">
      <c r="A3922" s="26" t="s">
        <v>10223</v>
      </c>
      <c r="B3922" s="34" t="s">
        <v>9614</v>
      </c>
      <c r="C3922" s="39"/>
      <c r="D3922" s="26" t="s">
        <v>10246</v>
      </c>
      <c r="E3922" s="39" t="s">
        <v>6395</v>
      </c>
    </row>
    <row r="3923" spans="1:5" ht="13.9">
      <c r="A3923" s="26" t="s">
        <v>10223</v>
      </c>
      <c r="B3923" s="34" t="s">
        <v>9615</v>
      </c>
      <c r="C3923" s="34" t="s">
        <v>9616</v>
      </c>
      <c r="D3923" s="26" t="s">
        <v>10246</v>
      </c>
      <c r="E3923" s="37" t="s">
        <v>6395</v>
      </c>
    </row>
    <row r="3924" spans="1:5" ht="13.9">
      <c r="A3924" s="26" t="s">
        <v>10223</v>
      </c>
      <c r="B3924" s="34" t="s">
        <v>7154</v>
      </c>
      <c r="C3924" s="39"/>
      <c r="D3924" s="26" t="s">
        <v>10246</v>
      </c>
      <c r="E3924" s="39" t="s">
        <v>6395</v>
      </c>
    </row>
    <row r="3925" spans="1:5" ht="13.9">
      <c r="A3925" s="26" t="s">
        <v>10223</v>
      </c>
      <c r="B3925" s="34" t="s">
        <v>9617</v>
      </c>
      <c r="C3925" s="34" t="s">
        <v>9541</v>
      </c>
      <c r="D3925" s="26" t="s">
        <v>10246</v>
      </c>
      <c r="E3925" s="37" t="s">
        <v>6395</v>
      </c>
    </row>
    <row r="3926" spans="1:5" ht="13.9">
      <c r="A3926" s="26" t="s">
        <v>10223</v>
      </c>
      <c r="B3926" s="34" t="s">
        <v>9618</v>
      </c>
      <c r="C3926" s="39"/>
      <c r="D3926" s="26" t="s">
        <v>10246</v>
      </c>
      <c r="E3926" s="39" t="s">
        <v>6395</v>
      </c>
    </row>
    <row r="3927" spans="1:5" ht="13.9">
      <c r="A3927" s="26" t="s">
        <v>10223</v>
      </c>
      <c r="B3927" s="34" t="s">
        <v>6621</v>
      </c>
      <c r="C3927" s="39"/>
      <c r="D3927" s="26" t="s">
        <v>10246</v>
      </c>
      <c r="E3927" s="39" t="s">
        <v>6443</v>
      </c>
    </row>
    <row r="3928" spans="1:5" ht="13.9">
      <c r="A3928" s="26" t="s">
        <v>10223</v>
      </c>
      <c r="B3928" s="34" t="s">
        <v>1569</v>
      </c>
      <c r="C3928" s="34" t="s">
        <v>42</v>
      </c>
      <c r="D3928" s="26" t="s">
        <v>10246</v>
      </c>
      <c r="E3928" s="39" t="s">
        <v>6395</v>
      </c>
    </row>
    <row r="3929" spans="1:5" ht="13.9">
      <c r="A3929" s="26" t="s">
        <v>10223</v>
      </c>
      <c r="B3929" s="34" t="s">
        <v>9619</v>
      </c>
      <c r="C3929" s="39"/>
      <c r="D3929" s="26" t="s">
        <v>10246</v>
      </c>
      <c r="E3929" s="39" t="s">
        <v>6395</v>
      </c>
    </row>
    <row r="3930" spans="1:5" ht="13.9">
      <c r="A3930" s="26" t="s">
        <v>10223</v>
      </c>
      <c r="B3930" s="34" t="s">
        <v>8834</v>
      </c>
      <c r="C3930" s="34" t="s">
        <v>9620</v>
      </c>
      <c r="D3930" s="26" t="s">
        <v>10246</v>
      </c>
      <c r="E3930" s="39" t="s">
        <v>6395</v>
      </c>
    </row>
    <row r="3931" spans="1:5" ht="13.9">
      <c r="A3931" s="26" t="s">
        <v>10223</v>
      </c>
      <c r="B3931" s="34" t="s">
        <v>9621</v>
      </c>
      <c r="C3931" s="34" t="s">
        <v>574</v>
      </c>
      <c r="D3931" s="26" t="s">
        <v>10246</v>
      </c>
      <c r="E3931" s="39" t="s">
        <v>6395</v>
      </c>
    </row>
    <row r="3932" spans="1:5" ht="13.9">
      <c r="A3932" s="26" t="s">
        <v>10223</v>
      </c>
      <c r="B3932" s="34" t="s">
        <v>9622</v>
      </c>
      <c r="C3932" s="39"/>
      <c r="D3932" s="26" t="s">
        <v>10246</v>
      </c>
      <c r="E3932" s="39" t="s">
        <v>6395</v>
      </c>
    </row>
    <row r="3933" spans="1:5" ht="13.9">
      <c r="A3933" s="26" t="s">
        <v>10223</v>
      </c>
      <c r="B3933" s="34" t="s">
        <v>9623</v>
      </c>
      <c r="C3933" s="34" t="s">
        <v>9624</v>
      </c>
      <c r="D3933" s="26" t="s">
        <v>10246</v>
      </c>
      <c r="E3933" s="37" t="s">
        <v>6479</v>
      </c>
    </row>
    <row r="3934" spans="1:5" ht="13.9">
      <c r="A3934" s="26" t="s">
        <v>10223</v>
      </c>
      <c r="B3934" s="34" t="s">
        <v>9625</v>
      </c>
      <c r="C3934" s="34" t="s">
        <v>9626</v>
      </c>
      <c r="D3934" s="26" t="s">
        <v>10246</v>
      </c>
      <c r="E3934" s="37" t="s">
        <v>6395</v>
      </c>
    </row>
    <row r="3935" spans="1:5" ht="13.9">
      <c r="A3935" s="26" t="s">
        <v>10223</v>
      </c>
      <c r="B3935" s="34" t="s">
        <v>9627</v>
      </c>
      <c r="C3935" s="39"/>
      <c r="D3935" s="26" t="s">
        <v>10246</v>
      </c>
      <c r="E3935" s="39" t="s">
        <v>6395</v>
      </c>
    </row>
    <row r="3936" spans="1:5" ht="13.9">
      <c r="A3936" s="26" t="s">
        <v>10223</v>
      </c>
      <c r="B3936" s="34" t="s">
        <v>7155</v>
      </c>
      <c r="C3936" s="34" t="s">
        <v>6768</v>
      </c>
      <c r="D3936" s="26" t="s">
        <v>10246</v>
      </c>
      <c r="E3936" s="39" t="s">
        <v>6395</v>
      </c>
    </row>
    <row r="3937" spans="1:5" ht="13.9">
      <c r="A3937" s="26" t="s">
        <v>10223</v>
      </c>
      <c r="B3937" s="34" t="s">
        <v>9628</v>
      </c>
      <c r="C3937" s="39"/>
      <c r="D3937" s="26" t="s">
        <v>10246</v>
      </c>
      <c r="E3937" s="39" t="s">
        <v>6395</v>
      </c>
    </row>
    <row r="3938" spans="1:5" ht="13.9">
      <c r="A3938" s="26" t="s">
        <v>10223</v>
      </c>
      <c r="B3938" s="34" t="s">
        <v>9629</v>
      </c>
      <c r="C3938" s="39"/>
      <c r="D3938" s="26" t="s">
        <v>10246</v>
      </c>
      <c r="E3938" s="39" t="s">
        <v>6395</v>
      </c>
    </row>
    <row r="3939" spans="1:5" ht="13.9">
      <c r="A3939" s="26" t="s">
        <v>10223</v>
      </c>
      <c r="B3939" s="34" t="s">
        <v>7545</v>
      </c>
      <c r="C3939" s="39"/>
      <c r="D3939" s="26" t="s">
        <v>10246</v>
      </c>
      <c r="E3939" s="39" t="s">
        <v>6395</v>
      </c>
    </row>
    <row r="3940" spans="1:5" ht="13.9">
      <c r="A3940" s="26" t="s">
        <v>10223</v>
      </c>
      <c r="B3940" s="34" t="s">
        <v>9630</v>
      </c>
      <c r="C3940" s="39"/>
      <c r="D3940" s="26" t="s">
        <v>10246</v>
      </c>
      <c r="E3940" s="39" t="s">
        <v>6395</v>
      </c>
    </row>
    <row r="3941" spans="1:5" ht="13.9">
      <c r="A3941" s="26" t="s">
        <v>10223</v>
      </c>
      <c r="B3941" s="34" t="s">
        <v>9631</v>
      </c>
      <c r="C3941" s="34" t="s">
        <v>2020</v>
      </c>
      <c r="D3941" s="26" t="s">
        <v>10246</v>
      </c>
      <c r="E3941" s="39" t="s">
        <v>6395</v>
      </c>
    </row>
    <row r="3942" spans="1:5" ht="13.9">
      <c r="A3942" s="26" t="s">
        <v>10223</v>
      </c>
      <c r="B3942" s="34" t="s">
        <v>9632</v>
      </c>
      <c r="C3942" s="39"/>
      <c r="D3942" s="26" t="s">
        <v>10246</v>
      </c>
      <c r="E3942" s="39" t="s">
        <v>6395</v>
      </c>
    </row>
    <row r="3943" spans="1:5" ht="13.9">
      <c r="A3943" s="26" t="s">
        <v>10223</v>
      </c>
      <c r="B3943" s="34" t="s">
        <v>9633</v>
      </c>
      <c r="C3943" s="39"/>
      <c r="D3943" s="26" t="s">
        <v>10246</v>
      </c>
      <c r="E3943" s="39" t="s">
        <v>6411</v>
      </c>
    </row>
    <row r="3944" spans="1:5" ht="13.9">
      <c r="A3944" s="26" t="s">
        <v>10223</v>
      </c>
      <c r="B3944" s="34" t="s">
        <v>9634</v>
      </c>
      <c r="C3944" s="39"/>
      <c r="D3944" s="26" t="s">
        <v>10246</v>
      </c>
      <c r="E3944" s="39" t="s">
        <v>6395</v>
      </c>
    </row>
    <row r="3945" spans="1:5" ht="13.9">
      <c r="A3945" s="26" t="s">
        <v>10223</v>
      </c>
      <c r="B3945" s="34" t="s">
        <v>9635</v>
      </c>
      <c r="C3945" s="39"/>
      <c r="D3945" s="26" t="s">
        <v>10250</v>
      </c>
      <c r="E3945" s="39" t="s">
        <v>6432</v>
      </c>
    </row>
    <row r="3946" spans="1:5" ht="13.9">
      <c r="A3946" s="26" t="s">
        <v>10223</v>
      </c>
      <c r="B3946" s="34" t="s">
        <v>638</v>
      </c>
      <c r="C3946" s="34" t="s">
        <v>154</v>
      </c>
      <c r="D3946" s="26" t="s">
        <v>10246</v>
      </c>
      <c r="E3946" s="39" t="s">
        <v>6395</v>
      </c>
    </row>
    <row r="3947" spans="1:5" ht="13.9">
      <c r="A3947" s="26" t="s">
        <v>10223</v>
      </c>
      <c r="B3947" s="34" t="s">
        <v>2912</v>
      </c>
      <c r="C3947" s="34" t="s">
        <v>935</v>
      </c>
      <c r="D3947" s="26" t="s">
        <v>10246</v>
      </c>
      <c r="E3947" s="39" t="s">
        <v>6395</v>
      </c>
    </row>
    <row r="3948" spans="1:5" ht="13.9">
      <c r="A3948" s="26" t="s">
        <v>10223</v>
      </c>
      <c r="B3948" s="34" t="s">
        <v>6980</v>
      </c>
      <c r="C3948" s="39"/>
      <c r="D3948" s="26" t="s">
        <v>10246</v>
      </c>
      <c r="E3948" s="39" t="s">
        <v>6395</v>
      </c>
    </row>
    <row r="3949" spans="1:5" ht="13.9">
      <c r="A3949" s="26" t="s">
        <v>10223</v>
      </c>
      <c r="B3949" s="34" t="s">
        <v>1206</v>
      </c>
      <c r="C3949" s="34" t="s">
        <v>245</v>
      </c>
      <c r="D3949" s="26" t="s">
        <v>10246</v>
      </c>
      <c r="E3949" s="39" t="s">
        <v>6395</v>
      </c>
    </row>
    <row r="3950" spans="1:5" ht="13.9">
      <c r="A3950" s="26" t="s">
        <v>10223</v>
      </c>
      <c r="B3950" s="34" t="s">
        <v>3489</v>
      </c>
      <c r="C3950" s="34" t="s">
        <v>3490</v>
      </c>
      <c r="D3950" s="26" t="s">
        <v>10246</v>
      </c>
      <c r="E3950" s="39" t="s">
        <v>6395</v>
      </c>
    </row>
    <row r="3951" spans="1:5" ht="13.9">
      <c r="A3951" s="26" t="s">
        <v>10223</v>
      </c>
      <c r="B3951" s="34" t="s">
        <v>3501</v>
      </c>
      <c r="C3951" s="34" t="s">
        <v>154</v>
      </c>
      <c r="D3951" s="26" t="s">
        <v>10246</v>
      </c>
      <c r="E3951" s="39" t="s">
        <v>6395</v>
      </c>
    </row>
    <row r="3952" spans="1:5" ht="13.9">
      <c r="A3952" s="26" t="s">
        <v>10223</v>
      </c>
      <c r="B3952" s="34" t="s">
        <v>9636</v>
      </c>
      <c r="C3952" s="39"/>
      <c r="D3952" s="26" t="s">
        <v>10246</v>
      </c>
      <c r="E3952" s="39" t="s">
        <v>6395</v>
      </c>
    </row>
    <row r="3953" spans="1:5" ht="13.9">
      <c r="A3953" s="26" t="s">
        <v>10223</v>
      </c>
      <c r="B3953" s="34" t="s">
        <v>9637</v>
      </c>
      <c r="C3953" s="39"/>
      <c r="D3953" s="26" t="s">
        <v>10246</v>
      </c>
      <c r="E3953" s="39" t="s">
        <v>6395</v>
      </c>
    </row>
    <row r="3954" spans="1:5" ht="13.9">
      <c r="A3954" s="26" t="s">
        <v>10223</v>
      </c>
      <c r="B3954" s="34" t="s">
        <v>9638</v>
      </c>
      <c r="C3954" s="39"/>
      <c r="D3954" s="26" t="s">
        <v>10246</v>
      </c>
      <c r="E3954" s="39" t="s">
        <v>6395</v>
      </c>
    </row>
    <row r="3955" spans="1:5" ht="13.9">
      <c r="A3955" s="26" t="s">
        <v>10223</v>
      </c>
      <c r="B3955" s="34" t="s">
        <v>9639</v>
      </c>
      <c r="C3955" s="39"/>
      <c r="D3955" s="26" t="s">
        <v>10246</v>
      </c>
      <c r="E3955" s="39" t="s">
        <v>6395</v>
      </c>
    </row>
    <row r="3956" spans="1:5" ht="13.9">
      <c r="A3956" s="26" t="s">
        <v>10223</v>
      </c>
      <c r="B3956" s="34" t="s">
        <v>9640</v>
      </c>
      <c r="C3956" s="39"/>
      <c r="D3956" s="26" t="s">
        <v>10246</v>
      </c>
      <c r="E3956" s="39" t="s">
        <v>6395</v>
      </c>
    </row>
    <row r="3957" spans="1:5" ht="13.9">
      <c r="A3957" s="26" t="s">
        <v>10223</v>
      </c>
      <c r="B3957" s="34" t="s">
        <v>7548</v>
      </c>
      <c r="C3957" s="34" t="s">
        <v>154</v>
      </c>
      <c r="D3957" s="26" t="s">
        <v>10246</v>
      </c>
      <c r="E3957" s="39" t="s">
        <v>6395</v>
      </c>
    </row>
    <row r="3958" spans="1:5" ht="13.9">
      <c r="A3958" s="26" t="s">
        <v>10223</v>
      </c>
      <c r="B3958" s="34" t="s">
        <v>2067</v>
      </c>
      <c r="C3958" s="39"/>
      <c r="D3958" s="26" t="s">
        <v>10246</v>
      </c>
      <c r="E3958" s="39" t="s">
        <v>6479</v>
      </c>
    </row>
    <row r="3959" spans="1:5" ht="13.9">
      <c r="A3959" s="26" t="s">
        <v>10223</v>
      </c>
      <c r="B3959" s="34" t="s">
        <v>9641</v>
      </c>
      <c r="C3959" s="34" t="s">
        <v>776</v>
      </c>
      <c r="D3959" s="26" t="s">
        <v>10246</v>
      </c>
      <c r="E3959" s="39" t="s">
        <v>6443</v>
      </c>
    </row>
    <row r="3960" spans="1:5" ht="13.9">
      <c r="A3960" s="26" t="s">
        <v>10223</v>
      </c>
      <c r="B3960" s="34" t="s">
        <v>7077</v>
      </c>
      <c r="C3960" s="34" t="s">
        <v>7076</v>
      </c>
      <c r="D3960" s="26" t="s">
        <v>10246</v>
      </c>
      <c r="E3960" s="39" t="s">
        <v>6395</v>
      </c>
    </row>
    <row r="3961" spans="1:5" ht="13.9">
      <c r="A3961" s="26" t="s">
        <v>10223</v>
      </c>
      <c r="B3961" s="34" t="s">
        <v>9642</v>
      </c>
      <c r="C3961" s="39"/>
      <c r="D3961" s="26" t="s">
        <v>10246</v>
      </c>
      <c r="E3961" s="39" t="s">
        <v>6395</v>
      </c>
    </row>
    <row r="3962" spans="1:5" ht="13.9">
      <c r="A3962" s="26" t="s">
        <v>10223</v>
      </c>
      <c r="B3962" s="34" t="s">
        <v>9643</v>
      </c>
      <c r="C3962" s="39"/>
      <c r="D3962" s="26" t="s">
        <v>10246</v>
      </c>
      <c r="E3962" s="39" t="s">
        <v>6395</v>
      </c>
    </row>
    <row r="3963" spans="1:5" ht="13.9">
      <c r="A3963" s="26" t="s">
        <v>10223</v>
      </c>
      <c r="B3963" s="34" t="s">
        <v>7275</v>
      </c>
      <c r="C3963" s="34" t="s">
        <v>574</v>
      </c>
      <c r="D3963" s="26" t="s">
        <v>10246</v>
      </c>
      <c r="E3963" s="39" t="s">
        <v>6395</v>
      </c>
    </row>
    <row r="3964" spans="1:5" ht="13.9">
      <c r="A3964" s="26" t="s">
        <v>10223</v>
      </c>
      <c r="B3964" s="34" t="s">
        <v>9644</v>
      </c>
      <c r="C3964" s="39"/>
      <c r="D3964" s="26" t="s">
        <v>10246</v>
      </c>
      <c r="E3964" s="39" t="s">
        <v>6395</v>
      </c>
    </row>
    <row r="3965" spans="1:5" ht="13.9">
      <c r="A3965" s="26" t="s">
        <v>10223</v>
      </c>
      <c r="B3965" s="34" t="s">
        <v>2036</v>
      </c>
      <c r="C3965" s="34" t="s">
        <v>574</v>
      </c>
      <c r="D3965" s="26" t="s">
        <v>10246</v>
      </c>
      <c r="E3965" s="39" t="s">
        <v>6395</v>
      </c>
    </row>
    <row r="3966" spans="1:5" ht="13.9">
      <c r="A3966" s="26" t="s">
        <v>10223</v>
      </c>
      <c r="B3966" s="34" t="s">
        <v>688</v>
      </c>
      <c r="C3966" s="34" t="s">
        <v>679</v>
      </c>
      <c r="D3966" s="26" t="s">
        <v>10246</v>
      </c>
      <c r="E3966" s="39" t="s">
        <v>6395</v>
      </c>
    </row>
    <row r="3967" spans="1:5" ht="13.9">
      <c r="A3967" s="26" t="s">
        <v>10223</v>
      </c>
      <c r="B3967" s="34" t="s">
        <v>9645</v>
      </c>
      <c r="C3967" s="34" t="s">
        <v>1802</v>
      </c>
      <c r="D3967" s="26" t="s">
        <v>10246</v>
      </c>
      <c r="E3967" s="39" t="s">
        <v>6395</v>
      </c>
    </row>
    <row r="3968" spans="1:5" ht="13.9">
      <c r="A3968" s="26" t="s">
        <v>10223</v>
      </c>
      <c r="B3968" s="34" t="s">
        <v>1563</v>
      </c>
      <c r="C3968" s="34" t="s">
        <v>1564</v>
      </c>
      <c r="D3968" s="26" t="s">
        <v>10246</v>
      </c>
      <c r="E3968" s="39" t="s">
        <v>6443</v>
      </c>
    </row>
    <row r="3969" spans="1:5" ht="13.9">
      <c r="A3969" s="26" t="s">
        <v>10223</v>
      </c>
      <c r="B3969" s="34" t="s">
        <v>6673</v>
      </c>
      <c r="C3969" s="34" t="s">
        <v>6473</v>
      </c>
      <c r="D3969" s="26" t="s">
        <v>10246</v>
      </c>
      <c r="E3969" s="39" t="s">
        <v>6395</v>
      </c>
    </row>
    <row r="3970" spans="1:5" ht="13.9">
      <c r="A3970" s="26" t="s">
        <v>10223</v>
      </c>
      <c r="B3970" s="34" t="s">
        <v>7218</v>
      </c>
      <c r="C3970" s="39"/>
      <c r="D3970" s="26" t="s">
        <v>10246</v>
      </c>
      <c r="E3970" s="39" t="s">
        <v>6443</v>
      </c>
    </row>
    <row r="3971" spans="1:5" ht="13.9">
      <c r="A3971" s="26" t="s">
        <v>10223</v>
      </c>
      <c r="B3971" s="34" t="s">
        <v>9646</v>
      </c>
      <c r="C3971" s="39"/>
      <c r="D3971" s="26" t="s">
        <v>10246</v>
      </c>
      <c r="E3971" s="39" t="s">
        <v>6395</v>
      </c>
    </row>
    <row r="3972" spans="1:5" ht="13.9">
      <c r="A3972" s="26" t="s">
        <v>10223</v>
      </c>
      <c r="B3972" s="34" t="s">
        <v>9647</v>
      </c>
      <c r="C3972" s="39"/>
      <c r="D3972" s="26" t="s">
        <v>10246</v>
      </c>
      <c r="E3972" s="39" t="s">
        <v>6395</v>
      </c>
    </row>
    <row r="3973" spans="1:5" ht="13.9">
      <c r="A3973" s="26" t="s">
        <v>10223</v>
      </c>
      <c r="B3973" s="34" t="s">
        <v>7573</v>
      </c>
      <c r="C3973" s="39"/>
      <c r="D3973" s="26" t="s">
        <v>10246</v>
      </c>
      <c r="E3973" s="39" t="s">
        <v>6395</v>
      </c>
    </row>
    <row r="3974" spans="1:5" ht="13.9">
      <c r="A3974" s="26" t="s">
        <v>10223</v>
      </c>
      <c r="B3974" s="34" t="s">
        <v>1816</v>
      </c>
      <c r="C3974" s="34" t="s">
        <v>679</v>
      </c>
      <c r="D3974" s="26" t="s">
        <v>10246</v>
      </c>
      <c r="E3974" s="39" t="s">
        <v>6395</v>
      </c>
    </row>
    <row r="3975" spans="1:5" ht="13.9">
      <c r="A3975" s="26" t="s">
        <v>10223</v>
      </c>
      <c r="B3975" s="34" t="s">
        <v>9648</v>
      </c>
      <c r="C3975" s="39"/>
      <c r="D3975" s="26" t="s">
        <v>10246</v>
      </c>
      <c r="E3975" s="39" t="s">
        <v>6395</v>
      </c>
    </row>
    <row r="3976" spans="1:5" ht="13.9">
      <c r="A3976" s="26" t="s">
        <v>10223</v>
      </c>
      <c r="B3976" s="34" t="s">
        <v>7581</v>
      </c>
      <c r="C3976" s="34" t="s">
        <v>7582</v>
      </c>
      <c r="D3976" s="26" t="s">
        <v>10246</v>
      </c>
      <c r="E3976" s="39" t="s">
        <v>6395</v>
      </c>
    </row>
    <row r="3977" spans="1:5" ht="13.9">
      <c r="A3977" s="26" t="s">
        <v>10223</v>
      </c>
      <c r="B3977" s="34" t="s">
        <v>7583</v>
      </c>
      <c r="C3977" s="39"/>
      <c r="D3977" s="26" t="s">
        <v>10246</v>
      </c>
      <c r="E3977" s="39" t="s">
        <v>6395</v>
      </c>
    </row>
    <row r="3978" spans="1:5" ht="13.9">
      <c r="A3978" s="26" t="s">
        <v>10223</v>
      </c>
      <c r="B3978" s="34" t="s">
        <v>7578</v>
      </c>
      <c r="C3978" s="39"/>
      <c r="D3978" s="26" t="s">
        <v>10246</v>
      </c>
      <c r="E3978" s="39" t="s">
        <v>6395</v>
      </c>
    </row>
    <row r="3979" spans="1:5" ht="13.9">
      <c r="A3979" s="26" t="s">
        <v>10223</v>
      </c>
      <c r="B3979" s="34" t="s">
        <v>9649</v>
      </c>
      <c r="C3979" s="34" t="s">
        <v>2020</v>
      </c>
      <c r="D3979" s="26" t="s">
        <v>10246</v>
      </c>
      <c r="E3979" s="39" t="s">
        <v>6395</v>
      </c>
    </row>
    <row r="3980" spans="1:5" ht="13.9">
      <c r="A3980" s="26" t="s">
        <v>10223</v>
      </c>
      <c r="B3980" s="34" t="s">
        <v>8327</v>
      </c>
      <c r="C3980" s="34" t="s">
        <v>9650</v>
      </c>
      <c r="D3980" s="26" t="s">
        <v>10246</v>
      </c>
      <c r="E3980" s="37" t="s">
        <v>6395</v>
      </c>
    </row>
    <row r="3981" spans="1:5" ht="13.9">
      <c r="A3981" s="26" t="s">
        <v>10223</v>
      </c>
      <c r="B3981" s="34" t="s">
        <v>9651</v>
      </c>
      <c r="C3981" s="39"/>
      <c r="D3981" s="26" t="s">
        <v>10246</v>
      </c>
      <c r="E3981" s="39" t="s">
        <v>6395</v>
      </c>
    </row>
    <row r="3982" spans="1:5" ht="13.9">
      <c r="A3982" s="26" t="s">
        <v>10223</v>
      </c>
      <c r="B3982" s="34" t="s">
        <v>9652</v>
      </c>
      <c r="C3982" s="39"/>
      <c r="D3982" s="26" t="s">
        <v>10246</v>
      </c>
      <c r="E3982" s="39" t="s">
        <v>6395</v>
      </c>
    </row>
    <row r="3983" spans="1:5" ht="13.9">
      <c r="A3983" s="26" t="s">
        <v>10223</v>
      </c>
      <c r="B3983" s="34" t="s">
        <v>1489</v>
      </c>
      <c r="C3983" s="34" t="s">
        <v>1490</v>
      </c>
      <c r="D3983" s="26" t="s">
        <v>10246</v>
      </c>
      <c r="E3983" s="39" t="s">
        <v>6395</v>
      </c>
    </row>
    <row r="3984" spans="1:5" ht="13.9">
      <c r="A3984" s="26" t="s">
        <v>10223</v>
      </c>
      <c r="B3984" s="34" t="s">
        <v>9653</v>
      </c>
      <c r="C3984" s="39"/>
      <c r="D3984" s="26" t="s">
        <v>10246</v>
      </c>
      <c r="E3984" s="39" t="s">
        <v>1611</v>
      </c>
    </row>
    <row r="3985" spans="1:5" ht="13.9">
      <c r="A3985" s="26" t="s">
        <v>10223</v>
      </c>
      <c r="B3985" s="34" t="s">
        <v>9654</v>
      </c>
      <c r="C3985" s="39"/>
      <c r="D3985" s="26" t="s">
        <v>10246</v>
      </c>
      <c r="E3985" s="39" t="s">
        <v>6395</v>
      </c>
    </row>
    <row r="3986" spans="1:5" ht="13.9">
      <c r="A3986" s="26" t="s">
        <v>10223</v>
      </c>
      <c r="B3986" s="34" t="s">
        <v>9655</v>
      </c>
      <c r="C3986" s="34" t="s">
        <v>776</v>
      </c>
      <c r="D3986" s="26" t="s">
        <v>10246</v>
      </c>
      <c r="E3986" s="39" t="s">
        <v>6395</v>
      </c>
    </row>
    <row r="3987" spans="1:5" ht="13.9">
      <c r="A3987" s="26" t="s">
        <v>10223</v>
      </c>
      <c r="B3987" s="34" t="s">
        <v>9656</v>
      </c>
      <c r="C3987" s="34" t="s">
        <v>7437</v>
      </c>
      <c r="D3987" s="26" t="s">
        <v>10246</v>
      </c>
      <c r="E3987" s="39" t="s">
        <v>6395</v>
      </c>
    </row>
    <row r="3988" spans="1:5" ht="13.9">
      <c r="A3988" s="26" t="s">
        <v>10223</v>
      </c>
      <c r="B3988" s="34" t="s">
        <v>1834</v>
      </c>
      <c r="C3988" s="34" t="s">
        <v>154</v>
      </c>
      <c r="D3988" s="26" t="s">
        <v>10246</v>
      </c>
      <c r="E3988" s="39">
        <v>0</v>
      </c>
    </row>
    <row r="3989" spans="1:5" ht="13.9">
      <c r="A3989" s="26" t="s">
        <v>10223</v>
      </c>
      <c r="B3989" s="34" t="s">
        <v>9657</v>
      </c>
      <c r="C3989" s="34" t="s">
        <v>7437</v>
      </c>
      <c r="D3989" s="26" t="s">
        <v>10246</v>
      </c>
      <c r="E3989" s="39" t="s">
        <v>6395</v>
      </c>
    </row>
    <row r="3990" spans="1:5" ht="13.9">
      <c r="A3990" s="26" t="s">
        <v>10223</v>
      </c>
      <c r="B3990" s="34" t="s">
        <v>1928</v>
      </c>
      <c r="C3990" s="34" t="s">
        <v>1372</v>
      </c>
      <c r="D3990" s="26" t="s">
        <v>10246</v>
      </c>
      <c r="E3990" s="39" t="s">
        <v>6411</v>
      </c>
    </row>
    <row r="3991" spans="1:5" ht="13.9">
      <c r="A3991" s="26" t="s">
        <v>10223</v>
      </c>
      <c r="B3991" s="34" t="s">
        <v>9658</v>
      </c>
      <c r="C3991" s="34" t="s">
        <v>976</v>
      </c>
      <c r="D3991" s="26" t="s">
        <v>10246</v>
      </c>
      <c r="E3991" s="39" t="s">
        <v>6395</v>
      </c>
    </row>
    <row r="3992" spans="1:5" ht="13.9">
      <c r="A3992" s="26" t="s">
        <v>10223</v>
      </c>
      <c r="B3992" s="34" t="s">
        <v>7223</v>
      </c>
      <c r="C3992" s="34" t="s">
        <v>9659</v>
      </c>
      <c r="D3992" s="26" t="s">
        <v>10246</v>
      </c>
      <c r="E3992" s="37" t="s">
        <v>6395</v>
      </c>
    </row>
    <row r="3993" spans="1:5" ht="13.9">
      <c r="A3993" s="26" t="s">
        <v>10223</v>
      </c>
      <c r="B3993" s="34" t="s">
        <v>6844</v>
      </c>
      <c r="C3993" s="39"/>
      <c r="D3993" s="26" t="s">
        <v>10246</v>
      </c>
      <c r="E3993" s="39" t="s">
        <v>6395</v>
      </c>
    </row>
    <row r="3994" spans="1:5" ht="13.9">
      <c r="A3994" s="26" t="s">
        <v>10223</v>
      </c>
      <c r="B3994" s="34" t="s">
        <v>9660</v>
      </c>
      <c r="C3994" s="34" t="s">
        <v>9661</v>
      </c>
      <c r="D3994" s="26" t="s">
        <v>10246</v>
      </c>
      <c r="E3994" s="37" t="s">
        <v>6395</v>
      </c>
    </row>
    <row r="3995" spans="1:5" ht="13.9">
      <c r="A3995" s="26" t="s">
        <v>10223</v>
      </c>
      <c r="B3995" s="34" t="s">
        <v>198</v>
      </c>
      <c r="C3995" s="39"/>
      <c r="D3995" s="26" t="s">
        <v>10246</v>
      </c>
      <c r="E3995" s="39" t="s">
        <v>6395</v>
      </c>
    </row>
    <row r="3996" spans="1:5" ht="13.9">
      <c r="A3996" s="26" t="s">
        <v>10223</v>
      </c>
      <c r="B3996" s="34" t="s">
        <v>9662</v>
      </c>
      <c r="C3996" s="39"/>
      <c r="D3996" s="26" t="s">
        <v>10246</v>
      </c>
      <c r="E3996" s="39" t="s">
        <v>6395</v>
      </c>
    </row>
    <row r="3997" spans="1:5" ht="13.9">
      <c r="A3997" s="26" t="s">
        <v>10223</v>
      </c>
      <c r="B3997" s="34" t="s">
        <v>1600</v>
      </c>
      <c r="C3997" s="39"/>
      <c r="D3997" s="26" t="s">
        <v>10246</v>
      </c>
      <c r="E3997" s="39" t="s">
        <v>6395</v>
      </c>
    </row>
    <row r="3998" spans="1:5" ht="13.9">
      <c r="A3998" s="26" t="s">
        <v>10223</v>
      </c>
      <c r="B3998" s="34" t="s">
        <v>9663</v>
      </c>
      <c r="C3998" s="39"/>
      <c r="D3998" s="26" t="s">
        <v>10246</v>
      </c>
      <c r="E3998" s="39" t="s">
        <v>6395</v>
      </c>
    </row>
    <row r="3999" spans="1:5" ht="13.9">
      <c r="A3999" s="26" t="s">
        <v>10223</v>
      </c>
      <c r="B3999" s="34" t="s">
        <v>1010</v>
      </c>
      <c r="C3999" s="34" t="s">
        <v>154</v>
      </c>
      <c r="D3999" s="26" t="s">
        <v>10246</v>
      </c>
      <c r="E3999" s="39" t="s">
        <v>6395</v>
      </c>
    </row>
    <row r="4000" spans="1:5" ht="13.9">
      <c r="A4000" s="26" t="s">
        <v>10223</v>
      </c>
      <c r="B4000" s="34" t="s">
        <v>985</v>
      </c>
      <c r="C4000" s="34" t="s">
        <v>154</v>
      </c>
      <c r="D4000" s="26" t="s">
        <v>10246</v>
      </c>
      <c r="E4000" s="39" t="s">
        <v>6395</v>
      </c>
    </row>
    <row r="4001" spans="1:5" ht="13.9">
      <c r="A4001" s="26" t="s">
        <v>10223</v>
      </c>
      <c r="B4001" s="34" t="s">
        <v>9664</v>
      </c>
      <c r="C4001" s="39"/>
      <c r="D4001" s="26" t="s">
        <v>10246</v>
      </c>
      <c r="E4001" s="39" t="s">
        <v>6395</v>
      </c>
    </row>
    <row r="4002" spans="1:5" ht="13.9">
      <c r="A4002" s="26" t="s">
        <v>10223</v>
      </c>
      <c r="B4002" s="34" t="s">
        <v>9665</v>
      </c>
      <c r="C4002" s="39"/>
      <c r="D4002" s="26" t="s">
        <v>10246</v>
      </c>
      <c r="E4002" s="39" t="s">
        <v>6395</v>
      </c>
    </row>
    <row r="4003" spans="1:5" ht="13.9">
      <c r="A4003" s="26" t="s">
        <v>10223</v>
      </c>
      <c r="B4003" s="34" t="s">
        <v>9666</v>
      </c>
      <c r="C4003" s="34" t="s">
        <v>9667</v>
      </c>
      <c r="D4003" s="26" t="s">
        <v>10246</v>
      </c>
      <c r="E4003" s="39" t="s">
        <v>6395</v>
      </c>
    </row>
    <row r="4004" spans="1:5" ht="13.9">
      <c r="A4004" s="26" t="s">
        <v>10223</v>
      </c>
      <c r="B4004" s="34" t="s">
        <v>2283</v>
      </c>
      <c r="C4004" s="34" t="s">
        <v>227</v>
      </c>
      <c r="D4004" s="26" t="s">
        <v>10246</v>
      </c>
      <c r="E4004" s="39" t="s">
        <v>6395</v>
      </c>
    </row>
    <row r="4005" spans="1:5" ht="13.9">
      <c r="A4005" s="26" t="s">
        <v>10223</v>
      </c>
      <c r="B4005" s="34" t="s">
        <v>573</v>
      </c>
      <c r="C4005" s="39"/>
      <c r="D4005" s="26" t="s">
        <v>10246</v>
      </c>
      <c r="E4005" s="39" t="s">
        <v>6395</v>
      </c>
    </row>
    <row r="4006" spans="1:5" ht="13.9">
      <c r="A4006" s="26" t="s">
        <v>10223</v>
      </c>
      <c r="B4006" s="34" t="s">
        <v>9668</v>
      </c>
      <c r="C4006" s="39"/>
      <c r="D4006" s="26" t="s">
        <v>10246</v>
      </c>
      <c r="E4006" s="39">
        <v>0</v>
      </c>
    </row>
    <row r="4007" spans="1:5" ht="13.9">
      <c r="A4007" s="26" t="s">
        <v>10223</v>
      </c>
      <c r="B4007" s="34" t="s">
        <v>9669</v>
      </c>
      <c r="C4007" s="39"/>
      <c r="D4007" s="26" t="s">
        <v>10246</v>
      </c>
      <c r="E4007" s="39" t="s">
        <v>6395</v>
      </c>
    </row>
    <row r="4008" spans="1:5" ht="13.9">
      <c r="A4008" s="26" t="s">
        <v>10223</v>
      </c>
      <c r="B4008" s="34" t="s">
        <v>9670</v>
      </c>
      <c r="C4008" s="34" t="s">
        <v>9671</v>
      </c>
      <c r="D4008" s="26" t="s">
        <v>10246</v>
      </c>
      <c r="E4008" s="39" t="s">
        <v>6395</v>
      </c>
    </row>
    <row r="4009" spans="1:5" ht="13.9">
      <c r="A4009" s="26" t="s">
        <v>10223</v>
      </c>
      <c r="B4009" s="34" t="s">
        <v>9672</v>
      </c>
      <c r="C4009" s="39"/>
      <c r="D4009" s="26" t="s">
        <v>10246</v>
      </c>
      <c r="E4009" s="39" t="s">
        <v>6395</v>
      </c>
    </row>
    <row r="4010" spans="1:5" ht="13.9">
      <c r="A4010" s="26" t="s">
        <v>10223</v>
      </c>
      <c r="B4010" s="34" t="s">
        <v>1722</v>
      </c>
      <c r="C4010" s="34" t="s">
        <v>9471</v>
      </c>
      <c r="D4010" s="26" t="s">
        <v>10246</v>
      </c>
      <c r="E4010" s="39" t="s">
        <v>6395</v>
      </c>
    </row>
    <row r="4011" spans="1:5" ht="13.9">
      <c r="A4011" s="26" t="s">
        <v>10223</v>
      </c>
      <c r="B4011" s="34" t="s">
        <v>6787</v>
      </c>
      <c r="C4011" s="34" t="s">
        <v>580</v>
      </c>
      <c r="D4011" s="26" t="s">
        <v>10246</v>
      </c>
      <c r="E4011" s="39" t="s">
        <v>6395</v>
      </c>
    </row>
    <row r="4012" spans="1:5" ht="13.9">
      <c r="A4012" s="26" t="s">
        <v>10223</v>
      </c>
      <c r="B4012" s="34" t="s">
        <v>6468</v>
      </c>
      <c r="C4012" s="34" t="s">
        <v>42</v>
      </c>
      <c r="D4012" s="26" t="s">
        <v>10246</v>
      </c>
      <c r="E4012" s="39" t="s">
        <v>6395</v>
      </c>
    </row>
    <row r="4013" spans="1:5" ht="13.9">
      <c r="A4013" s="26" t="s">
        <v>10223</v>
      </c>
      <c r="B4013" s="34" t="s">
        <v>7593</v>
      </c>
      <c r="C4013" s="34" t="s">
        <v>9673</v>
      </c>
      <c r="D4013" s="26" t="s">
        <v>10246</v>
      </c>
      <c r="E4013" s="37" t="s">
        <v>6443</v>
      </c>
    </row>
    <row r="4014" spans="1:5" ht="13.9">
      <c r="A4014" s="26" t="s">
        <v>10223</v>
      </c>
      <c r="B4014" s="34" t="s">
        <v>6918</v>
      </c>
      <c r="C4014" s="39"/>
      <c r="D4014" s="26" t="s">
        <v>10246</v>
      </c>
      <c r="E4014" s="39" t="s">
        <v>6395</v>
      </c>
    </row>
    <row r="4015" spans="1:5" ht="13.9">
      <c r="A4015" s="26" t="s">
        <v>10223</v>
      </c>
      <c r="B4015" s="34" t="s">
        <v>9674</v>
      </c>
      <c r="C4015" s="39"/>
      <c r="D4015" s="26" t="s">
        <v>10246</v>
      </c>
      <c r="E4015" s="39" t="s">
        <v>6443</v>
      </c>
    </row>
    <row r="4016" spans="1:5" ht="13.9">
      <c r="A4016" s="26" t="s">
        <v>10223</v>
      </c>
      <c r="B4016" s="34" t="s">
        <v>9675</v>
      </c>
      <c r="C4016" s="39"/>
      <c r="D4016" s="26" t="s">
        <v>10246</v>
      </c>
      <c r="E4016" s="39" t="s">
        <v>1611</v>
      </c>
    </row>
    <row r="4017" spans="1:5" ht="13.9">
      <c r="A4017" s="26" t="s">
        <v>10223</v>
      </c>
      <c r="B4017" s="34" t="s">
        <v>2547</v>
      </c>
      <c r="C4017" s="39"/>
      <c r="D4017" s="26" t="s">
        <v>10246</v>
      </c>
      <c r="E4017" s="39" t="s">
        <v>6395</v>
      </c>
    </row>
    <row r="4018" spans="1:5" ht="13.9">
      <c r="A4018" s="26" t="s">
        <v>10223</v>
      </c>
      <c r="B4018" s="34" t="s">
        <v>1949</v>
      </c>
      <c r="C4018" s="34" t="s">
        <v>1950</v>
      </c>
      <c r="D4018" s="26" t="s">
        <v>10246</v>
      </c>
      <c r="E4018" s="39" t="s">
        <v>6395</v>
      </c>
    </row>
    <row r="4019" spans="1:5" ht="13.9">
      <c r="A4019" s="26" t="s">
        <v>10223</v>
      </c>
      <c r="B4019" s="34" t="s">
        <v>2927</v>
      </c>
      <c r="C4019" s="34" t="s">
        <v>1351</v>
      </c>
      <c r="D4019" s="26" t="s">
        <v>10246</v>
      </c>
      <c r="E4019" s="39" t="s">
        <v>6395</v>
      </c>
    </row>
    <row r="4020" spans="1:5" ht="13.9">
      <c r="A4020" s="26" t="s">
        <v>10223</v>
      </c>
      <c r="B4020" s="34" t="s">
        <v>9676</v>
      </c>
      <c r="C4020" s="39"/>
      <c r="D4020" s="26" t="s">
        <v>10246</v>
      </c>
      <c r="E4020" s="39" t="s">
        <v>6395</v>
      </c>
    </row>
    <row r="4021" spans="1:5" ht="13.9">
      <c r="A4021" s="26" t="s">
        <v>10223</v>
      </c>
      <c r="B4021" s="34" t="s">
        <v>7092</v>
      </c>
      <c r="C4021" s="39"/>
      <c r="D4021" s="26" t="s">
        <v>10246</v>
      </c>
      <c r="E4021" s="39" t="s">
        <v>6395</v>
      </c>
    </row>
    <row r="4022" spans="1:5" ht="13.9">
      <c r="A4022" s="26" t="s">
        <v>10223</v>
      </c>
      <c r="B4022" s="34" t="s">
        <v>409</v>
      </c>
      <c r="C4022" s="34" t="s">
        <v>410</v>
      </c>
      <c r="D4022" s="26" t="s">
        <v>10246</v>
      </c>
      <c r="E4022" s="39" t="s">
        <v>6395</v>
      </c>
    </row>
    <row r="4023" spans="1:5" ht="13.9">
      <c r="A4023" s="26" t="s">
        <v>10223</v>
      </c>
      <c r="B4023" s="34" t="s">
        <v>7598</v>
      </c>
      <c r="C4023" s="34" t="s">
        <v>9677</v>
      </c>
      <c r="D4023" s="26" t="s">
        <v>10246</v>
      </c>
      <c r="E4023" s="37" t="s">
        <v>6443</v>
      </c>
    </row>
    <row r="4024" spans="1:5" ht="13.9">
      <c r="A4024" s="26" t="s">
        <v>10223</v>
      </c>
      <c r="B4024" s="34" t="s">
        <v>8336</v>
      </c>
      <c r="C4024" s="34" t="s">
        <v>6473</v>
      </c>
      <c r="D4024" s="26" t="s">
        <v>10246</v>
      </c>
      <c r="E4024" s="39" t="s">
        <v>6395</v>
      </c>
    </row>
    <row r="4025" spans="1:5" ht="13.9">
      <c r="A4025" s="26" t="s">
        <v>10223</v>
      </c>
      <c r="B4025" s="34" t="s">
        <v>9678</v>
      </c>
      <c r="C4025" s="34" t="s">
        <v>9679</v>
      </c>
      <c r="D4025" s="26" t="s">
        <v>10246</v>
      </c>
      <c r="E4025" s="37" t="s">
        <v>6395</v>
      </c>
    </row>
    <row r="4026" spans="1:5" ht="13.9">
      <c r="A4026" s="26" t="s">
        <v>10223</v>
      </c>
      <c r="B4026" s="34" t="s">
        <v>9680</v>
      </c>
      <c r="C4026" s="39"/>
      <c r="D4026" s="26" t="s">
        <v>10246</v>
      </c>
      <c r="E4026" s="39" t="s">
        <v>6479</v>
      </c>
    </row>
    <row r="4027" spans="1:5" ht="13.9">
      <c r="A4027" s="26" t="s">
        <v>10223</v>
      </c>
      <c r="B4027" s="34" t="s">
        <v>1044</v>
      </c>
      <c r="C4027" s="34" t="s">
        <v>154</v>
      </c>
      <c r="D4027" s="26" t="s">
        <v>10246</v>
      </c>
      <c r="E4027" s="39" t="s">
        <v>6395</v>
      </c>
    </row>
    <row r="4028" spans="1:5" ht="13.9">
      <c r="A4028" s="26" t="s">
        <v>10223</v>
      </c>
      <c r="B4028" s="34" t="s">
        <v>9681</v>
      </c>
      <c r="C4028" s="39"/>
      <c r="D4028" s="26" t="s">
        <v>10246</v>
      </c>
      <c r="E4028" s="39" t="s">
        <v>6395</v>
      </c>
    </row>
    <row r="4029" spans="1:5" ht="13.9">
      <c r="A4029" s="26" t="s">
        <v>10223</v>
      </c>
      <c r="B4029" s="34" t="s">
        <v>9682</v>
      </c>
      <c r="C4029" s="34" t="s">
        <v>9683</v>
      </c>
      <c r="D4029" s="26" t="s">
        <v>10246</v>
      </c>
      <c r="E4029" s="37" t="s">
        <v>10225</v>
      </c>
    </row>
    <row r="4030" spans="1:5" ht="13.9">
      <c r="A4030" s="26" t="s">
        <v>10223</v>
      </c>
      <c r="B4030" s="34" t="s">
        <v>9684</v>
      </c>
      <c r="C4030" s="34" t="s">
        <v>524</v>
      </c>
      <c r="D4030" s="26" t="s">
        <v>10246</v>
      </c>
      <c r="E4030" s="39" t="s">
        <v>6395</v>
      </c>
    </row>
    <row r="4031" spans="1:5" ht="13.9">
      <c r="A4031" s="26" t="s">
        <v>10223</v>
      </c>
      <c r="B4031" s="34" t="s">
        <v>8710</v>
      </c>
      <c r="C4031" s="39"/>
      <c r="D4031" s="26" t="s">
        <v>10246</v>
      </c>
      <c r="E4031" s="39">
        <v>0</v>
      </c>
    </row>
    <row r="4032" spans="1:5" ht="13.9">
      <c r="A4032" s="26" t="s">
        <v>10223</v>
      </c>
      <c r="B4032" s="34" t="s">
        <v>9685</v>
      </c>
      <c r="C4032" s="39"/>
      <c r="D4032" s="26" t="s">
        <v>10246</v>
      </c>
      <c r="E4032" s="39" t="s">
        <v>6395</v>
      </c>
    </row>
    <row r="4033" spans="1:5" ht="13.9">
      <c r="A4033" s="26" t="s">
        <v>10223</v>
      </c>
      <c r="B4033" s="34" t="s">
        <v>9686</v>
      </c>
      <c r="C4033" s="34" t="s">
        <v>9687</v>
      </c>
      <c r="D4033" s="26" t="s">
        <v>10246</v>
      </c>
      <c r="E4033" s="39" t="s">
        <v>6395</v>
      </c>
    </row>
    <row r="4034" spans="1:5" ht="13.9">
      <c r="A4034" s="26" t="s">
        <v>10223</v>
      </c>
      <c r="B4034" s="34" t="s">
        <v>9688</v>
      </c>
      <c r="C4034" s="34" t="s">
        <v>9689</v>
      </c>
      <c r="D4034" s="26" t="s">
        <v>10246</v>
      </c>
      <c r="E4034" s="37" t="s">
        <v>6395</v>
      </c>
    </row>
    <row r="4035" spans="1:5" ht="13.9">
      <c r="A4035" s="26" t="s">
        <v>10223</v>
      </c>
      <c r="B4035" s="34" t="s">
        <v>2751</v>
      </c>
      <c r="C4035" s="39"/>
      <c r="D4035" s="26" t="s">
        <v>10246</v>
      </c>
      <c r="E4035" s="39" t="s">
        <v>6395</v>
      </c>
    </row>
    <row r="4036" spans="1:5" ht="13.9">
      <c r="A4036" s="26" t="s">
        <v>10223</v>
      </c>
      <c r="B4036" s="34" t="s">
        <v>9690</v>
      </c>
      <c r="C4036" s="34" t="s">
        <v>721</v>
      </c>
      <c r="D4036" s="26" t="s">
        <v>10246</v>
      </c>
      <c r="E4036" s="39" t="s">
        <v>6395</v>
      </c>
    </row>
    <row r="4037" spans="1:5" ht="13.9">
      <c r="A4037" s="26" t="s">
        <v>10223</v>
      </c>
      <c r="B4037" s="34" t="s">
        <v>2116</v>
      </c>
      <c r="C4037" s="34" t="s">
        <v>776</v>
      </c>
      <c r="D4037" s="26" t="s">
        <v>10246</v>
      </c>
      <c r="E4037" s="39" t="s">
        <v>6395</v>
      </c>
    </row>
    <row r="4038" spans="1:5" ht="13.9">
      <c r="A4038" s="26" t="s">
        <v>10223</v>
      </c>
      <c r="B4038" s="34" t="s">
        <v>6954</v>
      </c>
      <c r="C4038" s="39"/>
      <c r="D4038" s="26" t="s">
        <v>10246</v>
      </c>
      <c r="E4038" s="39" t="s">
        <v>6395</v>
      </c>
    </row>
    <row r="4039" spans="1:5" ht="13.9">
      <c r="A4039" s="26" t="s">
        <v>10223</v>
      </c>
      <c r="B4039" s="34" t="s">
        <v>1674</v>
      </c>
      <c r="C4039" s="34" t="s">
        <v>1675</v>
      </c>
      <c r="D4039" s="26" t="s">
        <v>10246</v>
      </c>
      <c r="E4039" s="39" t="s">
        <v>6395</v>
      </c>
    </row>
    <row r="4040" spans="1:5" ht="13.9">
      <c r="A4040" s="26" t="s">
        <v>10223</v>
      </c>
      <c r="B4040" s="34" t="s">
        <v>9691</v>
      </c>
      <c r="C4040" s="39"/>
      <c r="D4040" s="26" t="s">
        <v>10246</v>
      </c>
      <c r="E4040" s="39">
        <v>0</v>
      </c>
    </row>
    <row r="4041" spans="1:5" ht="13.9">
      <c r="A4041" s="26" t="s">
        <v>10223</v>
      </c>
      <c r="B4041" s="34" t="s">
        <v>9692</v>
      </c>
      <c r="C4041" s="39"/>
      <c r="D4041" s="26" t="s">
        <v>10246</v>
      </c>
      <c r="E4041" s="39" t="s">
        <v>6395</v>
      </c>
    </row>
    <row r="4042" spans="1:5" ht="13.9">
      <c r="A4042" s="26" t="s">
        <v>10223</v>
      </c>
      <c r="B4042" s="34" t="s">
        <v>9693</v>
      </c>
      <c r="C4042" s="34" t="s">
        <v>9694</v>
      </c>
      <c r="D4042" s="26" t="s">
        <v>10246</v>
      </c>
      <c r="E4042" s="39" t="s">
        <v>6395</v>
      </c>
    </row>
    <row r="4043" spans="1:5" ht="13.9">
      <c r="A4043" s="26" t="s">
        <v>10223</v>
      </c>
      <c r="B4043" s="34" t="s">
        <v>2520</v>
      </c>
      <c r="C4043" s="39"/>
      <c r="D4043" s="26" t="s">
        <v>10246</v>
      </c>
      <c r="E4043" s="39" t="s">
        <v>6395</v>
      </c>
    </row>
    <row r="4044" spans="1:5" ht="13.9">
      <c r="A4044" s="26" t="s">
        <v>10223</v>
      </c>
      <c r="B4044" s="34" t="s">
        <v>9695</v>
      </c>
      <c r="C4044" s="34" t="s">
        <v>6832</v>
      </c>
      <c r="D4044" s="26" t="s">
        <v>10246</v>
      </c>
      <c r="E4044" s="39" t="s">
        <v>6395</v>
      </c>
    </row>
    <row r="4045" spans="1:5" ht="13.9">
      <c r="A4045" s="26" t="s">
        <v>10223</v>
      </c>
      <c r="B4045" s="34" t="s">
        <v>6964</v>
      </c>
      <c r="C4045" s="39"/>
      <c r="D4045" s="26" t="s">
        <v>10246</v>
      </c>
      <c r="E4045" s="39" t="s">
        <v>6395</v>
      </c>
    </row>
    <row r="4046" spans="1:5" ht="13.9">
      <c r="A4046" s="26" t="s">
        <v>10223</v>
      </c>
      <c r="B4046" s="34" t="s">
        <v>6475</v>
      </c>
      <c r="C4046" s="34" t="s">
        <v>6473</v>
      </c>
      <c r="D4046" s="26" t="s">
        <v>10246</v>
      </c>
      <c r="E4046" s="39" t="s">
        <v>6395</v>
      </c>
    </row>
    <row r="4047" spans="1:5" ht="13.9">
      <c r="A4047" s="26" t="s">
        <v>10223</v>
      </c>
      <c r="B4047" s="34" t="s">
        <v>3005</v>
      </c>
      <c r="C4047" s="34" t="s">
        <v>782</v>
      </c>
      <c r="D4047" s="26" t="s">
        <v>10246</v>
      </c>
      <c r="E4047" s="39" t="s">
        <v>6395</v>
      </c>
    </row>
    <row r="4048" spans="1:5" ht="13.9">
      <c r="A4048" s="26" t="s">
        <v>10223</v>
      </c>
      <c r="B4048" s="34" t="s">
        <v>9696</v>
      </c>
      <c r="C4048" s="39"/>
      <c r="D4048" s="26" t="s">
        <v>10246</v>
      </c>
      <c r="E4048" s="39" t="s">
        <v>6395</v>
      </c>
    </row>
    <row r="4049" spans="1:5" ht="13.9">
      <c r="A4049" s="26" t="s">
        <v>10223</v>
      </c>
      <c r="B4049" s="34" t="s">
        <v>6424</v>
      </c>
      <c r="C4049" s="39"/>
      <c r="D4049" s="26" t="s">
        <v>10246</v>
      </c>
      <c r="E4049" s="39" t="s">
        <v>6395</v>
      </c>
    </row>
    <row r="4050" spans="1:5" ht="13.9">
      <c r="A4050" s="26" t="s">
        <v>10223</v>
      </c>
      <c r="B4050" s="34" t="s">
        <v>6852</v>
      </c>
      <c r="C4050" s="34" t="s">
        <v>154</v>
      </c>
      <c r="D4050" s="26" t="s">
        <v>10246</v>
      </c>
      <c r="E4050" s="39" t="s">
        <v>10225</v>
      </c>
    </row>
    <row r="4051" spans="1:5" ht="13.9">
      <c r="A4051" s="26" t="s">
        <v>10223</v>
      </c>
      <c r="B4051" s="34" t="s">
        <v>9697</v>
      </c>
      <c r="C4051" s="34" t="s">
        <v>27</v>
      </c>
      <c r="D4051" s="26" t="s">
        <v>10246</v>
      </c>
      <c r="E4051" s="39" t="s">
        <v>6395</v>
      </c>
    </row>
    <row r="4052" spans="1:5" ht="13.9">
      <c r="A4052" s="26" t="s">
        <v>10223</v>
      </c>
      <c r="B4052" s="34" t="s">
        <v>9698</v>
      </c>
      <c r="C4052" s="39"/>
      <c r="D4052" s="26" t="s">
        <v>10246</v>
      </c>
      <c r="E4052" s="39" t="s">
        <v>6395</v>
      </c>
    </row>
    <row r="4053" spans="1:5" ht="13.9">
      <c r="A4053" s="26" t="s">
        <v>10223</v>
      </c>
      <c r="B4053" s="34" t="s">
        <v>7613</v>
      </c>
      <c r="C4053" s="34" t="s">
        <v>9699</v>
      </c>
      <c r="D4053" s="26" t="s">
        <v>10246</v>
      </c>
      <c r="E4053" s="39" t="s">
        <v>6395</v>
      </c>
    </row>
    <row r="4054" spans="1:5" ht="13.9">
      <c r="A4054" s="26" t="s">
        <v>10223</v>
      </c>
      <c r="B4054" s="34" t="s">
        <v>3352</v>
      </c>
      <c r="C4054" s="34" t="s">
        <v>1331</v>
      </c>
      <c r="D4054" s="26" t="s">
        <v>10246</v>
      </c>
      <c r="E4054" s="39" t="s">
        <v>6395</v>
      </c>
    </row>
    <row r="4055" spans="1:5" ht="13.9">
      <c r="A4055" s="26" t="s">
        <v>10223</v>
      </c>
      <c r="B4055" s="34" t="s">
        <v>9700</v>
      </c>
      <c r="C4055" s="34" t="s">
        <v>1250</v>
      </c>
      <c r="D4055" s="26" t="s">
        <v>10246</v>
      </c>
      <c r="E4055" s="39" t="s">
        <v>6395</v>
      </c>
    </row>
    <row r="4056" spans="1:5" ht="13.9">
      <c r="A4056" s="26" t="s">
        <v>10223</v>
      </c>
      <c r="B4056" s="34" t="s">
        <v>3947</v>
      </c>
      <c r="C4056" s="39"/>
      <c r="D4056" s="26" t="s">
        <v>10246</v>
      </c>
      <c r="E4056" s="39" t="s">
        <v>6395</v>
      </c>
    </row>
    <row r="4057" spans="1:5" ht="13.9">
      <c r="A4057" s="26" t="s">
        <v>10223</v>
      </c>
      <c r="B4057" s="34" t="s">
        <v>8843</v>
      </c>
      <c r="C4057" s="39"/>
      <c r="D4057" s="26" t="s">
        <v>10246</v>
      </c>
      <c r="E4057" s="39" t="s">
        <v>6395</v>
      </c>
    </row>
    <row r="4058" spans="1:5" ht="13.9">
      <c r="A4058" s="26" t="s">
        <v>10223</v>
      </c>
      <c r="B4058" s="34" t="s">
        <v>9701</v>
      </c>
      <c r="C4058" s="34" t="s">
        <v>2020</v>
      </c>
      <c r="D4058" s="26" t="s">
        <v>10246</v>
      </c>
      <c r="E4058" s="39" t="s">
        <v>6395</v>
      </c>
    </row>
    <row r="4059" spans="1:5" ht="13.9">
      <c r="A4059" s="26" t="s">
        <v>10223</v>
      </c>
      <c r="B4059" s="34" t="s">
        <v>6719</v>
      </c>
      <c r="C4059" s="34" t="s">
        <v>6718</v>
      </c>
      <c r="D4059" s="26" t="s">
        <v>10246</v>
      </c>
      <c r="E4059" s="39" t="s">
        <v>6395</v>
      </c>
    </row>
    <row r="4060" spans="1:5" ht="13.9">
      <c r="A4060" s="26" t="s">
        <v>10223</v>
      </c>
      <c r="B4060" s="34" t="s">
        <v>9702</v>
      </c>
      <c r="C4060" s="39"/>
      <c r="D4060" s="26" t="s">
        <v>10246</v>
      </c>
      <c r="E4060" s="39" t="s">
        <v>6395</v>
      </c>
    </row>
    <row r="4061" spans="1:5" ht="13.9">
      <c r="A4061" s="26" t="s">
        <v>10223</v>
      </c>
      <c r="B4061" s="34" t="s">
        <v>1853</v>
      </c>
      <c r="C4061" s="39"/>
      <c r="D4061" s="26" t="s">
        <v>10246</v>
      </c>
      <c r="E4061" s="39" t="s">
        <v>6395</v>
      </c>
    </row>
    <row r="4062" spans="1:5" ht="13.9">
      <c r="A4062" s="26" t="s">
        <v>10223</v>
      </c>
      <c r="B4062" s="34" t="s">
        <v>3339</v>
      </c>
      <c r="C4062" s="34" t="s">
        <v>154</v>
      </c>
      <c r="D4062" s="26" t="s">
        <v>10246</v>
      </c>
      <c r="E4062" s="39" t="s">
        <v>6395</v>
      </c>
    </row>
    <row r="4063" spans="1:5" ht="13.9">
      <c r="A4063" s="26" t="s">
        <v>10223</v>
      </c>
      <c r="B4063" s="34" t="s">
        <v>2565</v>
      </c>
      <c r="C4063" s="34" t="s">
        <v>679</v>
      </c>
      <c r="D4063" s="26" t="s">
        <v>10246</v>
      </c>
      <c r="E4063" s="39" t="s">
        <v>6395</v>
      </c>
    </row>
    <row r="4064" spans="1:5" ht="13.9">
      <c r="A4064" s="26" t="s">
        <v>10223</v>
      </c>
      <c r="B4064" s="34" t="s">
        <v>8340</v>
      </c>
      <c r="C4064" s="39"/>
      <c r="D4064" s="26" t="s">
        <v>10246</v>
      </c>
      <c r="E4064" s="39" t="s">
        <v>6395</v>
      </c>
    </row>
    <row r="4065" spans="1:5" ht="13.9">
      <c r="A4065" s="26" t="s">
        <v>10223</v>
      </c>
      <c r="B4065" s="34" t="s">
        <v>9703</v>
      </c>
      <c r="C4065" s="34" t="s">
        <v>8512</v>
      </c>
      <c r="D4065" s="26" t="s">
        <v>10246</v>
      </c>
      <c r="E4065" s="39" t="s">
        <v>6395</v>
      </c>
    </row>
    <row r="4066" spans="1:5" ht="13.9">
      <c r="A4066" s="26" t="s">
        <v>10223</v>
      </c>
      <c r="B4066" s="34" t="s">
        <v>9704</v>
      </c>
      <c r="C4066" s="39"/>
      <c r="D4066" s="26" t="s">
        <v>10246</v>
      </c>
      <c r="E4066" s="39" t="s">
        <v>6395</v>
      </c>
    </row>
    <row r="4067" spans="1:5" ht="13.9">
      <c r="A4067" s="26" t="s">
        <v>10223</v>
      </c>
      <c r="B4067" s="34" t="s">
        <v>3161</v>
      </c>
      <c r="C4067" s="39"/>
      <c r="D4067" s="26" t="s">
        <v>10246</v>
      </c>
      <c r="E4067" s="39" t="s">
        <v>6395</v>
      </c>
    </row>
    <row r="4068" spans="1:5" ht="13.9">
      <c r="A4068" s="26" t="s">
        <v>10223</v>
      </c>
      <c r="B4068" s="34" t="s">
        <v>3222</v>
      </c>
      <c r="C4068" s="34" t="s">
        <v>154</v>
      </c>
      <c r="D4068" s="26" t="s">
        <v>10246</v>
      </c>
      <c r="E4068" s="39" t="s">
        <v>6395</v>
      </c>
    </row>
    <row r="4069" spans="1:5" ht="13.9">
      <c r="A4069" s="26" t="s">
        <v>10223</v>
      </c>
      <c r="B4069" s="34" t="s">
        <v>9705</v>
      </c>
      <c r="C4069" s="39"/>
      <c r="D4069" s="26" t="s">
        <v>10246</v>
      </c>
      <c r="E4069" s="39">
        <v>0</v>
      </c>
    </row>
    <row r="4070" spans="1:5" ht="13.9">
      <c r="A4070" s="26" t="s">
        <v>10223</v>
      </c>
      <c r="B4070" s="34" t="s">
        <v>2380</v>
      </c>
      <c r="C4070" s="39"/>
      <c r="D4070" s="26" t="s">
        <v>10246</v>
      </c>
      <c r="E4070" s="39" t="s">
        <v>6395</v>
      </c>
    </row>
    <row r="4071" spans="1:5" ht="13.9">
      <c r="A4071" s="26" t="s">
        <v>10223</v>
      </c>
      <c r="B4071" s="34" t="s">
        <v>7625</v>
      </c>
      <c r="C4071" s="34" t="s">
        <v>7626</v>
      </c>
      <c r="D4071" s="26" t="s">
        <v>10246</v>
      </c>
      <c r="E4071" s="39" t="s">
        <v>6395</v>
      </c>
    </row>
    <row r="4072" spans="1:5" ht="13.9">
      <c r="A4072" s="26" t="s">
        <v>10223</v>
      </c>
      <c r="B4072" s="34" t="s">
        <v>9706</v>
      </c>
      <c r="C4072" s="39"/>
      <c r="D4072" s="26" t="s">
        <v>10246</v>
      </c>
      <c r="E4072" s="39" t="s">
        <v>6395</v>
      </c>
    </row>
    <row r="4073" spans="1:5" ht="13.9">
      <c r="A4073" s="26" t="s">
        <v>10223</v>
      </c>
      <c r="B4073" s="34" t="s">
        <v>9707</v>
      </c>
      <c r="C4073" s="39"/>
      <c r="D4073" s="26" t="s">
        <v>10246</v>
      </c>
      <c r="E4073" s="39" t="s">
        <v>6395</v>
      </c>
    </row>
    <row r="4074" spans="1:5" ht="13.9">
      <c r="A4074" s="26" t="s">
        <v>10223</v>
      </c>
      <c r="B4074" s="34" t="s">
        <v>834</v>
      </c>
      <c r="C4074" s="39"/>
      <c r="D4074" s="26" t="s">
        <v>10246</v>
      </c>
      <c r="E4074" s="39" t="s">
        <v>6443</v>
      </c>
    </row>
    <row r="4075" spans="1:5" ht="13.9">
      <c r="A4075" s="26" t="s">
        <v>10223</v>
      </c>
      <c r="B4075" s="34" t="s">
        <v>7191</v>
      </c>
      <c r="C4075" s="34" t="s">
        <v>42</v>
      </c>
      <c r="D4075" s="26" t="s">
        <v>10246</v>
      </c>
      <c r="E4075" s="39" t="s">
        <v>6395</v>
      </c>
    </row>
    <row r="4076" spans="1:5" ht="13.9">
      <c r="A4076" s="26" t="s">
        <v>10223</v>
      </c>
      <c r="B4076" s="34" t="s">
        <v>3347</v>
      </c>
      <c r="C4076" s="39"/>
      <c r="D4076" s="26" t="s">
        <v>10246</v>
      </c>
      <c r="E4076" s="39" t="s">
        <v>6395</v>
      </c>
    </row>
    <row r="4077" spans="1:5" ht="13.9">
      <c r="A4077" s="26" t="s">
        <v>10223</v>
      </c>
      <c r="B4077" s="34" t="s">
        <v>9708</v>
      </c>
      <c r="C4077" s="39"/>
      <c r="D4077" s="26" t="s">
        <v>10246</v>
      </c>
      <c r="E4077" s="39" t="s">
        <v>6395</v>
      </c>
    </row>
    <row r="4078" spans="1:5" ht="13.9">
      <c r="A4078" s="26" t="s">
        <v>10223</v>
      </c>
      <c r="B4078" s="34" t="s">
        <v>1806</v>
      </c>
      <c r="C4078" s="34" t="s">
        <v>9709</v>
      </c>
      <c r="D4078" s="26" t="s">
        <v>10246</v>
      </c>
      <c r="E4078" s="37" t="s">
        <v>6443</v>
      </c>
    </row>
    <row r="4079" spans="1:5" ht="13.9">
      <c r="A4079" s="26" t="s">
        <v>10223</v>
      </c>
      <c r="B4079" s="34" t="s">
        <v>8580</v>
      </c>
      <c r="C4079" s="39"/>
      <c r="D4079" s="26" t="s">
        <v>10246</v>
      </c>
      <c r="E4079" s="39" t="s">
        <v>6395</v>
      </c>
    </row>
    <row r="4080" spans="1:5" ht="13.9">
      <c r="A4080" s="26" t="s">
        <v>10223</v>
      </c>
      <c r="B4080" s="34" t="s">
        <v>9710</v>
      </c>
      <c r="C4080" s="34" t="s">
        <v>9711</v>
      </c>
      <c r="D4080" s="26" t="s">
        <v>10246</v>
      </c>
      <c r="E4080" s="39" t="s">
        <v>6395</v>
      </c>
    </row>
    <row r="4081" spans="1:5" ht="13.9">
      <c r="A4081" s="26" t="s">
        <v>10223</v>
      </c>
      <c r="B4081" s="34" t="s">
        <v>7635</v>
      </c>
      <c r="C4081" s="34" t="s">
        <v>9712</v>
      </c>
      <c r="D4081" s="26" t="s">
        <v>10246</v>
      </c>
      <c r="E4081" s="37" t="s">
        <v>6479</v>
      </c>
    </row>
    <row r="4082" spans="1:5" ht="13.9">
      <c r="A4082" s="26" t="s">
        <v>10223</v>
      </c>
      <c r="B4082" s="34" t="s">
        <v>9713</v>
      </c>
      <c r="C4082" s="39"/>
      <c r="D4082" s="26" t="s">
        <v>10246</v>
      </c>
      <c r="E4082" s="39" t="s">
        <v>6395</v>
      </c>
    </row>
    <row r="4083" spans="1:5" ht="13.9">
      <c r="A4083" s="26" t="s">
        <v>10223</v>
      </c>
      <c r="B4083" s="34" t="s">
        <v>3342</v>
      </c>
      <c r="C4083" s="34" t="s">
        <v>1331</v>
      </c>
      <c r="D4083" s="26" t="s">
        <v>10246</v>
      </c>
      <c r="E4083" s="39" t="s">
        <v>6395</v>
      </c>
    </row>
    <row r="4084" spans="1:5" ht="13.9">
      <c r="A4084" s="26" t="s">
        <v>10223</v>
      </c>
      <c r="B4084" s="34" t="s">
        <v>9714</v>
      </c>
      <c r="C4084" s="39"/>
      <c r="D4084" s="26" t="s">
        <v>10246</v>
      </c>
      <c r="E4084" s="39" t="s">
        <v>6395</v>
      </c>
    </row>
    <row r="4085" spans="1:5" ht="13.9">
      <c r="A4085" s="26" t="s">
        <v>10223</v>
      </c>
      <c r="B4085" s="34" t="s">
        <v>208</v>
      </c>
      <c r="C4085" s="34" t="s">
        <v>209</v>
      </c>
      <c r="D4085" s="26" t="s">
        <v>10246</v>
      </c>
      <c r="E4085" s="39" t="s">
        <v>6443</v>
      </c>
    </row>
    <row r="4086" spans="1:5" ht="13.9">
      <c r="A4086" s="26" t="s">
        <v>10223</v>
      </c>
      <c r="B4086" s="34" t="s">
        <v>7637</v>
      </c>
      <c r="C4086" s="39"/>
      <c r="D4086" s="26" t="s">
        <v>10246</v>
      </c>
      <c r="E4086" s="39" t="s">
        <v>6395</v>
      </c>
    </row>
    <row r="4087" spans="1:5" ht="13.9">
      <c r="A4087" s="26" t="s">
        <v>10223</v>
      </c>
      <c r="B4087" s="34" t="s">
        <v>633</v>
      </c>
      <c r="C4087" s="34" t="s">
        <v>154</v>
      </c>
      <c r="D4087" s="26" t="s">
        <v>10246</v>
      </c>
      <c r="E4087" s="39" t="s">
        <v>6395</v>
      </c>
    </row>
    <row r="4088" spans="1:5" ht="13.9">
      <c r="A4088" s="26" t="s">
        <v>10223</v>
      </c>
      <c r="B4088" s="34" t="s">
        <v>1296</v>
      </c>
      <c r="C4088" s="34" t="s">
        <v>6389</v>
      </c>
      <c r="D4088" s="26" t="s">
        <v>10246</v>
      </c>
      <c r="E4088" s="39" t="s">
        <v>6443</v>
      </c>
    </row>
    <row r="4089" spans="1:5" ht="13.9">
      <c r="A4089" s="26" t="s">
        <v>10223</v>
      </c>
      <c r="B4089" s="34" t="s">
        <v>9715</v>
      </c>
      <c r="C4089" s="39"/>
      <c r="D4089" s="26" t="s">
        <v>10246</v>
      </c>
      <c r="E4089" s="39" t="s">
        <v>6395</v>
      </c>
    </row>
    <row r="4090" spans="1:5" ht="13.9">
      <c r="A4090" s="26" t="s">
        <v>10223</v>
      </c>
      <c r="B4090" s="34" t="s">
        <v>9716</v>
      </c>
      <c r="C4090" s="34" t="s">
        <v>1744</v>
      </c>
      <c r="D4090" s="26" t="s">
        <v>10246</v>
      </c>
      <c r="E4090" s="39" t="s">
        <v>6395</v>
      </c>
    </row>
    <row r="4091" spans="1:5" ht="13.9">
      <c r="A4091" s="26" t="s">
        <v>10223</v>
      </c>
      <c r="B4091" s="34" t="s">
        <v>3147</v>
      </c>
      <c r="C4091" s="34" t="s">
        <v>9717</v>
      </c>
      <c r="D4091" s="26" t="s">
        <v>10246</v>
      </c>
      <c r="E4091" s="37" t="s">
        <v>6443</v>
      </c>
    </row>
    <row r="4092" spans="1:5" ht="13.9">
      <c r="A4092" s="26" t="s">
        <v>10223</v>
      </c>
      <c r="B4092" s="34" t="s">
        <v>9718</v>
      </c>
      <c r="C4092" s="39"/>
      <c r="D4092" s="26" t="s">
        <v>10246</v>
      </c>
      <c r="E4092" s="39" t="s">
        <v>6411</v>
      </c>
    </row>
    <row r="4093" spans="1:5" ht="13.9">
      <c r="A4093" s="26" t="s">
        <v>10223</v>
      </c>
      <c r="B4093" s="34" t="s">
        <v>9719</v>
      </c>
      <c r="C4093" s="34" t="s">
        <v>9720</v>
      </c>
      <c r="D4093" s="26" t="s">
        <v>10246</v>
      </c>
      <c r="E4093" s="37" t="s">
        <v>6395</v>
      </c>
    </row>
    <row r="4094" spans="1:5" ht="13.9">
      <c r="A4094" s="26" t="s">
        <v>10223</v>
      </c>
      <c r="B4094" s="34" t="s">
        <v>816</v>
      </c>
      <c r="C4094" s="34" t="s">
        <v>154</v>
      </c>
      <c r="D4094" s="26" t="s">
        <v>10246</v>
      </c>
      <c r="E4094" s="39" t="s">
        <v>6395</v>
      </c>
    </row>
    <row r="4095" spans="1:5" ht="13.9">
      <c r="A4095" s="26" t="s">
        <v>10223</v>
      </c>
      <c r="B4095" s="34" t="s">
        <v>9721</v>
      </c>
      <c r="C4095" s="39"/>
      <c r="D4095" s="26" t="s">
        <v>10246</v>
      </c>
      <c r="E4095" s="39" t="s">
        <v>6395</v>
      </c>
    </row>
    <row r="4096" spans="1:5" ht="13.9">
      <c r="A4096" s="26" t="s">
        <v>10223</v>
      </c>
      <c r="B4096" s="34" t="s">
        <v>7641</v>
      </c>
      <c r="C4096" s="34" t="s">
        <v>227</v>
      </c>
      <c r="D4096" s="26" t="s">
        <v>10246</v>
      </c>
      <c r="E4096" s="39" t="s">
        <v>6395</v>
      </c>
    </row>
    <row r="4097" spans="1:5" ht="13.9">
      <c r="A4097" s="26" t="s">
        <v>10223</v>
      </c>
      <c r="B4097" s="34" t="s">
        <v>8122</v>
      </c>
      <c r="C4097" s="34" t="s">
        <v>541</v>
      </c>
      <c r="D4097" s="26" t="s">
        <v>10246</v>
      </c>
      <c r="E4097" s="39" t="s">
        <v>6395</v>
      </c>
    </row>
    <row r="4098" spans="1:5" ht="13.9">
      <c r="A4098" s="26" t="s">
        <v>10223</v>
      </c>
      <c r="B4098" s="34" t="s">
        <v>9722</v>
      </c>
      <c r="C4098" s="39"/>
      <c r="D4098" s="26" t="s">
        <v>10246</v>
      </c>
      <c r="E4098" s="39" t="s">
        <v>6395</v>
      </c>
    </row>
    <row r="4099" spans="1:5" ht="13.9">
      <c r="A4099" s="26" t="s">
        <v>10223</v>
      </c>
      <c r="B4099" s="34" t="s">
        <v>2100</v>
      </c>
      <c r="C4099" s="34" t="s">
        <v>9723</v>
      </c>
      <c r="D4099" s="26" t="s">
        <v>10246</v>
      </c>
      <c r="E4099" s="39" t="s">
        <v>6395</v>
      </c>
    </row>
    <row r="4100" spans="1:5" ht="13.9">
      <c r="A4100" s="26" t="s">
        <v>10223</v>
      </c>
      <c r="B4100" s="34" t="s">
        <v>8352</v>
      </c>
      <c r="C4100" s="34" t="s">
        <v>8353</v>
      </c>
      <c r="D4100" s="26" t="s">
        <v>10246</v>
      </c>
      <c r="E4100" s="39" t="s">
        <v>1611</v>
      </c>
    </row>
    <row r="4101" spans="1:5" ht="13.9">
      <c r="A4101" s="26" t="s">
        <v>10223</v>
      </c>
      <c r="B4101" s="34" t="s">
        <v>9724</v>
      </c>
      <c r="C4101" s="34" t="s">
        <v>8887</v>
      </c>
      <c r="D4101" s="26" t="s">
        <v>10246</v>
      </c>
      <c r="E4101" s="39" t="s">
        <v>6395</v>
      </c>
    </row>
    <row r="4102" spans="1:5" ht="13.9">
      <c r="A4102" s="26" t="s">
        <v>10223</v>
      </c>
      <c r="B4102" s="34" t="s">
        <v>8781</v>
      </c>
      <c r="C4102" s="39"/>
      <c r="D4102" s="26" t="s">
        <v>10246</v>
      </c>
      <c r="E4102" s="39" t="s">
        <v>6395</v>
      </c>
    </row>
    <row r="4103" spans="1:5" ht="13.9">
      <c r="A4103" s="26" t="s">
        <v>10223</v>
      </c>
      <c r="B4103" s="34" t="s">
        <v>8771</v>
      </c>
      <c r="C4103" s="34" t="s">
        <v>8772</v>
      </c>
      <c r="D4103" s="26" t="s">
        <v>10246</v>
      </c>
      <c r="E4103" s="39" t="s">
        <v>6395</v>
      </c>
    </row>
    <row r="4104" spans="1:5" ht="13.9">
      <c r="A4104" s="26" t="s">
        <v>10223</v>
      </c>
      <c r="B4104" s="34" t="s">
        <v>9725</v>
      </c>
      <c r="C4104" s="39"/>
      <c r="D4104" s="26" t="s">
        <v>10246</v>
      </c>
      <c r="E4104" s="39" t="s">
        <v>6395</v>
      </c>
    </row>
    <row r="4105" spans="1:5" ht="13.9">
      <c r="A4105" s="26" t="s">
        <v>10223</v>
      </c>
      <c r="B4105" s="34" t="s">
        <v>3176</v>
      </c>
      <c r="C4105" s="34" t="s">
        <v>154</v>
      </c>
      <c r="D4105" s="26" t="s">
        <v>10246</v>
      </c>
      <c r="E4105" s="39" t="s">
        <v>6395</v>
      </c>
    </row>
    <row r="4106" spans="1:5" ht="13.9">
      <c r="A4106" s="26" t="s">
        <v>10223</v>
      </c>
      <c r="B4106" s="34" t="s">
        <v>9726</v>
      </c>
      <c r="C4106" s="39"/>
      <c r="D4106" s="26" t="s">
        <v>10246</v>
      </c>
      <c r="E4106" s="39" t="s">
        <v>6395</v>
      </c>
    </row>
    <row r="4107" spans="1:5" ht="13.9">
      <c r="A4107" s="26" t="s">
        <v>10223</v>
      </c>
      <c r="B4107" s="34" t="s">
        <v>6951</v>
      </c>
      <c r="C4107" s="34" t="s">
        <v>9727</v>
      </c>
      <c r="D4107" s="26" t="s">
        <v>10246</v>
      </c>
      <c r="E4107" s="37" t="s">
        <v>6395</v>
      </c>
    </row>
    <row r="4108" spans="1:5" ht="13.9">
      <c r="A4108" s="26" t="s">
        <v>10223</v>
      </c>
      <c r="B4108" s="34" t="s">
        <v>6567</v>
      </c>
      <c r="C4108" s="39"/>
      <c r="D4108" s="26" t="s">
        <v>10246</v>
      </c>
      <c r="E4108" s="39" t="s">
        <v>6395</v>
      </c>
    </row>
    <row r="4109" spans="1:5" ht="13.9">
      <c r="A4109" s="26" t="s">
        <v>10223</v>
      </c>
      <c r="B4109" s="34" t="s">
        <v>9728</v>
      </c>
      <c r="C4109" s="34" t="s">
        <v>679</v>
      </c>
      <c r="D4109" s="26" t="s">
        <v>10246</v>
      </c>
      <c r="E4109" s="39" t="s">
        <v>6395</v>
      </c>
    </row>
    <row r="4110" spans="1:5" ht="13.9">
      <c r="A4110" s="26" t="s">
        <v>10223</v>
      </c>
      <c r="B4110" s="34" t="s">
        <v>6556</v>
      </c>
      <c r="C4110" s="34" t="s">
        <v>6555</v>
      </c>
      <c r="D4110" s="26" t="s">
        <v>10246</v>
      </c>
      <c r="E4110" s="39" t="s">
        <v>6395</v>
      </c>
    </row>
    <row r="4111" spans="1:5" ht="13.9">
      <c r="A4111" s="26" t="s">
        <v>10223</v>
      </c>
      <c r="B4111" s="34" t="s">
        <v>36</v>
      </c>
      <c r="C4111" s="34" t="s">
        <v>37</v>
      </c>
      <c r="D4111" s="26" t="s">
        <v>10246</v>
      </c>
      <c r="E4111" s="39" t="s">
        <v>6395</v>
      </c>
    </row>
    <row r="4112" spans="1:5" ht="13.9">
      <c r="A4112" s="26" t="s">
        <v>10223</v>
      </c>
      <c r="B4112" s="34" t="s">
        <v>7311</v>
      </c>
      <c r="C4112" s="39"/>
      <c r="D4112" s="26" t="s">
        <v>10246</v>
      </c>
      <c r="E4112" s="39" t="s">
        <v>6395</v>
      </c>
    </row>
    <row r="4113" spans="1:5" ht="13.9">
      <c r="A4113" s="26" t="s">
        <v>10223</v>
      </c>
      <c r="B4113" s="34" t="s">
        <v>8355</v>
      </c>
      <c r="C4113" s="34" t="s">
        <v>9729</v>
      </c>
      <c r="D4113" s="26" t="s">
        <v>10246</v>
      </c>
      <c r="E4113" s="39" t="s">
        <v>6395</v>
      </c>
    </row>
    <row r="4114" spans="1:5" ht="13.9">
      <c r="A4114" s="26" t="s">
        <v>10223</v>
      </c>
      <c r="B4114" s="34" t="s">
        <v>9730</v>
      </c>
      <c r="C4114" s="34" t="s">
        <v>742</v>
      </c>
      <c r="D4114" s="26" t="s">
        <v>10246</v>
      </c>
      <c r="E4114" s="39" t="s">
        <v>6395</v>
      </c>
    </row>
    <row r="4115" spans="1:5" ht="13.9">
      <c r="A4115" s="26" t="s">
        <v>10223</v>
      </c>
      <c r="B4115" s="34" t="s">
        <v>7422</v>
      </c>
      <c r="C4115" s="34" t="s">
        <v>7423</v>
      </c>
      <c r="D4115" s="26" t="s">
        <v>10246</v>
      </c>
      <c r="E4115" s="39" t="s">
        <v>6443</v>
      </c>
    </row>
    <row r="4116" spans="1:5" ht="13.9">
      <c r="A4116" s="26" t="s">
        <v>10223</v>
      </c>
      <c r="B4116" s="34" t="s">
        <v>6471</v>
      </c>
      <c r="C4116" s="34" t="s">
        <v>6470</v>
      </c>
      <c r="D4116" s="26" t="s">
        <v>10246</v>
      </c>
      <c r="E4116" s="39" t="s">
        <v>6395</v>
      </c>
    </row>
    <row r="4117" spans="1:5" ht="13.9">
      <c r="A4117" s="26" t="s">
        <v>10223</v>
      </c>
      <c r="B4117" s="34" t="s">
        <v>9731</v>
      </c>
      <c r="C4117" s="39"/>
      <c r="D4117" s="26" t="s">
        <v>10246</v>
      </c>
      <c r="E4117" s="39" t="s">
        <v>6395</v>
      </c>
    </row>
    <row r="4118" spans="1:5" ht="13.9">
      <c r="A4118" s="26" t="s">
        <v>10223</v>
      </c>
      <c r="B4118" s="34" t="s">
        <v>9732</v>
      </c>
      <c r="C4118" s="39"/>
      <c r="D4118" s="26" t="s">
        <v>10246</v>
      </c>
      <c r="E4118" s="39" t="s">
        <v>6395</v>
      </c>
    </row>
    <row r="4119" spans="1:5" ht="13.9">
      <c r="A4119" s="26" t="s">
        <v>10223</v>
      </c>
      <c r="B4119" s="34" t="s">
        <v>9733</v>
      </c>
      <c r="C4119" s="34" t="s">
        <v>9734</v>
      </c>
      <c r="D4119" s="26" t="s">
        <v>10246</v>
      </c>
      <c r="E4119" s="39" t="s">
        <v>6395</v>
      </c>
    </row>
    <row r="4120" spans="1:5" ht="13.9">
      <c r="A4120" s="26" t="s">
        <v>10223</v>
      </c>
      <c r="B4120" s="34" t="s">
        <v>9735</v>
      </c>
      <c r="C4120" s="34" t="s">
        <v>9736</v>
      </c>
      <c r="D4120" s="26" t="s">
        <v>10246</v>
      </c>
      <c r="E4120" s="37" t="s">
        <v>6395</v>
      </c>
    </row>
    <row r="4121" spans="1:5" ht="13.9">
      <c r="A4121" s="26" t="s">
        <v>10223</v>
      </c>
      <c r="B4121" s="34" t="s">
        <v>6835</v>
      </c>
      <c r="C4121" s="39"/>
      <c r="D4121" s="26" t="s">
        <v>10246</v>
      </c>
      <c r="E4121" s="39" t="s">
        <v>1611</v>
      </c>
    </row>
    <row r="4122" spans="1:5" ht="13.9">
      <c r="A4122" s="26" t="s">
        <v>10223</v>
      </c>
      <c r="B4122" s="34" t="s">
        <v>9737</v>
      </c>
      <c r="C4122" s="39"/>
      <c r="D4122" s="26" t="s">
        <v>10246</v>
      </c>
      <c r="E4122" s="39" t="s">
        <v>1611</v>
      </c>
    </row>
    <row r="4123" spans="1:5" ht="13.9">
      <c r="A4123" s="26" t="s">
        <v>10223</v>
      </c>
      <c r="B4123" s="34" t="s">
        <v>9738</v>
      </c>
      <c r="C4123" s="39"/>
      <c r="D4123" s="26" t="s">
        <v>10246</v>
      </c>
      <c r="E4123" s="39" t="s">
        <v>6395</v>
      </c>
    </row>
    <row r="4124" spans="1:5" ht="13.9">
      <c r="A4124" s="26" t="s">
        <v>10223</v>
      </c>
      <c r="B4124" s="34" t="s">
        <v>8361</v>
      </c>
      <c r="C4124" s="34" t="s">
        <v>6473</v>
      </c>
      <c r="D4124" s="26" t="s">
        <v>10246</v>
      </c>
      <c r="E4124" s="39" t="s">
        <v>6395</v>
      </c>
    </row>
    <row r="4125" spans="1:5" ht="13.9">
      <c r="A4125" s="26" t="s">
        <v>10223</v>
      </c>
      <c r="B4125" s="34" t="s">
        <v>6452</v>
      </c>
      <c r="C4125" s="34" t="s">
        <v>9739</v>
      </c>
      <c r="D4125" s="26" t="s">
        <v>10246</v>
      </c>
      <c r="E4125" s="39" t="s">
        <v>6395</v>
      </c>
    </row>
    <row r="4126" spans="1:5" ht="13.9">
      <c r="A4126" s="26" t="s">
        <v>10223</v>
      </c>
      <c r="B4126" s="34" t="s">
        <v>9740</v>
      </c>
      <c r="C4126" s="39"/>
      <c r="D4126" s="26" t="s">
        <v>10246</v>
      </c>
      <c r="E4126" s="39" t="s">
        <v>6395</v>
      </c>
    </row>
    <row r="4127" spans="1:5" ht="13.9">
      <c r="A4127" s="26" t="s">
        <v>10223</v>
      </c>
      <c r="B4127" s="34" t="s">
        <v>3030</v>
      </c>
      <c r="C4127" s="39"/>
      <c r="D4127" s="26" t="s">
        <v>10246</v>
      </c>
      <c r="E4127" s="39" t="s">
        <v>6395</v>
      </c>
    </row>
    <row r="4128" spans="1:5" ht="13.9">
      <c r="A4128" s="26" t="s">
        <v>10223</v>
      </c>
      <c r="B4128" s="34" t="s">
        <v>9741</v>
      </c>
      <c r="C4128" s="34" t="s">
        <v>1535</v>
      </c>
      <c r="D4128" s="26" t="s">
        <v>10246</v>
      </c>
      <c r="E4128" s="39" t="s">
        <v>6395</v>
      </c>
    </row>
    <row r="4129" spans="1:5" ht="13.9">
      <c r="A4129" s="26" t="s">
        <v>10223</v>
      </c>
      <c r="B4129" s="34" t="s">
        <v>1024</v>
      </c>
      <c r="C4129" s="34" t="s">
        <v>154</v>
      </c>
      <c r="D4129" s="26" t="s">
        <v>10246</v>
      </c>
      <c r="E4129" s="39" t="s">
        <v>6395</v>
      </c>
    </row>
    <row r="4130" spans="1:5" ht="13.9">
      <c r="A4130" s="26" t="s">
        <v>10223</v>
      </c>
      <c r="B4130" s="34" t="s">
        <v>7995</v>
      </c>
      <c r="C4130" s="34" t="s">
        <v>3182</v>
      </c>
      <c r="D4130" s="26" t="s">
        <v>10246</v>
      </c>
      <c r="E4130" s="39" t="s">
        <v>6395</v>
      </c>
    </row>
    <row r="4131" spans="1:5" ht="13.9">
      <c r="A4131" s="26" t="s">
        <v>10223</v>
      </c>
      <c r="B4131" s="34" t="s">
        <v>451</v>
      </c>
      <c r="C4131" s="34" t="s">
        <v>446</v>
      </c>
      <c r="D4131" s="26" t="s">
        <v>10246</v>
      </c>
      <c r="E4131" s="39" t="s">
        <v>6395</v>
      </c>
    </row>
    <row r="4132" spans="1:5" ht="13.9">
      <c r="A4132" s="26" t="s">
        <v>10223</v>
      </c>
      <c r="B4132" s="34" t="s">
        <v>9742</v>
      </c>
      <c r="C4132" s="34" t="s">
        <v>127</v>
      </c>
      <c r="D4132" s="26" t="s">
        <v>10246</v>
      </c>
      <c r="E4132" s="39" t="s">
        <v>6395</v>
      </c>
    </row>
    <row r="4133" spans="1:5" ht="13.9">
      <c r="A4133" s="26" t="s">
        <v>10223</v>
      </c>
      <c r="B4133" s="34" t="s">
        <v>9743</v>
      </c>
      <c r="C4133" s="39"/>
      <c r="D4133" s="26" t="s">
        <v>10246</v>
      </c>
      <c r="E4133" s="39" t="s">
        <v>6443</v>
      </c>
    </row>
    <row r="4134" spans="1:5" ht="13.9">
      <c r="A4134" s="26" t="s">
        <v>10223</v>
      </c>
      <c r="B4134" s="34" t="s">
        <v>9744</v>
      </c>
      <c r="C4134" s="34" t="s">
        <v>865</v>
      </c>
      <c r="D4134" s="26" t="s">
        <v>10246</v>
      </c>
      <c r="E4134" s="39" t="s">
        <v>6395</v>
      </c>
    </row>
    <row r="4135" spans="1:5" ht="13.9">
      <c r="A4135" s="26" t="s">
        <v>10223</v>
      </c>
      <c r="B4135" s="34" t="s">
        <v>3068</v>
      </c>
      <c r="C4135" s="39"/>
      <c r="D4135" s="26" t="s">
        <v>10246</v>
      </c>
      <c r="E4135" s="39" t="s">
        <v>6395</v>
      </c>
    </row>
    <row r="4136" spans="1:5" ht="13.9">
      <c r="A4136" s="26" t="s">
        <v>10223</v>
      </c>
      <c r="B4136" s="34" t="s">
        <v>9745</v>
      </c>
      <c r="C4136" s="34" t="s">
        <v>9746</v>
      </c>
      <c r="D4136" s="26" t="s">
        <v>10246</v>
      </c>
      <c r="E4136" s="39" t="s">
        <v>6395</v>
      </c>
    </row>
    <row r="4137" spans="1:5" ht="13.9">
      <c r="A4137" s="26" t="s">
        <v>10223</v>
      </c>
      <c r="B4137" s="34" t="s">
        <v>9747</v>
      </c>
      <c r="C4137" s="39"/>
      <c r="D4137" s="26" t="s">
        <v>10246</v>
      </c>
      <c r="E4137" s="39" t="s">
        <v>6395</v>
      </c>
    </row>
    <row r="4138" spans="1:5" ht="13.9">
      <c r="A4138" s="26" t="s">
        <v>10223</v>
      </c>
      <c r="B4138" s="34" t="s">
        <v>9748</v>
      </c>
      <c r="C4138" s="39"/>
      <c r="D4138" s="26" t="s">
        <v>10246</v>
      </c>
      <c r="E4138" s="39" t="s">
        <v>6395</v>
      </c>
    </row>
    <row r="4139" spans="1:5" ht="13.9">
      <c r="A4139" s="26" t="s">
        <v>10223</v>
      </c>
      <c r="B4139" s="34" t="s">
        <v>6773</v>
      </c>
      <c r="C4139" s="39"/>
      <c r="D4139" s="26" t="s">
        <v>10246</v>
      </c>
      <c r="E4139" s="39" t="s">
        <v>6395</v>
      </c>
    </row>
    <row r="4140" spans="1:5" ht="13.9">
      <c r="A4140" s="26" t="s">
        <v>10223</v>
      </c>
      <c r="B4140" s="34" t="s">
        <v>9749</v>
      </c>
      <c r="C4140" s="34" t="s">
        <v>524</v>
      </c>
      <c r="D4140" s="26" t="s">
        <v>10246</v>
      </c>
      <c r="E4140" s="39" t="s">
        <v>6395</v>
      </c>
    </row>
    <row r="4141" spans="1:5" ht="13.9">
      <c r="A4141" s="26" t="s">
        <v>10223</v>
      </c>
      <c r="B4141" s="34" t="s">
        <v>6767</v>
      </c>
      <c r="C4141" s="39"/>
      <c r="D4141" s="26" t="s">
        <v>10246</v>
      </c>
      <c r="E4141" s="39" t="s">
        <v>6395</v>
      </c>
    </row>
    <row r="4142" spans="1:5" ht="13.9">
      <c r="A4142" s="26" t="s">
        <v>10223</v>
      </c>
      <c r="B4142" s="34" t="s">
        <v>9750</v>
      </c>
      <c r="C4142" s="39"/>
      <c r="D4142" s="26" t="s">
        <v>10246</v>
      </c>
      <c r="E4142" s="39">
        <v>0</v>
      </c>
    </row>
    <row r="4143" spans="1:5" ht="13.9">
      <c r="A4143" s="26" t="s">
        <v>10223</v>
      </c>
      <c r="B4143" s="34" t="s">
        <v>9751</v>
      </c>
      <c r="C4143" s="39"/>
      <c r="D4143" s="26" t="s">
        <v>10246</v>
      </c>
      <c r="E4143" s="39" t="s">
        <v>6395</v>
      </c>
    </row>
    <row r="4144" spans="1:5" ht="13.9">
      <c r="A4144" s="26" t="s">
        <v>10223</v>
      </c>
      <c r="B4144" s="34" t="s">
        <v>9752</v>
      </c>
      <c r="C4144" s="39"/>
      <c r="D4144" s="26" t="s">
        <v>10246</v>
      </c>
      <c r="E4144" s="39" t="s">
        <v>6479</v>
      </c>
    </row>
    <row r="4145" spans="1:5" ht="13.9">
      <c r="A4145" s="26" t="s">
        <v>10223</v>
      </c>
      <c r="B4145" s="34" t="s">
        <v>9753</v>
      </c>
      <c r="C4145" s="39"/>
      <c r="D4145" s="26" t="s">
        <v>10246</v>
      </c>
      <c r="E4145" s="39" t="s">
        <v>6395</v>
      </c>
    </row>
    <row r="4146" spans="1:5" ht="13.9">
      <c r="A4146" s="26" t="s">
        <v>10223</v>
      </c>
      <c r="B4146" s="34" t="s">
        <v>9754</v>
      </c>
      <c r="C4146" s="34" t="s">
        <v>8887</v>
      </c>
      <c r="D4146" s="26" t="s">
        <v>10246</v>
      </c>
      <c r="E4146" s="39" t="s">
        <v>6395</v>
      </c>
    </row>
    <row r="4147" spans="1:5" ht="13.9">
      <c r="A4147" s="26" t="s">
        <v>10223</v>
      </c>
      <c r="B4147" s="34" t="s">
        <v>6530</v>
      </c>
      <c r="C4147" s="34" t="s">
        <v>541</v>
      </c>
      <c r="D4147" s="26" t="s">
        <v>10246</v>
      </c>
      <c r="E4147" s="37" t="s">
        <v>6395</v>
      </c>
    </row>
    <row r="4148" spans="1:5" ht="13.9">
      <c r="A4148" s="26" t="s">
        <v>10223</v>
      </c>
      <c r="B4148" s="34" t="s">
        <v>3305</v>
      </c>
      <c r="C4148" s="34" t="s">
        <v>395</v>
      </c>
      <c r="D4148" s="26" t="s">
        <v>10246</v>
      </c>
      <c r="E4148" s="37" t="s">
        <v>6395</v>
      </c>
    </row>
    <row r="4149" spans="1:5" ht="13.9">
      <c r="A4149" s="26" t="s">
        <v>10223</v>
      </c>
      <c r="B4149" s="34" t="s">
        <v>9755</v>
      </c>
      <c r="C4149" s="39"/>
      <c r="D4149" s="26" t="s">
        <v>10246</v>
      </c>
      <c r="E4149" s="39" t="s">
        <v>6395</v>
      </c>
    </row>
    <row r="4150" spans="1:5" ht="13.9">
      <c r="A4150" s="26" t="s">
        <v>10223</v>
      </c>
      <c r="B4150" s="34" t="s">
        <v>2478</v>
      </c>
      <c r="C4150" s="34" t="s">
        <v>9756</v>
      </c>
      <c r="D4150" s="26" t="s">
        <v>10246</v>
      </c>
      <c r="E4150" s="39" t="s">
        <v>6395</v>
      </c>
    </row>
    <row r="4151" spans="1:5" ht="13.9">
      <c r="A4151" s="26" t="s">
        <v>10223</v>
      </c>
      <c r="B4151" s="34" t="s">
        <v>2310</v>
      </c>
      <c r="C4151" s="39"/>
      <c r="D4151" s="26" t="s">
        <v>10246</v>
      </c>
      <c r="E4151" s="37" t="s">
        <v>6395</v>
      </c>
    </row>
    <row r="4152" spans="1:5" ht="13.9">
      <c r="A4152" s="26" t="s">
        <v>10223</v>
      </c>
      <c r="B4152" s="34" t="s">
        <v>3116</v>
      </c>
      <c r="C4152" s="34" t="s">
        <v>3117</v>
      </c>
      <c r="D4152" s="26" t="s">
        <v>10246</v>
      </c>
      <c r="E4152" s="37" t="s">
        <v>6395</v>
      </c>
    </row>
    <row r="4153" spans="1:5" ht="13.9">
      <c r="A4153" s="26" t="s">
        <v>10223</v>
      </c>
      <c r="B4153" s="34" t="s">
        <v>9757</v>
      </c>
      <c r="C4153" s="39"/>
      <c r="D4153" s="26" t="s">
        <v>10246</v>
      </c>
      <c r="E4153" s="37" t="s">
        <v>10225</v>
      </c>
    </row>
    <row r="4154" spans="1:5" ht="13.9">
      <c r="A4154" s="26" t="s">
        <v>10223</v>
      </c>
      <c r="B4154" s="34" t="s">
        <v>1447</v>
      </c>
      <c r="C4154" s="39"/>
      <c r="D4154" s="26" t="s">
        <v>10246</v>
      </c>
      <c r="E4154" s="37" t="s">
        <v>6395</v>
      </c>
    </row>
    <row r="4155" spans="1:5" ht="13.9">
      <c r="A4155" s="26" t="s">
        <v>10223</v>
      </c>
      <c r="B4155" s="34" t="s">
        <v>9758</v>
      </c>
      <c r="C4155" s="39"/>
      <c r="D4155" s="26" t="s">
        <v>10246</v>
      </c>
      <c r="E4155" s="37" t="s">
        <v>6395</v>
      </c>
    </row>
    <row r="4156" spans="1:5" ht="13.9">
      <c r="A4156" s="26" t="s">
        <v>10223</v>
      </c>
      <c r="B4156" s="34" t="s">
        <v>9759</v>
      </c>
      <c r="C4156" s="39"/>
      <c r="D4156" s="26" t="s">
        <v>10246</v>
      </c>
      <c r="E4156" s="37" t="s">
        <v>6395</v>
      </c>
    </row>
    <row r="4157" spans="1:5" ht="13.9">
      <c r="A4157" s="26" t="s">
        <v>10223</v>
      </c>
      <c r="B4157" s="34" t="s">
        <v>6708</v>
      </c>
      <c r="C4157" s="34" t="s">
        <v>6499</v>
      </c>
      <c r="D4157" s="26" t="s">
        <v>10247</v>
      </c>
      <c r="E4157" s="37" t="s">
        <v>6395</v>
      </c>
    </row>
    <row r="4158" spans="1:5" ht="13.9">
      <c r="A4158" s="26" t="s">
        <v>10223</v>
      </c>
      <c r="B4158" s="34" t="s">
        <v>9760</v>
      </c>
      <c r="C4158" s="34" t="s">
        <v>2020</v>
      </c>
      <c r="D4158" s="26" t="s">
        <v>10246</v>
      </c>
      <c r="E4158" s="37" t="s">
        <v>6395</v>
      </c>
    </row>
    <row r="4159" spans="1:5" ht="13.9">
      <c r="A4159" s="26" t="s">
        <v>10223</v>
      </c>
      <c r="B4159" s="34" t="s">
        <v>7664</v>
      </c>
      <c r="C4159" s="34" t="s">
        <v>9761</v>
      </c>
      <c r="D4159" s="26" t="s">
        <v>10246</v>
      </c>
      <c r="E4159" s="37" t="s">
        <v>6395</v>
      </c>
    </row>
    <row r="4160" spans="1:5" ht="13.9">
      <c r="A4160" s="26" t="s">
        <v>10223</v>
      </c>
      <c r="B4160" s="34" t="s">
        <v>2008</v>
      </c>
      <c r="C4160" s="39"/>
      <c r="D4160" s="26" t="s">
        <v>10246</v>
      </c>
      <c r="E4160" s="39" t="s">
        <v>6395</v>
      </c>
    </row>
    <row r="4161" spans="1:5" ht="13.9">
      <c r="A4161" s="26" t="s">
        <v>10223</v>
      </c>
      <c r="B4161" s="34" t="s">
        <v>1760</v>
      </c>
      <c r="C4161" s="34" t="s">
        <v>1331</v>
      </c>
      <c r="D4161" s="26" t="s">
        <v>10246</v>
      </c>
      <c r="E4161" s="37" t="s">
        <v>6395</v>
      </c>
    </row>
    <row r="4162" spans="1:5" ht="13.9">
      <c r="A4162" s="26" t="s">
        <v>10223</v>
      </c>
      <c r="B4162" s="34" t="s">
        <v>390</v>
      </c>
      <c r="C4162" s="34" t="s">
        <v>154</v>
      </c>
      <c r="D4162" s="26" t="s">
        <v>10246</v>
      </c>
      <c r="E4162" s="37" t="s">
        <v>6395</v>
      </c>
    </row>
    <row r="4163" spans="1:5" ht="13.9">
      <c r="A4163" s="26" t="s">
        <v>10223</v>
      </c>
      <c r="B4163" s="34" t="s">
        <v>655</v>
      </c>
      <c r="C4163" s="34" t="s">
        <v>466</v>
      </c>
      <c r="D4163" s="26" t="s">
        <v>10246</v>
      </c>
      <c r="E4163" s="39" t="s">
        <v>6395</v>
      </c>
    </row>
    <row r="4164" spans="1:5" ht="13.9">
      <c r="A4164" s="26" t="s">
        <v>10223</v>
      </c>
      <c r="B4164" s="34" t="s">
        <v>1317</v>
      </c>
      <c r="C4164" s="34" t="s">
        <v>142</v>
      </c>
      <c r="D4164" s="26" t="s">
        <v>10246</v>
      </c>
      <c r="E4164" s="37" t="s">
        <v>6395</v>
      </c>
    </row>
    <row r="4165" spans="1:5" ht="13.9">
      <c r="A4165" s="26" t="s">
        <v>10223</v>
      </c>
      <c r="B4165" s="34" t="s">
        <v>9762</v>
      </c>
      <c r="C4165" s="39"/>
      <c r="D4165" s="26" t="s">
        <v>10246</v>
      </c>
      <c r="E4165" s="39" t="s">
        <v>6395</v>
      </c>
    </row>
    <row r="4166" spans="1:5" ht="13.9">
      <c r="A4166" s="26" t="s">
        <v>10223</v>
      </c>
      <c r="B4166" s="34" t="s">
        <v>9763</v>
      </c>
      <c r="C4166" s="34" t="s">
        <v>395</v>
      </c>
      <c r="D4166" s="26" t="s">
        <v>10246</v>
      </c>
      <c r="E4166" s="37" t="s">
        <v>6395</v>
      </c>
    </row>
    <row r="4167" spans="1:5" ht="13.9">
      <c r="A4167" s="26" t="s">
        <v>10223</v>
      </c>
      <c r="B4167" s="34" t="s">
        <v>9764</v>
      </c>
      <c r="C4167" s="34" t="s">
        <v>7640</v>
      </c>
      <c r="D4167" s="26" t="s">
        <v>10246</v>
      </c>
      <c r="E4167" s="39" t="s">
        <v>6443</v>
      </c>
    </row>
    <row r="4168" spans="1:5" ht="13.9">
      <c r="A4168" s="26" t="s">
        <v>10223</v>
      </c>
      <c r="B4168" s="34" t="s">
        <v>9765</v>
      </c>
      <c r="C4168" s="34" t="s">
        <v>265</v>
      </c>
      <c r="D4168" s="26" t="s">
        <v>10246</v>
      </c>
      <c r="E4168" s="37" t="s">
        <v>6395</v>
      </c>
    </row>
    <row r="4169" spans="1:5" ht="13.9">
      <c r="A4169" s="26" t="s">
        <v>10223</v>
      </c>
      <c r="B4169" s="34" t="s">
        <v>9766</v>
      </c>
      <c r="C4169" s="34" t="s">
        <v>9767</v>
      </c>
      <c r="D4169" s="26" t="s">
        <v>10246</v>
      </c>
      <c r="E4169" s="37" t="s">
        <v>6395</v>
      </c>
    </row>
    <row r="4170" spans="1:5" ht="13.9">
      <c r="A4170" s="26" t="s">
        <v>10223</v>
      </c>
      <c r="B4170" s="34" t="s">
        <v>337</v>
      </c>
      <c r="C4170" s="34" t="s">
        <v>333</v>
      </c>
      <c r="D4170" s="26" t="s">
        <v>10246</v>
      </c>
      <c r="E4170" s="39" t="s">
        <v>6411</v>
      </c>
    </row>
    <row r="4171" spans="1:5" ht="13.9">
      <c r="A4171" s="26" t="s">
        <v>10223</v>
      </c>
      <c r="B4171" s="34" t="s">
        <v>9768</v>
      </c>
      <c r="C4171" s="39"/>
      <c r="D4171" s="26" t="s">
        <v>10246</v>
      </c>
      <c r="E4171" s="37" t="s">
        <v>6395</v>
      </c>
    </row>
    <row r="4172" spans="1:5" ht="13.9">
      <c r="A4172" s="26" t="s">
        <v>10223</v>
      </c>
      <c r="B4172" s="34" t="s">
        <v>6721</v>
      </c>
      <c r="C4172" s="34" t="s">
        <v>2272</v>
      </c>
      <c r="D4172" s="26" t="s">
        <v>10246</v>
      </c>
      <c r="E4172" s="37" t="s">
        <v>6395</v>
      </c>
    </row>
    <row r="4173" spans="1:5" ht="13.9">
      <c r="A4173" s="26" t="s">
        <v>10223</v>
      </c>
      <c r="B4173" s="34" t="s">
        <v>2767</v>
      </c>
      <c r="C4173" s="34" t="s">
        <v>1274</v>
      </c>
      <c r="D4173" s="26" t="s">
        <v>10246</v>
      </c>
      <c r="E4173" s="37" t="s">
        <v>6395</v>
      </c>
    </row>
    <row r="4174" spans="1:5" ht="13.9">
      <c r="A4174" s="26" t="s">
        <v>10223</v>
      </c>
      <c r="B4174" s="34" t="s">
        <v>9769</v>
      </c>
      <c r="C4174" s="34" t="s">
        <v>6473</v>
      </c>
      <c r="D4174" s="26" t="s">
        <v>10246</v>
      </c>
      <c r="E4174" s="37" t="s">
        <v>6395</v>
      </c>
    </row>
    <row r="4175" spans="1:5" ht="13.9">
      <c r="A4175" s="26" t="s">
        <v>10223</v>
      </c>
      <c r="B4175" s="34" t="s">
        <v>6917</v>
      </c>
      <c r="C4175" s="34" t="s">
        <v>7602</v>
      </c>
      <c r="D4175" s="26" t="s">
        <v>10246</v>
      </c>
      <c r="E4175" s="39" t="s">
        <v>6443</v>
      </c>
    </row>
    <row r="4176" spans="1:5" ht="13.9">
      <c r="A4176" s="26" t="s">
        <v>10223</v>
      </c>
      <c r="B4176" s="34" t="s">
        <v>9770</v>
      </c>
      <c r="C4176" s="39"/>
      <c r="D4176" s="26" t="s">
        <v>10246</v>
      </c>
      <c r="E4176" s="37" t="s">
        <v>6395</v>
      </c>
    </row>
    <row r="4177" spans="1:5" ht="13.9">
      <c r="A4177" s="26" t="s">
        <v>10223</v>
      </c>
      <c r="B4177" s="34" t="s">
        <v>7030</v>
      </c>
      <c r="C4177" s="39"/>
      <c r="D4177" s="26" t="s">
        <v>10246</v>
      </c>
      <c r="E4177" s="39" t="s">
        <v>6395</v>
      </c>
    </row>
    <row r="4178" spans="1:5" ht="13.9">
      <c r="A4178" s="26" t="s">
        <v>10223</v>
      </c>
      <c r="B4178" s="34" t="s">
        <v>9771</v>
      </c>
      <c r="C4178" s="39"/>
      <c r="D4178" s="26" t="s">
        <v>10246</v>
      </c>
      <c r="E4178" s="37" t="s">
        <v>6395</v>
      </c>
    </row>
    <row r="4179" spans="1:5" ht="13.9">
      <c r="A4179" s="26" t="s">
        <v>10223</v>
      </c>
      <c r="B4179" s="34" t="s">
        <v>9772</v>
      </c>
      <c r="C4179" s="39"/>
      <c r="D4179" s="26" t="s">
        <v>10246</v>
      </c>
      <c r="E4179" s="37" t="s">
        <v>6395</v>
      </c>
    </row>
    <row r="4180" spans="1:5" ht="13.9">
      <c r="A4180" s="26" t="s">
        <v>10223</v>
      </c>
      <c r="B4180" s="34" t="s">
        <v>8000</v>
      </c>
      <c r="C4180" s="34" t="s">
        <v>6560</v>
      </c>
      <c r="D4180" s="26" t="s">
        <v>10246</v>
      </c>
      <c r="E4180" s="37" t="s">
        <v>6395</v>
      </c>
    </row>
    <row r="4181" spans="1:5" ht="13.9">
      <c r="A4181" s="26" t="s">
        <v>10223</v>
      </c>
      <c r="B4181" s="34" t="s">
        <v>6758</v>
      </c>
      <c r="C4181" s="39"/>
      <c r="D4181" s="26" t="s">
        <v>10246</v>
      </c>
      <c r="E4181" s="37" t="s">
        <v>6395</v>
      </c>
    </row>
    <row r="4182" spans="1:5" ht="13.9">
      <c r="A4182" s="26" t="s">
        <v>10223</v>
      </c>
      <c r="B4182" s="34" t="s">
        <v>9773</v>
      </c>
      <c r="C4182" s="34" t="s">
        <v>6458</v>
      </c>
      <c r="D4182" s="26" t="s">
        <v>10246</v>
      </c>
      <c r="E4182" s="39" t="s">
        <v>6395</v>
      </c>
    </row>
    <row r="4183" spans="1:5" ht="13.9">
      <c r="A4183" s="26" t="s">
        <v>10223</v>
      </c>
      <c r="B4183" s="34" t="s">
        <v>613</v>
      </c>
      <c r="C4183" s="39"/>
      <c r="D4183" s="26" t="s">
        <v>10246</v>
      </c>
      <c r="E4183" s="37" t="s">
        <v>6395</v>
      </c>
    </row>
    <row r="4184" spans="1:5" ht="13.9">
      <c r="A4184" s="26" t="s">
        <v>10223</v>
      </c>
      <c r="B4184" s="34" t="s">
        <v>6408</v>
      </c>
      <c r="C4184" s="34" t="s">
        <v>6407</v>
      </c>
      <c r="D4184" s="26" t="s">
        <v>10246</v>
      </c>
      <c r="E4184" s="37" t="s">
        <v>6395</v>
      </c>
    </row>
    <row r="4185" spans="1:5" ht="13.9">
      <c r="A4185" s="26" t="s">
        <v>10223</v>
      </c>
      <c r="B4185" s="34" t="s">
        <v>8374</v>
      </c>
      <c r="C4185" s="39"/>
      <c r="D4185" s="26" t="s">
        <v>10246</v>
      </c>
      <c r="E4185" s="37" t="s">
        <v>6395</v>
      </c>
    </row>
    <row r="4186" spans="1:5" ht="13.9">
      <c r="A4186" s="26" t="s">
        <v>10223</v>
      </c>
      <c r="B4186" s="34" t="s">
        <v>9774</v>
      </c>
      <c r="C4186" s="34" t="s">
        <v>9775</v>
      </c>
      <c r="D4186" s="26" t="s">
        <v>10246</v>
      </c>
      <c r="E4186" s="37" t="s">
        <v>10225</v>
      </c>
    </row>
    <row r="4187" spans="1:5" ht="13.9">
      <c r="A4187" s="26" t="s">
        <v>10223</v>
      </c>
      <c r="B4187" s="34" t="s">
        <v>2395</v>
      </c>
      <c r="C4187" s="34" t="s">
        <v>679</v>
      </c>
      <c r="D4187" s="26" t="s">
        <v>10246</v>
      </c>
      <c r="E4187" s="39" t="s">
        <v>6395</v>
      </c>
    </row>
    <row r="4188" spans="1:5" ht="13.9">
      <c r="A4188" s="26" t="s">
        <v>10223</v>
      </c>
      <c r="B4188" s="34" t="s">
        <v>9776</v>
      </c>
      <c r="C4188" s="39"/>
      <c r="D4188" s="26" t="s">
        <v>10246</v>
      </c>
      <c r="E4188" s="37" t="s">
        <v>6395</v>
      </c>
    </row>
    <row r="4189" spans="1:5" ht="13.9">
      <c r="A4189" s="26" t="s">
        <v>10223</v>
      </c>
      <c r="B4189" s="34" t="s">
        <v>9777</v>
      </c>
      <c r="C4189" s="34" t="s">
        <v>410</v>
      </c>
      <c r="D4189" s="26" t="s">
        <v>10246</v>
      </c>
      <c r="E4189" s="37" t="s">
        <v>6395</v>
      </c>
    </row>
    <row r="4190" spans="1:5" ht="13.9">
      <c r="A4190" s="26" t="s">
        <v>10223</v>
      </c>
      <c r="B4190" s="34" t="s">
        <v>9778</v>
      </c>
      <c r="C4190" s="39"/>
      <c r="D4190" s="26" t="s">
        <v>10246</v>
      </c>
      <c r="E4190" s="37" t="s">
        <v>6395</v>
      </c>
    </row>
    <row r="4191" spans="1:5" ht="13.9">
      <c r="A4191" s="26" t="s">
        <v>10223</v>
      </c>
      <c r="B4191" s="34" t="s">
        <v>586</v>
      </c>
      <c r="C4191" s="39"/>
      <c r="D4191" s="26" t="s">
        <v>10246</v>
      </c>
      <c r="E4191" s="39" t="s">
        <v>6395</v>
      </c>
    </row>
    <row r="4192" spans="1:5" ht="13.9">
      <c r="A4192" s="26" t="s">
        <v>10223</v>
      </c>
      <c r="B4192" s="34" t="s">
        <v>9779</v>
      </c>
      <c r="C4192" s="34" t="s">
        <v>227</v>
      </c>
      <c r="D4192" s="26" t="s">
        <v>10246</v>
      </c>
      <c r="E4192" s="37" t="s">
        <v>6395</v>
      </c>
    </row>
    <row r="4193" spans="1:5" ht="13.9">
      <c r="A4193" s="26" t="s">
        <v>10223</v>
      </c>
      <c r="B4193" s="34" t="s">
        <v>7675</v>
      </c>
      <c r="C4193" s="34" t="s">
        <v>9780</v>
      </c>
      <c r="D4193" s="26" t="s">
        <v>10246</v>
      </c>
      <c r="E4193" s="37" t="s">
        <v>6395</v>
      </c>
    </row>
    <row r="4194" spans="1:5" ht="13.9">
      <c r="A4194" s="26" t="s">
        <v>10223</v>
      </c>
      <c r="B4194" s="34" t="s">
        <v>7100</v>
      </c>
      <c r="C4194" s="39"/>
      <c r="D4194" s="26" t="s">
        <v>10246</v>
      </c>
      <c r="E4194" s="39" t="s">
        <v>6395</v>
      </c>
    </row>
    <row r="4195" spans="1:5" ht="13.9">
      <c r="A4195" s="26" t="s">
        <v>10223</v>
      </c>
      <c r="B4195" s="34" t="s">
        <v>716</v>
      </c>
      <c r="C4195" s="39"/>
      <c r="D4195" s="26" t="s">
        <v>10246</v>
      </c>
      <c r="E4195" s="37" t="s">
        <v>6395</v>
      </c>
    </row>
    <row r="4196" spans="1:5" ht="13.9">
      <c r="A4196" s="26" t="s">
        <v>10223</v>
      </c>
      <c r="B4196" s="34" t="s">
        <v>9781</v>
      </c>
      <c r="C4196" s="39"/>
      <c r="D4196" s="26" t="s">
        <v>10246</v>
      </c>
      <c r="E4196" s="37" t="s">
        <v>6395</v>
      </c>
    </row>
    <row r="4197" spans="1:5" ht="13.9">
      <c r="A4197" s="26" t="s">
        <v>10223</v>
      </c>
      <c r="B4197" s="34" t="s">
        <v>9782</v>
      </c>
      <c r="C4197" s="39"/>
      <c r="D4197" s="26" t="s">
        <v>10246</v>
      </c>
      <c r="E4197" s="37" t="s">
        <v>6395</v>
      </c>
    </row>
    <row r="4198" spans="1:5" ht="13.9">
      <c r="A4198" s="26" t="s">
        <v>10223</v>
      </c>
      <c r="B4198" s="34" t="s">
        <v>8376</v>
      </c>
      <c r="C4198" s="34" t="s">
        <v>1776</v>
      </c>
      <c r="D4198" s="26" t="s">
        <v>10246</v>
      </c>
      <c r="E4198" s="37" t="s">
        <v>6395</v>
      </c>
    </row>
    <row r="4199" spans="1:5" ht="13.9">
      <c r="A4199" s="26" t="s">
        <v>10223</v>
      </c>
      <c r="B4199" s="34" t="s">
        <v>1029</v>
      </c>
      <c r="C4199" s="39"/>
      <c r="D4199" s="26" t="s">
        <v>10246</v>
      </c>
      <c r="E4199" s="39" t="s">
        <v>6395</v>
      </c>
    </row>
    <row r="4200" spans="1:5" ht="13.9">
      <c r="A4200" s="26" t="s">
        <v>10223</v>
      </c>
      <c r="B4200" s="34" t="s">
        <v>1245</v>
      </c>
      <c r="C4200" s="34" t="s">
        <v>154</v>
      </c>
      <c r="D4200" s="26" t="s">
        <v>10246</v>
      </c>
      <c r="E4200" s="39" t="s">
        <v>6395</v>
      </c>
    </row>
    <row r="4201" spans="1:5" ht="13.9">
      <c r="A4201" s="26" t="s">
        <v>10223</v>
      </c>
      <c r="B4201" s="34" t="s">
        <v>9783</v>
      </c>
      <c r="C4201" s="39"/>
      <c r="D4201" s="26" t="s">
        <v>10246</v>
      </c>
      <c r="E4201" s="37" t="s">
        <v>6395</v>
      </c>
    </row>
    <row r="4202" spans="1:5" ht="13.9">
      <c r="A4202" s="26" t="s">
        <v>10223</v>
      </c>
      <c r="B4202" s="34" t="s">
        <v>9784</v>
      </c>
      <c r="C4202" s="39"/>
      <c r="D4202" s="26" t="s">
        <v>10246</v>
      </c>
      <c r="E4202" s="37" t="s">
        <v>6395</v>
      </c>
    </row>
    <row r="4203" spans="1:5" ht="13.9">
      <c r="A4203" s="26" t="s">
        <v>10223</v>
      </c>
      <c r="B4203" s="34" t="s">
        <v>9785</v>
      </c>
      <c r="C4203" s="39"/>
      <c r="D4203" s="26" t="s">
        <v>10246</v>
      </c>
      <c r="E4203" s="37" t="s">
        <v>6395</v>
      </c>
    </row>
    <row r="4204" spans="1:5" ht="13.9">
      <c r="A4204" s="26" t="s">
        <v>10223</v>
      </c>
      <c r="B4204" s="34" t="s">
        <v>9786</v>
      </c>
      <c r="C4204" s="39"/>
      <c r="D4204" s="26" t="s">
        <v>10246</v>
      </c>
      <c r="E4204" s="37" t="s">
        <v>6395</v>
      </c>
    </row>
    <row r="4205" spans="1:5" ht="13.9">
      <c r="A4205" s="26" t="s">
        <v>10223</v>
      </c>
      <c r="B4205" s="34" t="s">
        <v>289</v>
      </c>
      <c r="C4205" s="34" t="s">
        <v>154</v>
      </c>
      <c r="D4205" s="26" t="s">
        <v>10246</v>
      </c>
      <c r="E4205" s="39" t="s">
        <v>6395</v>
      </c>
    </row>
    <row r="4206" spans="1:5" ht="13.9">
      <c r="A4206" s="26" t="s">
        <v>10223</v>
      </c>
      <c r="B4206" s="34" t="s">
        <v>7683</v>
      </c>
      <c r="C4206" s="39"/>
      <c r="D4206" s="26" t="s">
        <v>10246</v>
      </c>
      <c r="E4206" s="37" t="s">
        <v>6395</v>
      </c>
    </row>
    <row r="4207" spans="1:5" ht="13.9">
      <c r="A4207" s="26" t="s">
        <v>10223</v>
      </c>
      <c r="B4207" s="34" t="s">
        <v>2588</v>
      </c>
      <c r="C4207" s="34" t="s">
        <v>1030</v>
      </c>
      <c r="D4207" s="26" t="s">
        <v>10246</v>
      </c>
      <c r="E4207" s="37" t="s">
        <v>6395</v>
      </c>
    </row>
    <row r="4208" spans="1:5" ht="13.9">
      <c r="A4208" s="26" t="s">
        <v>10223</v>
      </c>
      <c r="B4208" s="34" t="s">
        <v>9787</v>
      </c>
      <c r="C4208" s="39"/>
      <c r="D4208" s="26" t="s">
        <v>10246</v>
      </c>
      <c r="E4208" s="39" t="s">
        <v>6395</v>
      </c>
    </row>
    <row r="4209" spans="1:5" ht="13.9">
      <c r="A4209" s="26" t="s">
        <v>10223</v>
      </c>
      <c r="B4209" s="34" t="s">
        <v>7040</v>
      </c>
      <c r="C4209" s="39"/>
      <c r="D4209" s="26" t="s">
        <v>10246</v>
      </c>
      <c r="E4209" s="37" t="s">
        <v>6395</v>
      </c>
    </row>
    <row r="4210" spans="1:5" ht="13.9">
      <c r="A4210" s="26" t="s">
        <v>10223</v>
      </c>
      <c r="B4210" s="34" t="s">
        <v>726</v>
      </c>
      <c r="C4210" s="39"/>
      <c r="D4210" s="26" t="s">
        <v>10246</v>
      </c>
      <c r="E4210" s="37" t="s">
        <v>6411</v>
      </c>
    </row>
    <row r="4211" spans="1:5" ht="13.9">
      <c r="A4211" s="26" t="s">
        <v>10223</v>
      </c>
      <c r="B4211" s="34" t="s">
        <v>9788</v>
      </c>
      <c r="C4211" s="34" t="s">
        <v>9789</v>
      </c>
      <c r="D4211" s="26" t="s">
        <v>10246</v>
      </c>
      <c r="E4211" s="39" t="s">
        <v>6395</v>
      </c>
    </row>
    <row r="4212" spans="1:5" ht="13.9">
      <c r="A4212" s="26" t="s">
        <v>10223</v>
      </c>
      <c r="B4212" s="34" t="s">
        <v>9790</v>
      </c>
      <c r="C4212" s="34" t="s">
        <v>9791</v>
      </c>
      <c r="D4212" s="26" t="s">
        <v>10246</v>
      </c>
      <c r="E4212" s="37" t="s">
        <v>6395</v>
      </c>
    </row>
    <row r="4213" spans="1:5" ht="13.9">
      <c r="A4213" s="26" t="s">
        <v>10223</v>
      </c>
      <c r="B4213" s="34" t="s">
        <v>8595</v>
      </c>
      <c r="C4213" s="39"/>
      <c r="D4213" s="26" t="s">
        <v>10246</v>
      </c>
      <c r="E4213" s="37" t="s">
        <v>6395</v>
      </c>
    </row>
    <row r="4214" spans="1:5" ht="13.9">
      <c r="A4214" s="26" t="s">
        <v>10223</v>
      </c>
      <c r="B4214" s="34" t="s">
        <v>9792</v>
      </c>
      <c r="C4214" s="39"/>
      <c r="D4214" s="26" t="s">
        <v>10246</v>
      </c>
      <c r="E4214" s="37" t="s">
        <v>6395</v>
      </c>
    </row>
    <row r="4215" spans="1:5" ht="13.9">
      <c r="A4215" s="26" t="s">
        <v>10223</v>
      </c>
      <c r="B4215" s="34" t="s">
        <v>6774</v>
      </c>
      <c r="C4215" s="39"/>
      <c r="D4215" s="26" t="s">
        <v>10246</v>
      </c>
      <c r="E4215" s="39" t="s">
        <v>6395</v>
      </c>
    </row>
    <row r="4216" spans="1:5" ht="13.9">
      <c r="A4216" s="26" t="s">
        <v>10223</v>
      </c>
      <c r="B4216" s="34" t="s">
        <v>3303</v>
      </c>
      <c r="C4216" s="34" t="s">
        <v>6473</v>
      </c>
      <c r="D4216" s="26" t="s">
        <v>10246</v>
      </c>
      <c r="E4216" s="37" t="s">
        <v>6395</v>
      </c>
    </row>
    <row r="4217" spans="1:5" ht="13.9">
      <c r="A4217" s="26" t="s">
        <v>10223</v>
      </c>
      <c r="B4217" s="34" t="s">
        <v>9793</v>
      </c>
      <c r="C4217" s="34" t="s">
        <v>9794</v>
      </c>
      <c r="D4217" s="26" t="s">
        <v>10246</v>
      </c>
      <c r="E4217" s="37" t="s">
        <v>6395</v>
      </c>
    </row>
    <row r="4218" spans="1:5" ht="13.9">
      <c r="A4218" s="26" t="s">
        <v>10223</v>
      </c>
      <c r="B4218" s="34" t="s">
        <v>9795</v>
      </c>
      <c r="C4218" s="34" t="s">
        <v>9607</v>
      </c>
      <c r="D4218" s="26" t="s">
        <v>10246</v>
      </c>
      <c r="E4218" s="37" t="s">
        <v>10225</v>
      </c>
    </row>
    <row r="4219" spans="1:5" ht="13.9">
      <c r="A4219" s="26" t="s">
        <v>10223</v>
      </c>
      <c r="B4219" s="34" t="s">
        <v>7999</v>
      </c>
      <c r="C4219" s="34" t="s">
        <v>15</v>
      </c>
      <c r="D4219" s="26" t="s">
        <v>10246</v>
      </c>
      <c r="E4219" s="37" t="s">
        <v>6395</v>
      </c>
    </row>
    <row r="4220" spans="1:5" ht="13.9">
      <c r="A4220" s="26" t="s">
        <v>10223</v>
      </c>
      <c r="B4220" s="34" t="s">
        <v>9796</v>
      </c>
      <c r="C4220" s="34" t="s">
        <v>9797</v>
      </c>
      <c r="D4220" s="26" t="s">
        <v>10246</v>
      </c>
      <c r="E4220" s="39" t="s">
        <v>10225</v>
      </c>
    </row>
    <row r="4221" spans="1:5" ht="13.9">
      <c r="A4221" s="26" t="s">
        <v>10223</v>
      </c>
      <c r="B4221" s="34" t="s">
        <v>8381</v>
      </c>
      <c r="C4221" s="34" t="s">
        <v>8382</v>
      </c>
      <c r="D4221" s="26" t="s">
        <v>10246</v>
      </c>
      <c r="E4221" s="37" t="s">
        <v>6395</v>
      </c>
    </row>
    <row r="4222" spans="1:5" ht="13.9">
      <c r="A4222" s="26" t="s">
        <v>10223</v>
      </c>
      <c r="B4222" s="34" t="s">
        <v>2838</v>
      </c>
      <c r="C4222" s="34" t="s">
        <v>541</v>
      </c>
      <c r="D4222" s="26" t="s">
        <v>10246</v>
      </c>
      <c r="E4222" s="37" t="s">
        <v>6395</v>
      </c>
    </row>
    <row r="4223" spans="1:5" ht="13.9">
      <c r="A4223" s="26" t="s">
        <v>10223</v>
      </c>
      <c r="B4223" s="34" t="s">
        <v>3335</v>
      </c>
      <c r="C4223" s="34" t="s">
        <v>9798</v>
      </c>
      <c r="D4223" s="26" t="s">
        <v>10246</v>
      </c>
      <c r="E4223" s="37" t="s">
        <v>6395</v>
      </c>
    </row>
    <row r="4224" spans="1:5" ht="13.9">
      <c r="A4224" s="26" t="s">
        <v>10223</v>
      </c>
      <c r="B4224" s="34" t="s">
        <v>9799</v>
      </c>
      <c r="C4224" s="39"/>
      <c r="D4224" s="26" t="s">
        <v>10246</v>
      </c>
      <c r="E4224" s="37" t="s">
        <v>6395</v>
      </c>
    </row>
    <row r="4225" spans="1:5" ht="13.9">
      <c r="A4225" s="26" t="s">
        <v>10223</v>
      </c>
      <c r="B4225" s="34" t="s">
        <v>1235</v>
      </c>
      <c r="C4225" s="34" t="s">
        <v>2786</v>
      </c>
      <c r="D4225" s="26" t="s">
        <v>10246</v>
      </c>
      <c r="E4225" s="37" t="s">
        <v>6395</v>
      </c>
    </row>
    <row r="4226" spans="1:5" ht="13.9">
      <c r="A4226" s="26" t="s">
        <v>10223</v>
      </c>
      <c r="B4226" s="34" t="s">
        <v>8713</v>
      </c>
      <c r="C4226" s="34" t="s">
        <v>6644</v>
      </c>
      <c r="D4226" s="26" t="s">
        <v>10246</v>
      </c>
      <c r="E4226" s="37" t="s">
        <v>6395</v>
      </c>
    </row>
    <row r="4227" spans="1:5" ht="13.9">
      <c r="A4227" s="26" t="s">
        <v>10223</v>
      </c>
      <c r="B4227" s="34" t="s">
        <v>2375</v>
      </c>
      <c r="C4227" s="39"/>
      <c r="D4227" s="26" t="s">
        <v>10246</v>
      </c>
      <c r="E4227" s="39" t="s">
        <v>6395</v>
      </c>
    </row>
    <row r="4228" spans="1:5" ht="13.9">
      <c r="A4228" s="26" t="s">
        <v>10223</v>
      </c>
      <c r="B4228" s="34" t="s">
        <v>9800</v>
      </c>
      <c r="C4228" s="34" t="s">
        <v>9801</v>
      </c>
      <c r="D4228" s="26" t="s">
        <v>10246</v>
      </c>
      <c r="E4228" s="37" t="s">
        <v>6395</v>
      </c>
    </row>
    <row r="4229" spans="1:5" ht="13.9">
      <c r="A4229" s="26" t="s">
        <v>10223</v>
      </c>
      <c r="B4229" s="34" t="s">
        <v>9802</v>
      </c>
      <c r="C4229" s="39"/>
      <c r="D4229" s="26" t="s">
        <v>10246</v>
      </c>
      <c r="E4229" s="39" t="s">
        <v>6395</v>
      </c>
    </row>
    <row r="4230" spans="1:5" ht="13.9">
      <c r="A4230" s="26" t="s">
        <v>10223</v>
      </c>
      <c r="B4230" s="34" t="s">
        <v>7073</v>
      </c>
      <c r="C4230" s="34" t="s">
        <v>1240</v>
      </c>
      <c r="D4230" s="26" t="s">
        <v>10246</v>
      </c>
      <c r="E4230" s="37" t="s">
        <v>6395</v>
      </c>
    </row>
    <row r="4231" spans="1:5" ht="13.9">
      <c r="A4231" s="26" t="s">
        <v>10223</v>
      </c>
      <c r="B4231" s="34" t="s">
        <v>9803</v>
      </c>
      <c r="C4231" s="39"/>
      <c r="D4231" s="26" t="s">
        <v>10246</v>
      </c>
      <c r="E4231" s="37" t="s">
        <v>6395</v>
      </c>
    </row>
    <row r="4232" spans="1:5" ht="13.9">
      <c r="A4232" s="26" t="s">
        <v>10223</v>
      </c>
      <c r="B4232" s="34" t="s">
        <v>8385</v>
      </c>
      <c r="C4232" s="34" t="s">
        <v>245</v>
      </c>
      <c r="D4232" s="26" t="s">
        <v>10246</v>
      </c>
      <c r="E4232" s="37" t="s">
        <v>6395</v>
      </c>
    </row>
    <row r="4233" spans="1:5" ht="13.9">
      <c r="A4233" s="26" t="s">
        <v>10223</v>
      </c>
      <c r="B4233" s="34" t="s">
        <v>9804</v>
      </c>
      <c r="C4233" s="34" t="s">
        <v>245</v>
      </c>
      <c r="D4233" s="26" t="s">
        <v>10246</v>
      </c>
      <c r="E4233" s="39" t="s">
        <v>6395</v>
      </c>
    </row>
    <row r="4234" spans="1:5" ht="13.9">
      <c r="A4234" s="26" t="s">
        <v>10223</v>
      </c>
      <c r="B4234" s="34" t="s">
        <v>9805</v>
      </c>
      <c r="C4234" s="39"/>
      <c r="D4234" s="26" t="s">
        <v>10246</v>
      </c>
      <c r="E4234" s="37" t="s">
        <v>6395</v>
      </c>
    </row>
    <row r="4235" spans="1:5" ht="13.9">
      <c r="A4235" s="26" t="s">
        <v>10223</v>
      </c>
      <c r="B4235" s="34" t="s">
        <v>9806</v>
      </c>
      <c r="C4235" s="39"/>
      <c r="D4235" s="26" t="s">
        <v>10246</v>
      </c>
      <c r="E4235" s="37" t="s">
        <v>6395</v>
      </c>
    </row>
    <row r="4236" spans="1:5" ht="13.9">
      <c r="A4236" s="26" t="s">
        <v>10223</v>
      </c>
      <c r="B4236" s="34" t="s">
        <v>366</v>
      </c>
      <c r="C4236" s="39"/>
      <c r="D4236" s="26" t="s">
        <v>10246</v>
      </c>
      <c r="E4236" s="37" t="s">
        <v>6395</v>
      </c>
    </row>
    <row r="4237" spans="1:5" ht="13.9">
      <c r="A4237" s="26" t="s">
        <v>10223</v>
      </c>
      <c r="B4237" s="34" t="s">
        <v>9807</v>
      </c>
      <c r="C4237" s="39"/>
      <c r="D4237" s="26" t="s">
        <v>10246</v>
      </c>
      <c r="E4237" s="39" t="s">
        <v>6395</v>
      </c>
    </row>
    <row r="4238" spans="1:5" ht="13.9">
      <c r="A4238" s="26" t="s">
        <v>10223</v>
      </c>
      <c r="B4238" s="34" t="s">
        <v>2617</v>
      </c>
      <c r="C4238" s="34" t="s">
        <v>6906</v>
      </c>
      <c r="D4238" s="26" t="s">
        <v>10246</v>
      </c>
      <c r="E4238" s="37">
        <v>0</v>
      </c>
    </row>
    <row r="4239" spans="1:5" ht="13.9">
      <c r="A4239" s="26" t="s">
        <v>10223</v>
      </c>
      <c r="B4239" s="34" t="s">
        <v>1434</v>
      </c>
      <c r="C4239" s="39"/>
      <c r="D4239" s="26" t="s">
        <v>10246</v>
      </c>
      <c r="E4239" s="37" t="s">
        <v>6395</v>
      </c>
    </row>
    <row r="4240" spans="1:5" ht="13.9">
      <c r="A4240" s="26" t="s">
        <v>10223</v>
      </c>
      <c r="B4240" s="34" t="s">
        <v>6474</v>
      </c>
      <c r="C4240" s="34" t="s">
        <v>9808</v>
      </c>
      <c r="D4240" s="26" t="s">
        <v>10246</v>
      </c>
      <c r="E4240" s="37" t="s">
        <v>6395</v>
      </c>
    </row>
    <row r="4241" spans="1:5" ht="13.9">
      <c r="A4241" s="26" t="s">
        <v>10223</v>
      </c>
      <c r="B4241" s="34" t="s">
        <v>2030</v>
      </c>
      <c r="C4241" s="39"/>
      <c r="D4241" s="26" t="s">
        <v>10246</v>
      </c>
      <c r="E4241" s="37" t="s">
        <v>6395</v>
      </c>
    </row>
    <row r="4242" spans="1:5" ht="13.9">
      <c r="A4242" s="26" t="s">
        <v>10223</v>
      </c>
      <c r="B4242" s="34" t="s">
        <v>9809</v>
      </c>
      <c r="C4242" s="39"/>
      <c r="D4242" s="26" t="s">
        <v>10246</v>
      </c>
      <c r="E4242" s="39" t="s">
        <v>6395</v>
      </c>
    </row>
    <row r="4243" spans="1:5" ht="13.9">
      <c r="A4243" s="26" t="s">
        <v>10223</v>
      </c>
      <c r="B4243" s="34" t="s">
        <v>9810</v>
      </c>
      <c r="C4243" s="34" t="s">
        <v>6646</v>
      </c>
      <c r="D4243" s="26" t="s">
        <v>10246</v>
      </c>
      <c r="E4243" s="37" t="s">
        <v>6395</v>
      </c>
    </row>
    <row r="4244" spans="1:5" ht="13.9">
      <c r="A4244" s="26" t="s">
        <v>10223</v>
      </c>
      <c r="B4244" s="34" t="s">
        <v>9811</v>
      </c>
      <c r="C4244" s="39"/>
      <c r="D4244" s="26" t="s">
        <v>10246</v>
      </c>
      <c r="E4244" s="37" t="s">
        <v>6395</v>
      </c>
    </row>
    <row r="4245" spans="1:5" ht="13.9">
      <c r="A4245" s="26" t="s">
        <v>10223</v>
      </c>
      <c r="B4245" s="34" t="s">
        <v>1226</v>
      </c>
      <c r="C4245" s="34" t="s">
        <v>721</v>
      </c>
      <c r="D4245" s="26" t="s">
        <v>10246</v>
      </c>
      <c r="E4245" s="37" t="s">
        <v>6395</v>
      </c>
    </row>
    <row r="4246" spans="1:5" ht="13.9">
      <c r="A4246" s="26" t="s">
        <v>10223</v>
      </c>
      <c r="B4246" s="34" t="s">
        <v>8792</v>
      </c>
      <c r="C4246" s="39"/>
      <c r="D4246" s="26" t="s">
        <v>10246</v>
      </c>
      <c r="E4246" s="39" t="s">
        <v>6395</v>
      </c>
    </row>
    <row r="4247" spans="1:5" ht="13.9">
      <c r="A4247" s="26" t="s">
        <v>10223</v>
      </c>
      <c r="B4247" s="34" t="s">
        <v>9812</v>
      </c>
      <c r="C4247" s="34" t="s">
        <v>7419</v>
      </c>
      <c r="D4247" s="26" t="s">
        <v>10246</v>
      </c>
      <c r="E4247" s="37" t="s">
        <v>6395</v>
      </c>
    </row>
    <row r="4248" spans="1:5" ht="13.9">
      <c r="A4248" s="26" t="s">
        <v>10223</v>
      </c>
      <c r="B4248" s="34" t="s">
        <v>9813</v>
      </c>
      <c r="C4248" s="34" t="s">
        <v>9814</v>
      </c>
      <c r="D4248" s="26" t="s">
        <v>10246</v>
      </c>
      <c r="E4248" s="37" t="s">
        <v>6395</v>
      </c>
    </row>
    <row r="4249" spans="1:5" ht="13.9">
      <c r="A4249" s="26" t="s">
        <v>10223</v>
      </c>
      <c r="B4249" s="34" t="s">
        <v>9815</v>
      </c>
      <c r="C4249" s="39"/>
      <c r="D4249" s="26" t="s">
        <v>10246</v>
      </c>
      <c r="E4249" s="39" t="s">
        <v>6395</v>
      </c>
    </row>
    <row r="4250" spans="1:5" ht="13.9">
      <c r="A4250" s="26" t="s">
        <v>10223</v>
      </c>
      <c r="B4250" s="34" t="s">
        <v>9816</v>
      </c>
      <c r="C4250" s="39"/>
      <c r="D4250" s="26" t="s">
        <v>10246</v>
      </c>
      <c r="E4250" s="37" t="s">
        <v>6395</v>
      </c>
    </row>
    <row r="4251" spans="1:5" ht="13.9">
      <c r="A4251" s="26" t="s">
        <v>10223</v>
      </c>
      <c r="B4251" s="34" t="s">
        <v>1959</v>
      </c>
      <c r="C4251" s="34" t="s">
        <v>348</v>
      </c>
      <c r="D4251" s="26" t="s">
        <v>10246</v>
      </c>
      <c r="E4251" s="39" t="s">
        <v>6395</v>
      </c>
    </row>
    <row r="4252" spans="1:5" ht="13.9">
      <c r="A4252" s="26" t="s">
        <v>10223</v>
      </c>
      <c r="B4252" s="34" t="s">
        <v>1901</v>
      </c>
      <c r="C4252" s="34" t="s">
        <v>498</v>
      </c>
      <c r="D4252" s="26" t="s">
        <v>10246</v>
      </c>
      <c r="E4252" s="37" t="s">
        <v>6395</v>
      </c>
    </row>
    <row r="4253" spans="1:5" ht="13.9">
      <c r="A4253" s="26" t="s">
        <v>10223</v>
      </c>
      <c r="B4253" s="34" t="s">
        <v>9817</v>
      </c>
      <c r="C4253" s="34" t="s">
        <v>27</v>
      </c>
      <c r="D4253" s="26" t="s">
        <v>10246</v>
      </c>
      <c r="E4253" s="39" t="s">
        <v>6395</v>
      </c>
    </row>
    <row r="4254" spans="1:5" ht="13.9">
      <c r="A4254" s="26" t="s">
        <v>10223</v>
      </c>
      <c r="B4254" s="34" t="s">
        <v>9818</v>
      </c>
      <c r="C4254" s="39"/>
      <c r="D4254" s="26" t="s">
        <v>10246</v>
      </c>
      <c r="E4254" s="37" t="s">
        <v>6395</v>
      </c>
    </row>
    <row r="4255" spans="1:5" ht="13.9">
      <c r="A4255" s="26" t="s">
        <v>10223</v>
      </c>
      <c r="B4255" s="34" t="s">
        <v>6679</v>
      </c>
      <c r="C4255" s="39"/>
      <c r="D4255" s="26" t="s">
        <v>10246</v>
      </c>
      <c r="E4255" s="39" t="s">
        <v>6395</v>
      </c>
    </row>
    <row r="4256" spans="1:5" ht="13.9">
      <c r="A4256" s="26" t="s">
        <v>10223</v>
      </c>
      <c r="B4256" s="34" t="s">
        <v>1741</v>
      </c>
      <c r="C4256" s="34" t="s">
        <v>742</v>
      </c>
      <c r="D4256" s="26" t="s">
        <v>10246</v>
      </c>
      <c r="E4256" s="37" t="s">
        <v>6395</v>
      </c>
    </row>
    <row r="4257" spans="1:5" ht="13.9">
      <c r="A4257" s="26" t="s">
        <v>10223</v>
      </c>
      <c r="B4257" s="34" t="s">
        <v>9819</v>
      </c>
      <c r="C4257" s="39"/>
      <c r="D4257" s="26" t="s">
        <v>10246</v>
      </c>
      <c r="E4257" s="37" t="s">
        <v>6395</v>
      </c>
    </row>
    <row r="4258" spans="1:5" ht="13.9">
      <c r="A4258" s="26" t="s">
        <v>10223</v>
      </c>
      <c r="B4258" s="34" t="s">
        <v>6588</v>
      </c>
      <c r="C4258" s="39"/>
      <c r="D4258" s="26" t="s">
        <v>10246</v>
      </c>
      <c r="E4258" s="37" t="s">
        <v>6395</v>
      </c>
    </row>
    <row r="4259" spans="1:5" ht="13.9">
      <c r="A4259" s="26" t="s">
        <v>10223</v>
      </c>
      <c r="B4259" s="34" t="s">
        <v>9820</v>
      </c>
      <c r="C4259" s="39"/>
      <c r="D4259" s="26" t="s">
        <v>10246</v>
      </c>
      <c r="E4259" s="37" t="s">
        <v>6395</v>
      </c>
    </row>
    <row r="4260" spans="1:5" ht="13.9">
      <c r="A4260" s="26" t="s">
        <v>10223</v>
      </c>
      <c r="B4260" s="34" t="s">
        <v>9821</v>
      </c>
      <c r="C4260" s="39"/>
      <c r="D4260" s="26" t="s">
        <v>10246</v>
      </c>
      <c r="E4260" s="39" t="s">
        <v>6395</v>
      </c>
    </row>
    <row r="4261" spans="1:5" ht="13.9">
      <c r="A4261" s="26" t="s">
        <v>10223</v>
      </c>
      <c r="B4261" s="34" t="s">
        <v>6933</v>
      </c>
      <c r="C4261" s="34" t="s">
        <v>643</v>
      </c>
      <c r="D4261" s="26" t="s">
        <v>10246</v>
      </c>
      <c r="E4261" s="37" t="s">
        <v>6395</v>
      </c>
    </row>
    <row r="4262" spans="1:5" ht="13.9">
      <c r="A4262" s="26" t="s">
        <v>10223</v>
      </c>
      <c r="B4262" s="34" t="s">
        <v>6961</v>
      </c>
      <c r="C4262" s="34" t="s">
        <v>6560</v>
      </c>
      <c r="D4262" s="26" t="s">
        <v>10246</v>
      </c>
      <c r="E4262" s="37" t="s">
        <v>6395</v>
      </c>
    </row>
    <row r="4263" spans="1:5" ht="13.9">
      <c r="A4263" s="26" t="s">
        <v>10223</v>
      </c>
      <c r="B4263" s="34" t="s">
        <v>9822</v>
      </c>
      <c r="C4263" s="34" t="s">
        <v>541</v>
      </c>
      <c r="D4263" s="26" t="s">
        <v>10246</v>
      </c>
      <c r="E4263" s="37">
        <v>0</v>
      </c>
    </row>
    <row r="4264" spans="1:5" ht="13.9">
      <c r="A4264" s="26" t="s">
        <v>10223</v>
      </c>
      <c r="B4264" s="34" t="s">
        <v>9823</v>
      </c>
      <c r="C4264" s="34" t="s">
        <v>9824</v>
      </c>
      <c r="D4264" s="26" t="s">
        <v>10246</v>
      </c>
      <c r="E4264" s="39" t="s">
        <v>6395</v>
      </c>
    </row>
    <row r="4265" spans="1:5" ht="13.9">
      <c r="A4265" s="26" t="s">
        <v>10223</v>
      </c>
      <c r="B4265" s="34" t="s">
        <v>9825</v>
      </c>
      <c r="C4265" s="34" t="s">
        <v>524</v>
      </c>
      <c r="D4265" s="26" t="s">
        <v>10246</v>
      </c>
      <c r="E4265" s="37" t="s">
        <v>6395</v>
      </c>
    </row>
    <row r="4266" spans="1:5" ht="13.9">
      <c r="A4266" s="26" t="s">
        <v>10223</v>
      </c>
      <c r="B4266" s="34" t="s">
        <v>9826</v>
      </c>
      <c r="C4266" s="34" t="s">
        <v>6796</v>
      </c>
      <c r="D4266" s="26" t="s">
        <v>10246</v>
      </c>
      <c r="E4266" s="39" t="s">
        <v>6395</v>
      </c>
    </row>
    <row r="4267" spans="1:5" ht="13.9">
      <c r="A4267" s="26" t="s">
        <v>10223</v>
      </c>
      <c r="B4267" s="34" t="s">
        <v>2235</v>
      </c>
      <c r="C4267" s="39"/>
      <c r="D4267" s="26" t="s">
        <v>10246</v>
      </c>
      <c r="E4267" s="37" t="s">
        <v>6395</v>
      </c>
    </row>
    <row r="4268" spans="1:5" ht="13.9">
      <c r="A4268" s="26" t="s">
        <v>10223</v>
      </c>
      <c r="B4268" s="34" t="s">
        <v>6664</v>
      </c>
      <c r="C4268" s="39"/>
      <c r="D4268" s="26" t="s">
        <v>10246</v>
      </c>
      <c r="E4268" s="39" t="s">
        <v>6395</v>
      </c>
    </row>
    <row r="4269" spans="1:5" ht="13.9">
      <c r="A4269" s="26" t="s">
        <v>10223</v>
      </c>
      <c r="B4269" s="34" t="s">
        <v>2553</v>
      </c>
      <c r="C4269" s="39"/>
      <c r="D4269" s="26" t="s">
        <v>10246</v>
      </c>
      <c r="E4269" s="37" t="s">
        <v>6395</v>
      </c>
    </row>
    <row r="4270" spans="1:5" ht="13.9">
      <c r="A4270" s="26" t="s">
        <v>10223</v>
      </c>
      <c r="B4270" s="34" t="s">
        <v>7029</v>
      </c>
      <c r="C4270" s="39"/>
      <c r="D4270" s="26" t="s">
        <v>10246</v>
      </c>
      <c r="E4270" s="37" t="s">
        <v>6395</v>
      </c>
    </row>
    <row r="4271" spans="1:5" ht="13.9">
      <c r="A4271" s="26" t="s">
        <v>10223</v>
      </c>
      <c r="B4271" s="34" t="s">
        <v>9827</v>
      </c>
      <c r="C4271" s="39"/>
      <c r="D4271" s="26" t="s">
        <v>10246</v>
      </c>
      <c r="E4271" s="37" t="s">
        <v>6395</v>
      </c>
    </row>
    <row r="4272" spans="1:5" ht="13.9">
      <c r="A4272" s="26" t="s">
        <v>10223</v>
      </c>
      <c r="B4272" s="34" t="s">
        <v>9828</v>
      </c>
      <c r="C4272" s="41" t="s">
        <v>410</v>
      </c>
      <c r="D4272" s="26" t="s">
        <v>10246</v>
      </c>
      <c r="E4272" s="37" t="s">
        <v>6395</v>
      </c>
    </row>
    <row r="4273" spans="1:5" ht="13.9">
      <c r="A4273" s="26" t="s">
        <v>10223</v>
      </c>
      <c r="B4273" s="34" t="s">
        <v>9829</v>
      </c>
      <c r="C4273" s="37"/>
      <c r="D4273" s="26" t="s">
        <v>10246</v>
      </c>
      <c r="E4273" s="37" t="s">
        <v>6395</v>
      </c>
    </row>
    <row r="4274" spans="1:5" ht="13.9">
      <c r="A4274" s="26" t="s">
        <v>10223</v>
      </c>
      <c r="B4274" s="34" t="s">
        <v>9830</v>
      </c>
      <c r="C4274" s="34" t="s">
        <v>9831</v>
      </c>
      <c r="D4274" s="26" t="s">
        <v>10246</v>
      </c>
      <c r="E4274" s="39" t="s">
        <v>6395</v>
      </c>
    </row>
    <row r="4275" spans="1:5" ht="13.9">
      <c r="A4275" s="26" t="s">
        <v>10223</v>
      </c>
      <c r="B4275" s="34" t="s">
        <v>2072</v>
      </c>
      <c r="C4275" s="34" t="s">
        <v>360</v>
      </c>
      <c r="D4275" s="26" t="s">
        <v>10246</v>
      </c>
      <c r="E4275" s="37" t="s">
        <v>6395</v>
      </c>
    </row>
    <row r="4276" spans="1:5" ht="13.9">
      <c r="A4276" s="26" t="s">
        <v>10223</v>
      </c>
      <c r="B4276" s="34" t="s">
        <v>2180</v>
      </c>
      <c r="C4276" s="34" t="s">
        <v>643</v>
      </c>
      <c r="D4276" s="26" t="s">
        <v>10246</v>
      </c>
      <c r="E4276" s="37" t="s">
        <v>6395</v>
      </c>
    </row>
    <row r="4277" spans="1:5" ht="13.9">
      <c r="A4277" s="26" t="s">
        <v>10223</v>
      </c>
      <c r="B4277" s="34" t="s">
        <v>9832</v>
      </c>
      <c r="C4277" s="34" t="s">
        <v>2798</v>
      </c>
      <c r="D4277" s="26" t="s">
        <v>10246</v>
      </c>
      <c r="E4277" s="37" t="s">
        <v>6395</v>
      </c>
    </row>
    <row r="4278" spans="1:5" ht="13.9">
      <c r="A4278" s="26" t="s">
        <v>10223</v>
      </c>
      <c r="B4278" s="34" t="s">
        <v>6770</v>
      </c>
      <c r="C4278" s="39"/>
      <c r="D4278" s="26" t="s">
        <v>10246</v>
      </c>
      <c r="E4278" s="39" t="s">
        <v>6395</v>
      </c>
    </row>
    <row r="4279" spans="1:5" ht="13.9">
      <c r="A4279" s="26" t="s">
        <v>10223</v>
      </c>
      <c r="B4279" s="34" t="s">
        <v>6655</v>
      </c>
      <c r="C4279" s="34" t="s">
        <v>209</v>
      </c>
      <c r="D4279" s="26" t="s">
        <v>10246</v>
      </c>
      <c r="E4279" s="37" t="s">
        <v>6443</v>
      </c>
    </row>
    <row r="4280" spans="1:5" ht="13.9">
      <c r="A4280" s="26" t="s">
        <v>10223</v>
      </c>
      <c r="B4280" s="34" t="s">
        <v>6688</v>
      </c>
      <c r="C4280" s="39"/>
      <c r="D4280" s="26" t="s">
        <v>10246</v>
      </c>
      <c r="E4280" s="39" t="s">
        <v>6395</v>
      </c>
    </row>
    <row r="4281" spans="1:5" ht="13.9">
      <c r="A4281" s="26" t="s">
        <v>10223</v>
      </c>
      <c r="B4281" s="34" t="s">
        <v>9833</v>
      </c>
      <c r="C4281" s="39"/>
      <c r="D4281" s="26" t="s">
        <v>10246</v>
      </c>
      <c r="E4281" s="37" t="s">
        <v>6395</v>
      </c>
    </row>
    <row r="4282" spans="1:5" ht="13.9">
      <c r="A4282" s="26" t="s">
        <v>10223</v>
      </c>
      <c r="B4282" s="34" t="s">
        <v>6851</v>
      </c>
      <c r="C4282" s="34" t="s">
        <v>154</v>
      </c>
      <c r="D4282" s="26" t="s">
        <v>10246</v>
      </c>
      <c r="E4282" s="37" t="s">
        <v>6395</v>
      </c>
    </row>
    <row r="4283" spans="1:5" ht="13.9">
      <c r="A4283" s="26" t="s">
        <v>10223</v>
      </c>
      <c r="B4283" s="34" t="s">
        <v>1845</v>
      </c>
      <c r="C4283" s="34" t="s">
        <v>1545</v>
      </c>
      <c r="D4283" s="26" t="s">
        <v>10246</v>
      </c>
      <c r="E4283" s="37" t="s">
        <v>6395</v>
      </c>
    </row>
    <row r="4284" spans="1:5" ht="13.9">
      <c r="A4284" s="26" t="s">
        <v>10223</v>
      </c>
      <c r="B4284" s="34" t="s">
        <v>6881</v>
      </c>
      <c r="C4284" s="34" t="s">
        <v>509</v>
      </c>
      <c r="D4284" s="26" t="s">
        <v>10246</v>
      </c>
      <c r="E4284" s="37" t="s">
        <v>6395</v>
      </c>
    </row>
    <row r="4285" spans="1:5" ht="13.9">
      <c r="A4285" s="26" t="s">
        <v>10223</v>
      </c>
      <c r="B4285" s="34" t="s">
        <v>8261</v>
      </c>
      <c r="C4285" s="39"/>
      <c r="D4285" s="26" t="s">
        <v>10246</v>
      </c>
      <c r="E4285" s="39" t="s">
        <v>6395</v>
      </c>
    </row>
    <row r="4286" spans="1:5" ht="13.9">
      <c r="A4286" s="26" t="s">
        <v>10223</v>
      </c>
      <c r="B4286" s="34" t="s">
        <v>9834</v>
      </c>
      <c r="C4286" s="34" t="s">
        <v>8948</v>
      </c>
      <c r="D4286" s="26" t="s">
        <v>6480</v>
      </c>
      <c r="E4286" s="37" t="s">
        <v>6395</v>
      </c>
    </row>
    <row r="4287" spans="1:5" ht="13.9">
      <c r="A4287" s="26" t="s">
        <v>10223</v>
      </c>
      <c r="B4287" s="34" t="s">
        <v>9835</v>
      </c>
      <c r="C4287" s="39"/>
      <c r="D4287" s="26" t="s">
        <v>10248</v>
      </c>
      <c r="E4287" s="39" t="s">
        <v>6395</v>
      </c>
    </row>
    <row r="4288" spans="1:5" ht="13.9">
      <c r="A4288" s="26" t="s">
        <v>10223</v>
      </c>
      <c r="B4288" s="34" t="s">
        <v>357</v>
      </c>
      <c r="C4288" s="34" t="s">
        <v>9836</v>
      </c>
      <c r="D4288" s="26" t="s">
        <v>10248</v>
      </c>
      <c r="E4288" s="37" t="s">
        <v>10225</v>
      </c>
    </row>
    <row r="4289" spans="1:5" ht="13.9">
      <c r="A4289" s="26" t="s">
        <v>10223</v>
      </c>
      <c r="B4289" s="34" t="s">
        <v>9837</v>
      </c>
      <c r="C4289" s="34" t="s">
        <v>7062</v>
      </c>
      <c r="D4289" s="26" t="s">
        <v>10248</v>
      </c>
      <c r="E4289" s="39" t="s">
        <v>6395</v>
      </c>
    </row>
    <row r="4290" spans="1:5" ht="13.9">
      <c r="A4290" s="26" t="s">
        <v>10223</v>
      </c>
      <c r="B4290" s="34" t="s">
        <v>9838</v>
      </c>
      <c r="C4290" s="34" t="s">
        <v>9839</v>
      </c>
      <c r="D4290" s="26" t="s">
        <v>10248</v>
      </c>
      <c r="E4290" s="37" t="s">
        <v>10225</v>
      </c>
    </row>
    <row r="4291" spans="1:5" ht="13.9">
      <c r="A4291" s="26" t="s">
        <v>10223</v>
      </c>
      <c r="B4291" s="34" t="s">
        <v>4581</v>
      </c>
      <c r="C4291" s="34" t="s">
        <v>395</v>
      </c>
      <c r="D4291" s="26" t="s">
        <v>10248</v>
      </c>
      <c r="E4291" s="39" t="s">
        <v>6395</v>
      </c>
    </row>
    <row r="4292" spans="1:5" ht="13.9">
      <c r="A4292" s="26" t="s">
        <v>10223</v>
      </c>
      <c r="B4292" s="34" t="s">
        <v>9840</v>
      </c>
      <c r="C4292" s="39"/>
      <c r="D4292" s="26" t="s">
        <v>10248</v>
      </c>
      <c r="E4292" s="39" t="s">
        <v>6395</v>
      </c>
    </row>
    <row r="4293" spans="1:5" ht="13.9">
      <c r="A4293" s="26" t="s">
        <v>10223</v>
      </c>
      <c r="B4293" s="34" t="s">
        <v>9841</v>
      </c>
      <c r="C4293" s="39"/>
      <c r="D4293" s="26" t="s">
        <v>10248</v>
      </c>
      <c r="E4293" s="39" t="s">
        <v>6395</v>
      </c>
    </row>
    <row r="4294" spans="1:5" ht="13.9">
      <c r="A4294" s="26" t="s">
        <v>10223</v>
      </c>
      <c r="B4294" s="34" t="s">
        <v>9842</v>
      </c>
      <c r="C4294" s="39"/>
      <c r="D4294" s="38" t="s">
        <v>6480</v>
      </c>
      <c r="E4294" s="39" t="s">
        <v>6395</v>
      </c>
    </row>
    <row r="4295" spans="1:5" ht="13.9">
      <c r="A4295" s="26" t="s">
        <v>10223</v>
      </c>
      <c r="B4295" s="34" t="s">
        <v>9843</v>
      </c>
      <c r="C4295" s="39"/>
      <c r="D4295" s="26" t="s">
        <v>10248</v>
      </c>
      <c r="E4295" s="39" t="s">
        <v>6395</v>
      </c>
    </row>
    <row r="4296" spans="1:5" ht="13.9">
      <c r="A4296" s="26" t="s">
        <v>10223</v>
      </c>
      <c r="B4296" s="34" t="s">
        <v>9844</v>
      </c>
      <c r="C4296" s="39"/>
      <c r="D4296" s="26" t="s">
        <v>10248</v>
      </c>
      <c r="E4296" s="39" t="s">
        <v>6395</v>
      </c>
    </row>
    <row r="4297" spans="1:5" ht="13.9">
      <c r="A4297" s="26" t="s">
        <v>10223</v>
      </c>
      <c r="B4297" s="34" t="s">
        <v>7344</v>
      </c>
      <c r="C4297" s="39"/>
      <c r="D4297" s="26" t="s">
        <v>10248</v>
      </c>
      <c r="E4297" s="39" t="s">
        <v>6395</v>
      </c>
    </row>
    <row r="4298" spans="1:5" ht="13.9">
      <c r="A4298" s="26" t="s">
        <v>10223</v>
      </c>
      <c r="B4298" s="34" t="s">
        <v>9845</v>
      </c>
      <c r="C4298" s="39"/>
      <c r="D4298" s="26" t="s">
        <v>10248</v>
      </c>
      <c r="E4298" s="39" t="s">
        <v>6395</v>
      </c>
    </row>
    <row r="4299" spans="1:5" ht="13.9">
      <c r="A4299" s="26" t="s">
        <v>10223</v>
      </c>
      <c r="B4299" s="34" t="s">
        <v>9846</v>
      </c>
      <c r="C4299" s="39"/>
      <c r="D4299" s="26" t="s">
        <v>10248</v>
      </c>
      <c r="E4299" s="39" t="s">
        <v>6395</v>
      </c>
    </row>
    <row r="4300" spans="1:5" ht="13.9">
      <c r="A4300" s="26" t="s">
        <v>10223</v>
      </c>
      <c r="B4300" s="34" t="s">
        <v>9847</v>
      </c>
      <c r="C4300" s="39"/>
      <c r="D4300" s="26" t="s">
        <v>10248</v>
      </c>
      <c r="E4300" s="39" t="s">
        <v>6395</v>
      </c>
    </row>
    <row r="4301" spans="1:5" ht="13.9">
      <c r="A4301" s="26" t="s">
        <v>10223</v>
      </c>
      <c r="B4301" s="34" t="s">
        <v>10251</v>
      </c>
      <c r="C4301" s="39"/>
      <c r="D4301" s="26" t="s">
        <v>10248</v>
      </c>
      <c r="E4301" s="39" t="s">
        <v>6395</v>
      </c>
    </row>
    <row r="4302" spans="1:5" ht="13.9">
      <c r="A4302" s="26" t="s">
        <v>10223</v>
      </c>
      <c r="B4302" s="34" t="s">
        <v>9848</v>
      </c>
      <c r="C4302" s="39"/>
      <c r="D4302" s="26" t="s">
        <v>10248</v>
      </c>
      <c r="E4302" s="39" t="s">
        <v>6395</v>
      </c>
    </row>
    <row r="4303" spans="1:5" ht="13.9">
      <c r="A4303" s="26" t="s">
        <v>10223</v>
      </c>
      <c r="B4303" s="34" t="s">
        <v>9849</v>
      </c>
      <c r="C4303" s="37"/>
      <c r="D4303" s="26" t="s">
        <v>10248</v>
      </c>
      <c r="E4303" s="39" t="s">
        <v>6395</v>
      </c>
    </row>
    <row r="4304" spans="1:5" ht="13.9">
      <c r="A4304" s="26" t="s">
        <v>10223</v>
      </c>
      <c r="B4304" s="34" t="s">
        <v>9850</v>
      </c>
      <c r="C4304" s="39"/>
      <c r="D4304" s="26" t="s">
        <v>10248</v>
      </c>
      <c r="E4304" s="39" t="s">
        <v>6395</v>
      </c>
    </row>
    <row r="4305" spans="1:5" ht="13.9">
      <c r="A4305" s="26" t="s">
        <v>10223</v>
      </c>
      <c r="B4305" s="34" t="s">
        <v>9851</v>
      </c>
      <c r="C4305" s="39"/>
      <c r="D4305" s="26" t="s">
        <v>10248</v>
      </c>
      <c r="E4305" s="39" t="s">
        <v>6395</v>
      </c>
    </row>
    <row r="4306" spans="1:5" ht="13.9">
      <c r="A4306" s="26" t="s">
        <v>10223</v>
      </c>
      <c r="B4306" s="34" t="s">
        <v>8269</v>
      </c>
      <c r="C4306" s="34" t="s">
        <v>6712</v>
      </c>
      <c r="D4306" s="26" t="s">
        <v>10248</v>
      </c>
      <c r="E4306" s="39" t="s">
        <v>6395</v>
      </c>
    </row>
    <row r="4307" spans="1:5" ht="13.9">
      <c r="A4307" s="26" t="s">
        <v>10223</v>
      </c>
      <c r="B4307" s="34" t="s">
        <v>9852</v>
      </c>
      <c r="C4307" s="37"/>
      <c r="D4307" s="26" t="s">
        <v>10248</v>
      </c>
      <c r="E4307" s="39" t="s">
        <v>6395</v>
      </c>
    </row>
    <row r="4308" spans="1:5" ht="13.9">
      <c r="A4308" s="26" t="s">
        <v>10223</v>
      </c>
      <c r="B4308" s="34" t="s">
        <v>9853</v>
      </c>
      <c r="C4308" s="39"/>
      <c r="D4308" s="26" t="s">
        <v>6480</v>
      </c>
      <c r="E4308" s="39" t="s">
        <v>6395</v>
      </c>
    </row>
    <row r="4309" spans="1:5" ht="13.9">
      <c r="A4309" s="26" t="s">
        <v>10223</v>
      </c>
      <c r="B4309" s="34" t="s">
        <v>9854</v>
      </c>
      <c r="C4309" s="39"/>
      <c r="D4309" s="26" t="s">
        <v>6480</v>
      </c>
      <c r="E4309" s="39" t="s">
        <v>6395</v>
      </c>
    </row>
    <row r="4310" spans="1:5" ht="13.9">
      <c r="A4310" s="26" t="s">
        <v>10223</v>
      </c>
      <c r="B4310" s="36" t="s">
        <v>9855</v>
      </c>
      <c r="C4310" s="39"/>
      <c r="D4310" s="26" t="s">
        <v>6480</v>
      </c>
      <c r="E4310" s="39" t="s">
        <v>6395</v>
      </c>
    </row>
    <row r="4311" spans="1:5" ht="13.9">
      <c r="A4311" s="26" t="s">
        <v>10223</v>
      </c>
      <c r="B4311" s="34" t="s">
        <v>9856</v>
      </c>
      <c r="C4311" s="34" t="s">
        <v>9857</v>
      </c>
      <c r="D4311" s="26" t="s">
        <v>6480</v>
      </c>
      <c r="E4311" s="37" t="s">
        <v>6395</v>
      </c>
    </row>
    <row r="4312" spans="1:5" ht="13.9">
      <c r="A4312" s="26" t="s">
        <v>10223</v>
      </c>
      <c r="B4312" s="34" t="s">
        <v>8941</v>
      </c>
      <c r="C4312" s="34" t="s">
        <v>7360</v>
      </c>
      <c r="D4312" s="26" t="s">
        <v>6480</v>
      </c>
      <c r="E4312" s="39" t="s">
        <v>6395</v>
      </c>
    </row>
    <row r="4313" spans="1:5" ht="13.9">
      <c r="A4313" s="26" t="s">
        <v>10223</v>
      </c>
      <c r="B4313" s="34" t="s">
        <v>9858</v>
      </c>
      <c r="C4313" s="34" t="s">
        <v>9859</v>
      </c>
      <c r="D4313" s="26" t="s">
        <v>6480</v>
      </c>
      <c r="E4313" s="37" t="s">
        <v>1611</v>
      </c>
    </row>
    <row r="4314" spans="1:5" ht="13.9">
      <c r="A4314" s="26" t="s">
        <v>10223</v>
      </c>
      <c r="B4314" s="34" t="s">
        <v>2436</v>
      </c>
      <c r="C4314" s="34" t="s">
        <v>6473</v>
      </c>
      <c r="D4314" s="26" t="s">
        <v>10246</v>
      </c>
      <c r="E4314" s="37" t="s">
        <v>6395</v>
      </c>
    </row>
    <row r="4315" spans="1:5" ht="13.9">
      <c r="A4315" s="26" t="s">
        <v>10223</v>
      </c>
      <c r="B4315" s="34" t="s">
        <v>3461</v>
      </c>
      <c r="C4315" s="39"/>
      <c r="D4315" s="26" t="s">
        <v>10246</v>
      </c>
      <c r="E4315" s="37" t="s">
        <v>6395</v>
      </c>
    </row>
    <row r="4316" spans="1:5" ht="13.9">
      <c r="A4316" s="26" t="s">
        <v>10223</v>
      </c>
      <c r="B4316" s="34" t="s">
        <v>9860</v>
      </c>
      <c r="C4316" s="39"/>
      <c r="D4316" s="26" t="s">
        <v>10246</v>
      </c>
      <c r="E4316" s="37" t="s">
        <v>6395</v>
      </c>
    </row>
    <row r="4317" spans="1:5" ht="13.9">
      <c r="A4317" s="26" t="s">
        <v>10223</v>
      </c>
      <c r="B4317" s="34" t="s">
        <v>9861</v>
      </c>
      <c r="C4317" s="34" t="s">
        <v>574</v>
      </c>
      <c r="D4317" s="26" t="s">
        <v>10246</v>
      </c>
      <c r="E4317" s="39" t="s">
        <v>6395</v>
      </c>
    </row>
    <row r="4318" spans="1:5" ht="13.9">
      <c r="A4318" s="26" t="s">
        <v>10223</v>
      </c>
      <c r="B4318" s="34" t="s">
        <v>9862</v>
      </c>
      <c r="C4318" s="39"/>
      <c r="D4318" s="26" t="s">
        <v>10246</v>
      </c>
      <c r="E4318" s="37" t="s">
        <v>6395</v>
      </c>
    </row>
    <row r="4319" spans="1:5" ht="13.9">
      <c r="A4319" s="26" t="s">
        <v>10223</v>
      </c>
      <c r="B4319" s="34" t="s">
        <v>9863</v>
      </c>
      <c r="C4319" s="39"/>
      <c r="D4319" s="26" t="s">
        <v>10246</v>
      </c>
      <c r="E4319" s="37" t="s">
        <v>6395</v>
      </c>
    </row>
    <row r="4320" spans="1:5" ht="13.9">
      <c r="A4320" s="26" t="s">
        <v>10223</v>
      </c>
      <c r="B4320" s="34" t="s">
        <v>9864</v>
      </c>
      <c r="C4320" s="39"/>
      <c r="D4320" s="26" t="s">
        <v>10246</v>
      </c>
      <c r="E4320" s="37" t="s">
        <v>6395</v>
      </c>
    </row>
    <row r="4321" spans="1:5" ht="13.9">
      <c r="A4321" s="26" t="s">
        <v>10223</v>
      </c>
      <c r="B4321" s="34" t="s">
        <v>9865</v>
      </c>
      <c r="C4321" s="39"/>
      <c r="D4321" s="26" t="s">
        <v>10246</v>
      </c>
      <c r="E4321" s="37" t="s">
        <v>6395</v>
      </c>
    </row>
    <row r="4322" spans="1:5" ht="13.9">
      <c r="A4322" s="26" t="s">
        <v>10223</v>
      </c>
      <c r="B4322" s="34" t="s">
        <v>4329</v>
      </c>
      <c r="C4322" s="39"/>
      <c r="D4322" s="26" t="s">
        <v>10246</v>
      </c>
      <c r="E4322" s="37" t="s">
        <v>6395</v>
      </c>
    </row>
    <row r="4323" spans="1:5" ht="13.9">
      <c r="A4323" s="26" t="s">
        <v>10223</v>
      </c>
      <c r="B4323" s="34" t="s">
        <v>9866</v>
      </c>
      <c r="C4323" s="34" t="s">
        <v>9867</v>
      </c>
      <c r="D4323" s="26" t="s">
        <v>10246</v>
      </c>
      <c r="E4323" s="37" t="s">
        <v>6395</v>
      </c>
    </row>
    <row r="4324" spans="1:5" ht="13.9">
      <c r="A4324" s="26" t="s">
        <v>10223</v>
      </c>
      <c r="B4324" s="34" t="s">
        <v>7706</v>
      </c>
      <c r="C4324" s="39"/>
      <c r="D4324" s="26" t="s">
        <v>10246</v>
      </c>
      <c r="E4324" s="37" t="s">
        <v>6395</v>
      </c>
    </row>
    <row r="4325" spans="1:5" ht="13.9">
      <c r="A4325" s="26" t="s">
        <v>10223</v>
      </c>
      <c r="B4325" s="34" t="s">
        <v>1419</v>
      </c>
      <c r="C4325" s="34" t="s">
        <v>1331</v>
      </c>
      <c r="D4325" s="26" t="s">
        <v>10246</v>
      </c>
      <c r="E4325" s="37" t="s">
        <v>6395</v>
      </c>
    </row>
    <row r="4326" spans="1:5" ht="13.9">
      <c r="A4326" s="26" t="s">
        <v>10223</v>
      </c>
      <c r="B4326" s="34" t="s">
        <v>2411</v>
      </c>
      <c r="C4326" s="39"/>
      <c r="D4326" s="26" t="s">
        <v>10246</v>
      </c>
      <c r="E4326" s="37" t="s">
        <v>6395</v>
      </c>
    </row>
    <row r="4327" spans="1:5" ht="13.9">
      <c r="A4327" s="26" t="s">
        <v>10223</v>
      </c>
      <c r="B4327" s="34" t="s">
        <v>625</v>
      </c>
      <c r="C4327" s="39"/>
      <c r="D4327" s="26" t="s">
        <v>10246</v>
      </c>
      <c r="E4327" s="37" t="s">
        <v>6395</v>
      </c>
    </row>
    <row r="4328" spans="1:5" ht="13.9">
      <c r="A4328" s="26" t="s">
        <v>10223</v>
      </c>
      <c r="B4328" s="34" t="s">
        <v>9868</v>
      </c>
      <c r="C4328" s="34" t="s">
        <v>9045</v>
      </c>
      <c r="D4328" s="38" t="s">
        <v>6480</v>
      </c>
      <c r="E4328" s="37">
        <v>0</v>
      </c>
    </row>
    <row r="4329" spans="1:5" ht="13.9">
      <c r="A4329" s="26" t="s">
        <v>10223</v>
      </c>
      <c r="B4329" s="34" t="s">
        <v>640</v>
      </c>
      <c r="C4329" s="34" t="s">
        <v>154</v>
      </c>
      <c r="D4329" s="26" t="s">
        <v>10246</v>
      </c>
      <c r="E4329" s="39" t="s">
        <v>6395</v>
      </c>
    </row>
    <row r="4330" spans="1:5" ht="13.9">
      <c r="A4330" s="26" t="s">
        <v>10223</v>
      </c>
      <c r="B4330" s="34" t="s">
        <v>699</v>
      </c>
      <c r="C4330" s="34" t="s">
        <v>700</v>
      </c>
      <c r="D4330" s="26" t="s">
        <v>10246</v>
      </c>
      <c r="E4330" s="37" t="s">
        <v>6395</v>
      </c>
    </row>
    <row r="4331" spans="1:5" ht="13.9">
      <c r="A4331" s="26" t="s">
        <v>10223</v>
      </c>
      <c r="B4331" s="34" t="s">
        <v>9869</v>
      </c>
      <c r="C4331" s="34" t="s">
        <v>9870</v>
      </c>
      <c r="D4331" s="26" t="s">
        <v>10246</v>
      </c>
      <c r="E4331" s="39" t="s">
        <v>6395</v>
      </c>
    </row>
    <row r="4332" spans="1:5" ht="13.9">
      <c r="A4332" s="26" t="s">
        <v>10223</v>
      </c>
      <c r="B4332" s="34" t="s">
        <v>6562</v>
      </c>
      <c r="C4332" s="39"/>
      <c r="D4332" s="26" t="s">
        <v>10246</v>
      </c>
      <c r="E4332" s="37" t="s">
        <v>6395</v>
      </c>
    </row>
    <row r="4333" spans="1:5" ht="13.9">
      <c r="A4333" s="26" t="s">
        <v>10223</v>
      </c>
      <c r="B4333" s="34" t="s">
        <v>9871</v>
      </c>
      <c r="C4333" s="39"/>
      <c r="D4333" s="26" t="s">
        <v>10246</v>
      </c>
      <c r="E4333" s="37" t="s">
        <v>6395</v>
      </c>
    </row>
    <row r="4334" spans="1:5" ht="13.9">
      <c r="A4334" s="26" t="s">
        <v>10223</v>
      </c>
      <c r="B4334" s="34" t="s">
        <v>7194</v>
      </c>
      <c r="C4334" s="34" t="s">
        <v>42</v>
      </c>
      <c r="D4334" s="26" t="s">
        <v>10246</v>
      </c>
      <c r="E4334" s="39" t="s">
        <v>6395</v>
      </c>
    </row>
    <row r="4335" spans="1:5" ht="13.9">
      <c r="A4335" s="26" t="s">
        <v>10223</v>
      </c>
      <c r="B4335" s="34" t="s">
        <v>9872</v>
      </c>
      <c r="C4335" s="34" t="s">
        <v>9873</v>
      </c>
      <c r="D4335" s="26" t="s">
        <v>10246</v>
      </c>
      <c r="E4335" s="37" t="s">
        <v>6395</v>
      </c>
    </row>
    <row r="4336" spans="1:5" ht="13.9">
      <c r="A4336" s="26" t="s">
        <v>10223</v>
      </c>
      <c r="B4336" s="34" t="s">
        <v>7707</v>
      </c>
      <c r="C4336" s="39"/>
      <c r="D4336" s="26" t="s">
        <v>10246</v>
      </c>
      <c r="E4336" s="39" t="s">
        <v>6395</v>
      </c>
    </row>
    <row r="4337" spans="1:5" ht="13.9">
      <c r="A4337" s="26" t="s">
        <v>10223</v>
      </c>
      <c r="B4337" s="34" t="s">
        <v>384</v>
      </c>
      <c r="C4337" s="34" t="s">
        <v>42</v>
      </c>
      <c r="D4337" s="26" t="s">
        <v>10246</v>
      </c>
      <c r="E4337" s="37" t="s">
        <v>6395</v>
      </c>
    </row>
    <row r="4338" spans="1:5" ht="13.9">
      <c r="A4338" s="26" t="s">
        <v>10223</v>
      </c>
      <c r="B4338" s="34" t="s">
        <v>7328</v>
      </c>
      <c r="C4338" s="39"/>
      <c r="D4338" s="26" t="s">
        <v>10246</v>
      </c>
      <c r="E4338" s="37" t="s">
        <v>6395</v>
      </c>
    </row>
    <row r="4339" spans="1:5" ht="13.9">
      <c r="A4339" s="26" t="s">
        <v>10223</v>
      </c>
      <c r="B4339" s="34" t="s">
        <v>9874</v>
      </c>
      <c r="C4339" s="34" t="s">
        <v>142</v>
      </c>
      <c r="D4339" s="26" t="s">
        <v>10246</v>
      </c>
      <c r="E4339" s="37" t="s">
        <v>6395</v>
      </c>
    </row>
    <row r="4340" spans="1:5" ht="13.9">
      <c r="A4340" s="26" t="s">
        <v>10223</v>
      </c>
      <c r="B4340" s="34" t="s">
        <v>994</v>
      </c>
      <c r="C4340" s="34" t="s">
        <v>9875</v>
      </c>
      <c r="D4340" s="26" t="s">
        <v>10246</v>
      </c>
      <c r="E4340" s="37" t="s">
        <v>6395</v>
      </c>
    </row>
    <row r="4341" spans="1:5" ht="13.9">
      <c r="A4341" s="26" t="s">
        <v>10223</v>
      </c>
      <c r="B4341" s="34" t="s">
        <v>6423</v>
      </c>
      <c r="C4341" s="34" t="s">
        <v>348</v>
      </c>
      <c r="D4341" s="26" t="s">
        <v>10246</v>
      </c>
      <c r="E4341" s="39" t="s">
        <v>6395</v>
      </c>
    </row>
    <row r="4342" spans="1:5" ht="13.9">
      <c r="A4342" s="26" t="s">
        <v>10223</v>
      </c>
      <c r="B4342" s="34" t="s">
        <v>7712</v>
      </c>
      <c r="C4342" s="34" t="s">
        <v>7584</v>
      </c>
      <c r="D4342" s="26" t="s">
        <v>10246</v>
      </c>
      <c r="E4342" s="37" t="s">
        <v>6395</v>
      </c>
    </row>
    <row r="4343" spans="1:5" ht="13.9">
      <c r="A4343" s="26" t="s">
        <v>10223</v>
      </c>
      <c r="B4343" s="34" t="s">
        <v>889</v>
      </c>
      <c r="C4343" s="34" t="s">
        <v>9876</v>
      </c>
      <c r="D4343" s="26" t="s">
        <v>10246</v>
      </c>
      <c r="E4343" s="39" t="s">
        <v>6443</v>
      </c>
    </row>
    <row r="4344" spans="1:5" ht="13.9">
      <c r="A4344" s="26" t="s">
        <v>10223</v>
      </c>
      <c r="B4344" s="34" t="s">
        <v>9877</v>
      </c>
      <c r="C4344" s="39"/>
      <c r="D4344" s="26" t="s">
        <v>10246</v>
      </c>
      <c r="E4344" s="37" t="s">
        <v>6395</v>
      </c>
    </row>
    <row r="4345" spans="1:5" ht="13.9">
      <c r="A4345" s="26" t="s">
        <v>10223</v>
      </c>
      <c r="B4345" s="34" t="s">
        <v>4603</v>
      </c>
      <c r="C4345" s="39"/>
      <c r="D4345" s="26" t="s">
        <v>10246</v>
      </c>
      <c r="E4345" s="39" t="s">
        <v>6395</v>
      </c>
    </row>
    <row r="4346" spans="1:5" ht="13.9">
      <c r="A4346" s="26" t="s">
        <v>10223</v>
      </c>
      <c r="B4346" s="34" t="s">
        <v>2212</v>
      </c>
      <c r="C4346" s="39"/>
      <c r="D4346" s="26" t="s">
        <v>10246</v>
      </c>
      <c r="E4346" s="37" t="s">
        <v>6395</v>
      </c>
    </row>
    <row r="4347" spans="1:5" ht="13.9">
      <c r="A4347" s="26" t="s">
        <v>10223</v>
      </c>
      <c r="B4347" s="34" t="s">
        <v>1401</v>
      </c>
      <c r="C4347" s="39"/>
      <c r="D4347" s="26" t="s">
        <v>10246</v>
      </c>
      <c r="E4347" s="37" t="s">
        <v>6395</v>
      </c>
    </row>
    <row r="4348" spans="1:5" ht="13.9">
      <c r="A4348" s="26" t="s">
        <v>10223</v>
      </c>
      <c r="B4348" s="34" t="s">
        <v>7208</v>
      </c>
      <c r="C4348" s="34" t="s">
        <v>9878</v>
      </c>
      <c r="D4348" s="26" t="s">
        <v>10246</v>
      </c>
      <c r="E4348" s="37" t="s">
        <v>6395</v>
      </c>
    </row>
    <row r="4349" spans="1:5" ht="13.9">
      <c r="A4349" s="26" t="s">
        <v>10223</v>
      </c>
      <c r="B4349" s="40" t="s">
        <v>8399</v>
      </c>
      <c r="C4349" s="34" t="s">
        <v>9879</v>
      </c>
      <c r="D4349" s="26" t="s">
        <v>10246</v>
      </c>
      <c r="E4349" s="39">
        <v>0</v>
      </c>
    </row>
    <row r="4350" spans="1:5" ht="13.9">
      <c r="A4350" s="26" t="s">
        <v>10223</v>
      </c>
      <c r="B4350" s="40" t="s">
        <v>8399</v>
      </c>
      <c r="C4350" s="34" t="s">
        <v>1545</v>
      </c>
      <c r="D4350" s="26" t="s">
        <v>10246</v>
      </c>
      <c r="E4350" s="37">
        <v>0</v>
      </c>
    </row>
    <row r="4351" spans="1:5" ht="13.9">
      <c r="A4351" s="26" t="s">
        <v>10223</v>
      </c>
      <c r="B4351" s="34" t="s">
        <v>9880</v>
      </c>
      <c r="C4351" s="39"/>
      <c r="D4351" s="26" t="s">
        <v>10246</v>
      </c>
      <c r="E4351" s="37" t="s">
        <v>6395</v>
      </c>
    </row>
    <row r="4352" spans="1:5" ht="13.9">
      <c r="A4352" s="26" t="s">
        <v>10223</v>
      </c>
      <c r="B4352" s="34" t="s">
        <v>869</v>
      </c>
      <c r="C4352" s="34" t="s">
        <v>154</v>
      </c>
      <c r="D4352" s="26" t="s">
        <v>10246</v>
      </c>
      <c r="E4352" s="37" t="s">
        <v>6395</v>
      </c>
    </row>
    <row r="4353" spans="1:5" ht="13.9">
      <c r="A4353" s="26" t="s">
        <v>10223</v>
      </c>
      <c r="B4353" s="34" t="s">
        <v>9881</v>
      </c>
      <c r="C4353" s="37"/>
      <c r="D4353" s="26" t="s">
        <v>10246</v>
      </c>
      <c r="E4353" s="39" t="s">
        <v>6395</v>
      </c>
    </row>
    <row r="4354" spans="1:5" ht="13.9">
      <c r="A4354" s="26" t="s">
        <v>10223</v>
      </c>
      <c r="B4354" s="34" t="s">
        <v>7718</v>
      </c>
      <c r="C4354" s="39"/>
      <c r="D4354" s="26" t="s">
        <v>10246</v>
      </c>
      <c r="E4354" s="39" t="s">
        <v>6395</v>
      </c>
    </row>
    <row r="4355" spans="1:5" ht="13.9">
      <c r="A4355" s="26" t="s">
        <v>10223</v>
      </c>
      <c r="B4355" s="34" t="s">
        <v>7307</v>
      </c>
      <c r="C4355" s="34" t="s">
        <v>9882</v>
      </c>
      <c r="D4355" s="26" t="s">
        <v>10246</v>
      </c>
      <c r="E4355" s="37">
        <v>0</v>
      </c>
    </row>
    <row r="4356" spans="1:5" ht="13.9">
      <c r="A4356" s="26" t="s">
        <v>10223</v>
      </c>
      <c r="B4356" s="34" t="s">
        <v>9883</v>
      </c>
      <c r="C4356" s="39"/>
      <c r="D4356" s="26" t="s">
        <v>10246</v>
      </c>
      <c r="E4356" s="37" t="s">
        <v>6443</v>
      </c>
    </row>
    <row r="4357" spans="1:5" ht="13.9">
      <c r="A4357" s="26" t="s">
        <v>10223</v>
      </c>
      <c r="B4357" s="34" t="s">
        <v>2536</v>
      </c>
      <c r="C4357" s="39"/>
      <c r="D4357" s="26" t="s">
        <v>10246</v>
      </c>
      <c r="E4357" s="37" t="s">
        <v>6395</v>
      </c>
    </row>
    <row r="4358" spans="1:5" ht="13.9">
      <c r="A4358" s="26" t="s">
        <v>10223</v>
      </c>
      <c r="B4358" s="34" t="s">
        <v>319</v>
      </c>
      <c r="C4358" s="34" t="s">
        <v>154</v>
      </c>
      <c r="D4358" s="26" t="s">
        <v>10246</v>
      </c>
      <c r="E4358" s="37" t="s">
        <v>6395</v>
      </c>
    </row>
    <row r="4359" spans="1:5" ht="13.9">
      <c r="A4359" s="26" t="s">
        <v>10223</v>
      </c>
      <c r="B4359" s="34" t="s">
        <v>9884</v>
      </c>
      <c r="C4359" s="39"/>
      <c r="D4359" s="26" t="s">
        <v>10246</v>
      </c>
      <c r="E4359" s="39" t="s">
        <v>6395</v>
      </c>
    </row>
    <row r="4360" spans="1:5" ht="13.9">
      <c r="A4360" s="26" t="s">
        <v>10223</v>
      </c>
      <c r="B4360" s="34" t="s">
        <v>9885</v>
      </c>
      <c r="C4360" s="39"/>
      <c r="D4360" s="26" t="s">
        <v>10246</v>
      </c>
      <c r="E4360" s="37" t="s">
        <v>6395</v>
      </c>
    </row>
    <row r="4361" spans="1:5" ht="13.9">
      <c r="A4361" s="26" t="s">
        <v>10223</v>
      </c>
      <c r="B4361" s="34" t="s">
        <v>1944</v>
      </c>
      <c r="C4361" s="34" t="s">
        <v>2975</v>
      </c>
      <c r="D4361" s="26" t="s">
        <v>10246</v>
      </c>
      <c r="E4361" s="37" t="s">
        <v>6395</v>
      </c>
    </row>
    <row r="4362" spans="1:5" ht="13.9">
      <c r="A4362" s="26" t="s">
        <v>10223</v>
      </c>
      <c r="B4362" s="34" t="s">
        <v>9886</v>
      </c>
      <c r="C4362" s="34" t="s">
        <v>6560</v>
      </c>
      <c r="D4362" s="26" t="s">
        <v>10246</v>
      </c>
      <c r="E4362" s="37" t="s">
        <v>6395</v>
      </c>
    </row>
    <row r="4363" spans="1:5" ht="13.9">
      <c r="A4363" s="26" t="s">
        <v>10223</v>
      </c>
      <c r="B4363" s="34" t="s">
        <v>8402</v>
      </c>
      <c r="C4363" s="34" t="s">
        <v>1601</v>
      </c>
      <c r="D4363" s="26" t="s">
        <v>10246</v>
      </c>
      <c r="E4363" s="39" t="s">
        <v>6395</v>
      </c>
    </row>
    <row r="4364" spans="1:5" ht="13.9">
      <c r="A4364" s="26" t="s">
        <v>10223</v>
      </c>
      <c r="B4364" s="34" t="s">
        <v>9887</v>
      </c>
      <c r="C4364" s="39"/>
      <c r="D4364" s="26" t="s">
        <v>10246</v>
      </c>
      <c r="E4364" s="37" t="s">
        <v>6395</v>
      </c>
    </row>
    <row r="4365" spans="1:5" ht="13.9">
      <c r="A4365" s="26" t="s">
        <v>10223</v>
      </c>
      <c r="B4365" s="34" t="s">
        <v>9888</v>
      </c>
      <c r="C4365" s="34" t="s">
        <v>9889</v>
      </c>
      <c r="D4365" s="26" t="s">
        <v>10246</v>
      </c>
      <c r="E4365" s="39" t="s">
        <v>6395</v>
      </c>
    </row>
    <row r="4366" spans="1:5" ht="13.9">
      <c r="A4366" s="26" t="s">
        <v>10223</v>
      </c>
      <c r="B4366" s="34" t="s">
        <v>8403</v>
      </c>
      <c r="C4366" s="39"/>
      <c r="D4366" s="26" t="s">
        <v>10246</v>
      </c>
      <c r="E4366" s="37" t="s">
        <v>6395</v>
      </c>
    </row>
    <row r="4367" spans="1:5" ht="13.9">
      <c r="A4367" s="26" t="s">
        <v>10223</v>
      </c>
      <c r="B4367" s="34" t="s">
        <v>7728</v>
      </c>
      <c r="C4367" s="39"/>
      <c r="D4367" s="26" t="s">
        <v>10246</v>
      </c>
      <c r="E4367" s="37" t="s">
        <v>6395</v>
      </c>
    </row>
    <row r="4368" spans="1:5" ht="13.9">
      <c r="A4368" s="26" t="s">
        <v>10223</v>
      </c>
      <c r="B4368" s="34" t="s">
        <v>8958</v>
      </c>
      <c r="C4368" s="34" t="s">
        <v>8959</v>
      </c>
      <c r="D4368" s="26" t="s">
        <v>10246</v>
      </c>
      <c r="E4368" s="39" t="s">
        <v>6395</v>
      </c>
    </row>
    <row r="4369" spans="1:5" ht="13.9">
      <c r="A4369" s="26" t="s">
        <v>10223</v>
      </c>
      <c r="B4369" s="34" t="s">
        <v>9890</v>
      </c>
      <c r="C4369" s="34" t="s">
        <v>9891</v>
      </c>
      <c r="D4369" s="26" t="s">
        <v>10246</v>
      </c>
      <c r="E4369" s="37" t="s">
        <v>6395</v>
      </c>
    </row>
    <row r="4370" spans="1:5" ht="13.9">
      <c r="A4370" s="26" t="s">
        <v>10223</v>
      </c>
      <c r="B4370" s="34" t="s">
        <v>798</v>
      </c>
      <c r="C4370" s="34" t="s">
        <v>799</v>
      </c>
      <c r="D4370" s="26" t="s">
        <v>10246</v>
      </c>
      <c r="E4370" s="39" t="s">
        <v>6395</v>
      </c>
    </row>
    <row r="4371" spans="1:5" ht="13.9">
      <c r="A4371" s="26" t="s">
        <v>10223</v>
      </c>
      <c r="B4371" s="34" t="s">
        <v>1153</v>
      </c>
      <c r="C4371" s="39"/>
      <c r="D4371" s="26" t="s">
        <v>10246</v>
      </c>
      <c r="E4371" s="37" t="s">
        <v>1611</v>
      </c>
    </row>
    <row r="4372" spans="1:5" ht="13.9">
      <c r="A4372" s="26" t="s">
        <v>10223</v>
      </c>
      <c r="B4372" s="34" t="s">
        <v>2288</v>
      </c>
      <c r="C4372" s="34" t="s">
        <v>2289</v>
      </c>
      <c r="D4372" s="26" t="s">
        <v>10246</v>
      </c>
      <c r="E4372" s="37" t="s">
        <v>6395</v>
      </c>
    </row>
    <row r="4373" spans="1:5" ht="13.9">
      <c r="A4373" s="26" t="s">
        <v>10223</v>
      </c>
      <c r="B4373" s="34" t="s">
        <v>7338</v>
      </c>
      <c r="C4373" s="39"/>
      <c r="D4373" s="26" t="s">
        <v>10246</v>
      </c>
      <c r="E4373" s="37">
        <v>0</v>
      </c>
    </row>
    <row r="4374" spans="1:5" ht="13.9">
      <c r="A4374" s="26" t="s">
        <v>10223</v>
      </c>
      <c r="B4374" s="34" t="s">
        <v>7729</v>
      </c>
      <c r="C4374" s="39"/>
      <c r="D4374" s="26" t="s">
        <v>10246</v>
      </c>
      <c r="E4374" s="37" t="s">
        <v>6395</v>
      </c>
    </row>
    <row r="4375" spans="1:5" ht="13.9">
      <c r="A4375" s="26" t="s">
        <v>10223</v>
      </c>
      <c r="B4375" s="34" t="s">
        <v>8551</v>
      </c>
      <c r="C4375" s="34" t="s">
        <v>227</v>
      </c>
      <c r="D4375" s="26" t="s">
        <v>10246</v>
      </c>
      <c r="E4375" s="37" t="s">
        <v>6395</v>
      </c>
    </row>
    <row r="4376" spans="1:5" ht="13.9">
      <c r="A4376" s="26" t="s">
        <v>10223</v>
      </c>
      <c r="B4376" s="34" t="s">
        <v>9892</v>
      </c>
      <c r="C4376" s="39"/>
      <c r="D4376" s="26" t="s">
        <v>10246</v>
      </c>
      <c r="E4376" s="39" t="s">
        <v>6395</v>
      </c>
    </row>
    <row r="4377" spans="1:5" ht="13.9">
      <c r="A4377" s="26" t="s">
        <v>10223</v>
      </c>
      <c r="B4377" s="34" t="s">
        <v>9893</v>
      </c>
      <c r="C4377" s="34" t="s">
        <v>9894</v>
      </c>
      <c r="D4377" s="26" t="s">
        <v>10246</v>
      </c>
      <c r="E4377" s="37" t="s">
        <v>6395</v>
      </c>
    </row>
    <row r="4378" spans="1:5" ht="13.9">
      <c r="A4378" s="26" t="s">
        <v>10223</v>
      </c>
      <c r="B4378" s="34" t="s">
        <v>9895</v>
      </c>
      <c r="C4378" s="34" t="s">
        <v>7437</v>
      </c>
      <c r="D4378" s="26" t="s">
        <v>10246</v>
      </c>
      <c r="E4378" s="39" t="s">
        <v>6395</v>
      </c>
    </row>
    <row r="4379" spans="1:5" ht="13.9">
      <c r="A4379" s="26" t="s">
        <v>10223</v>
      </c>
      <c r="B4379" s="34" t="s">
        <v>9896</v>
      </c>
      <c r="C4379" s="34" t="s">
        <v>154</v>
      </c>
      <c r="D4379" s="26" t="s">
        <v>10246</v>
      </c>
      <c r="E4379" s="37" t="s">
        <v>6395</v>
      </c>
    </row>
    <row r="4380" spans="1:5" ht="13.9">
      <c r="A4380" s="26" t="s">
        <v>10223</v>
      </c>
      <c r="B4380" s="34" t="s">
        <v>9897</v>
      </c>
      <c r="C4380" s="39"/>
      <c r="D4380" s="26" t="s">
        <v>10246</v>
      </c>
      <c r="E4380" s="37">
        <v>0</v>
      </c>
    </row>
    <row r="4381" spans="1:5" ht="13.9">
      <c r="A4381" s="26" t="s">
        <v>10223</v>
      </c>
      <c r="B4381" s="34" t="s">
        <v>6890</v>
      </c>
      <c r="C4381" s="39"/>
      <c r="D4381" s="26" t="s">
        <v>10246</v>
      </c>
      <c r="E4381" s="37" t="s">
        <v>6395</v>
      </c>
    </row>
    <row r="4382" spans="1:5" ht="13.9">
      <c r="A4382" s="26" t="s">
        <v>10223</v>
      </c>
      <c r="B4382" s="34" t="s">
        <v>2781</v>
      </c>
      <c r="C4382" s="34" t="s">
        <v>265</v>
      </c>
      <c r="D4382" s="26" t="s">
        <v>10246</v>
      </c>
      <c r="E4382" s="37" t="s">
        <v>6395</v>
      </c>
    </row>
    <row r="4383" spans="1:5" ht="13.9">
      <c r="A4383" s="26" t="s">
        <v>10223</v>
      </c>
      <c r="B4383" s="34" t="s">
        <v>488</v>
      </c>
      <c r="C4383" s="39"/>
      <c r="D4383" s="26" t="s">
        <v>10246</v>
      </c>
      <c r="E4383" s="39" t="s">
        <v>6395</v>
      </c>
    </row>
    <row r="4384" spans="1:5" ht="13.9">
      <c r="A4384" s="26" t="s">
        <v>10223</v>
      </c>
      <c r="B4384" s="34" t="s">
        <v>9898</v>
      </c>
      <c r="C4384" s="39"/>
      <c r="D4384" s="26" t="s">
        <v>10246</v>
      </c>
      <c r="E4384" s="37" t="s">
        <v>6395</v>
      </c>
    </row>
    <row r="4385" spans="1:5" ht="13.9">
      <c r="A4385" s="26" t="s">
        <v>10223</v>
      </c>
      <c r="B4385" s="34" t="s">
        <v>9899</v>
      </c>
      <c r="C4385" s="34" t="s">
        <v>7786</v>
      </c>
      <c r="D4385" s="26" t="s">
        <v>10246</v>
      </c>
      <c r="E4385" s="39" t="s">
        <v>6395</v>
      </c>
    </row>
    <row r="4386" spans="1:5" ht="13.9">
      <c r="A4386" s="26" t="s">
        <v>10223</v>
      </c>
      <c r="B4386" s="34" t="s">
        <v>540</v>
      </c>
      <c r="C4386" s="34" t="s">
        <v>541</v>
      </c>
      <c r="D4386" s="26" t="s">
        <v>10246</v>
      </c>
      <c r="E4386" s="37" t="s">
        <v>6395</v>
      </c>
    </row>
    <row r="4387" spans="1:5" ht="13.9">
      <c r="A4387" s="26" t="s">
        <v>10223</v>
      </c>
      <c r="B4387" s="34" t="s">
        <v>1005</v>
      </c>
      <c r="C4387" s="34" t="s">
        <v>935</v>
      </c>
      <c r="D4387" s="26" t="s">
        <v>10246</v>
      </c>
      <c r="E4387" s="37" t="s">
        <v>6395</v>
      </c>
    </row>
    <row r="4388" spans="1:5" ht="13.9">
      <c r="A4388" s="26" t="s">
        <v>10223</v>
      </c>
      <c r="B4388" s="34" t="s">
        <v>2890</v>
      </c>
      <c r="C4388" s="34" t="s">
        <v>776</v>
      </c>
      <c r="D4388" s="26" t="s">
        <v>10246</v>
      </c>
      <c r="E4388" s="39" t="s">
        <v>6395</v>
      </c>
    </row>
    <row r="4389" spans="1:5" ht="13.9">
      <c r="A4389" s="26" t="s">
        <v>10223</v>
      </c>
      <c r="B4389" s="34" t="s">
        <v>9900</v>
      </c>
      <c r="C4389" s="34" t="s">
        <v>209</v>
      </c>
      <c r="D4389" s="26" t="s">
        <v>10246</v>
      </c>
      <c r="E4389" s="37" t="s">
        <v>6443</v>
      </c>
    </row>
    <row r="4390" spans="1:5" ht="13.9">
      <c r="A4390" s="26" t="s">
        <v>10223</v>
      </c>
      <c r="B4390" s="34" t="s">
        <v>1977</v>
      </c>
      <c r="C4390" s="39"/>
      <c r="D4390" s="26" t="s">
        <v>10246</v>
      </c>
      <c r="E4390" s="37" t="s">
        <v>6395</v>
      </c>
    </row>
    <row r="4391" spans="1:5" ht="13.9">
      <c r="A4391" s="26" t="s">
        <v>10223</v>
      </c>
      <c r="B4391" s="34" t="s">
        <v>7738</v>
      </c>
      <c r="C4391" s="39"/>
      <c r="D4391" s="26" t="s">
        <v>10246</v>
      </c>
      <c r="E4391" s="37" t="s">
        <v>6395</v>
      </c>
    </row>
    <row r="4392" spans="1:5" ht="13.9">
      <c r="A4392" s="26" t="s">
        <v>10223</v>
      </c>
      <c r="B4392" s="34" t="s">
        <v>6939</v>
      </c>
      <c r="C4392" s="39"/>
      <c r="D4392" s="26" t="s">
        <v>10246</v>
      </c>
      <c r="E4392" s="37" t="s">
        <v>6395</v>
      </c>
    </row>
    <row r="4393" spans="1:5" ht="13.9">
      <c r="A4393" s="26" t="s">
        <v>10223</v>
      </c>
      <c r="B4393" s="34" t="s">
        <v>7744</v>
      </c>
      <c r="C4393" s="39"/>
      <c r="D4393" s="26" t="s">
        <v>10246</v>
      </c>
      <c r="E4393" s="37" t="s">
        <v>6395</v>
      </c>
    </row>
    <row r="4394" spans="1:5" ht="13.9">
      <c r="A4394" s="26" t="s">
        <v>10223</v>
      </c>
      <c r="B4394" s="34" t="s">
        <v>9901</v>
      </c>
      <c r="C4394" s="34" t="s">
        <v>8653</v>
      </c>
      <c r="D4394" s="26" t="s">
        <v>10246</v>
      </c>
      <c r="E4394" s="37" t="s">
        <v>6395</v>
      </c>
    </row>
    <row r="4395" spans="1:5" ht="13.9">
      <c r="A4395" s="26" t="s">
        <v>10223</v>
      </c>
      <c r="B4395" s="34" t="s">
        <v>9902</v>
      </c>
      <c r="C4395" s="34" t="s">
        <v>9903</v>
      </c>
      <c r="D4395" s="26" t="s">
        <v>10246</v>
      </c>
      <c r="E4395" s="37" t="s">
        <v>6395</v>
      </c>
    </row>
    <row r="4396" spans="1:5" ht="13.9">
      <c r="A4396" s="26" t="s">
        <v>10223</v>
      </c>
      <c r="B4396" s="34" t="s">
        <v>516</v>
      </c>
      <c r="C4396" s="39"/>
      <c r="D4396" s="26" t="s">
        <v>10246</v>
      </c>
      <c r="E4396" s="37" t="s">
        <v>6395</v>
      </c>
    </row>
    <row r="4397" spans="1:5" ht="13.9">
      <c r="A4397" s="26" t="s">
        <v>10223</v>
      </c>
      <c r="B4397" s="34" t="s">
        <v>9904</v>
      </c>
      <c r="C4397" s="39"/>
      <c r="D4397" s="26" t="s">
        <v>10246</v>
      </c>
      <c r="E4397" s="37" t="s">
        <v>6395</v>
      </c>
    </row>
    <row r="4398" spans="1:5" ht="13.9">
      <c r="A4398" s="26" t="s">
        <v>10223</v>
      </c>
      <c r="B4398" s="34" t="s">
        <v>9905</v>
      </c>
      <c r="C4398" s="39"/>
      <c r="D4398" s="26" t="s">
        <v>10246</v>
      </c>
      <c r="E4398" s="37" t="s">
        <v>6395</v>
      </c>
    </row>
    <row r="4399" spans="1:5" ht="13.9">
      <c r="A4399" s="26" t="s">
        <v>10223</v>
      </c>
      <c r="B4399" s="34" t="s">
        <v>483</v>
      </c>
      <c r="C4399" s="34" t="s">
        <v>9906</v>
      </c>
      <c r="D4399" s="26" t="s">
        <v>10246</v>
      </c>
      <c r="E4399" s="37" t="s">
        <v>6479</v>
      </c>
    </row>
    <row r="4400" spans="1:5" ht="13.9">
      <c r="A4400" s="26" t="s">
        <v>10223</v>
      </c>
      <c r="B4400" s="34" t="s">
        <v>9907</v>
      </c>
      <c r="C4400" s="39"/>
      <c r="D4400" s="26" t="s">
        <v>10246</v>
      </c>
      <c r="E4400" s="37" t="s">
        <v>6395</v>
      </c>
    </row>
    <row r="4401" spans="1:5" ht="13.9">
      <c r="A4401" s="26" t="s">
        <v>10223</v>
      </c>
      <c r="B4401" s="34" t="s">
        <v>2460</v>
      </c>
      <c r="C4401" s="34" t="s">
        <v>2461</v>
      </c>
      <c r="D4401" s="26" t="s">
        <v>10246</v>
      </c>
      <c r="E4401" s="37" t="s">
        <v>6395</v>
      </c>
    </row>
    <row r="4402" spans="1:5" ht="13.9">
      <c r="A4402" s="26" t="s">
        <v>10223</v>
      </c>
      <c r="B4402" s="34" t="s">
        <v>3059</v>
      </c>
      <c r="C4402" s="34" t="s">
        <v>1331</v>
      </c>
      <c r="D4402" s="26" t="s">
        <v>10246</v>
      </c>
      <c r="E4402" s="37" t="s">
        <v>6395</v>
      </c>
    </row>
    <row r="4403" spans="1:5" ht="13.9">
      <c r="A4403" s="26" t="s">
        <v>10223</v>
      </c>
      <c r="B4403" s="34" t="s">
        <v>9908</v>
      </c>
      <c r="C4403" s="39"/>
      <c r="D4403" s="26" t="s">
        <v>10246</v>
      </c>
      <c r="E4403" s="37" t="s">
        <v>6395</v>
      </c>
    </row>
    <row r="4404" spans="1:5" ht="13.9">
      <c r="A4404" s="26" t="s">
        <v>10223</v>
      </c>
      <c r="B4404" s="34" t="s">
        <v>9909</v>
      </c>
      <c r="C4404" s="39"/>
      <c r="D4404" s="26" t="s">
        <v>10246</v>
      </c>
      <c r="E4404" s="39" t="s">
        <v>6411</v>
      </c>
    </row>
    <row r="4405" spans="1:5" ht="13.9">
      <c r="A4405" s="26" t="s">
        <v>10223</v>
      </c>
      <c r="B4405" s="34" t="s">
        <v>3405</v>
      </c>
      <c r="C4405" s="34" t="s">
        <v>9910</v>
      </c>
      <c r="D4405" s="26" t="s">
        <v>10246</v>
      </c>
      <c r="E4405" s="37" t="s">
        <v>6395</v>
      </c>
    </row>
    <row r="4406" spans="1:5" ht="13.9">
      <c r="A4406" s="26" t="s">
        <v>10223</v>
      </c>
      <c r="B4406" s="34" t="s">
        <v>9911</v>
      </c>
      <c r="C4406" s="39"/>
      <c r="D4406" s="26" t="s">
        <v>10246</v>
      </c>
      <c r="E4406" s="37" t="s">
        <v>6395</v>
      </c>
    </row>
    <row r="4407" spans="1:5" ht="13.9">
      <c r="A4407" s="26" t="s">
        <v>10223</v>
      </c>
      <c r="B4407" s="34" t="s">
        <v>7757</v>
      </c>
      <c r="C4407" s="34" t="s">
        <v>1466</v>
      </c>
      <c r="D4407" s="26" t="s">
        <v>10246</v>
      </c>
      <c r="E4407" s="39" t="s">
        <v>6395</v>
      </c>
    </row>
    <row r="4408" spans="1:5" ht="13.9">
      <c r="A4408" s="26" t="s">
        <v>10223</v>
      </c>
      <c r="B4408" s="34" t="s">
        <v>9912</v>
      </c>
      <c r="C4408" s="34" t="s">
        <v>154</v>
      </c>
      <c r="D4408" s="26" t="s">
        <v>10246</v>
      </c>
      <c r="E4408" s="37" t="s">
        <v>6395</v>
      </c>
    </row>
    <row r="4409" spans="1:5" ht="13.9">
      <c r="A4409" s="26" t="s">
        <v>10223</v>
      </c>
      <c r="B4409" s="34" t="s">
        <v>3415</v>
      </c>
      <c r="C4409" s="34" t="s">
        <v>742</v>
      </c>
      <c r="D4409" s="26" t="s">
        <v>10246</v>
      </c>
      <c r="E4409" s="39" t="s">
        <v>6395</v>
      </c>
    </row>
    <row r="4410" spans="1:5" ht="13.9">
      <c r="A4410" s="26" t="s">
        <v>10223</v>
      </c>
      <c r="B4410" s="34" t="s">
        <v>7141</v>
      </c>
      <c r="C4410" s="34" t="s">
        <v>6451</v>
      </c>
      <c r="D4410" s="26" t="s">
        <v>10246</v>
      </c>
      <c r="E4410" s="37" t="s">
        <v>6395</v>
      </c>
    </row>
    <row r="4411" spans="1:5" ht="13.9">
      <c r="A4411" s="26" t="s">
        <v>10223</v>
      </c>
      <c r="B4411" s="34" t="s">
        <v>9913</v>
      </c>
      <c r="C4411" s="39"/>
      <c r="D4411" s="26" t="s">
        <v>10246</v>
      </c>
      <c r="E4411" s="37" t="s">
        <v>6395</v>
      </c>
    </row>
    <row r="4412" spans="1:5" ht="13.9">
      <c r="A4412" s="26" t="s">
        <v>10223</v>
      </c>
      <c r="B4412" s="34" t="s">
        <v>9914</v>
      </c>
      <c r="C4412" s="34" t="s">
        <v>446</v>
      </c>
      <c r="D4412" s="26" t="s">
        <v>10246</v>
      </c>
      <c r="E4412" s="39" t="s">
        <v>6395</v>
      </c>
    </row>
    <row r="4413" spans="1:5" ht="13.9">
      <c r="A4413" s="26" t="s">
        <v>10223</v>
      </c>
      <c r="B4413" s="34" t="s">
        <v>7766</v>
      </c>
      <c r="C4413" s="34" t="s">
        <v>7449</v>
      </c>
      <c r="D4413" s="26" t="s">
        <v>10246</v>
      </c>
      <c r="E4413" s="37" t="s">
        <v>6395</v>
      </c>
    </row>
    <row r="4414" spans="1:5" ht="13.9">
      <c r="A4414" s="26" t="s">
        <v>10223</v>
      </c>
      <c r="B4414" s="34" t="s">
        <v>9915</v>
      </c>
      <c r="C4414" s="39"/>
      <c r="D4414" s="26" t="s">
        <v>10246</v>
      </c>
      <c r="E4414" s="37" t="s">
        <v>6395</v>
      </c>
    </row>
    <row r="4415" spans="1:5" ht="13.9">
      <c r="A4415" s="26" t="s">
        <v>10223</v>
      </c>
      <c r="B4415" s="34" t="s">
        <v>6595</v>
      </c>
      <c r="C4415" s="34" t="s">
        <v>6667</v>
      </c>
      <c r="D4415" s="26" t="s">
        <v>10246</v>
      </c>
      <c r="E4415" s="37" t="s">
        <v>6395</v>
      </c>
    </row>
    <row r="4416" spans="1:5" ht="13.9">
      <c r="A4416" s="26" t="s">
        <v>10223</v>
      </c>
      <c r="B4416" s="34" t="s">
        <v>9101</v>
      </c>
      <c r="C4416" s="39"/>
      <c r="D4416" s="26" t="s">
        <v>10246</v>
      </c>
      <c r="E4416" s="37" t="s">
        <v>6395</v>
      </c>
    </row>
    <row r="4417" spans="1:5" ht="13.9">
      <c r="A4417" s="26" t="s">
        <v>10223</v>
      </c>
      <c r="B4417" s="34" t="s">
        <v>9916</v>
      </c>
      <c r="C4417" s="39"/>
      <c r="D4417" s="26" t="s">
        <v>10246</v>
      </c>
      <c r="E4417" s="37" t="s">
        <v>6395</v>
      </c>
    </row>
    <row r="4418" spans="1:5" ht="13.9">
      <c r="A4418" s="26" t="s">
        <v>10223</v>
      </c>
      <c r="B4418" s="34" t="s">
        <v>8841</v>
      </c>
      <c r="C4418" s="34" t="s">
        <v>9917</v>
      </c>
      <c r="D4418" s="26" t="s">
        <v>10246</v>
      </c>
      <c r="E4418" s="37" t="s">
        <v>6479</v>
      </c>
    </row>
    <row r="4419" spans="1:5" ht="13.9">
      <c r="A4419" s="26" t="s">
        <v>10223</v>
      </c>
      <c r="B4419" s="34" t="s">
        <v>9918</v>
      </c>
      <c r="C4419" s="34" t="s">
        <v>2272</v>
      </c>
      <c r="D4419" s="26" t="s">
        <v>10246</v>
      </c>
      <c r="E4419" s="37" t="s">
        <v>6395</v>
      </c>
    </row>
    <row r="4420" spans="1:5" ht="13.9">
      <c r="A4420" s="26" t="s">
        <v>10223</v>
      </c>
      <c r="B4420" s="34" t="s">
        <v>9919</v>
      </c>
      <c r="C4420" s="34" t="s">
        <v>9920</v>
      </c>
      <c r="D4420" s="26" t="s">
        <v>10246</v>
      </c>
      <c r="E4420" s="37" t="s">
        <v>6479</v>
      </c>
    </row>
    <row r="4421" spans="1:5" ht="13.9">
      <c r="A4421" s="26" t="s">
        <v>10223</v>
      </c>
      <c r="B4421" s="34" t="s">
        <v>6528</v>
      </c>
      <c r="C4421" s="34" t="s">
        <v>541</v>
      </c>
      <c r="D4421" s="26" t="s">
        <v>10246</v>
      </c>
      <c r="E4421" s="37" t="s">
        <v>6395</v>
      </c>
    </row>
    <row r="4422" spans="1:5" ht="13.9">
      <c r="A4422" s="26" t="s">
        <v>10223</v>
      </c>
      <c r="B4422" s="34" t="s">
        <v>9921</v>
      </c>
      <c r="C4422" s="39"/>
      <c r="D4422" s="26" t="s">
        <v>10246</v>
      </c>
      <c r="E4422" s="39" t="s">
        <v>6395</v>
      </c>
    </row>
    <row r="4423" spans="1:5" ht="13.9">
      <c r="A4423" s="26" t="s">
        <v>10223</v>
      </c>
      <c r="B4423" s="34" t="s">
        <v>118</v>
      </c>
      <c r="C4423" s="34" t="s">
        <v>6554</v>
      </c>
      <c r="D4423" s="26" t="s">
        <v>10246</v>
      </c>
      <c r="E4423" s="37" t="s">
        <v>10226</v>
      </c>
    </row>
    <row r="4424" spans="1:5" ht="13.9">
      <c r="A4424" s="26" t="s">
        <v>10223</v>
      </c>
      <c r="B4424" s="34" t="s">
        <v>530</v>
      </c>
      <c r="C4424" s="34" t="s">
        <v>27</v>
      </c>
      <c r="D4424" s="26" t="s">
        <v>10246</v>
      </c>
      <c r="E4424" s="37" t="s">
        <v>6395</v>
      </c>
    </row>
    <row r="4425" spans="1:5" ht="13.9">
      <c r="A4425" s="26" t="s">
        <v>10223</v>
      </c>
      <c r="B4425" s="34" t="s">
        <v>9922</v>
      </c>
      <c r="C4425" s="39"/>
      <c r="D4425" s="26" t="s">
        <v>10246</v>
      </c>
      <c r="E4425" s="37" t="s">
        <v>6479</v>
      </c>
    </row>
    <row r="4426" spans="1:5" ht="13.9">
      <c r="A4426" s="26" t="s">
        <v>10223</v>
      </c>
      <c r="B4426" s="34" t="s">
        <v>6680</v>
      </c>
      <c r="C4426" s="34" t="s">
        <v>574</v>
      </c>
      <c r="D4426" s="26" t="s">
        <v>10246</v>
      </c>
      <c r="E4426" s="37" t="s">
        <v>6395</v>
      </c>
    </row>
    <row r="4427" spans="1:5" ht="13.9">
      <c r="A4427" s="26" t="s">
        <v>10223</v>
      </c>
      <c r="B4427" s="34" t="s">
        <v>9923</v>
      </c>
      <c r="C4427" s="39"/>
      <c r="D4427" s="26" t="s">
        <v>10246</v>
      </c>
      <c r="E4427" s="39" t="s">
        <v>6395</v>
      </c>
    </row>
    <row r="4428" spans="1:5" ht="13.9">
      <c r="A4428" s="26" t="s">
        <v>10223</v>
      </c>
      <c r="B4428" s="34" t="s">
        <v>8586</v>
      </c>
      <c r="C4428" s="34" t="s">
        <v>9924</v>
      </c>
      <c r="D4428" s="26" t="s">
        <v>10246</v>
      </c>
      <c r="E4428" s="37" t="s">
        <v>6395</v>
      </c>
    </row>
    <row r="4429" spans="1:5" ht="13.9">
      <c r="A4429" s="26" t="s">
        <v>10223</v>
      </c>
      <c r="B4429" s="34" t="s">
        <v>8779</v>
      </c>
      <c r="C4429" s="39"/>
      <c r="D4429" s="26" t="s">
        <v>10246</v>
      </c>
      <c r="E4429" s="37" t="s">
        <v>6395</v>
      </c>
    </row>
    <row r="4430" spans="1:5" ht="13.9">
      <c r="A4430" s="26" t="s">
        <v>10223</v>
      </c>
      <c r="B4430" s="34" t="s">
        <v>9925</v>
      </c>
      <c r="C4430" s="34" t="s">
        <v>9926</v>
      </c>
      <c r="D4430" s="26" t="s">
        <v>10246</v>
      </c>
      <c r="E4430" s="37" t="s">
        <v>6395</v>
      </c>
    </row>
    <row r="4431" spans="1:5" ht="13.9">
      <c r="A4431" s="26" t="s">
        <v>10223</v>
      </c>
      <c r="B4431" s="34" t="s">
        <v>9927</v>
      </c>
      <c r="C4431" s="39"/>
      <c r="D4431" s="26" t="s">
        <v>10246</v>
      </c>
      <c r="E4431" s="37" t="s">
        <v>6395</v>
      </c>
    </row>
    <row r="4432" spans="1:5" ht="13.9">
      <c r="A4432" s="26" t="s">
        <v>10223</v>
      </c>
      <c r="B4432" s="34" t="s">
        <v>6431</v>
      </c>
      <c r="C4432" s="34" t="s">
        <v>1744</v>
      </c>
      <c r="D4432" s="26" t="s">
        <v>10246</v>
      </c>
      <c r="E4432" s="37" t="s">
        <v>6395</v>
      </c>
    </row>
    <row r="4433" spans="1:5" ht="13.9">
      <c r="A4433" s="26" t="s">
        <v>10223</v>
      </c>
      <c r="B4433" s="34" t="s">
        <v>9928</v>
      </c>
      <c r="C4433" s="39"/>
      <c r="D4433" s="26" t="s">
        <v>10246</v>
      </c>
      <c r="E4433" s="39" t="s">
        <v>6395</v>
      </c>
    </row>
    <row r="4434" spans="1:5" ht="13.9">
      <c r="A4434" s="26" t="s">
        <v>10223</v>
      </c>
      <c r="B4434" s="34" t="s">
        <v>9929</v>
      </c>
      <c r="C4434" s="39"/>
      <c r="D4434" s="26" t="s">
        <v>10246</v>
      </c>
      <c r="E4434" s="37" t="s">
        <v>6395</v>
      </c>
    </row>
    <row r="4435" spans="1:5" ht="13.9">
      <c r="A4435" s="26" t="s">
        <v>10223</v>
      </c>
      <c r="B4435" s="34" t="s">
        <v>9930</v>
      </c>
      <c r="C4435" s="34" t="s">
        <v>7416</v>
      </c>
      <c r="D4435" s="26" t="s">
        <v>10246</v>
      </c>
      <c r="E4435" s="37" t="s">
        <v>6395</v>
      </c>
    </row>
    <row r="4436" spans="1:5" ht="13.9">
      <c r="A4436" s="26" t="s">
        <v>10223</v>
      </c>
      <c r="B4436" s="34" t="s">
        <v>8886</v>
      </c>
      <c r="C4436" s="39"/>
      <c r="D4436" s="26" t="s">
        <v>10246</v>
      </c>
      <c r="E4436" s="37" t="s">
        <v>6395</v>
      </c>
    </row>
    <row r="4437" spans="1:5" ht="13.9">
      <c r="A4437" s="26" t="s">
        <v>10223</v>
      </c>
      <c r="B4437" s="34" t="s">
        <v>6597</v>
      </c>
      <c r="C4437" s="34" t="s">
        <v>6596</v>
      </c>
      <c r="D4437" s="26" t="s">
        <v>10246</v>
      </c>
      <c r="E4437" s="39" t="s">
        <v>6395</v>
      </c>
    </row>
    <row r="4438" spans="1:5" ht="13.9">
      <c r="A4438" s="26" t="s">
        <v>10223</v>
      </c>
      <c r="B4438" s="34" t="s">
        <v>9931</v>
      </c>
      <c r="C4438" s="39"/>
      <c r="D4438" s="26" t="s">
        <v>10246</v>
      </c>
      <c r="E4438" s="37" t="s">
        <v>6395</v>
      </c>
    </row>
    <row r="4439" spans="1:5" ht="13.9">
      <c r="A4439" s="26" t="s">
        <v>10223</v>
      </c>
      <c r="B4439" s="34" t="s">
        <v>8656</v>
      </c>
      <c r="C4439" s="39"/>
      <c r="D4439" s="26" t="s">
        <v>10246</v>
      </c>
      <c r="E4439" s="37" t="s">
        <v>6395</v>
      </c>
    </row>
    <row r="4440" spans="1:5" ht="13.9">
      <c r="A4440" s="26" t="s">
        <v>10223</v>
      </c>
      <c r="B4440" s="34" t="s">
        <v>6660</v>
      </c>
      <c r="C4440" s="34" t="s">
        <v>245</v>
      </c>
      <c r="D4440" s="26" t="s">
        <v>10246</v>
      </c>
      <c r="E4440" s="39" t="s">
        <v>6395</v>
      </c>
    </row>
    <row r="4441" spans="1:5" ht="13.9">
      <c r="A4441" s="26" t="s">
        <v>10223</v>
      </c>
      <c r="B4441" s="34" t="s">
        <v>9932</v>
      </c>
      <c r="C4441" s="39"/>
      <c r="D4441" s="26" t="s">
        <v>10246</v>
      </c>
      <c r="E4441" s="37" t="s">
        <v>6395</v>
      </c>
    </row>
    <row r="4442" spans="1:5" ht="13.9">
      <c r="A4442" s="26" t="s">
        <v>10223</v>
      </c>
      <c r="B4442" s="34" t="s">
        <v>26</v>
      </c>
      <c r="C4442" s="34" t="s">
        <v>27</v>
      </c>
      <c r="D4442" s="26" t="s">
        <v>10246</v>
      </c>
      <c r="E4442" s="37" t="s">
        <v>6395</v>
      </c>
    </row>
    <row r="4443" spans="1:5" ht="13.9">
      <c r="A4443" s="26" t="s">
        <v>10223</v>
      </c>
      <c r="B4443" s="34" t="s">
        <v>9933</v>
      </c>
      <c r="C4443" s="39"/>
      <c r="D4443" s="26" t="s">
        <v>10246</v>
      </c>
      <c r="E4443" s="37" t="s">
        <v>6395</v>
      </c>
    </row>
    <row r="4444" spans="1:5" ht="13.9">
      <c r="A4444" s="26" t="s">
        <v>10223</v>
      </c>
      <c r="B4444" s="34" t="s">
        <v>597</v>
      </c>
      <c r="C4444" s="39"/>
      <c r="D4444" s="26" t="s">
        <v>10246</v>
      </c>
      <c r="E4444" s="37" t="s">
        <v>6395</v>
      </c>
    </row>
    <row r="4445" spans="1:5" ht="13.9">
      <c r="A4445" s="26" t="s">
        <v>10223</v>
      </c>
      <c r="B4445" s="34" t="s">
        <v>9934</v>
      </c>
      <c r="C4445" s="39"/>
      <c r="D4445" s="26" t="s">
        <v>10246</v>
      </c>
      <c r="E4445" s="37">
        <v>0</v>
      </c>
    </row>
    <row r="4446" spans="1:5" ht="13.9">
      <c r="A4446" s="26" t="s">
        <v>10223</v>
      </c>
      <c r="B4446" s="34" t="s">
        <v>3388</v>
      </c>
      <c r="C4446" s="34" t="s">
        <v>154</v>
      </c>
      <c r="D4446" s="26" t="s">
        <v>10246</v>
      </c>
      <c r="E4446" s="37" t="s">
        <v>6395</v>
      </c>
    </row>
    <row r="4447" spans="1:5" ht="13.9">
      <c r="A4447" s="26" t="s">
        <v>10223</v>
      </c>
      <c r="B4447" s="34" t="s">
        <v>9935</v>
      </c>
      <c r="C4447" s="34" t="s">
        <v>9936</v>
      </c>
      <c r="D4447" s="26" t="s">
        <v>10246</v>
      </c>
      <c r="E4447" s="37" t="s">
        <v>6395</v>
      </c>
    </row>
    <row r="4448" spans="1:5" ht="13.9">
      <c r="A4448" s="26" t="s">
        <v>10223</v>
      </c>
      <c r="B4448" s="34" t="s">
        <v>9937</v>
      </c>
      <c r="C4448" s="39"/>
      <c r="D4448" s="26" t="s">
        <v>10246</v>
      </c>
      <c r="E4448" s="39">
        <v>0</v>
      </c>
    </row>
    <row r="4449" spans="1:5" ht="13.9">
      <c r="A4449" s="26" t="s">
        <v>10223</v>
      </c>
      <c r="B4449" s="34" t="s">
        <v>6604</v>
      </c>
      <c r="C4449" s="34" t="s">
        <v>9938</v>
      </c>
      <c r="D4449" s="26" t="s">
        <v>10246</v>
      </c>
      <c r="E4449" s="37" t="s">
        <v>6479</v>
      </c>
    </row>
    <row r="4450" spans="1:5" ht="13.9">
      <c r="A4450" s="26" t="s">
        <v>10223</v>
      </c>
      <c r="B4450" s="34" t="s">
        <v>7121</v>
      </c>
      <c r="C4450" s="34" t="s">
        <v>9471</v>
      </c>
      <c r="D4450" s="26" t="s">
        <v>10246</v>
      </c>
      <c r="E4450" s="37" t="s">
        <v>6395</v>
      </c>
    </row>
    <row r="4451" spans="1:5" ht="13.9">
      <c r="A4451" s="26" t="s">
        <v>10223</v>
      </c>
      <c r="B4451" s="34" t="s">
        <v>9939</v>
      </c>
      <c r="C4451" s="34" t="s">
        <v>6473</v>
      </c>
      <c r="D4451" s="26" t="s">
        <v>10246</v>
      </c>
      <c r="E4451" s="39" t="s">
        <v>6395</v>
      </c>
    </row>
    <row r="4452" spans="1:5" ht="13.9">
      <c r="A4452" s="26" t="s">
        <v>10223</v>
      </c>
      <c r="B4452" s="34" t="s">
        <v>9940</v>
      </c>
      <c r="C4452" s="39"/>
      <c r="D4452" s="26" t="s">
        <v>10246</v>
      </c>
      <c r="E4452" s="37" t="s">
        <v>6395</v>
      </c>
    </row>
    <row r="4453" spans="1:5" ht="13.9">
      <c r="A4453" s="26" t="s">
        <v>10223</v>
      </c>
      <c r="B4453" s="40" t="s">
        <v>9941</v>
      </c>
      <c r="C4453" s="34" t="s">
        <v>679</v>
      </c>
      <c r="D4453" s="26" t="s">
        <v>10246</v>
      </c>
      <c r="E4453" s="37">
        <v>0</v>
      </c>
    </row>
    <row r="4454" spans="1:5" ht="13.9">
      <c r="A4454" s="26" t="s">
        <v>10223</v>
      </c>
      <c r="B4454" s="40" t="s">
        <v>9941</v>
      </c>
      <c r="C4454" s="34" t="s">
        <v>884</v>
      </c>
      <c r="D4454" s="26" t="s">
        <v>10246</v>
      </c>
      <c r="E4454" s="37">
        <v>0</v>
      </c>
    </row>
    <row r="4455" spans="1:5" ht="13.9">
      <c r="A4455" s="26" t="s">
        <v>10223</v>
      </c>
      <c r="B4455" s="34" t="s">
        <v>6790</v>
      </c>
      <c r="C4455" s="34" t="s">
        <v>700</v>
      </c>
      <c r="D4455" s="26" t="s">
        <v>10246</v>
      </c>
      <c r="E4455" s="37" t="s">
        <v>6395</v>
      </c>
    </row>
    <row r="4456" spans="1:5" ht="13.9">
      <c r="A4456" s="26" t="s">
        <v>10223</v>
      </c>
      <c r="B4456" s="34" t="s">
        <v>6602</v>
      </c>
      <c r="C4456" s="34" t="s">
        <v>9739</v>
      </c>
      <c r="D4456" s="26" t="s">
        <v>10246</v>
      </c>
      <c r="E4456" s="39" t="s">
        <v>6395</v>
      </c>
    </row>
    <row r="4457" spans="1:5" ht="13.9">
      <c r="A4457" s="26" t="s">
        <v>10223</v>
      </c>
      <c r="B4457" s="34" t="s">
        <v>9942</v>
      </c>
      <c r="C4457" s="34" t="s">
        <v>9943</v>
      </c>
      <c r="D4457" s="26" t="s">
        <v>10246</v>
      </c>
      <c r="E4457" s="37" t="s">
        <v>6395</v>
      </c>
    </row>
    <row r="4458" spans="1:5" ht="13.9">
      <c r="A4458" s="26" t="s">
        <v>10223</v>
      </c>
      <c r="B4458" s="34" t="s">
        <v>1189</v>
      </c>
      <c r="C4458" s="34" t="s">
        <v>265</v>
      </c>
      <c r="D4458" s="26" t="s">
        <v>10246</v>
      </c>
      <c r="E4458" s="37" t="s">
        <v>6395</v>
      </c>
    </row>
    <row r="4459" spans="1:5" ht="13.9">
      <c r="A4459" s="26" t="s">
        <v>10223</v>
      </c>
      <c r="B4459" s="34" t="s">
        <v>8031</v>
      </c>
      <c r="C4459" s="34" t="s">
        <v>154</v>
      </c>
      <c r="D4459" s="26" t="s">
        <v>10246</v>
      </c>
      <c r="E4459" s="37" t="s">
        <v>6395</v>
      </c>
    </row>
    <row r="4460" spans="1:5" ht="13.9">
      <c r="A4460" s="26" t="s">
        <v>10223</v>
      </c>
      <c r="B4460" s="34" t="s">
        <v>426</v>
      </c>
      <c r="C4460" s="34" t="s">
        <v>9944</v>
      </c>
      <c r="D4460" s="26" t="s">
        <v>10246</v>
      </c>
      <c r="E4460" s="37" t="s">
        <v>6395</v>
      </c>
    </row>
    <row r="4461" spans="1:5" ht="13.9">
      <c r="A4461" s="26" t="s">
        <v>10223</v>
      </c>
      <c r="B4461" s="34" t="s">
        <v>9945</v>
      </c>
      <c r="C4461" s="39"/>
      <c r="D4461" s="26" t="s">
        <v>10246</v>
      </c>
      <c r="E4461" s="39" t="s">
        <v>6395</v>
      </c>
    </row>
    <row r="4462" spans="1:5" ht="13.9">
      <c r="A4462" s="26" t="s">
        <v>10223</v>
      </c>
      <c r="B4462" s="34" t="s">
        <v>9946</v>
      </c>
      <c r="C4462" s="34" t="s">
        <v>7416</v>
      </c>
      <c r="D4462" s="26" t="s">
        <v>10246</v>
      </c>
      <c r="E4462" s="37" t="s">
        <v>6395</v>
      </c>
    </row>
    <row r="4463" spans="1:5" ht="13.9">
      <c r="A4463" s="26" t="s">
        <v>10223</v>
      </c>
      <c r="B4463" s="34" t="s">
        <v>9947</v>
      </c>
      <c r="C4463" s="39"/>
      <c r="D4463" s="26" t="s">
        <v>10246</v>
      </c>
      <c r="E4463" s="37" t="s">
        <v>6395</v>
      </c>
    </row>
    <row r="4464" spans="1:5" ht="13.9">
      <c r="A4464" s="26" t="s">
        <v>10223</v>
      </c>
      <c r="B4464" s="34" t="s">
        <v>1239</v>
      </c>
      <c r="C4464" s="39"/>
      <c r="D4464" s="26" t="s">
        <v>10246</v>
      </c>
      <c r="E4464" s="37" t="s">
        <v>6395</v>
      </c>
    </row>
    <row r="4465" spans="1:5" ht="13.9">
      <c r="A4465" s="26" t="s">
        <v>10223</v>
      </c>
      <c r="B4465" s="34" t="s">
        <v>7111</v>
      </c>
      <c r="C4465" s="34" t="s">
        <v>9948</v>
      </c>
      <c r="D4465" s="26" t="s">
        <v>10246</v>
      </c>
      <c r="E4465" s="37" t="s">
        <v>6395</v>
      </c>
    </row>
    <row r="4466" spans="1:5" ht="13.9">
      <c r="A4466" s="26" t="s">
        <v>10223</v>
      </c>
      <c r="B4466" s="34" t="s">
        <v>2968</v>
      </c>
      <c r="C4466" s="34" t="s">
        <v>2969</v>
      </c>
      <c r="D4466" s="26" t="s">
        <v>10246</v>
      </c>
      <c r="E4466" s="39" t="s">
        <v>6443</v>
      </c>
    </row>
    <row r="4467" spans="1:5" ht="13.9">
      <c r="A4467" s="26" t="s">
        <v>10223</v>
      </c>
      <c r="B4467" s="34" t="s">
        <v>6958</v>
      </c>
      <c r="C4467" s="39"/>
      <c r="D4467" s="26" t="s">
        <v>10246</v>
      </c>
      <c r="E4467" s="37" t="s">
        <v>6395</v>
      </c>
    </row>
    <row r="4468" spans="1:5" ht="13.9">
      <c r="A4468" s="26" t="s">
        <v>10223</v>
      </c>
      <c r="B4468" s="34" t="s">
        <v>6949</v>
      </c>
      <c r="C4468" s="34" t="s">
        <v>6948</v>
      </c>
      <c r="D4468" s="26" t="s">
        <v>10246</v>
      </c>
      <c r="E4468" s="37" t="s">
        <v>6395</v>
      </c>
    </row>
    <row r="4469" spans="1:5" ht="13.9">
      <c r="A4469" s="26" t="s">
        <v>10223</v>
      </c>
      <c r="B4469" s="34" t="s">
        <v>9949</v>
      </c>
      <c r="C4469" s="39"/>
      <c r="D4469" s="26" t="s">
        <v>10246</v>
      </c>
      <c r="E4469" s="39" t="s">
        <v>6395</v>
      </c>
    </row>
    <row r="4470" spans="1:5" ht="13.9">
      <c r="A4470" s="26" t="s">
        <v>10223</v>
      </c>
      <c r="B4470" s="34" t="s">
        <v>9950</v>
      </c>
      <c r="C4470" s="39"/>
      <c r="D4470" s="26" t="s">
        <v>10246</v>
      </c>
      <c r="E4470" s="37" t="s">
        <v>6395</v>
      </c>
    </row>
    <row r="4471" spans="1:5" ht="13.9">
      <c r="A4471" s="26" t="s">
        <v>10223</v>
      </c>
      <c r="B4471" s="34" t="s">
        <v>1465</v>
      </c>
      <c r="C4471" s="39"/>
      <c r="D4471" s="26" t="s">
        <v>10246</v>
      </c>
      <c r="E4471" s="37" t="s">
        <v>6395</v>
      </c>
    </row>
    <row r="4472" spans="1:5" ht="13.9">
      <c r="A4472" s="26" t="s">
        <v>10223</v>
      </c>
      <c r="B4472" s="34" t="s">
        <v>9951</v>
      </c>
      <c r="C4472" s="34" t="s">
        <v>9952</v>
      </c>
      <c r="D4472" s="26" t="s">
        <v>10246</v>
      </c>
      <c r="E4472" s="39" t="s">
        <v>6395</v>
      </c>
    </row>
    <row r="4473" spans="1:5" ht="13.9">
      <c r="A4473" s="26" t="s">
        <v>10223</v>
      </c>
      <c r="B4473" s="34" t="s">
        <v>9953</v>
      </c>
      <c r="C4473" s="39"/>
      <c r="D4473" s="26" t="s">
        <v>10246</v>
      </c>
      <c r="E4473" s="37">
        <v>0</v>
      </c>
    </row>
    <row r="4474" spans="1:5" ht="13.9">
      <c r="A4474" s="26" t="s">
        <v>10223</v>
      </c>
      <c r="B4474" s="34" t="s">
        <v>8053</v>
      </c>
      <c r="C4474" s="39"/>
      <c r="D4474" s="26" t="s">
        <v>10246</v>
      </c>
      <c r="E4474" s="37" t="s">
        <v>6395</v>
      </c>
    </row>
    <row r="4475" spans="1:5" ht="13.9">
      <c r="A4475" s="26" t="s">
        <v>10223</v>
      </c>
      <c r="B4475" s="34" t="s">
        <v>7796</v>
      </c>
      <c r="C4475" s="34" t="s">
        <v>2198</v>
      </c>
      <c r="D4475" s="26" t="s">
        <v>10246</v>
      </c>
      <c r="E4475" s="39" t="s">
        <v>6395</v>
      </c>
    </row>
    <row r="4476" spans="1:5" ht="13.9">
      <c r="A4476" s="26" t="s">
        <v>10223</v>
      </c>
      <c r="B4476" s="34" t="s">
        <v>9954</v>
      </c>
      <c r="C4476" s="39"/>
      <c r="D4476" s="26" t="s">
        <v>10246</v>
      </c>
      <c r="E4476" s="37" t="s">
        <v>6395</v>
      </c>
    </row>
    <row r="4477" spans="1:5" ht="13.9">
      <c r="A4477" s="26" t="s">
        <v>10223</v>
      </c>
      <c r="B4477" s="34" t="s">
        <v>9955</v>
      </c>
      <c r="C4477" s="34" t="s">
        <v>395</v>
      </c>
      <c r="D4477" s="26" t="s">
        <v>10246</v>
      </c>
      <c r="E4477" s="39" t="s">
        <v>6395</v>
      </c>
    </row>
    <row r="4478" spans="1:5" ht="13.9">
      <c r="A4478" s="26" t="s">
        <v>10223</v>
      </c>
      <c r="B4478" s="34" t="s">
        <v>1509</v>
      </c>
      <c r="C4478" s="39"/>
      <c r="D4478" s="26" t="s">
        <v>10246</v>
      </c>
      <c r="E4478" s="37" t="s">
        <v>6395</v>
      </c>
    </row>
    <row r="4479" spans="1:5" ht="13.9">
      <c r="A4479" s="26" t="s">
        <v>10223</v>
      </c>
      <c r="B4479" s="34" t="s">
        <v>9956</v>
      </c>
      <c r="C4479" s="39"/>
      <c r="D4479" s="26" t="s">
        <v>10246</v>
      </c>
      <c r="E4479" s="39" t="s">
        <v>6395</v>
      </c>
    </row>
    <row r="4480" spans="1:5" ht="13.9">
      <c r="A4480" s="26" t="s">
        <v>10223</v>
      </c>
      <c r="B4480" s="34" t="s">
        <v>9957</v>
      </c>
      <c r="C4480" s="39"/>
      <c r="D4480" s="26" t="s">
        <v>10246</v>
      </c>
      <c r="E4480" s="39" t="s">
        <v>6395</v>
      </c>
    </row>
    <row r="4481" spans="1:5" ht="13.9">
      <c r="A4481" s="26" t="s">
        <v>10223</v>
      </c>
      <c r="B4481" s="34" t="s">
        <v>9958</v>
      </c>
      <c r="C4481" s="34" t="s">
        <v>9959</v>
      </c>
      <c r="D4481" s="26" t="s">
        <v>10246</v>
      </c>
      <c r="E4481" s="37" t="s">
        <v>6395</v>
      </c>
    </row>
    <row r="4482" spans="1:5" ht="13.9">
      <c r="A4482" s="26" t="s">
        <v>10223</v>
      </c>
      <c r="B4482" s="34" t="s">
        <v>8420</v>
      </c>
      <c r="C4482" s="34" t="s">
        <v>2020</v>
      </c>
      <c r="D4482" s="26" t="s">
        <v>10246</v>
      </c>
      <c r="E4482" s="37" t="s">
        <v>6395</v>
      </c>
    </row>
    <row r="4483" spans="1:5" ht="13.9">
      <c r="A4483" s="26" t="s">
        <v>10223</v>
      </c>
      <c r="B4483" s="34" t="s">
        <v>7797</v>
      </c>
      <c r="C4483" s="39"/>
      <c r="D4483" s="26" t="s">
        <v>10246</v>
      </c>
      <c r="E4483" s="39" t="s">
        <v>6395</v>
      </c>
    </row>
    <row r="4484" spans="1:5" ht="13.9">
      <c r="A4484" s="26" t="s">
        <v>10223</v>
      </c>
      <c r="B4484" s="34" t="s">
        <v>1008</v>
      </c>
      <c r="C4484" s="34" t="s">
        <v>935</v>
      </c>
      <c r="D4484" s="26" t="s">
        <v>10246</v>
      </c>
      <c r="E4484" s="37" t="s">
        <v>6395</v>
      </c>
    </row>
    <row r="4485" spans="1:5" ht="13.9">
      <c r="A4485" s="26" t="s">
        <v>10223</v>
      </c>
      <c r="B4485" s="34" t="s">
        <v>6912</v>
      </c>
      <c r="C4485" s="39"/>
      <c r="D4485" s="26" t="s">
        <v>10246</v>
      </c>
      <c r="E4485" s="39" t="s">
        <v>6395</v>
      </c>
    </row>
    <row r="4486" spans="1:5" ht="13.9">
      <c r="A4486" s="26" t="s">
        <v>10223</v>
      </c>
      <c r="B4486" s="34" t="s">
        <v>9960</v>
      </c>
      <c r="C4486" s="39"/>
      <c r="D4486" s="26" t="s">
        <v>10246</v>
      </c>
      <c r="E4486" s="37" t="s">
        <v>6395</v>
      </c>
    </row>
    <row r="4487" spans="1:5" ht="13.9">
      <c r="A4487" s="26" t="s">
        <v>10223</v>
      </c>
      <c r="B4487" s="34" t="s">
        <v>9961</v>
      </c>
      <c r="C4487" s="34" t="s">
        <v>2020</v>
      </c>
      <c r="D4487" s="26" t="s">
        <v>10246</v>
      </c>
      <c r="E4487" s="37" t="s">
        <v>6395</v>
      </c>
    </row>
    <row r="4488" spans="1:5" ht="13.9">
      <c r="A4488" s="26" t="s">
        <v>10223</v>
      </c>
      <c r="B4488" s="34" t="s">
        <v>9962</v>
      </c>
      <c r="C4488" s="39"/>
      <c r="D4488" s="26" t="s">
        <v>10246</v>
      </c>
      <c r="E4488" s="37" t="s">
        <v>6395</v>
      </c>
    </row>
    <row r="4489" spans="1:5" ht="13.9">
      <c r="A4489" s="26" t="s">
        <v>10223</v>
      </c>
      <c r="B4489" s="34" t="s">
        <v>9963</v>
      </c>
      <c r="C4489" s="39"/>
      <c r="D4489" s="26" t="s">
        <v>10246</v>
      </c>
      <c r="E4489" s="37" t="s">
        <v>6395</v>
      </c>
    </row>
    <row r="4490" spans="1:5" ht="13.9">
      <c r="A4490" s="26" t="s">
        <v>10223</v>
      </c>
      <c r="B4490" s="34" t="s">
        <v>9964</v>
      </c>
      <c r="C4490" s="34" t="s">
        <v>7437</v>
      </c>
      <c r="D4490" s="26" t="s">
        <v>10246</v>
      </c>
      <c r="E4490" s="37" t="s">
        <v>6395</v>
      </c>
    </row>
    <row r="4491" spans="1:5" ht="13.9">
      <c r="A4491" s="26" t="s">
        <v>10223</v>
      </c>
      <c r="B4491" s="34" t="s">
        <v>301</v>
      </c>
      <c r="C4491" s="34" t="s">
        <v>9965</v>
      </c>
      <c r="D4491" s="26" t="s">
        <v>10246</v>
      </c>
      <c r="E4491" s="37" t="s">
        <v>6479</v>
      </c>
    </row>
    <row r="4492" spans="1:5" ht="13.9">
      <c r="A4492" s="26" t="s">
        <v>10223</v>
      </c>
      <c r="B4492" s="40" t="s">
        <v>6498</v>
      </c>
      <c r="C4492" s="34" t="s">
        <v>410</v>
      </c>
      <c r="D4492" s="26" t="s">
        <v>10246</v>
      </c>
      <c r="E4492" s="37">
        <v>0</v>
      </c>
    </row>
    <row r="4493" spans="1:5" ht="13.9">
      <c r="A4493" s="26" t="s">
        <v>10223</v>
      </c>
      <c r="B4493" s="40" t="s">
        <v>6498</v>
      </c>
      <c r="C4493" s="34" t="s">
        <v>9966</v>
      </c>
      <c r="D4493" s="26" t="s">
        <v>10246</v>
      </c>
      <c r="E4493" s="37">
        <v>0</v>
      </c>
    </row>
    <row r="4494" spans="1:5" ht="13.9">
      <c r="A4494" s="26" t="s">
        <v>10223</v>
      </c>
      <c r="B4494" s="34" t="s">
        <v>3172</v>
      </c>
      <c r="C4494" s="39"/>
      <c r="D4494" s="26" t="s">
        <v>10246</v>
      </c>
      <c r="E4494" s="39" t="s">
        <v>6395</v>
      </c>
    </row>
    <row r="4495" spans="1:5" ht="13.9">
      <c r="A4495" s="26" t="s">
        <v>10223</v>
      </c>
      <c r="B4495" s="34" t="s">
        <v>2784</v>
      </c>
      <c r="C4495" s="34" t="s">
        <v>265</v>
      </c>
      <c r="D4495" s="26" t="s">
        <v>10246</v>
      </c>
      <c r="E4495" s="37" t="s">
        <v>6395</v>
      </c>
    </row>
    <row r="4496" spans="1:5" ht="13.9">
      <c r="A4496" s="26" t="s">
        <v>10223</v>
      </c>
      <c r="B4496" s="34" t="s">
        <v>3019</v>
      </c>
      <c r="C4496" s="34" t="s">
        <v>742</v>
      </c>
      <c r="D4496" s="26" t="s">
        <v>10246</v>
      </c>
      <c r="E4496" s="37" t="s">
        <v>6395</v>
      </c>
    </row>
    <row r="4497" spans="1:5" ht="13.9">
      <c r="A4497" s="26" t="s">
        <v>10223</v>
      </c>
      <c r="B4497" s="34" t="s">
        <v>8048</v>
      </c>
      <c r="C4497" s="34" t="s">
        <v>9967</v>
      </c>
      <c r="D4497" s="26" t="s">
        <v>10246</v>
      </c>
      <c r="E4497" s="39" t="s">
        <v>6395</v>
      </c>
    </row>
    <row r="4498" spans="1:5" ht="13.9">
      <c r="A4498" s="26" t="s">
        <v>10223</v>
      </c>
      <c r="B4498" s="34" t="s">
        <v>9968</v>
      </c>
      <c r="C4498" s="39"/>
      <c r="D4498" s="26" t="s">
        <v>10246</v>
      </c>
      <c r="E4498" s="37" t="s">
        <v>6395</v>
      </c>
    </row>
    <row r="4499" spans="1:5" ht="13.9">
      <c r="A4499" s="26" t="s">
        <v>10223</v>
      </c>
      <c r="B4499" s="34" t="s">
        <v>9969</v>
      </c>
      <c r="C4499" s="34" t="s">
        <v>42</v>
      </c>
      <c r="D4499" s="26" t="s">
        <v>10246</v>
      </c>
      <c r="E4499" s="39" t="s">
        <v>6395</v>
      </c>
    </row>
    <row r="4500" spans="1:5" ht="13.9">
      <c r="A4500" s="26" t="s">
        <v>10223</v>
      </c>
      <c r="B4500" s="34" t="s">
        <v>8197</v>
      </c>
      <c r="C4500" s="34" t="s">
        <v>478</v>
      </c>
      <c r="D4500" s="26" t="s">
        <v>10246</v>
      </c>
      <c r="E4500" s="37" t="s">
        <v>6395</v>
      </c>
    </row>
    <row r="4501" spans="1:5" ht="13.9">
      <c r="A4501" s="26" t="s">
        <v>10223</v>
      </c>
      <c r="B4501" s="34" t="s">
        <v>9970</v>
      </c>
      <c r="C4501" s="39"/>
      <c r="D4501" s="26" t="s">
        <v>10246</v>
      </c>
      <c r="E4501" s="37" t="s">
        <v>1611</v>
      </c>
    </row>
    <row r="4502" spans="1:5" ht="13.9">
      <c r="A4502" s="26" t="s">
        <v>10223</v>
      </c>
      <c r="B4502" s="34" t="s">
        <v>9971</v>
      </c>
      <c r="C4502" s="34" t="s">
        <v>395</v>
      </c>
      <c r="D4502" s="26" t="s">
        <v>10246</v>
      </c>
      <c r="E4502" s="37" t="s">
        <v>6395</v>
      </c>
    </row>
    <row r="4503" spans="1:5" ht="13.9">
      <c r="A4503" s="26" t="s">
        <v>10223</v>
      </c>
      <c r="B4503" s="34" t="s">
        <v>9300</v>
      </c>
      <c r="C4503" s="39"/>
      <c r="D4503" s="38" t="s">
        <v>6480</v>
      </c>
      <c r="E4503" s="37" t="s">
        <v>6395</v>
      </c>
    </row>
    <row r="4504" spans="1:5" ht="13.9">
      <c r="A4504" s="26" t="s">
        <v>10223</v>
      </c>
      <c r="B4504" s="34" t="s">
        <v>2161</v>
      </c>
      <c r="C4504" s="34" t="s">
        <v>9972</v>
      </c>
      <c r="D4504" s="26" t="s">
        <v>10246</v>
      </c>
      <c r="E4504" s="39" t="s">
        <v>6479</v>
      </c>
    </row>
    <row r="4505" spans="1:5" ht="13.9">
      <c r="A4505" s="26" t="s">
        <v>10223</v>
      </c>
      <c r="B4505" s="34" t="s">
        <v>1340</v>
      </c>
      <c r="C4505" s="39"/>
      <c r="D4505" s="26" t="s">
        <v>10246</v>
      </c>
      <c r="E4505" s="37" t="s">
        <v>6395</v>
      </c>
    </row>
    <row r="4506" spans="1:5" ht="13.9">
      <c r="A4506" s="26" t="s">
        <v>10223</v>
      </c>
      <c r="B4506" s="34" t="s">
        <v>8427</v>
      </c>
      <c r="C4506" s="34" t="s">
        <v>2020</v>
      </c>
      <c r="D4506" s="26" t="s">
        <v>10246</v>
      </c>
      <c r="E4506" s="37" t="s">
        <v>6395</v>
      </c>
    </row>
    <row r="4507" spans="1:5" ht="13.9">
      <c r="A4507" s="26" t="s">
        <v>10223</v>
      </c>
      <c r="B4507" s="34" t="s">
        <v>8123</v>
      </c>
      <c r="C4507" s="34" t="s">
        <v>2198</v>
      </c>
      <c r="D4507" s="26" t="s">
        <v>10246</v>
      </c>
      <c r="E4507" s="37" t="s">
        <v>6395</v>
      </c>
    </row>
    <row r="4508" spans="1:5" ht="13.9">
      <c r="A4508" s="26" t="s">
        <v>10223</v>
      </c>
      <c r="B4508" s="34" t="s">
        <v>2637</v>
      </c>
      <c r="C4508" s="34" t="s">
        <v>776</v>
      </c>
      <c r="D4508" s="26" t="s">
        <v>10246</v>
      </c>
      <c r="E4508" s="37" t="s">
        <v>6395</v>
      </c>
    </row>
    <row r="4509" spans="1:5" ht="13.9">
      <c r="A4509" s="26" t="s">
        <v>10223</v>
      </c>
      <c r="B4509" s="34" t="s">
        <v>7136</v>
      </c>
      <c r="C4509" s="39"/>
      <c r="D4509" s="26" t="s">
        <v>10246</v>
      </c>
      <c r="E4509" s="37" t="s">
        <v>6395</v>
      </c>
    </row>
    <row r="4510" spans="1:5" ht="13.9">
      <c r="A4510" s="26" t="s">
        <v>10223</v>
      </c>
      <c r="B4510" s="34" t="s">
        <v>2721</v>
      </c>
      <c r="C4510" s="39"/>
      <c r="D4510" s="26" t="s">
        <v>10246</v>
      </c>
      <c r="E4510" s="37" t="s">
        <v>6395</v>
      </c>
    </row>
    <row r="4511" spans="1:5" ht="13.9">
      <c r="A4511" s="26" t="s">
        <v>10223</v>
      </c>
      <c r="B4511" s="34" t="s">
        <v>9973</v>
      </c>
      <c r="C4511" s="34" t="s">
        <v>9974</v>
      </c>
      <c r="D4511" s="26" t="s">
        <v>10246</v>
      </c>
      <c r="E4511" s="39" t="s">
        <v>6395</v>
      </c>
    </row>
    <row r="4512" spans="1:5" ht="13.9">
      <c r="A4512" s="26" t="s">
        <v>10223</v>
      </c>
      <c r="B4512" s="34" t="s">
        <v>9975</v>
      </c>
      <c r="C4512" s="34" t="s">
        <v>154</v>
      </c>
      <c r="D4512" s="26" t="s">
        <v>10246</v>
      </c>
      <c r="E4512" s="37" t="s">
        <v>6395</v>
      </c>
    </row>
    <row r="4513" spans="1:5" ht="13.9">
      <c r="A4513" s="26" t="s">
        <v>10223</v>
      </c>
      <c r="B4513" s="34" t="s">
        <v>7309</v>
      </c>
      <c r="C4513" s="39"/>
      <c r="D4513" s="26" t="s">
        <v>10246</v>
      </c>
      <c r="E4513" s="37" t="s">
        <v>6395</v>
      </c>
    </row>
    <row r="4514" spans="1:5" ht="13.9">
      <c r="A4514" s="26" t="s">
        <v>10223</v>
      </c>
      <c r="B4514" s="34" t="s">
        <v>1484</v>
      </c>
      <c r="C4514" s="39"/>
      <c r="D4514" s="26" t="s">
        <v>10246</v>
      </c>
      <c r="E4514" s="39" t="s">
        <v>6395</v>
      </c>
    </row>
    <row r="4515" spans="1:5" ht="13.9">
      <c r="A4515" s="26" t="s">
        <v>10223</v>
      </c>
      <c r="B4515" s="34" t="s">
        <v>9976</v>
      </c>
      <c r="C4515" s="39"/>
      <c r="D4515" s="26" t="s">
        <v>10246</v>
      </c>
      <c r="E4515" s="37" t="s">
        <v>6395</v>
      </c>
    </row>
    <row r="4516" spans="1:5" ht="13.9">
      <c r="A4516" s="26" t="s">
        <v>10223</v>
      </c>
      <c r="B4516" s="34" t="s">
        <v>153</v>
      </c>
      <c r="C4516" s="36" t="s">
        <v>154</v>
      </c>
      <c r="D4516" s="26" t="s">
        <v>10246</v>
      </c>
      <c r="E4516" s="37" t="s">
        <v>6395</v>
      </c>
    </row>
    <row r="4517" spans="1:5" ht="13.9">
      <c r="A4517" s="26" t="s">
        <v>10223</v>
      </c>
      <c r="B4517" s="34" t="s">
        <v>8644</v>
      </c>
      <c r="C4517" s="34" t="s">
        <v>154</v>
      </c>
      <c r="D4517" s="26" t="s">
        <v>10246</v>
      </c>
      <c r="E4517" s="39" t="s">
        <v>6395</v>
      </c>
    </row>
    <row r="4518" spans="1:5" ht="13.9">
      <c r="A4518" s="26" t="s">
        <v>10223</v>
      </c>
      <c r="B4518" s="34" t="s">
        <v>9977</v>
      </c>
      <c r="C4518" s="37"/>
      <c r="D4518" s="26" t="s">
        <v>10246</v>
      </c>
      <c r="E4518" s="37" t="s">
        <v>1611</v>
      </c>
    </row>
    <row r="4519" spans="1:5" ht="13.9">
      <c r="A4519" s="26" t="s">
        <v>10223</v>
      </c>
      <c r="B4519" s="34" t="s">
        <v>8685</v>
      </c>
      <c r="C4519" s="39"/>
      <c r="D4519" s="26" t="s">
        <v>10246</v>
      </c>
      <c r="E4519" s="39" t="s">
        <v>6395</v>
      </c>
    </row>
    <row r="4520" spans="1:5" ht="13.9">
      <c r="A4520" s="26" t="s">
        <v>10223</v>
      </c>
      <c r="B4520" s="34" t="s">
        <v>9978</v>
      </c>
      <c r="C4520" s="34" t="s">
        <v>395</v>
      </c>
      <c r="D4520" s="26" t="s">
        <v>10246</v>
      </c>
      <c r="E4520" s="37" t="s">
        <v>6395</v>
      </c>
    </row>
    <row r="4521" spans="1:5" ht="13.9">
      <c r="A4521" s="26" t="s">
        <v>10223</v>
      </c>
      <c r="B4521" s="34" t="s">
        <v>9979</v>
      </c>
      <c r="C4521" s="39"/>
      <c r="D4521" s="38" t="s">
        <v>6480</v>
      </c>
      <c r="E4521" s="37" t="s">
        <v>6395</v>
      </c>
    </row>
    <row r="4522" spans="1:5" ht="13.9">
      <c r="A4522" s="26" t="s">
        <v>10223</v>
      </c>
      <c r="B4522" s="34" t="s">
        <v>9980</v>
      </c>
      <c r="C4522" s="39"/>
      <c r="D4522" s="26" t="s">
        <v>10246</v>
      </c>
      <c r="E4522" s="37" t="s">
        <v>6395</v>
      </c>
    </row>
    <row r="4523" spans="1:5" ht="13.9">
      <c r="A4523" s="26" t="s">
        <v>10223</v>
      </c>
      <c r="B4523" s="34" t="s">
        <v>6780</v>
      </c>
      <c r="C4523" s="39"/>
      <c r="D4523" s="26" t="s">
        <v>10246</v>
      </c>
      <c r="E4523" s="37" t="s">
        <v>6395</v>
      </c>
    </row>
    <row r="4524" spans="1:5" ht="13.9">
      <c r="A4524" s="26" t="s">
        <v>10223</v>
      </c>
      <c r="B4524" s="34" t="s">
        <v>9981</v>
      </c>
      <c r="C4524" s="34" t="s">
        <v>742</v>
      </c>
      <c r="D4524" s="26" t="s">
        <v>10246</v>
      </c>
      <c r="E4524" s="37">
        <v>0</v>
      </c>
    </row>
    <row r="4525" spans="1:5" ht="13.9">
      <c r="A4525" s="26" t="s">
        <v>10223</v>
      </c>
      <c r="B4525" s="34" t="s">
        <v>3050</v>
      </c>
      <c r="C4525" s="39"/>
      <c r="D4525" s="26" t="s">
        <v>10246</v>
      </c>
      <c r="E4525" s="37" t="s">
        <v>6395</v>
      </c>
    </row>
    <row r="4526" spans="1:5" ht="13.9">
      <c r="A4526" s="26" t="s">
        <v>10223</v>
      </c>
      <c r="B4526" s="34" t="s">
        <v>6968</v>
      </c>
      <c r="C4526" s="39"/>
      <c r="D4526" s="26" t="s">
        <v>10246</v>
      </c>
      <c r="E4526" s="39" t="s">
        <v>6395</v>
      </c>
    </row>
    <row r="4527" spans="1:5" ht="13.9">
      <c r="A4527" s="26" t="s">
        <v>10223</v>
      </c>
      <c r="B4527" s="34" t="s">
        <v>7119</v>
      </c>
      <c r="C4527" s="34" t="s">
        <v>9982</v>
      </c>
      <c r="D4527" s="26" t="s">
        <v>10246</v>
      </c>
      <c r="E4527" s="37" t="s">
        <v>6479</v>
      </c>
    </row>
    <row r="4528" spans="1:5" ht="13.9">
      <c r="A4528" s="26" t="s">
        <v>10223</v>
      </c>
      <c r="B4528" s="34" t="s">
        <v>9174</v>
      </c>
      <c r="C4528" s="34" t="s">
        <v>9175</v>
      </c>
      <c r="D4528" s="26" t="s">
        <v>10246</v>
      </c>
      <c r="E4528" s="37" t="s">
        <v>6395</v>
      </c>
    </row>
    <row r="4529" spans="1:5" ht="13.9">
      <c r="A4529" s="26" t="s">
        <v>10223</v>
      </c>
      <c r="B4529" s="34" t="s">
        <v>1014</v>
      </c>
      <c r="C4529" s="34" t="s">
        <v>154</v>
      </c>
      <c r="D4529" s="26" t="s">
        <v>10246</v>
      </c>
      <c r="E4529" s="37" t="s">
        <v>6395</v>
      </c>
    </row>
    <row r="4530" spans="1:5" ht="13.9">
      <c r="A4530" s="26" t="s">
        <v>10223</v>
      </c>
      <c r="B4530" s="34" t="s">
        <v>8647</v>
      </c>
      <c r="C4530" s="39"/>
      <c r="D4530" s="26" t="s">
        <v>10246</v>
      </c>
      <c r="E4530" s="37" t="s">
        <v>6395</v>
      </c>
    </row>
    <row r="4531" spans="1:5" ht="13.9">
      <c r="A4531" s="26" t="s">
        <v>10223</v>
      </c>
      <c r="B4531" s="34" t="s">
        <v>9983</v>
      </c>
      <c r="C4531" s="34" t="s">
        <v>9984</v>
      </c>
      <c r="D4531" s="26" t="s">
        <v>10246</v>
      </c>
      <c r="E4531" s="39" t="s">
        <v>6395</v>
      </c>
    </row>
    <row r="4532" spans="1:5" ht="13.9">
      <c r="A4532" s="26" t="s">
        <v>10223</v>
      </c>
      <c r="B4532" s="34" t="s">
        <v>8675</v>
      </c>
      <c r="C4532" s="39"/>
      <c r="D4532" s="26" t="s">
        <v>10246</v>
      </c>
      <c r="E4532" s="37" t="s">
        <v>6395</v>
      </c>
    </row>
    <row r="4533" spans="1:5" ht="13.9">
      <c r="A4533" s="26" t="s">
        <v>10223</v>
      </c>
      <c r="B4533" s="34" t="s">
        <v>2423</v>
      </c>
      <c r="C4533" s="39"/>
      <c r="D4533" s="26" t="s">
        <v>10246</v>
      </c>
      <c r="E4533" s="39" t="s">
        <v>6395</v>
      </c>
    </row>
    <row r="4534" spans="1:5" ht="13.9">
      <c r="A4534" s="26" t="s">
        <v>10223</v>
      </c>
      <c r="B4534" s="34" t="s">
        <v>9985</v>
      </c>
      <c r="C4534" s="39"/>
      <c r="D4534" s="26" t="s">
        <v>10246</v>
      </c>
      <c r="E4534" s="37" t="s">
        <v>6395</v>
      </c>
    </row>
    <row r="4535" spans="1:5" ht="13.9">
      <c r="A4535" s="26" t="s">
        <v>10223</v>
      </c>
      <c r="B4535" s="34" t="s">
        <v>9986</v>
      </c>
      <c r="C4535" s="39"/>
      <c r="D4535" s="26" t="s">
        <v>10246</v>
      </c>
      <c r="E4535" s="37" t="s">
        <v>6395</v>
      </c>
    </row>
    <row r="4536" spans="1:5" ht="13.9">
      <c r="A4536" s="26" t="s">
        <v>10223</v>
      </c>
      <c r="B4536" s="34" t="s">
        <v>9987</v>
      </c>
      <c r="C4536" s="34" t="s">
        <v>3262</v>
      </c>
      <c r="D4536" s="26" t="s">
        <v>10246</v>
      </c>
      <c r="E4536" s="39" t="s">
        <v>6395</v>
      </c>
    </row>
    <row r="4537" spans="1:5" ht="13.9">
      <c r="A4537" s="26" t="s">
        <v>10223</v>
      </c>
      <c r="B4537" s="34" t="s">
        <v>9988</v>
      </c>
      <c r="C4537" s="39"/>
      <c r="D4537" s="26" t="s">
        <v>10246</v>
      </c>
      <c r="E4537" s="37" t="s">
        <v>6395</v>
      </c>
    </row>
    <row r="4538" spans="1:5" ht="13.9">
      <c r="A4538" s="26" t="s">
        <v>10223</v>
      </c>
      <c r="B4538" s="34" t="s">
        <v>7182</v>
      </c>
      <c r="C4538" s="34" t="s">
        <v>7181</v>
      </c>
      <c r="D4538" s="26" t="s">
        <v>10246</v>
      </c>
      <c r="E4538" s="37" t="s">
        <v>6395</v>
      </c>
    </row>
    <row r="4539" spans="1:5" ht="13.9">
      <c r="A4539" s="26" t="s">
        <v>10223</v>
      </c>
      <c r="B4539" s="34" t="s">
        <v>9989</v>
      </c>
      <c r="C4539" s="39"/>
      <c r="D4539" s="26" t="s">
        <v>10246</v>
      </c>
      <c r="E4539" s="37" t="s">
        <v>6395</v>
      </c>
    </row>
    <row r="4540" spans="1:5" ht="13.9">
      <c r="A4540" s="26" t="s">
        <v>10223</v>
      </c>
      <c r="B4540" s="34" t="s">
        <v>9990</v>
      </c>
      <c r="C4540" s="39"/>
      <c r="D4540" s="26" t="s">
        <v>10246</v>
      </c>
      <c r="E4540" s="37" t="s">
        <v>6395</v>
      </c>
    </row>
    <row r="4541" spans="1:5" ht="13.9">
      <c r="A4541" s="26" t="s">
        <v>10223</v>
      </c>
      <c r="B4541" s="34" t="s">
        <v>6607</v>
      </c>
      <c r="C4541" s="34" t="s">
        <v>847</v>
      </c>
      <c r="D4541" s="26" t="s">
        <v>10246</v>
      </c>
      <c r="E4541" s="37" t="s">
        <v>6395</v>
      </c>
    </row>
    <row r="4542" spans="1:5" ht="13.9">
      <c r="A4542" s="26" t="s">
        <v>10223</v>
      </c>
      <c r="B4542" s="34" t="s">
        <v>2448</v>
      </c>
      <c r="C4542" s="34" t="s">
        <v>245</v>
      </c>
      <c r="D4542" s="26" t="s">
        <v>10246</v>
      </c>
      <c r="E4542" s="37" t="s">
        <v>6395</v>
      </c>
    </row>
    <row r="4543" spans="1:5" ht="13.9">
      <c r="A4543" s="26" t="s">
        <v>10223</v>
      </c>
      <c r="B4543" s="34" t="s">
        <v>6497</v>
      </c>
      <c r="C4543" s="39"/>
      <c r="D4543" s="26" t="s">
        <v>10246</v>
      </c>
      <c r="E4543" s="37" t="s">
        <v>6395</v>
      </c>
    </row>
    <row r="4544" spans="1:5" ht="13.9">
      <c r="A4544" s="26" t="s">
        <v>10223</v>
      </c>
      <c r="B4544" s="34" t="s">
        <v>9991</v>
      </c>
      <c r="C4544" s="34" t="s">
        <v>721</v>
      </c>
      <c r="D4544" s="26" t="s">
        <v>10246</v>
      </c>
      <c r="E4544" s="37" t="s">
        <v>6395</v>
      </c>
    </row>
    <row r="4545" spans="1:5" ht="13.9">
      <c r="A4545" s="26" t="s">
        <v>10223</v>
      </c>
      <c r="B4545" s="34" t="s">
        <v>3324</v>
      </c>
      <c r="C4545" s="34" t="s">
        <v>2548</v>
      </c>
      <c r="D4545" s="26" t="s">
        <v>10246</v>
      </c>
      <c r="E4545" s="39" t="s">
        <v>6395</v>
      </c>
    </row>
    <row r="4546" spans="1:5" ht="13.9">
      <c r="A4546" s="26" t="s">
        <v>10223</v>
      </c>
      <c r="B4546" s="34" t="s">
        <v>9992</v>
      </c>
      <c r="C4546" s="39"/>
      <c r="D4546" s="26" t="s">
        <v>10246</v>
      </c>
      <c r="E4546" s="37" t="s">
        <v>6395</v>
      </c>
    </row>
    <row r="4547" spans="1:5" ht="13.9">
      <c r="A4547" s="26" t="s">
        <v>10223</v>
      </c>
      <c r="B4547" s="34" t="s">
        <v>6628</v>
      </c>
      <c r="C4547" s="34" t="s">
        <v>6451</v>
      </c>
      <c r="D4547" s="26" t="s">
        <v>10246</v>
      </c>
      <c r="E4547" s="39" t="s">
        <v>6395</v>
      </c>
    </row>
    <row r="4548" spans="1:5" ht="13.9">
      <c r="A4548" s="26" t="s">
        <v>10223</v>
      </c>
      <c r="B4548" s="34" t="s">
        <v>9993</v>
      </c>
      <c r="C4548" s="39"/>
      <c r="D4548" s="26" t="s">
        <v>10246</v>
      </c>
      <c r="E4548" s="37" t="s">
        <v>6395</v>
      </c>
    </row>
    <row r="4549" spans="1:5" ht="13.9">
      <c r="A4549" s="26" t="s">
        <v>10223</v>
      </c>
      <c r="B4549" s="34" t="s">
        <v>9994</v>
      </c>
      <c r="C4549" s="34" t="s">
        <v>9995</v>
      </c>
      <c r="D4549" s="26" t="s">
        <v>10246</v>
      </c>
      <c r="E4549" s="37" t="s">
        <v>6395</v>
      </c>
    </row>
    <row r="4550" spans="1:5" ht="13.9">
      <c r="A4550" s="26" t="s">
        <v>10223</v>
      </c>
      <c r="B4550" s="34" t="s">
        <v>8436</v>
      </c>
      <c r="C4550" s="39"/>
      <c r="D4550" s="26" t="s">
        <v>10246</v>
      </c>
      <c r="E4550" s="37">
        <v>0</v>
      </c>
    </row>
    <row r="4551" spans="1:5" ht="13.9">
      <c r="A4551" s="26" t="s">
        <v>10223</v>
      </c>
      <c r="B4551" s="34" t="s">
        <v>7153</v>
      </c>
      <c r="C4551" s="39"/>
      <c r="D4551" s="26" t="s">
        <v>10246</v>
      </c>
      <c r="E4551" s="37" t="s">
        <v>6395</v>
      </c>
    </row>
    <row r="4552" spans="1:5" ht="13.9">
      <c r="A4552" s="26" t="s">
        <v>10223</v>
      </c>
      <c r="B4552" s="34" t="s">
        <v>9996</v>
      </c>
      <c r="C4552" s="39"/>
      <c r="D4552" s="26" t="s">
        <v>10246</v>
      </c>
      <c r="E4552" s="39" t="s">
        <v>6395</v>
      </c>
    </row>
    <row r="4553" spans="1:5" ht="13.9">
      <c r="A4553" s="26" t="s">
        <v>10223</v>
      </c>
      <c r="B4553" s="34" t="s">
        <v>9997</v>
      </c>
      <c r="C4553" s="39"/>
      <c r="D4553" s="26" t="s">
        <v>10246</v>
      </c>
      <c r="E4553" s="37" t="s">
        <v>6395</v>
      </c>
    </row>
    <row r="4554" spans="1:5" ht="13.9">
      <c r="A4554" s="26" t="s">
        <v>10223</v>
      </c>
      <c r="B4554" s="34" t="s">
        <v>9998</v>
      </c>
      <c r="C4554" s="34" t="s">
        <v>1744</v>
      </c>
      <c r="D4554" s="26" t="s">
        <v>10246</v>
      </c>
      <c r="E4554" s="39" t="s">
        <v>6395</v>
      </c>
    </row>
    <row r="4555" spans="1:5" ht="13.9">
      <c r="A4555" s="26" t="s">
        <v>10223</v>
      </c>
      <c r="B4555" s="34" t="s">
        <v>6814</v>
      </c>
      <c r="C4555" s="34" t="s">
        <v>265</v>
      </c>
      <c r="D4555" s="26" t="s">
        <v>10246</v>
      </c>
      <c r="E4555" s="39" t="s">
        <v>6395</v>
      </c>
    </row>
    <row r="4556" spans="1:5" ht="13.9">
      <c r="A4556" s="26" t="s">
        <v>10223</v>
      </c>
      <c r="B4556" s="34" t="s">
        <v>6537</v>
      </c>
      <c r="C4556" s="39"/>
      <c r="D4556" s="26" t="s">
        <v>10246</v>
      </c>
      <c r="E4556" s="37" t="s">
        <v>6395</v>
      </c>
    </row>
    <row r="4557" spans="1:5" ht="13.9">
      <c r="A4557" s="26" t="s">
        <v>10223</v>
      </c>
      <c r="B4557" s="34" t="s">
        <v>4366</v>
      </c>
      <c r="C4557" s="39"/>
      <c r="D4557" s="26" t="s">
        <v>10246</v>
      </c>
      <c r="E4557" s="39">
        <v>0</v>
      </c>
    </row>
    <row r="4558" spans="1:5" ht="13.9">
      <c r="A4558" s="26" t="s">
        <v>10223</v>
      </c>
      <c r="B4558" s="34" t="s">
        <v>2899</v>
      </c>
      <c r="C4558" s="34" t="s">
        <v>2900</v>
      </c>
      <c r="D4558" s="26" t="s">
        <v>10246</v>
      </c>
      <c r="E4558" s="37" t="s">
        <v>6411</v>
      </c>
    </row>
    <row r="4559" spans="1:5" ht="13.9">
      <c r="A4559" s="26" t="s">
        <v>10223</v>
      </c>
      <c r="B4559" s="34" t="s">
        <v>6797</v>
      </c>
      <c r="C4559" s="34" t="s">
        <v>6796</v>
      </c>
      <c r="D4559" s="26" t="s">
        <v>10246</v>
      </c>
      <c r="E4559" s="39" t="s">
        <v>6395</v>
      </c>
    </row>
    <row r="4560" spans="1:5" ht="13.9">
      <c r="A4560" s="26" t="s">
        <v>10223</v>
      </c>
      <c r="B4560" s="34" t="s">
        <v>9999</v>
      </c>
      <c r="C4560" s="39"/>
      <c r="D4560" s="26" t="s">
        <v>10246</v>
      </c>
      <c r="E4560" s="39" t="s">
        <v>1611</v>
      </c>
    </row>
    <row r="4561" spans="1:5" ht="13.9">
      <c r="A4561" s="26" t="s">
        <v>10223</v>
      </c>
      <c r="B4561" s="34" t="s">
        <v>8438</v>
      </c>
      <c r="C4561" s="34" t="s">
        <v>742</v>
      </c>
      <c r="D4561" s="26" t="s">
        <v>10246</v>
      </c>
      <c r="E4561" s="37" t="s">
        <v>6395</v>
      </c>
    </row>
    <row r="4562" spans="1:5" ht="13.9">
      <c r="A4562" s="26" t="s">
        <v>10223</v>
      </c>
      <c r="B4562" s="34" t="s">
        <v>1850</v>
      </c>
      <c r="C4562" s="34" t="s">
        <v>154</v>
      </c>
      <c r="D4562" s="26" t="s">
        <v>10246</v>
      </c>
      <c r="E4562" s="37" t="s">
        <v>6395</v>
      </c>
    </row>
    <row r="4563" spans="1:5" ht="13.9">
      <c r="A4563" s="26" t="s">
        <v>10223</v>
      </c>
      <c r="B4563" s="34" t="s">
        <v>10000</v>
      </c>
      <c r="C4563" s="39"/>
      <c r="D4563" s="26" t="s">
        <v>10246</v>
      </c>
      <c r="E4563" s="39" t="s">
        <v>6395</v>
      </c>
    </row>
    <row r="4564" spans="1:5" ht="13.9">
      <c r="A4564" s="26" t="s">
        <v>10223</v>
      </c>
      <c r="B4564" s="34" t="s">
        <v>10001</v>
      </c>
      <c r="C4564" s="39"/>
      <c r="D4564" s="26" t="s">
        <v>10246</v>
      </c>
      <c r="E4564" s="37" t="s">
        <v>6395</v>
      </c>
    </row>
    <row r="4565" spans="1:5" ht="13.9">
      <c r="A4565" s="26" t="s">
        <v>10223</v>
      </c>
      <c r="B4565" s="34" t="s">
        <v>7146</v>
      </c>
      <c r="C4565" s="39"/>
      <c r="D4565" s="26" t="s">
        <v>10246</v>
      </c>
      <c r="E4565" s="39">
        <v>0</v>
      </c>
    </row>
    <row r="4566" spans="1:5" ht="13.9">
      <c r="A4566" s="26" t="s">
        <v>10223</v>
      </c>
      <c r="B4566" s="34" t="s">
        <v>10002</v>
      </c>
      <c r="C4566" s="39"/>
      <c r="D4566" s="26" t="s">
        <v>10246</v>
      </c>
      <c r="E4566" s="37" t="s">
        <v>6395</v>
      </c>
    </row>
    <row r="4567" spans="1:5" ht="13.9">
      <c r="A4567" s="26" t="s">
        <v>10223</v>
      </c>
      <c r="B4567" s="34" t="s">
        <v>10003</v>
      </c>
      <c r="C4567" s="39"/>
      <c r="D4567" s="26" t="s">
        <v>10246</v>
      </c>
      <c r="E4567" s="37" t="s">
        <v>6395</v>
      </c>
    </row>
    <row r="4568" spans="1:5" ht="13.9">
      <c r="A4568" s="26" t="s">
        <v>10223</v>
      </c>
      <c r="B4568" s="34" t="s">
        <v>2338</v>
      </c>
      <c r="C4568" s="39"/>
      <c r="D4568" s="26" t="s">
        <v>10246</v>
      </c>
      <c r="E4568" s="37" t="s">
        <v>6479</v>
      </c>
    </row>
    <row r="4569" spans="1:5" ht="13.9">
      <c r="A4569" s="26" t="s">
        <v>10223</v>
      </c>
      <c r="B4569" s="34" t="s">
        <v>10004</v>
      </c>
      <c r="C4569" s="34" t="s">
        <v>10005</v>
      </c>
      <c r="D4569" s="26" t="s">
        <v>10246</v>
      </c>
      <c r="E4569" s="37" t="s">
        <v>6395</v>
      </c>
    </row>
    <row r="4570" spans="1:5" ht="13.9">
      <c r="A4570" s="26" t="s">
        <v>10223</v>
      </c>
      <c r="B4570" s="34" t="s">
        <v>775</v>
      </c>
      <c r="C4570" s="34" t="s">
        <v>776</v>
      </c>
      <c r="D4570" s="26" t="s">
        <v>10246</v>
      </c>
      <c r="E4570" s="37" t="s">
        <v>6395</v>
      </c>
    </row>
    <row r="4571" spans="1:5" ht="13.9">
      <c r="A4571" s="26" t="s">
        <v>10223</v>
      </c>
      <c r="B4571" s="34" t="s">
        <v>10006</v>
      </c>
      <c r="C4571" s="34" t="s">
        <v>6473</v>
      </c>
      <c r="D4571" s="26" t="s">
        <v>10246</v>
      </c>
      <c r="E4571" s="39" t="s">
        <v>6395</v>
      </c>
    </row>
    <row r="4572" spans="1:5" ht="13.9">
      <c r="A4572" s="26" t="s">
        <v>10223</v>
      </c>
      <c r="B4572" s="34" t="s">
        <v>10007</v>
      </c>
      <c r="C4572" s="39"/>
      <c r="D4572" s="26" t="s">
        <v>10246</v>
      </c>
      <c r="E4572" s="37" t="s">
        <v>6395</v>
      </c>
    </row>
    <row r="4573" spans="1:5" ht="13.9">
      <c r="A4573" s="26" t="s">
        <v>10223</v>
      </c>
      <c r="B4573" s="34" t="s">
        <v>6484</v>
      </c>
      <c r="C4573" s="34" t="s">
        <v>6483</v>
      </c>
      <c r="D4573" s="26" t="s">
        <v>10246</v>
      </c>
      <c r="E4573" s="37" t="s">
        <v>6395</v>
      </c>
    </row>
    <row r="4574" spans="1:5" ht="13.9">
      <c r="A4574" s="26" t="s">
        <v>10223</v>
      </c>
      <c r="B4574" s="34" t="s">
        <v>8441</v>
      </c>
      <c r="C4574" s="39"/>
      <c r="D4574" s="26" t="s">
        <v>10246</v>
      </c>
      <c r="E4574" s="39" t="s">
        <v>6395</v>
      </c>
    </row>
    <row r="4575" spans="1:5" ht="13.9">
      <c r="A4575" s="26" t="s">
        <v>10223</v>
      </c>
      <c r="B4575" s="34" t="s">
        <v>8807</v>
      </c>
      <c r="C4575" s="39"/>
      <c r="D4575" s="26" t="s">
        <v>10246</v>
      </c>
      <c r="E4575" s="37" t="s">
        <v>6395</v>
      </c>
    </row>
    <row r="4576" spans="1:5" ht="13.9">
      <c r="A4576" s="26" t="s">
        <v>10223</v>
      </c>
      <c r="B4576" s="34" t="s">
        <v>10008</v>
      </c>
      <c r="C4576" s="34" t="s">
        <v>10009</v>
      </c>
      <c r="D4576" s="26" t="s">
        <v>10246</v>
      </c>
      <c r="E4576" s="39" t="s">
        <v>10225</v>
      </c>
    </row>
    <row r="4577" spans="1:5" ht="13.9">
      <c r="A4577" s="26" t="s">
        <v>10223</v>
      </c>
      <c r="B4577" s="34" t="s">
        <v>6548</v>
      </c>
      <c r="C4577" s="39"/>
      <c r="D4577" s="26" t="s">
        <v>10246</v>
      </c>
      <c r="E4577" s="37" t="s">
        <v>6443</v>
      </c>
    </row>
    <row r="4578" spans="1:5" ht="13.9">
      <c r="A4578" s="26" t="s">
        <v>10223</v>
      </c>
      <c r="B4578" s="34" t="s">
        <v>10010</v>
      </c>
      <c r="C4578" s="34" t="s">
        <v>245</v>
      </c>
      <c r="D4578" s="26" t="s">
        <v>10246</v>
      </c>
      <c r="E4578" s="37" t="s">
        <v>6395</v>
      </c>
    </row>
    <row r="4579" spans="1:5" ht="13.9">
      <c r="A4579" s="26" t="s">
        <v>10223</v>
      </c>
      <c r="B4579" s="34" t="s">
        <v>10011</v>
      </c>
      <c r="C4579" s="34" t="s">
        <v>580</v>
      </c>
      <c r="D4579" s="26" t="s">
        <v>10246</v>
      </c>
      <c r="E4579" s="39" t="s">
        <v>6395</v>
      </c>
    </row>
    <row r="4580" spans="1:5" ht="13.9">
      <c r="A4580" s="26" t="s">
        <v>10223</v>
      </c>
      <c r="B4580" s="34" t="s">
        <v>10012</v>
      </c>
      <c r="C4580" s="39"/>
      <c r="D4580" s="26" t="s">
        <v>10246</v>
      </c>
      <c r="E4580" s="37" t="s">
        <v>6395</v>
      </c>
    </row>
    <row r="4581" spans="1:5" ht="13.9">
      <c r="A4581" s="26" t="s">
        <v>10223</v>
      </c>
      <c r="B4581" s="34" t="s">
        <v>749</v>
      </c>
      <c r="C4581" s="39"/>
      <c r="D4581" s="26" t="s">
        <v>10246</v>
      </c>
      <c r="E4581" s="37" t="s">
        <v>6395</v>
      </c>
    </row>
    <row r="4582" spans="1:5" ht="13.9">
      <c r="A4582" s="26" t="s">
        <v>10223</v>
      </c>
      <c r="B4582" s="34" t="s">
        <v>3366</v>
      </c>
      <c r="C4582" s="39"/>
      <c r="D4582" s="26" t="s">
        <v>10246</v>
      </c>
      <c r="E4582" s="39" t="s">
        <v>6395</v>
      </c>
    </row>
    <row r="4583" spans="1:5" ht="13.9">
      <c r="A4583" s="26" t="s">
        <v>10223</v>
      </c>
      <c r="B4583" s="34" t="s">
        <v>2570</v>
      </c>
      <c r="C4583" s="34" t="s">
        <v>2798</v>
      </c>
      <c r="D4583" s="26" t="s">
        <v>10246</v>
      </c>
      <c r="E4583" s="37" t="s">
        <v>6395</v>
      </c>
    </row>
    <row r="4584" spans="1:5" ht="13.9">
      <c r="A4584" s="26" t="s">
        <v>10223</v>
      </c>
      <c r="B4584" s="34" t="s">
        <v>7829</v>
      </c>
      <c r="C4584" s="39"/>
      <c r="D4584" s="26" t="s">
        <v>10246</v>
      </c>
      <c r="E4584" s="37" t="s">
        <v>6395</v>
      </c>
    </row>
    <row r="4585" spans="1:5" ht="13.9">
      <c r="A4585" s="26" t="s">
        <v>10223</v>
      </c>
      <c r="B4585" s="34" t="s">
        <v>10013</v>
      </c>
      <c r="C4585" s="39"/>
      <c r="D4585" s="26" t="s">
        <v>10246</v>
      </c>
      <c r="E4585" s="37" t="s">
        <v>6395</v>
      </c>
    </row>
    <row r="4586" spans="1:5" ht="13.9">
      <c r="A4586" s="26" t="s">
        <v>10223</v>
      </c>
      <c r="B4586" s="34" t="s">
        <v>1737</v>
      </c>
      <c r="C4586" s="34" t="s">
        <v>742</v>
      </c>
      <c r="D4586" s="26" t="s">
        <v>10246</v>
      </c>
      <c r="E4586" s="39" t="s">
        <v>6395</v>
      </c>
    </row>
    <row r="4587" spans="1:5" ht="13.9">
      <c r="A4587" s="26" t="s">
        <v>10223</v>
      </c>
      <c r="B4587" s="34" t="s">
        <v>8574</v>
      </c>
      <c r="C4587" s="39"/>
      <c r="D4587" s="26" t="s">
        <v>10246</v>
      </c>
      <c r="E4587" s="37" t="s">
        <v>6395</v>
      </c>
    </row>
    <row r="4588" spans="1:5" ht="13.9">
      <c r="A4588" s="26" t="s">
        <v>10223</v>
      </c>
      <c r="B4588" s="34" t="s">
        <v>6889</v>
      </c>
      <c r="C4588" s="39"/>
      <c r="D4588" s="26" t="s">
        <v>10246</v>
      </c>
      <c r="E4588" s="39">
        <v>0</v>
      </c>
    </row>
    <row r="4589" spans="1:5" ht="13.9">
      <c r="A4589" s="26" t="s">
        <v>10223</v>
      </c>
      <c r="B4589" s="34" t="s">
        <v>10014</v>
      </c>
      <c r="C4589" s="39"/>
      <c r="D4589" s="26" t="s">
        <v>10246</v>
      </c>
      <c r="E4589" s="37" t="s">
        <v>6395</v>
      </c>
    </row>
    <row r="4590" spans="1:5" ht="13.9">
      <c r="A4590" s="26" t="s">
        <v>10223</v>
      </c>
      <c r="B4590" s="34" t="s">
        <v>10015</v>
      </c>
      <c r="C4590" s="34" t="s">
        <v>6560</v>
      </c>
      <c r="D4590" s="26" t="s">
        <v>10246</v>
      </c>
      <c r="E4590" s="37" t="s">
        <v>6395</v>
      </c>
    </row>
    <row r="4591" spans="1:5" ht="13.9">
      <c r="A4591" s="26" t="s">
        <v>10223</v>
      </c>
      <c r="B4591" s="34" t="s">
        <v>10016</v>
      </c>
      <c r="C4591" s="39"/>
      <c r="D4591" s="26" t="s">
        <v>10246</v>
      </c>
      <c r="E4591" s="37" t="s">
        <v>6395</v>
      </c>
    </row>
    <row r="4592" spans="1:5" ht="13.9">
      <c r="A4592" s="26" t="s">
        <v>10223</v>
      </c>
      <c r="B4592" s="34" t="s">
        <v>2419</v>
      </c>
      <c r="C4592" s="34" t="s">
        <v>348</v>
      </c>
      <c r="D4592" s="26" t="s">
        <v>10246</v>
      </c>
      <c r="E4592" s="37" t="s">
        <v>6395</v>
      </c>
    </row>
    <row r="4593" spans="1:5" ht="13.9">
      <c r="A4593" s="26" t="s">
        <v>10223</v>
      </c>
      <c r="B4593" s="34" t="s">
        <v>1222</v>
      </c>
      <c r="C4593" s="39"/>
      <c r="D4593" s="26" t="s">
        <v>10246</v>
      </c>
      <c r="E4593" s="39" t="s">
        <v>6395</v>
      </c>
    </row>
    <row r="4594" spans="1:5" ht="13.9">
      <c r="A4594" s="26" t="s">
        <v>10223</v>
      </c>
      <c r="B4594" s="34" t="s">
        <v>6634</v>
      </c>
      <c r="C4594" s="39"/>
      <c r="D4594" s="26" t="s">
        <v>10246</v>
      </c>
      <c r="E4594" s="37" t="s">
        <v>6395</v>
      </c>
    </row>
    <row r="4595" spans="1:5" ht="13.9">
      <c r="A4595" s="26" t="s">
        <v>10223</v>
      </c>
      <c r="B4595" s="34" t="s">
        <v>10017</v>
      </c>
      <c r="C4595" s="39"/>
      <c r="D4595" s="26" t="s">
        <v>10246</v>
      </c>
      <c r="E4595" s="37" t="s">
        <v>6395</v>
      </c>
    </row>
    <row r="4596" spans="1:5" ht="13.9">
      <c r="A4596" s="26" t="s">
        <v>10223</v>
      </c>
      <c r="B4596" s="34" t="s">
        <v>6883</v>
      </c>
      <c r="C4596" s="39"/>
      <c r="D4596" s="26" t="s">
        <v>10246</v>
      </c>
      <c r="E4596" s="37" t="s">
        <v>6395</v>
      </c>
    </row>
    <row r="4597" spans="1:5" ht="13.9">
      <c r="A4597" s="26" t="s">
        <v>10223</v>
      </c>
      <c r="B4597" s="34" t="s">
        <v>10018</v>
      </c>
      <c r="C4597" s="34" t="s">
        <v>154</v>
      </c>
      <c r="D4597" s="26" t="s">
        <v>10246</v>
      </c>
      <c r="E4597" s="39" t="s">
        <v>6395</v>
      </c>
    </row>
    <row r="4598" spans="1:5" ht="13.9">
      <c r="A4598" s="26" t="s">
        <v>10223</v>
      </c>
      <c r="B4598" s="34" t="s">
        <v>2110</v>
      </c>
      <c r="C4598" s="39"/>
      <c r="D4598" s="26" t="s">
        <v>10246</v>
      </c>
      <c r="E4598" s="37" t="s">
        <v>6395</v>
      </c>
    </row>
    <row r="4599" spans="1:5" ht="13.9">
      <c r="A4599" s="26" t="s">
        <v>10223</v>
      </c>
      <c r="B4599" s="34" t="s">
        <v>10019</v>
      </c>
      <c r="C4599" s="34" t="s">
        <v>2198</v>
      </c>
      <c r="D4599" s="26" t="s">
        <v>10246</v>
      </c>
      <c r="E4599" s="37" t="s">
        <v>6395</v>
      </c>
    </row>
    <row r="4600" spans="1:5" ht="13.9">
      <c r="A4600" s="26" t="s">
        <v>10223</v>
      </c>
      <c r="B4600" s="34" t="s">
        <v>10020</v>
      </c>
      <c r="C4600" s="34" t="s">
        <v>10021</v>
      </c>
      <c r="D4600" s="26" t="s">
        <v>10246</v>
      </c>
      <c r="E4600" s="37" t="s">
        <v>6395</v>
      </c>
    </row>
    <row r="4601" spans="1:5" ht="13.9">
      <c r="A4601" s="26" t="s">
        <v>10223</v>
      </c>
      <c r="B4601" s="34" t="s">
        <v>10022</v>
      </c>
      <c r="C4601" s="34" t="s">
        <v>10023</v>
      </c>
      <c r="D4601" s="26" t="s">
        <v>10246</v>
      </c>
      <c r="E4601" s="39" t="s">
        <v>6395</v>
      </c>
    </row>
    <row r="4602" spans="1:5" ht="13.9">
      <c r="A4602" s="26" t="s">
        <v>10223</v>
      </c>
      <c r="B4602" s="34" t="s">
        <v>10024</v>
      </c>
      <c r="C4602" s="39"/>
      <c r="D4602" s="26" t="s">
        <v>10246</v>
      </c>
      <c r="E4602" s="37" t="s">
        <v>6395</v>
      </c>
    </row>
    <row r="4603" spans="1:5" ht="13.9">
      <c r="A4603" s="26" t="s">
        <v>10223</v>
      </c>
      <c r="B4603" s="34" t="s">
        <v>10025</v>
      </c>
      <c r="C4603" s="34" t="s">
        <v>10026</v>
      </c>
      <c r="D4603" s="26" t="s">
        <v>10246</v>
      </c>
      <c r="E4603" s="39" t="s">
        <v>6395</v>
      </c>
    </row>
    <row r="4604" spans="1:5" ht="13.9">
      <c r="A4604" s="26" t="s">
        <v>10223</v>
      </c>
      <c r="B4604" s="34" t="s">
        <v>7278</v>
      </c>
      <c r="C4604" s="37"/>
      <c r="D4604" s="26" t="s">
        <v>10246</v>
      </c>
      <c r="E4604" s="37" t="s">
        <v>6395</v>
      </c>
    </row>
    <row r="4605" spans="1:5" ht="13.9">
      <c r="A4605" s="26" t="s">
        <v>10223</v>
      </c>
      <c r="B4605" s="34" t="s">
        <v>6907</v>
      </c>
      <c r="C4605" s="39"/>
      <c r="D4605" s="26" t="s">
        <v>10246</v>
      </c>
      <c r="E4605" s="39" t="s">
        <v>6395</v>
      </c>
    </row>
    <row r="4606" spans="1:5" ht="13.9">
      <c r="A4606" s="26" t="s">
        <v>10223</v>
      </c>
      <c r="B4606" s="34" t="s">
        <v>10027</v>
      </c>
      <c r="C4606" s="34" t="s">
        <v>10028</v>
      </c>
      <c r="D4606" s="26" t="s">
        <v>10246</v>
      </c>
      <c r="E4606" s="37" t="s">
        <v>6395</v>
      </c>
    </row>
    <row r="4607" spans="1:5" ht="13.9">
      <c r="A4607" s="26" t="s">
        <v>10223</v>
      </c>
      <c r="B4607" s="34" t="s">
        <v>10029</v>
      </c>
      <c r="C4607" s="39"/>
      <c r="D4607" s="26" t="s">
        <v>10246</v>
      </c>
      <c r="E4607" s="39">
        <v>0</v>
      </c>
    </row>
    <row r="4608" spans="1:5" ht="13.9">
      <c r="A4608" s="26" t="s">
        <v>10223</v>
      </c>
      <c r="B4608" s="34" t="s">
        <v>10030</v>
      </c>
      <c r="C4608" s="34" t="s">
        <v>10031</v>
      </c>
      <c r="D4608" s="26" t="s">
        <v>10246</v>
      </c>
      <c r="E4608" s="37" t="s">
        <v>10225</v>
      </c>
    </row>
    <row r="4609" spans="1:5" ht="13.9">
      <c r="A4609" s="26" t="s">
        <v>10223</v>
      </c>
      <c r="B4609" s="34" t="s">
        <v>10032</v>
      </c>
      <c r="C4609" s="39"/>
      <c r="D4609" s="26" t="s">
        <v>10246</v>
      </c>
      <c r="E4609" s="37" t="s">
        <v>6395</v>
      </c>
    </row>
    <row r="4610" spans="1:5" ht="13.9">
      <c r="A4610" s="26" t="s">
        <v>10223</v>
      </c>
      <c r="B4610" s="34" t="s">
        <v>10033</v>
      </c>
      <c r="C4610" s="39"/>
      <c r="D4610" s="26" t="s">
        <v>10246</v>
      </c>
      <c r="E4610" s="39" t="s">
        <v>6395</v>
      </c>
    </row>
    <row r="4611" spans="1:5" ht="13.9">
      <c r="A4611" s="26" t="s">
        <v>10223</v>
      </c>
      <c r="B4611" s="34" t="s">
        <v>2893</v>
      </c>
      <c r="C4611" s="39"/>
      <c r="D4611" s="26" t="s">
        <v>10246</v>
      </c>
      <c r="E4611" s="37" t="s">
        <v>6395</v>
      </c>
    </row>
    <row r="4612" spans="1:5" ht="13.9">
      <c r="A4612" s="26" t="s">
        <v>10223</v>
      </c>
      <c r="B4612" s="34" t="s">
        <v>10034</v>
      </c>
      <c r="C4612" s="39"/>
      <c r="D4612" s="26" t="s">
        <v>10246</v>
      </c>
      <c r="E4612" s="37" t="s">
        <v>6395</v>
      </c>
    </row>
    <row r="4613" spans="1:5" ht="13.9">
      <c r="A4613" s="26" t="s">
        <v>10223</v>
      </c>
      <c r="B4613" s="34" t="s">
        <v>10035</v>
      </c>
      <c r="C4613" s="39"/>
      <c r="D4613" s="26" t="s">
        <v>10246</v>
      </c>
      <c r="E4613" s="37" t="s">
        <v>6395</v>
      </c>
    </row>
    <row r="4614" spans="1:5" ht="13.9">
      <c r="A4614" s="26" t="s">
        <v>10223</v>
      </c>
      <c r="B4614" s="34" t="s">
        <v>10036</v>
      </c>
      <c r="C4614" s="39"/>
      <c r="D4614" s="26" t="s">
        <v>10246</v>
      </c>
      <c r="E4614" s="37" t="s">
        <v>6395</v>
      </c>
    </row>
    <row r="4615" spans="1:5" ht="13.9">
      <c r="A4615" s="26" t="s">
        <v>10223</v>
      </c>
      <c r="B4615" s="34" t="s">
        <v>6529</v>
      </c>
      <c r="C4615" s="39"/>
      <c r="D4615" s="26" t="s">
        <v>10246</v>
      </c>
      <c r="E4615" s="39" t="s">
        <v>6395</v>
      </c>
    </row>
    <row r="4616" spans="1:5" ht="13.9">
      <c r="A4616" s="26" t="s">
        <v>10223</v>
      </c>
      <c r="B4616" s="34" t="s">
        <v>1350</v>
      </c>
      <c r="C4616" s="39"/>
      <c r="D4616" s="26" t="s">
        <v>10246</v>
      </c>
      <c r="E4616" s="37" t="s">
        <v>6395</v>
      </c>
    </row>
    <row r="4617" spans="1:5" ht="13.9">
      <c r="A4617" s="26" t="s">
        <v>10223</v>
      </c>
      <c r="B4617" s="34" t="s">
        <v>8654</v>
      </c>
      <c r="C4617" s="34" t="s">
        <v>1802</v>
      </c>
      <c r="D4617" s="26" t="s">
        <v>10246</v>
      </c>
      <c r="E4617" s="37" t="s">
        <v>6395</v>
      </c>
    </row>
    <row r="4618" spans="1:5" ht="13.9">
      <c r="A4618" s="26" t="s">
        <v>10223</v>
      </c>
      <c r="B4618" s="34" t="s">
        <v>7027</v>
      </c>
      <c r="C4618" s="39"/>
      <c r="D4618" s="26" t="s">
        <v>10246</v>
      </c>
      <c r="E4618" s="37" t="s">
        <v>6395</v>
      </c>
    </row>
    <row r="4619" spans="1:5" ht="13.9">
      <c r="A4619" s="26" t="s">
        <v>10223</v>
      </c>
      <c r="B4619" s="34" t="s">
        <v>6417</v>
      </c>
      <c r="C4619" s="34" t="s">
        <v>776</v>
      </c>
      <c r="D4619" s="26" t="s">
        <v>10246</v>
      </c>
      <c r="E4619" s="37" t="s">
        <v>6395</v>
      </c>
    </row>
    <row r="4620" spans="1:5" ht="13.9">
      <c r="A4620" s="26" t="s">
        <v>10223</v>
      </c>
      <c r="B4620" s="34" t="s">
        <v>10037</v>
      </c>
      <c r="C4620" s="34" t="s">
        <v>1744</v>
      </c>
      <c r="D4620" s="26" t="s">
        <v>10246</v>
      </c>
      <c r="E4620" s="39" t="s">
        <v>6395</v>
      </c>
    </row>
    <row r="4621" spans="1:5" ht="13.9">
      <c r="A4621" s="26" t="s">
        <v>10223</v>
      </c>
      <c r="B4621" s="34" t="s">
        <v>10038</v>
      </c>
      <c r="C4621" s="34" t="s">
        <v>227</v>
      </c>
      <c r="D4621" s="26" t="s">
        <v>10246</v>
      </c>
      <c r="E4621" s="37" t="s">
        <v>6395</v>
      </c>
    </row>
    <row r="4622" spans="1:5" ht="13.9">
      <c r="A4622" s="26" t="s">
        <v>10223</v>
      </c>
      <c r="B4622" s="34" t="s">
        <v>10039</v>
      </c>
      <c r="C4622" s="34" t="s">
        <v>9791</v>
      </c>
      <c r="D4622" s="26" t="s">
        <v>10246</v>
      </c>
      <c r="E4622" s="37" t="s">
        <v>6395</v>
      </c>
    </row>
    <row r="4623" spans="1:5" ht="13.9">
      <c r="A4623" s="26" t="s">
        <v>10223</v>
      </c>
      <c r="B4623" s="34" t="s">
        <v>7436</v>
      </c>
      <c r="C4623" s="34" t="s">
        <v>7378</v>
      </c>
      <c r="D4623" s="26" t="s">
        <v>10246</v>
      </c>
      <c r="E4623" s="37" t="s">
        <v>6395</v>
      </c>
    </row>
    <row r="4624" spans="1:5" ht="13.9">
      <c r="A4624" s="26" t="s">
        <v>10223</v>
      </c>
      <c r="B4624" s="34" t="s">
        <v>6687</v>
      </c>
      <c r="C4624" s="39"/>
      <c r="D4624" s="26" t="s">
        <v>10246</v>
      </c>
      <c r="E4624" s="37" t="s">
        <v>6395</v>
      </c>
    </row>
    <row r="4625" spans="1:5" ht="13.9">
      <c r="A4625" s="26" t="s">
        <v>10223</v>
      </c>
      <c r="B4625" s="34" t="s">
        <v>477</v>
      </c>
      <c r="C4625" s="39"/>
      <c r="D4625" s="26" t="s">
        <v>10246</v>
      </c>
      <c r="E4625" s="39" t="s">
        <v>6395</v>
      </c>
    </row>
    <row r="4626" spans="1:5" ht="13.9">
      <c r="A4626" s="26" t="s">
        <v>10223</v>
      </c>
      <c r="B4626" s="34" t="s">
        <v>7308</v>
      </c>
      <c r="C4626" s="39"/>
      <c r="D4626" s="26" t="s">
        <v>10246</v>
      </c>
      <c r="E4626" s="37" t="s">
        <v>6395</v>
      </c>
    </row>
    <row r="4627" spans="1:5" ht="13.9">
      <c r="A4627" s="26" t="s">
        <v>10223</v>
      </c>
      <c r="B4627" s="34" t="s">
        <v>10040</v>
      </c>
      <c r="C4627" s="34" t="s">
        <v>7437</v>
      </c>
      <c r="D4627" s="26" t="s">
        <v>10246</v>
      </c>
      <c r="E4627" s="39" t="s">
        <v>6395</v>
      </c>
    </row>
    <row r="4628" spans="1:5" ht="13.9">
      <c r="A4628" s="26" t="s">
        <v>10223</v>
      </c>
      <c r="B4628" s="34" t="s">
        <v>9369</v>
      </c>
      <c r="C4628" s="39"/>
      <c r="D4628" s="26" t="s">
        <v>10246</v>
      </c>
      <c r="E4628" s="37" t="s">
        <v>6395</v>
      </c>
    </row>
    <row r="4629" spans="1:5" ht="13.9">
      <c r="A4629" s="26" t="s">
        <v>10223</v>
      </c>
      <c r="B4629" s="34" t="s">
        <v>10041</v>
      </c>
      <c r="C4629" s="39"/>
      <c r="D4629" s="26" t="s">
        <v>10246</v>
      </c>
      <c r="E4629" s="37" t="s">
        <v>6395</v>
      </c>
    </row>
    <row r="4630" spans="1:5" ht="13.9">
      <c r="A4630" s="26" t="s">
        <v>10223</v>
      </c>
      <c r="B4630" s="34" t="s">
        <v>8213</v>
      </c>
      <c r="C4630" s="39"/>
      <c r="D4630" s="26" t="s">
        <v>10246</v>
      </c>
      <c r="E4630" s="39" t="s">
        <v>6395</v>
      </c>
    </row>
    <row r="4631" spans="1:5" ht="13.9">
      <c r="A4631" s="26" t="s">
        <v>10223</v>
      </c>
      <c r="B4631" s="34" t="s">
        <v>10042</v>
      </c>
      <c r="C4631" s="34" t="s">
        <v>10043</v>
      </c>
      <c r="D4631" s="26" t="s">
        <v>10246</v>
      </c>
      <c r="E4631" s="37" t="s">
        <v>6395</v>
      </c>
    </row>
    <row r="4632" spans="1:5" ht="13.9">
      <c r="A4632" s="26" t="s">
        <v>10223</v>
      </c>
      <c r="B4632" s="34" t="s">
        <v>10044</v>
      </c>
      <c r="C4632" s="34" t="s">
        <v>154</v>
      </c>
      <c r="D4632" s="26" t="s">
        <v>10246</v>
      </c>
      <c r="E4632" s="37" t="s">
        <v>6395</v>
      </c>
    </row>
    <row r="4633" spans="1:5" ht="13.9">
      <c r="A4633" s="26" t="s">
        <v>10223</v>
      </c>
      <c r="B4633" s="34" t="s">
        <v>2047</v>
      </c>
      <c r="C4633" s="34" t="s">
        <v>2048</v>
      </c>
      <c r="D4633" s="26" t="s">
        <v>10246</v>
      </c>
      <c r="E4633" s="37" t="s">
        <v>6395</v>
      </c>
    </row>
    <row r="4634" spans="1:5" ht="13.9">
      <c r="A4634" s="26" t="s">
        <v>10223</v>
      </c>
      <c r="B4634" s="34" t="s">
        <v>2088</v>
      </c>
      <c r="C4634" s="34" t="s">
        <v>10045</v>
      </c>
      <c r="D4634" s="26" t="s">
        <v>10246</v>
      </c>
      <c r="E4634" s="37" t="s">
        <v>6395</v>
      </c>
    </row>
    <row r="4635" spans="1:5" ht="13.9">
      <c r="A4635" s="26" t="s">
        <v>10223</v>
      </c>
      <c r="B4635" s="34" t="s">
        <v>10046</v>
      </c>
      <c r="C4635" s="39"/>
      <c r="D4635" s="26" t="s">
        <v>10246</v>
      </c>
      <c r="E4635" s="37" t="s">
        <v>6395</v>
      </c>
    </row>
    <row r="4636" spans="1:5" ht="13.9">
      <c r="A4636" s="26" t="s">
        <v>10223</v>
      </c>
      <c r="B4636" s="34" t="s">
        <v>7837</v>
      </c>
      <c r="C4636" s="39"/>
      <c r="D4636" s="26" t="s">
        <v>10246</v>
      </c>
      <c r="E4636" s="37" t="s">
        <v>6395</v>
      </c>
    </row>
    <row r="4637" spans="1:5" ht="13.9">
      <c r="A4637" s="26" t="s">
        <v>10223</v>
      </c>
      <c r="B4637" s="34" t="s">
        <v>10047</v>
      </c>
      <c r="C4637" s="34" t="s">
        <v>245</v>
      </c>
      <c r="D4637" s="26" t="s">
        <v>10246</v>
      </c>
      <c r="E4637" s="39" t="s">
        <v>6395</v>
      </c>
    </row>
    <row r="4638" spans="1:5" ht="13.9">
      <c r="A4638" s="26" t="s">
        <v>10223</v>
      </c>
      <c r="B4638" s="34" t="s">
        <v>10048</v>
      </c>
      <c r="C4638" s="39"/>
      <c r="D4638" s="26" t="s">
        <v>10246</v>
      </c>
      <c r="E4638" s="37" t="s">
        <v>6395</v>
      </c>
    </row>
    <row r="4639" spans="1:5" ht="13.9">
      <c r="A4639" s="26" t="s">
        <v>10223</v>
      </c>
      <c r="B4639" s="34" t="s">
        <v>10049</v>
      </c>
      <c r="C4639" s="34" t="s">
        <v>2198</v>
      </c>
      <c r="D4639" s="26" t="s">
        <v>10246</v>
      </c>
      <c r="E4639" s="39" t="s">
        <v>6395</v>
      </c>
    </row>
    <row r="4640" spans="1:5" ht="13.9">
      <c r="A4640" s="26" t="s">
        <v>10223</v>
      </c>
      <c r="B4640" s="34" t="s">
        <v>10050</v>
      </c>
      <c r="C4640" s="34" t="s">
        <v>10051</v>
      </c>
      <c r="D4640" s="26" t="s">
        <v>10246</v>
      </c>
      <c r="E4640" s="39" t="s">
        <v>6395</v>
      </c>
    </row>
    <row r="4641" spans="1:5" ht="13.9">
      <c r="A4641" s="26" t="s">
        <v>10223</v>
      </c>
      <c r="B4641" s="34" t="s">
        <v>10052</v>
      </c>
      <c r="C4641" s="34" t="s">
        <v>524</v>
      </c>
      <c r="D4641" s="26" t="s">
        <v>10246</v>
      </c>
      <c r="E4641" s="37" t="s">
        <v>6395</v>
      </c>
    </row>
    <row r="4642" spans="1:5" ht="13.9">
      <c r="A4642" s="26" t="s">
        <v>10223</v>
      </c>
      <c r="B4642" s="34" t="s">
        <v>2315</v>
      </c>
      <c r="C4642" s="39"/>
      <c r="D4642" s="26" t="s">
        <v>10246</v>
      </c>
      <c r="E4642" s="39">
        <v>0</v>
      </c>
    </row>
    <row r="4643" spans="1:5" ht="13.9">
      <c r="A4643" s="26" t="s">
        <v>10223</v>
      </c>
      <c r="B4643" s="34" t="s">
        <v>6877</v>
      </c>
      <c r="C4643" s="34" t="s">
        <v>2323</v>
      </c>
      <c r="D4643" s="26" t="s">
        <v>10246</v>
      </c>
      <c r="E4643" s="37" t="s">
        <v>6395</v>
      </c>
    </row>
    <row r="4644" spans="1:5" ht="13.9">
      <c r="A4644" s="26" t="s">
        <v>10223</v>
      </c>
      <c r="B4644" s="34" t="s">
        <v>10053</v>
      </c>
      <c r="C4644" s="39"/>
      <c r="D4644" s="26" t="s">
        <v>10246</v>
      </c>
      <c r="E4644" s="37" t="s">
        <v>6395</v>
      </c>
    </row>
    <row r="4645" spans="1:5" ht="13.9">
      <c r="A4645" s="26" t="s">
        <v>10223</v>
      </c>
      <c r="B4645" s="40" t="s">
        <v>433</v>
      </c>
      <c r="C4645" s="34" t="s">
        <v>434</v>
      </c>
      <c r="D4645" s="26" t="s">
        <v>10246</v>
      </c>
      <c r="E4645" s="37">
        <v>0</v>
      </c>
    </row>
    <row r="4646" spans="1:5" ht="13.9">
      <c r="A4646" s="26" t="s">
        <v>10223</v>
      </c>
      <c r="B4646" s="40" t="s">
        <v>433</v>
      </c>
      <c r="C4646" s="34" t="s">
        <v>6473</v>
      </c>
      <c r="D4646" s="26" t="s">
        <v>10246</v>
      </c>
      <c r="E4646" s="37">
        <v>0</v>
      </c>
    </row>
    <row r="4647" spans="1:5" ht="13.9">
      <c r="A4647" s="26" t="s">
        <v>10223</v>
      </c>
      <c r="B4647" s="34" t="s">
        <v>6771</v>
      </c>
      <c r="C4647" s="34" t="s">
        <v>865</v>
      </c>
      <c r="D4647" s="26" t="s">
        <v>10246</v>
      </c>
      <c r="E4647" s="39" t="s">
        <v>6395</v>
      </c>
    </row>
    <row r="4648" spans="1:5" ht="13.9">
      <c r="A4648" s="26" t="s">
        <v>10223</v>
      </c>
      <c r="B4648" s="34" t="s">
        <v>1159</v>
      </c>
      <c r="C4648" s="34" t="s">
        <v>1160</v>
      </c>
      <c r="D4648" s="26" t="s">
        <v>10246</v>
      </c>
      <c r="E4648" s="37" t="s">
        <v>6395</v>
      </c>
    </row>
    <row r="4649" spans="1:5" ht="13.9">
      <c r="A4649" s="26" t="s">
        <v>10223</v>
      </c>
      <c r="B4649" s="34" t="s">
        <v>10054</v>
      </c>
      <c r="C4649" s="39"/>
      <c r="D4649" s="26" t="s">
        <v>10246</v>
      </c>
      <c r="E4649" s="39" t="s">
        <v>6395</v>
      </c>
    </row>
    <row r="4650" spans="1:5" ht="13.9">
      <c r="A4650" s="26" t="s">
        <v>10223</v>
      </c>
      <c r="B4650" s="34" t="s">
        <v>8077</v>
      </c>
      <c r="C4650" s="39"/>
      <c r="D4650" s="26" t="s">
        <v>10246</v>
      </c>
      <c r="E4650" s="37" t="s">
        <v>6395</v>
      </c>
    </row>
    <row r="4651" spans="1:5" ht="13.9">
      <c r="A4651" s="26" t="s">
        <v>10223</v>
      </c>
      <c r="B4651" s="34" t="s">
        <v>10055</v>
      </c>
      <c r="C4651" s="34" t="s">
        <v>154</v>
      </c>
      <c r="D4651" s="26" t="s">
        <v>10246</v>
      </c>
      <c r="E4651" s="37" t="s">
        <v>6395</v>
      </c>
    </row>
    <row r="4652" spans="1:5" ht="13.9">
      <c r="A4652" s="26" t="s">
        <v>10223</v>
      </c>
      <c r="B4652" s="34" t="s">
        <v>1534</v>
      </c>
      <c r="C4652" s="34" t="s">
        <v>1535</v>
      </c>
      <c r="D4652" s="26" t="s">
        <v>10246</v>
      </c>
      <c r="E4652" s="37" t="s">
        <v>6395</v>
      </c>
    </row>
    <row r="4653" spans="1:5" ht="13.9">
      <c r="A4653" s="26" t="s">
        <v>10223</v>
      </c>
      <c r="B4653" s="34" t="s">
        <v>10056</v>
      </c>
      <c r="C4653" s="34" t="s">
        <v>9667</v>
      </c>
      <c r="D4653" s="26" t="s">
        <v>10246</v>
      </c>
      <c r="E4653" s="37" t="s">
        <v>6395</v>
      </c>
    </row>
    <row r="4654" spans="1:5" ht="13.9">
      <c r="A4654" s="26" t="s">
        <v>10223</v>
      </c>
      <c r="B4654" s="34" t="s">
        <v>2174</v>
      </c>
      <c r="C4654" s="39"/>
      <c r="D4654" s="26" t="s">
        <v>10246</v>
      </c>
      <c r="E4654" s="37" t="s">
        <v>6395</v>
      </c>
    </row>
    <row r="4655" spans="1:5" ht="13.9">
      <c r="A4655" s="26" t="s">
        <v>10223</v>
      </c>
      <c r="B4655" s="34" t="s">
        <v>10057</v>
      </c>
      <c r="C4655" s="39"/>
      <c r="D4655" s="26" t="s">
        <v>10246</v>
      </c>
      <c r="E4655" s="37" t="s">
        <v>6395</v>
      </c>
    </row>
    <row r="4656" spans="1:5" ht="13.9">
      <c r="A4656" s="26" t="s">
        <v>10223</v>
      </c>
      <c r="B4656" s="34" t="s">
        <v>30</v>
      </c>
      <c r="C4656" s="34" t="s">
        <v>15</v>
      </c>
      <c r="D4656" s="26" t="s">
        <v>10246</v>
      </c>
      <c r="E4656" s="39" t="s">
        <v>6395</v>
      </c>
    </row>
    <row r="4657" spans="1:5" ht="13.9">
      <c r="A4657" s="26" t="s">
        <v>10223</v>
      </c>
      <c r="B4657" s="34" t="s">
        <v>10058</v>
      </c>
      <c r="C4657" s="39"/>
      <c r="D4657" s="26" t="s">
        <v>10246</v>
      </c>
      <c r="E4657" s="37" t="s">
        <v>6395</v>
      </c>
    </row>
    <row r="4658" spans="1:5" ht="13.9">
      <c r="A4658" s="26" t="s">
        <v>10223</v>
      </c>
      <c r="B4658" s="34" t="s">
        <v>6746</v>
      </c>
      <c r="C4658" s="39"/>
      <c r="D4658" s="26" t="s">
        <v>10246</v>
      </c>
      <c r="E4658" s="37" t="s">
        <v>6395</v>
      </c>
    </row>
    <row r="4659" spans="1:5" ht="13.9">
      <c r="A4659" s="26" t="s">
        <v>10223</v>
      </c>
      <c r="B4659" s="34" t="s">
        <v>10059</v>
      </c>
      <c r="C4659" s="34" t="s">
        <v>27</v>
      </c>
      <c r="D4659" s="26" t="s">
        <v>10246</v>
      </c>
      <c r="E4659" s="37" t="s">
        <v>6395</v>
      </c>
    </row>
    <row r="4660" spans="1:5" ht="13.9">
      <c r="A4660" s="26" t="s">
        <v>10223</v>
      </c>
      <c r="B4660" s="34" t="s">
        <v>10060</v>
      </c>
      <c r="C4660" s="39"/>
      <c r="D4660" s="26" t="s">
        <v>10246</v>
      </c>
      <c r="E4660" s="37" t="s">
        <v>6395</v>
      </c>
    </row>
    <row r="4661" spans="1:5" ht="13.9">
      <c r="A4661" s="26" t="s">
        <v>10223</v>
      </c>
      <c r="B4661" s="34" t="s">
        <v>10061</v>
      </c>
      <c r="C4661" s="39"/>
      <c r="D4661" s="26" t="s">
        <v>10246</v>
      </c>
      <c r="E4661" s="37" t="s">
        <v>6395</v>
      </c>
    </row>
    <row r="4662" spans="1:5" ht="13.9">
      <c r="A4662" s="26" t="s">
        <v>10223</v>
      </c>
      <c r="B4662" s="34" t="s">
        <v>10062</v>
      </c>
      <c r="C4662" s="39"/>
      <c r="D4662" s="26" t="s">
        <v>10246</v>
      </c>
      <c r="E4662" s="37" t="s">
        <v>6395</v>
      </c>
    </row>
    <row r="4663" spans="1:5" ht="13.9">
      <c r="A4663" s="26" t="s">
        <v>10223</v>
      </c>
      <c r="B4663" s="34" t="s">
        <v>6495</v>
      </c>
      <c r="C4663" s="39"/>
      <c r="D4663" s="26" t="s">
        <v>10246</v>
      </c>
      <c r="E4663" s="39" t="s">
        <v>6395</v>
      </c>
    </row>
    <row r="4664" spans="1:5" ht="13.9">
      <c r="A4664" s="26" t="s">
        <v>10223</v>
      </c>
      <c r="B4664" s="34" t="s">
        <v>10063</v>
      </c>
      <c r="C4664" s="34" t="s">
        <v>227</v>
      </c>
      <c r="D4664" s="26" t="s">
        <v>10246</v>
      </c>
      <c r="E4664" s="37" t="s">
        <v>6395</v>
      </c>
    </row>
    <row r="4665" spans="1:5" ht="13.9">
      <c r="A4665" s="26" t="s">
        <v>10223</v>
      </c>
      <c r="B4665" s="34" t="s">
        <v>10064</v>
      </c>
      <c r="C4665" s="39"/>
      <c r="D4665" s="26" t="s">
        <v>10246</v>
      </c>
      <c r="E4665" s="37" t="s">
        <v>6395</v>
      </c>
    </row>
    <row r="4666" spans="1:5" ht="13.9">
      <c r="A4666" s="26" t="s">
        <v>10223</v>
      </c>
      <c r="B4666" s="34" t="s">
        <v>10065</v>
      </c>
      <c r="C4666" s="34" t="s">
        <v>776</v>
      </c>
      <c r="D4666" s="26" t="s">
        <v>10246</v>
      </c>
      <c r="E4666" s="37" t="s">
        <v>6395</v>
      </c>
    </row>
    <row r="4667" spans="1:5" ht="13.9">
      <c r="A4667" s="26" t="s">
        <v>10223</v>
      </c>
      <c r="B4667" s="34" t="s">
        <v>9367</v>
      </c>
      <c r="C4667" s="39"/>
      <c r="D4667" s="26" t="s">
        <v>10246</v>
      </c>
      <c r="E4667" s="37" t="s">
        <v>6395</v>
      </c>
    </row>
    <row r="4668" spans="1:5" ht="13.9">
      <c r="A4668" s="26" t="s">
        <v>10223</v>
      </c>
      <c r="B4668" s="34" t="s">
        <v>214</v>
      </c>
      <c r="C4668" s="34" t="s">
        <v>215</v>
      </c>
      <c r="D4668" s="26" t="s">
        <v>10246</v>
      </c>
      <c r="E4668" s="37" t="s">
        <v>6395</v>
      </c>
    </row>
    <row r="4669" spans="1:5" ht="13.9">
      <c r="A4669" s="26" t="s">
        <v>10223</v>
      </c>
      <c r="B4669" s="34" t="s">
        <v>10066</v>
      </c>
      <c r="C4669" s="39"/>
      <c r="D4669" s="26" t="s">
        <v>10246</v>
      </c>
      <c r="E4669" s="39" t="s">
        <v>6395</v>
      </c>
    </row>
    <row r="4670" spans="1:5" ht="13.9">
      <c r="A4670" s="26" t="s">
        <v>10223</v>
      </c>
      <c r="B4670" s="34" t="s">
        <v>10067</v>
      </c>
      <c r="C4670" s="39"/>
      <c r="D4670" s="26" t="s">
        <v>10246</v>
      </c>
      <c r="E4670" s="37" t="s">
        <v>6395</v>
      </c>
    </row>
    <row r="4671" spans="1:5" ht="13.9">
      <c r="A4671" s="26" t="s">
        <v>10223</v>
      </c>
      <c r="B4671" s="34" t="s">
        <v>10068</v>
      </c>
      <c r="C4671" s="39"/>
      <c r="D4671" s="26" t="s">
        <v>10246</v>
      </c>
      <c r="E4671" s="37" t="s">
        <v>6395</v>
      </c>
    </row>
    <row r="4672" spans="1:5" ht="13.9">
      <c r="A4672" s="26" t="s">
        <v>10223</v>
      </c>
      <c r="B4672" s="34" t="s">
        <v>10069</v>
      </c>
      <c r="C4672" s="39"/>
      <c r="D4672" s="26" t="s">
        <v>10246</v>
      </c>
      <c r="E4672" s="37" t="s">
        <v>6395</v>
      </c>
    </row>
    <row r="4673" spans="1:5" ht="13.9">
      <c r="A4673" s="26" t="s">
        <v>10223</v>
      </c>
      <c r="B4673" s="34" t="s">
        <v>6608</v>
      </c>
      <c r="C4673" s="34" t="s">
        <v>10070</v>
      </c>
      <c r="D4673" s="26" t="s">
        <v>10246</v>
      </c>
      <c r="E4673" s="39" t="s">
        <v>6395</v>
      </c>
    </row>
    <row r="4674" spans="1:5" ht="13.9">
      <c r="A4674" s="26" t="s">
        <v>10223</v>
      </c>
      <c r="B4674" s="34" t="s">
        <v>7281</v>
      </c>
      <c r="C4674" s="34" t="s">
        <v>707</v>
      </c>
      <c r="D4674" s="26" t="s">
        <v>10246</v>
      </c>
      <c r="E4674" s="37" t="s">
        <v>6395</v>
      </c>
    </row>
    <row r="4675" spans="1:5" ht="13.9">
      <c r="A4675" s="26" t="s">
        <v>10223</v>
      </c>
      <c r="B4675" s="34" t="s">
        <v>10071</v>
      </c>
      <c r="C4675" s="39"/>
      <c r="D4675" s="26" t="s">
        <v>10246</v>
      </c>
      <c r="E4675" s="37" t="s">
        <v>6411</v>
      </c>
    </row>
    <row r="4676" spans="1:5" ht="13.9">
      <c r="A4676" s="26" t="s">
        <v>10223</v>
      </c>
      <c r="B4676" s="34" t="s">
        <v>7850</v>
      </c>
      <c r="C4676" s="39"/>
      <c r="D4676" s="26" t="s">
        <v>10246</v>
      </c>
      <c r="E4676" s="37" t="s">
        <v>6395</v>
      </c>
    </row>
    <row r="4677" spans="1:5" ht="13.9">
      <c r="A4677" s="26" t="s">
        <v>10223</v>
      </c>
      <c r="B4677" s="34" t="s">
        <v>10072</v>
      </c>
      <c r="C4677" s="34" t="s">
        <v>2020</v>
      </c>
      <c r="D4677" s="26" t="s">
        <v>10246</v>
      </c>
      <c r="E4677" s="37" t="s">
        <v>6395</v>
      </c>
    </row>
    <row r="4678" spans="1:5" ht="13.9">
      <c r="A4678" s="26" t="s">
        <v>10223</v>
      </c>
      <c r="B4678" s="34" t="s">
        <v>8852</v>
      </c>
      <c r="C4678" s="34" t="s">
        <v>2057</v>
      </c>
      <c r="D4678" s="26" t="s">
        <v>10246</v>
      </c>
      <c r="E4678" s="39" t="s">
        <v>6395</v>
      </c>
    </row>
    <row r="4679" spans="1:5" ht="13.9">
      <c r="A4679" s="26" t="s">
        <v>10223</v>
      </c>
      <c r="B4679" s="34" t="s">
        <v>10073</v>
      </c>
      <c r="C4679" s="39"/>
      <c r="D4679" s="26" t="s">
        <v>10246</v>
      </c>
      <c r="E4679" s="37" t="s">
        <v>6395</v>
      </c>
    </row>
    <row r="4680" spans="1:5" ht="13.9">
      <c r="A4680" s="26" t="s">
        <v>10223</v>
      </c>
      <c r="B4680" s="34" t="s">
        <v>10074</v>
      </c>
      <c r="C4680" s="39"/>
      <c r="D4680" s="26" t="s">
        <v>10246</v>
      </c>
      <c r="E4680" s="37" t="s">
        <v>6395</v>
      </c>
    </row>
    <row r="4681" spans="1:5" ht="13.9">
      <c r="A4681" s="26" t="s">
        <v>10223</v>
      </c>
      <c r="B4681" s="34" t="s">
        <v>1377</v>
      </c>
      <c r="C4681" s="34" t="s">
        <v>10075</v>
      </c>
      <c r="D4681" s="26" t="s">
        <v>10246</v>
      </c>
      <c r="E4681" s="39" t="s">
        <v>6411</v>
      </c>
    </row>
    <row r="4682" spans="1:5" ht="13.9">
      <c r="A4682" s="26" t="s">
        <v>10223</v>
      </c>
      <c r="B4682" s="34" t="s">
        <v>2873</v>
      </c>
      <c r="C4682" s="34" t="s">
        <v>10076</v>
      </c>
      <c r="D4682" s="26" t="s">
        <v>10246</v>
      </c>
      <c r="E4682" s="37" t="s">
        <v>6395</v>
      </c>
    </row>
    <row r="4683" spans="1:5" ht="13.9">
      <c r="A4683" s="26" t="s">
        <v>10223</v>
      </c>
      <c r="B4683" s="34" t="s">
        <v>10077</v>
      </c>
      <c r="C4683" s="39"/>
      <c r="D4683" s="26" t="s">
        <v>10246</v>
      </c>
      <c r="E4683" s="39" t="s">
        <v>6395</v>
      </c>
    </row>
    <row r="4684" spans="1:5" ht="13.9">
      <c r="A4684" s="26" t="s">
        <v>10223</v>
      </c>
      <c r="B4684" s="34" t="s">
        <v>6807</v>
      </c>
      <c r="C4684" s="34" t="s">
        <v>10078</v>
      </c>
      <c r="D4684" s="26" t="s">
        <v>10246</v>
      </c>
      <c r="E4684" s="37" t="s">
        <v>6479</v>
      </c>
    </row>
    <row r="4685" spans="1:5" ht="13.9">
      <c r="A4685" s="26" t="s">
        <v>10223</v>
      </c>
      <c r="B4685" s="34" t="s">
        <v>10079</v>
      </c>
      <c r="C4685" s="39"/>
      <c r="D4685" s="26" t="s">
        <v>10246</v>
      </c>
      <c r="E4685" s="37" t="s">
        <v>6395</v>
      </c>
    </row>
    <row r="4686" spans="1:5" ht="13.9">
      <c r="A4686" s="26" t="s">
        <v>10223</v>
      </c>
      <c r="B4686" s="34" t="s">
        <v>7026</v>
      </c>
      <c r="C4686" s="34" t="s">
        <v>227</v>
      </c>
      <c r="D4686" s="26" t="s">
        <v>10246</v>
      </c>
      <c r="E4686" s="39" t="s">
        <v>6395</v>
      </c>
    </row>
    <row r="4687" spans="1:5" ht="13.9">
      <c r="A4687" s="26" t="s">
        <v>10223</v>
      </c>
      <c r="B4687" s="34" t="s">
        <v>781</v>
      </c>
      <c r="C4687" s="39"/>
      <c r="D4687" s="26" t="s">
        <v>10246</v>
      </c>
      <c r="E4687" s="37" t="s">
        <v>6395</v>
      </c>
    </row>
    <row r="4688" spans="1:5" ht="13.9">
      <c r="A4688" s="26" t="s">
        <v>10223</v>
      </c>
      <c r="B4688" s="34" t="s">
        <v>10080</v>
      </c>
      <c r="C4688" s="34" t="s">
        <v>517</v>
      </c>
      <c r="D4688" s="26" t="s">
        <v>10246</v>
      </c>
      <c r="E4688" s="39" t="s">
        <v>6395</v>
      </c>
    </row>
    <row r="4689" spans="1:5" ht="13.9">
      <c r="A4689" s="26" t="s">
        <v>10223</v>
      </c>
      <c r="B4689" s="34" t="s">
        <v>7018</v>
      </c>
      <c r="C4689" s="34" t="s">
        <v>884</v>
      </c>
      <c r="D4689" s="26" t="s">
        <v>10246</v>
      </c>
      <c r="E4689" s="37">
        <v>0</v>
      </c>
    </row>
    <row r="4690" spans="1:5" ht="13.9">
      <c r="A4690" s="26" t="s">
        <v>10223</v>
      </c>
      <c r="B4690" s="34" t="s">
        <v>2277</v>
      </c>
      <c r="C4690" s="39"/>
      <c r="D4690" s="26" t="s">
        <v>10246</v>
      </c>
      <c r="E4690" s="37" t="s">
        <v>6395</v>
      </c>
    </row>
    <row r="4691" spans="1:5" ht="13.9">
      <c r="A4691" s="26" t="s">
        <v>10223</v>
      </c>
      <c r="B4691" s="34" t="s">
        <v>7854</v>
      </c>
      <c r="C4691" s="39"/>
      <c r="D4691" s="26" t="s">
        <v>10246</v>
      </c>
      <c r="E4691" s="39" t="s">
        <v>6395</v>
      </c>
    </row>
    <row r="4692" spans="1:5" ht="13.9">
      <c r="A4692" s="26" t="s">
        <v>10223</v>
      </c>
      <c r="B4692" s="34" t="s">
        <v>10081</v>
      </c>
      <c r="C4692" s="39"/>
      <c r="D4692" s="26" t="s">
        <v>10246</v>
      </c>
      <c r="E4692" s="37" t="s">
        <v>6395</v>
      </c>
    </row>
    <row r="4693" spans="1:5" ht="13.9">
      <c r="A4693" s="26" t="s">
        <v>10223</v>
      </c>
      <c r="B4693" s="34" t="s">
        <v>7855</v>
      </c>
      <c r="C4693" s="39"/>
      <c r="D4693" s="26" t="s">
        <v>10246</v>
      </c>
      <c r="E4693" s="37" t="s">
        <v>6395</v>
      </c>
    </row>
    <row r="4694" spans="1:5" ht="13.9">
      <c r="A4694" s="26" t="s">
        <v>10223</v>
      </c>
      <c r="B4694" s="34" t="s">
        <v>10082</v>
      </c>
      <c r="C4694" s="34" t="s">
        <v>10083</v>
      </c>
      <c r="D4694" s="26" t="s">
        <v>10246</v>
      </c>
      <c r="E4694" s="39" t="s">
        <v>6395</v>
      </c>
    </row>
    <row r="4695" spans="1:5" ht="13.9">
      <c r="A4695" s="26" t="s">
        <v>10223</v>
      </c>
      <c r="B4695" s="34" t="s">
        <v>10084</v>
      </c>
      <c r="C4695" s="39"/>
      <c r="D4695" s="26" t="s">
        <v>10246</v>
      </c>
      <c r="E4695" s="37" t="s">
        <v>6395</v>
      </c>
    </row>
    <row r="4696" spans="1:5" ht="13.9">
      <c r="A4696" s="26" t="s">
        <v>10223</v>
      </c>
      <c r="B4696" s="34" t="s">
        <v>10085</v>
      </c>
      <c r="C4696" s="34" t="s">
        <v>6473</v>
      </c>
      <c r="D4696" s="26" t="s">
        <v>10246</v>
      </c>
      <c r="E4696" s="37" t="s">
        <v>6395</v>
      </c>
    </row>
    <row r="4697" spans="1:5" ht="13.9">
      <c r="A4697" s="26" t="s">
        <v>10223</v>
      </c>
      <c r="B4697" s="34" t="s">
        <v>6453</v>
      </c>
      <c r="C4697" s="34" t="s">
        <v>541</v>
      </c>
      <c r="D4697" s="26" t="s">
        <v>10246</v>
      </c>
      <c r="E4697" s="37" t="s">
        <v>6395</v>
      </c>
    </row>
    <row r="4698" spans="1:5" ht="13.9">
      <c r="A4698" s="26" t="s">
        <v>10223</v>
      </c>
      <c r="B4698" s="34" t="s">
        <v>10086</v>
      </c>
      <c r="C4698" s="39"/>
      <c r="D4698" s="26" t="s">
        <v>10246</v>
      </c>
      <c r="E4698" s="37" t="s">
        <v>6395</v>
      </c>
    </row>
    <row r="4699" spans="1:5" ht="13.9">
      <c r="A4699" s="26" t="s">
        <v>10223</v>
      </c>
      <c r="B4699" s="34" t="s">
        <v>8906</v>
      </c>
      <c r="C4699" s="39"/>
      <c r="D4699" s="26" t="s">
        <v>10246</v>
      </c>
      <c r="E4699" s="37" t="s">
        <v>6395</v>
      </c>
    </row>
    <row r="4700" spans="1:5" ht="13.9">
      <c r="A4700" s="26" t="s">
        <v>10223</v>
      </c>
      <c r="B4700" s="34" t="s">
        <v>10087</v>
      </c>
      <c r="C4700" s="39"/>
      <c r="D4700" s="26" t="s">
        <v>10246</v>
      </c>
      <c r="E4700" s="37" t="s">
        <v>6395</v>
      </c>
    </row>
    <row r="4701" spans="1:5" ht="13.9">
      <c r="A4701" s="26" t="s">
        <v>10223</v>
      </c>
      <c r="B4701" s="34" t="s">
        <v>789</v>
      </c>
      <c r="C4701" s="34" t="s">
        <v>679</v>
      </c>
      <c r="D4701" s="26" t="s">
        <v>10246</v>
      </c>
      <c r="E4701" s="37" t="s">
        <v>6395</v>
      </c>
    </row>
    <row r="4702" spans="1:5" ht="13.9">
      <c r="A4702" s="26" t="s">
        <v>10223</v>
      </c>
      <c r="B4702" s="34" t="s">
        <v>2828</v>
      </c>
      <c r="C4702" s="39"/>
      <c r="D4702" s="26" t="s">
        <v>10246</v>
      </c>
      <c r="E4702" s="39" t="s">
        <v>6395</v>
      </c>
    </row>
    <row r="4703" spans="1:5" ht="13.9">
      <c r="A4703" s="26" t="s">
        <v>10223</v>
      </c>
      <c r="B4703" s="34" t="s">
        <v>10088</v>
      </c>
      <c r="C4703" s="39"/>
      <c r="D4703" s="26" t="s">
        <v>10246</v>
      </c>
      <c r="E4703" s="37" t="s">
        <v>6395</v>
      </c>
    </row>
    <row r="4704" spans="1:5" ht="13.9">
      <c r="A4704" s="26" t="s">
        <v>10223</v>
      </c>
      <c r="B4704" s="34" t="s">
        <v>971</v>
      </c>
      <c r="C4704" s="39"/>
      <c r="D4704" s="26" t="s">
        <v>10246</v>
      </c>
      <c r="E4704" s="37" t="s">
        <v>6395</v>
      </c>
    </row>
    <row r="4705" spans="1:5" ht="13.9">
      <c r="A4705" s="26" t="s">
        <v>10223</v>
      </c>
      <c r="B4705" s="34" t="s">
        <v>10089</v>
      </c>
      <c r="C4705" s="39"/>
      <c r="D4705" s="26" t="s">
        <v>10246</v>
      </c>
      <c r="E4705" s="39" t="s">
        <v>6395</v>
      </c>
    </row>
    <row r="4706" spans="1:5" ht="13.9">
      <c r="A4706" s="26" t="s">
        <v>10223</v>
      </c>
      <c r="B4706" s="34" t="s">
        <v>10090</v>
      </c>
      <c r="C4706" s="39"/>
      <c r="D4706" s="26" t="s">
        <v>10246</v>
      </c>
      <c r="E4706" s="37" t="s">
        <v>6395</v>
      </c>
    </row>
    <row r="4707" spans="1:5" ht="13.9">
      <c r="A4707" s="26" t="s">
        <v>10223</v>
      </c>
      <c r="B4707" s="34" t="s">
        <v>10091</v>
      </c>
      <c r="C4707" s="39"/>
      <c r="D4707" s="26" t="s">
        <v>10246</v>
      </c>
      <c r="E4707" s="39" t="s">
        <v>6395</v>
      </c>
    </row>
    <row r="4708" spans="1:5" ht="13.9">
      <c r="A4708" s="26" t="s">
        <v>10223</v>
      </c>
      <c r="B4708" s="34" t="s">
        <v>6878</v>
      </c>
      <c r="C4708" s="34" t="s">
        <v>142</v>
      </c>
      <c r="D4708" s="26" t="s">
        <v>10246</v>
      </c>
      <c r="E4708" s="37" t="s">
        <v>6395</v>
      </c>
    </row>
    <row r="4709" spans="1:5" ht="13.9">
      <c r="A4709" s="26" t="s">
        <v>10223</v>
      </c>
      <c r="B4709" s="34" t="s">
        <v>10092</v>
      </c>
      <c r="C4709" s="39"/>
      <c r="D4709" s="26" t="s">
        <v>10246</v>
      </c>
      <c r="E4709" s="39" t="s">
        <v>6395</v>
      </c>
    </row>
    <row r="4710" spans="1:5" ht="13.9">
      <c r="A4710" s="26" t="s">
        <v>10223</v>
      </c>
      <c r="B4710" s="34" t="s">
        <v>6637</v>
      </c>
      <c r="C4710" s="39"/>
      <c r="D4710" s="26" t="s">
        <v>10246</v>
      </c>
      <c r="E4710" s="37" t="s">
        <v>6395</v>
      </c>
    </row>
    <row r="4711" spans="1:5" ht="13.9">
      <c r="A4711" s="26" t="s">
        <v>10223</v>
      </c>
      <c r="B4711" s="34" t="s">
        <v>2859</v>
      </c>
      <c r="C4711" s="39"/>
      <c r="D4711" s="26" t="s">
        <v>10246</v>
      </c>
      <c r="E4711" s="37" t="s">
        <v>6395</v>
      </c>
    </row>
    <row r="4712" spans="1:5" ht="13.9">
      <c r="A4712" s="26" t="s">
        <v>10223</v>
      </c>
      <c r="B4712" s="34" t="s">
        <v>10093</v>
      </c>
      <c r="C4712" s="34" t="s">
        <v>7327</v>
      </c>
      <c r="D4712" s="26" t="s">
        <v>10246</v>
      </c>
      <c r="E4712" s="37">
        <v>0</v>
      </c>
    </row>
    <row r="4713" spans="1:5" ht="13.9">
      <c r="A4713" s="26" t="s">
        <v>10223</v>
      </c>
      <c r="B4713" s="34" t="s">
        <v>6698</v>
      </c>
      <c r="C4713" s="34" t="s">
        <v>10094</v>
      </c>
      <c r="D4713" s="38" t="s">
        <v>6480</v>
      </c>
      <c r="E4713" s="37" t="s">
        <v>6479</v>
      </c>
    </row>
    <row r="4714" spans="1:5" ht="13.9">
      <c r="A4714" s="26" t="s">
        <v>10223</v>
      </c>
      <c r="B4714" s="34" t="s">
        <v>2628</v>
      </c>
      <c r="C4714" s="34" t="s">
        <v>7419</v>
      </c>
      <c r="D4714" s="26" t="s">
        <v>10246</v>
      </c>
      <c r="E4714" s="37" t="s">
        <v>6395</v>
      </c>
    </row>
    <row r="4715" spans="1:5" ht="13.9">
      <c r="A4715" s="26" t="s">
        <v>10223</v>
      </c>
      <c r="B4715" s="34" t="s">
        <v>10095</v>
      </c>
      <c r="C4715" s="39"/>
      <c r="D4715" s="26" t="s">
        <v>10246</v>
      </c>
      <c r="E4715" s="39" t="s">
        <v>6395</v>
      </c>
    </row>
    <row r="4716" spans="1:5" ht="13.9">
      <c r="A4716" s="26" t="s">
        <v>10223</v>
      </c>
      <c r="B4716" s="34" t="s">
        <v>10096</v>
      </c>
      <c r="C4716" s="39"/>
      <c r="D4716" s="26" t="s">
        <v>10246</v>
      </c>
      <c r="E4716" s="37" t="s">
        <v>6395</v>
      </c>
    </row>
    <row r="4717" spans="1:5" ht="13.9">
      <c r="A4717" s="26" t="s">
        <v>10223</v>
      </c>
      <c r="B4717" s="34" t="s">
        <v>10097</v>
      </c>
      <c r="C4717" s="39"/>
      <c r="D4717" s="26" t="s">
        <v>10246</v>
      </c>
      <c r="E4717" s="37" t="s">
        <v>6479</v>
      </c>
    </row>
    <row r="4718" spans="1:5" ht="13.9">
      <c r="A4718" s="26" t="s">
        <v>10223</v>
      </c>
      <c r="B4718" s="34" t="s">
        <v>10098</v>
      </c>
      <c r="C4718" s="34" t="s">
        <v>6777</v>
      </c>
      <c r="D4718" s="26" t="s">
        <v>10246</v>
      </c>
      <c r="E4718" s="37" t="s">
        <v>6395</v>
      </c>
    </row>
    <row r="4719" spans="1:5" ht="13.9">
      <c r="A4719" s="26" t="s">
        <v>10223</v>
      </c>
      <c r="B4719" s="34" t="s">
        <v>10099</v>
      </c>
      <c r="C4719" s="39"/>
      <c r="D4719" s="26" t="s">
        <v>10246</v>
      </c>
      <c r="E4719" s="37">
        <v>0</v>
      </c>
    </row>
    <row r="4720" spans="1:5" ht="13.9">
      <c r="A4720" s="26" t="s">
        <v>10223</v>
      </c>
      <c r="B4720" s="34" t="s">
        <v>370</v>
      </c>
      <c r="C4720" s="39"/>
      <c r="D4720" s="26" t="s">
        <v>10246</v>
      </c>
      <c r="E4720" s="37" t="s">
        <v>6395</v>
      </c>
    </row>
    <row r="4721" spans="1:5" ht="13.9">
      <c r="A4721" s="26" t="s">
        <v>10223</v>
      </c>
      <c r="B4721" s="34" t="s">
        <v>10100</v>
      </c>
      <c r="C4721" s="34" t="s">
        <v>10101</v>
      </c>
      <c r="D4721" s="26" t="s">
        <v>10246</v>
      </c>
      <c r="E4721" s="37" t="s">
        <v>6395</v>
      </c>
    </row>
    <row r="4722" spans="1:5" ht="13.9">
      <c r="A4722" s="26" t="s">
        <v>10223</v>
      </c>
      <c r="B4722" s="34" t="s">
        <v>10102</v>
      </c>
      <c r="C4722" s="39"/>
      <c r="D4722" s="26" t="s">
        <v>10246</v>
      </c>
      <c r="E4722" s="37" t="s">
        <v>6395</v>
      </c>
    </row>
    <row r="4723" spans="1:5" ht="13.9">
      <c r="A4723" s="26" t="s">
        <v>10223</v>
      </c>
      <c r="B4723" s="34" t="s">
        <v>10103</v>
      </c>
      <c r="C4723" s="39"/>
      <c r="D4723" s="26" t="s">
        <v>10246</v>
      </c>
      <c r="E4723" s="37" t="s">
        <v>6395</v>
      </c>
    </row>
    <row r="4724" spans="1:5" ht="13.9">
      <c r="A4724" s="26" t="s">
        <v>10223</v>
      </c>
      <c r="B4724" s="34" t="s">
        <v>10104</v>
      </c>
      <c r="C4724" s="39"/>
      <c r="D4724" s="26" t="s">
        <v>10246</v>
      </c>
      <c r="E4724" s="37" t="s">
        <v>6395</v>
      </c>
    </row>
    <row r="4725" spans="1:5" ht="13.9">
      <c r="A4725" s="26" t="s">
        <v>10223</v>
      </c>
      <c r="B4725" s="34" t="s">
        <v>1423</v>
      </c>
      <c r="C4725" s="34" t="s">
        <v>679</v>
      </c>
      <c r="D4725" s="26" t="s">
        <v>10246</v>
      </c>
      <c r="E4725" s="37" t="s">
        <v>6395</v>
      </c>
    </row>
    <row r="4726" spans="1:5" ht="13.9">
      <c r="A4726" s="26" t="s">
        <v>10223</v>
      </c>
      <c r="B4726" s="34" t="s">
        <v>2959</v>
      </c>
      <c r="C4726" s="34" t="s">
        <v>2960</v>
      </c>
      <c r="D4726" s="26" t="s">
        <v>10246</v>
      </c>
      <c r="E4726" s="39" t="s">
        <v>6395</v>
      </c>
    </row>
    <row r="4727" spans="1:5" ht="13.9">
      <c r="A4727" s="26" t="s">
        <v>10223</v>
      </c>
      <c r="B4727" s="34" t="s">
        <v>7864</v>
      </c>
      <c r="C4727" s="34" t="s">
        <v>707</v>
      </c>
      <c r="D4727" s="26" t="s">
        <v>10246</v>
      </c>
      <c r="E4727" s="37" t="s">
        <v>6395</v>
      </c>
    </row>
    <row r="4728" spans="1:5" ht="13.9">
      <c r="A4728" s="26" t="s">
        <v>10223</v>
      </c>
      <c r="B4728" s="34" t="s">
        <v>841</v>
      </c>
      <c r="C4728" s="34" t="s">
        <v>333</v>
      </c>
      <c r="D4728" s="26" t="s">
        <v>10246</v>
      </c>
      <c r="E4728" s="39" t="s">
        <v>6432</v>
      </c>
    </row>
    <row r="4729" spans="1:5" ht="13.9">
      <c r="A4729" s="26" t="s">
        <v>10223</v>
      </c>
      <c r="B4729" s="34" t="s">
        <v>7025</v>
      </c>
      <c r="C4729" s="34" t="s">
        <v>227</v>
      </c>
      <c r="D4729" s="26" t="s">
        <v>10246</v>
      </c>
      <c r="E4729" s="37" t="s">
        <v>6395</v>
      </c>
    </row>
    <row r="4730" spans="1:5" ht="13.9">
      <c r="A4730" s="26" t="s">
        <v>10223</v>
      </c>
      <c r="B4730" s="34" t="s">
        <v>8539</v>
      </c>
      <c r="C4730" s="39"/>
      <c r="D4730" s="26" t="s">
        <v>10246</v>
      </c>
      <c r="E4730" s="37" t="s">
        <v>6395</v>
      </c>
    </row>
    <row r="4731" spans="1:5" ht="13.9">
      <c r="A4731" s="26" t="s">
        <v>10223</v>
      </c>
      <c r="B4731" s="34" t="s">
        <v>8067</v>
      </c>
      <c r="C4731" s="39"/>
      <c r="D4731" s="26" t="s">
        <v>10246</v>
      </c>
      <c r="E4731" s="39" t="s">
        <v>6395</v>
      </c>
    </row>
    <row r="4732" spans="1:5" ht="13.9">
      <c r="A4732" s="26" t="s">
        <v>10223</v>
      </c>
      <c r="B4732" s="34" t="s">
        <v>10105</v>
      </c>
      <c r="C4732" s="34" t="s">
        <v>348</v>
      </c>
      <c r="D4732" s="26" t="s">
        <v>10246</v>
      </c>
      <c r="E4732" s="37" t="s">
        <v>6395</v>
      </c>
    </row>
    <row r="4733" spans="1:5" ht="13.9">
      <c r="A4733" s="26" t="s">
        <v>10223</v>
      </c>
      <c r="B4733" s="34" t="s">
        <v>10106</v>
      </c>
      <c r="C4733" s="39"/>
      <c r="D4733" s="38" t="s">
        <v>6480</v>
      </c>
      <c r="E4733" s="37" t="s">
        <v>6395</v>
      </c>
    </row>
    <row r="4734" spans="1:5" ht="13.9">
      <c r="A4734" s="26" t="s">
        <v>10223</v>
      </c>
      <c r="B4734" s="34" t="s">
        <v>6662</v>
      </c>
      <c r="C4734" s="34" t="s">
        <v>6661</v>
      </c>
      <c r="D4734" s="26" t="s">
        <v>10246</v>
      </c>
      <c r="E4734" s="39" t="s">
        <v>6395</v>
      </c>
    </row>
    <row r="4735" spans="1:5" ht="13.9">
      <c r="A4735" s="26" t="s">
        <v>10223</v>
      </c>
      <c r="B4735" s="34" t="s">
        <v>8554</v>
      </c>
      <c r="C4735" s="34" t="s">
        <v>1802</v>
      </c>
      <c r="D4735" s="26" t="s">
        <v>10246</v>
      </c>
      <c r="E4735" s="37" t="s">
        <v>6395</v>
      </c>
    </row>
    <row r="4736" spans="1:5" ht="13.9">
      <c r="A4736" s="26" t="s">
        <v>10223</v>
      </c>
      <c r="B4736" s="34" t="s">
        <v>3257</v>
      </c>
      <c r="C4736" s="39"/>
      <c r="D4736" s="26" t="s">
        <v>10246</v>
      </c>
      <c r="E4736" s="37" t="s">
        <v>6395</v>
      </c>
    </row>
    <row r="4737" spans="1:5" ht="13.9">
      <c r="A4737" s="26" t="s">
        <v>10223</v>
      </c>
      <c r="B4737" s="34" t="s">
        <v>7247</v>
      </c>
      <c r="C4737" s="39"/>
      <c r="D4737" s="26" t="s">
        <v>10246</v>
      </c>
      <c r="E4737" s="37" t="s">
        <v>6395</v>
      </c>
    </row>
    <row r="4738" spans="1:5" ht="13.9">
      <c r="A4738" s="26" t="s">
        <v>10223</v>
      </c>
      <c r="B4738" s="34" t="s">
        <v>10107</v>
      </c>
      <c r="C4738" s="39"/>
      <c r="D4738" s="26" t="s">
        <v>10246</v>
      </c>
      <c r="E4738" s="37" t="s">
        <v>6395</v>
      </c>
    </row>
    <row r="4739" spans="1:5" ht="13.9">
      <c r="A4739" s="26" t="s">
        <v>10223</v>
      </c>
      <c r="B4739" s="34" t="s">
        <v>10108</v>
      </c>
      <c r="C4739" s="39"/>
      <c r="D4739" s="26" t="s">
        <v>10246</v>
      </c>
      <c r="E4739" s="37" t="s">
        <v>6395</v>
      </c>
    </row>
    <row r="4740" spans="1:5" ht="13.9">
      <c r="A4740" s="26" t="s">
        <v>10223</v>
      </c>
      <c r="B4740" s="34" t="s">
        <v>10109</v>
      </c>
      <c r="C4740" s="34" t="s">
        <v>6644</v>
      </c>
      <c r="D4740" s="26" t="s">
        <v>10246</v>
      </c>
      <c r="E4740" s="37" t="s">
        <v>6395</v>
      </c>
    </row>
    <row r="4741" spans="1:5" ht="13.9">
      <c r="A4741" s="26" t="s">
        <v>10223</v>
      </c>
      <c r="B4741" s="34" t="s">
        <v>1801</v>
      </c>
      <c r="C4741" s="34" t="s">
        <v>1802</v>
      </c>
      <c r="D4741" s="26" t="s">
        <v>10246</v>
      </c>
      <c r="E4741" s="37" t="s">
        <v>6395</v>
      </c>
    </row>
    <row r="4742" spans="1:5" ht="13.9">
      <c r="A4742" s="26" t="s">
        <v>10223</v>
      </c>
      <c r="B4742" s="34" t="s">
        <v>10110</v>
      </c>
      <c r="C4742" s="39"/>
      <c r="D4742" s="26" t="s">
        <v>10246</v>
      </c>
      <c r="E4742" s="39" t="s">
        <v>6395</v>
      </c>
    </row>
    <row r="4743" spans="1:5" ht="13.9">
      <c r="A4743" s="26" t="s">
        <v>10223</v>
      </c>
      <c r="B4743" s="34" t="s">
        <v>10111</v>
      </c>
      <c r="C4743" s="39"/>
      <c r="D4743" s="26" t="s">
        <v>10246</v>
      </c>
      <c r="E4743" s="37" t="s">
        <v>6395</v>
      </c>
    </row>
    <row r="4744" spans="1:5" ht="13.9">
      <c r="A4744" s="26" t="s">
        <v>10223</v>
      </c>
      <c r="B4744" s="34" t="s">
        <v>10112</v>
      </c>
      <c r="C4744" s="39"/>
      <c r="D4744" s="26" t="s">
        <v>10246</v>
      </c>
      <c r="E4744" s="26" t="s">
        <v>8133</v>
      </c>
    </row>
    <row r="4745" spans="1:5" ht="13.9">
      <c r="A4745" s="26" t="s">
        <v>10223</v>
      </c>
      <c r="B4745" s="34" t="s">
        <v>10113</v>
      </c>
      <c r="C4745" s="39"/>
      <c r="D4745" s="26" t="s">
        <v>10246</v>
      </c>
      <c r="E4745" s="37" t="s">
        <v>6395</v>
      </c>
    </row>
    <row r="4746" spans="1:5" ht="13.9">
      <c r="A4746" s="26" t="s">
        <v>10223</v>
      </c>
      <c r="B4746" s="34" t="s">
        <v>10114</v>
      </c>
      <c r="C4746" s="39"/>
      <c r="D4746" s="26" t="s">
        <v>10246</v>
      </c>
      <c r="E4746" s="39" t="s">
        <v>6395</v>
      </c>
    </row>
    <row r="4747" spans="1:5" ht="13.9">
      <c r="A4747" s="26" t="s">
        <v>10223</v>
      </c>
      <c r="B4747" s="34" t="s">
        <v>6624</v>
      </c>
      <c r="C4747" s="34" t="s">
        <v>6623</v>
      </c>
      <c r="D4747" s="26" t="s">
        <v>10246</v>
      </c>
      <c r="E4747" s="37" t="s">
        <v>6395</v>
      </c>
    </row>
    <row r="4748" spans="1:5" ht="13.9">
      <c r="A4748" s="26" t="s">
        <v>10223</v>
      </c>
      <c r="B4748" s="34" t="s">
        <v>7289</v>
      </c>
      <c r="C4748" s="34" t="s">
        <v>457</v>
      </c>
      <c r="D4748" s="26" t="s">
        <v>10246</v>
      </c>
      <c r="E4748" s="37" t="s">
        <v>6395</v>
      </c>
    </row>
    <row r="4749" spans="1:5" ht="13.9">
      <c r="A4749" s="26" t="s">
        <v>10223</v>
      </c>
      <c r="B4749" s="34" t="s">
        <v>7440</v>
      </c>
      <c r="C4749" s="34" t="s">
        <v>154</v>
      </c>
      <c r="D4749" s="26" t="s">
        <v>10246</v>
      </c>
      <c r="E4749" s="39" t="s">
        <v>6395</v>
      </c>
    </row>
    <row r="4750" spans="1:5" ht="13.9">
      <c r="A4750" s="26" t="s">
        <v>10223</v>
      </c>
      <c r="B4750" s="34" t="s">
        <v>8817</v>
      </c>
      <c r="C4750" s="34" t="s">
        <v>10115</v>
      </c>
      <c r="D4750" s="26" t="s">
        <v>10246</v>
      </c>
      <c r="E4750" s="37" t="s">
        <v>6395</v>
      </c>
    </row>
    <row r="4751" spans="1:5" ht="13.9">
      <c r="A4751" s="26" t="s">
        <v>10223</v>
      </c>
      <c r="B4751" s="34" t="s">
        <v>10116</v>
      </c>
      <c r="C4751" s="39"/>
      <c r="D4751" s="26" t="s">
        <v>10246</v>
      </c>
      <c r="E4751" s="37" t="s">
        <v>6395</v>
      </c>
    </row>
    <row r="4752" spans="1:5" ht="13.9">
      <c r="A4752" s="26" t="s">
        <v>10223</v>
      </c>
      <c r="B4752" s="34" t="s">
        <v>10117</v>
      </c>
      <c r="C4752" s="39"/>
      <c r="D4752" s="26" t="s">
        <v>10246</v>
      </c>
      <c r="E4752" s="37" t="s">
        <v>10227</v>
      </c>
    </row>
    <row r="4753" spans="1:5" ht="13.9">
      <c r="A4753" s="26" t="s">
        <v>10223</v>
      </c>
      <c r="B4753" s="34" t="s">
        <v>10118</v>
      </c>
      <c r="C4753" s="39"/>
      <c r="D4753" s="26" t="s">
        <v>10246</v>
      </c>
      <c r="E4753" s="39" t="s">
        <v>6395</v>
      </c>
    </row>
    <row r="4754" spans="1:5" ht="13.9">
      <c r="A4754" s="26" t="s">
        <v>10223</v>
      </c>
      <c r="B4754" s="34" t="s">
        <v>1356</v>
      </c>
      <c r="C4754" s="39"/>
      <c r="D4754" s="26" t="s">
        <v>10246</v>
      </c>
      <c r="E4754" s="37" t="s">
        <v>6395</v>
      </c>
    </row>
    <row r="4755" spans="1:5" ht="13.9">
      <c r="A4755" s="26" t="s">
        <v>10223</v>
      </c>
      <c r="B4755" s="34" t="s">
        <v>6849</v>
      </c>
      <c r="C4755" s="39"/>
      <c r="D4755" s="26" t="s">
        <v>10246</v>
      </c>
      <c r="E4755" s="39" t="s">
        <v>6395</v>
      </c>
    </row>
    <row r="4756" spans="1:5" ht="13.9">
      <c r="A4756" s="26" t="s">
        <v>10223</v>
      </c>
      <c r="B4756" s="34" t="s">
        <v>10119</v>
      </c>
      <c r="C4756" s="39"/>
      <c r="D4756" s="26" t="s">
        <v>10246</v>
      </c>
      <c r="E4756" s="37" t="s">
        <v>6395</v>
      </c>
    </row>
    <row r="4757" spans="1:5" ht="13.9">
      <c r="A4757" s="26" t="s">
        <v>10223</v>
      </c>
      <c r="B4757" s="34" t="s">
        <v>1686</v>
      </c>
      <c r="C4757" s="34" t="s">
        <v>541</v>
      </c>
      <c r="D4757" s="26" t="s">
        <v>10246</v>
      </c>
      <c r="E4757" s="37" t="s">
        <v>6395</v>
      </c>
    </row>
    <row r="4758" spans="1:5" ht="13.9">
      <c r="A4758" s="26" t="s">
        <v>10223</v>
      </c>
      <c r="B4758" s="34" t="s">
        <v>7152</v>
      </c>
      <c r="C4758" s="39"/>
      <c r="D4758" s="26" t="s">
        <v>10246</v>
      </c>
      <c r="E4758" s="37" t="s">
        <v>6395</v>
      </c>
    </row>
    <row r="4759" spans="1:5" ht="13.9">
      <c r="A4759" s="26" t="s">
        <v>10223</v>
      </c>
      <c r="B4759" s="34" t="s">
        <v>10120</v>
      </c>
      <c r="C4759" s="39"/>
      <c r="D4759" s="26" t="s">
        <v>10246</v>
      </c>
      <c r="E4759" s="37" t="s">
        <v>10227</v>
      </c>
    </row>
    <row r="4760" spans="1:5" ht="13.9">
      <c r="A4760" s="26" t="s">
        <v>10223</v>
      </c>
      <c r="B4760" s="34" t="s">
        <v>6755</v>
      </c>
      <c r="C4760" s="34" t="s">
        <v>6596</v>
      </c>
      <c r="D4760" s="26" t="s">
        <v>10246</v>
      </c>
      <c r="E4760" s="37" t="s">
        <v>6395</v>
      </c>
    </row>
    <row r="4761" spans="1:5" ht="13.9">
      <c r="A4761" s="26" t="s">
        <v>10223</v>
      </c>
      <c r="B4761" s="34" t="s">
        <v>10121</v>
      </c>
      <c r="C4761" s="34" t="s">
        <v>10122</v>
      </c>
      <c r="D4761" s="26" t="s">
        <v>10246</v>
      </c>
      <c r="E4761" s="37" t="s">
        <v>6395</v>
      </c>
    </row>
    <row r="4762" spans="1:5" ht="13.9">
      <c r="A4762" s="26" t="s">
        <v>10223</v>
      </c>
      <c r="B4762" s="34" t="s">
        <v>10123</v>
      </c>
      <c r="C4762" s="39"/>
      <c r="D4762" s="26" t="s">
        <v>10246</v>
      </c>
      <c r="E4762" s="37" t="s">
        <v>6395</v>
      </c>
    </row>
    <row r="4763" spans="1:5" ht="13.9">
      <c r="A4763" s="26" t="s">
        <v>10223</v>
      </c>
      <c r="B4763" s="34" t="s">
        <v>8080</v>
      </c>
      <c r="C4763" s="34" t="s">
        <v>154</v>
      </c>
      <c r="D4763" s="26" t="s">
        <v>10246</v>
      </c>
      <c r="E4763" s="37" t="s">
        <v>6395</v>
      </c>
    </row>
    <row r="4764" spans="1:5" ht="13.9">
      <c r="A4764" s="26" t="s">
        <v>10223</v>
      </c>
      <c r="B4764" s="34" t="s">
        <v>10124</v>
      </c>
      <c r="C4764" s="34" t="s">
        <v>7937</v>
      </c>
      <c r="D4764" s="26" t="s">
        <v>10246</v>
      </c>
      <c r="E4764" s="37" t="s">
        <v>6395</v>
      </c>
    </row>
    <row r="4765" spans="1:5" ht="13.9">
      <c r="A4765" s="26" t="s">
        <v>10223</v>
      </c>
      <c r="B4765" s="34" t="s">
        <v>10125</v>
      </c>
      <c r="C4765" s="34" t="s">
        <v>10126</v>
      </c>
      <c r="D4765" s="26" t="s">
        <v>10246</v>
      </c>
      <c r="E4765" s="37" t="s">
        <v>6395</v>
      </c>
    </row>
    <row r="4766" spans="1:5" ht="13.9">
      <c r="A4766" s="26" t="s">
        <v>10223</v>
      </c>
      <c r="B4766" s="40" t="s">
        <v>1428</v>
      </c>
      <c r="C4766" s="34" t="s">
        <v>146</v>
      </c>
      <c r="D4766" s="26" t="s">
        <v>10246</v>
      </c>
      <c r="E4766" s="37" t="s">
        <v>6395</v>
      </c>
    </row>
    <row r="4767" spans="1:5" ht="13.9">
      <c r="A4767" s="26" t="s">
        <v>10223</v>
      </c>
      <c r="B4767" s="40" t="s">
        <v>1428</v>
      </c>
      <c r="C4767" s="34" t="s">
        <v>10127</v>
      </c>
      <c r="D4767" s="26" t="s">
        <v>10246</v>
      </c>
      <c r="E4767" s="37" t="s">
        <v>6395</v>
      </c>
    </row>
    <row r="4768" spans="1:5" ht="13.9">
      <c r="A4768" s="26" t="s">
        <v>10223</v>
      </c>
      <c r="B4768" s="40" t="s">
        <v>1428</v>
      </c>
      <c r="C4768" s="34" t="s">
        <v>10128</v>
      </c>
      <c r="D4768" s="26" t="s">
        <v>10246</v>
      </c>
      <c r="E4768" s="37" t="s">
        <v>6395</v>
      </c>
    </row>
    <row r="4769" spans="1:5" ht="13.9">
      <c r="A4769" s="26" t="s">
        <v>10223</v>
      </c>
      <c r="B4769" s="40" t="s">
        <v>1428</v>
      </c>
      <c r="C4769" s="34" t="s">
        <v>10129</v>
      </c>
      <c r="D4769" s="26" t="s">
        <v>10246</v>
      </c>
      <c r="E4769" s="39" t="s">
        <v>6395</v>
      </c>
    </row>
    <row r="4770" spans="1:5" ht="13.9">
      <c r="A4770" s="26" t="s">
        <v>10223</v>
      </c>
      <c r="B4770" s="34" t="s">
        <v>10130</v>
      </c>
      <c r="C4770" s="34" t="s">
        <v>42</v>
      </c>
      <c r="D4770" s="26" t="s">
        <v>10246</v>
      </c>
      <c r="E4770" s="37" t="s">
        <v>6395</v>
      </c>
    </row>
    <row r="4771" spans="1:5" ht="13.9">
      <c r="A4771" s="26" t="s">
        <v>10223</v>
      </c>
      <c r="B4771" s="34" t="s">
        <v>10131</v>
      </c>
      <c r="C4771" s="39"/>
      <c r="D4771" s="26" t="s">
        <v>10246</v>
      </c>
      <c r="E4771" s="37" t="s">
        <v>6395</v>
      </c>
    </row>
    <row r="4772" spans="1:5" ht="13.9">
      <c r="A4772" s="26" t="s">
        <v>10223</v>
      </c>
      <c r="B4772" s="34" t="s">
        <v>7240</v>
      </c>
      <c r="C4772" s="37"/>
      <c r="D4772" s="26" t="s">
        <v>10246</v>
      </c>
      <c r="E4772" s="37" t="s">
        <v>6395</v>
      </c>
    </row>
    <row r="4773" spans="1:5" ht="13.9">
      <c r="A4773" s="26" t="s">
        <v>10223</v>
      </c>
      <c r="B4773" s="34" t="s">
        <v>6971</v>
      </c>
      <c r="C4773" s="39"/>
      <c r="D4773" s="26" t="s">
        <v>10246</v>
      </c>
      <c r="E4773" s="37" t="s">
        <v>6395</v>
      </c>
    </row>
    <row r="4774" spans="1:5" ht="13.9">
      <c r="A4774" s="26" t="s">
        <v>10223</v>
      </c>
      <c r="B4774" s="34" t="s">
        <v>8162</v>
      </c>
      <c r="C4774" s="39"/>
      <c r="D4774" s="26" t="s">
        <v>10246</v>
      </c>
      <c r="E4774" s="37" t="s">
        <v>6395</v>
      </c>
    </row>
    <row r="4775" spans="1:5" ht="13.9">
      <c r="A4775" s="26" t="s">
        <v>10223</v>
      </c>
      <c r="B4775" s="34" t="s">
        <v>1620</v>
      </c>
      <c r="C4775" s="34" t="s">
        <v>154</v>
      </c>
      <c r="D4775" s="26" t="s">
        <v>10246</v>
      </c>
      <c r="E4775" s="37" t="s">
        <v>6395</v>
      </c>
    </row>
    <row r="4776" spans="1:5" ht="13.9">
      <c r="A4776" s="26" t="s">
        <v>10223</v>
      </c>
      <c r="B4776" s="34" t="s">
        <v>10132</v>
      </c>
      <c r="C4776" s="39"/>
      <c r="D4776" s="26" t="s">
        <v>10246</v>
      </c>
      <c r="E4776" s="37" t="s">
        <v>6395</v>
      </c>
    </row>
    <row r="4777" spans="1:5" ht="13.9">
      <c r="A4777" s="26" t="s">
        <v>10223</v>
      </c>
      <c r="B4777" s="34" t="s">
        <v>10133</v>
      </c>
      <c r="C4777" s="34" t="s">
        <v>2020</v>
      </c>
      <c r="D4777" s="26" t="s">
        <v>10246</v>
      </c>
      <c r="E4777" s="37" t="s">
        <v>6395</v>
      </c>
    </row>
    <row r="4778" spans="1:5" ht="13.9">
      <c r="A4778" s="26" t="s">
        <v>10223</v>
      </c>
      <c r="B4778" s="34" t="s">
        <v>10134</v>
      </c>
      <c r="C4778" s="34" t="s">
        <v>10135</v>
      </c>
      <c r="D4778" s="26" t="s">
        <v>10246</v>
      </c>
      <c r="E4778" s="37" t="s">
        <v>6395</v>
      </c>
    </row>
    <row r="4779" spans="1:5" ht="13.9">
      <c r="A4779" s="26" t="s">
        <v>10223</v>
      </c>
      <c r="B4779" s="34" t="s">
        <v>2082</v>
      </c>
      <c r="C4779" s="39"/>
      <c r="D4779" s="26" t="s">
        <v>10246</v>
      </c>
      <c r="E4779" s="37" t="s">
        <v>6395</v>
      </c>
    </row>
    <row r="4780" spans="1:5" ht="13.9">
      <c r="A4780" s="26" t="s">
        <v>10223</v>
      </c>
      <c r="B4780" s="34" t="s">
        <v>6799</v>
      </c>
      <c r="C4780" s="34" t="s">
        <v>6473</v>
      </c>
      <c r="D4780" s="26" t="s">
        <v>10246</v>
      </c>
      <c r="E4780" s="39" t="s">
        <v>6395</v>
      </c>
    </row>
    <row r="4781" spans="1:5" ht="13.9">
      <c r="A4781" s="26" t="s">
        <v>10223</v>
      </c>
      <c r="B4781" s="34" t="s">
        <v>706</v>
      </c>
      <c r="C4781" s="34" t="s">
        <v>707</v>
      </c>
      <c r="D4781" s="26" t="s">
        <v>10246</v>
      </c>
      <c r="E4781" s="37" t="s">
        <v>6395</v>
      </c>
    </row>
    <row r="4782" spans="1:5" ht="13.9">
      <c r="A4782" s="26" t="s">
        <v>10223</v>
      </c>
      <c r="B4782" s="34" t="s">
        <v>1102</v>
      </c>
      <c r="C4782" s="34" t="s">
        <v>142</v>
      </c>
      <c r="D4782" s="26" t="s">
        <v>10246</v>
      </c>
      <c r="E4782" s="37" t="s">
        <v>6395</v>
      </c>
    </row>
    <row r="4783" spans="1:5" ht="13.9">
      <c r="A4783" s="26" t="s">
        <v>10223</v>
      </c>
      <c r="B4783" s="34" t="s">
        <v>10136</v>
      </c>
      <c r="C4783" s="39"/>
      <c r="D4783" s="26" t="s">
        <v>10246</v>
      </c>
      <c r="E4783" s="37" t="s">
        <v>6395</v>
      </c>
    </row>
    <row r="4784" spans="1:5" ht="13.9">
      <c r="A4784" s="26" t="s">
        <v>10223</v>
      </c>
      <c r="B4784" s="34" t="s">
        <v>7884</v>
      </c>
      <c r="C4784" s="39"/>
      <c r="D4784" s="26" t="s">
        <v>10246</v>
      </c>
      <c r="E4784" s="39" t="s">
        <v>6395</v>
      </c>
    </row>
    <row r="4785" spans="1:5" ht="13.9">
      <c r="A4785" s="26" t="s">
        <v>10223</v>
      </c>
      <c r="B4785" s="34" t="s">
        <v>10137</v>
      </c>
      <c r="C4785" s="39"/>
      <c r="D4785" s="26" t="s">
        <v>10246</v>
      </c>
      <c r="E4785" s="37" t="s">
        <v>6395</v>
      </c>
    </row>
    <row r="4786" spans="1:5" ht="13.9">
      <c r="A4786" s="26" t="s">
        <v>10223</v>
      </c>
      <c r="B4786" s="34" t="s">
        <v>1877</v>
      </c>
      <c r="C4786" s="34" t="s">
        <v>395</v>
      </c>
      <c r="D4786" s="26" t="s">
        <v>10246</v>
      </c>
      <c r="E4786" s="39" t="s">
        <v>6395</v>
      </c>
    </row>
    <row r="4787" spans="1:5" ht="13.9">
      <c r="A4787" s="26" t="s">
        <v>10223</v>
      </c>
      <c r="B4787" s="34" t="s">
        <v>872</v>
      </c>
      <c r="C4787" s="39"/>
      <c r="D4787" s="26" t="s">
        <v>10246</v>
      </c>
      <c r="E4787" s="37" t="s">
        <v>6395</v>
      </c>
    </row>
    <row r="4788" spans="1:5" ht="13.9">
      <c r="A4788" s="26" t="s">
        <v>10223</v>
      </c>
      <c r="B4788" s="34" t="s">
        <v>10138</v>
      </c>
      <c r="C4788" s="34" t="s">
        <v>10139</v>
      </c>
      <c r="D4788" s="26" t="s">
        <v>10246</v>
      </c>
      <c r="E4788" s="39" t="s">
        <v>6395</v>
      </c>
    </row>
    <row r="4789" spans="1:5" ht="13.9">
      <c r="A4789" s="26" t="s">
        <v>10223</v>
      </c>
      <c r="B4789" s="34" t="s">
        <v>2454</v>
      </c>
      <c r="C4789" s="39"/>
      <c r="D4789" s="26" t="s">
        <v>10246</v>
      </c>
      <c r="E4789" s="37" t="s">
        <v>6395</v>
      </c>
    </row>
    <row r="4790" spans="1:5" ht="13.9">
      <c r="A4790" s="26" t="s">
        <v>10223</v>
      </c>
      <c r="B4790" s="34" t="s">
        <v>10140</v>
      </c>
      <c r="C4790" s="34" t="s">
        <v>154</v>
      </c>
      <c r="D4790" s="26" t="s">
        <v>10246</v>
      </c>
      <c r="E4790" s="39" t="s">
        <v>6395</v>
      </c>
    </row>
    <row r="4791" spans="1:5" ht="13.9">
      <c r="A4791" s="26" t="s">
        <v>10223</v>
      </c>
      <c r="B4791" s="34" t="s">
        <v>10141</v>
      </c>
      <c r="C4791" s="39"/>
      <c r="D4791" s="26" t="s">
        <v>10246</v>
      </c>
      <c r="E4791" s="37" t="s">
        <v>6395</v>
      </c>
    </row>
    <row r="4792" spans="1:5" ht="13.9">
      <c r="A4792" s="26" t="s">
        <v>10223</v>
      </c>
      <c r="B4792" s="34" t="s">
        <v>8540</v>
      </c>
      <c r="C4792" s="34" t="s">
        <v>1274</v>
      </c>
      <c r="D4792" s="26" t="s">
        <v>10246</v>
      </c>
      <c r="E4792" s="37" t="s">
        <v>6395</v>
      </c>
    </row>
    <row r="4793" spans="1:5" ht="13.9">
      <c r="A4793" s="26" t="s">
        <v>10223</v>
      </c>
      <c r="B4793" s="34" t="s">
        <v>7270</v>
      </c>
      <c r="C4793" s="34" t="s">
        <v>10142</v>
      </c>
      <c r="D4793" s="26" t="s">
        <v>10246</v>
      </c>
      <c r="E4793" s="37" t="s">
        <v>6395</v>
      </c>
    </row>
    <row r="4794" spans="1:5" ht="13.9">
      <c r="A4794" s="26" t="s">
        <v>10223</v>
      </c>
      <c r="B4794" s="34" t="s">
        <v>10143</v>
      </c>
      <c r="C4794" s="34" t="s">
        <v>6552</v>
      </c>
      <c r="D4794" s="26" t="s">
        <v>10246</v>
      </c>
      <c r="E4794" s="39" t="s">
        <v>6395</v>
      </c>
    </row>
    <row r="4795" spans="1:5" ht="13.9">
      <c r="A4795" s="26" t="s">
        <v>10223</v>
      </c>
      <c r="B4795" s="34" t="s">
        <v>10144</v>
      </c>
      <c r="C4795" s="34" t="s">
        <v>10145</v>
      </c>
      <c r="D4795" s="26" t="s">
        <v>10246</v>
      </c>
      <c r="E4795" s="39" t="s">
        <v>6479</v>
      </c>
    </row>
    <row r="4796" spans="1:5" ht="13.9">
      <c r="A4796" s="26" t="s">
        <v>10223</v>
      </c>
      <c r="B4796" s="34" t="s">
        <v>10146</v>
      </c>
      <c r="C4796" s="34" t="s">
        <v>9620</v>
      </c>
      <c r="D4796" s="26" t="s">
        <v>10246</v>
      </c>
      <c r="E4796" s="37" t="s">
        <v>6395</v>
      </c>
    </row>
    <row r="4797" spans="1:5" ht="13.9">
      <c r="A4797" s="26" t="s">
        <v>10223</v>
      </c>
      <c r="B4797" s="34" t="s">
        <v>1994</v>
      </c>
      <c r="C4797" s="39"/>
      <c r="D4797" s="26" t="s">
        <v>10246</v>
      </c>
      <c r="E4797" s="37" t="s">
        <v>6395</v>
      </c>
    </row>
    <row r="4798" spans="1:5" ht="13.9">
      <c r="A4798" s="26" t="s">
        <v>10223</v>
      </c>
      <c r="B4798" s="34" t="s">
        <v>2576</v>
      </c>
      <c r="C4798" s="39"/>
      <c r="D4798" s="26" t="s">
        <v>10246</v>
      </c>
      <c r="E4798" s="37" t="s">
        <v>6411</v>
      </c>
    </row>
    <row r="4799" spans="1:5" ht="13.9">
      <c r="A4799" s="26" t="s">
        <v>10223</v>
      </c>
      <c r="B4799" s="34" t="s">
        <v>6573</v>
      </c>
      <c r="C4799" s="34" t="s">
        <v>6572</v>
      </c>
      <c r="D4799" s="26" t="s">
        <v>10246</v>
      </c>
      <c r="E4799" s="39">
        <v>0</v>
      </c>
    </row>
    <row r="4800" spans="1:5" ht="13.9">
      <c r="A4800" s="26" t="s">
        <v>10223</v>
      </c>
      <c r="B4800" s="34" t="s">
        <v>10147</v>
      </c>
      <c r="C4800" s="39"/>
      <c r="D4800" s="38" t="s">
        <v>6480</v>
      </c>
      <c r="E4800" s="37" t="s">
        <v>6395</v>
      </c>
    </row>
    <row r="4801" spans="1:5" ht="13.9">
      <c r="A4801" s="26" t="s">
        <v>10223</v>
      </c>
      <c r="B4801" s="34" t="s">
        <v>10148</v>
      </c>
      <c r="C4801" s="34" t="s">
        <v>1744</v>
      </c>
      <c r="D4801" s="26" t="s">
        <v>10246</v>
      </c>
      <c r="E4801" s="39" t="s">
        <v>6395</v>
      </c>
    </row>
    <row r="4802" spans="1:5" ht="13.9">
      <c r="A4802" s="26" t="s">
        <v>10223</v>
      </c>
      <c r="B4802" s="34" t="s">
        <v>10149</v>
      </c>
      <c r="C4802" s="39"/>
      <c r="D4802" s="26" t="s">
        <v>10246</v>
      </c>
      <c r="E4802" s="37" t="s">
        <v>6395</v>
      </c>
    </row>
    <row r="4803" spans="1:5" ht="13.9">
      <c r="A4803" s="26" t="s">
        <v>10223</v>
      </c>
      <c r="B4803" s="34" t="s">
        <v>1067</v>
      </c>
      <c r="C4803" s="34" t="s">
        <v>6501</v>
      </c>
      <c r="D4803" s="26" t="s">
        <v>10246</v>
      </c>
      <c r="E4803" s="37" t="s">
        <v>6395</v>
      </c>
    </row>
    <row r="4804" spans="1:5" ht="13.9">
      <c r="A4804" s="26" t="s">
        <v>10223</v>
      </c>
      <c r="B4804" s="40" t="s">
        <v>2077</v>
      </c>
      <c r="C4804" s="34" t="s">
        <v>7437</v>
      </c>
      <c r="D4804" s="26" t="s">
        <v>10246</v>
      </c>
      <c r="E4804" s="37">
        <v>0</v>
      </c>
    </row>
    <row r="4805" spans="1:5" ht="13.9">
      <c r="A4805" s="26" t="s">
        <v>10223</v>
      </c>
      <c r="B4805" s="40" t="s">
        <v>2077</v>
      </c>
      <c r="C4805" s="34" t="s">
        <v>541</v>
      </c>
      <c r="D4805" s="26" t="s">
        <v>10246</v>
      </c>
      <c r="E4805" s="39">
        <v>0</v>
      </c>
    </row>
    <row r="4806" spans="1:5" ht="13.9">
      <c r="A4806" s="26" t="s">
        <v>10223</v>
      </c>
      <c r="B4806" s="34" t="s">
        <v>2517</v>
      </c>
      <c r="C4806" s="34" t="s">
        <v>1545</v>
      </c>
      <c r="D4806" s="26" t="s">
        <v>10246</v>
      </c>
      <c r="E4806" s="39" t="s">
        <v>6395</v>
      </c>
    </row>
    <row r="4807" spans="1:5" ht="13.9">
      <c r="A4807" s="26" t="s">
        <v>10223</v>
      </c>
      <c r="B4807" s="34" t="s">
        <v>10150</v>
      </c>
      <c r="C4807" s="39"/>
      <c r="D4807" s="26" t="s">
        <v>10246</v>
      </c>
      <c r="E4807" s="37" t="s">
        <v>6395</v>
      </c>
    </row>
    <row r="4808" spans="1:5" ht="13.9">
      <c r="A4808" s="26" t="s">
        <v>10223</v>
      </c>
      <c r="B4808" s="34" t="s">
        <v>10151</v>
      </c>
      <c r="C4808" s="39"/>
      <c r="D4808" s="26" t="s">
        <v>10246</v>
      </c>
      <c r="E4808" s="37" t="s">
        <v>6395</v>
      </c>
    </row>
    <row r="4809" spans="1:5" ht="13.9">
      <c r="A4809" s="26" t="s">
        <v>10223</v>
      </c>
      <c r="B4809" s="34" t="s">
        <v>10152</v>
      </c>
      <c r="C4809" s="34" t="s">
        <v>1372</v>
      </c>
      <c r="D4809" s="26" t="s">
        <v>10246</v>
      </c>
      <c r="E4809" s="37" t="s">
        <v>6411</v>
      </c>
    </row>
    <row r="4810" spans="1:5" ht="13.9">
      <c r="A4810" s="26" t="s">
        <v>10223</v>
      </c>
      <c r="B4810" s="34" t="s">
        <v>2404</v>
      </c>
      <c r="C4810" s="39"/>
      <c r="D4810" s="26" t="s">
        <v>10246</v>
      </c>
      <c r="E4810" s="39" t="s">
        <v>6395</v>
      </c>
    </row>
    <row r="4811" spans="1:5" ht="13.9">
      <c r="A4811" s="26" t="s">
        <v>10223</v>
      </c>
      <c r="B4811" s="34" t="s">
        <v>6955</v>
      </c>
      <c r="C4811" s="39"/>
      <c r="D4811" s="26" t="s">
        <v>10246</v>
      </c>
      <c r="E4811" s="37" t="s">
        <v>6395</v>
      </c>
    </row>
    <row r="4812" spans="1:5" ht="13.9">
      <c r="A4812" s="26" t="s">
        <v>10223</v>
      </c>
      <c r="B4812" s="34" t="s">
        <v>6786</v>
      </c>
      <c r="C4812" s="34" t="s">
        <v>580</v>
      </c>
      <c r="D4812" s="26" t="s">
        <v>10246</v>
      </c>
      <c r="E4812" s="39" t="s">
        <v>6395</v>
      </c>
    </row>
    <row r="4813" spans="1:5" ht="13.9">
      <c r="A4813" s="26" t="s">
        <v>10223</v>
      </c>
      <c r="B4813" s="34" t="s">
        <v>10153</v>
      </c>
      <c r="C4813" s="34" t="s">
        <v>7020</v>
      </c>
      <c r="D4813" s="26" t="s">
        <v>10246</v>
      </c>
      <c r="E4813" s="39" t="s">
        <v>6395</v>
      </c>
    </row>
    <row r="4814" spans="1:5" ht="13.9">
      <c r="A4814" s="26" t="s">
        <v>10223</v>
      </c>
      <c r="B4814" s="34" t="s">
        <v>10154</v>
      </c>
      <c r="C4814" s="34" t="s">
        <v>10155</v>
      </c>
      <c r="D4814" s="26" t="s">
        <v>10246</v>
      </c>
      <c r="E4814" s="37" t="s">
        <v>6395</v>
      </c>
    </row>
    <row r="4815" spans="1:5" ht="13.9">
      <c r="A4815" s="26" t="s">
        <v>10223</v>
      </c>
      <c r="B4815" s="34" t="s">
        <v>10156</v>
      </c>
      <c r="C4815" s="39"/>
      <c r="D4815" s="26" t="s">
        <v>10246</v>
      </c>
      <c r="E4815" s="39" t="s">
        <v>6395</v>
      </c>
    </row>
    <row r="4816" spans="1:5" ht="13.9">
      <c r="A4816" s="26" t="s">
        <v>10223</v>
      </c>
      <c r="B4816" s="34" t="s">
        <v>10157</v>
      </c>
      <c r="C4816" s="34" t="s">
        <v>2658</v>
      </c>
      <c r="D4816" s="26" t="s">
        <v>10246</v>
      </c>
      <c r="E4816" s="37" t="s">
        <v>6395</v>
      </c>
    </row>
    <row r="4817" spans="1:5" ht="13.9">
      <c r="A4817" s="26" t="s">
        <v>10223</v>
      </c>
      <c r="B4817" s="34" t="s">
        <v>10158</v>
      </c>
      <c r="C4817" s="39"/>
      <c r="D4817" s="26" t="s">
        <v>10246</v>
      </c>
      <c r="E4817" s="37" t="s">
        <v>6395</v>
      </c>
    </row>
    <row r="4818" spans="1:5" ht="13.9">
      <c r="A4818" s="26" t="s">
        <v>10223</v>
      </c>
      <c r="B4818" s="34" t="s">
        <v>10159</v>
      </c>
      <c r="C4818" s="34" t="s">
        <v>10160</v>
      </c>
      <c r="D4818" s="26" t="s">
        <v>10246</v>
      </c>
      <c r="E4818" s="37" t="s">
        <v>6395</v>
      </c>
    </row>
    <row r="4819" spans="1:5" ht="13.9">
      <c r="A4819" s="26" t="s">
        <v>10223</v>
      </c>
      <c r="B4819" s="34" t="s">
        <v>508</v>
      </c>
      <c r="C4819" s="39"/>
      <c r="D4819" s="26" t="s">
        <v>10246</v>
      </c>
      <c r="E4819" s="39" t="s">
        <v>6395</v>
      </c>
    </row>
    <row r="4820" spans="1:5" ht="13.9">
      <c r="A4820" s="26" t="s">
        <v>10223</v>
      </c>
      <c r="B4820" s="34" t="s">
        <v>10161</v>
      </c>
      <c r="C4820" s="34" t="s">
        <v>6870</v>
      </c>
      <c r="D4820" s="26" t="s">
        <v>10246</v>
      </c>
      <c r="E4820" s="37" t="s">
        <v>6395</v>
      </c>
    </row>
    <row r="4821" spans="1:5" ht="13.9">
      <c r="A4821" s="26" t="s">
        <v>10223</v>
      </c>
      <c r="B4821" s="34" t="s">
        <v>2688</v>
      </c>
      <c r="C4821" s="39"/>
      <c r="D4821" s="26" t="s">
        <v>10246</v>
      </c>
      <c r="E4821" s="39" t="s">
        <v>6395</v>
      </c>
    </row>
    <row r="4822" spans="1:5" ht="13.9">
      <c r="A4822" s="26" t="s">
        <v>10223</v>
      </c>
      <c r="B4822" s="34" t="s">
        <v>10162</v>
      </c>
      <c r="C4822" s="39"/>
      <c r="D4822" s="26" t="s">
        <v>10246</v>
      </c>
      <c r="E4822" s="37" t="s">
        <v>6395</v>
      </c>
    </row>
    <row r="4823" spans="1:5" ht="13.9">
      <c r="A4823" s="26" t="s">
        <v>10223</v>
      </c>
      <c r="B4823" s="34" t="s">
        <v>10163</v>
      </c>
      <c r="C4823" s="34" t="s">
        <v>10164</v>
      </c>
      <c r="D4823" s="38" t="s">
        <v>6480</v>
      </c>
      <c r="E4823" s="37" t="s">
        <v>6395</v>
      </c>
    </row>
    <row r="4824" spans="1:5" ht="13.9">
      <c r="A4824" s="26" t="s">
        <v>10223</v>
      </c>
      <c r="B4824" s="40" t="s">
        <v>6550</v>
      </c>
      <c r="C4824" s="34" t="s">
        <v>2020</v>
      </c>
      <c r="D4824" s="26" t="s">
        <v>10246</v>
      </c>
      <c r="E4824" s="37">
        <v>0</v>
      </c>
    </row>
    <row r="4825" spans="1:5" ht="13.9">
      <c r="A4825" s="26" t="s">
        <v>10223</v>
      </c>
      <c r="B4825" s="40" t="s">
        <v>6550</v>
      </c>
      <c r="C4825" s="34" t="s">
        <v>238</v>
      </c>
      <c r="D4825" s="26" t="s">
        <v>10246</v>
      </c>
      <c r="E4825" s="37">
        <v>0</v>
      </c>
    </row>
    <row r="4826" spans="1:5" ht="13.9">
      <c r="A4826" s="26" t="s">
        <v>10223</v>
      </c>
      <c r="B4826" s="34" t="s">
        <v>1793</v>
      </c>
      <c r="C4826" s="34" t="s">
        <v>643</v>
      </c>
      <c r="D4826" s="26" t="s">
        <v>10246</v>
      </c>
      <c r="E4826" s="37" t="s">
        <v>6395</v>
      </c>
    </row>
    <row r="4827" spans="1:5" ht="13.9">
      <c r="A4827" s="26" t="s">
        <v>10223</v>
      </c>
      <c r="B4827" s="34" t="s">
        <v>741</v>
      </c>
      <c r="C4827" s="39"/>
      <c r="D4827" s="26" t="s">
        <v>10246</v>
      </c>
      <c r="E4827" s="39" t="s">
        <v>6395</v>
      </c>
    </row>
    <row r="4828" spans="1:5" ht="13.9">
      <c r="A4828" s="26" t="s">
        <v>10223</v>
      </c>
      <c r="B4828" s="34" t="s">
        <v>10165</v>
      </c>
      <c r="C4828" s="34" t="s">
        <v>7423</v>
      </c>
      <c r="D4828" s="26" t="s">
        <v>10246</v>
      </c>
      <c r="E4828" s="37" t="s">
        <v>6395</v>
      </c>
    </row>
    <row r="4829" spans="1:5" ht="13.9">
      <c r="A4829" s="26" t="s">
        <v>10223</v>
      </c>
      <c r="B4829" s="34" t="s">
        <v>10166</v>
      </c>
      <c r="C4829" s="39"/>
      <c r="D4829" s="26" t="s">
        <v>10246</v>
      </c>
      <c r="E4829" s="39" t="s">
        <v>6395</v>
      </c>
    </row>
    <row r="4830" spans="1:5" ht="13.9">
      <c r="A4830" s="26" t="s">
        <v>10223</v>
      </c>
      <c r="B4830" s="34" t="s">
        <v>10167</v>
      </c>
      <c r="C4830" s="39"/>
      <c r="D4830" s="26" t="s">
        <v>10246</v>
      </c>
      <c r="E4830" s="37" t="s">
        <v>6395</v>
      </c>
    </row>
    <row r="4831" spans="1:5" ht="13.9">
      <c r="A4831" s="26" t="s">
        <v>10223</v>
      </c>
      <c r="B4831" s="34" t="s">
        <v>10168</v>
      </c>
      <c r="C4831" s="39"/>
      <c r="D4831" s="26" t="s">
        <v>10246</v>
      </c>
      <c r="E4831" s="37" t="s">
        <v>6443</v>
      </c>
    </row>
    <row r="4832" spans="1:5" ht="13.9">
      <c r="A4832" s="26" t="s">
        <v>10223</v>
      </c>
      <c r="B4832" s="34" t="s">
        <v>10169</v>
      </c>
      <c r="C4832" s="39"/>
      <c r="D4832" s="26" t="s">
        <v>10246</v>
      </c>
      <c r="E4832" s="37" t="s">
        <v>6395</v>
      </c>
    </row>
    <row r="4833" spans="1:5" ht="13.9">
      <c r="A4833" s="26" t="s">
        <v>10223</v>
      </c>
      <c r="B4833" s="34" t="s">
        <v>6593</v>
      </c>
      <c r="C4833" s="34" t="s">
        <v>742</v>
      </c>
      <c r="D4833" s="26" t="s">
        <v>10246</v>
      </c>
      <c r="E4833" s="37" t="s">
        <v>6395</v>
      </c>
    </row>
    <row r="4834" spans="1:5" ht="13.9">
      <c r="A4834" s="26" t="s">
        <v>10223</v>
      </c>
      <c r="B4834" s="34" t="s">
        <v>1048</v>
      </c>
      <c r="C4834" s="34" t="s">
        <v>154</v>
      </c>
      <c r="D4834" s="26" t="s">
        <v>10246</v>
      </c>
      <c r="E4834" s="37" t="s">
        <v>6395</v>
      </c>
    </row>
    <row r="4835" spans="1:5" ht="13.9">
      <c r="A4835" s="26" t="s">
        <v>10223</v>
      </c>
      <c r="B4835" s="34" t="s">
        <v>10170</v>
      </c>
      <c r="C4835" s="34" t="s">
        <v>509</v>
      </c>
      <c r="D4835" s="26" t="s">
        <v>10246</v>
      </c>
      <c r="E4835" s="37" t="s">
        <v>6395</v>
      </c>
    </row>
    <row r="4836" spans="1:5" ht="13.9">
      <c r="A4836" s="26" t="s">
        <v>10223</v>
      </c>
      <c r="B4836" s="34" t="s">
        <v>10171</v>
      </c>
      <c r="C4836" s="34" t="s">
        <v>509</v>
      </c>
      <c r="D4836" s="26" t="s">
        <v>10246</v>
      </c>
      <c r="E4836" s="37" t="s">
        <v>6395</v>
      </c>
    </row>
    <row r="4837" spans="1:5" ht="13.9">
      <c r="A4837" s="26" t="s">
        <v>10223</v>
      </c>
      <c r="B4837" s="34" t="s">
        <v>347</v>
      </c>
      <c r="C4837" s="39"/>
      <c r="D4837" s="26" t="s">
        <v>10246</v>
      </c>
      <c r="E4837" s="39" t="s">
        <v>6395</v>
      </c>
    </row>
    <row r="4838" spans="1:5" ht="13.9">
      <c r="A4838" s="26" t="s">
        <v>10223</v>
      </c>
      <c r="B4838" s="34" t="s">
        <v>7122</v>
      </c>
      <c r="C4838" s="34" t="s">
        <v>37</v>
      </c>
      <c r="D4838" s="26" t="s">
        <v>10246</v>
      </c>
      <c r="E4838" s="37" t="s">
        <v>6395</v>
      </c>
    </row>
    <row r="4839" spans="1:5" ht="13.9">
      <c r="A4839" s="26" t="s">
        <v>10223</v>
      </c>
      <c r="B4839" s="34" t="s">
        <v>6430</v>
      </c>
      <c r="C4839" s="39"/>
      <c r="D4839" s="26" t="s">
        <v>10246</v>
      </c>
      <c r="E4839" s="39" t="s">
        <v>6395</v>
      </c>
    </row>
    <row r="4840" spans="1:5" ht="13.9">
      <c r="A4840" s="26" t="s">
        <v>10223</v>
      </c>
      <c r="B4840" s="34" t="s">
        <v>10172</v>
      </c>
      <c r="C4840" s="34" t="s">
        <v>10173</v>
      </c>
      <c r="D4840" s="26" t="s">
        <v>10246</v>
      </c>
      <c r="E4840" s="37" t="s">
        <v>6443</v>
      </c>
    </row>
    <row r="4841" spans="1:5" ht="13.9">
      <c r="A4841" s="26" t="s">
        <v>10223</v>
      </c>
      <c r="B4841" s="34" t="s">
        <v>10174</v>
      </c>
      <c r="C4841" s="34" t="s">
        <v>541</v>
      </c>
      <c r="D4841" s="26" t="s">
        <v>10246</v>
      </c>
      <c r="E4841" s="37" t="s">
        <v>6395</v>
      </c>
    </row>
    <row r="4842" spans="1:5" ht="13.9">
      <c r="A4842" s="26" t="s">
        <v>10223</v>
      </c>
      <c r="B4842" s="34" t="s">
        <v>7899</v>
      </c>
      <c r="C4842" s="34" t="s">
        <v>2548</v>
      </c>
      <c r="D4842" s="26" t="s">
        <v>10246</v>
      </c>
      <c r="E4842" s="39" t="s">
        <v>6395</v>
      </c>
    </row>
    <row r="4843" spans="1:5" ht="13.9">
      <c r="A4843" s="26" t="s">
        <v>10223</v>
      </c>
      <c r="B4843" s="34" t="s">
        <v>1082</v>
      </c>
      <c r="C4843" s="39"/>
      <c r="D4843" s="26" t="s">
        <v>10246</v>
      </c>
      <c r="E4843" s="37" t="s">
        <v>6395</v>
      </c>
    </row>
    <row r="4844" spans="1:5" ht="13.9">
      <c r="A4844" s="26" t="s">
        <v>10223</v>
      </c>
      <c r="B4844" s="34" t="s">
        <v>732</v>
      </c>
      <c r="C4844" s="34" t="s">
        <v>154</v>
      </c>
      <c r="D4844" s="26" t="s">
        <v>10246</v>
      </c>
      <c r="E4844" s="37" t="s">
        <v>6395</v>
      </c>
    </row>
    <row r="4845" spans="1:5" ht="13.9">
      <c r="A4845" s="26" t="s">
        <v>10223</v>
      </c>
      <c r="B4845" s="40" t="s">
        <v>579</v>
      </c>
      <c r="C4845" s="34" t="s">
        <v>580</v>
      </c>
      <c r="D4845" s="26" t="s">
        <v>10246</v>
      </c>
      <c r="E4845" s="37">
        <v>0</v>
      </c>
    </row>
    <row r="4846" spans="1:5" ht="13.9">
      <c r="A4846" s="26" t="s">
        <v>10223</v>
      </c>
      <c r="B4846" s="40" t="s">
        <v>579</v>
      </c>
      <c r="C4846" s="34" t="s">
        <v>10175</v>
      </c>
      <c r="D4846" s="26" t="s">
        <v>10246</v>
      </c>
      <c r="E4846" s="39">
        <v>0</v>
      </c>
    </row>
    <row r="4847" spans="1:5" ht="13.9">
      <c r="A4847" s="26" t="s">
        <v>10223</v>
      </c>
      <c r="B4847" s="40" t="s">
        <v>579</v>
      </c>
      <c r="C4847" s="34" t="s">
        <v>884</v>
      </c>
      <c r="D4847" s="26" t="s">
        <v>10246</v>
      </c>
      <c r="E4847" s="37">
        <v>0</v>
      </c>
    </row>
    <row r="4848" spans="1:5" ht="13.9">
      <c r="A4848" s="26" t="s">
        <v>10223</v>
      </c>
      <c r="B4848" s="34" t="s">
        <v>10176</v>
      </c>
      <c r="C4848" s="39"/>
      <c r="D4848" s="26" t="s">
        <v>10246</v>
      </c>
      <c r="E4848" s="37" t="s">
        <v>6395</v>
      </c>
    </row>
    <row r="4849" spans="1:5" ht="13.9">
      <c r="A4849" s="26" t="s">
        <v>10223</v>
      </c>
      <c r="B4849" s="34" t="s">
        <v>7166</v>
      </c>
      <c r="C4849" s="39"/>
      <c r="D4849" s="26" t="s">
        <v>10246</v>
      </c>
      <c r="E4849" s="37" t="s">
        <v>6395</v>
      </c>
    </row>
    <row r="4850" spans="1:5" ht="13.9">
      <c r="A4850" s="26" t="s">
        <v>10223</v>
      </c>
      <c r="B4850" s="34" t="s">
        <v>922</v>
      </c>
      <c r="C4850" s="39"/>
      <c r="D4850" s="26" t="s">
        <v>10246</v>
      </c>
      <c r="E4850" s="37" t="s">
        <v>6395</v>
      </c>
    </row>
    <row r="4851" spans="1:5" ht="13.9">
      <c r="A4851" s="26" t="s">
        <v>10223</v>
      </c>
      <c r="B4851" s="34" t="s">
        <v>10177</v>
      </c>
      <c r="C4851" s="39"/>
      <c r="D4851" s="26" t="s">
        <v>10246</v>
      </c>
      <c r="E4851" s="39" t="s">
        <v>6395</v>
      </c>
    </row>
    <row r="4852" spans="1:5" ht="13.9">
      <c r="A4852" s="26" t="s">
        <v>10223</v>
      </c>
      <c r="B4852" s="34" t="s">
        <v>10178</v>
      </c>
      <c r="C4852" s="39"/>
      <c r="D4852" s="26" t="s">
        <v>10246</v>
      </c>
      <c r="E4852" s="37" t="s">
        <v>6395</v>
      </c>
    </row>
    <row r="4853" spans="1:5" ht="13.9">
      <c r="A4853" s="26" t="s">
        <v>10223</v>
      </c>
      <c r="B4853" s="34" t="s">
        <v>10179</v>
      </c>
      <c r="C4853" s="34" t="s">
        <v>9450</v>
      </c>
      <c r="D4853" s="26" t="s">
        <v>10246</v>
      </c>
      <c r="E4853" s="39" t="s">
        <v>6395</v>
      </c>
    </row>
    <row r="4854" spans="1:5" ht="13.9">
      <c r="A4854" s="26" t="s">
        <v>10223</v>
      </c>
      <c r="B4854" s="34" t="s">
        <v>1585</v>
      </c>
      <c r="C4854" s="34" t="s">
        <v>348</v>
      </c>
      <c r="D4854" s="26" t="s">
        <v>10246</v>
      </c>
      <c r="E4854" s="37" t="s">
        <v>6395</v>
      </c>
    </row>
    <row r="4855" spans="1:5" ht="13.9">
      <c r="A4855" s="26" t="s">
        <v>10223</v>
      </c>
      <c r="B4855" s="34" t="s">
        <v>7238</v>
      </c>
      <c r="C4855" s="34" t="s">
        <v>7237</v>
      </c>
      <c r="D4855" s="26" t="s">
        <v>10246</v>
      </c>
      <c r="E4855" s="37" t="s">
        <v>6395</v>
      </c>
    </row>
    <row r="4856" spans="1:5" ht="13.9">
      <c r="A4856" s="26" t="s">
        <v>10223</v>
      </c>
      <c r="B4856" s="34" t="s">
        <v>6672</v>
      </c>
      <c r="C4856" s="39"/>
      <c r="D4856" s="26" t="s">
        <v>10246</v>
      </c>
      <c r="E4856" s="37" t="s">
        <v>6395</v>
      </c>
    </row>
    <row r="4857" spans="1:5" ht="13.9">
      <c r="A4857" s="26" t="s">
        <v>10223</v>
      </c>
      <c r="B4857" s="34" t="s">
        <v>7909</v>
      </c>
      <c r="C4857" s="39"/>
      <c r="D4857" s="26" t="s">
        <v>10246</v>
      </c>
      <c r="E4857" s="37" t="s">
        <v>6395</v>
      </c>
    </row>
    <row r="4858" spans="1:5" ht="13.9">
      <c r="A4858" s="26" t="s">
        <v>10223</v>
      </c>
      <c r="B4858" s="34" t="s">
        <v>10180</v>
      </c>
      <c r="C4858" s="34" t="s">
        <v>2236</v>
      </c>
      <c r="D4858" s="26" t="s">
        <v>10246</v>
      </c>
      <c r="E4858" s="39" t="s">
        <v>6395</v>
      </c>
    </row>
    <row r="4859" spans="1:5" ht="13.9">
      <c r="A4859" s="26" t="s">
        <v>10223</v>
      </c>
      <c r="B4859" s="34" t="s">
        <v>2879</v>
      </c>
      <c r="C4859" s="39"/>
      <c r="D4859" s="26" t="s">
        <v>10246</v>
      </c>
      <c r="E4859" s="37" t="s">
        <v>6395</v>
      </c>
    </row>
    <row r="4860" spans="1:5" ht="13.9">
      <c r="A4860" s="26" t="s">
        <v>10223</v>
      </c>
      <c r="B4860" s="34" t="s">
        <v>10181</v>
      </c>
      <c r="C4860" s="34" t="s">
        <v>1490</v>
      </c>
      <c r="D4860" s="26" t="s">
        <v>10246</v>
      </c>
      <c r="E4860" s="39" t="s">
        <v>6395</v>
      </c>
    </row>
    <row r="4861" spans="1:5" ht="13.9">
      <c r="A4861" s="26" t="s">
        <v>10223</v>
      </c>
      <c r="B4861" s="40" t="s">
        <v>2238</v>
      </c>
      <c r="C4861" s="34" t="s">
        <v>7761</v>
      </c>
      <c r="D4861" s="26" t="s">
        <v>10246</v>
      </c>
      <c r="E4861" s="37">
        <v>0</v>
      </c>
    </row>
    <row r="4862" spans="1:5" ht="13.9">
      <c r="A4862" s="26" t="s">
        <v>10223</v>
      </c>
      <c r="B4862" s="40" t="s">
        <v>2238</v>
      </c>
      <c r="C4862" s="34" t="s">
        <v>8275</v>
      </c>
      <c r="D4862" s="26" t="s">
        <v>10246</v>
      </c>
      <c r="E4862" s="39">
        <v>0</v>
      </c>
    </row>
    <row r="4863" spans="1:5" ht="13.9">
      <c r="A4863" s="26" t="s">
        <v>10223</v>
      </c>
      <c r="B4863" s="34" t="s">
        <v>6549</v>
      </c>
      <c r="C4863" s="34" t="s">
        <v>238</v>
      </c>
      <c r="D4863" s="26" t="s">
        <v>10246</v>
      </c>
      <c r="E4863" s="37" t="s">
        <v>6395</v>
      </c>
    </row>
    <row r="4864" spans="1:5" ht="13.9">
      <c r="A4864" s="26" t="s">
        <v>10223</v>
      </c>
      <c r="B4864" s="34" t="s">
        <v>10182</v>
      </c>
      <c r="C4864" s="34" t="s">
        <v>10183</v>
      </c>
      <c r="D4864" s="26" t="s">
        <v>10246</v>
      </c>
      <c r="E4864" s="39" t="s">
        <v>6395</v>
      </c>
    </row>
    <row r="4865" spans="1:5" ht="13.9">
      <c r="A4865" s="26" t="s">
        <v>10223</v>
      </c>
      <c r="B4865" s="34" t="s">
        <v>10184</v>
      </c>
      <c r="C4865" s="39"/>
      <c r="D4865" s="26" t="s">
        <v>10246</v>
      </c>
      <c r="E4865" s="37" t="s">
        <v>6395</v>
      </c>
    </row>
    <row r="4866" spans="1:5" ht="13.9">
      <c r="A4866" s="26" t="s">
        <v>10223</v>
      </c>
      <c r="B4866" s="34" t="s">
        <v>8628</v>
      </c>
      <c r="C4866" s="39"/>
      <c r="D4866" s="26" t="s">
        <v>10246</v>
      </c>
      <c r="E4866" s="39" t="s">
        <v>6395</v>
      </c>
    </row>
    <row r="4867" spans="1:5" ht="13.9">
      <c r="A4867" s="26" t="s">
        <v>10223</v>
      </c>
      <c r="B4867" s="34" t="s">
        <v>10185</v>
      </c>
      <c r="C4867" s="34" t="s">
        <v>776</v>
      </c>
      <c r="D4867" s="26" t="s">
        <v>10246</v>
      </c>
      <c r="E4867" s="37">
        <v>0</v>
      </c>
    </row>
    <row r="4868" spans="1:5" ht="13.9">
      <c r="A4868" s="26" t="s">
        <v>10223</v>
      </c>
      <c r="B4868" s="34" t="s">
        <v>1273</v>
      </c>
      <c r="C4868" s="34" t="s">
        <v>1274</v>
      </c>
      <c r="D4868" s="26" t="s">
        <v>10246</v>
      </c>
      <c r="E4868" s="37" t="s">
        <v>6395</v>
      </c>
    </row>
    <row r="4869" spans="1:5" ht="13.9">
      <c r="A4869" s="26" t="s">
        <v>10223</v>
      </c>
      <c r="B4869" s="34" t="s">
        <v>10186</v>
      </c>
      <c r="C4869" s="39"/>
      <c r="D4869" s="26" t="s">
        <v>10246</v>
      </c>
      <c r="E4869" s="37" t="s">
        <v>6395</v>
      </c>
    </row>
    <row r="4870" spans="1:5" ht="13.9">
      <c r="A4870" s="26" t="s">
        <v>10223</v>
      </c>
      <c r="B4870" s="34" t="s">
        <v>1180</v>
      </c>
      <c r="C4870" s="34" t="s">
        <v>541</v>
      </c>
      <c r="D4870" s="26" t="s">
        <v>10246</v>
      </c>
      <c r="E4870" s="37" t="s">
        <v>6395</v>
      </c>
    </row>
    <row r="4871" spans="1:5" ht="13.9">
      <c r="A4871" s="26" t="s">
        <v>10223</v>
      </c>
      <c r="B4871" s="34" t="s">
        <v>10187</v>
      </c>
      <c r="C4871" s="39"/>
      <c r="D4871" s="26" t="s">
        <v>10246</v>
      </c>
      <c r="E4871" s="37" t="s">
        <v>6395</v>
      </c>
    </row>
    <row r="4872" spans="1:5" ht="13.9">
      <c r="A4872" s="26" t="s">
        <v>10223</v>
      </c>
      <c r="B4872" s="34" t="s">
        <v>2699</v>
      </c>
      <c r="C4872" s="34" t="s">
        <v>10188</v>
      </c>
      <c r="D4872" s="26" t="s">
        <v>10246</v>
      </c>
      <c r="E4872" s="39" t="s">
        <v>6395</v>
      </c>
    </row>
    <row r="4873" spans="1:5" ht="13.9">
      <c r="A4873" s="26" t="s">
        <v>10223</v>
      </c>
      <c r="B4873" s="34" t="s">
        <v>2012</v>
      </c>
      <c r="C4873" s="34" t="s">
        <v>10189</v>
      </c>
      <c r="D4873" s="26" t="s">
        <v>10246</v>
      </c>
      <c r="E4873" s="37" t="s">
        <v>6443</v>
      </c>
    </row>
    <row r="4874" spans="1:5" ht="13.9">
      <c r="A4874" s="26" t="s">
        <v>10223</v>
      </c>
      <c r="B4874" s="34" t="s">
        <v>10190</v>
      </c>
      <c r="C4874" s="34" t="s">
        <v>10191</v>
      </c>
      <c r="D4874" s="26" t="s">
        <v>10246</v>
      </c>
      <c r="E4874" s="37" t="s">
        <v>6395</v>
      </c>
    </row>
    <row r="4875" spans="1:5" ht="13.9">
      <c r="A4875" s="26" t="s">
        <v>10223</v>
      </c>
      <c r="B4875" s="34" t="s">
        <v>7139</v>
      </c>
      <c r="C4875" s="39"/>
      <c r="D4875" s="26" t="s">
        <v>10246</v>
      </c>
      <c r="E4875" s="39" t="s">
        <v>6395</v>
      </c>
    </row>
    <row r="4876" spans="1:5" ht="13.9">
      <c r="A4876" s="26" t="s">
        <v>10223</v>
      </c>
      <c r="B4876" s="34" t="s">
        <v>10192</v>
      </c>
      <c r="C4876" s="39"/>
      <c r="D4876" s="26" t="s">
        <v>10246</v>
      </c>
      <c r="E4876" s="37" t="s">
        <v>6395</v>
      </c>
    </row>
    <row r="4877" spans="1:5" ht="13.9">
      <c r="A4877" s="26" t="s">
        <v>10223</v>
      </c>
      <c r="B4877" s="34" t="s">
        <v>1743</v>
      </c>
      <c r="C4877" s="34" t="s">
        <v>1744</v>
      </c>
      <c r="D4877" s="26" t="s">
        <v>10246</v>
      </c>
      <c r="E4877" s="37" t="s">
        <v>6395</v>
      </c>
    </row>
    <row r="4878" spans="1:5" ht="13.9">
      <c r="A4878" s="26" t="s">
        <v>10223</v>
      </c>
      <c r="B4878" s="34" t="s">
        <v>10193</v>
      </c>
      <c r="C4878" s="39"/>
      <c r="D4878" s="26" t="s">
        <v>10246</v>
      </c>
      <c r="E4878" s="39" t="s">
        <v>6395</v>
      </c>
    </row>
    <row r="4879" spans="1:5" ht="13.9">
      <c r="A4879" s="26" t="s">
        <v>10223</v>
      </c>
      <c r="B4879" s="34" t="s">
        <v>10194</v>
      </c>
      <c r="C4879" s="39"/>
      <c r="D4879" s="26" t="s">
        <v>10246</v>
      </c>
      <c r="E4879" s="37" t="s">
        <v>6395</v>
      </c>
    </row>
    <row r="4880" spans="1:5" ht="13.9">
      <c r="A4880" s="26" t="s">
        <v>10223</v>
      </c>
      <c r="B4880" s="34" t="s">
        <v>10195</v>
      </c>
      <c r="C4880" s="34" t="s">
        <v>524</v>
      </c>
      <c r="D4880" s="26" t="s">
        <v>10246</v>
      </c>
      <c r="E4880" s="37" t="s">
        <v>6395</v>
      </c>
    </row>
    <row r="4881" spans="1:5" ht="13.9">
      <c r="A4881" s="26" t="s">
        <v>10223</v>
      </c>
      <c r="B4881" s="34" t="s">
        <v>1787</v>
      </c>
      <c r="C4881" s="39"/>
      <c r="D4881" s="26" t="s">
        <v>10246</v>
      </c>
      <c r="E4881" s="37" t="s">
        <v>1611</v>
      </c>
    </row>
    <row r="4882" spans="1:5" ht="13.9">
      <c r="A4882" s="26" t="s">
        <v>10223</v>
      </c>
      <c r="B4882" s="34" t="s">
        <v>8584</v>
      </c>
      <c r="C4882" s="34" t="s">
        <v>8567</v>
      </c>
      <c r="D4882" s="26" t="s">
        <v>10246</v>
      </c>
      <c r="E4882" s="39" t="s">
        <v>6395</v>
      </c>
    </row>
    <row r="4883" spans="1:5" ht="13.9">
      <c r="A4883" s="26" t="s">
        <v>10223</v>
      </c>
      <c r="B4883" s="34" t="s">
        <v>10196</v>
      </c>
      <c r="C4883" s="34" t="s">
        <v>154</v>
      </c>
      <c r="D4883" s="26" t="s">
        <v>10246</v>
      </c>
      <c r="E4883" s="37">
        <v>0</v>
      </c>
    </row>
    <row r="4884" spans="1:5" ht="13.9">
      <c r="A4884" s="26" t="s">
        <v>10223</v>
      </c>
      <c r="B4884" s="34" t="s">
        <v>10197</v>
      </c>
      <c r="C4884" s="39"/>
      <c r="D4884" s="26" t="s">
        <v>10246</v>
      </c>
      <c r="E4884" s="37" t="s">
        <v>6395</v>
      </c>
    </row>
    <row r="4885" spans="1:5" ht="13.9">
      <c r="A4885" s="26" t="s">
        <v>10223</v>
      </c>
      <c r="B4885" s="34" t="s">
        <v>10198</v>
      </c>
      <c r="C4885" s="39"/>
      <c r="D4885" s="26" t="s">
        <v>10246</v>
      </c>
      <c r="E4885" s="37" t="s">
        <v>6395</v>
      </c>
    </row>
    <row r="4886" spans="1:5" ht="13.9">
      <c r="A4886" s="26" t="s">
        <v>10223</v>
      </c>
      <c r="B4886" s="34" t="s">
        <v>10199</v>
      </c>
      <c r="C4886" s="39"/>
      <c r="D4886" s="26" t="s">
        <v>10246</v>
      </c>
      <c r="E4886" s="39" t="s">
        <v>6395</v>
      </c>
    </row>
    <row r="4887" spans="1:5" ht="13.9">
      <c r="A4887" s="26" t="s">
        <v>10223</v>
      </c>
      <c r="B4887" s="34" t="s">
        <v>8102</v>
      </c>
      <c r="C4887" s="34" t="s">
        <v>1535</v>
      </c>
      <c r="D4887" s="26" t="s">
        <v>10246</v>
      </c>
      <c r="E4887" s="39" t="s">
        <v>6395</v>
      </c>
    </row>
    <row r="4888" spans="1:5" ht="13.9">
      <c r="A4888" s="26" t="s">
        <v>10223</v>
      </c>
      <c r="B4888" s="34" t="s">
        <v>8508</v>
      </c>
      <c r="C4888" s="39"/>
      <c r="D4888" s="26" t="s">
        <v>10246</v>
      </c>
      <c r="E4888" s="37" t="s">
        <v>6395</v>
      </c>
    </row>
    <row r="4889" spans="1:5" ht="13.9">
      <c r="A4889" s="26" t="s">
        <v>10223</v>
      </c>
      <c r="B4889" s="34" t="s">
        <v>8510</v>
      </c>
      <c r="C4889" s="39"/>
      <c r="D4889" s="26" t="s">
        <v>10246</v>
      </c>
      <c r="E4889" s="37" t="s">
        <v>1611</v>
      </c>
    </row>
    <row r="4890" spans="1:5" ht="13.9">
      <c r="A4890" s="26" t="s">
        <v>10223</v>
      </c>
      <c r="B4890" s="34" t="s">
        <v>6893</v>
      </c>
      <c r="C4890" s="39"/>
      <c r="D4890" s="26" t="s">
        <v>10246</v>
      </c>
      <c r="E4890" s="39" t="s">
        <v>6395</v>
      </c>
    </row>
    <row r="4891" spans="1:5" ht="13.9">
      <c r="A4891" s="26" t="s">
        <v>10223</v>
      </c>
      <c r="B4891" s="34" t="s">
        <v>3399</v>
      </c>
      <c r="C4891" s="39"/>
      <c r="D4891" s="26" t="s">
        <v>10246</v>
      </c>
      <c r="E4891" s="37" t="s">
        <v>6395</v>
      </c>
    </row>
    <row r="4892" spans="1:5" ht="13.9">
      <c r="A4892" s="26" t="s">
        <v>10223</v>
      </c>
      <c r="B4892" s="34" t="s">
        <v>10200</v>
      </c>
      <c r="C4892" s="39"/>
      <c r="D4892" s="26" t="s">
        <v>10246</v>
      </c>
      <c r="E4892" s="39" t="s">
        <v>6395</v>
      </c>
    </row>
    <row r="4893" spans="1:5" ht="13.9">
      <c r="A4893" s="26" t="s">
        <v>10223</v>
      </c>
      <c r="B4893" s="34" t="s">
        <v>10201</v>
      </c>
      <c r="C4893" s="34" t="s">
        <v>154</v>
      </c>
      <c r="D4893" s="26" t="s">
        <v>10246</v>
      </c>
      <c r="E4893" s="37">
        <v>0</v>
      </c>
    </row>
    <row r="4894" spans="1:5" ht="13.9">
      <c r="A4894" s="26" t="s">
        <v>10223</v>
      </c>
      <c r="B4894" s="34" t="s">
        <v>10202</v>
      </c>
      <c r="C4894" s="34" t="s">
        <v>154</v>
      </c>
      <c r="D4894" s="26" t="s">
        <v>10246</v>
      </c>
      <c r="E4894" s="39">
        <v>0</v>
      </c>
    </row>
    <row r="4895" spans="1:5" ht="13.9">
      <c r="A4895" s="26" t="s">
        <v>10223</v>
      </c>
      <c r="B4895" s="34" t="s">
        <v>10203</v>
      </c>
      <c r="C4895" s="39"/>
      <c r="D4895" s="26" t="s">
        <v>10246</v>
      </c>
      <c r="E4895" s="37" t="s">
        <v>6395</v>
      </c>
    </row>
    <row r="4896" spans="1:5" ht="13.9">
      <c r="A4896" s="26" t="s">
        <v>10223</v>
      </c>
      <c r="B4896" s="34" t="s">
        <v>10204</v>
      </c>
      <c r="C4896" s="34" t="s">
        <v>1601</v>
      </c>
      <c r="D4896" s="26" t="s">
        <v>10246</v>
      </c>
      <c r="E4896" s="39" t="s">
        <v>6395</v>
      </c>
    </row>
    <row r="4897" spans="1:5" ht="13.9">
      <c r="A4897" s="26" t="s">
        <v>10223</v>
      </c>
      <c r="B4897" s="34" t="s">
        <v>6859</v>
      </c>
      <c r="C4897" s="39"/>
      <c r="D4897" s="26" t="s">
        <v>10246</v>
      </c>
      <c r="E4897" s="37" t="s">
        <v>6395</v>
      </c>
    </row>
    <row r="4898" spans="1:5" ht="13.9">
      <c r="A4898" s="26" t="s">
        <v>10223</v>
      </c>
      <c r="B4898" s="34" t="s">
        <v>10205</v>
      </c>
      <c r="C4898" s="34" t="s">
        <v>10206</v>
      </c>
      <c r="D4898" s="26" t="s">
        <v>10246</v>
      </c>
      <c r="E4898" s="37" t="s">
        <v>6395</v>
      </c>
    </row>
    <row r="4899" spans="1:5" ht="13.9">
      <c r="A4899" s="26" t="s">
        <v>10223</v>
      </c>
      <c r="B4899" s="34" t="s">
        <v>10207</v>
      </c>
      <c r="C4899" s="39"/>
      <c r="D4899" s="26" t="s">
        <v>10246</v>
      </c>
      <c r="E4899" s="37" t="s">
        <v>6395</v>
      </c>
    </row>
    <row r="4900" spans="1:5" ht="13.9">
      <c r="A4900" s="26" t="s">
        <v>10223</v>
      </c>
      <c r="B4900" s="34" t="s">
        <v>10208</v>
      </c>
      <c r="C4900" s="39"/>
      <c r="D4900" s="26" t="s">
        <v>10246</v>
      </c>
      <c r="E4900" s="37" t="s">
        <v>6395</v>
      </c>
    </row>
    <row r="4901" spans="1:5" ht="13.9">
      <c r="A4901" s="26" t="s">
        <v>10223</v>
      </c>
      <c r="B4901" s="34" t="s">
        <v>7280</v>
      </c>
      <c r="C4901" s="34" t="s">
        <v>707</v>
      </c>
      <c r="D4901" s="26" t="s">
        <v>10246</v>
      </c>
      <c r="E4901" s="37" t="s">
        <v>6395</v>
      </c>
    </row>
    <row r="4902" spans="1:5" ht="13.9">
      <c r="A4902" s="26" t="s">
        <v>10223</v>
      </c>
      <c r="B4902" s="34" t="s">
        <v>8511</v>
      </c>
      <c r="C4902" s="34" t="s">
        <v>8512</v>
      </c>
      <c r="D4902" s="26" t="s">
        <v>10246</v>
      </c>
      <c r="E4902" s="37" t="s">
        <v>6395</v>
      </c>
    </row>
    <row r="4903" spans="1:5" ht="13.9">
      <c r="A4903" s="26" t="s">
        <v>10223</v>
      </c>
      <c r="B4903" s="34" t="s">
        <v>10209</v>
      </c>
      <c r="C4903" s="34" t="s">
        <v>7703</v>
      </c>
      <c r="D4903" s="26" t="s">
        <v>10246</v>
      </c>
      <c r="E4903" s="37" t="s">
        <v>6395</v>
      </c>
    </row>
    <row r="4904" spans="1:5" ht="13.9">
      <c r="A4904" s="26" t="s">
        <v>10223</v>
      </c>
      <c r="B4904" s="34" t="s">
        <v>1078</v>
      </c>
      <c r="C4904" s="34" t="s">
        <v>154</v>
      </c>
      <c r="D4904" s="26" t="s">
        <v>10246</v>
      </c>
      <c r="E4904" s="39" t="s">
        <v>6395</v>
      </c>
    </row>
    <row r="4905" spans="1:5" ht="13.9">
      <c r="A4905" s="26" t="s">
        <v>10223</v>
      </c>
      <c r="B4905" s="34" t="s">
        <v>2657</v>
      </c>
      <c r="C4905" s="39"/>
      <c r="D4905" s="26" t="s">
        <v>10246</v>
      </c>
      <c r="E4905" s="37" t="s">
        <v>6395</v>
      </c>
    </row>
    <row r="4906" spans="1:5" ht="13.9">
      <c r="A4906" s="26" t="s">
        <v>10223</v>
      </c>
      <c r="B4906" s="34" t="s">
        <v>10210</v>
      </c>
      <c r="C4906" s="39"/>
      <c r="D4906" s="26" t="s">
        <v>10246</v>
      </c>
      <c r="E4906" s="39" t="s">
        <v>6395</v>
      </c>
    </row>
    <row r="4907" spans="1:5" ht="13.9">
      <c r="A4907" s="26" t="s">
        <v>10223</v>
      </c>
      <c r="B4907" s="34" t="s">
        <v>10211</v>
      </c>
      <c r="C4907" s="39"/>
      <c r="D4907" s="26" t="s">
        <v>10246</v>
      </c>
      <c r="E4907" s="37" t="s">
        <v>6395</v>
      </c>
    </row>
    <row r="4908" spans="1:5" ht="13.9">
      <c r="A4908" s="26" t="s">
        <v>10223</v>
      </c>
      <c r="B4908" s="34" t="s">
        <v>10212</v>
      </c>
      <c r="C4908" s="39"/>
      <c r="D4908" s="26" t="s">
        <v>10246</v>
      </c>
      <c r="E4908" s="37" t="s">
        <v>6395</v>
      </c>
    </row>
    <row r="4909" spans="1:5" ht="13.9">
      <c r="A4909" s="26" t="s">
        <v>10223</v>
      </c>
      <c r="B4909" s="34" t="s">
        <v>126</v>
      </c>
      <c r="C4909" s="34" t="s">
        <v>127</v>
      </c>
      <c r="D4909" s="26" t="s">
        <v>10246</v>
      </c>
      <c r="E4909" s="37" t="s">
        <v>6395</v>
      </c>
    </row>
    <row r="4910" spans="1:5" ht="13.9">
      <c r="A4910" s="26" t="s">
        <v>10223</v>
      </c>
      <c r="B4910" s="34" t="s">
        <v>10213</v>
      </c>
      <c r="C4910" s="39"/>
      <c r="D4910" s="26" t="s">
        <v>10246</v>
      </c>
      <c r="E4910" s="37" t="s">
        <v>6395</v>
      </c>
    </row>
    <row r="4911" spans="1:5" ht="13.9">
      <c r="A4911" s="26" t="s">
        <v>10223</v>
      </c>
      <c r="B4911" s="34" t="s">
        <v>10214</v>
      </c>
      <c r="C4911" s="39"/>
      <c r="D4911" s="26" t="s">
        <v>10246</v>
      </c>
      <c r="E4911" s="39" t="s">
        <v>6395</v>
      </c>
    </row>
    <row r="4912" spans="1:5" ht="13.9">
      <c r="A4912" s="26" t="s">
        <v>10223</v>
      </c>
      <c r="B4912" s="34" t="s">
        <v>2485</v>
      </c>
      <c r="C4912" s="39"/>
      <c r="D4912" s="26" t="s">
        <v>10246</v>
      </c>
      <c r="E4912" s="37" t="s">
        <v>6411</v>
      </c>
    </row>
    <row r="4913" spans="1:5" ht="13.9">
      <c r="A4913" s="26" t="s">
        <v>10223</v>
      </c>
      <c r="B4913" s="34" t="s">
        <v>8513</v>
      </c>
      <c r="C4913" s="34" t="s">
        <v>6427</v>
      </c>
      <c r="D4913" s="26" t="s">
        <v>10246</v>
      </c>
      <c r="E4913" s="37" t="s">
        <v>6395</v>
      </c>
    </row>
    <row r="4914" spans="1:5" ht="13.9">
      <c r="A4914" s="26" t="s">
        <v>10223</v>
      </c>
      <c r="B4914" s="34" t="s">
        <v>10215</v>
      </c>
      <c r="C4914" s="34" t="s">
        <v>3137</v>
      </c>
      <c r="D4914" s="26" t="s">
        <v>10246</v>
      </c>
      <c r="E4914" s="37" t="s">
        <v>6395</v>
      </c>
    </row>
    <row r="4915" spans="1:5" ht="13.9">
      <c r="A4915" s="26" t="s">
        <v>10223</v>
      </c>
      <c r="B4915" s="34" t="s">
        <v>10216</v>
      </c>
      <c r="C4915" s="39"/>
      <c r="D4915" s="26" t="s">
        <v>10246</v>
      </c>
      <c r="E4915" s="39" t="s">
        <v>10225</v>
      </c>
    </row>
    <row r="4916" spans="1:5" ht="13.9">
      <c r="A4916" s="26" t="s">
        <v>10223</v>
      </c>
      <c r="B4916" s="34" t="s">
        <v>10217</v>
      </c>
      <c r="C4916" s="39"/>
      <c r="D4916" s="26" t="s">
        <v>10246</v>
      </c>
      <c r="E4916" s="37" t="s">
        <v>6395</v>
      </c>
    </row>
    <row r="4917" spans="1:5" ht="13.9">
      <c r="A4917" s="26" t="s">
        <v>10223</v>
      </c>
      <c r="B4917" s="34" t="s">
        <v>642</v>
      </c>
      <c r="C4917" s="34" t="s">
        <v>643</v>
      </c>
      <c r="D4917" s="26" t="s">
        <v>10246</v>
      </c>
      <c r="E4917" s="37" t="s">
        <v>6395</v>
      </c>
    </row>
    <row r="4918" spans="1:5" ht="13.9">
      <c r="A4918" s="26" t="s">
        <v>10223</v>
      </c>
      <c r="B4918" s="34" t="s">
        <v>1229</v>
      </c>
      <c r="C4918" s="34" t="s">
        <v>1230</v>
      </c>
      <c r="D4918" s="26" t="s">
        <v>10246</v>
      </c>
      <c r="E4918" s="37" t="s">
        <v>6395</v>
      </c>
    </row>
    <row r="4919" spans="1:5" ht="13.9">
      <c r="A4919" s="26" t="s">
        <v>10223</v>
      </c>
      <c r="B4919" s="34" t="s">
        <v>846</v>
      </c>
      <c r="C4919" s="34" t="s">
        <v>847</v>
      </c>
      <c r="D4919" s="26" t="s">
        <v>10246</v>
      </c>
      <c r="E4919" s="37" t="s">
        <v>6395</v>
      </c>
    </row>
    <row r="4920" spans="1:5" ht="13.9">
      <c r="A4920" s="26" t="s">
        <v>10223</v>
      </c>
      <c r="B4920" s="34" t="s">
        <v>10218</v>
      </c>
      <c r="C4920" s="39"/>
      <c r="D4920" s="34" t="s">
        <v>6480</v>
      </c>
      <c r="E4920" s="37" t="s">
        <v>6395</v>
      </c>
    </row>
    <row r="4921" spans="1:5" ht="13.9">
      <c r="A4921" s="26" t="s">
        <v>10223</v>
      </c>
      <c r="B4921" s="34" t="s">
        <v>9055</v>
      </c>
      <c r="C4921" s="39"/>
      <c r="D4921" s="34" t="s">
        <v>6480</v>
      </c>
      <c r="E4921" s="39" t="s">
        <v>6395</v>
      </c>
    </row>
    <row r="4922" spans="1:5" ht="13.9">
      <c r="A4922" s="26" t="s">
        <v>10223</v>
      </c>
      <c r="B4922" s="34" t="s">
        <v>10219</v>
      </c>
      <c r="C4922" s="39"/>
      <c r="D4922" s="34" t="s">
        <v>6480</v>
      </c>
      <c r="E4922" s="37" t="s">
        <v>6395</v>
      </c>
    </row>
    <row r="4923" spans="1:5" ht="13.9">
      <c r="A4923" s="26" t="s">
        <v>10223</v>
      </c>
      <c r="B4923" s="34" t="s">
        <v>7105</v>
      </c>
      <c r="C4923" s="39"/>
      <c r="D4923" s="34" t="s">
        <v>6480</v>
      </c>
      <c r="E4923" s="37" t="s">
        <v>6395</v>
      </c>
    </row>
    <row r="4924" spans="1:5" ht="13.9">
      <c r="A4924" s="26" t="s">
        <v>10223</v>
      </c>
      <c r="B4924" s="34" t="s">
        <v>10220</v>
      </c>
      <c r="C4924" s="39"/>
      <c r="D4924" s="26" t="s">
        <v>10249</v>
      </c>
      <c r="E4924" s="37" t="s">
        <v>6395</v>
      </c>
    </row>
    <row r="4925" spans="1:5" ht="13.9">
      <c r="A4925" s="26" t="s">
        <v>10223</v>
      </c>
      <c r="B4925" s="34" t="s">
        <v>10221</v>
      </c>
      <c r="C4925" s="39"/>
      <c r="D4925" s="26" t="s">
        <v>10249</v>
      </c>
      <c r="E4925" s="37" t="s">
        <v>6395</v>
      </c>
    </row>
    <row r="4926" spans="1:5" ht="13.9">
      <c r="A4926" s="26" t="s">
        <v>10223</v>
      </c>
      <c r="B4926" s="36" t="s">
        <v>10222</v>
      </c>
      <c r="C4926" s="39"/>
      <c r="D4926" s="26" t="s">
        <v>10249</v>
      </c>
      <c r="E4926" s="37" t="s">
        <v>6395</v>
      </c>
    </row>
  </sheetData>
  <autoFilter ref="A1:G4926" xr:uid="{C7ADFBEA-E7E6-41D5-B109-EC5E6F9D548B}"/>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A2EBA-F052-4D1E-98B4-C510A07F04DF}">
  <dimension ref="A1:H193"/>
  <sheetViews>
    <sheetView tabSelected="1" topLeftCell="A178" workbookViewId="0">
      <selection activeCell="F188" sqref="F188"/>
    </sheetView>
  </sheetViews>
  <sheetFormatPr defaultRowHeight="15"/>
  <cols>
    <col min="1" max="1" width="11.73046875" style="72" customWidth="1"/>
    <col min="2" max="2" width="19.265625" style="74" customWidth="1"/>
    <col min="3" max="3" width="21.46484375" style="74" customWidth="1"/>
    <col min="4" max="5" width="9.265625" style="74" bestFit="1" customWidth="1"/>
    <col min="6" max="6" width="9.1328125" style="72"/>
    <col min="7" max="7" width="26.3984375" style="72" customWidth="1"/>
    <col min="8" max="8" width="9.06640625" style="72"/>
  </cols>
  <sheetData>
    <row r="1" spans="1:7" ht="15.75">
      <c r="A1" s="72" t="s">
        <v>0</v>
      </c>
      <c r="B1" s="73" t="s">
        <v>1</v>
      </c>
      <c r="C1" s="74" t="s">
        <v>2</v>
      </c>
      <c r="D1" s="74" t="s">
        <v>8747</v>
      </c>
      <c r="E1" s="74" t="s">
        <v>8748</v>
      </c>
      <c r="F1" s="75" t="s">
        <v>10270</v>
      </c>
      <c r="G1" s="74" t="s">
        <v>10269</v>
      </c>
    </row>
    <row r="2" spans="1:7">
      <c r="A2" s="72" t="s">
        <v>13</v>
      </c>
      <c r="B2" s="73" t="s">
        <v>14</v>
      </c>
      <c r="C2" s="74" t="s">
        <v>15</v>
      </c>
      <c r="D2" s="74" t="s">
        <v>6396</v>
      </c>
      <c r="E2" s="74" t="s">
        <v>6395</v>
      </c>
    </row>
    <row r="3" spans="1:7">
      <c r="A3" s="72" t="s">
        <v>50</v>
      </c>
      <c r="B3" s="73" t="s">
        <v>50</v>
      </c>
      <c r="C3" s="74" t="s">
        <v>51</v>
      </c>
      <c r="D3" s="74" t="s">
        <v>6396</v>
      </c>
      <c r="E3" s="74" t="s">
        <v>6395</v>
      </c>
      <c r="F3" s="76" t="s">
        <v>10273</v>
      </c>
    </row>
    <row r="4" spans="1:7">
      <c r="A4" s="72" t="s">
        <v>53</v>
      </c>
      <c r="B4" s="73" t="s">
        <v>53</v>
      </c>
      <c r="C4" s="74" t="s">
        <v>51</v>
      </c>
      <c r="D4" s="74" t="s">
        <v>6396</v>
      </c>
      <c r="E4" s="74" t="s">
        <v>6395</v>
      </c>
    </row>
    <row r="5" spans="1:7">
      <c r="A5" s="72" t="s">
        <v>57</v>
      </c>
      <c r="B5" s="73" t="s">
        <v>57</v>
      </c>
      <c r="C5" s="74" t="s">
        <v>51</v>
      </c>
      <c r="D5" s="74" t="s">
        <v>6396</v>
      </c>
      <c r="E5" s="74" t="s">
        <v>6395</v>
      </c>
      <c r="F5" s="76" t="s">
        <v>10273</v>
      </c>
    </row>
    <row r="6" spans="1:7">
      <c r="A6" s="72" t="s">
        <v>61</v>
      </c>
      <c r="B6" s="73" t="s">
        <v>61</v>
      </c>
      <c r="C6" s="74" t="s">
        <v>51</v>
      </c>
      <c r="D6" s="74" t="s">
        <v>6396</v>
      </c>
      <c r="E6" s="74" t="s">
        <v>6395</v>
      </c>
      <c r="F6" s="76" t="s">
        <v>10273</v>
      </c>
    </row>
    <row r="7" spans="1:7">
      <c r="A7" s="72" t="s">
        <v>63</v>
      </c>
      <c r="B7" s="73" t="s">
        <v>63</v>
      </c>
      <c r="C7" s="74" t="s">
        <v>51</v>
      </c>
      <c r="D7" s="74" t="s">
        <v>6396</v>
      </c>
      <c r="E7" s="74" t="s">
        <v>6395</v>
      </c>
      <c r="F7" s="76" t="s">
        <v>10274</v>
      </c>
    </row>
    <row r="8" spans="1:7">
      <c r="A8" s="72" t="s">
        <v>67</v>
      </c>
      <c r="B8" s="73" t="s">
        <v>67</v>
      </c>
      <c r="C8" s="74" t="s">
        <v>51</v>
      </c>
      <c r="D8" s="74" t="s">
        <v>6396</v>
      </c>
      <c r="E8" s="74" t="s">
        <v>6395</v>
      </c>
      <c r="F8" s="76" t="s">
        <v>10273</v>
      </c>
    </row>
    <row r="9" spans="1:7">
      <c r="A9" s="72" t="s">
        <v>69</v>
      </c>
      <c r="B9" s="73" t="s">
        <v>69</v>
      </c>
      <c r="C9" s="74" t="s">
        <v>51</v>
      </c>
      <c r="D9" s="74" t="s">
        <v>6396</v>
      </c>
      <c r="E9" s="74" t="s">
        <v>6395</v>
      </c>
    </row>
    <row r="10" spans="1:7">
      <c r="A10" s="72" t="s">
        <v>71</v>
      </c>
      <c r="B10" s="73" t="s">
        <v>71</v>
      </c>
      <c r="C10" s="74" t="s">
        <v>51</v>
      </c>
      <c r="D10" s="74" t="s">
        <v>6396</v>
      </c>
      <c r="E10" s="74" t="s">
        <v>6395</v>
      </c>
      <c r="F10" s="76" t="s">
        <v>10273</v>
      </c>
    </row>
    <row r="11" spans="1:7">
      <c r="A11" s="72" t="s">
        <v>73</v>
      </c>
      <c r="B11" s="73" t="s">
        <v>73</v>
      </c>
      <c r="C11" s="74" t="s">
        <v>51</v>
      </c>
      <c r="D11" s="74" t="s">
        <v>6396</v>
      </c>
      <c r="E11" s="74" t="s">
        <v>6395</v>
      </c>
    </row>
    <row r="12" spans="1:7">
      <c r="A12" s="72" t="s">
        <v>77</v>
      </c>
      <c r="B12" s="73" t="s">
        <v>77</v>
      </c>
      <c r="C12" s="74" t="s">
        <v>51</v>
      </c>
      <c r="D12" s="74" t="s">
        <v>6396</v>
      </c>
      <c r="E12" s="74" t="s">
        <v>6395</v>
      </c>
      <c r="F12" s="76" t="s">
        <v>10273</v>
      </c>
      <c r="G12" s="76" t="s">
        <v>10275</v>
      </c>
    </row>
    <row r="13" spans="1:7">
      <c r="A13" s="72" t="s">
        <v>79</v>
      </c>
      <c r="B13" s="73" t="s">
        <v>79</v>
      </c>
      <c r="C13" s="74" t="s">
        <v>51</v>
      </c>
      <c r="D13" s="74" t="s">
        <v>6396</v>
      </c>
      <c r="E13" s="74" t="s">
        <v>6395</v>
      </c>
      <c r="F13" s="76" t="s">
        <v>10273</v>
      </c>
    </row>
    <row r="14" spans="1:7">
      <c r="A14" s="72" t="s">
        <v>81</v>
      </c>
      <c r="B14" s="73" t="s">
        <v>81</v>
      </c>
      <c r="C14" s="74" t="s">
        <v>51</v>
      </c>
      <c r="D14" s="74" t="s">
        <v>6396</v>
      </c>
      <c r="E14" s="74" t="s">
        <v>6395</v>
      </c>
    </row>
    <row r="15" spans="1:7">
      <c r="A15" s="72" t="s">
        <v>83</v>
      </c>
      <c r="B15" s="73" t="s">
        <v>83</v>
      </c>
      <c r="C15" s="74" t="s">
        <v>51</v>
      </c>
      <c r="D15" s="74" t="s">
        <v>6396</v>
      </c>
      <c r="E15" s="74" t="s">
        <v>6395</v>
      </c>
    </row>
    <row r="16" spans="1:7">
      <c r="A16" s="72" t="s">
        <v>85</v>
      </c>
      <c r="B16" s="73" t="s">
        <v>85</v>
      </c>
      <c r="C16" s="74" t="s">
        <v>51</v>
      </c>
      <c r="D16" s="74" t="s">
        <v>6396</v>
      </c>
      <c r="E16" s="74" t="s">
        <v>6395</v>
      </c>
      <c r="F16" s="76" t="s">
        <v>10273</v>
      </c>
    </row>
    <row r="17" spans="1:6">
      <c r="A17" s="72" t="s">
        <v>87</v>
      </c>
      <c r="B17" s="73" t="s">
        <v>87</v>
      </c>
      <c r="C17" s="74" t="s">
        <v>51</v>
      </c>
      <c r="D17" s="74" t="s">
        <v>6396</v>
      </c>
      <c r="E17" s="74" t="s">
        <v>6395</v>
      </c>
    </row>
    <row r="18" spans="1:6">
      <c r="A18" s="72" t="s">
        <v>89</v>
      </c>
      <c r="B18" s="73" t="s">
        <v>89</v>
      </c>
      <c r="C18" s="74" t="s">
        <v>51</v>
      </c>
      <c r="D18" s="74" t="s">
        <v>6396</v>
      </c>
      <c r="E18" s="74" t="s">
        <v>6395</v>
      </c>
    </row>
    <row r="19" spans="1:6">
      <c r="A19" s="72" t="s">
        <v>91</v>
      </c>
      <c r="B19" s="73" t="s">
        <v>91</v>
      </c>
      <c r="C19" s="74" t="s">
        <v>51</v>
      </c>
      <c r="D19" s="74" t="s">
        <v>6396</v>
      </c>
      <c r="E19" s="74" t="s">
        <v>6395</v>
      </c>
    </row>
    <row r="20" spans="1:6">
      <c r="A20" s="72" t="s">
        <v>97</v>
      </c>
      <c r="B20" s="73" t="s">
        <v>97</v>
      </c>
      <c r="C20" s="74" t="s">
        <v>51</v>
      </c>
      <c r="D20" s="74" t="s">
        <v>6396</v>
      </c>
      <c r="E20" s="74" t="s">
        <v>6395</v>
      </c>
    </row>
    <row r="21" spans="1:6">
      <c r="A21" s="72" t="s">
        <v>99</v>
      </c>
      <c r="B21" s="73" t="s">
        <v>99</v>
      </c>
      <c r="C21" s="74" t="s">
        <v>51</v>
      </c>
      <c r="D21" s="74" t="s">
        <v>6396</v>
      </c>
      <c r="E21" s="74" t="s">
        <v>6395</v>
      </c>
    </row>
    <row r="22" spans="1:6">
      <c r="A22" s="72" t="s">
        <v>101</v>
      </c>
      <c r="B22" s="73" t="s">
        <v>101</v>
      </c>
      <c r="C22" s="74" t="s">
        <v>51</v>
      </c>
      <c r="D22" s="74" t="s">
        <v>6396</v>
      </c>
      <c r="E22" s="74" t="s">
        <v>6395</v>
      </c>
    </row>
    <row r="23" spans="1:6">
      <c r="A23" s="72" t="s">
        <v>103</v>
      </c>
      <c r="B23" s="73" t="s">
        <v>103</v>
      </c>
      <c r="C23" s="74" t="s">
        <v>51</v>
      </c>
      <c r="D23" s="74" t="s">
        <v>6396</v>
      </c>
      <c r="E23" s="74" t="s">
        <v>6395</v>
      </c>
    </row>
    <row r="24" spans="1:6">
      <c r="A24" s="72" t="s">
        <v>105</v>
      </c>
      <c r="B24" s="73" t="s">
        <v>105</v>
      </c>
      <c r="C24" s="74" t="s">
        <v>51</v>
      </c>
      <c r="D24" s="74" t="s">
        <v>6396</v>
      </c>
      <c r="E24" s="74" t="s">
        <v>6395</v>
      </c>
      <c r="F24" s="76" t="s">
        <v>10273</v>
      </c>
    </row>
    <row r="25" spans="1:6">
      <c r="A25" s="72" t="s">
        <v>107</v>
      </c>
      <c r="B25" s="73" t="s">
        <v>107</v>
      </c>
      <c r="C25" s="74" t="s">
        <v>51</v>
      </c>
      <c r="D25" s="74" t="s">
        <v>6396</v>
      </c>
      <c r="E25" s="74" t="s">
        <v>6395</v>
      </c>
    </row>
    <row r="26" spans="1:6">
      <c r="A26" s="72" t="s">
        <v>109</v>
      </c>
      <c r="B26" s="73" t="s">
        <v>109</v>
      </c>
      <c r="C26" s="74" t="s">
        <v>51</v>
      </c>
      <c r="D26" s="74" t="s">
        <v>6396</v>
      </c>
      <c r="E26" s="74" t="s">
        <v>6395</v>
      </c>
    </row>
    <row r="27" spans="1:6">
      <c r="A27" s="72" t="s">
        <v>111</v>
      </c>
      <c r="B27" s="73" t="s">
        <v>111</v>
      </c>
      <c r="C27" s="74" t="s">
        <v>51</v>
      </c>
      <c r="D27" s="74" t="s">
        <v>6396</v>
      </c>
      <c r="E27" s="74" t="s">
        <v>6395</v>
      </c>
    </row>
    <row r="28" spans="1:6">
      <c r="A28" s="72" t="s">
        <v>113</v>
      </c>
      <c r="B28" s="73" t="s">
        <v>113</v>
      </c>
      <c r="C28" s="74" t="s">
        <v>51</v>
      </c>
      <c r="D28" s="74" t="s">
        <v>6396</v>
      </c>
      <c r="E28" s="74" t="s">
        <v>6395</v>
      </c>
      <c r="F28" s="76" t="s">
        <v>10273</v>
      </c>
    </row>
    <row r="29" spans="1:6">
      <c r="A29" s="72" t="s">
        <v>115</v>
      </c>
      <c r="B29" s="73" t="s">
        <v>115</v>
      </c>
      <c r="C29" s="74" t="s">
        <v>116</v>
      </c>
      <c r="D29" s="74" t="s">
        <v>6396</v>
      </c>
      <c r="E29" s="74" t="s">
        <v>7941</v>
      </c>
    </row>
    <row r="30" spans="1:6">
      <c r="A30" s="72" t="s">
        <v>120</v>
      </c>
      <c r="B30" s="73" t="s">
        <v>120</v>
      </c>
      <c r="C30" s="74" t="s">
        <v>121</v>
      </c>
      <c r="D30" s="74" t="s">
        <v>6396</v>
      </c>
      <c r="E30" s="74" t="s">
        <v>6395</v>
      </c>
    </row>
    <row r="31" spans="1:6">
      <c r="A31" s="72" t="s">
        <v>132</v>
      </c>
      <c r="B31" s="74" t="s">
        <v>132</v>
      </c>
      <c r="C31" s="74" t="s">
        <v>133</v>
      </c>
      <c r="D31" s="74" t="s">
        <v>6396</v>
      </c>
      <c r="E31" s="74" t="s">
        <v>6395</v>
      </c>
    </row>
    <row r="32" spans="1:6">
      <c r="A32" s="72" t="s">
        <v>137</v>
      </c>
      <c r="B32" s="74" t="s">
        <v>137</v>
      </c>
      <c r="C32" s="74" t="s">
        <v>138</v>
      </c>
      <c r="D32" s="74" t="s">
        <v>6396</v>
      </c>
      <c r="E32" s="74" t="s">
        <v>6395</v>
      </c>
    </row>
    <row r="33" spans="1:6">
      <c r="A33" s="72" t="s">
        <v>139</v>
      </c>
      <c r="B33" s="74" t="s">
        <v>139</v>
      </c>
      <c r="C33" s="74" t="s">
        <v>140</v>
      </c>
      <c r="D33" s="74" t="s">
        <v>6396</v>
      </c>
      <c r="E33" s="74" t="s">
        <v>6395</v>
      </c>
    </row>
    <row r="34" spans="1:6">
      <c r="A34" s="72" t="s">
        <v>141</v>
      </c>
      <c r="B34" s="74" t="s">
        <v>141</v>
      </c>
      <c r="C34" s="74" t="s">
        <v>142</v>
      </c>
      <c r="D34" s="74" t="s">
        <v>6396</v>
      </c>
      <c r="E34" s="74" t="s">
        <v>6395</v>
      </c>
    </row>
    <row r="35" spans="1:6">
      <c r="A35" s="72" t="s">
        <v>143</v>
      </c>
      <c r="B35" s="74" t="s">
        <v>143</v>
      </c>
      <c r="C35" s="74" t="s">
        <v>144</v>
      </c>
      <c r="D35" s="74" t="s">
        <v>8520</v>
      </c>
      <c r="E35" s="74" t="s">
        <v>10227</v>
      </c>
    </row>
    <row r="36" spans="1:6">
      <c r="A36" s="72" t="s">
        <v>145</v>
      </c>
      <c r="B36" s="74" t="s">
        <v>145</v>
      </c>
      <c r="C36" s="74" t="s">
        <v>146</v>
      </c>
      <c r="D36" s="74" t="s">
        <v>6396</v>
      </c>
      <c r="E36" s="74" t="s">
        <v>6395</v>
      </c>
    </row>
    <row r="37" spans="1:6">
      <c r="A37" s="72" t="s">
        <v>159</v>
      </c>
      <c r="B37" s="74" t="s">
        <v>160</v>
      </c>
      <c r="C37" s="74" t="s">
        <v>161</v>
      </c>
      <c r="D37" s="74" t="s">
        <v>6396</v>
      </c>
      <c r="E37" s="74" t="s">
        <v>6395</v>
      </c>
    </row>
    <row r="38" spans="1:6">
      <c r="A38" s="72" t="s">
        <v>186</v>
      </c>
      <c r="B38" s="74" t="s">
        <v>187</v>
      </c>
      <c r="C38" s="74" t="s">
        <v>188</v>
      </c>
      <c r="D38" s="74" t="s">
        <v>6489</v>
      </c>
      <c r="E38" s="74" t="s">
        <v>6395</v>
      </c>
    </row>
    <row r="39" spans="1:6">
      <c r="A39" s="72" t="s">
        <v>276</v>
      </c>
      <c r="B39" s="74" t="s">
        <v>277</v>
      </c>
      <c r="C39" s="74" t="s">
        <v>278</v>
      </c>
      <c r="D39" s="74" t="s">
        <v>6480</v>
      </c>
      <c r="E39" s="74" t="s">
        <v>6395</v>
      </c>
      <c r="F39" s="74" t="s">
        <v>8756</v>
      </c>
    </row>
    <row r="40" spans="1:6">
      <c r="A40" s="72" t="s">
        <v>282</v>
      </c>
      <c r="B40" s="74" t="s">
        <v>283</v>
      </c>
      <c r="C40" s="74" t="s">
        <v>284</v>
      </c>
      <c r="D40" s="74" t="s">
        <v>6480</v>
      </c>
      <c r="E40" s="74" t="s">
        <v>8756</v>
      </c>
    </row>
    <row r="41" spans="1:6">
      <c r="A41" s="72" t="s">
        <v>346</v>
      </c>
      <c r="B41" s="74" t="s">
        <v>347</v>
      </c>
      <c r="C41" s="74" t="s">
        <v>348</v>
      </c>
      <c r="D41" s="74" t="s">
        <v>6396</v>
      </c>
      <c r="E41" s="74" t="s">
        <v>6395</v>
      </c>
    </row>
    <row r="42" spans="1:6">
      <c r="A42" s="72" t="s">
        <v>365</v>
      </c>
      <c r="B42" s="74" t="s">
        <v>366</v>
      </c>
      <c r="C42" s="74" t="s">
        <v>367</v>
      </c>
      <c r="D42" s="74" t="s">
        <v>6396</v>
      </c>
      <c r="E42" s="74" t="s">
        <v>10238</v>
      </c>
      <c r="F42" s="76" t="s">
        <v>10276</v>
      </c>
    </row>
    <row r="43" spans="1:6">
      <c r="A43" s="72" t="s">
        <v>398</v>
      </c>
      <c r="B43" s="74" t="s">
        <v>399</v>
      </c>
      <c r="C43" s="74" t="s">
        <v>400</v>
      </c>
      <c r="D43" s="74" t="s">
        <v>6489</v>
      </c>
      <c r="E43" s="74" t="s">
        <v>6395</v>
      </c>
    </row>
    <row r="44" spans="1:6">
      <c r="A44" s="72" t="s">
        <v>438</v>
      </c>
      <c r="B44" s="74" t="s">
        <v>439</v>
      </c>
      <c r="C44" s="74" t="s">
        <v>440</v>
      </c>
      <c r="D44" s="74" t="s">
        <v>6489</v>
      </c>
      <c r="E44" s="74" t="s">
        <v>6395</v>
      </c>
    </row>
    <row r="45" spans="1:6">
      <c r="A45" s="72" t="s">
        <v>556</v>
      </c>
      <c r="B45" s="74" t="s">
        <v>557</v>
      </c>
      <c r="C45" s="74" t="s">
        <v>558</v>
      </c>
      <c r="D45" s="74" t="s">
        <v>6396</v>
      </c>
      <c r="E45" s="74" t="s">
        <v>6395</v>
      </c>
      <c r="F45" s="76" t="s">
        <v>10277</v>
      </c>
    </row>
    <row r="46" spans="1:6">
      <c r="A46" s="72" t="s">
        <v>585</v>
      </c>
      <c r="B46" s="74" t="s">
        <v>586</v>
      </c>
      <c r="C46" s="74" t="s">
        <v>587</v>
      </c>
      <c r="D46" s="74" t="s">
        <v>6396</v>
      </c>
      <c r="E46" s="74" t="s">
        <v>6395</v>
      </c>
    </row>
    <row r="47" spans="1:6">
      <c r="A47" s="72" t="s">
        <v>601</v>
      </c>
      <c r="B47" s="74" t="s">
        <v>602</v>
      </c>
      <c r="C47" s="74" t="s">
        <v>592</v>
      </c>
      <c r="D47" s="74" t="s">
        <v>6396</v>
      </c>
      <c r="E47" s="74" t="s">
        <v>6395</v>
      </c>
    </row>
    <row r="48" spans="1:6">
      <c r="A48" s="72" t="s">
        <v>664</v>
      </c>
      <c r="B48" s="74" t="s">
        <v>665</v>
      </c>
      <c r="C48" s="74" t="s">
        <v>666</v>
      </c>
      <c r="D48" s="74" t="s">
        <v>8520</v>
      </c>
      <c r="E48" s="74" t="s">
        <v>6432</v>
      </c>
    </row>
    <row r="49" spans="1:6">
      <c r="A49" s="72" t="s">
        <v>668</v>
      </c>
      <c r="B49" s="74" t="s">
        <v>669</v>
      </c>
      <c r="C49" s="74" t="s">
        <v>670</v>
      </c>
      <c r="D49" s="74" t="s">
        <v>8520</v>
      </c>
      <c r="E49" s="74" t="s">
        <v>6432</v>
      </c>
    </row>
    <row r="50" spans="1:6">
      <c r="A50" s="72" t="s">
        <v>719</v>
      </c>
      <c r="B50" s="74" t="s">
        <v>720</v>
      </c>
      <c r="C50" s="74" t="s">
        <v>721</v>
      </c>
      <c r="D50" s="74" t="s">
        <v>6396</v>
      </c>
      <c r="E50" s="74" t="s">
        <v>6395</v>
      </c>
    </row>
    <row r="51" spans="1:6">
      <c r="A51" s="72" t="s">
        <v>725</v>
      </c>
      <c r="B51" s="74" t="s">
        <v>726</v>
      </c>
      <c r="C51" s="74" t="s">
        <v>727</v>
      </c>
      <c r="D51" s="74" t="s">
        <v>6396</v>
      </c>
      <c r="E51" s="74" t="s">
        <v>6411</v>
      </c>
    </row>
    <row r="52" spans="1:6">
      <c r="A52" s="72" t="s">
        <v>735</v>
      </c>
      <c r="B52" s="74" t="s">
        <v>736</v>
      </c>
      <c r="C52" s="74" t="s">
        <v>737</v>
      </c>
      <c r="D52" s="74" t="s">
        <v>6396</v>
      </c>
      <c r="E52" s="74" t="s">
        <v>6395</v>
      </c>
    </row>
    <row r="53" spans="1:6">
      <c r="A53" s="72" t="s">
        <v>802</v>
      </c>
      <c r="B53" s="74" t="s">
        <v>803</v>
      </c>
      <c r="C53" s="74" t="s">
        <v>804</v>
      </c>
      <c r="D53" s="74" t="s">
        <v>6396</v>
      </c>
      <c r="E53" s="74" t="s">
        <v>6395</v>
      </c>
    </row>
    <row r="54" spans="1:6">
      <c r="A54" s="72" t="s">
        <v>898</v>
      </c>
      <c r="B54" s="74" t="s">
        <v>899</v>
      </c>
      <c r="C54" s="74" t="s">
        <v>580</v>
      </c>
      <c r="D54" s="74" t="s">
        <v>6396</v>
      </c>
      <c r="E54" s="74" t="s">
        <v>6395</v>
      </c>
    </row>
    <row r="55" spans="1:6">
      <c r="A55" s="72" t="s">
        <v>913</v>
      </c>
      <c r="B55" s="74" t="s">
        <v>914</v>
      </c>
      <c r="C55" s="74" t="s">
        <v>915</v>
      </c>
      <c r="D55" s="74" t="s">
        <v>6396</v>
      </c>
      <c r="E55" s="74" t="s">
        <v>6395</v>
      </c>
    </row>
    <row r="56" spans="1:6">
      <c r="A56" s="72" t="s">
        <v>953</v>
      </c>
      <c r="B56" s="74" t="s">
        <v>954</v>
      </c>
      <c r="C56" s="74" t="s">
        <v>955</v>
      </c>
      <c r="D56" s="74" t="s">
        <v>6396</v>
      </c>
      <c r="E56" s="74" t="s">
        <v>6395</v>
      </c>
    </row>
    <row r="57" spans="1:6">
      <c r="A57" s="72" t="s">
        <v>979</v>
      </c>
      <c r="B57" s="74" t="s">
        <v>980</v>
      </c>
      <c r="C57" s="74" t="s">
        <v>21</v>
      </c>
      <c r="D57" s="74" t="s">
        <v>6396</v>
      </c>
      <c r="E57" s="74" t="s">
        <v>6395</v>
      </c>
    </row>
    <row r="58" spans="1:6">
      <c r="A58" s="72" t="s">
        <v>998</v>
      </c>
      <c r="B58" s="74" t="s">
        <v>999</v>
      </c>
      <c r="C58" s="74" t="s">
        <v>1000</v>
      </c>
      <c r="D58" s="74" t="s">
        <v>6396</v>
      </c>
      <c r="E58" s="74" t="s">
        <v>6395</v>
      </c>
    </row>
    <row r="59" spans="1:6">
      <c r="A59" s="72" t="s">
        <v>1051</v>
      </c>
      <c r="B59" s="73" t="s">
        <v>1052</v>
      </c>
      <c r="C59" s="74" t="s">
        <v>51</v>
      </c>
      <c r="D59" s="74" t="s">
        <v>6396</v>
      </c>
      <c r="E59" s="74" t="s">
        <v>6395</v>
      </c>
    </row>
    <row r="60" spans="1:6">
      <c r="A60" s="72" t="s">
        <v>1060</v>
      </c>
      <c r="B60" s="74" t="s">
        <v>1061</v>
      </c>
      <c r="C60" s="74" t="s">
        <v>1062</v>
      </c>
      <c r="D60" s="74" t="s">
        <v>6396</v>
      </c>
      <c r="E60" s="74" t="s">
        <v>6395</v>
      </c>
    </row>
    <row r="61" spans="1:6">
      <c r="A61" s="72" t="s">
        <v>1092</v>
      </c>
      <c r="B61" s="74" t="s">
        <v>1093</v>
      </c>
      <c r="C61" s="74" t="s">
        <v>1094</v>
      </c>
      <c r="D61" s="74" t="s">
        <v>6396</v>
      </c>
      <c r="E61" s="74" t="s">
        <v>6395</v>
      </c>
      <c r="F61" s="76" t="s">
        <v>10278</v>
      </c>
    </row>
    <row r="62" spans="1:6">
      <c r="A62" s="72" t="s">
        <v>1111</v>
      </c>
      <c r="B62" s="74" t="s">
        <v>1112</v>
      </c>
      <c r="C62" s="74" t="s">
        <v>670</v>
      </c>
      <c r="D62" s="74" t="s">
        <v>8520</v>
      </c>
      <c r="E62" s="74" t="s">
        <v>10227</v>
      </c>
    </row>
    <row r="63" spans="1:6">
      <c r="A63" s="72" t="s">
        <v>1115</v>
      </c>
      <c r="B63" s="74" t="s">
        <v>1116</v>
      </c>
      <c r="C63" s="74" t="s">
        <v>1117</v>
      </c>
      <c r="D63" s="74" t="s">
        <v>6480</v>
      </c>
      <c r="E63" s="74" t="s">
        <v>10227</v>
      </c>
    </row>
    <row r="64" spans="1:6">
      <c r="A64" s="72" t="s">
        <v>1121</v>
      </c>
      <c r="B64" s="74" t="s">
        <v>1122</v>
      </c>
      <c r="C64" s="74" t="s">
        <v>1123</v>
      </c>
      <c r="D64" s="74" t="s">
        <v>8520</v>
      </c>
      <c r="E64" s="74" t="s">
        <v>10227</v>
      </c>
    </row>
    <row r="65" spans="1:6">
      <c r="A65" s="72" t="s">
        <v>1127</v>
      </c>
      <c r="B65" s="74" t="s">
        <v>1128</v>
      </c>
      <c r="C65" s="74" t="s">
        <v>1129</v>
      </c>
      <c r="D65" s="74" t="s">
        <v>8520</v>
      </c>
      <c r="E65" s="74" t="s">
        <v>10227</v>
      </c>
    </row>
    <row r="66" spans="1:6">
      <c r="A66" s="72" t="s">
        <v>1145</v>
      </c>
      <c r="B66" s="74" t="s">
        <v>1146</v>
      </c>
      <c r="C66" s="74" t="s">
        <v>1147</v>
      </c>
      <c r="D66" s="74" t="s">
        <v>10248</v>
      </c>
      <c r="E66" s="74" t="s">
        <v>6395</v>
      </c>
    </row>
    <row r="67" spans="1:6">
      <c r="A67" s="72" t="s">
        <v>1152</v>
      </c>
      <c r="B67" s="74" t="s">
        <v>1153</v>
      </c>
      <c r="C67" s="74" t="s">
        <v>1154</v>
      </c>
      <c r="D67" s="74" t="s">
        <v>6396</v>
      </c>
      <c r="E67" s="74" t="s">
        <v>1611</v>
      </c>
      <c r="F67" s="72" t="s">
        <v>8286</v>
      </c>
    </row>
    <row r="68" spans="1:6">
      <c r="A68" s="72" t="s">
        <v>1173</v>
      </c>
      <c r="B68" s="74" t="s">
        <v>1174</v>
      </c>
      <c r="C68" s="74" t="s">
        <v>1175</v>
      </c>
      <c r="D68" s="74" t="s">
        <v>6396</v>
      </c>
      <c r="E68" s="74" t="s">
        <v>6395</v>
      </c>
      <c r="F68" s="76" t="s">
        <v>10277</v>
      </c>
    </row>
    <row r="69" spans="1:6">
      <c r="A69" s="72" t="s">
        <v>1210</v>
      </c>
      <c r="B69" s="74" t="s">
        <v>378</v>
      </c>
      <c r="C69" s="74" t="s">
        <v>1211</v>
      </c>
      <c r="D69" s="74" t="s">
        <v>6396</v>
      </c>
      <c r="E69" s="74" t="s">
        <v>6395</v>
      </c>
    </row>
    <row r="70" spans="1:6">
      <c r="A70" s="72" t="s">
        <v>1221</v>
      </c>
      <c r="B70" s="74" t="s">
        <v>1222</v>
      </c>
      <c r="C70" s="74" t="s">
        <v>721</v>
      </c>
      <c r="D70" s="74" t="s">
        <v>6396</v>
      </c>
      <c r="E70" s="74" t="s">
        <v>6395</v>
      </c>
    </row>
    <row r="71" spans="1:6">
      <c r="A71" s="72" t="s">
        <v>1238</v>
      </c>
      <c r="B71" s="74" t="s">
        <v>1239</v>
      </c>
      <c r="C71" s="74" t="s">
        <v>1240</v>
      </c>
      <c r="D71" s="74" t="s">
        <v>6396</v>
      </c>
      <c r="E71" s="74" t="s">
        <v>6395</v>
      </c>
      <c r="F71" s="76" t="s">
        <v>10279</v>
      </c>
    </row>
    <row r="72" spans="1:6">
      <c r="A72" s="72" t="s">
        <v>1265</v>
      </c>
      <c r="B72" s="74" t="s">
        <v>1266</v>
      </c>
      <c r="C72" s="74" t="s">
        <v>1267</v>
      </c>
      <c r="D72" s="74" t="s">
        <v>6489</v>
      </c>
      <c r="E72" s="74" t="s">
        <v>6395</v>
      </c>
    </row>
    <row r="73" spans="1:6">
      <c r="A73" s="72" t="s">
        <v>1278</v>
      </c>
      <c r="B73" s="74" t="s">
        <v>1279</v>
      </c>
      <c r="C73" s="74" t="s">
        <v>42</v>
      </c>
      <c r="D73" s="74" t="s">
        <v>6396</v>
      </c>
      <c r="E73" s="74" t="s">
        <v>6395</v>
      </c>
    </row>
    <row r="74" spans="1:6">
      <c r="A74" s="72" t="s">
        <v>1283</v>
      </c>
      <c r="B74" s="74" t="s">
        <v>1284</v>
      </c>
      <c r="C74" s="74" t="s">
        <v>679</v>
      </c>
      <c r="D74" s="74" t="s">
        <v>6396</v>
      </c>
      <c r="E74" s="74" t="s">
        <v>10236</v>
      </c>
    </row>
    <row r="75" spans="1:6">
      <c r="A75" s="72" t="s">
        <v>1299</v>
      </c>
      <c r="B75" s="73" t="s">
        <v>99</v>
      </c>
      <c r="C75" s="74" t="s">
        <v>51</v>
      </c>
      <c r="D75" s="74" t="s">
        <v>6396</v>
      </c>
      <c r="E75" s="74" t="s">
        <v>6395</v>
      </c>
    </row>
    <row r="76" spans="1:6">
      <c r="A76" s="72" t="s">
        <v>1302</v>
      </c>
      <c r="B76" s="73" t="s">
        <v>103</v>
      </c>
      <c r="C76" s="74" t="s">
        <v>51</v>
      </c>
      <c r="D76" s="74" t="s">
        <v>6396</v>
      </c>
      <c r="E76" s="74" t="s">
        <v>6395</v>
      </c>
    </row>
    <row r="77" spans="1:6">
      <c r="A77" s="72" t="s">
        <v>1311</v>
      </c>
      <c r="B77" s="74" t="s">
        <v>1312</v>
      </c>
      <c r="C77" s="74" t="s">
        <v>1313</v>
      </c>
      <c r="D77" s="74" t="s">
        <v>6396</v>
      </c>
      <c r="E77" s="74" t="s">
        <v>6395</v>
      </c>
    </row>
    <row r="78" spans="1:6">
      <c r="A78" s="72" t="s">
        <v>1325</v>
      </c>
      <c r="B78" s="74" t="s">
        <v>1326</v>
      </c>
      <c r="C78" s="74" t="s">
        <v>154</v>
      </c>
      <c r="D78" s="74" t="s">
        <v>6396</v>
      </c>
      <c r="E78" s="74" t="s">
        <v>8848</v>
      </c>
    </row>
    <row r="79" spans="1:6">
      <c r="A79" s="72" t="s">
        <v>1344</v>
      </c>
      <c r="B79" s="74" t="s">
        <v>1345</v>
      </c>
      <c r="C79" s="74" t="s">
        <v>1346</v>
      </c>
      <c r="D79" s="74" t="s">
        <v>6396</v>
      </c>
      <c r="E79" s="74" t="s">
        <v>6395</v>
      </c>
    </row>
    <row r="80" spans="1:6">
      <c r="A80" s="72" t="s">
        <v>1360</v>
      </c>
      <c r="B80" s="74" t="s">
        <v>1361</v>
      </c>
      <c r="C80" s="74" t="s">
        <v>478</v>
      </c>
      <c r="D80" s="74" t="s">
        <v>6396</v>
      </c>
      <c r="E80" s="74" t="s">
        <v>6395</v>
      </c>
    </row>
    <row r="81" spans="1:5">
      <c r="A81" s="72" t="s">
        <v>1364</v>
      </c>
      <c r="B81" s="74" t="s">
        <v>1365</v>
      </c>
      <c r="C81" s="74" t="s">
        <v>1366</v>
      </c>
      <c r="D81" s="74" t="s">
        <v>6396</v>
      </c>
      <c r="E81" s="74" t="s">
        <v>6395</v>
      </c>
    </row>
    <row r="82" spans="1:5">
      <c r="A82" s="72" t="s">
        <v>1370</v>
      </c>
      <c r="B82" s="74" t="s">
        <v>1371</v>
      </c>
      <c r="C82" s="74" t="s">
        <v>1372</v>
      </c>
      <c r="D82" s="74" t="s">
        <v>6396</v>
      </c>
      <c r="E82" s="74" t="s">
        <v>6411</v>
      </c>
    </row>
    <row r="83" spans="1:5">
      <c r="A83" s="72" t="s">
        <v>1414</v>
      </c>
      <c r="B83" s="74" t="s">
        <v>1415</v>
      </c>
      <c r="C83" s="74" t="s">
        <v>1331</v>
      </c>
      <c r="D83" s="74" t="s">
        <v>6396</v>
      </c>
      <c r="E83" s="74" t="s">
        <v>6678</v>
      </c>
    </row>
    <row r="84" spans="1:5">
      <c r="A84" s="72" t="s">
        <v>1455</v>
      </c>
      <c r="B84" s="74" t="s">
        <v>1456</v>
      </c>
      <c r="C84" s="74" t="s">
        <v>1457</v>
      </c>
      <c r="D84" s="74" t="s">
        <v>6396</v>
      </c>
      <c r="E84" s="74" t="s">
        <v>6395</v>
      </c>
    </row>
    <row r="85" spans="1:5">
      <c r="A85" s="72" t="s">
        <v>1513</v>
      </c>
      <c r="B85" s="74" t="s">
        <v>1514</v>
      </c>
      <c r="C85" s="74" t="s">
        <v>1515</v>
      </c>
      <c r="D85" s="74" t="s">
        <v>6396</v>
      </c>
      <c r="E85" s="74" t="s">
        <v>6395</v>
      </c>
    </row>
    <row r="86" spans="1:5">
      <c r="A86" s="72" t="s">
        <v>1610</v>
      </c>
      <c r="B86" s="74" t="s">
        <v>1611</v>
      </c>
      <c r="C86" s="74" t="s">
        <v>27</v>
      </c>
      <c r="D86" s="74" t="s">
        <v>6396</v>
      </c>
      <c r="E86" s="74" t="s">
        <v>6871</v>
      </c>
    </row>
    <row r="87" spans="1:5">
      <c r="A87" s="72" t="s">
        <v>1615</v>
      </c>
      <c r="B87" s="74" t="s">
        <v>1616</v>
      </c>
      <c r="C87" s="74" t="s">
        <v>21</v>
      </c>
      <c r="D87" s="74" t="s">
        <v>6396</v>
      </c>
      <c r="E87" s="74" t="s">
        <v>6395</v>
      </c>
    </row>
    <row r="88" spans="1:5">
      <c r="A88" s="72" t="s">
        <v>1631</v>
      </c>
      <c r="B88" s="74" t="s">
        <v>1632</v>
      </c>
      <c r="C88" s="74" t="s">
        <v>1633</v>
      </c>
      <c r="D88" s="74" t="s">
        <v>6489</v>
      </c>
      <c r="E88" s="74" t="s">
        <v>6395</v>
      </c>
    </row>
    <row r="89" spans="1:5">
      <c r="A89" s="72" t="s">
        <v>1668</v>
      </c>
      <c r="B89" s="74" t="s">
        <v>1669</v>
      </c>
      <c r="C89" s="74" t="s">
        <v>10260</v>
      </c>
      <c r="D89" s="74" t="s">
        <v>6396</v>
      </c>
      <c r="E89" s="74" t="s">
        <v>6395</v>
      </c>
    </row>
    <row r="90" spans="1:5">
      <c r="A90" s="72" t="s">
        <v>1679</v>
      </c>
      <c r="B90" s="74" t="s">
        <v>1680</v>
      </c>
      <c r="C90" s="74" t="s">
        <v>188</v>
      </c>
      <c r="D90" s="74" t="s">
        <v>6396</v>
      </c>
      <c r="E90" s="74" t="s">
        <v>6395</v>
      </c>
    </row>
    <row r="91" spans="1:5">
      <c r="A91" s="72" t="s">
        <v>1690</v>
      </c>
      <c r="B91" s="73" t="s">
        <v>81</v>
      </c>
      <c r="C91" s="74" t="s">
        <v>51</v>
      </c>
      <c r="D91" s="74" t="s">
        <v>6396</v>
      </c>
      <c r="E91" s="74" t="s">
        <v>6395</v>
      </c>
    </row>
    <row r="92" spans="1:5">
      <c r="A92" s="72" t="s">
        <v>1692</v>
      </c>
      <c r="B92" s="73" t="s">
        <v>83</v>
      </c>
      <c r="C92" s="74" t="s">
        <v>51</v>
      </c>
      <c r="D92" s="74" t="s">
        <v>6396</v>
      </c>
      <c r="E92" s="74" t="s">
        <v>6395</v>
      </c>
    </row>
    <row r="93" spans="1:5">
      <c r="A93" s="72" t="s">
        <v>1708</v>
      </c>
      <c r="B93" s="74" t="s">
        <v>1709</v>
      </c>
      <c r="C93" s="74" t="s">
        <v>1710</v>
      </c>
      <c r="D93" s="74" t="s">
        <v>6396</v>
      </c>
      <c r="E93" s="74" t="s">
        <v>6395</v>
      </c>
    </row>
    <row r="94" spans="1:5">
      <c r="A94" s="72" t="s">
        <v>1726</v>
      </c>
      <c r="B94" s="74" t="s">
        <v>1727</v>
      </c>
      <c r="C94" s="74" t="s">
        <v>742</v>
      </c>
      <c r="D94" s="74" t="s">
        <v>6396</v>
      </c>
      <c r="E94" s="74" t="s">
        <v>6395</v>
      </c>
    </row>
    <row r="95" spans="1:5">
      <c r="A95" s="72" t="s">
        <v>1756</v>
      </c>
      <c r="B95" s="74" t="s">
        <v>1757</v>
      </c>
      <c r="C95" s="74" t="s">
        <v>650</v>
      </c>
      <c r="D95" s="74" t="s">
        <v>6396</v>
      </c>
      <c r="E95" s="74" t="s">
        <v>6395</v>
      </c>
    </row>
    <row r="96" spans="1:5">
      <c r="A96" s="72" t="s">
        <v>1764</v>
      </c>
      <c r="B96" s="74" t="s">
        <v>1765</v>
      </c>
      <c r="C96" s="74" t="s">
        <v>1766</v>
      </c>
      <c r="D96" s="74" t="s">
        <v>6396</v>
      </c>
      <c r="E96" s="74" t="s">
        <v>6395</v>
      </c>
    </row>
    <row r="97" spans="1:6">
      <c r="A97" s="72" t="s">
        <v>1786</v>
      </c>
      <c r="B97" s="74" t="s">
        <v>1787</v>
      </c>
      <c r="C97" s="74" t="s">
        <v>1788</v>
      </c>
      <c r="D97" s="74" t="s">
        <v>6396</v>
      </c>
      <c r="E97" s="74" t="s">
        <v>1611</v>
      </c>
    </row>
    <row r="98" spans="1:6">
      <c r="A98" s="72" t="s">
        <v>1827</v>
      </c>
      <c r="B98" s="73" t="s">
        <v>105</v>
      </c>
      <c r="C98" s="74" t="s">
        <v>51</v>
      </c>
      <c r="D98" s="74" t="s">
        <v>6396</v>
      </c>
      <c r="E98" s="74" t="s">
        <v>6395</v>
      </c>
      <c r="F98" s="76" t="s">
        <v>10273</v>
      </c>
    </row>
    <row r="99" spans="1:6">
      <c r="A99" s="72" t="s">
        <v>1830</v>
      </c>
      <c r="B99" s="73" t="s">
        <v>79</v>
      </c>
      <c r="C99" s="74" t="s">
        <v>51</v>
      </c>
      <c r="D99" s="74" t="s">
        <v>6396</v>
      </c>
      <c r="E99" s="74" t="s">
        <v>6395</v>
      </c>
      <c r="F99" s="76" t="s">
        <v>10273</v>
      </c>
    </row>
    <row r="100" spans="1:6">
      <c r="A100" s="72" t="s">
        <v>1837</v>
      </c>
      <c r="B100" s="74" t="s">
        <v>1838</v>
      </c>
      <c r="C100" s="74" t="s">
        <v>1839</v>
      </c>
      <c r="D100" s="74" t="s">
        <v>6396</v>
      </c>
      <c r="E100" s="74" t="s">
        <v>8756</v>
      </c>
    </row>
    <row r="101" spans="1:6">
      <c r="A101" s="72" t="s">
        <v>1880</v>
      </c>
      <c r="B101" s="74" t="s">
        <v>1881</v>
      </c>
      <c r="C101" s="74" t="s">
        <v>1882</v>
      </c>
      <c r="D101" s="74" t="s">
        <v>6489</v>
      </c>
      <c r="E101" s="74" t="s">
        <v>6395</v>
      </c>
    </row>
    <row r="102" spans="1:6">
      <c r="A102" s="72" t="s">
        <v>1886</v>
      </c>
      <c r="B102" s="74" t="s">
        <v>1887</v>
      </c>
      <c r="C102" s="74" t="s">
        <v>1888</v>
      </c>
      <c r="D102" s="74" t="s">
        <v>6396</v>
      </c>
      <c r="E102" s="74" t="s">
        <v>6395</v>
      </c>
    </row>
    <row r="103" spans="1:6">
      <c r="A103" s="72" t="s">
        <v>1890</v>
      </c>
      <c r="B103" s="74" t="s">
        <v>283</v>
      </c>
      <c r="C103" s="74" t="s">
        <v>1891</v>
      </c>
      <c r="D103" s="74" t="s">
        <v>6480</v>
      </c>
      <c r="E103" s="74" t="s">
        <v>8756</v>
      </c>
    </row>
    <row r="104" spans="1:6">
      <c r="A104" s="72" t="s">
        <v>1895</v>
      </c>
      <c r="B104" s="74" t="s">
        <v>1896</v>
      </c>
      <c r="C104" s="74" t="s">
        <v>1897</v>
      </c>
      <c r="D104" s="74" t="s">
        <v>6396</v>
      </c>
      <c r="E104" s="74" t="s">
        <v>6395</v>
      </c>
    </row>
    <row r="105" spans="1:6">
      <c r="A105" s="72" t="s">
        <v>1900</v>
      </c>
      <c r="B105" s="74" t="s">
        <v>1901</v>
      </c>
      <c r="C105" s="74" t="s">
        <v>498</v>
      </c>
      <c r="D105" s="74" t="s">
        <v>6396</v>
      </c>
      <c r="E105" s="74" t="s">
        <v>6395</v>
      </c>
    </row>
    <row r="106" spans="1:6">
      <c r="A106" s="72" t="s">
        <v>1905</v>
      </c>
      <c r="B106" s="74" t="s">
        <v>1906</v>
      </c>
      <c r="C106" s="74" t="s">
        <v>1907</v>
      </c>
      <c r="D106" s="74" t="s">
        <v>6396</v>
      </c>
      <c r="E106" s="74" t="s">
        <v>6395</v>
      </c>
    </row>
    <row r="107" spans="1:6">
      <c r="A107" s="72" t="s">
        <v>1931</v>
      </c>
      <c r="B107" s="74" t="s">
        <v>1932</v>
      </c>
      <c r="C107" s="74" t="s">
        <v>1933</v>
      </c>
      <c r="D107" s="74" t="s">
        <v>6396</v>
      </c>
      <c r="E107" s="74" t="s">
        <v>8756</v>
      </c>
    </row>
    <row r="108" spans="1:6">
      <c r="A108" s="72" t="s">
        <v>1937</v>
      </c>
      <c r="B108" s="73" t="s">
        <v>85</v>
      </c>
      <c r="C108" s="74" t="s">
        <v>51</v>
      </c>
      <c r="D108" s="74" t="s">
        <v>6396</v>
      </c>
      <c r="E108" s="74" t="s">
        <v>6395</v>
      </c>
      <c r="F108" s="76" t="s">
        <v>10273</v>
      </c>
    </row>
    <row r="109" spans="1:6">
      <c r="A109" s="72" t="s">
        <v>1939</v>
      </c>
      <c r="B109" s="74" t="s">
        <v>1940</v>
      </c>
      <c r="C109" s="74" t="s">
        <v>1372</v>
      </c>
      <c r="D109" s="74" t="s">
        <v>6396</v>
      </c>
      <c r="E109" s="74" t="s">
        <v>6432</v>
      </c>
    </row>
    <row r="110" spans="1:6">
      <c r="A110" s="72" t="s">
        <v>1948</v>
      </c>
      <c r="B110" s="74" t="s">
        <v>1949</v>
      </c>
      <c r="C110" s="74" t="s">
        <v>1950</v>
      </c>
      <c r="D110" s="74" t="s">
        <v>6396</v>
      </c>
      <c r="E110" s="74" t="s">
        <v>6871</v>
      </c>
      <c r="F110" s="76" t="s">
        <v>10280</v>
      </c>
    </row>
    <row r="111" spans="1:6">
      <c r="A111" s="72" t="s">
        <v>1964</v>
      </c>
      <c r="B111" s="74" t="s">
        <v>1965</v>
      </c>
      <c r="C111" s="74" t="s">
        <v>1966</v>
      </c>
      <c r="D111" s="74" t="s">
        <v>6489</v>
      </c>
      <c r="E111" s="74" t="s">
        <v>6395</v>
      </c>
      <c r="F111" s="76" t="s">
        <v>10276</v>
      </c>
    </row>
    <row r="112" spans="1:6">
      <c r="A112" s="72" t="s">
        <v>1988</v>
      </c>
      <c r="B112" s="74" t="s">
        <v>1989</v>
      </c>
      <c r="C112" s="74" t="s">
        <v>1990</v>
      </c>
      <c r="D112" s="74" t="s">
        <v>6396</v>
      </c>
      <c r="E112" s="74" t="s">
        <v>6395</v>
      </c>
    </row>
    <row r="113" spans="1:6">
      <c r="A113" s="72" t="s">
        <v>2000</v>
      </c>
      <c r="B113" s="74" t="s">
        <v>2001</v>
      </c>
      <c r="C113" s="74" t="s">
        <v>2002</v>
      </c>
      <c r="D113" s="74" t="s">
        <v>6396</v>
      </c>
      <c r="E113" s="74" t="s">
        <v>6395</v>
      </c>
    </row>
    <row r="114" spans="1:6">
      <c r="A114" s="72" t="s">
        <v>2023</v>
      </c>
      <c r="B114" s="74" t="s">
        <v>2024</v>
      </c>
      <c r="C114" s="74" t="s">
        <v>2025</v>
      </c>
      <c r="D114" s="74" t="s">
        <v>6489</v>
      </c>
      <c r="E114" s="74" t="s">
        <v>6395</v>
      </c>
    </row>
    <row r="115" spans="1:6">
      <c r="A115" s="72" t="s">
        <v>2041</v>
      </c>
      <c r="B115" s="74" t="s">
        <v>2042</v>
      </c>
      <c r="C115" s="74" t="s">
        <v>2043</v>
      </c>
      <c r="D115" s="74" t="s">
        <v>6396</v>
      </c>
      <c r="E115" s="74" t="s">
        <v>6395</v>
      </c>
    </row>
    <row r="116" spans="1:6">
      <c r="A116" s="72" t="s">
        <v>2081</v>
      </c>
      <c r="B116" s="74" t="s">
        <v>2082</v>
      </c>
      <c r="C116" s="74" t="s">
        <v>2083</v>
      </c>
      <c r="D116" s="74" t="s">
        <v>6396</v>
      </c>
      <c r="E116" s="74" t="s">
        <v>6395</v>
      </c>
    </row>
    <row r="117" spans="1:6">
      <c r="A117" s="72" t="s">
        <v>2109</v>
      </c>
      <c r="B117" s="74" t="s">
        <v>2110</v>
      </c>
      <c r="C117" s="74" t="s">
        <v>2111</v>
      </c>
      <c r="D117" s="74" t="s">
        <v>6396</v>
      </c>
      <c r="E117" s="74" t="s">
        <v>6395</v>
      </c>
      <c r="F117" s="76" t="s">
        <v>10281</v>
      </c>
    </row>
    <row r="118" spans="1:6">
      <c r="A118" s="72" t="s">
        <v>2125</v>
      </c>
      <c r="B118" s="74" t="s">
        <v>2126</v>
      </c>
      <c r="C118" s="74" t="s">
        <v>2127</v>
      </c>
      <c r="D118" s="74" t="s">
        <v>6489</v>
      </c>
      <c r="E118" s="74" t="s">
        <v>6395</v>
      </c>
    </row>
    <row r="119" spans="1:6">
      <c r="A119" s="72" t="s">
        <v>2145</v>
      </c>
      <c r="B119" s="74" t="s">
        <v>2146</v>
      </c>
      <c r="C119" s="74" t="s">
        <v>2147</v>
      </c>
      <c r="D119" s="74" t="s">
        <v>6396</v>
      </c>
      <c r="E119" s="74" t="s">
        <v>6395</v>
      </c>
    </row>
    <row r="120" spans="1:6">
      <c r="A120" s="72" t="s">
        <v>2154</v>
      </c>
      <c r="B120" s="74" t="s">
        <v>2155</v>
      </c>
      <c r="C120" s="74" t="s">
        <v>2156</v>
      </c>
      <c r="D120" s="74" t="s">
        <v>6396</v>
      </c>
      <c r="E120" s="74" t="s">
        <v>6395</v>
      </c>
    </row>
    <row r="121" spans="1:6">
      <c r="A121" s="72" t="s">
        <v>2165</v>
      </c>
      <c r="B121" s="73" t="s">
        <v>73</v>
      </c>
      <c r="C121" s="74" t="s">
        <v>51</v>
      </c>
      <c r="D121" s="74" t="s">
        <v>6396</v>
      </c>
      <c r="E121" s="74" t="s">
        <v>6395</v>
      </c>
    </row>
    <row r="122" spans="1:6">
      <c r="A122" s="72" t="s">
        <v>2196</v>
      </c>
      <c r="B122" s="74" t="s">
        <v>2197</v>
      </c>
      <c r="C122" s="74" t="s">
        <v>2198</v>
      </c>
      <c r="D122" s="74" t="s">
        <v>6396</v>
      </c>
      <c r="E122" s="74" t="s">
        <v>6395</v>
      </c>
    </row>
    <row r="123" spans="1:6">
      <c r="A123" s="72" t="s">
        <v>2309</v>
      </c>
      <c r="B123" s="74" t="s">
        <v>2310</v>
      </c>
      <c r="C123" s="74" t="s">
        <v>2311</v>
      </c>
      <c r="D123" s="74" t="s">
        <v>6396</v>
      </c>
      <c r="E123" s="74" t="s">
        <v>6395</v>
      </c>
    </row>
    <row r="124" spans="1:6">
      <c r="A124" s="72" t="s">
        <v>2316</v>
      </c>
      <c r="B124" s="74" t="s">
        <v>2317</v>
      </c>
      <c r="C124" s="74" t="s">
        <v>1783</v>
      </c>
      <c r="D124" s="74" t="s">
        <v>6396</v>
      </c>
      <c r="E124" s="74" t="s">
        <v>6395</v>
      </c>
    </row>
    <row r="125" spans="1:6">
      <c r="A125" s="72" t="s">
        <v>2332</v>
      </c>
      <c r="B125" s="74" t="s">
        <v>2333</v>
      </c>
      <c r="C125" s="74" t="s">
        <v>2334</v>
      </c>
      <c r="D125" s="74" t="s">
        <v>6396</v>
      </c>
      <c r="E125" s="74" t="s">
        <v>6395</v>
      </c>
      <c r="F125" s="76" t="s">
        <v>10278</v>
      </c>
    </row>
    <row r="126" spans="1:6">
      <c r="A126" s="72" t="s">
        <v>2337</v>
      </c>
      <c r="B126" s="74" t="s">
        <v>2338</v>
      </c>
      <c r="C126" s="74" t="s">
        <v>2339</v>
      </c>
      <c r="D126" s="74" t="s">
        <v>6396</v>
      </c>
      <c r="E126" s="74" t="s">
        <v>6479</v>
      </c>
    </row>
    <row r="127" spans="1:6">
      <c r="A127" s="72" t="s">
        <v>2341</v>
      </c>
      <c r="B127" s="74" t="s">
        <v>2342</v>
      </c>
      <c r="C127" s="74" t="s">
        <v>2343</v>
      </c>
      <c r="D127" s="74" t="s">
        <v>8520</v>
      </c>
      <c r="E127" s="74" t="s">
        <v>10227</v>
      </c>
    </row>
    <row r="128" spans="1:6">
      <c r="A128" s="72" t="s">
        <v>2347</v>
      </c>
      <c r="B128" s="74" t="s">
        <v>2348</v>
      </c>
      <c r="C128" s="74" t="s">
        <v>2349</v>
      </c>
      <c r="D128" s="74" t="s">
        <v>6396</v>
      </c>
      <c r="E128" s="74" t="s">
        <v>6395</v>
      </c>
    </row>
    <row r="129" spans="1:6">
      <c r="A129" s="72" t="s">
        <v>2358</v>
      </c>
      <c r="B129" s="74" t="s">
        <v>2359</v>
      </c>
      <c r="C129" s="74" t="s">
        <v>2272</v>
      </c>
      <c r="D129" s="74" t="s">
        <v>6396</v>
      </c>
      <c r="E129" s="74" t="s">
        <v>6395</v>
      </c>
    </row>
    <row r="130" spans="1:6">
      <c r="A130" s="72" t="s">
        <v>2422</v>
      </c>
      <c r="B130" s="74" t="s">
        <v>2423</v>
      </c>
      <c r="C130" s="74" t="s">
        <v>2424</v>
      </c>
      <c r="D130" s="74" t="s">
        <v>6396</v>
      </c>
      <c r="E130" s="74" t="s">
        <v>10265</v>
      </c>
    </row>
    <row r="131" spans="1:6">
      <c r="A131" s="72" t="s">
        <v>2428</v>
      </c>
      <c r="B131" s="74" t="s">
        <v>1153</v>
      </c>
      <c r="C131" s="74" t="s">
        <v>727</v>
      </c>
      <c r="D131" s="74" t="s">
        <v>6396</v>
      </c>
      <c r="E131" s="74" t="s">
        <v>1611</v>
      </c>
      <c r="F131" s="72" t="s">
        <v>8286</v>
      </c>
    </row>
    <row r="132" spans="1:6">
      <c r="A132" s="72" t="s">
        <v>2442</v>
      </c>
      <c r="B132" s="74" t="s">
        <v>2443</v>
      </c>
      <c r="C132" s="74" t="s">
        <v>2444</v>
      </c>
      <c r="D132" s="74" t="s">
        <v>6396</v>
      </c>
      <c r="E132" s="74" t="s">
        <v>6395</v>
      </c>
    </row>
    <row r="133" spans="1:6">
      <c r="A133" s="72" t="s">
        <v>2463</v>
      </c>
      <c r="B133" s="74" t="s">
        <v>2464</v>
      </c>
      <c r="C133" s="74" t="s">
        <v>2465</v>
      </c>
      <c r="D133" s="74" t="s">
        <v>6396</v>
      </c>
      <c r="E133" s="74" t="s">
        <v>6395</v>
      </c>
    </row>
    <row r="134" spans="1:6">
      <c r="A134" s="72" t="s">
        <v>2502</v>
      </c>
      <c r="B134" s="74" t="s">
        <v>2503</v>
      </c>
      <c r="C134" s="74" t="s">
        <v>1675</v>
      </c>
      <c r="D134" s="74" t="s">
        <v>6396</v>
      </c>
      <c r="E134" s="74" t="s">
        <v>6395</v>
      </c>
    </row>
    <row r="135" spans="1:6">
      <c r="A135" s="72" t="s">
        <v>2672</v>
      </c>
      <c r="B135" s="74" t="s">
        <v>10264</v>
      </c>
      <c r="C135" s="74" t="s">
        <v>2674</v>
      </c>
      <c r="D135" s="74" t="s">
        <v>6396</v>
      </c>
      <c r="E135" s="74" t="s">
        <v>10266</v>
      </c>
    </row>
    <row r="136" spans="1:6">
      <c r="A136" s="72" t="s">
        <v>2705</v>
      </c>
      <c r="B136" s="74" t="s">
        <v>2706</v>
      </c>
      <c r="C136" s="74" t="s">
        <v>2707</v>
      </c>
      <c r="D136" s="74" t="s">
        <v>6396</v>
      </c>
      <c r="E136" s="74" t="s">
        <v>6395</v>
      </c>
    </row>
    <row r="137" spans="1:6">
      <c r="A137" s="72" t="s">
        <v>2715</v>
      </c>
      <c r="B137" s="74" t="s">
        <v>2716</v>
      </c>
      <c r="C137" s="74" t="s">
        <v>215</v>
      </c>
      <c r="D137" s="74" t="s">
        <v>6396</v>
      </c>
      <c r="E137" s="74" t="s">
        <v>6395</v>
      </c>
    </row>
    <row r="138" spans="1:6">
      <c r="A138" s="72" t="s">
        <v>2720</v>
      </c>
      <c r="B138" s="74" t="s">
        <v>2721</v>
      </c>
      <c r="C138" s="74" t="s">
        <v>215</v>
      </c>
      <c r="D138" s="74" t="s">
        <v>6396</v>
      </c>
      <c r="E138" s="74" t="s">
        <v>6395</v>
      </c>
    </row>
    <row r="139" spans="1:6">
      <c r="A139" s="72" t="s">
        <v>2725</v>
      </c>
      <c r="B139" s="74" t="s">
        <v>3046</v>
      </c>
      <c r="C139" s="74" t="s">
        <v>2727</v>
      </c>
      <c r="D139" s="74" t="s">
        <v>8520</v>
      </c>
      <c r="E139" s="74" t="s">
        <v>10227</v>
      </c>
    </row>
    <row r="140" spans="1:6">
      <c r="A140" s="72" t="s">
        <v>2755</v>
      </c>
      <c r="B140" s="74" t="s">
        <v>2756</v>
      </c>
      <c r="C140" s="74" t="s">
        <v>2757</v>
      </c>
      <c r="D140" s="74" t="s">
        <v>6396</v>
      </c>
      <c r="E140" s="74" t="s">
        <v>6395</v>
      </c>
    </row>
    <row r="141" spans="1:6">
      <c r="A141" s="72" t="s">
        <v>2771</v>
      </c>
      <c r="B141" s="74" t="s">
        <v>1949</v>
      </c>
      <c r="C141" s="74" t="s">
        <v>1950</v>
      </c>
      <c r="D141" s="74" t="s">
        <v>6396</v>
      </c>
      <c r="E141" s="74" t="s">
        <v>6871</v>
      </c>
      <c r="F141" s="76" t="s">
        <v>10280</v>
      </c>
    </row>
    <row r="142" spans="1:6">
      <c r="A142" s="72" t="s">
        <v>2790</v>
      </c>
      <c r="B142" s="74" t="s">
        <v>2791</v>
      </c>
      <c r="C142" s="74" t="s">
        <v>2792</v>
      </c>
      <c r="D142" s="74" t="s">
        <v>6489</v>
      </c>
      <c r="E142" s="74" t="s">
        <v>6395</v>
      </c>
    </row>
    <row r="143" spans="1:6">
      <c r="A143" s="72" t="s">
        <v>2796</v>
      </c>
      <c r="B143" s="74" t="s">
        <v>2797</v>
      </c>
      <c r="C143" s="74" t="s">
        <v>2798</v>
      </c>
      <c r="D143" s="74" t="s">
        <v>6396</v>
      </c>
      <c r="E143" s="74" t="s">
        <v>6395</v>
      </c>
      <c r="F143" s="76" t="s">
        <v>10277</v>
      </c>
    </row>
    <row r="144" spans="1:6">
      <c r="A144" s="72" t="s">
        <v>2802</v>
      </c>
      <c r="B144" s="74" t="s">
        <v>2803</v>
      </c>
      <c r="C144" s="74" t="s">
        <v>650</v>
      </c>
      <c r="D144" s="74" t="s">
        <v>6396</v>
      </c>
      <c r="E144" s="74" t="s">
        <v>6395</v>
      </c>
    </row>
    <row r="145" spans="1:6">
      <c r="A145" s="72" t="s">
        <v>2907</v>
      </c>
      <c r="B145" s="74" t="s">
        <v>2908</v>
      </c>
      <c r="C145" s="74" t="s">
        <v>1372</v>
      </c>
      <c r="D145" s="74" t="s">
        <v>6396</v>
      </c>
      <c r="E145" s="74" t="s">
        <v>6395</v>
      </c>
    </row>
    <row r="146" spans="1:6">
      <c r="A146" s="72" t="s">
        <v>2944</v>
      </c>
      <c r="B146" s="74" t="s">
        <v>2945</v>
      </c>
      <c r="C146" s="74" t="s">
        <v>2946</v>
      </c>
      <c r="D146" s="74" t="s">
        <v>6396</v>
      </c>
      <c r="E146" s="74" t="s">
        <v>6395</v>
      </c>
    </row>
    <row r="147" spans="1:6">
      <c r="A147" s="72" t="s">
        <v>2950</v>
      </c>
      <c r="B147" s="74" t="s">
        <v>2951</v>
      </c>
      <c r="C147" s="74" t="s">
        <v>742</v>
      </c>
      <c r="D147" s="74" t="s">
        <v>6396</v>
      </c>
      <c r="E147" s="74" t="s">
        <v>6395</v>
      </c>
    </row>
    <row r="148" spans="1:6">
      <c r="A148" s="72" t="s">
        <v>2978</v>
      </c>
      <c r="B148" s="74" t="s">
        <v>2979</v>
      </c>
      <c r="C148" s="74" t="s">
        <v>2980</v>
      </c>
      <c r="D148" s="74" t="s">
        <v>6396</v>
      </c>
      <c r="E148" s="74" t="s">
        <v>6395</v>
      </c>
    </row>
    <row r="149" spans="1:6">
      <c r="A149" s="72" t="s">
        <v>2984</v>
      </c>
      <c r="B149" s="74" t="s">
        <v>2985</v>
      </c>
      <c r="C149" s="74" t="s">
        <v>558</v>
      </c>
      <c r="D149" s="74" t="s">
        <v>6396</v>
      </c>
      <c r="E149" s="74" t="s">
        <v>6395</v>
      </c>
    </row>
    <row r="150" spans="1:6">
      <c r="A150" s="72" t="s">
        <v>2990</v>
      </c>
      <c r="B150" s="74" t="s">
        <v>2991</v>
      </c>
      <c r="C150" s="74" t="s">
        <v>2992</v>
      </c>
      <c r="D150" s="74" t="s">
        <v>6489</v>
      </c>
      <c r="E150" s="74" t="s">
        <v>6395</v>
      </c>
    </row>
    <row r="151" spans="1:6">
      <c r="A151" s="72" t="s">
        <v>3009</v>
      </c>
      <c r="B151" s="74" t="s">
        <v>3010</v>
      </c>
      <c r="C151" s="74" t="s">
        <v>3011</v>
      </c>
      <c r="D151" s="74" t="s">
        <v>6396</v>
      </c>
      <c r="E151" s="74" t="s">
        <v>6395</v>
      </c>
      <c r="F151" s="76" t="s">
        <v>10282</v>
      </c>
    </row>
    <row r="152" spans="1:6">
      <c r="A152" s="72" t="s">
        <v>3023</v>
      </c>
      <c r="B152" s="74" t="s">
        <v>3024</v>
      </c>
      <c r="C152" s="74" t="s">
        <v>3025</v>
      </c>
      <c r="D152" s="74" t="s">
        <v>6396</v>
      </c>
      <c r="E152" s="74" t="s">
        <v>6395</v>
      </c>
      <c r="F152" s="76" t="s">
        <v>10277</v>
      </c>
    </row>
    <row r="153" spans="1:6">
      <c r="A153" s="72" t="s">
        <v>3029</v>
      </c>
      <c r="B153" s="74" t="s">
        <v>3030</v>
      </c>
      <c r="C153" s="74" t="s">
        <v>3031</v>
      </c>
      <c r="D153" s="74" t="s">
        <v>6396</v>
      </c>
      <c r="E153" s="74" t="s">
        <v>6395</v>
      </c>
    </row>
    <row r="154" spans="1:6">
      <c r="A154" s="72" t="s">
        <v>3045</v>
      </c>
      <c r="B154" s="74" t="s">
        <v>3046</v>
      </c>
      <c r="C154" s="74" t="s">
        <v>670</v>
      </c>
      <c r="D154" s="74" t="s">
        <v>8520</v>
      </c>
      <c r="E154" s="74" t="s">
        <v>10227</v>
      </c>
    </row>
    <row r="155" spans="1:6">
      <c r="A155" s="72" t="s">
        <v>3062</v>
      </c>
      <c r="B155" s="74" t="s">
        <v>3063</v>
      </c>
      <c r="C155" s="74" t="s">
        <v>3064</v>
      </c>
      <c r="D155" s="74" t="s">
        <v>6396</v>
      </c>
      <c r="E155" s="74" t="s">
        <v>6395</v>
      </c>
    </row>
    <row r="156" spans="1:6">
      <c r="A156" s="72" t="s">
        <v>3067</v>
      </c>
      <c r="B156" s="74" t="s">
        <v>3068</v>
      </c>
      <c r="C156" s="74" t="s">
        <v>3069</v>
      </c>
      <c r="D156" s="74" t="s">
        <v>6396</v>
      </c>
      <c r="E156" s="74" t="s">
        <v>6395</v>
      </c>
    </row>
    <row r="157" spans="1:6">
      <c r="A157" s="72" t="s">
        <v>3073</v>
      </c>
      <c r="B157" s="74" t="s">
        <v>3074</v>
      </c>
      <c r="C157" s="74" t="s">
        <v>498</v>
      </c>
      <c r="D157" s="74" t="s">
        <v>6396</v>
      </c>
      <c r="E157" s="74" t="s">
        <v>6395</v>
      </c>
    </row>
    <row r="158" spans="1:6">
      <c r="A158" s="72" t="s">
        <v>3078</v>
      </c>
      <c r="B158" s="74" t="s">
        <v>3079</v>
      </c>
      <c r="C158" s="74" t="s">
        <v>3080</v>
      </c>
      <c r="D158" s="74" t="s">
        <v>6396</v>
      </c>
      <c r="E158" s="74" t="s">
        <v>6395</v>
      </c>
      <c r="F158" s="76" t="s">
        <v>10283</v>
      </c>
    </row>
    <row r="159" spans="1:6">
      <c r="A159" s="72" t="s">
        <v>3089</v>
      </c>
      <c r="B159" s="74" t="s">
        <v>3090</v>
      </c>
      <c r="C159" s="74" t="s">
        <v>1366</v>
      </c>
      <c r="D159" s="74" t="s">
        <v>6396</v>
      </c>
      <c r="E159" s="74" t="s">
        <v>6395</v>
      </c>
    </row>
    <row r="160" spans="1:6">
      <c r="A160" s="72" t="s">
        <v>3099</v>
      </c>
      <c r="B160" s="74" t="s">
        <v>3100</v>
      </c>
      <c r="C160" s="74" t="s">
        <v>3101</v>
      </c>
      <c r="D160" s="74" t="s">
        <v>6480</v>
      </c>
      <c r="E160" s="74" t="s">
        <v>8756</v>
      </c>
    </row>
    <row r="161" spans="1:7">
      <c r="A161" s="72" t="s">
        <v>3111</v>
      </c>
      <c r="B161" s="74" t="s">
        <v>3112</v>
      </c>
      <c r="C161" s="74" t="s">
        <v>1331</v>
      </c>
      <c r="D161" s="74" t="s">
        <v>6396</v>
      </c>
      <c r="E161" s="74" t="s">
        <v>6678</v>
      </c>
    </row>
    <row r="162" spans="1:7">
      <c r="A162" s="72" t="s">
        <v>3119</v>
      </c>
      <c r="B162" s="74" t="s">
        <v>3120</v>
      </c>
      <c r="C162" s="74" t="s">
        <v>1331</v>
      </c>
      <c r="D162" s="74" t="s">
        <v>6396</v>
      </c>
      <c r="E162" s="74" t="s">
        <v>6678</v>
      </c>
    </row>
    <row r="163" spans="1:7">
      <c r="A163" s="72" t="s">
        <v>3124</v>
      </c>
      <c r="B163" s="74" t="s">
        <v>3125</v>
      </c>
      <c r="C163" s="74" t="s">
        <v>3126</v>
      </c>
      <c r="D163" s="74" t="s">
        <v>6396</v>
      </c>
      <c r="E163" s="74" t="s">
        <v>6395</v>
      </c>
      <c r="F163" s="76" t="s">
        <v>10282</v>
      </c>
    </row>
    <row r="164" spans="1:7">
      <c r="A164" s="72" t="s">
        <v>3130</v>
      </c>
      <c r="B164" s="74" t="s">
        <v>3131</v>
      </c>
      <c r="C164" s="74" t="s">
        <v>3132</v>
      </c>
      <c r="D164" s="74" t="s">
        <v>6396</v>
      </c>
      <c r="E164" s="74" t="s">
        <v>6395</v>
      </c>
      <c r="F164" s="76" t="s">
        <v>10284</v>
      </c>
    </row>
    <row r="165" spans="1:7">
      <c r="A165" s="72" t="s">
        <v>3135</v>
      </c>
      <c r="B165" s="74" t="s">
        <v>3136</v>
      </c>
      <c r="C165" s="74" t="s">
        <v>3137</v>
      </c>
      <c r="D165" s="74" t="s">
        <v>6396</v>
      </c>
      <c r="E165" s="74" t="s">
        <v>6395</v>
      </c>
    </row>
    <row r="166" spans="1:7">
      <c r="A166" s="72" t="s">
        <v>3160</v>
      </c>
      <c r="B166" s="74" t="s">
        <v>3161</v>
      </c>
      <c r="C166" s="74" t="s">
        <v>3162</v>
      </c>
      <c r="D166" s="74" t="s">
        <v>6396</v>
      </c>
      <c r="E166" s="74" t="s">
        <v>6395</v>
      </c>
    </row>
    <row r="167" spans="1:7">
      <c r="A167" s="72" t="s">
        <v>3171</v>
      </c>
      <c r="B167" s="74" t="s">
        <v>3172</v>
      </c>
      <c r="C167" s="74" t="s">
        <v>517</v>
      </c>
      <c r="D167" s="74" t="s">
        <v>6396</v>
      </c>
      <c r="E167" s="74" t="s">
        <v>6678</v>
      </c>
    </row>
    <row r="168" spans="1:7">
      <c r="A168" s="72" t="s">
        <v>3187</v>
      </c>
      <c r="B168" s="74" t="s">
        <v>3188</v>
      </c>
      <c r="C168" s="74" t="s">
        <v>3189</v>
      </c>
      <c r="D168" s="74" t="s">
        <v>6396</v>
      </c>
      <c r="E168" s="74" t="s">
        <v>6678</v>
      </c>
    </row>
    <row r="169" spans="1:7">
      <c r="A169" s="72" t="s">
        <v>3196</v>
      </c>
      <c r="B169" s="74" t="s">
        <v>3197</v>
      </c>
      <c r="C169" s="74" t="s">
        <v>3198</v>
      </c>
      <c r="D169" s="74" t="s">
        <v>6396</v>
      </c>
      <c r="E169" s="74" t="s">
        <v>6395</v>
      </c>
    </row>
    <row r="170" spans="1:7">
      <c r="A170" s="72" t="s">
        <v>3201</v>
      </c>
      <c r="B170" s="74" t="s">
        <v>3202</v>
      </c>
      <c r="C170" s="74" t="s">
        <v>3203</v>
      </c>
      <c r="D170" s="74" t="s">
        <v>6542</v>
      </c>
      <c r="E170" s="74" t="s">
        <v>6395</v>
      </c>
    </row>
    <row r="171" spans="1:7">
      <c r="A171" s="72" t="s">
        <v>3214</v>
      </c>
      <c r="B171" s="74" t="s">
        <v>139</v>
      </c>
      <c r="C171" s="74" t="s">
        <v>140</v>
      </c>
      <c r="D171" s="74" t="s">
        <v>6396</v>
      </c>
      <c r="E171" s="74" t="s">
        <v>6395</v>
      </c>
    </row>
    <row r="172" spans="1:7">
      <c r="A172" s="72" t="s">
        <v>3225</v>
      </c>
      <c r="B172" s="74" t="s">
        <v>3120</v>
      </c>
      <c r="C172" s="74" t="s">
        <v>1331</v>
      </c>
      <c r="D172" s="74" t="s">
        <v>6396</v>
      </c>
      <c r="E172" s="74" t="s">
        <v>6678</v>
      </c>
    </row>
    <row r="173" spans="1:7">
      <c r="A173" s="72" t="s">
        <v>3234</v>
      </c>
      <c r="B173" s="74" t="s">
        <v>3234</v>
      </c>
      <c r="C173" s="74" t="s">
        <v>3235</v>
      </c>
      <c r="D173" s="74" t="s">
        <v>6396</v>
      </c>
      <c r="E173" s="74" t="s">
        <v>6395</v>
      </c>
    </row>
    <row r="174" spans="1:7">
      <c r="A174" s="72" t="s">
        <v>3246</v>
      </c>
      <c r="B174" s="74" t="s">
        <v>3247</v>
      </c>
      <c r="C174" s="74" t="s">
        <v>3248</v>
      </c>
      <c r="D174" s="74" t="s">
        <v>6396</v>
      </c>
      <c r="E174" s="74" t="s">
        <v>6395</v>
      </c>
    </row>
    <row r="175" spans="1:7">
      <c r="A175" s="72" t="s">
        <v>3271</v>
      </c>
      <c r="B175" s="74" t="s">
        <v>3271</v>
      </c>
      <c r="C175" s="74" t="s">
        <v>2733</v>
      </c>
      <c r="D175" s="74" t="s">
        <v>6396</v>
      </c>
      <c r="E175" s="74" t="s">
        <v>6395</v>
      </c>
    </row>
    <row r="176" spans="1:7">
      <c r="A176" s="72" t="s">
        <v>3272</v>
      </c>
      <c r="B176" s="74" t="s">
        <v>10285</v>
      </c>
      <c r="C176" s="74" t="s">
        <v>3274</v>
      </c>
      <c r="D176" s="74" t="s">
        <v>6396</v>
      </c>
      <c r="E176" s="74" t="s">
        <v>6395</v>
      </c>
      <c r="F176" s="76" t="s">
        <v>10274</v>
      </c>
      <c r="G176" s="76" t="s">
        <v>10286</v>
      </c>
    </row>
    <row r="177" spans="1:7">
      <c r="A177" s="72" t="s">
        <v>3282</v>
      </c>
      <c r="B177" s="74" t="s">
        <v>3283</v>
      </c>
      <c r="C177" s="74" t="s">
        <v>3189</v>
      </c>
      <c r="D177" s="74" t="s">
        <v>6396</v>
      </c>
      <c r="E177" s="74" t="s">
        <v>6395</v>
      </c>
    </row>
    <row r="178" spans="1:7">
      <c r="A178" s="72" t="s">
        <v>3309</v>
      </c>
      <c r="B178" s="74" t="s">
        <v>3310</v>
      </c>
      <c r="C178" s="74" t="s">
        <v>2334</v>
      </c>
      <c r="D178" s="74" t="s">
        <v>6396</v>
      </c>
      <c r="E178" s="74" t="s">
        <v>6395</v>
      </c>
    </row>
    <row r="179" spans="1:7">
      <c r="A179" s="72" t="s">
        <v>3314</v>
      </c>
      <c r="B179" s="74" t="s">
        <v>3123</v>
      </c>
      <c r="C179" s="74" t="s">
        <v>1331</v>
      </c>
      <c r="D179" s="74" t="s">
        <v>6396</v>
      </c>
      <c r="E179" s="74" t="s">
        <v>6678</v>
      </c>
    </row>
    <row r="180" spans="1:7">
      <c r="A180" s="72" t="s">
        <v>3328</v>
      </c>
      <c r="B180" s="74" t="s">
        <v>3329</v>
      </c>
      <c r="C180" s="74" t="s">
        <v>3330</v>
      </c>
      <c r="D180" s="74" t="s">
        <v>6396</v>
      </c>
      <c r="E180" s="74" t="s">
        <v>6395</v>
      </c>
    </row>
    <row r="181" spans="1:7">
      <c r="A181" s="72" t="s">
        <v>3365</v>
      </c>
      <c r="B181" s="74" t="s">
        <v>3366</v>
      </c>
      <c r="C181" s="74" t="s">
        <v>3367</v>
      </c>
      <c r="D181" s="74" t="s">
        <v>6396</v>
      </c>
      <c r="E181" s="74" t="s">
        <v>6395</v>
      </c>
    </row>
    <row r="182" spans="1:7">
      <c r="A182" s="72" t="s">
        <v>3372</v>
      </c>
      <c r="B182" s="74" t="s">
        <v>3373</v>
      </c>
      <c r="C182" s="74" t="s">
        <v>175</v>
      </c>
      <c r="D182" s="74" t="s">
        <v>6396</v>
      </c>
      <c r="E182" s="74" t="s">
        <v>6395</v>
      </c>
    </row>
    <row r="183" spans="1:7">
      <c r="A183" s="72" t="s">
        <v>3384</v>
      </c>
      <c r="B183" s="74" t="s">
        <v>1896</v>
      </c>
      <c r="C183" s="74" t="s">
        <v>1897</v>
      </c>
      <c r="D183" s="74" t="s">
        <v>6396</v>
      </c>
      <c r="E183" s="74" t="s">
        <v>6395</v>
      </c>
    </row>
    <row r="184" spans="1:7">
      <c r="A184" s="72" t="s">
        <v>3392</v>
      </c>
      <c r="B184" s="74" t="s">
        <v>3393</v>
      </c>
      <c r="C184" s="74" t="s">
        <v>1331</v>
      </c>
      <c r="D184" s="74" t="s">
        <v>6396</v>
      </c>
      <c r="E184" s="74" t="s">
        <v>6678</v>
      </c>
    </row>
    <row r="185" spans="1:7">
      <c r="A185" s="72" t="s">
        <v>3424</v>
      </c>
      <c r="B185" s="74" t="s">
        <v>3425</v>
      </c>
      <c r="C185" s="74" t="s">
        <v>1331</v>
      </c>
      <c r="D185" s="74" t="s">
        <v>6396</v>
      </c>
      <c r="E185" s="74" t="s">
        <v>6678</v>
      </c>
    </row>
    <row r="186" spans="1:7">
      <c r="A186" s="72" t="s">
        <v>3444</v>
      </c>
      <c r="B186" s="74" t="s">
        <v>3445</v>
      </c>
      <c r="C186" s="74" t="s">
        <v>1670</v>
      </c>
      <c r="D186" s="74" t="s">
        <v>6396</v>
      </c>
      <c r="E186" s="74" t="s">
        <v>10227</v>
      </c>
    </row>
    <row r="187" spans="1:7">
      <c r="A187" s="72" t="s">
        <v>3448</v>
      </c>
      <c r="B187" s="74" t="s">
        <v>3449</v>
      </c>
      <c r="C187" s="74" t="s">
        <v>3011</v>
      </c>
      <c r="D187" s="74" t="s">
        <v>6396</v>
      </c>
      <c r="E187" s="74" t="s">
        <v>1611</v>
      </c>
    </row>
    <row r="188" spans="1:7">
      <c r="A188" s="72" t="s">
        <v>3453</v>
      </c>
      <c r="B188" s="74" t="s">
        <v>3454</v>
      </c>
      <c r="C188" s="74" t="s">
        <v>3455</v>
      </c>
      <c r="D188" s="74" t="s">
        <v>6396</v>
      </c>
      <c r="E188" s="74" t="s">
        <v>6395</v>
      </c>
    </row>
    <row r="189" spans="1:7">
      <c r="A189" s="72" t="s">
        <v>3460</v>
      </c>
      <c r="B189" s="74" t="s">
        <v>3461</v>
      </c>
      <c r="C189" s="74" t="s">
        <v>3462</v>
      </c>
      <c r="D189" s="74" t="s">
        <v>6396</v>
      </c>
      <c r="E189" s="74" t="s">
        <v>6395</v>
      </c>
    </row>
    <row r="190" spans="1:7">
      <c r="A190" s="72" t="s">
        <v>3464</v>
      </c>
      <c r="B190" s="74" t="s">
        <v>3465</v>
      </c>
      <c r="C190" s="74" t="s">
        <v>3462</v>
      </c>
      <c r="D190" s="74" t="s">
        <v>6396</v>
      </c>
      <c r="E190" s="74" t="s">
        <v>6395</v>
      </c>
    </row>
    <row r="191" spans="1:7">
      <c r="A191" s="72" t="s">
        <v>3475</v>
      </c>
      <c r="B191" s="74" t="s">
        <v>3476</v>
      </c>
      <c r="C191" s="74" t="s">
        <v>3477</v>
      </c>
      <c r="D191" s="74" t="s">
        <v>6396</v>
      </c>
      <c r="E191" s="74" t="s">
        <v>6395</v>
      </c>
    </row>
    <row r="192" spans="1:7">
      <c r="A192" s="72" t="s">
        <v>3511</v>
      </c>
      <c r="B192" s="74" t="s">
        <v>10263</v>
      </c>
      <c r="C192" s="74" t="s">
        <v>3512</v>
      </c>
      <c r="D192" s="74" t="s">
        <v>6396</v>
      </c>
      <c r="E192" s="74" t="s">
        <v>6395</v>
      </c>
      <c r="G192" s="76" t="s">
        <v>10287</v>
      </c>
    </row>
    <row r="193" spans="1:5">
      <c r="A193" s="72" t="s">
        <v>3515</v>
      </c>
      <c r="B193" s="74" t="s">
        <v>3516</v>
      </c>
      <c r="C193" s="74" t="s">
        <v>1331</v>
      </c>
      <c r="D193" s="74" t="s">
        <v>6396</v>
      </c>
      <c r="E193" s="74" t="s">
        <v>6678</v>
      </c>
    </row>
  </sheetData>
  <autoFilter ref="B1:E193" xr:uid="{CDFA2EBA-F052-4D1E-98B4-C510A07F04DF}"/>
  <phoneticPr fontId="1" type="noConversion"/>
  <conditionalFormatting sqref="B29:B30">
    <cfRule type="duplicateValues" dxfId="0"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3DBE-5606-4F8C-9FB5-599312F0EF28}">
  <dimension ref="A1:B234"/>
  <sheetViews>
    <sheetView workbookViewId="0">
      <selection activeCell="A11" sqref="A11"/>
    </sheetView>
  </sheetViews>
  <sheetFormatPr defaultRowHeight="15"/>
  <cols>
    <col min="1" max="1" width="9.06640625" style="4"/>
  </cols>
  <sheetData>
    <row r="1" spans="1:2">
      <c r="A1" s="4" t="s">
        <v>2</v>
      </c>
      <c r="B1" t="s">
        <v>10233</v>
      </c>
    </row>
    <row r="2" spans="1:2">
      <c r="A2" s="4" t="s">
        <v>51</v>
      </c>
      <c r="B2">
        <v>35</v>
      </c>
    </row>
    <row r="3" spans="1:2">
      <c r="A3" s="4" t="s">
        <v>679</v>
      </c>
      <c r="B3">
        <v>15</v>
      </c>
    </row>
    <row r="4" spans="1:2">
      <c r="A4" s="4" t="s">
        <v>131</v>
      </c>
      <c r="B4">
        <v>12</v>
      </c>
    </row>
    <row r="5" spans="1:2">
      <c r="A5" s="4" t="s">
        <v>1331</v>
      </c>
      <c r="B5">
        <v>8</v>
      </c>
    </row>
    <row r="6" spans="1:2">
      <c r="A6" s="4" t="s">
        <v>884</v>
      </c>
      <c r="B6">
        <v>4</v>
      </c>
    </row>
    <row r="7" spans="1:2">
      <c r="A7" s="4" t="s">
        <v>265</v>
      </c>
      <c r="B7">
        <v>3</v>
      </c>
    </row>
    <row r="8" spans="1:2">
      <c r="A8" s="4" t="s">
        <v>670</v>
      </c>
      <c r="B8">
        <v>3</v>
      </c>
    </row>
    <row r="9" spans="1:2">
      <c r="A9" s="4" t="s">
        <v>1372</v>
      </c>
      <c r="B9">
        <v>3</v>
      </c>
    </row>
    <row r="10" spans="1:2">
      <c r="A10" s="4" t="s">
        <v>140</v>
      </c>
      <c r="B10">
        <v>2</v>
      </c>
    </row>
    <row r="11" spans="1:2">
      <c r="A11" s="4" t="s">
        <v>188</v>
      </c>
      <c r="B11">
        <v>2</v>
      </c>
    </row>
    <row r="12" spans="1:2">
      <c r="A12" s="4" t="s">
        <v>558</v>
      </c>
      <c r="B12">
        <v>2</v>
      </c>
    </row>
    <row r="13" spans="1:2">
      <c r="A13" s="4" t="s">
        <v>721</v>
      </c>
      <c r="B13">
        <v>2</v>
      </c>
    </row>
    <row r="14" spans="1:2">
      <c r="A14" s="4" t="s">
        <v>727</v>
      </c>
      <c r="B14">
        <v>2</v>
      </c>
    </row>
    <row r="15" spans="1:2">
      <c r="A15" s="4" t="s">
        <v>21</v>
      </c>
      <c r="B15">
        <v>2</v>
      </c>
    </row>
    <row r="16" spans="1:2">
      <c r="A16" s="4" t="s">
        <v>1366</v>
      </c>
      <c r="B16">
        <v>2</v>
      </c>
    </row>
    <row r="17" spans="1:2">
      <c r="A17" s="4" t="s">
        <v>742</v>
      </c>
      <c r="B17">
        <v>2</v>
      </c>
    </row>
    <row r="18" spans="1:2">
      <c r="A18" s="4" t="s">
        <v>650</v>
      </c>
      <c r="B18">
        <v>2</v>
      </c>
    </row>
    <row r="19" spans="1:2">
      <c r="A19" s="4" t="s">
        <v>1897</v>
      </c>
      <c r="B19">
        <v>2</v>
      </c>
    </row>
    <row r="20" spans="1:2">
      <c r="A20" s="4" t="s">
        <v>498</v>
      </c>
      <c r="B20">
        <v>2</v>
      </c>
    </row>
    <row r="21" spans="1:2">
      <c r="A21" s="4" t="s">
        <v>1950</v>
      </c>
      <c r="B21">
        <v>2</v>
      </c>
    </row>
    <row r="22" spans="1:2">
      <c r="A22" s="4" t="s">
        <v>2272</v>
      </c>
      <c r="B22">
        <v>2</v>
      </c>
    </row>
    <row r="23" spans="1:2">
      <c r="A23" s="4" t="s">
        <v>2334</v>
      </c>
      <c r="B23">
        <v>2</v>
      </c>
    </row>
    <row r="24" spans="1:2">
      <c r="A24" s="4" t="s">
        <v>215</v>
      </c>
      <c r="B24">
        <v>2</v>
      </c>
    </row>
    <row r="25" spans="1:2">
      <c r="A25" s="4" t="s">
        <v>3011</v>
      </c>
      <c r="B25">
        <v>2</v>
      </c>
    </row>
    <row r="26" spans="1:2">
      <c r="A26" s="4" t="s">
        <v>3189</v>
      </c>
      <c r="B26">
        <v>2</v>
      </c>
    </row>
    <row r="27" spans="1:2">
      <c r="A27" s="4" t="s">
        <v>3462</v>
      </c>
      <c r="B27">
        <v>2</v>
      </c>
    </row>
    <row r="28" spans="1:2">
      <c r="A28" s="4" t="s">
        <v>15</v>
      </c>
      <c r="B28">
        <v>1</v>
      </c>
    </row>
    <row r="29" spans="1:2">
      <c r="A29" s="4" t="s">
        <v>116</v>
      </c>
      <c r="B29">
        <v>1</v>
      </c>
    </row>
    <row r="30" spans="1:2">
      <c r="A30" s="4" t="s">
        <v>121</v>
      </c>
      <c r="B30">
        <v>1</v>
      </c>
    </row>
    <row r="31" spans="1:2">
      <c r="A31" s="4" t="s">
        <v>133</v>
      </c>
      <c r="B31">
        <v>1</v>
      </c>
    </row>
    <row r="32" spans="1:2">
      <c r="A32" s="4" t="s">
        <v>138</v>
      </c>
      <c r="B32">
        <v>1</v>
      </c>
    </row>
    <row r="33" spans="1:2">
      <c r="A33" s="4" t="s">
        <v>142</v>
      </c>
      <c r="B33">
        <v>1</v>
      </c>
    </row>
    <row r="34" spans="1:2">
      <c r="A34" s="4" t="s">
        <v>144</v>
      </c>
      <c r="B34">
        <v>1</v>
      </c>
    </row>
    <row r="35" spans="1:2">
      <c r="A35" s="4" t="s">
        <v>146</v>
      </c>
      <c r="B35">
        <v>1</v>
      </c>
    </row>
    <row r="36" spans="1:2">
      <c r="A36" s="4" t="s">
        <v>161</v>
      </c>
      <c r="B36">
        <v>1</v>
      </c>
    </row>
    <row r="37" spans="1:2">
      <c r="A37" s="4" t="s">
        <v>278</v>
      </c>
      <c r="B37">
        <v>1</v>
      </c>
    </row>
    <row r="38" spans="1:2">
      <c r="A38" s="4" t="s">
        <v>284</v>
      </c>
      <c r="B38">
        <v>1</v>
      </c>
    </row>
    <row r="39" spans="1:2">
      <c r="A39" s="4" t="s">
        <v>348</v>
      </c>
      <c r="B39">
        <v>1</v>
      </c>
    </row>
    <row r="40" spans="1:2">
      <c r="A40" s="4" t="s">
        <v>367</v>
      </c>
      <c r="B40">
        <v>1</v>
      </c>
    </row>
    <row r="41" spans="1:2">
      <c r="A41" s="4" t="s">
        <v>400</v>
      </c>
      <c r="B41">
        <v>1</v>
      </c>
    </row>
    <row r="42" spans="1:2">
      <c r="A42" s="4" t="s">
        <v>440</v>
      </c>
      <c r="B42">
        <v>1</v>
      </c>
    </row>
    <row r="43" spans="1:2">
      <c r="A43" s="4" t="s">
        <v>587</v>
      </c>
      <c r="B43">
        <v>1</v>
      </c>
    </row>
    <row r="44" spans="1:2">
      <c r="A44" s="4" t="s">
        <v>592</v>
      </c>
      <c r="B44">
        <v>1</v>
      </c>
    </row>
    <row r="45" spans="1:2">
      <c r="A45" s="4" t="s">
        <v>666</v>
      </c>
      <c r="B45">
        <v>1</v>
      </c>
    </row>
    <row r="46" spans="1:2">
      <c r="A46" s="4" t="s">
        <v>737</v>
      </c>
      <c r="B46">
        <v>1</v>
      </c>
    </row>
    <row r="47" spans="1:2">
      <c r="A47" s="4" t="s">
        <v>804</v>
      </c>
      <c r="B47">
        <v>1</v>
      </c>
    </row>
    <row r="48" spans="1:2">
      <c r="A48" s="4" t="s">
        <v>580</v>
      </c>
      <c r="B48">
        <v>1</v>
      </c>
    </row>
    <row r="49" spans="1:2">
      <c r="A49" s="4" t="s">
        <v>915</v>
      </c>
      <c r="B49">
        <v>1</v>
      </c>
    </row>
    <row r="50" spans="1:2">
      <c r="A50" s="4" t="s">
        <v>955</v>
      </c>
      <c r="B50">
        <v>1</v>
      </c>
    </row>
    <row r="51" spans="1:2">
      <c r="A51" s="4" t="s">
        <v>1000</v>
      </c>
      <c r="B51">
        <v>1</v>
      </c>
    </row>
    <row r="52" spans="1:2">
      <c r="A52" s="4" t="s">
        <v>1062</v>
      </c>
      <c r="B52">
        <v>1</v>
      </c>
    </row>
    <row r="53" spans="1:2">
      <c r="A53" s="4" t="s">
        <v>1094</v>
      </c>
      <c r="B53">
        <v>1</v>
      </c>
    </row>
    <row r="54" spans="1:2">
      <c r="A54" s="4" t="s">
        <v>1117</v>
      </c>
      <c r="B54">
        <v>1</v>
      </c>
    </row>
    <row r="55" spans="1:2">
      <c r="A55" s="4" t="s">
        <v>1123</v>
      </c>
      <c r="B55">
        <v>1</v>
      </c>
    </row>
    <row r="56" spans="1:2">
      <c r="A56" s="4" t="s">
        <v>1129</v>
      </c>
      <c r="B56">
        <v>1</v>
      </c>
    </row>
    <row r="57" spans="1:2">
      <c r="A57" s="4" t="s">
        <v>1147</v>
      </c>
      <c r="B57">
        <v>1</v>
      </c>
    </row>
    <row r="58" spans="1:2">
      <c r="A58" s="4" t="s">
        <v>1154</v>
      </c>
      <c r="B58">
        <v>1</v>
      </c>
    </row>
    <row r="59" spans="1:2">
      <c r="A59" s="4" t="s">
        <v>1175</v>
      </c>
      <c r="B59">
        <v>1</v>
      </c>
    </row>
    <row r="60" spans="1:2">
      <c r="A60" s="4" t="s">
        <v>1211</v>
      </c>
      <c r="B60">
        <v>1</v>
      </c>
    </row>
    <row r="61" spans="1:2">
      <c r="A61" s="4" t="s">
        <v>1240</v>
      </c>
      <c r="B61">
        <v>1</v>
      </c>
    </row>
    <row r="62" spans="1:2">
      <c r="A62" s="4" t="s">
        <v>1267</v>
      </c>
      <c r="B62">
        <v>1</v>
      </c>
    </row>
    <row r="63" spans="1:2">
      <c r="A63" s="4" t="s">
        <v>42</v>
      </c>
      <c r="B63">
        <v>1</v>
      </c>
    </row>
    <row r="64" spans="1:2">
      <c r="A64" s="4" t="s">
        <v>1313</v>
      </c>
      <c r="B64">
        <v>1</v>
      </c>
    </row>
    <row r="65" spans="1:2">
      <c r="A65" s="4" t="s">
        <v>154</v>
      </c>
      <c r="B65">
        <v>1</v>
      </c>
    </row>
    <row r="66" spans="1:2">
      <c r="A66" s="4" t="s">
        <v>1346</v>
      </c>
      <c r="B66">
        <v>1</v>
      </c>
    </row>
    <row r="67" spans="1:2">
      <c r="A67" s="4" t="s">
        <v>478</v>
      </c>
      <c r="B67">
        <v>1</v>
      </c>
    </row>
    <row r="68" spans="1:2">
      <c r="A68" s="4" t="s">
        <v>1457</v>
      </c>
      <c r="B68">
        <v>1</v>
      </c>
    </row>
    <row r="69" spans="1:2">
      <c r="A69" s="4" t="s">
        <v>1515</v>
      </c>
      <c r="B69">
        <v>1</v>
      </c>
    </row>
    <row r="70" spans="1:2">
      <c r="A70" s="4" t="s">
        <v>27</v>
      </c>
      <c r="B70">
        <v>1</v>
      </c>
    </row>
    <row r="71" spans="1:2">
      <c r="A71" s="4" t="s">
        <v>1633</v>
      </c>
      <c r="B71">
        <v>1</v>
      </c>
    </row>
    <row r="72" spans="1:2">
      <c r="A72" s="4" t="s">
        <v>10260</v>
      </c>
      <c r="B72">
        <v>1</v>
      </c>
    </row>
    <row r="73" spans="1:2">
      <c r="A73" s="4" t="s">
        <v>1710</v>
      </c>
      <c r="B73">
        <v>1</v>
      </c>
    </row>
    <row r="74" spans="1:2">
      <c r="A74" s="4" t="s">
        <v>1766</v>
      </c>
      <c r="B74">
        <v>1</v>
      </c>
    </row>
    <row r="75" spans="1:2">
      <c r="A75" s="4" t="s">
        <v>1788</v>
      </c>
      <c r="B75">
        <v>1</v>
      </c>
    </row>
    <row r="76" spans="1:2">
      <c r="A76" s="4" t="s">
        <v>1839</v>
      </c>
      <c r="B76">
        <v>1</v>
      </c>
    </row>
    <row r="77" spans="1:2">
      <c r="A77" s="4" t="s">
        <v>1882</v>
      </c>
      <c r="B77">
        <v>1</v>
      </c>
    </row>
    <row r="78" spans="1:2">
      <c r="A78" s="4" t="s">
        <v>1888</v>
      </c>
      <c r="B78">
        <v>1</v>
      </c>
    </row>
    <row r="79" spans="1:2">
      <c r="A79" s="4" t="s">
        <v>1891</v>
      </c>
      <c r="B79">
        <v>1</v>
      </c>
    </row>
    <row r="80" spans="1:2">
      <c r="A80" s="4" t="s">
        <v>1907</v>
      </c>
      <c r="B80">
        <v>1</v>
      </c>
    </row>
    <row r="81" spans="1:2">
      <c r="A81" s="4" t="s">
        <v>1933</v>
      </c>
      <c r="B81">
        <v>1</v>
      </c>
    </row>
    <row r="82" spans="1:2">
      <c r="A82" s="4" t="s">
        <v>1966</v>
      </c>
      <c r="B82">
        <v>1</v>
      </c>
    </row>
    <row r="83" spans="1:2">
      <c r="A83" s="4" t="s">
        <v>1971</v>
      </c>
      <c r="B83">
        <v>1</v>
      </c>
    </row>
    <row r="84" spans="1:2">
      <c r="A84" s="4" t="s">
        <v>1990</v>
      </c>
      <c r="B84">
        <v>1</v>
      </c>
    </row>
    <row r="85" spans="1:2">
      <c r="A85" s="4" t="s">
        <v>2002</v>
      </c>
      <c r="B85">
        <v>1</v>
      </c>
    </row>
    <row r="86" spans="1:2">
      <c r="A86" s="4" t="s">
        <v>2025</v>
      </c>
      <c r="B86">
        <v>1</v>
      </c>
    </row>
    <row r="87" spans="1:2">
      <c r="A87" s="4" t="s">
        <v>2031</v>
      </c>
      <c r="B87">
        <v>1</v>
      </c>
    </row>
    <row r="88" spans="1:2">
      <c r="A88" s="4" t="s">
        <v>2043</v>
      </c>
      <c r="B88">
        <v>1</v>
      </c>
    </row>
    <row r="89" spans="1:2">
      <c r="A89" s="4" t="s">
        <v>2083</v>
      </c>
      <c r="B89">
        <v>1</v>
      </c>
    </row>
    <row r="90" spans="1:2">
      <c r="A90" s="4" t="s">
        <v>2111</v>
      </c>
      <c r="B90">
        <v>1</v>
      </c>
    </row>
    <row r="91" spans="1:2">
      <c r="A91" s="4" t="s">
        <v>2127</v>
      </c>
      <c r="B91">
        <v>1</v>
      </c>
    </row>
    <row r="92" spans="1:2">
      <c r="A92" s="4" t="s">
        <v>2147</v>
      </c>
      <c r="B92">
        <v>1</v>
      </c>
    </row>
    <row r="93" spans="1:2">
      <c r="A93" s="4" t="s">
        <v>2156</v>
      </c>
      <c r="B93">
        <v>1</v>
      </c>
    </row>
    <row r="94" spans="1:2">
      <c r="A94" s="4" t="s">
        <v>360</v>
      </c>
      <c r="B94">
        <v>1</v>
      </c>
    </row>
    <row r="95" spans="1:2">
      <c r="A95" s="4" t="s">
        <v>2198</v>
      </c>
      <c r="B95">
        <v>1</v>
      </c>
    </row>
    <row r="96" spans="1:2">
      <c r="A96" s="4" t="s">
        <v>2219</v>
      </c>
      <c r="B96">
        <v>1</v>
      </c>
    </row>
    <row r="97" spans="1:2">
      <c r="A97" s="4" t="s">
        <v>2241</v>
      </c>
      <c r="B97">
        <v>1</v>
      </c>
    </row>
    <row r="98" spans="1:2">
      <c r="A98" s="4" t="s">
        <v>2253</v>
      </c>
      <c r="B98">
        <v>1</v>
      </c>
    </row>
    <row r="99" spans="1:2">
      <c r="A99" s="4" t="s">
        <v>2265</v>
      </c>
      <c r="B99">
        <v>1</v>
      </c>
    </row>
    <row r="100" spans="1:2">
      <c r="A100" s="4" t="s">
        <v>2311</v>
      </c>
      <c r="B100">
        <v>1</v>
      </c>
    </row>
    <row r="101" spans="1:2">
      <c r="A101" s="4" t="s">
        <v>1783</v>
      </c>
      <c r="B101">
        <v>1</v>
      </c>
    </row>
    <row r="102" spans="1:2">
      <c r="A102" s="4" t="s">
        <v>2339</v>
      </c>
      <c r="B102">
        <v>1</v>
      </c>
    </row>
    <row r="103" spans="1:2">
      <c r="A103" s="4" t="s">
        <v>2343</v>
      </c>
      <c r="B103">
        <v>1</v>
      </c>
    </row>
    <row r="104" spans="1:2">
      <c r="A104" s="4" t="s">
        <v>2349</v>
      </c>
      <c r="B104">
        <v>1</v>
      </c>
    </row>
    <row r="105" spans="1:2">
      <c r="A105" s="4" t="s">
        <v>2424</v>
      </c>
      <c r="B105">
        <v>1</v>
      </c>
    </row>
    <row r="106" spans="1:2">
      <c r="A106" s="4" t="s">
        <v>2444</v>
      </c>
      <c r="B106">
        <v>1</v>
      </c>
    </row>
    <row r="107" spans="1:2">
      <c r="A107" s="4" t="s">
        <v>2465</v>
      </c>
      <c r="B107">
        <v>1</v>
      </c>
    </row>
    <row r="108" spans="1:2">
      <c r="A108" s="4" t="s">
        <v>1675</v>
      </c>
      <c r="B108">
        <v>1</v>
      </c>
    </row>
    <row r="109" spans="1:2">
      <c r="A109" s="4" t="s">
        <v>2674</v>
      </c>
      <c r="B109">
        <v>1</v>
      </c>
    </row>
    <row r="110" spans="1:2">
      <c r="A110" s="4" t="s">
        <v>2707</v>
      </c>
      <c r="B110">
        <v>1</v>
      </c>
    </row>
    <row r="111" spans="1:2">
      <c r="A111" s="4" t="s">
        <v>2727</v>
      </c>
      <c r="B111">
        <v>1</v>
      </c>
    </row>
    <row r="112" spans="1:2">
      <c r="A112" s="4" t="s">
        <v>2757</v>
      </c>
      <c r="B112">
        <v>1</v>
      </c>
    </row>
    <row r="113" spans="1:2">
      <c r="A113" s="4" t="s">
        <v>2792</v>
      </c>
      <c r="B113">
        <v>1</v>
      </c>
    </row>
    <row r="114" spans="1:2">
      <c r="A114" s="4" t="s">
        <v>2798</v>
      </c>
      <c r="B114">
        <v>1</v>
      </c>
    </row>
    <row r="115" spans="1:2">
      <c r="A115" s="4" t="s">
        <v>2946</v>
      </c>
      <c r="B115">
        <v>1</v>
      </c>
    </row>
    <row r="116" spans="1:2">
      <c r="A116" s="4" t="s">
        <v>2980</v>
      </c>
      <c r="B116">
        <v>1</v>
      </c>
    </row>
    <row r="117" spans="1:2">
      <c r="A117" s="4" t="s">
        <v>2992</v>
      </c>
      <c r="B117">
        <v>1</v>
      </c>
    </row>
    <row r="118" spans="1:2">
      <c r="A118" s="4" t="s">
        <v>3025</v>
      </c>
      <c r="B118">
        <v>1</v>
      </c>
    </row>
    <row r="119" spans="1:2">
      <c r="A119" s="4" t="s">
        <v>3031</v>
      </c>
      <c r="B119">
        <v>1</v>
      </c>
    </row>
    <row r="120" spans="1:2">
      <c r="A120" s="4" t="s">
        <v>3064</v>
      </c>
      <c r="B120">
        <v>1</v>
      </c>
    </row>
    <row r="121" spans="1:2">
      <c r="A121" s="4" t="s">
        <v>3069</v>
      </c>
      <c r="B121">
        <v>1</v>
      </c>
    </row>
    <row r="122" spans="1:2">
      <c r="A122" s="4" t="s">
        <v>3080</v>
      </c>
      <c r="B122">
        <v>1</v>
      </c>
    </row>
    <row r="123" spans="1:2">
      <c r="A123" s="4" t="s">
        <v>3101</v>
      </c>
      <c r="B123">
        <v>1</v>
      </c>
    </row>
    <row r="124" spans="1:2">
      <c r="A124" s="4" t="s">
        <v>3126</v>
      </c>
      <c r="B124">
        <v>1</v>
      </c>
    </row>
    <row r="125" spans="1:2">
      <c r="A125" s="4" t="s">
        <v>3132</v>
      </c>
      <c r="B125">
        <v>1</v>
      </c>
    </row>
    <row r="126" spans="1:2">
      <c r="A126" s="4" t="s">
        <v>3137</v>
      </c>
      <c r="B126">
        <v>1</v>
      </c>
    </row>
    <row r="127" spans="1:2">
      <c r="A127" s="4" t="s">
        <v>3162</v>
      </c>
      <c r="B127">
        <v>1</v>
      </c>
    </row>
    <row r="128" spans="1:2">
      <c r="A128" s="4" t="s">
        <v>517</v>
      </c>
      <c r="B128">
        <v>1</v>
      </c>
    </row>
    <row r="129" spans="1:2">
      <c r="A129" s="4" t="s">
        <v>3198</v>
      </c>
      <c r="B129">
        <v>1</v>
      </c>
    </row>
    <row r="130" spans="1:2">
      <c r="A130" s="4" t="s">
        <v>3203</v>
      </c>
      <c r="B130">
        <v>1</v>
      </c>
    </row>
    <row r="131" spans="1:2">
      <c r="A131" s="4" t="s">
        <v>3235</v>
      </c>
      <c r="B131">
        <v>1</v>
      </c>
    </row>
    <row r="132" spans="1:2">
      <c r="A132" s="4" t="s">
        <v>3248</v>
      </c>
      <c r="B132">
        <v>1</v>
      </c>
    </row>
    <row r="133" spans="1:2">
      <c r="A133" s="4" t="s">
        <v>2733</v>
      </c>
      <c r="B133">
        <v>1</v>
      </c>
    </row>
    <row r="134" spans="1:2">
      <c r="A134" s="4" t="s">
        <v>3274</v>
      </c>
      <c r="B134">
        <v>1</v>
      </c>
    </row>
    <row r="135" spans="1:2">
      <c r="A135" s="4" t="s">
        <v>3330</v>
      </c>
      <c r="B135">
        <v>1</v>
      </c>
    </row>
    <row r="136" spans="1:2">
      <c r="A136" s="4" t="s">
        <v>3367</v>
      </c>
      <c r="B136">
        <v>1</v>
      </c>
    </row>
    <row r="137" spans="1:2">
      <c r="A137" s="4" t="s">
        <v>175</v>
      </c>
      <c r="B137">
        <v>1</v>
      </c>
    </row>
    <row r="138" spans="1:2">
      <c r="A138" s="4" t="s">
        <v>1670</v>
      </c>
      <c r="B138">
        <v>1</v>
      </c>
    </row>
    <row r="139" spans="1:2">
      <c r="A139" s="4" t="s">
        <v>3455</v>
      </c>
      <c r="B139">
        <v>1</v>
      </c>
    </row>
    <row r="140" spans="1:2">
      <c r="A140" s="4" t="s">
        <v>3477</v>
      </c>
      <c r="B140">
        <v>1</v>
      </c>
    </row>
    <row r="141" spans="1:2">
      <c r="A141" s="4" t="s">
        <v>3512</v>
      </c>
      <c r="B141">
        <v>1</v>
      </c>
    </row>
    <row r="142" spans="1:2" ht="13.5">
      <c r="A142"/>
    </row>
    <row r="143" spans="1:2" ht="13.5">
      <c r="A143"/>
    </row>
    <row r="144" spans="1:2" ht="13.5">
      <c r="A144"/>
    </row>
    <row r="145" spans="1:1" ht="13.5">
      <c r="A145"/>
    </row>
    <row r="146" spans="1:1" ht="13.5">
      <c r="A146"/>
    </row>
    <row r="147" spans="1:1" ht="13.5">
      <c r="A147"/>
    </row>
    <row r="148" spans="1:1" ht="13.5">
      <c r="A148"/>
    </row>
    <row r="149" spans="1:1" ht="13.5">
      <c r="A149"/>
    </row>
    <row r="150" spans="1:1" ht="13.5">
      <c r="A150"/>
    </row>
    <row r="151" spans="1:1" ht="13.5">
      <c r="A151"/>
    </row>
    <row r="152" spans="1:1" ht="13.5">
      <c r="A152"/>
    </row>
    <row r="153" spans="1:1" ht="13.5">
      <c r="A153"/>
    </row>
    <row r="154" spans="1:1" ht="13.5">
      <c r="A154"/>
    </row>
    <row r="155" spans="1:1" ht="13.5">
      <c r="A155"/>
    </row>
    <row r="156" spans="1:1" ht="13.5">
      <c r="A156"/>
    </row>
    <row r="157" spans="1:1" ht="13.5">
      <c r="A157"/>
    </row>
    <row r="158" spans="1:1" ht="13.5">
      <c r="A158"/>
    </row>
    <row r="159" spans="1:1" ht="13.5">
      <c r="A159"/>
    </row>
    <row r="160" spans="1:1" ht="13.5">
      <c r="A160"/>
    </row>
    <row r="161" spans="1:1" ht="13.5">
      <c r="A161"/>
    </row>
    <row r="162" spans="1:1" ht="13.5">
      <c r="A162"/>
    </row>
    <row r="163" spans="1:1" ht="13.5">
      <c r="A163"/>
    </row>
    <row r="164" spans="1:1" ht="13.5">
      <c r="A164"/>
    </row>
    <row r="165" spans="1:1" ht="13.5">
      <c r="A165"/>
    </row>
    <row r="166" spans="1:1" ht="13.5">
      <c r="A166"/>
    </row>
    <row r="167" spans="1:1" ht="13.5">
      <c r="A167"/>
    </row>
    <row r="168" spans="1:1" ht="13.5">
      <c r="A168"/>
    </row>
    <row r="169" spans="1:1" ht="13.5">
      <c r="A169"/>
    </row>
    <row r="170" spans="1:1" ht="13.5">
      <c r="A170"/>
    </row>
    <row r="171" spans="1:1" ht="13.5">
      <c r="A171"/>
    </row>
    <row r="172" spans="1:1" ht="13.5">
      <c r="A172"/>
    </row>
    <row r="173" spans="1:1" ht="13.5">
      <c r="A173"/>
    </row>
    <row r="174" spans="1:1" ht="13.5">
      <c r="A174"/>
    </row>
    <row r="175" spans="1:1" ht="13.5">
      <c r="A175"/>
    </row>
    <row r="176" spans="1:1" ht="13.5">
      <c r="A176"/>
    </row>
    <row r="177" spans="1:1" ht="13.5">
      <c r="A177"/>
    </row>
    <row r="178" spans="1:1" ht="13.5">
      <c r="A178"/>
    </row>
    <row r="179" spans="1:1" ht="13.5">
      <c r="A179"/>
    </row>
    <row r="180" spans="1:1" ht="13.5">
      <c r="A180"/>
    </row>
    <row r="181" spans="1:1" ht="13.5">
      <c r="A181"/>
    </row>
    <row r="182" spans="1:1" ht="13.5">
      <c r="A182"/>
    </row>
    <row r="183" spans="1:1" ht="13.5">
      <c r="A183"/>
    </row>
    <row r="184" spans="1:1" ht="13.5">
      <c r="A184"/>
    </row>
    <row r="185" spans="1:1" ht="13.5">
      <c r="A185"/>
    </row>
    <row r="186" spans="1:1" ht="13.5">
      <c r="A186"/>
    </row>
    <row r="187" spans="1:1" ht="13.5">
      <c r="A187"/>
    </row>
    <row r="188" spans="1:1" ht="13.5">
      <c r="A188"/>
    </row>
    <row r="189" spans="1:1" ht="13.5">
      <c r="A189"/>
    </row>
    <row r="190" spans="1:1" ht="13.5">
      <c r="A190"/>
    </row>
    <row r="191" spans="1:1" ht="13.5">
      <c r="A191"/>
    </row>
    <row r="192" spans="1:1" ht="13.5">
      <c r="A192"/>
    </row>
    <row r="193" spans="1:1" ht="13.5">
      <c r="A193"/>
    </row>
    <row r="194" spans="1:1" ht="13.5">
      <c r="A194"/>
    </row>
    <row r="195" spans="1:1" ht="13.5">
      <c r="A195"/>
    </row>
    <row r="196" spans="1:1" ht="13.5">
      <c r="A196"/>
    </row>
    <row r="197" spans="1:1" ht="13.5">
      <c r="A197"/>
    </row>
    <row r="198" spans="1:1" ht="13.5">
      <c r="A198"/>
    </row>
    <row r="199" spans="1:1" ht="13.5">
      <c r="A199"/>
    </row>
    <row r="200" spans="1:1" ht="13.5">
      <c r="A200"/>
    </row>
    <row r="201" spans="1:1" ht="13.5">
      <c r="A201"/>
    </row>
    <row r="202" spans="1:1" ht="13.5">
      <c r="A202"/>
    </row>
    <row r="203" spans="1:1" ht="13.5">
      <c r="A203"/>
    </row>
    <row r="204" spans="1:1" ht="13.5">
      <c r="A204"/>
    </row>
    <row r="205" spans="1:1" ht="13.5">
      <c r="A205"/>
    </row>
    <row r="206" spans="1:1" ht="13.5">
      <c r="A206"/>
    </row>
    <row r="207" spans="1:1" ht="13.5">
      <c r="A207"/>
    </row>
    <row r="208" spans="1:1" ht="13.5">
      <c r="A208"/>
    </row>
    <row r="209" spans="1:1" ht="13.5">
      <c r="A209"/>
    </row>
    <row r="210" spans="1:1" ht="13.5">
      <c r="A210"/>
    </row>
    <row r="211" spans="1:1" ht="13.5">
      <c r="A211"/>
    </row>
    <row r="212" spans="1:1" ht="13.5">
      <c r="A212"/>
    </row>
    <row r="213" spans="1:1" ht="13.5">
      <c r="A213"/>
    </row>
    <row r="214" spans="1:1" ht="13.5">
      <c r="A214"/>
    </row>
    <row r="215" spans="1:1" ht="13.5">
      <c r="A215"/>
    </row>
    <row r="216" spans="1:1" ht="13.5">
      <c r="A216"/>
    </row>
    <row r="217" spans="1:1" ht="13.5">
      <c r="A217"/>
    </row>
    <row r="218" spans="1:1" ht="13.5">
      <c r="A218"/>
    </row>
    <row r="219" spans="1:1" ht="13.5">
      <c r="A219"/>
    </row>
    <row r="220" spans="1:1" ht="13.5">
      <c r="A220"/>
    </row>
    <row r="221" spans="1:1" ht="13.5">
      <c r="A221"/>
    </row>
    <row r="222" spans="1:1" ht="13.5">
      <c r="A222"/>
    </row>
    <row r="223" spans="1:1" ht="13.5">
      <c r="A223"/>
    </row>
    <row r="224" spans="1:1" ht="13.5">
      <c r="A224"/>
    </row>
    <row r="225" spans="1:1" ht="13.5">
      <c r="A225"/>
    </row>
    <row r="226" spans="1:1" ht="13.5">
      <c r="A226"/>
    </row>
    <row r="227" spans="1:1" ht="13.5">
      <c r="A227"/>
    </row>
    <row r="228" spans="1:1" ht="13.5">
      <c r="A228"/>
    </row>
    <row r="229" spans="1:1" ht="13.5">
      <c r="A229"/>
    </row>
    <row r="230" spans="1:1" ht="13.5">
      <c r="A230"/>
    </row>
    <row r="231" spans="1:1" ht="13.5">
      <c r="A231"/>
    </row>
    <row r="232" spans="1:1" ht="13.5">
      <c r="A232"/>
    </row>
    <row r="233" spans="1:1" ht="13.5">
      <c r="A233"/>
    </row>
    <row r="234" spans="1:1" ht="13.5">
      <c r="A234"/>
    </row>
  </sheetData>
  <autoFilter ref="A1:B141" xr:uid="{439C3DBE-5606-4F8C-9FB5-599312F0EF28}">
    <sortState xmlns:xlrd2="http://schemas.microsoft.com/office/spreadsheetml/2017/richdata2" ref="A2:B141">
      <sortCondition descending="1" ref="B1:B141"/>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mpipei (2)</vt:lpstr>
      <vt:lpstr>minfo</vt:lpstr>
      <vt:lpstr>mpipei</vt:lpstr>
      <vt:lpstr>fileps</vt:lpstr>
      <vt:lpstr>流派</vt:lpstr>
      <vt:lpstr>Sheet1</vt:lpstr>
      <vt:lpstr>歌单</vt:lpstr>
      <vt:lpstr>剩余</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Albie Wang</cp:lastModifiedBy>
  <dcterms:created xsi:type="dcterms:W3CDTF">2024-03-13T14:38:16Z</dcterms:created>
  <dcterms:modified xsi:type="dcterms:W3CDTF">2024-09-18T00:54:14Z</dcterms:modified>
</cp:coreProperties>
</file>